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njrfng\SHARED\REGAFFAI\Energy Efficiency Rate Filings\2023 EE Filing\Schedules\"/>
    </mc:Choice>
  </mc:AlternateContent>
  <xr:revisionPtr revIDLastSave="0" documentId="13_ncr:1_{333B7006-928A-4EDB-B69C-00CE7F9AEC69}" xr6:coauthVersionLast="47" xr6:coauthVersionMax="47" xr10:uidLastSave="{00000000-0000-0000-0000-000000000000}"/>
  <bookViews>
    <workbookView xWindow="25080" yWindow="-120" windowWidth="25440" windowHeight="15390" activeTab="1" xr2:uid="{00000000-000D-0000-FFFF-FFFF00000000}"/>
  </bookViews>
  <sheets>
    <sheet name="Schedule NJNG-2 - Page 2" sheetId="20" r:id="rId1"/>
    <sheet name="Schedule NJNG-2 - Pages 3-9" sheetId="5" r:id="rId2"/>
    <sheet name="E3 - Financing upfront" sheetId="6" state="hidden" r:id="rId3"/>
    <sheet name="E3 - Invest Amort deferred tax" sheetId="7" state="hidden" r:id="rId4"/>
    <sheet name="Schedule NJNG-3 - Page 2" sheetId="28" r:id="rId5"/>
    <sheet name="Schedule NJNG-3 - Page 3" sheetId="29" r:id="rId6"/>
    <sheet name="RGGI - Invest Amort deferred" sheetId="8" r:id="rId7"/>
    <sheet name="RGGI CHP" sheetId="19" r:id="rId8"/>
    <sheet name="RGGI - On-bill financing" sheetId="9" r:id="rId9"/>
    <sheet name="RGGI II Invest Amort Def" sheetId="10" r:id="rId10"/>
    <sheet name="RGGI II On Bill Fin'g" sheetId="11" r:id="rId11"/>
    <sheet name="Capital Structure " sheetId="13" r:id="rId12"/>
    <sheet name="2013 program Invest Amort Def" sheetId="14" r:id="rId13"/>
    <sheet name="2013 program 10 yr On Bill Fin" sheetId="15" r:id="rId14"/>
    <sheet name="2013 program 5 yr On Bill Fin" sheetId="16" r:id="rId15"/>
    <sheet name="2013 program 2 yr On Bill Fin" sheetId="17" r:id="rId16"/>
    <sheet name="2013 program Forecast " sheetId="18" state="hidden" r:id="rId17"/>
    <sheet name="2015 Program Invest Amort Def" sheetId="25" r:id="rId18"/>
    <sheet name="2015 Program 10-Year OBRP" sheetId="22" r:id="rId19"/>
    <sheet name="2015 Program 7-Year OBRP" sheetId="27" r:id="rId20"/>
    <sheet name="2015 Program 5-Year OBRP" sheetId="23" r:id="rId21"/>
    <sheet name="2015 Program 3-Year OBRP" sheetId="24" r:id="rId22"/>
    <sheet name="2018 SUMMARY" sheetId="30" r:id="rId23"/>
  </sheets>
  <externalReferences>
    <externalReference r:id="rId24"/>
    <externalReference r:id="rId25"/>
    <externalReference r:id="rId26"/>
  </externalReferences>
  <definedNames>
    <definedName name="_Regression_Out" hidden="1">#REF!</definedName>
    <definedName name="_Regression_X" hidden="1">#REF!</definedName>
    <definedName name="_Regression_Y" hidden="1">#REF!</definedName>
    <definedName name="Allocators" localSheetId="11">'Capital Structure '!$B$13:$F$20</definedName>
    <definedName name="Allocators">#N/A</definedName>
    <definedName name="b">[1]current_wnc!#REF!</definedName>
    <definedName name="csDesignMode">1</definedName>
    <definedName name="d" localSheetId="13">[2]Services!#REF!</definedName>
    <definedName name="d" localSheetId="15">[2]Services!#REF!</definedName>
    <definedName name="d" localSheetId="14">[2]Services!#REF!</definedName>
    <definedName name="d" localSheetId="16">[2]Services!#REF!</definedName>
    <definedName name="d" localSheetId="12">[2]Services!#REF!</definedName>
    <definedName name="d">[2]Services!#REF!</definedName>
    <definedName name="_xlnm.Database" localSheetId="13">[2]Services!#REF!</definedName>
    <definedName name="_xlnm.Database" localSheetId="15">[2]Services!#REF!</definedName>
    <definedName name="_xlnm.Database" localSheetId="14">[2]Services!#REF!</definedName>
    <definedName name="_xlnm.Database" localSheetId="16">[2]Services!#REF!</definedName>
    <definedName name="_xlnm.Database" localSheetId="12">[2]Services!#REF!</definedName>
    <definedName name="_xlnm.Database" localSheetId="11">[2]Services!#REF!</definedName>
    <definedName name="_xlnm.Database" localSheetId="6">[2]Services!#REF!</definedName>
    <definedName name="_xlnm.Database" localSheetId="8">[2]Services!#REF!</definedName>
    <definedName name="_xlnm.Database" localSheetId="1">[2]Services!#REF!</definedName>
    <definedName name="_xlnm.Database">[2]Services!#REF!</definedName>
    <definedName name="db" localSheetId="13">[2]Services!#REF!</definedName>
    <definedName name="db" localSheetId="15">[2]Services!#REF!</definedName>
    <definedName name="db" localSheetId="14">[2]Services!#REF!</definedName>
    <definedName name="db" localSheetId="16">[2]Services!#REF!</definedName>
    <definedName name="db" localSheetId="12">[2]Services!#REF!</definedName>
    <definedName name="db">[2]Services!#REF!</definedName>
    <definedName name="dd">[2]Services!#REF!</definedName>
    <definedName name="E">[1]current_wnc!#REF!</definedName>
    <definedName name="Employee_Type">'[3]O&amp;M Employee and Overhead Costs'!$B$10:$J$24</definedName>
    <definedName name="f">[1]current_wnc!#REF!</definedName>
    <definedName name="g">[1]current_wnc!#REF!</definedName>
    <definedName name="h">[2]Services!#REF!</definedName>
    <definedName name="j" localSheetId="13">[1]current_wnc!#REF!</definedName>
    <definedName name="j" localSheetId="15">[1]current_wnc!#REF!</definedName>
    <definedName name="j" localSheetId="14">[1]current_wnc!#REF!</definedName>
    <definedName name="j" localSheetId="16">[1]current_wnc!#REF!</definedName>
    <definedName name="j" localSheetId="12">[1]current_wnc!#REF!</definedName>
    <definedName name="j">[1]current_wnc!#REF!</definedName>
    <definedName name="JE">[1]current_wnc!$A$2:$S$27</definedName>
    <definedName name="jj" localSheetId="13">[1]current_wnc!#REF!</definedName>
    <definedName name="jj" localSheetId="15">[1]current_wnc!#REF!</definedName>
    <definedName name="jj" localSheetId="14">[1]current_wnc!#REF!</definedName>
    <definedName name="jj" localSheetId="16">[1]current_wnc!#REF!</definedName>
    <definedName name="jj" localSheetId="12">[1]current_wnc!#REF!</definedName>
    <definedName name="jj">[1]current_wnc!#REF!</definedName>
    <definedName name="jjj" localSheetId="13">[1]current_wnc!#REF!</definedName>
    <definedName name="jjj" localSheetId="15">[1]current_wnc!#REF!</definedName>
    <definedName name="jjj" localSheetId="14">[1]current_wnc!#REF!</definedName>
    <definedName name="jjj" localSheetId="16">[1]current_wnc!#REF!</definedName>
    <definedName name="jjj" localSheetId="12">[1]current_wnc!#REF!</definedName>
    <definedName name="jjj">[1]current_wnc!#REF!</definedName>
    <definedName name="JOURNAL2" localSheetId="13">[1]current_wnc!#REF!</definedName>
    <definedName name="JOURNAL2" localSheetId="15">[1]current_wnc!#REF!</definedName>
    <definedName name="JOURNAL2" localSheetId="14">[1]current_wnc!#REF!</definedName>
    <definedName name="JOURNAL2" localSheetId="16">[1]current_wnc!#REF!</definedName>
    <definedName name="JOURNAL2" localSheetId="12">[1]current_wnc!#REF!</definedName>
    <definedName name="JOURNAL2" localSheetId="11">[1]current_wnc!#REF!</definedName>
    <definedName name="JOURNAL2" localSheetId="6">[1]current_wnc!#REF!</definedName>
    <definedName name="JOURNAL2" localSheetId="8">[1]current_wnc!#REF!</definedName>
    <definedName name="JOURNAL2" localSheetId="1">[1]current_wnc!#REF!</definedName>
    <definedName name="JOURNAL2">[1]current_wnc!#REF!</definedName>
    <definedName name="k">[2]Services!#REF!</definedName>
    <definedName name="l">[2]Services!#REF!</definedName>
    <definedName name="m">[2]Services!#REF!</definedName>
    <definedName name="n">[1]current_wnc!#REF!</definedName>
    <definedName name="OM_Allocators">#REF!</definedName>
    <definedName name="_xlnm.Print_Area" localSheetId="13">'2013 program 10 yr On Bill Fin'!$A$1:$AX$43</definedName>
    <definedName name="_xlnm.Print_Area" localSheetId="15">'2013 program 2 yr On Bill Fin'!$A$1:$M$4</definedName>
    <definedName name="_xlnm.Print_Area" localSheetId="14">'2013 program 5 yr On Bill Fin'!$A$1:$L$10</definedName>
    <definedName name="_xlnm.Print_Area" localSheetId="12">'2013 program Invest Amort Def'!$A$1:$CQ$57</definedName>
    <definedName name="_xlnm.Print_Area" localSheetId="19">'2015 Program 7-Year OBRP'!$A$35:$M$44</definedName>
    <definedName name="_xlnm.Print_Area" localSheetId="11">'Capital Structure '!$A$1:$L$38</definedName>
    <definedName name="_xlnm.Print_Area" localSheetId="2">'E3 - Financing upfront'!$A$1:$Z$68</definedName>
    <definedName name="_xlnm.Print_Area" localSheetId="6">'RGGI - Invest Amort deferred'!$A$1:$M$31</definedName>
    <definedName name="_xlnm.Print_Area" localSheetId="8">'RGGI - On-bill financing'!$A$1:$AB$85</definedName>
    <definedName name="_xlnm.Print_Area" localSheetId="9">'RGGI II Invest Amort Def'!$A$1:$BK$83</definedName>
    <definedName name="_xlnm.Print_Area" localSheetId="10">'RGGI II On Bill Fin''g'!$A$1:$AE$73</definedName>
    <definedName name="_xlnm.Print_Area" localSheetId="1">'Schedule NJNG-2 - Pages 3-9'!$A$1:$DC$236</definedName>
    <definedName name="_xlnm.Print_Titles" localSheetId="16">'2013 program Forecast '!$A:$B</definedName>
    <definedName name="_xlnm.Print_Titles" localSheetId="2">'E3 - Financing upfront'!$A:$B,'E3 - Financing upfront'!$1:$3</definedName>
    <definedName name="_xlnm.Print_Titles" localSheetId="3">'E3 - Invest Amort deferred tax'!$A:$B,'E3 - Invest Amort deferred tax'!$1:$3</definedName>
    <definedName name="_xlnm.Print_Titles" localSheetId="6">'RGGI - Invest Amort deferred'!$A:$B,'RGGI - Invest Amort deferred'!$1:$3</definedName>
    <definedName name="_xlnm.Print_Titles" localSheetId="8">'RGGI - On-bill financing'!$A:$B,'RGGI - On-bill financing'!$1:$3</definedName>
    <definedName name="_xlnm.Print_Titles" localSheetId="1">'Schedule NJNG-2 - Pages 3-9'!$A:$C,'Schedule NJNG-2 - Pages 3-9'!$1:$7</definedName>
    <definedName name="PRINT1">[2]Services!#REF!</definedName>
    <definedName name="RATE_CLASS">[1]current_wnc!$X$28:$AN$35</definedName>
    <definedName name="rd" localSheetId="13">[2]Services!#REF!</definedName>
    <definedName name="rd" localSheetId="15">[2]Services!#REF!</definedName>
    <definedName name="rd" localSheetId="14">[2]Services!#REF!</definedName>
    <definedName name="rd" localSheetId="16">[2]Services!#REF!</definedName>
    <definedName name="rd" localSheetId="12">[2]Services!#REF!</definedName>
    <definedName name="rd">[2]Services!#REF!</definedName>
    <definedName name="s">[2]Services!#REF!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E235" i="5" l="1"/>
  <c r="CE234" i="5"/>
  <c r="CE233" i="5"/>
  <c r="CE232" i="5"/>
  <c r="CE231" i="5"/>
  <c r="CE230" i="5"/>
  <c r="CE229" i="5"/>
  <c r="CE228" i="5"/>
  <c r="CE227" i="5"/>
  <c r="CE226" i="5"/>
  <c r="CE225" i="5"/>
  <c r="CE224" i="5"/>
  <c r="CE220" i="5"/>
  <c r="CE219" i="5"/>
  <c r="CE218" i="5"/>
  <c r="N159" i="29" l="1"/>
  <c r="M159" i="29"/>
  <c r="L159" i="29"/>
  <c r="K159" i="29"/>
  <c r="J159" i="29"/>
  <c r="I159" i="29"/>
  <c r="N155" i="29"/>
  <c r="M155" i="29"/>
  <c r="L155" i="29"/>
  <c r="K155" i="29"/>
  <c r="J155" i="29"/>
  <c r="I155" i="29"/>
  <c r="H155" i="29"/>
  <c r="N145" i="29"/>
  <c r="M145" i="29"/>
  <c r="L145" i="29"/>
  <c r="K145" i="29"/>
  <c r="J145" i="29"/>
  <c r="I145" i="29"/>
  <c r="Z235" i="5" l="1"/>
  <c r="Z234" i="5"/>
  <c r="Z233" i="5"/>
  <c r="Z232" i="5"/>
  <c r="Z231" i="5"/>
  <c r="Z230" i="5"/>
  <c r="Z229" i="5"/>
  <c r="Z228" i="5"/>
  <c r="Z227" i="5"/>
  <c r="Z226" i="5"/>
  <c r="Z225" i="5"/>
  <c r="Z224" i="5"/>
  <c r="D118" i="28" l="1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H100" i="23" l="1"/>
  <c r="F96" i="24"/>
  <c r="F95" i="24" l="1"/>
  <c r="E103" i="28" l="1"/>
  <c r="E102" i="28"/>
  <c r="E101" i="28"/>
  <c r="E100" i="28"/>
  <c r="E99" i="28"/>
  <c r="E98" i="28"/>
  <c r="E97" i="28"/>
  <c r="E96" i="28"/>
  <c r="E95" i="28"/>
  <c r="E94" i="28"/>
  <c r="E93" i="28"/>
  <c r="E92" i="28"/>
  <c r="AA220" i="5"/>
  <c r="AA219" i="5"/>
  <c r="AA218" i="5"/>
  <c r="AA217" i="5"/>
  <c r="AA216" i="5"/>
  <c r="AA215" i="5"/>
  <c r="AA214" i="5"/>
  <c r="AA213" i="5"/>
  <c r="AA212" i="5"/>
  <c r="AA211" i="5"/>
  <c r="AA210" i="5"/>
  <c r="AA209" i="5"/>
  <c r="H41" i="20" l="1"/>
  <c r="H27" i="20"/>
  <c r="H26" i="20"/>
  <c r="CV236" i="5"/>
  <c r="CI236" i="5"/>
  <c r="CG236" i="5"/>
  <c r="CB236" i="5"/>
  <c r="BY236" i="5"/>
  <c r="CB235" i="5"/>
  <c r="BY235" i="5"/>
  <c r="CB234" i="5"/>
  <c r="BY234" i="5"/>
  <c r="CB233" i="5"/>
  <c r="BY233" i="5"/>
  <c r="CB232" i="5"/>
  <c r="BY232" i="5"/>
  <c r="CB231" i="5"/>
  <c r="BY231" i="5"/>
  <c r="CB230" i="5"/>
  <c r="BY230" i="5"/>
  <c r="CB229" i="5"/>
  <c r="BY229" i="5"/>
  <c r="CB228" i="5"/>
  <c r="BY228" i="5"/>
  <c r="CB227" i="5"/>
  <c r="BY227" i="5"/>
  <c r="CB226" i="5"/>
  <c r="BY226" i="5"/>
  <c r="CB225" i="5"/>
  <c r="BY225" i="5"/>
  <c r="BY224" i="5"/>
  <c r="CB224" i="5"/>
  <c r="BV236" i="5"/>
  <c r="BQ236" i="5"/>
  <c r="BP236" i="5"/>
  <c r="BO236" i="5"/>
  <c r="BM236" i="5"/>
  <c r="BQ235" i="5"/>
  <c r="BP235" i="5"/>
  <c r="BO235" i="5"/>
  <c r="BM235" i="5"/>
  <c r="BQ234" i="5"/>
  <c r="BP234" i="5"/>
  <c r="BO234" i="5"/>
  <c r="BM234" i="5"/>
  <c r="BQ233" i="5"/>
  <c r="BP233" i="5"/>
  <c r="BO233" i="5"/>
  <c r="BM233" i="5"/>
  <c r="BQ232" i="5"/>
  <c r="BP232" i="5"/>
  <c r="BO232" i="5"/>
  <c r="BM232" i="5"/>
  <c r="BQ231" i="5"/>
  <c r="BP231" i="5"/>
  <c r="BO231" i="5"/>
  <c r="BM231" i="5"/>
  <c r="BQ230" i="5"/>
  <c r="BP230" i="5"/>
  <c r="BO230" i="5"/>
  <c r="BM230" i="5"/>
  <c r="BQ229" i="5"/>
  <c r="BP229" i="5"/>
  <c r="BO229" i="5"/>
  <c r="BM229" i="5"/>
  <c r="BQ228" i="5"/>
  <c r="BP228" i="5"/>
  <c r="BO228" i="5"/>
  <c r="BM228" i="5"/>
  <c r="BQ227" i="5"/>
  <c r="BP227" i="5"/>
  <c r="BO227" i="5"/>
  <c r="BM227" i="5"/>
  <c r="BQ226" i="5"/>
  <c r="BP226" i="5"/>
  <c r="BO226" i="5"/>
  <c r="BM226" i="5"/>
  <c r="BQ225" i="5"/>
  <c r="BP225" i="5"/>
  <c r="BO225" i="5"/>
  <c r="BM225" i="5"/>
  <c r="BM224" i="5"/>
  <c r="BQ224" i="5"/>
  <c r="BP224" i="5"/>
  <c r="BO224" i="5"/>
  <c r="BK236" i="5"/>
  <c r="BJ236" i="5"/>
  <c r="BH236" i="5"/>
  <c r="BG236" i="5"/>
  <c r="BF236" i="5"/>
  <c r="BE236" i="5"/>
  <c r="BD236" i="5"/>
  <c r="BC236" i="5"/>
  <c r="BA236" i="5"/>
  <c r="BG235" i="5"/>
  <c r="BF235" i="5"/>
  <c r="BE235" i="5"/>
  <c r="BD235" i="5"/>
  <c r="BC235" i="5"/>
  <c r="BH235" i="5" s="1"/>
  <c r="BK235" i="5" s="1"/>
  <c r="BA235" i="5"/>
  <c r="BG234" i="5"/>
  <c r="BF234" i="5"/>
  <c r="BE234" i="5"/>
  <c r="BD234" i="5"/>
  <c r="BC234" i="5"/>
  <c r="BH234" i="5" s="1"/>
  <c r="BK234" i="5" s="1"/>
  <c r="BA234" i="5"/>
  <c r="BG233" i="5"/>
  <c r="BF233" i="5"/>
  <c r="BE233" i="5"/>
  <c r="BD233" i="5"/>
  <c r="BC233" i="5"/>
  <c r="BH233" i="5" s="1"/>
  <c r="BK233" i="5" s="1"/>
  <c r="BA233" i="5"/>
  <c r="BG232" i="5"/>
  <c r="BF232" i="5"/>
  <c r="BE232" i="5"/>
  <c r="BD232" i="5"/>
  <c r="BC232" i="5"/>
  <c r="BH232" i="5" s="1"/>
  <c r="BK232" i="5" s="1"/>
  <c r="BA232" i="5"/>
  <c r="BG231" i="5"/>
  <c r="BF231" i="5"/>
  <c r="BE231" i="5"/>
  <c r="BD231" i="5"/>
  <c r="BC231" i="5"/>
  <c r="BH231" i="5" s="1"/>
  <c r="BK231" i="5" s="1"/>
  <c r="BA231" i="5"/>
  <c r="BG230" i="5"/>
  <c r="BF230" i="5"/>
  <c r="BE230" i="5"/>
  <c r="BD230" i="5"/>
  <c r="BC230" i="5"/>
  <c r="BH230" i="5" s="1"/>
  <c r="BK230" i="5" s="1"/>
  <c r="BA230" i="5"/>
  <c r="BG229" i="5"/>
  <c r="BF229" i="5"/>
  <c r="BE229" i="5"/>
  <c r="BD229" i="5"/>
  <c r="BC229" i="5"/>
  <c r="BH229" i="5" s="1"/>
  <c r="BK229" i="5" s="1"/>
  <c r="BA229" i="5"/>
  <c r="BG228" i="5"/>
  <c r="BF228" i="5"/>
  <c r="BE228" i="5"/>
  <c r="BD228" i="5"/>
  <c r="BC228" i="5"/>
  <c r="BH228" i="5" s="1"/>
  <c r="BK228" i="5" s="1"/>
  <c r="BA228" i="5"/>
  <c r="BG227" i="5"/>
  <c r="BF227" i="5"/>
  <c r="BE227" i="5"/>
  <c r="BD227" i="5"/>
  <c r="BC227" i="5"/>
  <c r="BH227" i="5" s="1"/>
  <c r="BK227" i="5" s="1"/>
  <c r="BA227" i="5"/>
  <c r="BG226" i="5"/>
  <c r="BF226" i="5"/>
  <c r="BE226" i="5"/>
  <c r="BD226" i="5"/>
  <c r="BC226" i="5"/>
  <c r="BH226" i="5" s="1"/>
  <c r="BK226" i="5" s="1"/>
  <c r="BA226" i="5"/>
  <c r="BG225" i="5"/>
  <c r="BF225" i="5"/>
  <c r="BE225" i="5"/>
  <c r="BD225" i="5"/>
  <c r="BC225" i="5"/>
  <c r="BH225" i="5" s="1"/>
  <c r="BK225" i="5" s="1"/>
  <c r="BA225" i="5"/>
  <c r="BG224" i="5"/>
  <c r="BF224" i="5"/>
  <c r="BA224" i="5"/>
  <c r="BE224" i="5"/>
  <c r="BD224" i="5"/>
  <c r="BC224" i="5"/>
  <c r="D103" i="28"/>
  <c r="O183" i="29"/>
  <c r="N181" i="29"/>
  <c r="M181" i="29"/>
  <c r="L181" i="29"/>
  <c r="K181" i="29"/>
  <c r="J181" i="29"/>
  <c r="I181" i="29"/>
  <c r="H181" i="29"/>
  <c r="G181" i="29"/>
  <c r="F181" i="29"/>
  <c r="E181" i="29"/>
  <c r="D181" i="29"/>
  <c r="C181" i="29"/>
  <c r="O180" i="29"/>
  <c r="O179" i="29"/>
  <c r="O178" i="29"/>
  <c r="O177" i="29"/>
  <c r="O176" i="29"/>
  <c r="O175" i="29"/>
  <c r="O174" i="29"/>
  <c r="O173" i="29"/>
  <c r="N171" i="29"/>
  <c r="M171" i="29"/>
  <c r="L171" i="29"/>
  <c r="K171" i="29"/>
  <c r="J171" i="29"/>
  <c r="I171" i="29"/>
  <c r="H171" i="29"/>
  <c r="G171" i="29"/>
  <c r="G185" i="29" s="1"/>
  <c r="F171" i="29"/>
  <c r="E171" i="29"/>
  <c r="D171" i="29"/>
  <c r="C171" i="29"/>
  <c r="O170" i="29"/>
  <c r="O169" i="29"/>
  <c r="O168" i="29"/>
  <c r="O167" i="29"/>
  <c r="O166" i="29"/>
  <c r="O165" i="29"/>
  <c r="O164" i="29"/>
  <c r="O163" i="29"/>
  <c r="W235" i="5"/>
  <c r="V235" i="5"/>
  <c r="U235" i="5"/>
  <c r="X235" i="5" s="1"/>
  <c r="W234" i="5"/>
  <c r="V234" i="5"/>
  <c r="U234" i="5"/>
  <c r="X234" i="5" s="1"/>
  <c r="W233" i="5"/>
  <c r="V233" i="5"/>
  <c r="U233" i="5"/>
  <c r="X233" i="5" s="1"/>
  <c r="W232" i="5"/>
  <c r="V232" i="5"/>
  <c r="U232" i="5"/>
  <c r="X232" i="5" s="1"/>
  <c r="W231" i="5"/>
  <c r="V231" i="5"/>
  <c r="U231" i="5"/>
  <c r="X231" i="5" s="1"/>
  <c r="W230" i="5"/>
  <c r="V230" i="5"/>
  <c r="U230" i="5"/>
  <c r="X230" i="5" s="1"/>
  <c r="W229" i="5"/>
  <c r="V229" i="5"/>
  <c r="U229" i="5"/>
  <c r="X229" i="5" s="1"/>
  <c r="W228" i="5"/>
  <c r="V228" i="5"/>
  <c r="U228" i="5"/>
  <c r="X228" i="5" s="1"/>
  <c r="W227" i="5"/>
  <c r="V227" i="5"/>
  <c r="U227" i="5"/>
  <c r="X227" i="5" s="1"/>
  <c r="W226" i="5"/>
  <c r="V226" i="5"/>
  <c r="U226" i="5"/>
  <c r="X226" i="5" s="1"/>
  <c r="W225" i="5"/>
  <c r="V225" i="5"/>
  <c r="U225" i="5"/>
  <c r="X225" i="5" s="1"/>
  <c r="W224" i="5"/>
  <c r="V224" i="5"/>
  <c r="U224" i="5"/>
  <c r="H13" i="20"/>
  <c r="E185" i="29" l="1"/>
  <c r="M185" i="29"/>
  <c r="D185" i="29"/>
  <c r="L185" i="29"/>
  <c r="F185" i="29"/>
  <c r="N185" i="29"/>
  <c r="Z236" i="5" s="1"/>
  <c r="BH224" i="5"/>
  <c r="BK224" i="5" s="1"/>
  <c r="H185" i="29"/>
  <c r="O181" i="29"/>
  <c r="I185" i="29"/>
  <c r="J185" i="29"/>
  <c r="C185" i="29"/>
  <c r="K185" i="29"/>
  <c r="O171" i="29"/>
  <c r="O185" i="29" s="1"/>
  <c r="H35" i="20" s="1"/>
  <c r="X224" i="5"/>
  <c r="F94" i="24" l="1"/>
  <c r="I137" i="11"/>
  <c r="BR210" i="5" l="1"/>
  <c r="BR209" i="5"/>
  <c r="BP220" i="5"/>
  <c r="BP219" i="5"/>
  <c r="BP218" i="5"/>
  <c r="BP217" i="5"/>
  <c r="BP216" i="5"/>
  <c r="BP215" i="5"/>
  <c r="BP214" i="5"/>
  <c r="BP213" i="5"/>
  <c r="BP212" i="5"/>
  <c r="BP211" i="5"/>
  <c r="BP210" i="5"/>
  <c r="BP209" i="5"/>
  <c r="BR205" i="5"/>
  <c r="BR204" i="5"/>
  <c r="BR203" i="5"/>
  <c r="BR202" i="5"/>
  <c r="BR201" i="5"/>
  <c r="BR200" i="5"/>
  <c r="BR199" i="5"/>
  <c r="BR198" i="5"/>
  <c r="BR197" i="5"/>
  <c r="BR196" i="5"/>
  <c r="BR195" i="5"/>
  <c r="BR194" i="5"/>
  <c r="BP205" i="5"/>
  <c r="BP204" i="5"/>
  <c r="BP203" i="5"/>
  <c r="BP202" i="5"/>
  <c r="BP201" i="5"/>
  <c r="BP200" i="5"/>
  <c r="BP199" i="5"/>
  <c r="BP198" i="5"/>
  <c r="BP197" i="5"/>
  <c r="BP196" i="5"/>
  <c r="BP195" i="5"/>
  <c r="BP194" i="5"/>
  <c r="BR190" i="5"/>
  <c r="BR189" i="5"/>
  <c r="BR188" i="5"/>
  <c r="BR187" i="5"/>
  <c r="BR186" i="5"/>
  <c r="BR185" i="5"/>
  <c r="BR184" i="5"/>
  <c r="BR183" i="5"/>
  <c r="BR182" i="5"/>
  <c r="BR181" i="5"/>
  <c r="BR180" i="5"/>
  <c r="BR179" i="5"/>
  <c r="BR175" i="5"/>
  <c r="BR174" i="5"/>
  <c r="BR173" i="5"/>
  <c r="BR172" i="5"/>
  <c r="BR171" i="5"/>
  <c r="BR170" i="5"/>
  <c r="BR169" i="5"/>
  <c r="BR168" i="5"/>
  <c r="BR167" i="5"/>
  <c r="BR166" i="5"/>
  <c r="BR165" i="5"/>
  <c r="BR164" i="5"/>
  <c r="BR160" i="5"/>
  <c r="BR159" i="5"/>
  <c r="BR158" i="5"/>
  <c r="BR157" i="5"/>
  <c r="BR156" i="5"/>
  <c r="BR155" i="5"/>
  <c r="BR154" i="5"/>
  <c r="BR153" i="5"/>
  <c r="BR152" i="5"/>
  <c r="BR151" i="5"/>
  <c r="BR150" i="5"/>
  <c r="BR149" i="5"/>
  <c r="BR145" i="5"/>
  <c r="BR144" i="5"/>
  <c r="BR143" i="5"/>
  <c r="BR142" i="5"/>
  <c r="BR141" i="5"/>
  <c r="BR140" i="5"/>
  <c r="BR139" i="5"/>
  <c r="BR138" i="5"/>
  <c r="BR137" i="5"/>
  <c r="BD220" i="5"/>
  <c r="BD219" i="5"/>
  <c r="BD218" i="5"/>
  <c r="BD217" i="5"/>
  <c r="BD216" i="5"/>
  <c r="BD215" i="5"/>
  <c r="BD214" i="5"/>
  <c r="BD213" i="5"/>
  <c r="BD212" i="5"/>
  <c r="BD211" i="5"/>
  <c r="BD210" i="5"/>
  <c r="BD209" i="5"/>
  <c r="BD205" i="5"/>
  <c r="BD204" i="5"/>
  <c r="BD203" i="5"/>
  <c r="BD202" i="5"/>
  <c r="BD201" i="5"/>
  <c r="BD200" i="5"/>
  <c r="BD199" i="5"/>
  <c r="BD198" i="5"/>
  <c r="BD197" i="5"/>
  <c r="BD196" i="5"/>
  <c r="BD195" i="5"/>
  <c r="BD194" i="5"/>
  <c r="BD190" i="5"/>
  <c r="BD189" i="5"/>
  <c r="BD188" i="5"/>
  <c r="BD187" i="5"/>
  <c r="BD186" i="5"/>
  <c r="BD185" i="5"/>
  <c r="BD184" i="5"/>
  <c r="BD183" i="5"/>
  <c r="BD182" i="5"/>
  <c r="BD181" i="5"/>
  <c r="BD180" i="5"/>
  <c r="BD179" i="5"/>
  <c r="BD175" i="5"/>
  <c r="BD174" i="5"/>
  <c r="BD173" i="5"/>
  <c r="BD172" i="5"/>
  <c r="BD171" i="5"/>
  <c r="BD170" i="5"/>
  <c r="BD169" i="5"/>
  <c r="BD168" i="5"/>
  <c r="BD167" i="5"/>
  <c r="BD166" i="5"/>
  <c r="BD165" i="5"/>
  <c r="BD164" i="5"/>
  <c r="BD160" i="5"/>
  <c r="BD159" i="5"/>
  <c r="BD158" i="5"/>
  <c r="BD157" i="5"/>
  <c r="BD156" i="5"/>
  <c r="BD155" i="5"/>
  <c r="BD154" i="5"/>
  <c r="BD153" i="5"/>
  <c r="BD152" i="5"/>
  <c r="BD151" i="5"/>
  <c r="BD150" i="5"/>
  <c r="BD149" i="5"/>
  <c r="BD145" i="5"/>
  <c r="BD144" i="5"/>
  <c r="BD143" i="5"/>
  <c r="BD142" i="5"/>
  <c r="BD141" i="5"/>
  <c r="BD140" i="5"/>
  <c r="BD139" i="5"/>
  <c r="BD138" i="5"/>
  <c r="BD137" i="5"/>
  <c r="BF220" i="5"/>
  <c r="BF219" i="5"/>
  <c r="BF218" i="5"/>
  <c r="BF217" i="5"/>
  <c r="BF216" i="5"/>
  <c r="BF210" i="5"/>
  <c r="BF209" i="5"/>
  <c r="BF205" i="5"/>
  <c r="BF204" i="5"/>
  <c r="BF203" i="5"/>
  <c r="BF202" i="5"/>
  <c r="BF201" i="5"/>
  <c r="BF200" i="5"/>
  <c r="BF199" i="5"/>
  <c r="BF198" i="5"/>
  <c r="BF197" i="5"/>
  <c r="BF196" i="5"/>
  <c r="BF195" i="5"/>
  <c r="BF194" i="5"/>
  <c r="BF190" i="5"/>
  <c r="BF189" i="5"/>
  <c r="BF188" i="5"/>
  <c r="BF187" i="5"/>
  <c r="BF186" i="5"/>
  <c r="BF185" i="5"/>
  <c r="BF184" i="5"/>
  <c r="BF183" i="5"/>
  <c r="BF182" i="5"/>
  <c r="BF181" i="5"/>
  <c r="BF180" i="5"/>
  <c r="BF179" i="5"/>
  <c r="BF175" i="5"/>
  <c r="BF174" i="5"/>
  <c r="BF173" i="5"/>
  <c r="BF172" i="5"/>
  <c r="BF171" i="5"/>
  <c r="BF170" i="5"/>
  <c r="BF169" i="5"/>
  <c r="BF168" i="5"/>
  <c r="BF167" i="5"/>
  <c r="BF166" i="5"/>
  <c r="BF165" i="5"/>
  <c r="BF164" i="5"/>
  <c r="BF160" i="5"/>
  <c r="BF159" i="5"/>
  <c r="BF158" i="5"/>
  <c r="BF157" i="5"/>
  <c r="BF156" i="5"/>
  <c r="BF155" i="5"/>
  <c r="BF154" i="5"/>
  <c r="BF153" i="5"/>
  <c r="BF152" i="5"/>
  <c r="BF151" i="5"/>
  <c r="BF150" i="5"/>
  <c r="BF149" i="5"/>
  <c r="BF145" i="5"/>
  <c r="BF144" i="5"/>
  <c r="BF143" i="5"/>
  <c r="BF142" i="5"/>
  <c r="BF141" i="5"/>
  <c r="BF140" i="5"/>
  <c r="BF139" i="5"/>
  <c r="BF138" i="5"/>
  <c r="BF137" i="5"/>
  <c r="V30" i="13"/>
  <c r="W30" i="13"/>
  <c r="V32" i="13"/>
  <c r="W32" i="13"/>
  <c r="W34" i="13" s="1"/>
  <c r="V34" i="13"/>
  <c r="F93" i="24"/>
  <c r="H97" i="23"/>
  <c r="H98" i="23" s="1"/>
  <c r="H99" i="23" s="1"/>
  <c r="H101" i="23" s="1"/>
  <c r="E138" i="11"/>
  <c r="E139" i="11" s="1"/>
  <c r="E140" i="11" s="1"/>
  <c r="G140" i="11"/>
  <c r="CR235" i="5" l="1"/>
  <c r="CQ235" i="5"/>
  <c r="CR234" i="5"/>
  <c r="CQ234" i="5"/>
  <c r="CR233" i="5"/>
  <c r="CQ233" i="5"/>
  <c r="CR232" i="5"/>
  <c r="CQ232" i="5"/>
  <c r="CR231" i="5"/>
  <c r="CQ231" i="5"/>
  <c r="CR230" i="5"/>
  <c r="CQ230" i="5"/>
  <c r="CR229" i="5"/>
  <c r="CQ229" i="5"/>
  <c r="CR228" i="5"/>
  <c r="CQ228" i="5"/>
  <c r="CR227" i="5"/>
  <c r="CQ227" i="5"/>
  <c r="CR226" i="5"/>
  <c r="CQ226" i="5"/>
  <c r="CR225" i="5"/>
  <c r="CQ225" i="5"/>
  <c r="CR224" i="5"/>
  <c r="CQ224" i="5"/>
  <c r="F102" i="23"/>
  <c r="I101" i="23"/>
  <c r="F101" i="23"/>
  <c r="Q71" i="30" l="1"/>
  <c r="CR236" i="5"/>
  <c r="CQ236" i="5"/>
  <c r="K101" i="23"/>
  <c r="H102" i="23" s="1"/>
  <c r="I102" i="23" s="1"/>
  <c r="K102" i="23" s="1"/>
  <c r="F92" i="24" l="1"/>
  <c r="G138" i="11"/>
  <c r="G139" i="11" s="1"/>
  <c r="F91" i="24"/>
  <c r="ED88" i="25" l="1"/>
  <c r="EE88" i="25" s="1"/>
  <c r="EF88" i="25" s="1"/>
  <c r="EG88" i="25" s="1"/>
  <c r="R38" i="13" l="1"/>
  <c r="AU205" i="5"/>
  <c r="AT205" i="5"/>
  <c r="L161" i="9" l="1"/>
  <c r="L160" i="9"/>
  <c r="L159" i="9"/>
  <c r="L158" i="9"/>
  <c r="L162" i="9" s="1"/>
  <c r="AB141" i="9" l="1"/>
  <c r="AB140" i="9"/>
  <c r="I129" i="29"/>
  <c r="I133" i="29" s="1"/>
  <c r="D84" i="28" s="1"/>
  <c r="D18" i="9"/>
  <c r="D17" i="9"/>
  <c r="M84" i="22"/>
  <c r="M85" i="22"/>
  <c r="G25" i="9"/>
  <c r="I14" i="11"/>
  <c r="I13" i="11"/>
  <c r="G26" i="9"/>
  <c r="G18" i="9"/>
  <c r="O157" i="29"/>
  <c r="O154" i="29"/>
  <c r="O153" i="29"/>
  <c r="O152" i="29"/>
  <c r="O151" i="29"/>
  <c r="O150" i="29"/>
  <c r="O149" i="29"/>
  <c r="O148" i="29"/>
  <c r="O147" i="29"/>
  <c r="CV221" i="5"/>
  <c r="CT221" i="5"/>
  <c r="CI221" i="5"/>
  <c r="CG221" i="5"/>
  <c r="BV221" i="5"/>
  <c r="BU221" i="5"/>
  <c r="BQ220" i="5"/>
  <c r="BM220" i="5"/>
  <c r="BQ219" i="5"/>
  <c r="BM219" i="5"/>
  <c r="BQ218" i="5"/>
  <c r="BM218" i="5"/>
  <c r="BQ217" i="5"/>
  <c r="BM217" i="5"/>
  <c r="BQ216" i="5"/>
  <c r="BM216" i="5"/>
  <c r="BQ215" i="5"/>
  <c r="BM215" i="5"/>
  <c r="BQ214" i="5"/>
  <c r="BM214" i="5"/>
  <c r="BQ213" i="5"/>
  <c r="BM213" i="5"/>
  <c r="BQ212" i="5"/>
  <c r="BM212" i="5"/>
  <c r="BQ211" i="5"/>
  <c r="BM211" i="5"/>
  <c r="BQ210" i="5"/>
  <c r="BM210" i="5"/>
  <c r="BM221" i="5" s="1"/>
  <c r="BM209" i="5"/>
  <c r="BQ209" i="5"/>
  <c r="BQ221" i="5" s="1"/>
  <c r="BJ221" i="5"/>
  <c r="BI221" i="5"/>
  <c r="BA220" i="5"/>
  <c r="BA219" i="5"/>
  <c r="BA218" i="5"/>
  <c r="BA217" i="5"/>
  <c r="BA216" i="5"/>
  <c r="BA215" i="5"/>
  <c r="BA214" i="5"/>
  <c r="BA213" i="5"/>
  <c r="BA212" i="5"/>
  <c r="BA211" i="5"/>
  <c r="BA210" i="5"/>
  <c r="BA209" i="5"/>
  <c r="BA221" i="5" s="1"/>
  <c r="D98" i="28"/>
  <c r="G155" i="29"/>
  <c r="F155" i="29"/>
  <c r="E155" i="29"/>
  <c r="D155" i="29"/>
  <c r="C155" i="29"/>
  <c r="C159" i="29" s="1"/>
  <c r="Z209" i="5" s="1"/>
  <c r="H145" i="29"/>
  <c r="G145" i="29"/>
  <c r="F145" i="29"/>
  <c r="E145" i="29"/>
  <c r="D145" i="29"/>
  <c r="C145" i="29"/>
  <c r="O144" i="29"/>
  <c r="O143" i="29"/>
  <c r="O142" i="29"/>
  <c r="O141" i="29"/>
  <c r="O140" i="29"/>
  <c r="O139" i="29"/>
  <c r="O138" i="29"/>
  <c r="O137" i="29"/>
  <c r="Z218" i="5"/>
  <c r="D101" i="28"/>
  <c r="F159" i="29"/>
  <c r="D95" i="28" s="1"/>
  <c r="Z215" i="5"/>
  <c r="D99" i="28"/>
  <c r="Z216" i="5"/>
  <c r="M83" i="22"/>
  <c r="AB139" i="9"/>
  <c r="M82" i="22"/>
  <c r="CG196" i="5"/>
  <c r="H70" i="23"/>
  <c r="H67" i="23"/>
  <c r="H63" i="23"/>
  <c r="H56" i="23"/>
  <c r="H52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D43" i="23"/>
  <c r="D40" i="23"/>
  <c r="D38" i="23"/>
  <c r="D32" i="23"/>
  <c r="D28" i="23"/>
  <c r="D27" i="23"/>
  <c r="D26" i="23"/>
  <c r="D24" i="23"/>
  <c r="D23" i="23"/>
  <c r="D22" i="23"/>
  <c r="D21" i="23"/>
  <c r="D20" i="23"/>
  <c r="D19" i="23"/>
  <c r="D18" i="23"/>
  <c r="D15" i="23"/>
  <c r="D14" i="23"/>
  <c r="D13" i="23"/>
  <c r="D12" i="23"/>
  <c r="D11" i="23"/>
  <c r="D10" i="23"/>
  <c r="D9" i="23"/>
  <c r="D8" i="23"/>
  <c r="D7" i="23"/>
  <c r="M97" i="22"/>
  <c r="M98" i="22" s="1"/>
  <c r="M99" i="22" s="1"/>
  <c r="M100" i="22" s="1"/>
  <c r="M101" i="22" s="1"/>
  <c r="M102" i="22" s="1"/>
  <c r="M103" i="22" s="1"/>
  <c r="M104" i="22" s="1"/>
  <c r="M105" i="22" s="1"/>
  <c r="M106" i="22" s="1"/>
  <c r="M107" i="22" s="1"/>
  <c r="M108" i="22" s="1"/>
  <c r="M109" i="22" s="1"/>
  <c r="M110" i="22" s="1"/>
  <c r="M111" i="22" s="1"/>
  <c r="M112" i="22" s="1"/>
  <c r="M113" i="22" s="1"/>
  <c r="M114" i="22" s="1"/>
  <c r="M115" i="22" s="1"/>
  <c r="M116" i="22" s="1"/>
  <c r="M117" i="22" s="1"/>
  <c r="M118" i="22" s="1"/>
  <c r="M119" i="22" s="1"/>
  <c r="M120" i="22" s="1"/>
  <c r="M81" i="22"/>
  <c r="M80" i="22"/>
  <c r="M79" i="22"/>
  <c r="M78" i="22"/>
  <c r="M77" i="22"/>
  <c r="M76" i="22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E24" i="22"/>
  <c r="E26" i="22"/>
  <c r="E23" i="22"/>
  <c r="E12" i="22"/>
  <c r="E10" i="22"/>
  <c r="E8" i="22"/>
  <c r="D40" i="22"/>
  <c r="D38" i="22"/>
  <c r="D32" i="22"/>
  <c r="D28" i="22"/>
  <c r="D27" i="22"/>
  <c r="D24" i="22"/>
  <c r="D23" i="22"/>
  <c r="D21" i="22"/>
  <c r="D20" i="22"/>
  <c r="D19" i="22"/>
  <c r="D18" i="22"/>
  <c r="D15" i="22"/>
  <c r="D14" i="22"/>
  <c r="D13" i="22"/>
  <c r="D12" i="22"/>
  <c r="D11" i="22"/>
  <c r="D10" i="22"/>
  <c r="D9" i="22"/>
  <c r="D8" i="22"/>
  <c r="D7" i="22"/>
  <c r="CG195" i="5"/>
  <c r="J93" i="15"/>
  <c r="J92" i="15"/>
  <c r="J91" i="15"/>
  <c r="J90" i="15"/>
  <c r="J89" i="15"/>
  <c r="J88" i="15"/>
  <c r="J87" i="15"/>
  <c r="J86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85" i="15"/>
  <c r="J35" i="15"/>
  <c r="J34" i="15"/>
  <c r="E34" i="15"/>
  <c r="CG194" i="5"/>
  <c r="I51" i="16"/>
  <c r="I50" i="16"/>
  <c r="I49" i="16"/>
  <c r="I48" i="16"/>
  <c r="I47" i="16"/>
  <c r="I46" i="16"/>
  <c r="I45" i="16"/>
  <c r="I44" i="16"/>
  <c r="I43" i="16"/>
  <c r="D31" i="16"/>
  <c r="I31" i="16"/>
  <c r="I30" i="16"/>
  <c r="I28" i="16"/>
  <c r="I27" i="16"/>
  <c r="I26" i="16"/>
  <c r="I25" i="16"/>
  <c r="I24" i="16"/>
  <c r="I23" i="16"/>
  <c r="I22" i="16"/>
  <c r="I21" i="16"/>
  <c r="I20" i="16"/>
  <c r="I18" i="16"/>
  <c r="I17" i="16"/>
  <c r="I16" i="16"/>
  <c r="I15" i="16"/>
  <c r="I14" i="16"/>
  <c r="I13" i="16"/>
  <c r="I9" i="16"/>
  <c r="D30" i="16"/>
  <c r="D28" i="16"/>
  <c r="D27" i="16"/>
  <c r="D25" i="16"/>
  <c r="D24" i="16"/>
  <c r="D23" i="16"/>
  <c r="D22" i="16"/>
  <c r="D21" i="16"/>
  <c r="D20" i="16"/>
  <c r="D19" i="16"/>
  <c r="D18" i="16"/>
  <c r="D17" i="16"/>
  <c r="D16" i="16"/>
  <c r="D14" i="16"/>
  <c r="D12" i="16"/>
  <c r="D9" i="16"/>
  <c r="J122" i="15"/>
  <c r="J123" i="15" s="1"/>
  <c r="J124" i="15" s="1"/>
  <c r="J125" i="15" s="1"/>
  <c r="J126" i="15" s="1"/>
  <c r="J127" i="15" s="1"/>
  <c r="J128" i="15" s="1"/>
  <c r="J129" i="15" s="1"/>
  <c r="J130" i="15" s="1"/>
  <c r="J131" i="15" s="1"/>
  <c r="J132" i="15" s="1"/>
  <c r="J133" i="15" s="1"/>
  <c r="J134" i="15" s="1"/>
  <c r="J135" i="15" s="1"/>
  <c r="J136" i="15" s="1"/>
  <c r="J137" i="15" s="1"/>
  <c r="J138" i="15" s="1"/>
  <c r="J33" i="15"/>
  <c r="J32" i="15"/>
  <c r="J30" i="15"/>
  <c r="J29" i="15"/>
  <c r="J28" i="15"/>
  <c r="J27" i="15"/>
  <c r="J26" i="15"/>
  <c r="J25" i="15"/>
  <c r="J24" i="15"/>
  <c r="J23" i="15"/>
  <c r="J22" i="15"/>
  <c r="J20" i="15"/>
  <c r="J19" i="15"/>
  <c r="J18" i="15"/>
  <c r="J17" i="15"/>
  <c r="J16" i="15"/>
  <c r="J15" i="15"/>
  <c r="J11" i="15"/>
  <c r="E33" i="15"/>
  <c r="E32" i="15"/>
  <c r="E30" i="15"/>
  <c r="E29" i="15"/>
  <c r="E27" i="15"/>
  <c r="E26" i="15"/>
  <c r="E25" i="15"/>
  <c r="E24" i="15"/>
  <c r="E23" i="15"/>
  <c r="E22" i="15"/>
  <c r="E21" i="15"/>
  <c r="E20" i="15"/>
  <c r="E19" i="15"/>
  <c r="E18" i="15"/>
  <c r="E16" i="15"/>
  <c r="E14" i="15"/>
  <c r="E11" i="15"/>
  <c r="D14" i="9"/>
  <c r="CG189" i="5"/>
  <c r="AX206" i="5"/>
  <c r="AW206" i="5"/>
  <c r="AP206" i="5"/>
  <c r="AO205" i="5"/>
  <c r="AO204" i="5"/>
  <c r="AO203" i="5"/>
  <c r="AO202" i="5"/>
  <c r="AO201" i="5"/>
  <c r="AO200" i="5"/>
  <c r="AO199" i="5"/>
  <c r="AO198" i="5"/>
  <c r="AO197" i="5"/>
  <c r="AO196" i="5"/>
  <c r="AO195" i="5"/>
  <c r="AO194" i="5"/>
  <c r="CT188" i="5"/>
  <c r="CG188" i="5"/>
  <c r="J8" i="15"/>
  <c r="J6" i="15"/>
  <c r="J5" i="15"/>
  <c r="I26" i="11"/>
  <c r="I25" i="11"/>
  <c r="I24" i="11"/>
  <c r="I23" i="11"/>
  <c r="I22" i="11"/>
  <c r="I21" i="11"/>
  <c r="I20" i="11"/>
  <c r="I19" i="11"/>
  <c r="I18" i="11"/>
  <c r="I17" i="11"/>
  <c r="I16" i="11"/>
  <c r="I15" i="11"/>
  <c r="G38" i="9"/>
  <c r="G37" i="9"/>
  <c r="G36" i="9"/>
  <c r="G35" i="9"/>
  <c r="G34" i="9"/>
  <c r="G33" i="9"/>
  <c r="G32" i="9"/>
  <c r="G31" i="9"/>
  <c r="G30" i="9"/>
  <c r="G29" i="9"/>
  <c r="G28" i="9"/>
  <c r="G27" i="9"/>
  <c r="CT187" i="5"/>
  <c r="CG187" i="5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CT186" i="5"/>
  <c r="CG186" i="5"/>
  <c r="I86" i="16"/>
  <c r="I79" i="16"/>
  <c r="I75" i="16"/>
  <c r="CT185" i="5"/>
  <c r="CG185" i="5"/>
  <c r="O131" i="29"/>
  <c r="O128" i="29"/>
  <c r="O127" i="29"/>
  <c r="O126" i="29"/>
  <c r="O125" i="29"/>
  <c r="O124" i="29"/>
  <c r="O123" i="29"/>
  <c r="O122" i="29"/>
  <c r="O121" i="29"/>
  <c r="CT184" i="5"/>
  <c r="CG184" i="5"/>
  <c r="CT183" i="5"/>
  <c r="CG183" i="5"/>
  <c r="O98" i="29"/>
  <c r="O99" i="29"/>
  <c r="CV206" i="5"/>
  <c r="CG206" i="5"/>
  <c r="CI206" i="5"/>
  <c r="BV206" i="5"/>
  <c r="BQ205" i="5"/>
  <c r="BM205" i="5"/>
  <c r="BQ204" i="5"/>
  <c r="BM204" i="5"/>
  <c r="BQ203" i="5"/>
  <c r="BM203" i="5"/>
  <c r="BQ202" i="5"/>
  <c r="BM202" i="5"/>
  <c r="BQ201" i="5"/>
  <c r="BM201" i="5"/>
  <c r="BQ200" i="5"/>
  <c r="BM200" i="5"/>
  <c r="BQ199" i="5"/>
  <c r="BM199" i="5"/>
  <c r="BQ198" i="5"/>
  <c r="BM198" i="5"/>
  <c r="BQ197" i="5"/>
  <c r="BM197" i="5"/>
  <c r="BQ196" i="5"/>
  <c r="BQ206" i="5" s="1"/>
  <c r="BM196" i="5"/>
  <c r="BQ195" i="5"/>
  <c r="BM195" i="5"/>
  <c r="BM194" i="5"/>
  <c r="BM206" i="5" s="1"/>
  <c r="BQ194" i="5"/>
  <c r="BJ206" i="5"/>
  <c r="BB206" i="5"/>
  <c r="BA205" i="5"/>
  <c r="BA204" i="5"/>
  <c r="BA203" i="5"/>
  <c r="BA202" i="5"/>
  <c r="BA201" i="5"/>
  <c r="BA200" i="5"/>
  <c r="BA199" i="5"/>
  <c r="BA198" i="5"/>
  <c r="BA197" i="5"/>
  <c r="BA196" i="5"/>
  <c r="BA195" i="5"/>
  <c r="BA194" i="5"/>
  <c r="BA206" i="5" s="1"/>
  <c r="BA179" i="5"/>
  <c r="N129" i="29"/>
  <c r="M129" i="29"/>
  <c r="L129" i="29"/>
  <c r="K129" i="29"/>
  <c r="J129" i="29"/>
  <c r="H129" i="29"/>
  <c r="G129" i="29"/>
  <c r="G133" i="29" s="1"/>
  <c r="F129" i="29"/>
  <c r="E129" i="29"/>
  <c r="D129" i="29"/>
  <c r="C129" i="29"/>
  <c r="N119" i="29"/>
  <c r="M119" i="29"/>
  <c r="M133" i="29" s="1"/>
  <c r="L119" i="29"/>
  <c r="K119" i="29"/>
  <c r="K133" i="29" s="1"/>
  <c r="D86" i="28" s="1"/>
  <c r="J119" i="29"/>
  <c r="I119" i="29"/>
  <c r="H119" i="29"/>
  <c r="G119" i="29"/>
  <c r="F119" i="29"/>
  <c r="E119" i="29"/>
  <c r="D119" i="29"/>
  <c r="C119" i="29"/>
  <c r="O118" i="29"/>
  <c r="O117" i="29"/>
  <c r="O116" i="29"/>
  <c r="O115" i="29"/>
  <c r="O114" i="29"/>
  <c r="O113" i="29"/>
  <c r="O112" i="29"/>
  <c r="O111" i="29"/>
  <c r="H133" i="29"/>
  <c r="D133" i="29"/>
  <c r="D79" i="28" s="1"/>
  <c r="F133" i="29"/>
  <c r="D81" i="28" s="1"/>
  <c r="J133" i="29"/>
  <c r="N133" i="29"/>
  <c r="Z205" i="5" s="1"/>
  <c r="E133" i="29"/>
  <c r="CT182" i="5"/>
  <c r="CG182" i="5"/>
  <c r="Z201" i="5"/>
  <c r="D85" i="28"/>
  <c r="Z197" i="5"/>
  <c r="Z195" i="5"/>
  <c r="CT181" i="5"/>
  <c r="CG181" i="5"/>
  <c r="CT180" i="5"/>
  <c r="CG180" i="5"/>
  <c r="J68" i="27"/>
  <c r="C103" i="29"/>
  <c r="C107" i="29" s="1"/>
  <c r="Z179" i="5" s="1"/>
  <c r="AB179" i="5" s="1"/>
  <c r="O92" i="29"/>
  <c r="Q236" i="30"/>
  <c r="CL203" i="5"/>
  <c r="S163" i="30"/>
  <c r="S159" i="30"/>
  <c r="S155" i="30"/>
  <c r="S152" i="30"/>
  <c r="S151" i="30"/>
  <c r="S148" i="30"/>
  <c r="S147" i="30"/>
  <c r="S143" i="30"/>
  <c r="S139" i="30"/>
  <c r="S136" i="30"/>
  <c r="S135" i="30"/>
  <c r="S132" i="30"/>
  <c r="S131" i="30"/>
  <c r="S127" i="30"/>
  <c r="S123" i="30"/>
  <c r="S120" i="30"/>
  <c r="S119" i="30"/>
  <c r="S116" i="30"/>
  <c r="S115" i="30"/>
  <c r="S111" i="30"/>
  <c r="S107" i="30"/>
  <c r="S104" i="30"/>
  <c r="S103" i="30"/>
  <c r="S100" i="30"/>
  <c r="S99" i="30"/>
  <c r="S95" i="30"/>
  <c r="S91" i="30"/>
  <c r="CN232" i="5" s="1"/>
  <c r="S88" i="30"/>
  <c r="CN229" i="5" s="1"/>
  <c r="S87" i="30"/>
  <c r="CN228" i="5" s="1"/>
  <c r="S84" i="30"/>
  <c r="CN225" i="5" s="1"/>
  <c r="S83" i="30"/>
  <c r="CN224" i="5" s="1"/>
  <c r="S79" i="30"/>
  <c r="S75" i="30"/>
  <c r="CN213" i="5" s="1"/>
  <c r="S63" i="30"/>
  <c r="U28" i="30"/>
  <c r="E11" i="30"/>
  <c r="E9" i="30"/>
  <c r="S98" i="30"/>
  <c r="S122" i="30"/>
  <c r="S162" i="30"/>
  <c r="S76" i="30"/>
  <c r="S80" i="30"/>
  <c r="CN218" i="5" s="1"/>
  <c r="S92" i="30"/>
  <c r="CN233" i="5" s="1"/>
  <c r="S96" i="30"/>
  <c r="S108" i="30"/>
  <c r="S112" i="30"/>
  <c r="S124" i="30"/>
  <c r="S128" i="30"/>
  <c r="S140" i="30"/>
  <c r="S144" i="30"/>
  <c r="S156" i="30"/>
  <c r="S160" i="30"/>
  <c r="S129" i="30"/>
  <c r="Q121" i="30"/>
  <c r="CT175" i="5"/>
  <c r="CG175" i="5"/>
  <c r="CG174" i="5"/>
  <c r="CT174" i="5"/>
  <c r="CG173" i="5"/>
  <c r="DB180" i="5"/>
  <c r="DB184" i="5"/>
  <c r="DB185" i="5" s="1"/>
  <c r="DB186" i="5" s="1"/>
  <c r="DB187" i="5" s="1"/>
  <c r="DB189" i="5"/>
  <c r="DB195" i="5"/>
  <c r="DB200" i="5"/>
  <c r="DB201" i="5"/>
  <c r="DB202" i="5" s="1"/>
  <c r="DB214" i="5"/>
  <c r="DB215" i="5" s="1"/>
  <c r="DB216" i="5" s="1"/>
  <c r="DB217" i="5" s="1"/>
  <c r="DB218" i="5" s="1"/>
  <c r="DB219" i="5" s="1"/>
  <c r="DB220" i="5" s="1"/>
  <c r="DB224" i="5" s="1"/>
  <c r="DB225" i="5" s="1"/>
  <c r="DB226" i="5" s="1"/>
  <c r="DB227" i="5" s="1"/>
  <c r="DB228" i="5" s="1"/>
  <c r="DB229" i="5" s="1"/>
  <c r="DB230" i="5" s="1"/>
  <c r="DB231" i="5" s="1"/>
  <c r="DB232" i="5" s="1"/>
  <c r="DB233" i="5" s="1"/>
  <c r="DB234" i="5" s="1"/>
  <c r="DB235" i="5" s="1"/>
  <c r="CT172" i="5"/>
  <c r="CG172" i="5"/>
  <c r="CG171" i="5"/>
  <c r="CT171" i="5"/>
  <c r="CT170" i="5"/>
  <c r="CG170" i="5"/>
  <c r="O105" i="29"/>
  <c r="O102" i="29"/>
  <c r="O101" i="29"/>
  <c r="O100" i="29"/>
  <c r="O97" i="29"/>
  <c r="O96" i="29"/>
  <c r="O95" i="29"/>
  <c r="O91" i="29"/>
  <c r="O90" i="29"/>
  <c r="O89" i="29"/>
  <c r="O88" i="29"/>
  <c r="O87" i="29"/>
  <c r="O86" i="29"/>
  <c r="O85" i="29"/>
  <c r="N103" i="29"/>
  <c r="N107" i="29" s="1"/>
  <c r="Z190" i="5" s="1"/>
  <c r="AB190" i="5" s="1"/>
  <c r="M103" i="29"/>
  <c r="L103" i="29"/>
  <c r="L107" i="29" s="1"/>
  <c r="K103" i="29"/>
  <c r="J103" i="29"/>
  <c r="I103" i="29"/>
  <c r="H103" i="29"/>
  <c r="G103" i="29"/>
  <c r="F103" i="29"/>
  <c r="E103" i="29"/>
  <c r="D103" i="29"/>
  <c r="D107" i="29" s="1"/>
  <c r="N93" i="29"/>
  <c r="M93" i="29"/>
  <c r="M107" i="29" s="1"/>
  <c r="L93" i="29"/>
  <c r="K93" i="29"/>
  <c r="J93" i="29"/>
  <c r="I93" i="29"/>
  <c r="H93" i="29"/>
  <c r="H107" i="29"/>
  <c r="D69" i="28" s="1"/>
  <c r="G93" i="29"/>
  <c r="F93" i="29"/>
  <c r="E93" i="29"/>
  <c r="E107" i="29" s="1"/>
  <c r="D93" i="29"/>
  <c r="C93" i="29"/>
  <c r="K107" i="29"/>
  <c r="D72" i="28" s="1"/>
  <c r="G107" i="29"/>
  <c r="Z183" i="5" s="1"/>
  <c r="J107" i="29"/>
  <c r="CT169" i="5"/>
  <c r="CG169" i="5"/>
  <c r="EA111" i="25"/>
  <c r="EA110" i="25"/>
  <c r="EA109" i="25"/>
  <c r="EA108" i="25"/>
  <c r="EA107" i="25"/>
  <c r="EA106" i="25"/>
  <c r="EA105" i="25"/>
  <c r="EA104" i="25"/>
  <c r="EA103" i="25"/>
  <c r="EA102" i="25"/>
  <c r="EA101" i="25"/>
  <c r="EA100" i="25"/>
  <c r="EA99" i="25"/>
  <c r="EA98" i="25"/>
  <c r="EA97" i="25"/>
  <c r="EA96" i="25"/>
  <c r="EA95" i="25"/>
  <c r="EA94" i="25"/>
  <c r="EA93" i="25"/>
  <c r="EA92" i="25"/>
  <c r="EA91" i="25"/>
  <c r="EA90" i="25"/>
  <c r="EA89" i="25"/>
  <c r="EA88" i="25"/>
  <c r="EA87" i="25"/>
  <c r="EA86" i="25"/>
  <c r="EA85" i="25"/>
  <c r="EA84" i="25"/>
  <c r="EA83" i="25"/>
  <c r="EA82" i="25"/>
  <c r="EA81" i="25"/>
  <c r="EA80" i="25"/>
  <c r="EA79" i="25"/>
  <c r="EA78" i="25"/>
  <c r="EA77" i="25"/>
  <c r="EA76" i="25"/>
  <c r="EA75" i="25"/>
  <c r="EA74" i="25"/>
  <c r="EA73" i="25"/>
  <c r="EA72" i="25"/>
  <c r="CG168" i="5"/>
  <c r="CT168" i="5"/>
  <c r="K59" i="25"/>
  <c r="BP118" i="25" s="1"/>
  <c r="DY64" i="25"/>
  <c r="BP110" i="25"/>
  <c r="BP102" i="25"/>
  <c r="BP94" i="25"/>
  <c r="BP78" i="25"/>
  <c r="BP70" i="25"/>
  <c r="BP62" i="25"/>
  <c r="DY63" i="25"/>
  <c r="BP117" i="25"/>
  <c r="BP109" i="25"/>
  <c r="BP93" i="25"/>
  <c r="BP85" i="25"/>
  <c r="BP77" i="25"/>
  <c r="BP61" i="25"/>
  <c r="DY70" i="25"/>
  <c r="DY62" i="25"/>
  <c r="BP108" i="25"/>
  <c r="BP100" i="25"/>
  <c r="BP92" i="25"/>
  <c r="BP76" i="25"/>
  <c r="BP68" i="25"/>
  <c r="BP60" i="25"/>
  <c r="DY69" i="25"/>
  <c r="DY61" i="25"/>
  <c r="BP115" i="25"/>
  <c r="BP99" i="25"/>
  <c r="BP91" i="25"/>
  <c r="BP83" i="25"/>
  <c r="BP67" i="25"/>
  <c r="BP59" i="25"/>
  <c r="DY65" i="25"/>
  <c r="BP71" i="25"/>
  <c r="DY68" i="25"/>
  <c r="DY60" i="25"/>
  <c r="BP106" i="25"/>
  <c r="BP98" i="25"/>
  <c r="BP90" i="25"/>
  <c r="BP74" i="25"/>
  <c r="BP66" i="25"/>
  <c r="BP87" i="25"/>
  <c r="DY59" i="25"/>
  <c r="BP113" i="25"/>
  <c r="BP105" i="25"/>
  <c r="BP89" i="25"/>
  <c r="BP81" i="25"/>
  <c r="BP73" i="25"/>
  <c r="DY66" i="25"/>
  <c r="BP112" i="25"/>
  <c r="BP104" i="25"/>
  <c r="BP88" i="25"/>
  <c r="BP80" i="25"/>
  <c r="BP72" i="25"/>
  <c r="BP111" i="25"/>
  <c r="BP79" i="25"/>
  <c r="BM185" i="5"/>
  <c r="BM186" i="5"/>
  <c r="BM187" i="5"/>
  <c r="BM188" i="5"/>
  <c r="BM189" i="5"/>
  <c r="BM190" i="5"/>
  <c r="R185" i="5"/>
  <c r="R186" i="5"/>
  <c r="R187" i="5"/>
  <c r="R188" i="5"/>
  <c r="R189" i="5"/>
  <c r="R190" i="5"/>
  <c r="Q185" i="5"/>
  <c r="Q186" i="5"/>
  <c r="Q187" i="5"/>
  <c r="Q188" i="5"/>
  <c r="Q189" i="5"/>
  <c r="Q190" i="5"/>
  <c r="P185" i="5"/>
  <c r="P186" i="5"/>
  <c r="P187" i="5"/>
  <c r="S187" i="5" s="1"/>
  <c r="P188" i="5"/>
  <c r="P189" i="5"/>
  <c r="S189" i="5" s="1"/>
  <c r="BP189" i="5" s="1"/>
  <c r="P190" i="5"/>
  <c r="CT191" i="5"/>
  <c r="CI191" i="5"/>
  <c r="CG191" i="5"/>
  <c r="BV191" i="5"/>
  <c r="BJ191" i="5"/>
  <c r="AX191" i="5"/>
  <c r="BA190" i="5"/>
  <c r="AO190" i="5"/>
  <c r="N190" i="5"/>
  <c r="M190" i="5"/>
  <c r="L190" i="5"/>
  <c r="J190" i="5"/>
  <c r="I190" i="5"/>
  <c r="H190" i="5"/>
  <c r="BA189" i="5"/>
  <c r="AO189" i="5"/>
  <c r="N189" i="5"/>
  <c r="M189" i="5"/>
  <c r="L189" i="5"/>
  <c r="J189" i="5"/>
  <c r="I189" i="5"/>
  <c r="H189" i="5"/>
  <c r="BA188" i="5"/>
  <c r="AO188" i="5"/>
  <c r="N188" i="5"/>
  <c r="M188" i="5"/>
  <c r="L188" i="5"/>
  <c r="J188" i="5"/>
  <c r="I188" i="5"/>
  <c r="H188" i="5"/>
  <c r="BA187" i="5"/>
  <c r="AO187" i="5"/>
  <c r="N187" i="5"/>
  <c r="M187" i="5"/>
  <c r="L187" i="5"/>
  <c r="J187" i="5"/>
  <c r="I187" i="5"/>
  <c r="H187" i="5"/>
  <c r="BA186" i="5"/>
  <c r="AO186" i="5"/>
  <c r="N186" i="5"/>
  <c r="M186" i="5"/>
  <c r="L186" i="5"/>
  <c r="J186" i="5"/>
  <c r="I186" i="5"/>
  <c r="H186" i="5"/>
  <c r="BA185" i="5"/>
  <c r="AO185" i="5"/>
  <c r="N185" i="5"/>
  <c r="M185" i="5"/>
  <c r="L185" i="5"/>
  <c r="J185" i="5"/>
  <c r="I185" i="5"/>
  <c r="H185" i="5"/>
  <c r="BA184" i="5"/>
  <c r="AO184" i="5"/>
  <c r="N184" i="5"/>
  <c r="M184" i="5"/>
  <c r="L184" i="5"/>
  <c r="J184" i="5"/>
  <c r="I184" i="5"/>
  <c r="H184" i="5"/>
  <c r="BA183" i="5"/>
  <c r="AO183" i="5"/>
  <c r="N183" i="5"/>
  <c r="M183" i="5"/>
  <c r="L183" i="5"/>
  <c r="J183" i="5"/>
  <c r="I183" i="5"/>
  <c r="H183" i="5"/>
  <c r="BA182" i="5"/>
  <c r="AO182" i="5"/>
  <c r="N182" i="5"/>
  <c r="M182" i="5"/>
  <c r="L182" i="5"/>
  <c r="J182" i="5"/>
  <c r="I182" i="5"/>
  <c r="H182" i="5"/>
  <c r="BA181" i="5"/>
  <c r="AO181" i="5"/>
  <c r="N181" i="5"/>
  <c r="M181" i="5"/>
  <c r="L181" i="5"/>
  <c r="J181" i="5"/>
  <c r="I181" i="5"/>
  <c r="H181" i="5"/>
  <c r="BA180" i="5"/>
  <c r="BA191" i="5" s="1"/>
  <c r="AO180" i="5"/>
  <c r="AO191" i="5" s="1"/>
  <c r="N180" i="5"/>
  <c r="M180" i="5"/>
  <c r="L180" i="5"/>
  <c r="J180" i="5"/>
  <c r="I180" i="5"/>
  <c r="H180" i="5"/>
  <c r="AO179" i="5"/>
  <c r="N179" i="5"/>
  <c r="M179" i="5"/>
  <c r="L179" i="5"/>
  <c r="J179" i="5"/>
  <c r="I179" i="5"/>
  <c r="H179" i="5"/>
  <c r="S186" i="5"/>
  <c r="S188" i="5"/>
  <c r="CV191" i="5"/>
  <c r="S190" i="5"/>
  <c r="CG160" i="5"/>
  <c r="CG159" i="5"/>
  <c r="CG158" i="5"/>
  <c r="E67" i="29"/>
  <c r="BM58" i="24"/>
  <c r="BM59" i="24"/>
  <c r="BM60" i="24"/>
  <c r="BM61" i="24"/>
  <c r="BM62" i="24"/>
  <c r="BM63" i="24"/>
  <c r="BM64" i="24"/>
  <c r="BM65" i="24"/>
  <c r="BM66" i="24"/>
  <c r="BM67" i="24"/>
  <c r="BM68" i="24"/>
  <c r="BM69" i="24"/>
  <c r="BM70" i="24"/>
  <c r="BM71" i="24"/>
  <c r="BM72" i="24"/>
  <c r="BM73" i="24"/>
  <c r="BM74" i="24"/>
  <c r="BM75" i="24"/>
  <c r="BM76" i="24"/>
  <c r="BM77" i="24"/>
  <c r="BM78" i="24"/>
  <c r="BM79" i="24"/>
  <c r="BM80" i="24"/>
  <c r="BM81" i="24"/>
  <c r="BM82" i="24"/>
  <c r="BM83" i="24"/>
  <c r="BM84" i="24"/>
  <c r="BM85" i="24"/>
  <c r="BM86" i="24"/>
  <c r="BM87" i="24"/>
  <c r="BM88" i="24"/>
  <c r="BM89" i="24"/>
  <c r="BN89" i="24" s="1"/>
  <c r="BM90" i="24"/>
  <c r="BM91" i="24"/>
  <c r="BM92" i="24"/>
  <c r="BN92" i="24"/>
  <c r="BM57" i="24"/>
  <c r="BM58" i="23"/>
  <c r="BM59" i="23"/>
  <c r="BM60" i="23"/>
  <c r="BM61" i="23"/>
  <c r="BM62" i="23"/>
  <c r="BM63" i="23"/>
  <c r="BM64" i="23"/>
  <c r="BM65" i="23"/>
  <c r="BM66" i="23"/>
  <c r="BM67" i="23"/>
  <c r="BM68" i="23"/>
  <c r="BM69" i="23"/>
  <c r="BM70" i="23"/>
  <c r="BM71" i="23"/>
  <c r="BM72" i="23"/>
  <c r="BM73" i="23"/>
  <c r="BM74" i="23"/>
  <c r="BM75" i="23"/>
  <c r="BM76" i="23"/>
  <c r="BM77" i="23"/>
  <c r="BM78" i="23"/>
  <c r="BM79" i="23"/>
  <c r="BM80" i="23"/>
  <c r="BM81" i="23"/>
  <c r="BM82" i="23"/>
  <c r="BM83" i="23"/>
  <c r="BM84" i="23"/>
  <c r="BM85" i="23"/>
  <c r="BM86" i="23"/>
  <c r="BM87" i="23"/>
  <c r="BM88" i="23"/>
  <c r="BM89" i="23"/>
  <c r="BM90" i="23"/>
  <c r="BM91" i="23"/>
  <c r="BM92" i="23"/>
  <c r="BM93" i="23"/>
  <c r="BM94" i="23"/>
  <c r="BM95" i="23"/>
  <c r="BM96" i="23"/>
  <c r="BM97" i="23"/>
  <c r="BM98" i="23"/>
  <c r="BM99" i="23"/>
  <c r="BM100" i="23"/>
  <c r="BM101" i="23"/>
  <c r="BM102" i="23"/>
  <c r="BM103" i="23"/>
  <c r="BM104" i="23"/>
  <c r="BM105" i="23"/>
  <c r="BM106" i="23"/>
  <c r="BM107" i="23"/>
  <c r="BM108" i="23"/>
  <c r="BM109" i="23"/>
  <c r="BM110" i="23"/>
  <c r="BM111" i="23"/>
  <c r="BM112" i="23"/>
  <c r="BM113" i="23"/>
  <c r="BM114" i="23"/>
  <c r="BM115" i="23"/>
  <c r="BN115" i="23" s="1"/>
  <c r="BM116" i="23"/>
  <c r="BN116" i="23" s="1"/>
  <c r="BM57" i="23"/>
  <c r="BL57" i="23"/>
  <c r="BL58" i="23"/>
  <c r="BL59" i="23"/>
  <c r="BL60" i="23"/>
  <c r="BL61" i="23"/>
  <c r="BL62" i="23"/>
  <c r="BL63" i="23"/>
  <c r="BL64" i="23"/>
  <c r="BL65" i="23"/>
  <c r="BL66" i="23"/>
  <c r="BL67" i="23"/>
  <c r="BL68" i="23"/>
  <c r="BL69" i="23"/>
  <c r="BL70" i="23"/>
  <c r="BL71" i="23"/>
  <c r="BL72" i="23"/>
  <c r="BL73" i="23"/>
  <c r="BL74" i="23"/>
  <c r="BL75" i="23"/>
  <c r="BL76" i="23"/>
  <c r="BL77" i="23"/>
  <c r="BL78" i="23"/>
  <c r="BL79" i="23"/>
  <c r="BL80" i="23"/>
  <c r="BL81" i="23"/>
  <c r="BL82" i="23"/>
  <c r="BL83" i="23"/>
  <c r="BL84" i="23"/>
  <c r="BL85" i="23"/>
  <c r="BL86" i="23"/>
  <c r="BL87" i="23"/>
  <c r="BL88" i="23"/>
  <c r="BL89" i="23"/>
  <c r="BL90" i="23"/>
  <c r="BL91" i="23"/>
  <c r="BL92" i="23"/>
  <c r="BL93" i="23"/>
  <c r="BL94" i="23"/>
  <c r="BL95" i="23"/>
  <c r="BL96" i="23"/>
  <c r="BL97" i="23"/>
  <c r="BL98" i="23"/>
  <c r="BL99" i="23"/>
  <c r="BL100" i="23"/>
  <c r="BL101" i="23"/>
  <c r="BL102" i="23"/>
  <c r="BL103" i="23"/>
  <c r="BL104" i="23"/>
  <c r="BL105" i="23"/>
  <c r="BL106" i="23"/>
  <c r="BL107" i="23"/>
  <c r="BL108" i="23"/>
  <c r="BL109" i="23"/>
  <c r="BL110" i="23"/>
  <c r="BL111" i="23"/>
  <c r="BL112" i="23"/>
  <c r="BL113" i="23"/>
  <c r="BL114" i="23"/>
  <c r="BL115" i="23"/>
  <c r="BL56" i="23"/>
  <c r="E51" i="28"/>
  <c r="E52" i="28"/>
  <c r="E53" i="28"/>
  <c r="E54" i="28"/>
  <c r="E55" i="28"/>
  <c r="E56" i="28"/>
  <c r="E57" i="28"/>
  <c r="E58" i="28"/>
  <c r="E59" i="28"/>
  <c r="E60" i="28"/>
  <c r="E61" i="28"/>
  <c r="E50" i="28"/>
  <c r="U60" i="30"/>
  <c r="CP195" i="5" s="1"/>
  <c r="S382" i="30"/>
  <c r="AA13" i="30"/>
  <c r="AA15" i="30"/>
  <c r="BL57" i="24"/>
  <c r="BL58" i="24"/>
  <c r="BL59" i="24"/>
  <c r="BL60" i="24"/>
  <c r="BL61" i="24"/>
  <c r="BL62" i="24"/>
  <c r="BL63" i="24"/>
  <c r="BL64" i="24"/>
  <c r="BL65" i="24"/>
  <c r="BL66" i="24"/>
  <c r="BL67" i="24"/>
  <c r="BL68" i="24"/>
  <c r="BL69" i="24"/>
  <c r="BL70" i="24"/>
  <c r="BL71" i="24"/>
  <c r="BL72" i="24"/>
  <c r="BL73" i="24"/>
  <c r="BL74" i="24"/>
  <c r="BL75" i="24"/>
  <c r="BL76" i="24"/>
  <c r="BL77" i="24"/>
  <c r="BL78" i="24"/>
  <c r="BL79" i="24"/>
  <c r="BL80" i="24"/>
  <c r="BL81" i="24"/>
  <c r="BL82" i="24"/>
  <c r="BL83" i="24"/>
  <c r="BL84" i="24"/>
  <c r="BL85" i="24"/>
  <c r="BL86" i="24"/>
  <c r="BL87" i="24"/>
  <c r="BL88" i="24"/>
  <c r="BL89" i="24"/>
  <c r="BL90" i="24"/>
  <c r="BN90" i="24" s="1"/>
  <c r="BL91" i="24"/>
  <c r="BN91" i="24"/>
  <c r="BL56" i="24"/>
  <c r="G56" i="27"/>
  <c r="C67" i="29"/>
  <c r="BK56" i="24"/>
  <c r="BK57" i="24"/>
  <c r="BK58" i="24"/>
  <c r="BK59" i="24"/>
  <c r="BK60" i="24"/>
  <c r="BK61" i="24"/>
  <c r="BK62" i="24"/>
  <c r="BK63" i="24"/>
  <c r="BK64" i="24"/>
  <c r="BK65" i="24"/>
  <c r="BK66" i="24"/>
  <c r="BK67" i="24"/>
  <c r="BK68" i="24"/>
  <c r="BK69" i="24"/>
  <c r="BK70" i="24"/>
  <c r="BK71" i="24"/>
  <c r="BK72" i="24"/>
  <c r="BK73" i="24"/>
  <c r="BK74" i="24"/>
  <c r="BK75" i="24"/>
  <c r="BK76" i="24"/>
  <c r="BK77" i="24"/>
  <c r="BK78" i="24"/>
  <c r="BK79" i="24"/>
  <c r="BK80" i="24"/>
  <c r="BK81" i="24"/>
  <c r="BK82" i="24"/>
  <c r="BK83" i="24"/>
  <c r="BK84" i="24"/>
  <c r="BK85" i="24"/>
  <c r="BK86" i="24"/>
  <c r="BK87" i="24"/>
  <c r="BK88" i="24"/>
  <c r="BK89" i="24"/>
  <c r="BK90" i="24"/>
  <c r="BK55" i="24"/>
  <c r="BK56" i="23"/>
  <c r="BK57" i="23"/>
  <c r="BK58" i="23"/>
  <c r="BK59" i="23"/>
  <c r="BK60" i="23"/>
  <c r="BK61" i="23"/>
  <c r="BK62" i="23"/>
  <c r="BK63" i="23"/>
  <c r="BK64" i="23"/>
  <c r="BK65" i="23"/>
  <c r="BK66" i="23"/>
  <c r="BK67" i="23"/>
  <c r="BK68" i="23"/>
  <c r="BK69" i="23"/>
  <c r="BK70" i="23"/>
  <c r="BK71" i="23"/>
  <c r="BK72" i="23"/>
  <c r="BK73" i="23"/>
  <c r="BK74" i="23"/>
  <c r="BK75" i="23"/>
  <c r="BK76" i="23"/>
  <c r="BK77" i="23"/>
  <c r="BK78" i="23"/>
  <c r="BK79" i="23"/>
  <c r="BK80" i="23"/>
  <c r="BK81" i="23"/>
  <c r="BK82" i="23"/>
  <c r="BK83" i="23"/>
  <c r="BK84" i="23"/>
  <c r="BK85" i="23"/>
  <c r="BK86" i="23"/>
  <c r="BK87" i="23"/>
  <c r="BK88" i="23"/>
  <c r="BK89" i="23"/>
  <c r="BK90" i="23"/>
  <c r="BK91" i="23"/>
  <c r="BK92" i="23"/>
  <c r="BK93" i="23"/>
  <c r="BK94" i="23"/>
  <c r="BK95" i="23"/>
  <c r="BK96" i="23"/>
  <c r="BK97" i="23"/>
  <c r="BK98" i="23"/>
  <c r="BK99" i="23"/>
  <c r="BK100" i="23"/>
  <c r="BK101" i="23"/>
  <c r="BK102" i="23"/>
  <c r="BK103" i="23"/>
  <c r="BK104" i="23"/>
  <c r="BK105" i="23"/>
  <c r="BK106" i="23"/>
  <c r="BK107" i="23"/>
  <c r="BK108" i="23"/>
  <c r="BK109" i="23"/>
  <c r="BK110" i="23"/>
  <c r="BK111" i="23"/>
  <c r="BN111" i="23" s="1"/>
  <c r="BK112" i="23"/>
  <c r="BK113" i="23"/>
  <c r="BK114" i="23"/>
  <c r="BN114" i="23"/>
  <c r="BK55" i="23"/>
  <c r="BJ55" i="23"/>
  <c r="BJ56" i="23"/>
  <c r="BJ57" i="23"/>
  <c r="BJ58" i="23"/>
  <c r="BJ59" i="23"/>
  <c r="BJ60" i="23"/>
  <c r="BJ61" i="23"/>
  <c r="BJ62" i="23"/>
  <c r="BJ63" i="23"/>
  <c r="BJ64" i="23"/>
  <c r="BJ65" i="23"/>
  <c r="BJ66" i="23"/>
  <c r="BJ67" i="23"/>
  <c r="BJ68" i="23"/>
  <c r="BJ69" i="23"/>
  <c r="BJ70" i="23"/>
  <c r="BJ71" i="23"/>
  <c r="BJ72" i="23"/>
  <c r="BJ73" i="23"/>
  <c r="BJ74" i="23"/>
  <c r="BJ75" i="23"/>
  <c r="BJ76" i="23"/>
  <c r="BJ77" i="23"/>
  <c r="BJ78" i="23"/>
  <c r="BJ79" i="23"/>
  <c r="BJ80" i="23"/>
  <c r="BJ81" i="23"/>
  <c r="BJ82" i="23"/>
  <c r="BJ83" i="23"/>
  <c r="BJ84" i="23"/>
  <c r="BJ85" i="23"/>
  <c r="BJ86" i="23"/>
  <c r="BJ87" i="23"/>
  <c r="BJ88" i="23"/>
  <c r="BJ89" i="23"/>
  <c r="BJ90" i="23"/>
  <c r="BJ91" i="23"/>
  <c r="BJ92" i="23"/>
  <c r="BJ93" i="23"/>
  <c r="BJ94" i="23"/>
  <c r="BJ95" i="23"/>
  <c r="BJ96" i="23"/>
  <c r="BJ97" i="23"/>
  <c r="BJ98" i="23"/>
  <c r="BJ99" i="23"/>
  <c r="BJ100" i="23"/>
  <c r="BJ101" i="23"/>
  <c r="BJ102" i="23"/>
  <c r="BJ103" i="23"/>
  <c r="BJ104" i="23"/>
  <c r="BJ105" i="23"/>
  <c r="BJ106" i="23"/>
  <c r="BJ107" i="23"/>
  <c r="BJ108" i="23"/>
  <c r="BJ109" i="23"/>
  <c r="BN109" i="23" s="1"/>
  <c r="BJ110" i="23"/>
  <c r="BJ111" i="23"/>
  <c r="BJ112" i="23"/>
  <c r="BJ113" i="23"/>
  <c r="BN113" i="23" s="1"/>
  <c r="BJ54" i="23"/>
  <c r="G55" i="27"/>
  <c r="CV150" i="5"/>
  <c r="CV151" i="5"/>
  <c r="CT151" i="5"/>
  <c r="CT149" i="5"/>
  <c r="CR150" i="5"/>
  <c r="CR151" i="5"/>
  <c r="U172" i="30"/>
  <c r="U173" i="30"/>
  <c r="U224" i="30"/>
  <c r="U236" i="30"/>
  <c r="U264" i="30"/>
  <c r="U285" i="30"/>
  <c r="U304" i="30"/>
  <c r="U316" i="30"/>
  <c r="U336" i="30"/>
  <c r="U348" i="30"/>
  <c r="U368" i="30"/>
  <c r="U380" i="30"/>
  <c r="U396" i="30"/>
  <c r="U23" i="30"/>
  <c r="CP149" i="5" s="1"/>
  <c r="S326" i="30"/>
  <c r="S325" i="30"/>
  <c r="S278" i="30"/>
  <c r="S368" i="30"/>
  <c r="S284" i="30"/>
  <c r="S200" i="30"/>
  <c r="S294" i="30"/>
  <c r="BJ89" i="24"/>
  <c r="BJ88" i="24"/>
  <c r="BN88" i="24"/>
  <c r="BJ87" i="24"/>
  <c r="BJ86" i="24"/>
  <c r="BJ85" i="24"/>
  <c r="BJ84" i="24"/>
  <c r="BJ83" i="24"/>
  <c r="BJ82" i="24"/>
  <c r="BJ81" i="24"/>
  <c r="BJ80" i="24"/>
  <c r="BJ79" i="24"/>
  <c r="BJ78" i="24"/>
  <c r="BJ77" i="24"/>
  <c r="BJ76" i="24"/>
  <c r="BJ75" i="24"/>
  <c r="BJ74" i="24"/>
  <c r="BJ73" i="24"/>
  <c r="BJ72" i="24"/>
  <c r="BJ71" i="24"/>
  <c r="BJ70" i="24"/>
  <c r="BJ69" i="24"/>
  <c r="BJ68" i="24"/>
  <c r="BJ67" i="24"/>
  <c r="BJ66" i="24"/>
  <c r="BJ65" i="24"/>
  <c r="BJ64" i="24"/>
  <c r="BJ63" i="24"/>
  <c r="BJ62" i="24"/>
  <c r="BJ61" i="24"/>
  <c r="BJ60" i="24"/>
  <c r="BJ59" i="24"/>
  <c r="BJ58" i="24"/>
  <c r="BJ57" i="24"/>
  <c r="BJ56" i="24"/>
  <c r="BJ55" i="24"/>
  <c r="BJ54" i="24"/>
  <c r="H50" i="24"/>
  <c r="BI54" i="23"/>
  <c r="BI55" i="23"/>
  <c r="BI56" i="23"/>
  <c r="BI57" i="23"/>
  <c r="BI58" i="23"/>
  <c r="BI59" i="23"/>
  <c r="BI60" i="23"/>
  <c r="BI61" i="23"/>
  <c r="BI62" i="23"/>
  <c r="BI63" i="23"/>
  <c r="BI64" i="23"/>
  <c r="BI65" i="23"/>
  <c r="BI66" i="23"/>
  <c r="BI67" i="23"/>
  <c r="BI68" i="23"/>
  <c r="BI69" i="23"/>
  <c r="BI70" i="23"/>
  <c r="BI71" i="23"/>
  <c r="BI72" i="23"/>
  <c r="BI73" i="23"/>
  <c r="BI74" i="23"/>
  <c r="BI75" i="23"/>
  <c r="BI76" i="23"/>
  <c r="BI77" i="23"/>
  <c r="BI78" i="23"/>
  <c r="BI79" i="23"/>
  <c r="BI80" i="23"/>
  <c r="BI81" i="23"/>
  <c r="BI82" i="23"/>
  <c r="BI83" i="23"/>
  <c r="BI84" i="23"/>
  <c r="BI85" i="23"/>
  <c r="BI86" i="23"/>
  <c r="BI87" i="23"/>
  <c r="BI88" i="23"/>
  <c r="BI89" i="23"/>
  <c r="BI90" i="23"/>
  <c r="BI91" i="23"/>
  <c r="BI92" i="23"/>
  <c r="BI93" i="23"/>
  <c r="BI94" i="23"/>
  <c r="BI95" i="23"/>
  <c r="BI96" i="23"/>
  <c r="BI97" i="23"/>
  <c r="BI98" i="23"/>
  <c r="BI99" i="23"/>
  <c r="BI100" i="23"/>
  <c r="BI101" i="23"/>
  <c r="BI102" i="23"/>
  <c r="BI103" i="23"/>
  <c r="BI104" i="23"/>
  <c r="BI105" i="23"/>
  <c r="BI106" i="23"/>
  <c r="BI107" i="23"/>
  <c r="BI108" i="23"/>
  <c r="BI109" i="23"/>
  <c r="BI110" i="23"/>
  <c r="BI111" i="23"/>
  <c r="BI112" i="23"/>
  <c r="BI53" i="23"/>
  <c r="BL107" i="27"/>
  <c r="G54" i="27"/>
  <c r="BL91" i="27" s="1"/>
  <c r="BL131" i="27"/>
  <c r="BL115" i="27"/>
  <c r="BL99" i="27"/>
  <c r="BL98" i="27"/>
  <c r="BL135" i="27"/>
  <c r="BL110" i="27"/>
  <c r="BL78" i="27"/>
  <c r="BL133" i="27"/>
  <c r="BL117" i="27"/>
  <c r="BL101" i="27"/>
  <c r="BL85" i="27"/>
  <c r="BL69" i="27"/>
  <c r="BL130" i="27"/>
  <c r="BL82" i="27"/>
  <c r="BL118" i="27"/>
  <c r="BL86" i="27"/>
  <c r="BL124" i="27"/>
  <c r="BL108" i="27"/>
  <c r="BL92" i="27"/>
  <c r="BL76" i="27"/>
  <c r="BL60" i="27"/>
  <c r="BL54" i="27"/>
  <c r="BL121" i="27"/>
  <c r="BL105" i="27"/>
  <c r="BL89" i="27"/>
  <c r="BL73" i="27"/>
  <c r="BL57" i="27"/>
  <c r="BL58" i="27"/>
  <c r="BL120" i="27"/>
  <c r="BL104" i="27"/>
  <c r="BL88" i="27"/>
  <c r="BL72" i="27"/>
  <c r="BL56" i="27"/>
  <c r="BL127" i="27"/>
  <c r="BL111" i="27"/>
  <c r="BL95" i="27"/>
  <c r="BL79" i="27"/>
  <c r="BL63" i="27"/>
  <c r="D50" i="24"/>
  <c r="BF65" i="24" s="1"/>
  <c r="G53" i="27"/>
  <c r="BH53" i="24"/>
  <c r="BH54" i="24"/>
  <c r="BH55" i="24"/>
  <c r="BH56" i="24"/>
  <c r="BH57" i="24"/>
  <c r="BH58" i="24"/>
  <c r="BH59" i="24"/>
  <c r="BH60" i="24"/>
  <c r="BH61" i="24"/>
  <c r="BH62" i="24"/>
  <c r="BH63" i="24"/>
  <c r="BH64" i="24"/>
  <c r="BH65" i="24"/>
  <c r="BH66" i="24"/>
  <c r="BH67" i="24"/>
  <c r="BH68" i="24"/>
  <c r="BH69" i="24"/>
  <c r="BH70" i="24"/>
  <c r="BH71" i="24"/>
  <c r="BH72" i="24"/>
  <c r="BH73" i="24"/>
  <c r="BH74" i="24"/>
  <c r="BH75" i="24"/>
  <c r="BH76" i="24"/>
  <c r="BH77" i="24"/>
  <c r="BH78" i="24"/>
  <c r="BH79" i="24"/>
  <c r="BH80" i="24"/>
  <c r="BH81" i="24"/>
  <c r="BH82" i="24"/>
  <c r="BH83" i="24"/>
  <c r="BH84" i="24"/>
  <c r="BH85" i="24"/>
  <c r="BH86" i="24"/>
  <c r="BH87" i="24"/>
  <c r="BN87" i="24" s="1"/>
  <c r="BH52" i="24"/>
  <c r="BH53" i="23"/>
  <c r="BH54" i="23"/>
  <c r="BH55" i="23"/>
  <c r="BH56" i="23"/>
  <c r="BH57" i="23"/>
  <c r="BH58" i="23"/>
  <c r="BH59" i="23"/>
  <c r="BH60" i="23"/>
  <c r="BH61" i="23"/>
  <c r="BH62" i="23"/>
  <c r="BH63" i="23"/>
  <c r="BH64" i="23"/>
  <c r="BH65" i="23"/>
  <c r="BH66" i="23"/>
  <c r="BH67" i="23"/>
  <c r="BH68" i="23"/>
  <c r="BH69" i="23"/>
  <c r="BH70" i="23"/>
  <c r="BH71" i="23"/>
  <c r="BH72" i="23"/>
  <c r="BH73" i="23"/>
  <c r="BH74" i="23"/>
  <c r="BH75" i="23"/>
  <c r="BH76" i="23"/>
  <c r="BH77" i="23"/>
  <c r="BH78" i="23"/>
  <c r="BH79" i="23"/>
  <c r="BH80" i="23"/>
  <c r="BH81" i="23"/>
  <c r="BH82" i="23"/>
  <c r="BH83" i="23"/>
  <c r="BH84" i="23"/>
  <c r="BH85" i="23"/>
  <c r="BH86" i="23"/>
  <c r="BH87" i="23"/>
  <c r="BH88" i="23"/>
  <c r="BH89" i="23"/>
  <c r="BH90" i="23"/>
  <c r="BH91" i="23"/>
  <c r="BH92" i="23"/>
  <c r="BH93" i="23"/>
  <c r="BH94" i="23"/>
  <c r="BH95" i="23"/>
  <c r="BH96" i="23"/>
  <c r="BH97" i="23"/>
  <c r="BH98" i="23"/>
  <c r="BH99" i="23"/>
  <c r="BH100" i="23"/>
  <c r="BH101" i="23"/>
  <c r="BH102" i="23"/>
  <c r="BH103" i="23"/>
  <c r="BH104" i="23"/>
  <c r="BH105" i="23"/>
  <c r="BH106" i="23"/>
  <c r="BH107" i="23"/>
  <c r="BH108" i="23"/>
  <c r="BH109" i="23"/>
  <c r="BH110" i="23"/>
  <c r="BN110" i="23" s="1"/>
  <c r="BH111" i="23"/>
  <c r="BH52" i="23"/>
  <c r="G52" i="27"/>
  <c r="BJ127" i="27"/>
  <c r="BJ134" i="27"/>
  <c r="BJ87" i="27"/>
  <c r="BJ110" i="27"/>
  <c r="BJ76" i="27"/>
  <c r="BJ108" i="27"/>
  <c r="BJ132" i="27"/>
  <c r="BJ119" i="27"/>
  <c r="BJ60" i="27"/>
  <c r="BJ100" i="27"/>
  <c r="BJ128" i="27"/>
  <c r="BJ80" i="27"/>
  <c r="BJ129" i="27"/>
  <c r="BJ97" i="27"/>
  <c r="BJ65" i="27"/>
  <c r="BJ79" i="27"/>
  <c r="BJ102" i="27"/>
  <c r="BJ70" i="27"/>
  <c r="BJ133" i="27"/>
  <c r="BJ101" i="27"/>
  <c r="BJ69" i="27"/>
  <c r="BG86" i="24"/>
  <c r="BN86" i="24" s="1"/>
  <c r="BG85" i="24"/>
  <c r="BG84" i="24"/>
  <c r="BG83" i="24"/>
  <c r="BG82" i="24"/>
  <c r="BG81" i="24"/>
  <c r="BG80" i="24"/>
  <c r="BG79" i="24"/>
  <c r="BG78" i="24"/>
  <c r="BG77" i="24"/>
  <c r="BG76" i="24"/>
  <c r="BG75" i="24"/>
  <c r="BG74" i="24"/>
  <c r="BG73" i="24"/>
  <c r="BG72" i="24"/>
  <c r="BG71" i="24"/>
  <c r="BG70" i="24"/>
  <c r="BG69" i="24"/>
  <c r="BG68" i="24"/>
  <c r="BG67" i="24"/>
  <c r="BG66" i="24"/>
  <c r="BG65" i="24"/>
  <c r="BG64" i="24"/>
  <c r="BG63" i="24"/>
  <c r="BG62" i="24"/>
  <c r="BG61" i="24"/>
  <c r="BG60" i="24"/>
  <c r="BG59" i="24"/>
  <c r="BG58" i="24"/>
  <c r="BG57" i="24"/>
  <c r="BG56" i="24"/>
  <c r="BG55" i="24"/>
  <c r="BG54" i="24"/>
  <c r="BG53" i="24"/>
  <c r="BG52" i="24"/>
  <c r="BG51" i="24"/>
  <c r="BG110" i="23"/>
  <c r="BG109" i="23"/>
  <c r="BG108" i="23"/>
  <c r="BG107" i="23"/>
  <c r="BG106" i="23"/>
  <c r="BG105" i="23"/>
  <c r="BG104" i="23"/>
  <c r="BG103" i="23"/>
  <c r="BG102" i="23"/>
  <c r="BG101" i="23"/>
  <c r="BG100" i="23"/>
  <c r="BG99" i="23"/>
  <c r="BG98" i="23"/>
  <c r="BG97" i="23"/>
  <c r="BG96" i="23"/>
  <c r="BG95" i="23"/>
  <c r="BG94" i="23"/>
  <c r="BG93" i="23"/>
  <c r="BG92" i="23"/>
  <c r="BG91" i="23"/>
  <c r="BG90" i="23"/>
  <c r="BG89" i="23"/>
  <c r="BG88" i="23"/>
  <c r="BG87" i="23"/>
  <c r="BG86" i="23"/>
  <c r="BG85" i="23"/>
  <c r="BG84" i="23"/>
  <c r="BG83" i="23"/>
  <c r="BG82" i="23"/>
  <c r="BG81" i="23"/>
  <c r="BG80" i="23"/>
  <c r="BG79" i="23"/>
  <c r="BG78" i="23"/>
  <c r="BG77" i="23"/>
  <c r="BG76" i="23"/>
  <c r="BG75" i="23"/>
  <c r="BG74" i="23"/>
  <c r="BG73" i="23"/>
  <c r="BG72" i="23"/>
  <c r="BG71" i="23"/>
  <c r="BG70" i="23"/>
  <c r="BG69" i="23"/>
  <c r="BG68" i="23"/>
  <c r="BG67" i="23"/>
  <c r="BG66" i="23"/>
  <c r="BG65" i="23"/>
  <c r="BG64" i="23"/>
  <c r="BG63" i="23"/>
  <c r="BG62" i="23"/>
  <c r="BG61" i="23"/>
  <c r="BG60" i="23"/>
  <c r="BG59" i="23"/>
  <c r="BG58" i="23"/>
  <c r="BG57" i="23"/>
  <c r="BG56" i="23"/>
  <c r="BG55" i="23"/>
  <c r="BG54" i="23"/>
  <c r="BG53" i="23"/>
  <c r="BG52" i="23"/>
  <c r="BG51" i="23"/>
  <c r="BI132" i="27"/>
  <c r="BI125" i="27"/>
  <c r="BI108" i="27"/>
  <c r="BI93" i="27"/>
  <c r="BI91" i="27"/>
  <c r="BI76" i="27"/>
  <c r="BI61" i="27"/>
  <c r="BI59" i="27"/>
  <c r="G51" i="27"/>
  <c r="BI109" i="27" s="1"/>
  <c r="BI130" i="27"/>
  <c r="BI51" i="27"/>
  <c r="BI78" i="27"/>
  <c r="BI115" i="27"/>
  <c r="BI52" i="27"/>
  <c r="BI68" i="27"/>
  <c r="BI84" i="27"/>
  <c r="BI117" i="27"/>
  <c r="BI62" i="27"/>
  <c r="BI133" i="27"/>
  <c r="BI53" i="27"/>
  <c r="BI85" i="27"/>
  <c r="BI101" i="27"/>
  <c r="BI83" i="27"/>
  <c r="BI116" i="27"/>
  <c r="BI134" i="27"/>
  <c r="BI69" i="27"/>
  <c r="BI54" i="27"/>
  <c r="BI70" i="27"/>
  <c r="BI102" i="27"/>
  <c r="BI124" i="27"/>
  <c r="BI118" i="27"/>
  <c r="BI71" i="27"/>
  <c r="BI87" i="27"/>
  <c r="BI95" i="27"/>
  <c r="BI111" i="27"/>
  <c r="BI119" i="27"/>
  <c r="BI127" i="27"/>
  <c r="BI126" i="27"/>
  <c r="BI63" i="27"/>
  <c r="BI79" i="27"/>
  <c r="BI64" i="27"/>
  <c r="BI72" i="27"/>
  <c r="BI80" i="27"/>
  <c r="BI96" i="27"/>
  <c r="BI104" i="27"/>
  <c r="BI112" i="27"/>
  <c r="BI128" i="27"/>
  <c r="BI57" i="27"/>
  <c r="BI65" i="27"/>
  <c r="BI81" i="27"/>
  <c r="BI89" i="27"/>
  <c r="BI97" i="27"/>
  <c r="BI113" i="27"/>
  <c r="BI121" i="27"/>
  <c r="BI129" i="27"/>
  <c r="BI66" i="27"/>
  <c r="BI74" i="27"/>
  <c r="BI82" i="27"/>
  <c r="BI98" i="27"/>
  <c r="BI106" i="27"/>
  <c r="BI114" i="27"/>
  <c r="BF57" i="24"/>
  <c r="BF61" i="24"/>
  <c r="BF73" i="24"/>
  <c r="BF77" i="24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F104" i="23"/>
  <c r="BF105" i="23"/>
  <c r="BF106" i="23"/>
  <c r="BF107" i="23"/>
  <c r="BF108" i="23"/>
  <c r="BN108" i="23" s="1"/>
  <c r="BF109" i="23"/>
  <c r="BF50" i="23"/>
  <c r="BH56" i="27"/>
  <c r="BH78" i="27"/>
  <c r="BH113" i="27"/>
  <c r="BH128" i="27"/>
  <c r="G50" i="27"/>
  <c r="BH100" i="27" s="1"/>
  <c r="BH89" i="27"/>
  <c r="BH88" i="27"/>
  <c r="BH111" i="27"/>
  <c r="BH70" i="27"/>
  <c r="BH101" i="27"/>
  <c r="BH60" i="27"/>
  <c r="BH115" i="27"/>
  <c r="BH83" i="27"/>
  <c r="BH106" i="27"/>
  <c r="BH74" i="27"/>
  <c r="BE50" i="24"/>
  <c r="BE51" i="24"/>
  <c r="BE52" i="24"/>
  <c r="BE53" i="24"/>
  <c r="BE54" i="24"/>
  <c r="BE55" i="24"/>
  <c r="BE56" i="24"/>
  <c r="BE57" i="24"/>
  <c r="BE58" i="24"/>
  <c r="BE59" i="24"/>
  <c r="BE60" i="24"/>
  <c r="BE61" i="24"/>
  <c r="BE62" i="24"/>
  <c r="BE63" i="24"/>
  <c r="BE64" i="24"/>
  <c r="BE65" i="24"/>
  <c r="BE66" i="24"/>
  <c r="BE67" i="24"/>
  <c r="BE68" i="24"/>
  <c r="BE69" i="24"/>
  <c r="BE70" i="24"/>
  <c r="BE71" i="24"/>
  <c r="BE72" i="24"/>
  <c r="BE73" i="24"/>
  <c r="BE74" i="24"/>
  <c r="BE75" i="24"/>
  <c r="BE76" i="24"/>
  <c r="BE77" i="24"/>
  <c r="BE78" i="24"/>
  <c r="BE79" i="24"/>
  <c r="BE80" i="24"/>
  <c r="BE81" i="24"/>
  <c r="BE82" i="24"/>
  <c r="BE83" i="24"/>
  <c r="BE84" i="24"/>
  <c r="BE49" i="24"/>
  <c r="G49" i="27"/>
  <c r="BG109" i="27" s="1"/>
  <c r="BG55" i="27"/>
  <c r="BE50" i="23"/>
  <c r="BE51" i="23"/>
  <c r="BE52" i="23"/>
  <c r="BE53" i="23"/>
  <c r="BE54" i="23"/>
  <c r="BE55" i="23"/>
  <c r="BE56" i="23"/>
  <c r="BE57" i="23"/>
  <c r="BE58" i="23"/>
  <c r="BE59" i="23"/>
  <c r="BE60" i="23"/>
  <c r="BE61" i="23"/>
  <c r="BE62" i="23"/>
  <c r="BE63" i="23"/>
  <c r="BE64" i="23"/>
  <c r="BE65" i="23"/>
  <c r="BE66" i="23"/>
  <c r="BE67" i="23"/>
  <c r="BE68" i="23"/>
  <c r="BE69" i="23"/>
  <c r="BE70" i="23"/>
  <c r="BE71" i="23"/>
  <c r="BE72" i="23"/>
  <c r="BE73" i="23"/>
  <c r="BE74" i="23"/>
  <c r="BE75" i="23"/>
  <c r="BE76" i="23"/>
  <c r="BE77" i="23"/>
  <c r="BE78" i="23"/>
  <c r="BE79" i="23"/>
  <c r="BE80" i="23"/>
  <c r="BE81" i="23"/>
  <c r="BE82" i="23"/>
  <c r="BE83" i="23"/>
  <c r="BE84" i="23"/>
  <c r="BE85" i="23"/>
  <c r="BE86" i="23"/>
  <c r="BE87" i="23"/>
  <c r="BE88" i="23"/>
  <c r="BE89" i="23"/>
  <c r="BE90" i="23"/>
  <c r="BE91" i="23"/>
  <c r="BE92" i="23"/>
  <c r="BE93" i="23"/>
  <c r="BE94" i="23"/>
  <c r="BE95" i="23"/>
  <c r="BE96" i="23"/>
  <c r="BE97" i="23"/>
  <c r="BE98" i="23"/>
  <c r="BE99" i="23"/>
  <c r="BE100" i="23"/>
  <c r="BE101" i="23"/>
  <c r="BE102" i="23"/>
  <c r="BE103" i="23"/>
  <c r="BE104" i="23"/>
  <c r="BE105" i="23"/>
  <c r="BE106" i="23"/>
  <c r="BE107" i="23"/>
  <c r="BE108" i="23"/>
  <c r="BE49" i="23"/>
  <c r="BG49" i="27"/>
  <c r="BG125" i="27"/>
  <c r="BG117" i="27"/>
  <c r="BG101" i="27"/>
  <c r="BG93" i="27"/>
  <c r="BG85" i="27"/>
  <c r="BG69" i="27"/>
  <c r="BG61" i="27"/>
  <c r="BG53" i="27"/>
  <c r="BG68" i="27"/>
  <c r="BG107" i="27"/>
  <c r="BG51" i="27"/>
  <c r="BG110" i="27"/>
  <c r="BG94" i="27"/>
  <c r="BG78" i="27"/>
  <c r="BG132" i="27"/>
  <c r="BG92" i="27"/>
  <c r="BG115" i="27"/>
  <c r="BG75" i="27"/>
  <c r="BG106" i="27"/>
  <c r="BG118" i="27"/>
  <c r="BG102" i="27"/>
  <c r="BG86" i="27"/>
  <c r="BG54" i="27"/>
  <c r="BG124" i="27"/>
  <c r="BG84" i="27"/>
  <c r="BG131" i="27"/>
  <c r="BG83" i="27"/>
  <c r="BG114" i="27"/>
  <c r="BG66" i="27"/>
  <c r="BG73" i="27"/>
  <c r="BG116" i="27"/>
  <c r="BG123" i="27"/>
  <c r="BG91" i="27"/>
  <c r="BG59" i="27"/>
  <c r="BG90" i="27"/>
  <c r="BG58" i="27"/>
  <c r="BG121" i="27"/>
  <c r="BG105" i="27"/>
  <c r="BG97" i="27"/>
  <c r="BG81" i="27"/>
  <c r="BG57" i="27"/>
  <c r="BG128" i="27"/>
  <c r="BG120" i="27"/>
  <c r="BG104" i="27"/>
  <c r="BG96" i="27"/>
  <c r="BG88" i="27"/>
  <c r="BG72" i="27"/>
  <c r="BG64" i="27"/>
  <c r="BG56" i="27"/>
  <c r="BG99" i="27"/>
  <c r="BG67" i="27"/>
  <c r="BG130" i="27"/>
  <c r="BG50" i="27"/>
  <c r="BG129" i="27"/>
  <c r="BG89" i="27"/>
  <c r="BG119" i="27"/>
  <c r="BG111" i="27"/>
  <c r="BG103" i="27"/>
  <c r="BG87" i="27"/>
  <c r="BG79" i="27"/>
  <c r="BG71" i="27"/>
  <c r="I41" i="29"/>
  <c r="J41" i="29"/>
  <c r="J55" i="29" s="1"/>
  <c r="K41" i="29"/>
  <c r="L41" i="29"/>
  <c r="M41" i="29"/>
  <c r="N41" i="29"/>
  <c r="BD49" i="24"/>
  <c r="BD50" i="24"/>
  <c r="BD51" i="24"/>
  <c r="BD52" i="24"/>
  <c r="BD53" i="24"/>
  <c r="BD54" i="24"/>
  <c r="BD55" i="24"/>
  <c r="BD56" i="24"/>
  <c r="BD57" i="24"/>
  <c r="BD58" i="24"/>
  <c r="BD59" i="24"/>
  <c r="BD60" i="24"/>
  <c r="BD61" i="24"/>
  <c r="BD62" i="24"/>
  <c r="BD63" i="24"/>
  <c r="BD64" i="24"/>
  <c r="BD65" i="24"/>
  <c r="BD66" i="24"/>
  <c r="BD67" i="24"/>
  <c r="BD68" i="24"/>
  <c r="BD69" i="24"/>
  <c r="BD70" i="24"/>
  <c r="BD71" i="24"/>
  <c r="BD72" i="24"/>
  <c r="BD73" i="24"/>
  <c r="BD74" i="24"/>
  <c r="BD75" i="24"/>
  <c r="BD76" i="24"/>
  <c r="BD77" i="24"/>
  <c r="BD78" i="24"/>
  <c r="BD79" i="24"/>
  <c r="BD80" i="24"/>
  <c r="BD81" i="24"/>
  <c r="BD82" i="24"/>
  <c r="BD83" i="24"/>
  <c r="BD48" i="24"/>
  <c r="BC48" i="24"/>
  <c r="BC49" i="24"/>
  <c r="BC50" i="24"/>
  <c r="BC51" i="24"/>
  <c r="BC52" i="24"/>
  <c r="BC53" i="24"/>
  <c r="BC54" i="24"/>
  <c r="BC55" i="24"/>
  <c r="BC56" i="24"/>
  <c r="BC57" i="24"/>
  <c r="BC58" i="24"/>
  <c r="BC59" i="24"/>
  <c r="BC60" i="24"/>
  <c r="BC61" i="24"/>
  <c r="BC62" i="24"/>
  <c r="BC63" i="24"/>
  <c r="BC64" i="24"/>
  <c r="BC65" i="24"/>
  <c r="BC66" i="24"/>
  <c r="BC67" i="24"/>
  <c r="BC68" i="24"/>
  <c r="BC69" i="24"/>
  <c r="BC70" i="24"/>
  <c r="BC71" i="24"/>
  <c r="BC72" i="24"/>
  <c r="BC73" i="24"/>
  <c r="BC74" i="24"/>
  <c r="BC75" i="24"/>
  <c r="BC76" i="24"/>
  <c r="BC77" i="24"/>
  <c r="BC78" i="24"/>
  <c r="BC79" i="24"/>
  <c r="BC80" i="24"/>
  <c r="BC81" i="24"/>
  <c r="BC82" i="24"/>
  <c r="BC47" i="24"/>
  <c r="BB47" i="24"/>
  <c r="BB48" i="24"/>
  <c r="BB49" i="24"/>
  <c r="BB50" i="24"/>
  <c r="BB51" i="24"/>
  <c r="BB52" i="24"/>
  <c r="BB53" i="24"/>
  <c r="BB54" i="24"/>
  <c r="BB55" i="24"/>
  <c r="BB56" i="24"/>
  <c r="BB57" i="24"/>
  <c r="BB58" i="24"/>
  <c r="BB59" i="24"/>
  <c r="BB60" i="24"/>
  <c r="BB61" i="24"/>
  <c r="BB62" i="24"/>
  <c r="BB63" i="24"/>
  <c r="BB64" i="24"/>
  <c r="BB65" i="24"/>
  <c r="BB66" i="24"/>
  <c r="BB67" i="24"/>
  <c r="BB68" i="24"/>
  <c r="BB69" i="24"/>
  <c r="BB70" i="24"/>
  <c r="BB71" i="24"/>
  <c r="BB72" i="24"/>
  <c r="BB73" i="24"/>
  <c r="BB74" i="24"/>
  <c r="BB75" i="24"/>
  <c r="BB76" i="24"/>
  <c r="BB77" i="24"/>
  <c r="BB78" i="24"/>
  <c r="BB79" i="24"/>
  <c r="BB80" i="24"/>
  <c r="BB81" i="24"/>
  <c r="BB46" i="24"/>
  <c r="G48" i="27"/>
  <c r="BF52" i="27" s="1"/>
  <c r="BD49" i="23"/>
  <c r="BD50" i="23"/>
  <c r="BD51" i="23"/>
  <c r="BD52" i="23"/>
  <c r="BD53" i="23"/>
  <c r="BD54" i="23"/>
  <c r="BD55" i="23"/>
  <c r="BD56" i="23"/>
  <c r="BD57" i="23"/>
  <c r="BD58" i="23"/>
  <c r="BD59" i="23"/>
  <c r="BD60" i="23"/>
  <c r="BD61" i="23"/>
  <c r="BD62" i="23"/>
  <c r="BD63" i="23"/>
  <c r="BD64" i="23"/>
  <c r="BD65" i="23"/>
  <c r="BD66" i="23"/>
  <c r="BD67" i="23"/>
  <c r="BD68" i="23"/>
  <c r="BD69" i="23"/>
  <c r="BD70" i="23"/>
  <c r="BD71" i="23"/>
  <c r="BD72" i="23"/>
  <c r="BD73" i="23"/>
  <c r="BD74" i="23"/>
  <c r="BD75" i="23"/>
  <c r="BD76" i="23"/>
  <c r="BD77" i="23"/>
  <c r="BD78" i="23"/>
  <c r="BD79" i="23"/>
  <c r="BD80" i="23"/>
  <c r="BD81" i="23"/>
  <c r="BD82" i="23"/>
  <c r="BD83" i="23"/>
  <c r="BD84" i="23"/>
  <c r="BD85" i="23"/>
  <c r="BD86" i="23"/>
  <c r="BD87" i="23"/>
  <c r="BD88" i="23"/>
  <c r="BD89" i="23"/>
  <c r="BD90" i="23"/>
  <c r="BD91" i="23"/>
  <c r="BD92" i="23"/>
  <c r="BD93" i="23"/>
  <c r="BD94" i="23"/>
  <c r="BD95" i="23"/>
  <c r="BD96" i="23"/>
  <c r="BD97" i="23"/>
  <c r="BD98" i="23"/>
  <c r="BD99" i="23"/>
  <c r="BD100" i="23"/>
  <c r="BD101" i="23"/>
  <c r="BD102" i="23"/>
  <c r="BD103" i="23"/>
  <c r="BD104" i="23"/>
  <c r="BD105" i="23"/>
  <c r="BD106" i="23"/>
  <c r="BD107" i="23"/>
  <c r="BN107" i="23" s="1"/>
  <c r="BD48" i="23"/>
  <c r="BF54" i="27"/>
  <c r="BF57" i="27"/>
  <c r="BF60" i="27"/>
  <c r="BF64" i="27"/>
  <c r="BF67" i="27"/>
  <c r="BF69" i="27"/>
  <c r="BF73" i="27"/>
  <c r="BF75" i="27"/>
  <c r="BF77" i="27"/>
  <c r="BF81" i="27"/>
  <c r="BF83" i="27"/>
  <c r="BF85" i="27"/>
  <c r="BF89" i="27"/>
  <c r="BF91" i="27"/>
  <c r="BF93" i="27"/>
  <c r="BF97" i="27"/>
  <c r="BF99" i="27"/>
  <c r="BF101" i="27"/>
  <c r="BF105" i="27"/>
  <c r="BF107" i="27"/>
  <c r="BF109" i="27"/>
  <c r="BF113" i="27"/>
  <c r="BF115" i="27"/>
  <c r="BF117" i="27"/>
  <c r="BF121" i="27"/>
  <c r="BF123" i="27"/>
  <c r="BF124" i="27"/>
  <c r="BF127" i="27"/>
  <c r="BF128" i="27"/>
  <c r="BF129" i="27"/>
  <c r="BF48" i="27"/>
  <c r="BF58" i="27"/>
  <c r="BF49" i="27"/>
  <c r="BC48" i="23"/>
  <c r="BC49" i="23"/>
  <c r="BC50" i="23"/>
  <c r="BC51" i="23"/>
  <c r="BC52" i="23"/>
  <c r="BC53" i="23"/>
  <c r="BC54" i="23"/>
  <c r="BC55" i="23"/>
  <c r="BC56" i="23"/>
  <c r="BC57" i="23"/>
  <c r="BC58" i="23"/>
  <c r="BC59" i="23"/>
  <c r="BC60" i="23"/>
  <c r="BC61" i="23"/>
  <c r="BC62" i="23"/>
  <c r="BC63" i="23"/>
  <c r="BC64" i="23"/>
  <c r="BC65" i="23"/>
  <c r="BC66" i="23"/>
  <c r="BC67" i="23"/>
  <c r="BC68" i="23"/>
  <c r="BC69" i="23"/>
  <c r="BC70" i="23"/>
  <c r="BC71" i="23"/>
  <c r="BC72" i="23"/>
  <c r="BC73" i="23"/>
  <c r="BC74" i="23"/>
  <c r="BC75" i="23"/>
  <c r="BC76" i="23"/>
  <c r="BC77" i="23"/>
  <c r="BC78" i="23"/>
  <c r="BC79" i="23"/>
  <c r="BC80" i="23"/>
  <c r="BC81" i="23"/>
  <c r="BC82" i="23"/>
  <c r="BC83" i="23"/>
  <c r="BC84" i="23"/>
  <c r="BC85" i="23"/>
  <c r="BC86" i="23"/>
  <c r="BC87" i="23"/>
  <c r="BC88" i="23"/>
  <c r="BC89" i="23"/>
  <c r="BC90" i="23"/>
  <c r="BC91" i="23"/>
  <c r="BC92" i="23"/>
  <c r="BC93" i="23"/>
  <c r="BC94" i="23"/>
  <c r="BC95" i="23"/>
  <c r="BC96" i="23"/>
  <c r="BC97" i="23"/>
  <c r="BC98" i="23"/>
  <c r="BC99" i="23"/>
  <c r="BC100" i="23"/>
  <c r="BC101" i="23"/>
  <c r="BC102" i="23"/>
  <c r="BC103" i="23"/>
  <c r="BC104" i="23"/>
  <c r="BC105" i="23"/>
  <c r="BC106" i="23"/>
  <c r="BC47" i="23"/>
  <c r="BB47" i="23"/>
  <c r="BB48" i="23"/>
  <c r="BB49" i="23"/>
  <c r="BB50" i="23"/>
  <c r="BB51" i="23"/>
  <c r="BB52" i="23"/>
  <c r="BB53" i="23"/>
  <c r="BB54" i="23"/>
  <c r="BB55" i="23"/>
  <c r="BB56" i="23"/>
  <c r="BB57" i="23"/>
  <c r="BB58" i="23"/>
  <c r="BB59" i="23"/>
  <c r="BB60" i="23"/>
  <c r="BB61" i="23"/>
  <c r="BB62" i="23"/>
  <c r="BB63" i="23"/>
  <c r="BB64" i="23"/>
  <c r="BB65" i="23"/>
  <c r="BB66" i="23"/>
  <c r="BB67" i="23"/>
  <c r="BB68" i="23"/>
  <c r="BB69" i="23"/>
  <c r="BB70" i="23"/>
  <c r="BB71" i="23"/>
  <c r="BB72" i="23"/>
  <c r="BB73" i="23"/>
  <c r="BB74" i="23"/>
  <c r="BB75" i="23"/>
  <c r="BB76" i="23"/>
  <c r="BB77" i="23"/>
  <c r="BB78" i="23"/>
  <c r="BB79" i="23"/>
  <c r="BB80" i="23"/>
  <c r="BB81" i="23"/>
  <c r="BB82" i="23"/>
  <c r="BB83" i="23"/>
  <c r="BB84" i="23"/>
  <c r="BB85" i="23"/>
  <c r="BB86" i="23"/>
  <c r="BB87" i="23"/>
  <c r="BB88" i="23"/>
  <c r="BB89" i="23"/>
  <c r="BB90" i="23"/>
  <c r="BB91" i="23"/>
  <c r="BB92" i="23"/>
  <c r="BB93" i="23"/>
  <c r="BB94" i="23"/>
  <c r="BB95" i="23"/>
  <c r="BB96" i="23"/>
  <c r="BB97" i="23"/>
  <c r="BB98" i="23"/>
  <c r="BB99" i="23"/>
  <c r="BB100" i="23"/>
  <c r="BB101" i="23"/>
  <c r="BB102" i="23"/>
  <c r="BB103" i="23"/>
  <c r="BB104" i="23"/>
  <c r="BB105" i="23"/>
  <c r="BN105" i="23"/>
  <c r="BB46" i="23"/>
  <c r="G47" i="27"/>
  <c r="BE87" i="27" s="1"/>
  <c r="G46" i="27"/>
  <c r="BE55" i="27"/>
  <c r="BE63" i="27"/>
  <c r="BE71" i="27"/>
  <c r="BE95" i="27"/>
  <c r="BE103" i="27"/>
  <c r="BE119" i="27"/>
  <c r="BE48" i="27"/>
  <c r="BE64" i="27"/>
  <c r="BE72" i="27"/>
  <c r="BE96" i="27"/>
  <c r="BE104" i="27"/>
  <c r="BE112" i="27"/>
  <c r="BE126" i="27"/>
  <c r="BE49" i="27"/>
  <c r="BE65" i="27"/>
  <c r="BE81" i="27"/>
  <c r="BE97" i="27"/>
  <c r="BE105" i="27"/>
  <c r="BE129" i="27"/>
  <c r="BE50" i="27"/>
  <c r="BE58" i="27"/>
  <c r="BE82" i="27"/>
  <c r="BE90" i="27"/>
  <c r="BE106" i="27"/>
  <c r="BE122" i="27"/>
  <c r="BE78" i="27"/>
  <c r="BE59" i="27"/>
  <c r="BE67" i="27"/>
  <c r="BE75" i="27"/>
  <c r="BE99" i="27"/>
  <c r="BE107" i="27"/>
  <c r="BE123" i="27"/>
  <c r="BE52" i="27"/>
  <c r="BE68" i="27"/>
  <c r="BE76" i="27"/>
  <c r="BE100" i="27"/>
  <c r="BE108" i="27"/>
  <c r="BE116" i="27"/>
  <c r="BE70" i="27"/>
  <c r="BE86" i="27"/>
  <c r="BE118" i="27"/>
  <c r="BE61" i="27"/>
  <c r="BE77" i="27"/>
  <c r="BE85" i="27"/>
  <c r="BE109" i="27"/>
  <c r="BE117" i="27"/>
  <c r="BE125" i="27"/>
  <c r="BD50" i="27"/>
  <c r="BD51" i="27"/>
  <c r="BD59" i="27"/>
  <c r="BD67" i="27"/>
  <c r="BD75" i="27"/>
  <c r="BD83" i="27"/>
  <c r="BD91" i="27"/>
  <c r="BD99" i="27"/>
  <c r="BD107" i="27"/>
  <c r="BD115" i="27"/>
  <c r="BD123" i="27"/>
  <c r="BD100" i="27"/>
  <c r="BD121" i="27"/>
  <c r="BD58" i="27"/>
  <c r="BD106" i="27"/>
  <c r="BD52" i="27"/>
  <c r="BD60" i="27"/>
  <c r="BD68" i="27"/>
  <c r="BD76" i="27"/>
  <c r="BD84" i="27"/>
  <c r="BD92" i="27"/>
  <c r="BD108" i="27"/>
  <c r="BD116" i="27"/>
  <c r="BD124" i="27"/>
  <c r="BD98" i="27"/>
  <c r="BD53" i="27"/>
  <c r="BD61" i="27"/>
  <c r="BD69" i="27"/>
  <c r="BD77" i="27"/>
  <c r="BD85" i="27"/>
  <c r="BD93" i="27"/>
  <c r="BD101" i="27"/>
  <c r="BD109" i="27"/>
  <c r="BD117" i="27"/>
  <c r="BD125" i="27"/>
  <c r="BD49" i="27"/>
  <c r="BD81" i="27"/>
  <c r="BD97" i="27"/>
  <c r="BD66" i="27"/>
  <c r="BD114" i="27"/>
  <c r="BD54" i="27"/>
  <c r="BD62" i="27"/>
  <c r="BD70" i="27"/>
  <c r="BD78" i="27"/>
  <c r="BD86" i="27"/>
  <c r="BD94" i="27"/>
  <c r="BD102" i="27"/>
  <c r="BD110" i="27"/>
  <c r="BD118" i="27"/>
  <c r="BD126" i="27"/>
  <c r="BD73" i="27"/>
  <c r="BD74" i="27"/>
  <c r="BD46" i="27"/>
  <c r="BD47" i="27"/>
  <c r="BD55" i="27"/>
  <c r="BD63" i="27"/>
  <c r="BD71" i="27"/>
  <c r="BD79" i="27"/>
  <c r="BD87" i="27"/>
  <c r="BD95" i="27"/>
  <c r="BD103" i="27"/>
  <c r="BD111" i="27"/>
  <c r="BD119" i="27"/>
  <c r="BD127" i="27"/>
  <c r="BD57" i="27"/>
  <c r="BD89" i="27"/>
  <c r="BD105" i="27"/>
  <c r="BD129" i="27"/>
  <c r="BD82" i="27"/>
  <c r="BD122" i="27"/>
  <c r="BD48" i="27"/>
  <c r="BD56" i="27"/>
  <c r="BD64" i="27"/>
  <c r="BD72" i="27"/>
  <c r="BD80" i="27"/>
  <c r="BD88" i="27"/>
  <c r="BD96" i="27"/>
  <c r="BD104" i="27"/>
  <c r="BD112" i="27"/>
  <c r="BD120" i="27"/>
  <c r="BD128" i="27"/>
  <c r="BD65" i="27"/>
  <c r="BD113" i="27"/>
  <c r="BD90" i="27"/>
  <c r="O79" i="29"/>
  <c r="O76" i="29"/>
  <c r="O75" i="29"/>
  <c r="O74" i="29"/>
  <c r="O73" i="29"/>
  <c r="O72" i="29"/>
  <c r="O71" i="29"/>
  <c r="O70" i="29"/>
  <c r="O69" i="29"/>
  <c r="N77" i="29"/>
  <c r="M77" i="29"/>
  <c r="L77" i="29"/>
  <c r="L81" i="29" s="1"/>
  <c r="K77" i="29"/>
  <c r="J77" i="29"/>
  <c r="I77" i="29"/>
  <c r="H77" i="29"/>
  <c r="G77" i="29"/>
  <c r="F77" i="29"/>
  <c r="O66" i="29"/>
  <c r="O65" i="29"/>
  <c r="O64" i="29"/>
  <c r="O63" i="29"/>
  <c r="O62" i="29"/>
  <c r="O61" i="29"/>
  <c r="O60" i="29"/>
  <c r="N67" i="29"/>
  <c r="N81" i="29"/>
  <c r="M67" i="29"/>
  <c r="M81" i="29" s="1"/>
  <c r="L67" i="29"/>
  <c r="K67" i="29"/>
  <c r="K81" i="29" s="1"/>
  <c r="J67" i="29"/>
  <c r="I67" i="29"/>
  <c r="I81" i="29"/>
  <c r="H67" i="29"/>
  <c r="H81" i="29" s="1"/>
  <c r="G67" i="29"/>
  <c r="G81" i="29" s="1"/>
  <c r="F67" i="29"/>
  <c r="F81" i="29" s="1"/>
  <c r="J81" i="29"/>
  <c r="CV149" i="5"/>
  <c r="CT176" i="5"/>
  <c r="CT150" i="5"/>
  <c r="CQ150" i="5"/>
  <c r="CQ151" i="5"/>
  <c r="CQ149" i="5"/>
  <c r="CR149" i="5"/>
  <c r="Q27" i="30"/>
  <c r="CL153" i="5" s="1"/>
  <c r="Q24" i="30"/>
  <c r="CL150" i="5" s="1"/>
  <c r="V7" i="30"/>
  <c r="V6" i="30"/>
  <c r="AA5" i="30"/>
  <c r="AA7" i="30" s="1"/>
  <c r="AA16" i="30" s="1"/>
  <c r="T71" i="30" s="1"/>
  <c r="V5" i="30"/>
  <c r="CV176" i="5"/>
  <c r="V8" i="30"/>
  <c r="T8" i="30"/>
  <c r="S28" i="30"/>
  <c r="CN154" i="5" s="1"/>
  <c r="U34" i="30"/>
  <c r="O26" i="29"/>
  <c r="O23" i="29"/>
  <c r="O22" i="29"/>
  <c r="O21" i="29"/>
  <c r="O20" i="29"/>
  <c r="O19" i="29"/>
  <c r="O18" i="29"/>
  <c r="O17" i="29"/>
  <c r="O16" i="29"/>
  <c r="O13" i="29"/>
  <c r="O12" i="29"/>
  <c r="O11" i="29"/>
  <c r="O10" i="29"/>
  <c r="O14" i="29" s="1"/>
  <c r="O9" i="29"/>
  <c r="O8" i="29"/>
  <c r="O7" i="29"/>
  <c r="O6" i="29"/>
  <c r="CG146" i="5"/>
  <c r="I52" i="23"/>
  <c r="J14" i="29"/>
  <c r="AJ51" i="17"/>
  <c r="AJ52" i="17"/>
  <c r="D14" i="28"/>
  <c r="D12" i="28"/>
  <c r="D13" i="28"/>
  <c r="D15" i="28"/>
  <c r="D16" i="28"/>
  <c r="D17" i="28"/>
  <c r="D27" i="28"/>
  <c r="I51" i="29"/>
  <c r="E41" i="29"/>
  <c r="C51" i="29"/>
  <c r="O50" i="29"/>
  <c r="M51" i="29"/>
  <c r="E51" i="29"/>
  <c r="E77" i="29"/>
  <c r="C24" i="29"/>
  <c r="H41" i="29"/>
  <c r="D41" i="29"/>
  <c r="G41" i="29"/>
  <c r="F41" i="29"/>
  <c r="L51" i="29"/>
  <c r="H51" i="29"/>
  <c r="D51" i="29"/>
  <c r="K51" i="29"/>
  <c r="G51" i="29"/>
  <c r="N51" i="29"/>
  <c r="J51" i="29"/>
  <c r="F51" i="29"/>
  <c r="D67" i="29"/>
  <c r="D81" i="29" s="1"/>
  <c r="D77" i="29"/>
  <c r="C77" i="29"/>
  <c r="C41" i="29"/>
  <c r="G24" i="29"/>
  <c r="N24" i="29"/>
  <c r="J24" i="29"/>
  <c r="J28" i="29" s="1"/>
  <c r="F24" i="29"/>
  <c r="K24" i="29"/>
  <c r="E14" i="29"/>
  <c r="M24" i="29"/>
  <c r="I24" i="29"/>
  <c r="I28" i="29" s="1"/>
  <c r="E24" i="29"/>
  <c r="L24" i="29"/>
  <c r="H24" i="29"/>
  <c r="D24" i="29"/>
  <c r="I14" i="29"/>
  <c r="L14" i="29"/>
  <c r="L28" i="29" s="1"/>
  <c r="H14" i="29"/>
  <c r="D14" i="29"/>
  <c r="D28" i="29" s="1"/>
  <c r="K14" i="29"/>
  <c r="K28" i="29" s="1"/>
  <c r="G14" i="29"/>
  <c r="N14" i="29"/>
  <c r="N28" i="29" s="1"/>
  <c r="F14" i="29"/>
  <c r="F28" i="29" s="1"/>
  <c r="M14" i="29"/>
  <c r="C14" i="29"/>
  <c r="F55" i="29"/>
  <c r="G55" i="29"/>
  <c r="E81" i="29"/>
  <c r="C81" i="29"/>
  <c r="BA46" i="24"/>
  <c r="BA47" i="24"/>
  <c r="BA48" i="24"/>
  <c r="BA49" i="24"/>
  <c r="BA50" i="24"/>
  <c r="BA51" i="24"/>
  <c r="BA52" i="24"/>
  <c r="BA53" i="24"/>
  <c r="BA54" i="24"/>
  <c r="BA55" i="24"/>
  <c r="BA56" i="24"/>
  <c r="BA57" i="24"/>
  <c r="BA58" i="24"/>
  <c r="BA59" i="24"/>
  <c r="BA60" i="24"/>
  <c r="BA61" i="24"/>
  <c r="BA62" i="24"/>
  <c r="BA63" i="24"/>
  <c r="BA64" i="24"/>
  <c r="BA65" i="24"/>
  <c r="BA66" i="24"/>
  <c r="BA67" i="24"/>
  <c r="BA68" i="24"/>
  <c r="BA69" i="24"/>
  <c r="BA70" i="24"/>
  <c r="BA71" i="24"/>
  <c r="BA72" i="24"/>
  <c r="BA73" i="24"/>
  <c r="BA74" i="24"/>
  <c r="BA75" i="24"/>
  <c r="BA76" i="24"/>
  <c r="BA77" i="24"/>
  <c r="BA78" i="24"/>
  <c r="BA79" i="24"/>
  <c r="BA80" i="24"/>
  <c r="AZ45" i="24"/>
  <c r="AZ46" i="24"/>
  <c r="AZ47" i="24"/>
  <c r="AZ48" i="24"/>
  <c r="AZ49" i="24"/>
  <c r="AZ50" i="24"/>
  <c r="AZ51" i="24"/>
  <c r="AZ52" i="24"/>
  <c r="AZ53" i="24"/>
  <c r="AZ54" i="24"/>
  <c r="AZ55" i="24"/>
  <c r="AZ56" i="24"/>
  <c r="AZ57" i="24"/>
  <c r="AZ58" i="24"/>
  <c r="AZ59" i="24"/>
  <c r="AZ60" i="24"/>
  <c r="AZ61" i="24"/>
  <c r="AZ62" i="24"/>
  <c r="AZ63" i="24"/>
  <c r="AZ64" i="24"/>
  <c r="AZ65" i="24"/>
  <c r="AZ66" i="24"/>
  <c r="AZ67" i="24"/>
  <c r="AZ68" i="24"/>
  <c r="AZ69" i="24"/>
  <c r="AZ70" i="24"/>
  <c r="AZ71" i="24"/>
  <c r="AZ72" i="24"/>
  <c r="AZ73" i="24"/>
  <c r="AZ74" i="24"/>
  <c r="AZ75" i="24"/>
  <c r="AZ76" i="24"/>
  <c r="AZ77" i="24"/>
  <c r="AZ78" i="24"/>
  <c r="AZ79" i="24"/>
  <c r="AY44" i="24"/>
  <c r="AY45" i="24"/>
  <c r="AY46" i="24"/>
  <c r="AY47" i="24"/>
  <c r="AY48" i="24"/>
  <c r="AY49" i="24"/>
  <c r="AY50" i="24"/>
  <c r="AY51" i="24"/>
  <c r="AY52" i="24"/>
  <c r="AY53" i="24"/>
  <c r="AY54" i="24"/>
  <c r="AY55" i="24"/>
  <c r="AY56" i="24"/>
  <c r="AY57" i="24"/>
  <c r="AY58" i="24"/>
  <c r="AY59" i="24"/>
  <c r="AY60" i="24"/>
  <c r="AY61" i="24"/>
  <c r="AY62" i="24"/>
  <c r="AY63" i="24"/>
  <c r="AY64" i="24"/>
  <c r="AY65" i="24"/>
  <c r="AY66" i="24"/>
  <c r="AY67" i="24"/>
  <c r="AY68" i="24"/>
  <c r="AY69" i="24"/>
  <c r="AY70" i="24"/>
  <c r="AY71" i="24"/>
  <c r="AY72" i="24"/>
  <c r="AY73" i="24"/>
  <c r="AY74" i="24"/>
  <c r="AY75" i="24"/>
  <c r="AY76" i="24"/>
  <c r="AY77" i="24"/>
  <c r="AY78" i="24"/>
  <c r="BA45" i="24"/>
  <c r="AZ44" i="24"/>
  <c r="AY43" i="24"/>
  <c r="BA46" i="23"/>
  <c r="BA47" i="23"/>
  <c r="BA48" i="23"/>
  <c r="BA49" i="23"/>
  <c r="BA50" i="23"/>
  <c r="BA51" i="23"/>
  <c r="BA52" i="23"/>
  <c r="BA53" i="23"/>
  <c r="BA54" i="23"/>
  <c r="BA55" i="23"/>
  <c r="BA56" i="23"/>
  <c r="BA57" i="23"/>
  <c r="BA58" i="23"/>
  <c r="BA59" i="23"/>
  <c r="BA60" i="23"/>
  <c r="BA61" i="23"/>
  <c r="BA62" i="23"/>
  <c r="BA63" i="23"/>
  <c r="BA64" i="23"/>
  <c r="BA65" i="23"/>
  <c r="BA66" i="23"/>
  <c r="BA67" i="23"/>
  <c r="BA68" i="23"/>
  <c r="BA69" i="23"/>
  <c r="BA70" i="23"/>
  <c r="BA71" i="23"/>
  <c r="BA72" i="23"/>
  <c r="BA73" i="23"/>
  <c r="BA74" i="23"/>
  <c r="BA75" i="23"/>
  <c r="BA76" i="23"/>
  <c r="BA77" i="23"/>
  <c r="BA78" i="23"/>
  <c r="BA79" i="23"/>
  <c r="BA80" i="23"/>
  <c r="BA81" i="23"/>
  <c r="BA82" i="23"/>
  <c r="BA83" i="23"/>
  <c r="BA84" i="23"/>
  <c r="BA85" i="23"/>
  <c r="BA86" i="23"/>
  <c r="BA87" i="23"/>
  <c r="BA88" i="23"/>
  <c r="BA89" i="23"/>
  <c r="BA90" i="23"/>
  <c r="BA91" i="23"/>
  <c r="BA92" i="23"/>
  <c r="BA93" i="23"/>
  <c r="BA94" i="23"/>
  <c r="BA95" i="23"/>
  <c r="BA96" i="23"/>
  <c r="BA97" i="23"/>
  <c r="BA98" i="23"/>
  <c r="BA99" i="23"/>
  <c r="BA100" i="23"/>
  <c r="BA101" i="23"/>
  <c r="BA102" i="23"/>
  <c r="BA103" i="23"/>
  <c r="BA104" i="23"/>
  <c r="BN104" i="23" s="1"/>
  <c r="AZ45" i="23"/>
  <c r="AZ46" i="23"/>
  <c r="AZ47" i="23"/>
  <c r="AZ48" i="23"/>
  <c r="AZ49" i="23"/>
  <c r="AZ50" i="23"/>
  <c r="AZ51" i="23"/>
  <c r="AZ52" i="23"/>
  <c r="AZ53" i="23"/>
  <c r="AZ54" i="23"/>
  <c r="AZ55" i="23"/>
  <c r="AZ56" i="23"/>
  <c r="AZ57" i="23"/>
  <c r="AZ58" i="23"/>
  <c r="AZ59" i="23"/>
  <c r="AZ60" i="23"/>
  <c r="AZ61" i="23"/>
  <c r="AZ62" i="23"/>
  <c r="AZ63" i="23"/>
  <c r="AZ64" i="23"/>
  <c r="AZ65" i="23"/>
  <c r="AZ66" i="23"/>
  <c r="AZ67" i="23"/>
  <c r="AZ68" i="23"/>
  <c r="AZ69" i="23"/>
  <c r="AZ70" i="23"/>
  <c r="AZ71" i="23"/>
  <c r="AZ72" i="23"/>
  <c r="AZ73" i="23"/>
  <c r="AZ74" i="23"/>
  <c r="AZ75" i="23"/>
  <c r="AZ76" i="23"/>
  <c r="AZ77" i="23"/>
  <c r="AZ78" i="23"/>
  <c r="AZ79" i="23"/>
  <c r="AZ80" i="23"/>
  <c r="AZ81" i="23"/>
  <c r="AZ82" i="23"/>
  <c r="AZ83" i="23"/>
  <c r="AZ84" i="23"/>
  <c r="AZ85" i="23"/>
  <c r="AZ86" i="23"/>
  <c r="AZ87" i="23"/>
  <c r="AZ88" i="23"/>
  <c r="AZ89" i="23"/>
  <c r="AZ90" i="23"/>
  <c r="AZ91" i="23"/>
  <c r="AZ92" i="23"/>
  <c r="AZ93" i="23"/>
  <c r="AZ94" i="23"/>
  <c r="AZ95" i="23"/>
  <c r="AZ96" i="23"/>
  <c r="AZ97" i="23"/>
  <c r="AZ98" i="23"/>
  <c r="AZ99" i="23"/>
  <c r="AZ100" i="23"/>
  <c r="AZ101" i="23"/>
  <c r="AZ102" i="23"/>
  <c r="AZ103" i="23"/>
  <c r="BN103" i="23" s="1"/>
  <c r="AY44" i="23"/>
  <c r="AY45" i="23"/>
  <c r="AY46" i="23"/>
  <c r="AY47" i="23"/>
  <c r="AY48" i="23"/>
  <c r="AY49" i="23"/>
  <c r="AY50" i="23"/>
  <c r="AY51" i="23"/>
  <c r="AY52" i="23"/>
  <c r="AY53" i="23"/>
  <c r="AY54" i="23"/>
  <c r="AY55" i="23"/>
  <c r="AY56" i="23"/>
  <c r="AY57" i="23"/>
  <c r="AY58" i="23"/>
  <c r="AY59" i="23"/>
  <c r="AY60" i="23"/>
  <c r="AY61" i="23"/>
  <c r="AY62" i="23"/>
  <c r="AY63" i="23"/>
  <c r="AY64" i="23"/>
  <c r="AY65" i="23"/>
  <c r="AY66" i="23"/>
  <c r="AY67" i="23"/>
  <c r="AY68" i="23"/>
  <c r="AY69" i="23"/>
  <c r="AY70" i="23"/>
  <c r="AY71" i="23"/>
  <c r="AY72" i="23"/>
  <c r="AY73" i="23"/>
  <c r="AY74" i="23"/>
  <c r="AY75" i="23"/>
  <c r="AY76" i="23"/>
  <c r="AY77" i="23"/>
  <c r="AY78" i="23"/>
  <c r="AY79" i="23"/>
  <c r="AY80" i="23"/>
  <c r="AY81" i="23"/>
  <c r="AY82" i="23"/>
  <c r="AY83" i="23"/>
  <c r="AY84" i="23"/>
  <c r="AY85" i="23"/>
  <c r="AY86" i="23"/>
  <c r="AY87" i="23"/>
  <c r="AY88" i="23"/>
  <c r="AY89" i="23"/>
  <c r="AY90" i="23"/>
  <c r="AY91" i="23"/>
  <c r="AY92" i="23"/>
  <c r="AY93" i="23"/>
  <c r="AY94" i="23"/>
  <c r="AY95" i="23"/>
  <c r="AY96" i="23"/>
  <c r="AY97" i="23"/>
  <c r="AY98" i="23"/>
  <c r="AY99" i="23"/>
  <c r="AY100" i="23"/>
  <c r="AY101" i="23"/>
  <c r="AY102" i="23"/>
  <c r="BN102" i="23"/>
  <c r="BA45" i="23"/>
  <c r="AZ44" i="23"/>
  <c r="AY43" i="23"/>
  <c r="K103" i="25"/>
  <c r="K104" i="25"/>
  <c r="K105" i="25"/>
  <c r="G43" i="27"/>
  <c r="BA62" i="27"/>
  <c r="G44" i="27"/>
  <c r="BB98" i="27" s="1"/>
  <c r="G45" i="27"/>
  <c r="BC70" i="27"/>
  <c r="BB114" i="27"/>
  <c r="BA94" i="27"/>
  <c r="BC47" i="27"/>
  <c r="BC51" i="27"/>
  <c r="BC55" i="27"/>
  <c r="BC59" i="27"/>
  <c r="BC63" i="27"/>
  <c r="BC67" i="27"/>
  <c r="BC71" i="27"/>
  <c r="BC75" i="27"/>
  <c r="BC79" i="27"/>
  <c r="BC83" i="27"/>
  <c r="BC87" i="27"/>
  <c r="BC91" i="27"/>
  <c r="BC95" i="27"/>
  <c r="BC99" i="27"/>
  <c r="BC103" i="27"/>
  <c r="BC107" i="27"/>
  <c r="BC111" i="27"/>
  <c r="BC115" i="27"/>
  <c r="BC119" i="27"/>
  <c r="BC123" i="27"/>
  <c r="BC127" i="27"/>
  <c r="BC45" i="27"/>
  <c r="BC48" i="27"/>
  <c r="BC52" i="27"/>
  <c r="BC56" i="27"/>
  <c r="BC60" i="27"/>
  <c r="BC64" i="27"/>
  <c r="BC68" i="27"/>
  <c r="BC72" i="27"/>
  <c r="BC76" i="27"/>
  <c r="BC80" i="27"/>
  <c r="BC84" i="27"/>
  <c r="BC88" i="27"/>
  <c r="BC92" i="27"/>
  <c r="BC96" i="27"/>
  <c r="BC100" i="27"/>
  <c r="BC104" i="27"/>
  <c r="BC108" i="27"/>
  <c r="BC112" i="27"/>
  <c r="BC116" i="27"/>
  <c r="BC120" i="27"/>
  <c r="BC124" i="27"/>
  <c r="BC128" i="27"/>
  <c r="BC49" i="27"/>
  <c r="BC53" i="27"/>
  <c r="BC57" i="27"/>
  <c r="BC61" i="27"/>
  <c r="BC65" i="27"/>
  <c r="BC69" i="27"/>
  <c r="BC73" i="27"/>
  <c r="BC77" i="27"/>
  <c r="BC81" i="27"/>
  <c r="BC85" i="27"/>
  <c r="BC89" i="27"/>
  <c r="BC93" i="27"/>
  <c r="BC97" i="27"/>
  <c r="BC101" i="27"/>
  <c r="BC105" i="27"/>
  <c r="BC109" i="27"/>
  <c r="BC113" i="27"/>
  <c r="BC117" i="27"/>
  <c r="BC121" i="27"/>
  <c r="BC125" i="27"/>
  <c r="BC58" i="27"/>
  <c r="BC74" i="27"/>
  <c r="BC90" i="27"/>
  <c r="BC106" i="27"/>
  <c r="BC122" i="27"/>
  <c r="BC46" i="27"/>
  <c r="BC62" i="27"/>
  <c r="BC78" i="27"/>
  <c r="BC94" i="27"/>
  <c r="BC110" i="27"/>
  <c r="BC126" i="27"/>
  <c r="BC50" i="27"/>
  <c r="BC66" i="27"/>
  <c r="BC82" i="27"/>
  <c r="BC98" i="27"/>
  <c r="BC114" i="27"/>
  <c r="BA78" i="27"/>
  <c r="BC118" i="27"/>
  <c r="BC54" i="27"/>
  <c r="BB47" i="27"/>
  <c r="BB51" i="27"/>
  <c r="BB59" i="27"/>
  <c r="BB63" i="27"/>
  <c r="BB67" i="27"/>
  <c r="BB75" i="27"/>
  <c r="BB79" i="27"/>
  <c r="BB83" i="27"/>
  <c r="BB91" i="27"/>
  <c r="BB95" i="27"/>
  <c r="BB99" i="27"/>
  <c r="BB107" i="27"/>
  <c r="BB111" i="27"/>
  <c r="BB115" i="27"/>
  <c r="BB123" i="27"/>
  <c r="BB127" i="27"/>
  <c r="BB52" i="27"/>
  <c r="BB56" i="27"/>
  <c r="BB60" i="27"/>
  <c r="BB68" i="27"/>
  <c r="BB72" i="27"/>
  <c r="BB76" i="27"/>
  <c r="BB84" i="27"/>
  <c r="BB88" i="27"/>
  <c r="BB92" i="27"/>
  <c r="BB100" i="27"/>
  <c r="BB104" i="27"/>
  <c r="BB108" i="27"/>
  <c r="BB116" i="27"/>
  <c r="BB120" i="27"/>
  <c r="BB124" i="27"/>
  <c r="BB45" i="27"/>
  <c r="BB49" i="27"/>
  <c r="BB53" i="27"/>
  <c r="BB61" i="27"/>
  <c r="BB65" i="27"/>
  <c r="BB69" i="27"/>
  <c r="BB77" i="27"/>
  <c r="BB81" i="27"/>
  <c r="BB85" i="27"/>
  <c r="BB93" i="27"/>
  <c r="BB97" i="27"/>
  <c r="BB101" i="27"/>
  <c r="BB109" i="27"/>
  <c r="BB113" i="27"/>
  <c r="BB117" i="27"/>
  <c r="BB125" i="27"/>
  <c r="BB54" i="27"/>
  <c r="BB70" i="27"/>
  <c r="BB102" i="27"/>
  <c r="BB118" i="27"/>
  <c r="BB58" i="27"/>
  <c r="BB90" i="27"/>
  <c r="BB106" i="27"/>
  <c r="BB122" i="27"/>
  <c r="BB62" i="27"/>
  <c r="BB78" i="27"/>
  <c r="BB94" i="27"/>
  <c r="BB126" i="27"/>
  <c r="BA126" i="27"/>
  <c r="BC102" i="27"/>
  <c r="BA47" i="27"/>
  <c r="BA51" i="27"/>
  <c r="BA55" i="27"/>
  <c r="BA59" i="27"/>
  <c r="BA63" i="27"/>
  <c r="BA67" i="27"/>
  <c r="BA71" i="27"/>
  <c r="BA75" i="27"/>
  <c r="BA79" i="27"/>
  <c r="BA83" i="27"/>
  <c r="BA87" i="27"/>
  <c r="BA91" i="27"/>
  <c r="BA95" i="27"/>
  <c r="BA99" i="27"/>
  <c r="BA103" i="27"/>
  <c r="BA107" i="27"/>
  <c r="BA111" i="27"/>
  <c r="BA115" i="27"/>
  <c r="BA119" i="27"/>
  <c r="BA123" i="27"/>
  <c r="BA44" i="27"/>
  <c r="BA48" i="27"/>
  <c r="BA52" i="27"/>
  <c r="BA56" i="27"/>
  <c r="BA60" i="27"/>
  <c r="BA64" i="27"/>
  <c r="BA68" i="27"/>
  <c r="BA72" i="27"/>
  <c r="BA76" i="27"/>
  <c r="BA80" i="27"/>
  <c r="BA84" i="27"/>
  <c r="BA88" i="27"/>
  <c r="BA92" i="27"/>
  <c r="BA96" i="27"/>
  <c r="BA100" i="27"/>
  <c r="BA104" i="27"/>
  <c r="BA108" i="27"/>
  <c r="BA112" i="27"/>
  <c r="BA116" i="27"/>
  <c r="BA120" i="27"/>
  <c r="BA124" i="27"/>
  <c r="BA45" i="27"/>
  <c r="BA49" i="27"/>
  <c r="BA53" i="27"/>
  <c r="BA57" i="27"/>
  <c r="BA61" i="27"/>
  <c r="BA65" i="27"/>
  <c r="BA69" i="27"/>
  <c r="BA73" i="27"/>
  <c r="BA77" i="27"/>
  <c r="BA81" i="27"/>
  <c r="BA85" i="27"/>
  <c r="BA89" i="27"/>
  <c r="BA93" i="27"/>
  <c r="BA97" i="27"/>
  <c r="BA101" i="27"/>
  <c r="BA105" i="27"/>
  <c r="BA109" i="27"/>
  <c r="BA113" i="27"/>
  <c r="BA117" i="27"/>
  <c r="BA121" i="27"/>
  <c r="BA125" i="27"/>
  <c r="BA43" i="27"/>
  <c r="BA50" i="27"/>
  <c r="BA66" i="27"/>
  <c r="BA82" i="27"/>
  <c r="BA98" i="27"/>
  <c r="BA114" i="27"/>
  <c r="BA54" i="27"/>
  <c r="BA70" i="27"/>
  <c r="BA86" i="27"/>
  <c r="BA102" i="27"/>
  <c r="BA118" i="27"/>
  <c r="BA58" i="27"/>
  <c r="BA74" i="27"/>
  <c r="BA90" i="27"/>
  <c r="BA106" i="27"/>
  <c r="BA122" i="27"/>
  <c r="BA110" i="27"/>
  <c r="BA46" i="27"/>
  <c r="BB66" i="27"/>
  <c r="BC86" i="27"/>
  <c r="AJ48" i="17"/>
  <c r="AJ49" i="17"/>
  <c r="AJ50" i="17"/>
  <c r="DB155" i="5"/>
  <c r="DB159" i="5"/>
  <c r="DB160" i="5" s="1"/>
  <c r="DB171" i="5"/>
  <c r="DB173" i="5"/>
  <c r="DB174" i="5"/>
  <c r="DB175" i="5"/>
  <c r="P32" i="13"/>
  <c r="P34" i="13" s="1"/>
  <c r="P28" i="13"/>
  <c r="P30" i="13"/>
  <c r="P21" i="13"/>
  <c r="P19" i="13"/>
  <c r="CG176" i="5"/>
  <c r="CG161" i="5"/>
  <c r="AO167" i="5"/>
  <c r="AO168" i="5"/>
  <c r="AO169" i="5"/>
  <c r="AO170" i="5"/>
  <c r="AO171" i="5"/>
  <c r="AO172" i="5"/>
  <c r="AO173" i="5"/>
  <c r="AO174" i="5"/>
  <c r="AO175" i="5"/>
  <c r="AX176" i="5"/>
  <c r="AX161" i="5"/>
  <c r="BJ176" i="5"/>
  <c r="BJ161" i="5"/>
  <c r="BV176" i="5"/>
  <c r="BV161" i="5"/>
  <c r="BA165" i="5"/>
  <c r="BA166" i="5"/>
  <c r="BA167" i="5"/>
  <c r="BA168" i="5"/>
  <c r="BA169" i="5"/>
  <c r="BA170" i="5"/>
  <c r="BA171" i="5"/>
  <c r="BA172" i="5"/>
  <c r="BA173" i="5"/>
  <c r="BA174" i="5"/>
  <c r="BA175" i="5"/>
  <c r="BA164" i="5"/>
  <c r="BA150" i="5"/>
  <c r="BA151" i="5"/>
  <c r="BA152" i="5"/>
  <c r="BA153" i="5"/>
  <c r="BA154" i="5"/>
  <c r="BA155" i="5"/>
  <c r="BA156" i="5"/>
  <c r="BA157" i="5"/>
  <c r="BA158" i="5"/>
  <c r="BA159" i="5"/>
  <c r="BA160" i="5"/>
  <c r="BA149" i="5"/>
  <c r="N165" i="5"/>
  <c r="N166" i="5"/>
  <c r="N167" i="5"/>
  <c r="N168" i="5"/>
  <c r="N169" i="5"/>
  <c r="N170" i="5"/>
  <c r="N171" i="5"/>
  <c r="N172" i="5"/>
  <c r="N173" i="5"/>
  <c r="N174" i="5"/>
  <c r="N175" i="5"/>
  <c r="N164" i="5"/>
  <c r="N150" i="5"/>
  <c r="N151" i="5"/>
  <c r="N152" i="5"/>
  <c r="N153" i="5"/>
  <c r="N154" i="5"/>
  <c r="N155" i="5"/>
  <c r="N156" i="5"/>
  <c r="N157" i="5"/>
  <c r="N158" i="5"/>
  <c r="N159" i="5"/>
  <c r="N160" i="5"/>
  <c r="N149" i="5"/>
  <c r="M165" i="5"/>
  <c r="M166" i="5"/>
  <c r="M167" i="5"/>
  <c r="M168" i="5"/>
  <c r="M169" i="5"/>
  <c r="M170" i="5"/>
  <c r="M171" i="5"/>
  <c r="M172" i="5"/>
  <c r="M173" i="5"/>
  <c r="M174" i="5"/>
  <c r="M175" i="5"/>
  <c r="M164" i="5"/>
  <c r="M150" i="5"/>
  <c r="M151" i="5"/>
  <c r="M152" i="5"/>
  <c r="M153" i="5"/>
  <c r="M154" i="5"/>
  <c r="M155" i="5"/>
  <c r="M156" i="5"/>
  <c r="M157" i="5"/>
  <c r="M158" i="5"/>
  <c r="M159" i="5"/>
  <c r="M160" i="5"/>
  <c r="M149" i="5"/>
  <c r="L165" i="5"/>
  <c r="L166" i="5"/>
  <c r="L167" i="5"/>
  <c r="L168" i="5"/>
  <c r="L169" i="5"/>
  <c r="L170" i="5"/>
  <c r="L171" i="5"/>
  <c r="L172" i="5"/>
  <c r="L173" i="5"/>
  <c r="L174" i="5"/>
  <c r="L175" i="5"/>
  <c r="L164" i="5"/>
  <c r="L150" i="5"/>
  <c r="L151" i="5"/>
  <c r="L152" i="5"/>
  <c r="L153" i="5"/>
  <c r="L154" i="5"/>
  <c r="L155" i="5"/>
  <c r="L156" i="5"/>
  <c r="L157" i="5"/>
  <c r="L158" i="5"/>
  <c r="L159" i="5"/>
  <c r="L160" i="5"/>
  <c r="L149" i="5"/>
  <c r="J165" i="5"/>
  <c r="J166" i="5"/>
  <c r="J167" i="5"/>
  <c r="J168" i="5"/>
  <c r="J169" i="5"/>
  <c r="J170" i="5"/>
  <c r="J171" i="5"/>
  <c r="J172" i="5"/>
  <c r="J173" i="5"/>
  <c r="J174" i="5"/>
  <c r="J175" i="5"/>
  <c r="J164" i="5"/>
  <c r="J150" i="5"/>
  <c r="J151" i="5"/>
  <c r="J152" i="5"/>
  <c r="J153" i="5"/>
  <c r="J154" i="5"/>
  <c r="J155" i="5"/>
  <c r="J156" i="5"/>
  <c r="J157" i="5"/>
  <c r="J158" i="5"/>
  <c r="J159" i="5"/>
  <c r="J160" i="5"/>
  <c r="J149" i="5"/>
  <c r="I165" i="5"/>
  <c r="I166" i="5"/>
  <c r="I167" i="5"/>
  <c r="I168" i="5"/>
  <c r="I169" i="5"/>
  <c r="I170" i="5"/>
  <c r="I171" i="5"/>
  <c r="I172" i="5"/>
  <c r="I173" i="5"/>
  <c r="I174" i="5"/>
  <c r="I175" i="5"/>
  <c r="I164" i="5"/>
  <c r="I150" i="5"/>
  <c r="I151" i="5"/>
  <c r="I152" i="5"/>
  <c r="I153" i="5"/>
  <c r="I154" i="5"/>
  <c r="I155" i="5"/>
  <c r="I156" i="5"/>
  <c r="I157" i="5"/>
  <c r="I158" i="5"/>
  <c r="I159" i="5"/>
  <c r="I160" i="5"/>
  <c r="I149" i="5"/>
  <c r="H165" i="5"/>
  <c r="H166" i="5"/>
  <c r="H167" i="5"/>
  <c r="H168" i="5"/>
  <c r="H169" i="5"/>
  <c r="H170" i="5"/>
  <c r="H171" i="5"/>
  <c r="H172" i="5"/>
  <c r="H173" i="5"/>
  <c r="H174" i="5"/>
  <c r="H175" i="5"/>
  <c r="H164" i="5"/>
  <c r="H150" i="5"/>
  <c r="H151" i="5"/>
  <c r="H152" i="5"/>
  <c r="H153" i="5"/>
  <c r="H154" i="5"/>
  <c r="H155" i="5"/>
  <c r="H156" i="5"/>
  <c r="H157" i="5"/>
  <c r="H158" i="5"/>
  <c r="H159" i="5"/>
  <c r="H160" i="5"/>
  <c r="H149" i="5"/>
  <c r="CI176" i="5"/>
  <c r="CI161" i="5"/>
  <c r="P36" i="13"/>
  <c r="BP206" i="5"/>
  <c r="BA161" i="5"/>
  <c r="BA176" i="5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59" i="22"/>
  <c r="J60" i="22"/>
  <c r="J61" i="22"/>
  <c r="J62" i="22"/>
  <c r="J63" i="22"/>
  <c r="J64" i="22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J111" i="22"/>
  <c r="J112" i="22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J128" i="22"/>
  <c r="J129" i="22"/>
  <c r="J130" i="22"/>
  <c r="J131" i="22"/>
  <c r="J132" i="22"/>
  <c r="J133" i="22"/>
  <c r="J134" i="22"/>
  <c r="J135" i="22"/>
  <c r="J136" i="22"/>
  <c r="J137" i="22"/>
  <c r="J138" i="22"/>
  <c r="J139" i="22"/>
  <c r="J140" i="22"/>
  <c r="J141" i="22"/>
  <c r="J142" i="22"/>
  <c r="J143" i="22"/>
  <c r="J144" i="22"/>
  <c r="J145" i="22"/>
  <c r="J146" i="22"/>
  <c r="J147" i="22"/>
  <c r="J148" i="22"/>
  <c r="J149" i="22"/>
  <c r="J150" i="22"/>
  <c r="J31" i="22"/>
  <c r="J32" i="22"/>
  <c r="J33" i="22"/>
  <c r="J34" i="22"/>
  <c r="J35" i="22"/>
  <c r="J40" i="22"/>
  <c r="J36" i="22"/>
  <c r="J37" i="22"/>
  <c r="J38" i="22"/>
  <c r="J39" i="22"/>
  <c r="J41" i="22"/>
  <c r="J42" i="22"/>
  <c r="G34" i="27"/>
  <c r="G35" i="27"/>
  <c r="G37" i="27"/>
  <c r="G39" i="27"/>
  <c r="G41" i="27"/>
  <c r="BJ52" i="22"/>
  <c r="BJ60" i="22"/>
  <c r="BJ68" i="22"/>
  <c r="BJ76" i="22"/>
  <c r="BJ84" i="22"/>
  <c r="BJ92" i="22"/>
  <c r="BJ100" i="22"/>
  <c r="BJ108" i="22"/>
  <c r="BJ116" i="22"/>
  <c r="BJ124" i="22"/>
  <c r="BJ132" i="22"/>
  <c r="BJ140" i="22"/>
  <c r="BJ148" i="22"/>
  <c r="BJ156" i="22"/>
  <c r="BJ164" i="22"/>
  <c r="BJ74" i="22"/>
  <c r="BJ146" i="22"/>
  <c r="BJ51" i="22"/>
  <c r="BJ123" i="22"/>
  <c r="BJ53" i="22"/>
  <c r="BJ61" i="22"/>
  <c r="BJ69" i="22"/>
  <c r="BJ77" i="22"/>
  <c r="BJ85" i="22"/>
  <c r="BJ93" i="22"/>
  <c r="BJ101" i="22"/>
  <c r="BJ109" i="22"/>
  <c r="BJ117" i="22"/>
  <c r="BJ125" i="22"/>
  <c r="BJ133" i="22"/>
  <c r="BJ141" i="22"/>
  <c r="BJ149" i="22"/>
  <c r="BJ157" i="22"/>
  <c r="BJ165" i="22"/>
  <c r="BJ114" i="22"/>
  <c r="BJ59" i="22"/>
  <c r="BJ75" i="22"/>
  <c r="BJ115" i="22"/>
  <c r="BJ139" i="22"/>
  <c r="BJ54" i="22"/>
  <c r="BJ62" i="22"/>
  <c r="BJ70" i="22"/>
  <c r="BJ78" i="22"/>
  <c r="BJ86" i="22"/>
  <c r="BJ94" i="22"/>
  <c r="BJ102" i="22"/>
  <c r="BJ110" i="22"/>
  <c r="BJ118" i="22"/>
  <c r="BJ126" i="22"/>
  <c r="BJ134" i="22"/>
  <c r="BJ142" i="22"/>
  <c r="BJ150" i="22"/>
  <c r="BJ158" i="22"/>
  <c r="BJ166" i="22"/>
  <c r="BJ58" i="22"/>
  <c r="BJ98" i="22"/>
  <c r="BJ122" i="22"/>
  <c r="BJ162" i="22"/>
  <c r="BJ91" i="22"/>
  <c r="BJ155" i="22"/>
  <c r="BJ55" i="22"/>
  <c r="BJ63" i="22"/>
  <c r="BJ71" i="22"/>
  <c r="BJ79" i="22"/>
  <c r="BJ87" i="22"/>
  <c r="BJ95" i="22"/>
  <c r="BJ103" i="22"/>
  <c r="BJ111" i="22"/>
  <c r="BJ119" i="22"/>
  <c r="BJ127" i="22"/>
  <c r="BJ135" i="22"/>
  <c r="BJ143" i="22"/>
  <c r="BJ151" i="22"/>
  <c r="BJ159" i="22"/>
  <c r="BJ167" i="22"/>
  <c r="BJ90" i="22"/>
  <c r="BJ154" i="22"/>
  <c r="BJ107" i="22"/>
  <c r="BJ56" i="22"/>
  <c r="BJ64" i="22"/>
  <c r="BJ72" i="22"/>
  <c r="BJ80" i="22"/>
  <c r="BJ88" i="22"/>
  <c r="BJ96" i="22"/>
  <c r="BJ104" i="22"/>
  <c r="BJ112" i="22"/>
  <c r="BJ120" i="22"/>
  <c r="BJ128" i="22"/>
  <c r="BJ136" i="22"/>
  <c r="BJ144" i="22"/>
  <c r="BJ152" i="22"/>
  <c r="BJ160" i="22"/>
  <c r="BJ168" i="22"/>
  <c r="BJ50" i="22"/>
  <c r="BJ66" i="22"/>
  <c r="BJ106" i="22"/>
  <c r="BJ138" i="22"/>
  <c r="BJ83" i="22"/>
  <c r="BJ147" i="22"/>
  <c r="BJ57" i="22"/>
  <c r="BJ65" i="22"/>
  <c r="BJ73" i="22"/>
  <c r="BJ81" i="22"/>
  <c r="BJ89" i="22"/>
  <c r="BJ97" i="22"/>
  <c r="BJ105" i="22"/>
  <c r="BJ113" i="22"/>
  <c r="BJ121" i="22"/>
  <c r="BJ129" i="22"/>
  <c r="BJ137" i="22"/>
  <c r="BJ145" i="22"/>
  <c r="BJ153" i="22"/>
  <c r="BJ161" i="22"/>
  <c r="BJ49" i="22"/>
  <c r="BJ82" i="22"/>
  <c r="BJ130" i="22"/>
  <c r="BJ67" i="22"/>
  <c r="BJ99" i="22"/>
  <c r="BJ131" i="22"/>
  <c r="BJ163" i="22"/>
  <c r="BM60" i="22"/>
  <c r="BM68" i="22"/>
  <c r="BM76" i="22"/>
  <c r="BM84" i="22"/>
  <c r="BM92" i="22"/>
  <c r="BM100" i="22"/>
  <c r="BM108" i="22"/>
  <c r="BM116" i="22"/>
  <c r="BM124" i="22"/>
  <c r="BM132" i="22"/>
  <c r="BM140" i="22"/>
  <c r="BM148" i="22"/>
  <c r="BM156" i="22"/>
  <c r="BM164" i="22"/>
  <c r="BM52" i="22"/>
  <c r="BM72" i="22"/>
  <c r="BM73" i="22"/>
  <c r="BM129" i="22"/>
  <c r="BM169" i="22"/>
  <c r="BM53" i="22"/>
  <c r="BM61" i="22"/>
  <c r="BM69" i="22"/>
  <c r="BM77" i="22"/>
  <c r="BM85" i="22"/>
  <c r="BM93" i="22"/>
  <c r="BM101" i="22"/>
  <c r="BM109" i="22"/>
  <c r="BM117" i="22"/>
  <c r="BM125" i="22"/>
  <c r="BM133" i="22"/>
  <c r="BM141" i="22"/>
  <c r="BM149" i="22"/>
  <c r="BM157" i="22"/>
  <c r="BM165" i="22"/>
  <c r="BM64" i="22"/>
  <c r="BM81" i="22"/>
  <c r="BM113" i="22"/>
  <c r="BM161" i="22"/>
  <c r="BM54" i="22"/>
  <c r="BM62" i="22"/>
  <c r="BM70" i="22"/>
  <c r="BM78" i="22"/>
  <c r="BM86" i="22"/>
  <c r="BM94" i="22"/>
  <c r="BM102" i="22"/>
  <c r="BM110" i="22"/>
  <c r="BM118" i="22"/>
  <c r="BM126" i="22"/>
  <c r="BM134" i="22"/>
  <c r="BM142" i="22"/>
  <c r="BM150" i="22"/>
  <c r="BM158" i="22"/>
  <c r="BM166" i="22"/>
  <c r="BM56" i="22"/>
  <c r="BM104" i="22"/>
  <c r="BM112" i="22"/>
  <c r="BM128" i="22"/>
  <c r="BM144" i="22"/>
  <c r="BM160" i="22"/>
  <c r="BM65" i="22"/>
  <c r="BM97" i="22"/>
  <c r="BM121" i="22"/>
  <c r="BM153" i="22"/>
  <c r="BM55" i="22"/>
  <c r="BM63" i="22"/>
  <c r="BM71" i="22"/>
  <c r="BM79" i="22"/>
  <c r="BM87" i="22"/>
  <c r="BM95" i="22"/>
  <c r="BM103" i="22"/>
  <c r="BM111" i="22"/>
  <c r="BM119" i="22"/>
  <c r="BM127" i="22"/>
  <c r="BM135" i="22"/>
  <c r="BM143" i="22"/>
  <c r="BM151" i="22"/>
  <c r="BM159" i="22"/>
  <c r="BM167" i="22"/>
  <c r="BM80" i="22"/>
  <c r="BM89" i="22"/>
  <c r="BM96" i="22"/>
  <c r="BM145" i="22"/>
  <c r="BM58" i="22"/>
  <c r="BM66" i="22"/>
  <c r="BM74" i="22"/>
  <c r="BM82" i="22"/>
  <c r="BM90" i="22"/>
  <c r="BM98" i="22"/>
  <c r="BM106" i="22"/>
  <c r="BM114" i="22"/>
  <c r="BM122" i="22"/>
  <c r="BM130" i="22"/>
  <c r="BM138" i="22"/>
  <c r="BM146" i="22"/>
  <c r="BM154" i="22"/>
  <c r="BM162" i="22"/>
  <c r="BM170" i="22"/>
  <c r="BM59" i="22"/>
  <c r="BM67" i="22"/>
  <c r="BM75" i="22"/>
  <c r="BM83" i="22"/>
  <c r="BM91" i="22"/>
  <c r="BM99" i="22"/>
  <c r="BM107" i="22"/>
  <c r="BM115" i="22"/>
  <c r="BM123" i="22"/>
  <c r="BM131" i="22"/>
  <c r="BM139" i="22"/>
  <c r="BM147" i="22"/>
  <c r="BM155" i="22"/>
  <c r="BM163" i="22"/>
  <c r="BM171" i="22"/>
  <c r="BM88" i="22"/>
  <c r="BM120" i="22"/>
  <c r="BM136" i="22"/>
  <c r="BM152" i="22"/>
  <c r="BM168" i="22"/>
  <c r="BM57" i="22"/>
  <c r="BM105" i="22"/>
  <c r="BM137" i="22"/>
  <c r="BK53" i="22"/>
  <c r="BK61" i="22"/>
  <c r="BK69" i="22"/>
  <c r="BK77" i="22"/>
  <c r="BK85" i="22"/>
  <c r="BK93" i="22"/>
  <c r="BK101" i="22"/>
  <c r="BK109" i="22"/>
  <c r="BK117" i="22"/>
  <c r="BK125" i="22"/>
  <c r="BK133" i="22"/>
  <c r="BK141" i="22"/>
  <c r="BK149" i="22"/>
  <c r="BK157" i="22"/>
  <c r="BK165" i="22"/>
  <c r="BK67" i="22"/>
  <c r="BK131" i="22"/>
  <c r="BK76" i="22"/>
  <c r="BK54" i="22"/>
  <c r="BK62" i="22"/>
  <c r="BK70" i="22"/>
  <c r="BK78" i="22"/>
  <c r="BK86" i="22"/>
  <c r="BK94" i="22"/>
  <c r="BK102" i="22"/>
  <c r="BK110" i="22"/>
  <c r="BK118" i="22"/>
  <c r="BK126" i="22"/>
  <c r="BK134" i="22"/>
  <c r="BK142" i="22"/>
  <c r="BK150" i="22"/>
  <c r="BK158" i="22"/>
  <c r="BK166" i="22"/>
  <c r="BK99" i="22"/>
  <c r="BK163" i="22"/>
  <c r="BK60" i="22"/>
  <c r="BK116" i="22"/>
  <c r="BK132" i="22"/>
  <c r="BK55" i="22"/>
  <c r="BK63" i="22"/>
  <c r="BK71" i="22"/>
  <c r="BK79" i="22"/>
  <c r="BK87" i="22"/>
  <c r="BK95" i="22"/>
  <c r="BK103" i="22"/>
  <c r="BK111" i="22"/>
  <c r="BK119" i="22"/>
  <c r="BK127" i="22"/>
  <c r="BK135" i="22"/>
  <c r="BK143" i="22"/>
  <c r="BK151" i="22"/>
  <c r="BK159" i="22"/>
  <c r="BK167" i="22"/>
  <c r="BK51" i="22"/>
  <c r="BK91" i="22"/>
  <c r="BK115" i="22"/>
  <c r="BK155" i="22"/>
  <c r="BK84" i="22"/>
  <c r="BK140" i="22"/>
  <c r="BK56" i="22"/>
  <c r="BK64" i="22"/>
  <c r="BK72" i="22"/>
  <c r="BK80" i="22"/>
  <c r="BK88" i="22"/>
  <c r="BK96" i="22"/>
  <c r="BK104" i="22"/>
  <c r="BK112" i="22"/>
  <c r="BK120" i="22"/>
  <c r="BK128" i="22"/>
  <c r="BK136" i="22"/>
  <c r="BK144" i="22"/>
  <c r="BK152" i="22"/>
  <c r="BK160" i="22"/>
  <c r="BK168" i="22"/>
  <c r="BK75" i="22"/>
  <c r="BK139" i="22"/>
  <c r="BK52" i="22"/>
  <c r="BK108" i="22"/>
  <c r="BK164" i="22"/>
  <c r="BK57" i="22"/>
  <c r="BK65" i="22"/>
  <c r="BK73" i="22"/>
  <c r="BK81" i="22"/>
  <c r="BK89" i="22"/>
  <c r="BK97" i="22"/>
  <c r="BK105" i="22"/>
  <c r="BK113" i="22"/>
  <c r="BK121" i="22"/>
  <c r="BK129" i="22"/>
  <c r="BK137" i="22"/>
  <c r="BK145" i="22"/>
  <c r="BK153" i="22"/>
  <c r="BK161" i="22"/>
  <c r="BK169" i="22"/>
  <c r="BK59" i="22"/>
  <c r="BK107" i="22"/>
  <c r="BK123" i="22"/>
  <c r="BK92" i="22"/>
  <c r="BK148" i="22"/>
  <c r="BK58" i="22"/>
  <c r="BK66" i="22"/>
  <c r="BK74" i="22"/>
  <c r="BK82" i="22"/>
  <c r="BK90" i="22"/>
  <c r="BK98" i="22"/>
  <c r="BK106" i="22"/>
  <c r="BK114" i="22"/>
  <c r="BK122" i="22"/>
  <c r="BK130" i="22"/>
  <c r="BK138" i="22"/>
  <c r="BK146" i="22"/>
  <c r="BK154" i="22"/>
  <c r="BK162" i="22"/>
  <c r="BK50" i="22"/>
  <c r="BK83" i="22"/>
  <c r="BK147" i="22"/>
  <c r="BK68" i="22"/>
  <c r="BK100" i="22"/>
  <c r="BK124" i="22"/>
  <c r="BK156" i="22"/>
  <c r="BP60" i="22"/>
  <c r="BP68" i="22"/>
  <c r="BP76" i="22"/>
  <c r="BP84" i="22"/>
  <c r="BP92" i="22"/>
  <c r="BP100" i="22"/>
  <c r="BP108" i="22"/>
  <c r="BP116" i="22"/>
  <c r="BP124" i="22"/>
  <c r="BP132" i="22"/>
  <c r="BP140" i="22"/>
  <c r="BP148" i="22"/>
  <c r="BP156" i="22"/>
  <c r="BP164" i="22"/>
  <c r="BP172" i="22"/>
  <c r="BP99" i="22"/>
  <c r="BP61" i="22"/>
  <c r="BP69" i="22"/>
  <c r="BP77" i="22"/>
  <c r="BP85" i="22"/>
  <c r="BP93" i="22"/>
  <c r="BP101" i="22"/>
  <c r="BP109" i="22"/>
  <c r="BP117" i="22"/>
  <c r="BP125" i="22"/>
  <c r="BP133" i="22"/>
  <c r="BP141" i="22"/>
  <c r="BP149" i="22"/>
  <c r="BP157" i="22"/>
  <c r="BP165" i="22"/>
  <c r="BP173" i="22"/>
  <c r="BP65" i="22"/>
  <c r="BP89" i="22"/>
  <c r="BP129" i="22"/>
  <c r="BP153" i="22"/>
  <c r="BP115" i="22"/>
  <c r="BP62" i="22"/>
  <c r="BP70" i="22"/>
  <c r="BP78" i="22"/>
  <c r="BP86" i="22"/>
  <c r="BP94" i="22"/>
  <c r="BP102" i="22"/>
  <c r="BP110" i="22"/>
  <c r="BP118" i="22"/>
  <c r="BP126" i="22"/>
  <c r="BP134" i="22"/>
  <c r="BP142" i="22"/>
  <c r="BP150" i="22"/>
  <c r="BP158" i="22"/>
  <c r="BP166" i="22"/>
  <c r="BP174" i="22"/>
  <c r="BQ174" i="22"/>
  <c r="BP113" i="22"/>
  <c r="BP131" i="22"/>
  <c r="BP63" i="22"/>
  <c r="BP71" i="22"/>
  <c r="BP79" i="22"/>
  <c r="BP87" i="22"/>
  <c r="BP95" i="22"/>
  <c r="BP103" i="22"/>
  <c r="BP111" i="22"/>
  <c r="BP119" i="22"/>
  <c r="BP127" i="22"/>
  <c r="BP135" i="22"/>
  <c r="BP143" i="22"/>
  <c r="BP151" i="22"/>
  <c r="BP159" i="22"/>
  <c r="BP167" i="22"/>
  <c r="BP55" i="22"/>
  <c r="BP57" i="22"/>
  <c r="BP81" i="22"/>
  <c r="BP97" i="22"/>
  <c r="BP121" i="22"/>
  <c r="BP145" i="22"/>
  <c r="BP169" i="22"/>
  <c r="BP139" i="22"/>
  <c r="BP56" i="22"/>
  <c r="BP64" i="22"/>
  <c r="BP72" i="22"/>
  <c r="BP80" i="22"/>
  <c r="BP88" i="22"/>
  <c r="BP96" i="22"/>
  <c r="BP104" i="22"/>
  <c r="BP112" i="22"/>
  <c r="BP120" i="22"/>
  <c r="BP128" i="22"/>
  <c r="BP136" i="22"/>
  <c r="BP144" i="22"/>
  <c r="BP152" i="22"/>
  <c r="BP160" i="22"/>
  <c r="BP168" i="22"/>
  <c r="BP73" i="22"/>
  <c r="BP105" i="22"/>
  <c r="BP137" i="22"/>
  <c r="BP161" i="22"/>
  <c r="BP107" i="22"/>
  <c r="BP58" i="22"/>
  <c r="BP66" i="22"/>
  <c r="BP74" i="22"/>
  <c r="BP82" i="22"/>
  <c r="BP90" i="22"/>
  <c r="BP98" i="22"/>
  <c r="BP106" i="22"/>
  <c r="BP114" i="22"/>
  <c r="BP122" i="22"/>
  <c r="BP130" i="22"/>
  <c r="BP138" i="22"/>
  <c r="BP146" i="22"/>
  <c r="BP154" i="22"/>
  <c r="BP162" i="22"/>
  <c r="BP170" i="22"/>
  <c r="BP59" i="22"/>
  <c r="BP67" i="22"/>
  <c r="BP75" i="22"/>
  <c r="BP83" i="22"/>
  <c r="BP91" i="22"/>
  <c r="BP123" i="22"/>
  <c r="BP147" i="22"/>
  <c r="BP155" i="22"/>
  <c r="BP163" i="22"/>
  <c r="BP171" i="22"/>
  <c r="BO59" i="22"/>
  <c r="BO67" i="22"/>
  <c r="BO75" i="22"/>
  <c r="BO83" i="22"/>
  <c r="BO91" i="22"/>
  <c r="BO99" i="22"/>
  <c r="BO107" i="22"/>
  <c r="BO115" i="22"/>
  <c r="BO123" i="22"/>
  <c r="BO131" i="22"/>
  <c r="BO139" i="22"/>
  <c r="BO147" i="22"/>
  <c r="BO155" i="22"/>
  <c r="BO163" i="22"/>
  <c r="BO171" i="22"/>
  <c r="BO60" i="22"/>
  <c r="BO68" i="22"/>
  <c r="BO76" i="22"/>
  <c r="BO84" i="22"/>
  <c r="BO92" i="22"/>
  <c r="BO100" i="22"/>
  <c r="BO108" i="22"/>
  <c r="BO116" i="22"/>
  <c r="BO124" i="22"/>
  <c r="BO132" i="22"/>
  <c r="BO140" i="22"/>
  <c r="BO148" i="22"/>
  <c r="BO156" i="22"/>
  <c r="BO164" i="22"/>
  <c r="BO172" i="22"/>
  <c r="BO64" i="22"/>
  <c r="BO88" i="22"/>
  <c r="BO112" i="22"/>
  <c r="BO136" i="22"/>
  <c r="BO168" i="22"/>
  <c r="BO82" i="22"/>
  <c r="BO138" i="22"/>
  <c r="BO61" i="22"/>
  <c r="BO69" i="22"/>
  <c r="BO77" i="22"/>
  <c r="BO85" i="22"/>
  <c r="BO93" i="22"/>
  <c r="BO101" i="22"/>
  <c r="BO109" i="22"/>
  <c r="BO117" i="22"/>
  <c r="BO125" i="22"/>
  <c r="BO133" i="22"/>
  <c r="BO141" i="22"/>
  <c r="BO149" i="22"/>
  <c r="BO157" i="22"/>
  <c r="BO165" i="22"/>
  <c r="BO173" i="22"/>
  <c r="BO56" i="22"/>
  <c r="BO104" i="22"/>
  <c r="BO144" i="22"/>
  <c r="BO74" i="22"/>
  <c r="BO130" i="22"/>
  <c r="BO62" i="22"/>
  <c r="BO70" i="22"/>
  <c r="BO78" i="22"/>
  <c r="BO86" i="22"/>
  <c r="BO94" i="22"/>
  <c r="BO102" i="22"/>
  <c r="BO110" i="22"/>
  <c r="BO118" i="22"/>
  <c r="BO126" i="22"/>
  <c r="BO134" i="22"/>
  <c r="BO142" i="22"/>
  <c r="BO150" i="22"/>
  <c r="BO158" i="22"/>
  <c r="BO166" i="22"/>
  <c r="BO54" i="22"/>
  <c r="BO80" i="22"/>
  <c r="BO120" i="22"/>
  <c r="BO160" i="22"/>
  <c r="BO58" i="22"/>
  <c r="BO90" i="22"/>
  <c r="BO122" i="22"/>
  <c r="BO146" i="22"/>
  <c r="BO170" i="22"/>
  <c r="BO55" i="22"/>
  <c r="BO63" i="22"/>
  <c r="BO71" i="22"/>
  <c r="BO79" i="22"/>
  <c r="BO87" i="22"/>
  <c r="BO95" i="22"/>
  <c r="BO103" i="22"/>
  <c r="BO111" i="22"/>
  <c r="BO119" i="22"/>
  <c r="BO127" i="22"/>
  <c r="BO135" i="22"/>
  <c r="BO143" i="22"/>
  <c r="BO151" i="22"/>
  <c r="BO159" i="22"/>
  <c r="BO167" i="22"/>
  <c r="BO72" i="22"/>
  <c r="BO96" i="22"/>
  <c r="BO128" i="22"/>
  <c r="BO152" i="22"/>
  <c r="BO106" i="22"/>
  <c r="BO162" i="22"/>
  <c r="BO57" i="22"/>
  <c r="BO65" i="22"/>
  <c r="BO73" i="22"/>
  <c r="BO81" i="22"/>
  <c r="BO89" i="22"/>
  <c r="BO97" i="22"/>
  <c r="BO105" i="22"/>
  <c r="BO113" i="22"/>
  <c r="BO121" i="22"/>
  <c r="BO129" i="22"/>
  <c r="BO137" i="22"/>
  <c r="BO145" i="22"/>
  <c r="BO153" i="22"/>
  <c r="BO161" i="22"/>
  <c r="BO169" i="22"/>
  <c r="BO66" i="22"/>
  <c r="BO98" i="22"/>
  <c r="BO114" i="22"/>
  <c r="BO154" i="22"/>
  <c r="BN55" i="22"/>
  <c r="BN63" i="22"/>
  <c r="BN71" i="22"/>
  <c r="BN79" i="22"/>
  <c r="BN87" i="22"/>
  <c r="BN95" i="22"/>
  <c r="BN103" i="22"/>
  <c r="BN111" i="22"/>
  <c r="BN119" i="22"/>
  <c r="BN127" i="22"/>
  <c r="BN135" i="22"/>
  <c r="BN143" i="22"/>
  <c r="BN151" i="22"/>
  <c r="BN159" i="22"/>
  <c r="BN167" i="22"/>
  <c r="BN91" i="22"/>
  <c r="BN60" i="22"/>
  <c r="BN92" i="22"/>
  <c r="BN124" i="22"/>
  <c r="BN172" i="22"/>
  <c r="BN56" i="22"/>
  <c r="BN64" i="22"/>
  <c r="BN72" i="22"/>
  <c r="BN80" i="22"/>
  <c r="BN88" i="22"/>
  <c r="BN96" i="22"/>
  <c r="BN104" i="22"/>
  <c r="BN112" i="22"/>
  <c r="BN120" i="22"/>
  <c r="BN128" i="22"/>
  <c r="BN136" i="22"/>
  <c r="BN144" i="22"/>
  <c r="BN152" i="22"/>
  <c r="BN160" i="22"/>
  <c r="BN168" i="22"/>
  <c r="BN83" i="22"/>
  <c r="BN100" i="22"/>
  <c r="BN140" i="22"/>
  <c r="BN57" i="22"/>
  <c r="BN65" i="22"/>
  <c r="BN73" i="22"/>
  <c r="BN81" i="22"/>
  <c r="BN89" i="22"/>
  <c r="BN97" i="22"/>
  <c r="BN105" i="22"/>
  <c r="BN113" i="22"/>
  <c r="BN121" i="22"/>
  <c r="BN129" i="22"/>
  <c r="BN137" i="22"/>
  <c r="BN145" i="22"/>
  <c r="BN153" i="22"/>
  <c r="BN161" i="22"/>
  <c r="BN169" i="22"/>
  <c r="BN75" i="22"/>
  <c r="BN123" i="22"/>
  <c r="BN139" i="22"/>
  <c r="BN155" i="22"/>
  <c r="BN171" i="22"/>
  <c r="BN84" i="22"/>
  <c r="BN116" i="22"/>
  <c r="BN164" i="22"/>
  <c r="BN58" i="22"/>
  <c r="BN66" i="22"/>
  <c r="BN74" i="22"/>
  <c r="BN82" i="22"/>
  <c r="BN90" i="22"/>
  <c r="BN98" i="22"/>
  <c r="BN106" i="22"/>
  <c r="BN114" i="22"/>
  <c r="BN122" i="22"/>
  <c r="BN130" i="22"/>
  <c r="BN138" i="22"/>
  <c r="BN146" i="22"/>
  <c r="BN154" i="22"/>
  <c r="BN162" i="22"/>
  <c r="BN170" i="22"/>
  <c r="BN99" i="22"/>
  <c r="BN68" i="22"/>
  <c r="BN156" i="22"/>
  <c r="BN115" i="22"/>
  <c r="BN132" i="22"/>
  <c r="BN61" i="22"/>
  <c r="BN69" i="22"/>
  <c r="BN77" i="22"/>
  <c r="BN85" i="22"/>
  <c r="BN93" i="22"/>
  <c r="BN101" i="22"/>
  <c r="BN109" i="22"/>
  <c r="BN117" i="22"/>
  <c r="BN125" i="22"/>
  <c r="BN133" i="22"/>
  <c r="BN141" i="22"/>
  <c r="BN149" i="22"/>
  <c r="BN157" i="22"/>
  <c r="BN165" i="22"/>
  <c r="BN53" i="22"/>
  <c r="BN54" i="22"/>
  <c r="BN62" i="22"/>
  <c r="BN70" i="22"/>
  <c r="BN78" i="22"/>
  <c r="BN86" i="22"/>
  <c r="BN94" i="22"/>
  <c r="BN102" i="22"/>
  <c r="BN110" i="22"/>
  <c r="BN118" i="22"/>
  <c r="BN126" i="22"/>
  <c r="BN134" i="22"/>
  <c r="BN142" i="22"/>
  <c r="BN150" i="22"/>
  <c r="BN158" i="22"/>
  <c r="BN166" i="22"/>
  <c r="BN59" i="22"/>
  <c r="BN67" i="22"/>
  <c r="BN107" i="22"/>
  <c r="BN131" i="22"/>
  <c r="BN147" i="22"/>
  <c r="BN163" i="22"/>
  <c r="BN76" i="22"/>
  <c r="BN108" i="22"/>
  <c r="BN148" i="22"/>
  <c r="BG47" i="22"/>
  <c r="BG51" i="22"/>
  <c r="BG55" i="22"/>
  <c r="BG59" i="22"/>
  <c r="BG63" i="22"/>
  <c r="BG67" i="22"/>
  <c r="BG71" i="22"/>
  <c r="BG75" i="22"/>
  <c r="BG79" i="22"/>
  <c r="BG83" i="22"/>
  <c r="BG87" i="22"/>
  <c r="BG91" i="22"/>
  <c r="BG95" i="22"/>
  <c r="BG99" i="22"/>
  <c r="BG103" i="22"/>
  <c r="BG107" i="22"/>
  <c r="BG111" i="22"/>
  <c r="BG115" i="22"/>
  <c r="BG119" i="22"/>
  <c r="BG123" i="22"/>
  <c r="BG127" i="22"/>
  <c r="BG131" i="22"/>
  <c r="BG135" i="22"/>
  <c r="BG139" i="22"/>
  <c r="BG143" i="22"/>
  <c r="BG147" i="22"/>
  <c r="BG151" i="22"/>
  <c r="BG155" i="22"/>
  <c r="BG159" i="22"/>
  <c r="BG163" i="22"/>
  <c r="BG50" i="22"/>
  <c r="BG54" i="22"/>
  <c r="BG66" i="22"/>
  <c r="BG78" i="22"/>
  <c r="BG82" i="22"/>
  <c r="BG94" i="22"/>
  <c r="BG98" i="22"/>
  <c r="BG110" i="22"/>
  <c r="BG118" i="22"/>
  <c r="BG126" i="22"/>
  <c r="BG138" i="22"/>
  <c r="BG146" i="22"/>
  <c r="BG48" i="22"/>
  <c r="BG52" i="22"/>
  <c r="BG56" i="22"/>
  <c r="BG60" i="22"/>
  <c r="BG64" i="22"/>
  <c r="BG68" i="22"/>
  <c r="BG72" i="22"/>
  <c r="BG76" i="22"/>
  <c r="BG80" i="22"/>
  <c r="BG84" i="22"/>
  <c r="BG88" i="22"/>
  <c r="BG92" i="22"/>
  <c r="BG96" i="22"/>
  <c r="BG100" i="22"/>
  <c r="BG104" i="22"/>
  <c r="BG108" i="22"/>
  <c r="BG112" i="22"/>
  <c r="BG116" i="22"/>
  <c r="BG120" i="22"/>
  <c r="BG124" i="22"/>
  <c r="BG128" i="22"/>
  <c r="BG132" i="22"/>
  <c r="BG136" i="22"/>
  <c r="BG140" i="22"/>
  <c r="BG144" i="22"/>
  <c r="BG148" i="22"/>
  <c r="BG152" i="22"/>
  <c r="BG156" i="22"/>
  <c r="BG160" i="22"/>
  <c r="BG164" i="22"/>
  <c r="BG62" i="22"/>
  <c r="BG74" i="22"/>
  <c r="BG90" i="22"/>
  <c r="BG102" i="22"/>
  <c r="BG114" i="22"/>
  <c r="BG130" i="22"/>
  <c r="BG142" i="22"/>
  <c r="BG158" i="22"/>
  <c r="BG49" i="22"/>
  <c r="BG53" i="22"/>
  <c r="BG57" i="22"/>
  <c r="BG61" i="22"/>
  <c r="BG65" i="22"/>
  <c r="BG69" i="22"/>
  <c r="BG73" i="22"/>
  <c r="BG77" i="22"/>
  <c r="BG81" i="22"/>
  <c r="BG85" i="22"/>
  <c r="BG89" i="22"/>
  <c r="BG93" i="22"/>
  <c r="BG97" i="22"/>
  <c r="BG101" i="22"/>
  <c r="BG105" i="22"/>
  <c r="BG109" i="22"/>
  <c r="BG113" i="22"/>
  <c r="BG117" i="22"/>
  <c r="BG121" i="22"/>
  <c r="BG125" i="22"/>
  <c r="BG129" i="22"/>
  <c r="BG133" i="22"/>
  <c r="BG137" i="22"/>
  <c r="BG141" i="22"/>
  <c r="BG145" i="22"/>
  <c r="BG149" i="22"/>
  <c r="BG153" i="22"/>
  <c r="BG157" i="22"/>
  <c r="BG161" i="22"/>
  <c r="BG165" i="22"/>
  <c r="BG58" i="22"/>
  <c r="BG70" i="22"/>
  <c r="BG86" i="22"/>
  <c r="BG106" i="22"/>
  <c r="BG122" i="22"/>
  <c r="BG134" i="22"/>
  <c r="BG150" i="22"/>
  <c r="BG154" i="22"/>
  <c r="BG162" i="22"/>
  <c r="BG46" i="22"/>
  <c r="BH48" i="22"/>
  <c r="BH52" i="22"/>
  <c r="BH56" i="22"/>
  <c r="BH60" i="22"/>
  <c r="BH64" i="22"/>
  <c r="BH68" i="22"/>
  <c r="BH72" i="22"/>
  <c r="BH76" i="22"/>
  <c r="BH80" i="22"/>
  <c r="BH84" i="22"/>
  <c r="BH88" i="22"/>
  <c r="BH92" i="22"/>
  <c r="BH96" i="22"/>
  <c r="BH100" i="22"/>
  <c r="BH104" i="22"/>
  <c r="BH108" i="22"/>
  <c r="BH112" i="22"/>
  <c r="BH116" i="22"/>
  <c r="BH120" i="22"/>
  <c r="BH124" i="22"/>
  <c r="BH128" i="22"/>
  <c r="BH132" i="22"/>
  <c r="BH136" i="22"/>
  <c r="BH140" i="22"/>
  <c r="BH144" i="22"/>
  <c r="BH148" i="22"/>
  <c r="BH152" i="22"/>
  <c r="BH156" i="22"/>
  <c r="BH160" i="22"/>
  <c r="BH164" i="22"/>
  <c r="BH59" i="22"/>
  <c r="BH63" i="22"/>
  <c r="BH71" i="22"/>
  <c r="BH83" i="22"/>
  <c r="BH91" i="22"/>
  <c r="BH103" i="22"/>
  <c r="BH107" i="22"/>
  <c r="BH119" i="22"/>
  <c r="BH127" i="22"/>
  <c r="BH135" i="22"/>
  <c r="BH143" i="22"/>
  <c r="BH151" i="22"/>
  <c r="BH159" i="22"/>
  <c r="BH49" i="22"/>
  <c r="BH53" i="22"/>
  <c r="BH57" i="22"/>
  <c r="BH61" i="22"/>
  <c r="BH65" i="22"/>
  <c r="BH69" i="22"/>
  <c r="BH73" i="22"/>
  <c r="BH77" i="22"/>
  <c r="BH81" i="22"/>
  <c r="BH85" i="22"/>
  <c r="BH89" i="22"/>
  <c r="BH93" i="22"/>
  <c r="BH97" i="22"/>
  <c r="BH101" i="22"/>
  <c r="BH105" i="22"/>
  <c r="BH109" i="22"/>
  <c r="BH113" i="22"/>
  <c r="BH117" i="22"/>
  <c r="BH121" i="22"/>
  <c r="BH125" i="22"/>
  <c r="BH129" i="22"/>
  <c r="BH133" i="22"/>
  <c r="BH137" i="22"/>
  <c r="BH141" i="22"/>
  <c r="BH145" i="22"/>
  <c r="BH149" i="22"/>
  <c r="BH153" i="22"/>
  <c r="BH157" i="22"/>
  <c r="BH161" i="22"/>
  <c r="BH165" i="22"/>
  <c r="BH55" i="22"/>
  <c r="BH67" i="22"/>
  <c r="BH79" i="22"/>
  <c r="BH87" i="22"/>
  <c r="BH99" i="22"/>
  <c r="BH115" i="22"/>
  <c r="BH123" i="22"/>
  <c r="BH139" i="22"/>
  <c r="BH155" i="22"/>
  <c r="BH47" i="22"/>
  <c r="BH50" i="22"/>
  <c r="BH54" i="22"/>
  <c r="BH58" i="22"/>
  <c r="BH62" i="22"/>
  <c r="BH66" i="22"/>
  <c r="BH70" i="22"/>
  <c r="BH74" i="22"/>
  <c r="BH78" i="22"/>
  <c r="BH82" i="22"/>
  <c r="BH86" i="22"/>
  <c r="BH90" i="22"/>
  <c r="BH94" i="22"/>
  <c r="BH98" i="22"/>
  <c r="BH102" i="22"/>
  <c r="BH106" i="22"/>
  <c r="BH110" i="22"/>
  <c r="BH114" i="22"/>
  <c r="BH118" i="22"/>
  <c r="BH122" i="22"/>
  <c r="BH126" i="22"/>
  <c r="BH130" i="22"/>
  <c r="BH134" i="22"/>
  <c r="BH138" i="22"/>
  <c r="BH142" i="22"/>
  <c r="BH146" i="22"/>
  <c r="BH150" i="22"/>
  <c r="BH154" i="22"/>
  <c r="BH158" i="22"/>
  <c r="BH162" i="22"/>
  <c r="BH166" i="22"/>
  <c r="BH51" i="22"/>
  <c r="BH75" i="22"/>
  <c r="BH95" i="22"/>
  <c r="BH111" i="22"/>
  <c r="BH131" i="22"/>
  <c r="BH147" i="22"/>
  <c r="BH163" i="22"/>
  <c r="BI50" i="22"/>
  <c r="BI54" i="22"/>
  <c r="BI58" i="22"/>
  <c r="BI62" i="22"/>
  <c r="BI66" i="22"/>
  <c r="BI70" i="22"/>
  <c r="BI74" i="22"/>
  <c r="BI78" i="22"/>
  <c r="BI82" i="22"/>
  <c r="BI86" i="22"/>
  <c r="BI90" i="22"/>
  <c r="BI94" i="22"/>
  <c r="BI98" i="22"/>
  <c r="BI102" i="22"/>
  <c r="BI106" i="22"/>
  <c r="BI110" i="22"/>
  <c r="BI114" i="22"/>
  <c r="BI118" i="22"/>
  <c r="BI122" i="22"/>
  <c r="BI126" i="22"/>
  <c r="BI130" i="22"/>
  <c r="BI134" i="22"/>
  <c r="BI138" i="22"/>
  <c r="BI142" i="22"/>
  <c r="BI146" i="22"/>
  <c r="BI150" i="22"/>
  <c r="BI154" i="22"/>
  <c r="BI158" i="22"/>
  <c r="BI162" i="22"/>
  <c r="BI166" i="22"/>
  <c r="BI51" i="22"/>
  <c r="BI55" i="22"/>
  <c r="BI59" i="22"/>
  <c r="BI63" i="22"/>
  <c r="BI67" i="22"/>
  <c r="BI71" i="22"/>
  <c r="BI75" i="22"/>
  <c r="BI79" i="22"/>
  <c r="BI83" i="22"/>
  <c r="BI87" i="22"/>
  <c r="BI91" i="22"/>
  <c r="BI95" i="22"/>
  <c r="BI99" i="22"/>
  <c r="BI103" i="22"/>
  <c r="BI107" i="22"/>
  <c r="BI111" i="22"/>
  <c r="BI115" i="22"/>
  <c r="BI119" i="22"/>
  <c r="BI123" i="22"/>
  <c r="BI127" i="22"/>
  <c r="BI131" i="22"/>
  <c r="BI135" i="22"/>
  <c r="BI139" i="22"/>
  <c r="BI143" i="22"/>
  <c r="BI147" i="22"/>
  <c r="BI151" i="22"/>
  <c r="BI155" i="22"/>
  <c r="BI159" i="22"/>
  <c r="BI163" i="22"/>
  <c r="BI167" i="22"/>
  <c r="BI52" i="22"/>
  <c r="BI56" i="22"/>
  <c r="BI60" i="22"/>
  <c r="BI64" i="22"/>
  <c r="BI68" i="22"/>
  <c r="BI72" i="22"/>
  <c r="BI76" i="22"/>
  <c r="BI80" i="22"/>
  <c r="BI84" i="22"/>
  <c r="BI88" i="22"/>
  <c r="BI92" i="22"/>
  <c r="BI96" i="22"/>
  <c r="BI100" i="22"/>
  <c r="BI104" i="22"/>
  <c r="BI108" i="22"/>
  <c r="BI112" i="22"/>
  <c r="BI116" i="22"/>
  <c r="BI120" i="22"/>
  <c r="BI124" i="22"/>
  <c r="BI128" i="22"/>
  <c r="BI132" i="22"/>
  <c r="BI136" i="22"/>
  <c r="BI140" i="22"/>
  <c r="BI144" i="22"/>
  <c r="BI148" i="22"/>
  <c r="BI61" i="22"/>
  <c r="BI77" i="22"/>
  <c r="BI93" i="22"/>
  <c r="BI109" i="22"/>
  <c r="BI125" i="22"/>
  <c r="BI141" i="22"/>
  <c r="BI153" i="22"/>
  <c r="BI161" i="22"/>
  <c r="BI49" i="22"/>
  <c r="BI65" i="22"/>
  <c r="BI81" i="22"/>
  <c r="BI97" i="22"/>
  <c r="BI113" i="22"/>
  <c r="BI129" i="22"/>
  <c r="BI145" i="22"/>
  <c r="BI156" i="22"/>
  <c r="BI164" i="22"/>
  <c r="BI53" i="22"/>
  <c r="BI69" i="22"/>
  <c r="BI85" i="22"/>
  <c r="BI101" i="22"/>
  <c r="BI117" i="22"/>
  <c r="BI133" i="22"/>
  <c r="BI149" i="22"/>
  <c r="BI157" i="22"/>
  <c r="BI165" i="22"/>
  <c r="BI57" i="22"/>
  <c r="BI73" i="22"/>
  <c r="BI89" i="22"/>
  <c r="BI105" i="22"/>
  <c r="BI121" i="22"/>
  <c r="BI137" i="22"/>
  <c r="BI152" i="22"/>
  <c r="BI160" i="22"/>
  <c r="BI48" i="22"/>
  <c r="BF46" i="22"/>
  <c r="BF50" i="22"/>
  <c r="BF54" i="22"/>
  <c r="BF58" i="22"/>
  <c r="BF47" i="22"/>
  <c r="BF51" i="22"/>
  <c r="BF55" i="22"/>
  <c r="BF59" i="22"/>
  <c r="BF48" i="22"/>
  <c r="BF52" i="22"/>
  <c r="BF56" i="22"/>
  <c r="BF57" i="22"/>
  <c r="BF63" i="22"/>
  <c r="BF67" i="22"/>
  <c r="BF71" i="22"/>
  <c r="BF75" i="22"/>
  <c r="BF79" i="22"/>
  <c r="BF83" i="22"/>
  <c r="BF87" i="22"/>
  <c r="BF91" i="22"/>
  <c r="BF95" i="22"/>
  <c r="BF99" i="22"/>
  <c r="BF103" i="22"/>
  <c r="BF107" i="22"/>
  <c r="BF111" i="22"/>
  <c r="BF115" i="22"/>
  <c r="BF119" i="22"/>
  <c r="BF123" i="22"/>
  <c r="BF127" i="22"/>
  <c r="BF131" i="22"/>
  <c r="BF135" i="22"/>
  <c r="BF139" i="22"/>
  <c r="BF143" i="22"/>
  <c r="BF147" i="22"/>
  <c r="BF151" i="22"/>
  <c r="BF155" i="22"/>
  <c r="BF159" i="22"/>
  <c r="BF163" i="22"/>
  <c r="BF60" i="22"/>
  <c r="BF64" i="22"/>
  <c r="BF68" i="22"/>
  <c r="BF72" i="22"/>
  <c r="BF76" i="22"/>
  <c r="BF80" i="22"/>
  <c r="BF84" i="22"/>
  <c r="BF88" i="22"/>
  <c r="BF92" i="22"/>
  <c r="BF96" i="22"/>
  <c r="BF100" i="22"/>
  <c r="BF104" i="22"/>
  <c r="BF108" i="22"/>
  <c r="BF112" i="22"/>
  <c r="BF116" i="22"/>
  <c r="BF120" i="22"/>
  <c r="BF124" i="22"/>
  <c r="BF128" i="22"/>
  <c r="BF132" i="22"/>
  <c r="BF136" i="22"/>
  <c r="BF140" i="22"/>
  <c r="BF144" i="22"/>
  <c r="BF148" i="22"/>
  <c r="BF152" i="22"/>
  <c r="BF156" i="22"/>
  <c r="BF160" i="22"/>
  <c r="BF164" i="22"/>
  <c r="BF49" i="22"/>
  <c r="BF61" i="22"/>
  <c r="BF65" i="22"/>
  <c r="BF69" i="22"/>
  <c r="BF73" i="22"/>
  <c r="BF77" i="22"/>
  <c r="BF81" i="22"/>
  <c r="BF85" i="22"/>
  <c r="BF89" i="22"/>
  <c r="BF93" i="22"/>
  <c r="BF97" i="22"/>
  <c r="BF101" i="22"/>
  <c r="BF105" i="22"/>
  <c r="BF109" i="22"/>
  <c r="BF113" i="22"/>
  <c r="BF117" i="22"/>
  <c r="BF121" i="22"/>
  <c r="BF125" i="22"/>
  <c r="BF129" i="22"/>
  <c r="BF133" i="22"/>
  <c r="BF137" i="22"/>
  <c r="BF141" i="22"/>
  <c r="BF145" i="22"/>
  <c r="BF149" i="22"/>
  <c r="BF153" i="22"/>
  <c r="BF157" i="22"/>
  <c r="BF161" i="22"/>
  <c r="BF66" i="22"/>
  <c r="BF82" i="22"/>
  <c r="BF98" i="22"/>
  <c r="BF114" i="22"/>
  <c r="BF130" i="22"/>
  <c r="BF146" i="22"/>
  <c r="BF162" i="22"/>
  <c r="BF94" i="22"/>
  <c r="BF142" i="22"/>
  <c r="BF70" i="22"/>
  <c r="BF86" i="22"/>
  <c r="BF102" i="22"/>
  <c r="BF118" i="22"/>
  <c r="BF134" i="22"/>
  <c r="BF150" i="22"/>
  <c r="BF62" i="22"/>
  <c r="BF126" i="22"/>
  <c r="BF53" i="22"/>
  <c r="BF74" i="22"/>
  <c r="BF90" i="22"/>
  <c r="BF106" i="22"/>
  <c r="BF122" i="22"/>
  <c r="BF138" i="22"/>
  <c r="BF154" i="22"/>
  <c r="BF78" i="22"/>
  <c r="BF110" i="22"/>
  <c r="BF158" i="22"/>
  <c r="BF45" i="22"/>
  <c r="BE47" i="22"/>
  <c r="BE51" i="22"/>
  <c r="BE55" i="22"/>
  <c r="BE59" i="22"/>
  <c r="BE63" i="22"/>
  <c r="BE67" i="22"/>
  <c r="BE71" i="22"/>
  <c r="BE75" i="22"/>
  <c r="BE79" i="22"/>
  <c r="BE83" i="22"/>
  <c r="BE87" i="22"/>
  <c r="BE91" i="22"/>
  <c r="BE95" i="22"/>
  <c r="BE99" i="22"/>
  <c r="BE103" i="22"/>
  <c r="BE107" i="22"/>
  <c r="BE111" i="22"/>
  <c r="BE115" i="22"/>
  <c r="BE119" i="22"/>
  <c r="BE123" i="22"/>
  <c r="BE127" i="22"/>
  <c r="BE131" i="22"/>
  <c r="BE135" i="22"/>
  <c r="BE139" i="22"/>
  <c r="BE143" i="22"/>
  <c r="BE147" i="22"/>
  <c r="BE151" i="22"/>
  <c r="BE155" i="22"/>
  <c r="BE159" i="22"/>
  <c r="BE163" i="22"/>
  <c r="BE48" i="22"/>
  <c r="BE52" i="22"/>
  <c r="BE56" i="22"/>
  <c r="BE60" i="22"/>
  <c r="BE64" i="22"/>
  <c r="BE68" i="22"/>
  <c r="BE72" i="22"/>
  <c r="BE76" i="22"/>
  <c r="BE80" i="22"/>
  <c r="BE84" i="22"/>
  <c r="BE88" i="22"/>
  <c r="BE92" i="22"/>
  <c r="BE96" i="22"/>
  <c r="BE100" i="22"/>
  <c r="BE104" i="22"/>
  <c r="BE108" i="22"/>
  <c r="BE112" i="22"/>
  <c r="BE116" i="22"/>
  <c r="BE120" i="22"/>
  <c r="BE124" i="22"/>
  <c r="BE128" i="22"/>
  <c r="BE132" i="22"/>
  <c r="BE136" i="22"/>
  <c r="BE140" i="22"/>
  <c r="BE144" i="22"/>
  <c r="BE148" i="22"/>
  <c r="BE152" i="22"/>
  <c r="BE156" i="22"/>
  <c r="BE160" i="22"/>
  <c r="BE45" i="22"/>
  <c r="BE49" i="22"/>
  <c r="BE53" i="22"/>
  <c r="BE57" i="22"/>
  <c r="BE61" i="22"/>
  <c r="BE65" i="22"/>
  <c r="BE69" i="22"/>
  <c r="BE73" i="22"/>
  <c r="BE77" i="22"/>
  <c r="BE81" i="22"/>
  <c r="BE85" i="22"/>
  <c r="BE89" i="22"/>
  <c r="BE93" i="22"/>
  <c r="BE97" i="22"/>
  <c r="BE101" i="22"/>
  <c r="BE105" i="22"/>
  <c r="BE109" i="22"/>
  <c r="BE113" i="22"/>
  <c r="BE117" i="22"/>
  <c r="BE121" i="22"/>
  <c r="BE125" i="22"/>
  <c r="BE129" i="22"/>
  <c r="BE133" i="22"/>
  <c r="BE137" i="22"/>
  <c r="BE141" i="22"/>
  <c r="BE145" i="22"/>
  <c r="BE149" i="22"/>
  <c r="BE153" i="22"/>
  <c r="BE157" i="22"/>
  <c r="BE161" i="22"/>
  <c r="BE58" i="22"/>
  <c r="BE74" i="22"/>
  <c r="BE90" i="22"/>
  <c r="BE106" i="22"/>
  <c r="BE122" i="22"/>
  <c r="BE138" i="22"/>
  <c r="BE154" i="22"/>
  <c r="BE44" i="22"/>
  <c r="BE70" i="22"/>
  <c r="BE86" i="22"/>
  <c r="BE134" i="22"/>
  <c r="BE150" i="22"/>
  <c r="BE46" i="22"/>
  <c r="BE62" i="22"/>
  <c r="BE78" i="22"/>
  <c r="BE94" i="22"/>
  <c r="BE110" i="22"/>
  <c r="BE126" i="22"/>
  <c r="BE142" i="22"/>
  <c r="BE158" i="22"/>
  <c r="BE54" i="22"/>
  <c r="BE118" i="22"/>
  <c r="BE50" i="22"/>
  <c r="BE66" i="22"/>
  <c r="BE82" i="22"/>
  <c r="BE98" i="22"/>
  <c r="BE114" i="22"/>
  <c r="BE130" i="22"/>
  <c r="BE146" i="22"/>
  <c r="BE162" i="22"/>
  <c r="BE102" i="22"/>
  <c r="BD47" i="22"/>
  <c r="BD51" i="22"/>
  <c r="BD55" i="22"/>
  <c r="BD59" i="22"/>
  <c r="BD63" i="22"/>
  <c r="BD67" i="22"/>
  <c r="BD71" i="22"/>
  <c r="BD75" i="22"/>
  <c r="BD44" i="22"/>
  <c r="BD48" i="22"/>
  <c r="BD52" i="22"/>
  <c r="BD56" i="22"/>
  <c r="BD60" i="22"/>
  <c r="BD64" i="22"/>
  <c r="BD68" i="22"/>
  <c r="BD72" i="22"/>
  <c r="BD76" i="22"/>
  <c r="BD45" i="22"/>
  <c r="BD49" i="22"/>
  <c r="BD53" i="22"/>
  <c r="BD57" i="22"/>
  <c r="BD61" i="22"/>
  <c r="BD65" i="22"/>
  <c r="BD69" i="22"/>
  <c r="BD73" i="22"/>
  <c r="BD77" i="22"/>
  <c r="BD81" i="22"/>
  <c r="BD50" i="22"/>
  <c r="BD66" i="22"/>
  <c r="BD79" i="22"/>
  <c r="BD84" i="22"/>
  <c r="BD88" i="22"/>
  <c r="BD92" i="22"/>
  <c r="BD96" i="22"/>
  <c r="BD100" i="22"/>
  <c r="BD104" i="22"/>
  <c r="BD108" i="22"/>
  <c r="BD112" i="22"/>
  <c r="BD116" i="22"/>
  <c r="BD120" i="22"/>
  <c r="BD124" i="22"/>
  <c r="BD128" i="22"/>
  <c r="BD132" i="22"/>
  <c r="BD136" i="22"/>
  <c r="BD140" i="22"/>
  <c r="BD144" i="22"/>
  <c r="BD148" i="22"/>
  <c r="BD152" i="22"/>
  <c r="BD156" i="22"/>
  <c r="BD160" i="22"/>
  <c r="BD78" i="22"/>
  <c r="BD87" i="22"/>
  <c r="BD95" i="22"/>
  <c r="BD107" i="22"/>
  <c r="BD119" i="22"/>
  <c r="BD127" i="22"/>
  <c r="BD135" i="22"/>
  <c r="BD147" i="22"/>
  <c r="BD159" i="22"/>
  <c r="BD54" i="22"/>
  <c r="BD70" i="22"/>
  <c r="BD80" i="22"/>
  <c r="BD85" i="22"/>
  <c r="BD89" i="22"/>
  <c r="BD93" i="22"/>
  <c r="BD97" i="22"/>
  <c r="BD101" i="22"/>
  <c r="BD105" i="22"/>
  <c r="BD109" i="22"/>
  <c r="BD113" i="22"/>
  <c r="BD117" i="22"/>
  <c r="BD121" i="22"/>
  <c r="BD125" i="22"/>
  <c r="BD129" i="22"/>
  <c r="BD133" i="22"/>
  <c r="BD137" i="22"/>
  <c r="BD141" i="22"/>
  <c r="BD145" i="22"/>
  <c r="BD149" i="22"/>
  <c r="BD153" i="22"/>
  <c r="BD157" i="22"/>
  <c r="BD161" i="22"/>
  <c r="BD43" i="22"/>
  <c r="BD62" i="22"/>
  <c r="BD83" i="22"/>
  <c r="BD99" i="22"/>
  <c r="BD111" i="22"/>
  <c r="BD123" i="22"/>
  <c r="BD139" i="22"/>
  <c r="BD151" i="22"/>
  <c r="BD58" i="22"/>
  <c r="BD74" i="22"/>
  <c r="BD82" i="22"/>
  <c r="BD86" i="22"/>
  <c r="BD90" i="22"/>
  <c r="BD94" i="22"/>
  <c r="BD98" i="22"/>
  <c r="BD102" i="22"/>
  <c r="BD106" i="22"/>
  <c r="BD110" i="22"/>
  <c r="BD114" i="22"/>
  <c r="BD118" i="22"/>
  <c r="BD122" i="22"/>
  <c r="BD126" i="22"/>
  <c r="BD130" i="22"/>
  <c r="BD134" i="22"/>
  <c r="BD138" i="22"/>
  <c r="BD142" i="22"/>
  <c r="BD146" i="22"/>
  <c r="BD150" i="22"/>
  <c r="BD154" i="22"/>
  <c r="BD158" i="22"/>
  <c r="BD162" i="22"/>
  <c r="BD46" i="22"/>
  <c r="BD91" i="22"/>
  <c r="BD103" i="22"/>
  <c r="BD115" i="22"/>
  <c r="BD131" i="22"/>
  <c r="BD143" i="22"/>
  <c r="BD155" i="22"/>
  <c r="G36" i="27"/>
  <c r="G40" i="27"/>
  <c r="G42" i="27"/>
  <c r="G38" i="27"/>
  <c r="BQ163" i="22"/>
  <c r="BQ165" i="22"/>
  <c r="BQ169" i="22"/>
  <c r="BQ168" i="22"/>
  <c r="BQ167" i="22"/>
  <c r="BQ172" i="22"/>
  <c r="BQ173" i="22"/>
  <c r="BQ171" i="22"/>
  <c r="BQ162" i="22"/>
  <c r="BQ164" i="22"/>
  <c r="BQ166" i="22"/>
  <c r="BQ170" i="22"/>
  <c r="AX43" i="24"/>
  <c r="AX44" i="24"/>
  <c r="AX45" i="24"/>
  <c r="AX46" i="24"/>
  <c r="AX47" i="24"/>
  <c r="AX48" i="24"/>
  <c r="AX49" i="24"/>
  <c r="AX50" i="24"/>
  <c r="AX51" i="24"/>
  <c r="AX52" i="24"/>
  <c r="AX53" i="24"/>
  <c r="AX54" i="24"/>
  <c r="AX55" i="24"/>
  <c r="AX56" i="24"/>
  <c r="AX57" i="24"/>
  <c r="AX58" i="24"/>
  <c r="AX59" i="24"/>
  <c r="AX60" i="24"/>
  <c r="AX61" i="24"/>
  <c r="AX62" i="24"/>
  <c r="AX63" i="24"/>
  <c r="AX64" i="24"/>
  <c r="AX65" i="24"/>
  <c r="AX66" i="24"/>
  <c r="AX67" i="24"/>
  <c r="AX68" i="24"/>
  <c r="AX69" i="24"/>
  <c r="AX70" i="24"/>
  <c r="AX71" i="24"/>
  <c r="AX72" i="24"/>
  <c r="AX73" i="24"/>
  <c r="AX74" i="24"/>
  <c r="AX75" i="24"/>
  <c r="AX76" i="24"/>
  <c r="AX77" i="24"/>
  <c r="BN77" i="24"/>
  <c r="AW42" i="24"/>
  <c r="AW43" i="24"/>
  <c r="AW44" i="24"/>
  <c r="AW45" i="24"/>
  <c r="AW46" i="24"/>
  <c r="AW47" i="24"/>
  <c r="AW48" i="24"/>
  <c r="AW49" i="24"/>
  <c r="AW50" i="24"/>
  <c r="AW51" i="24"/>
  <c r="AW52" i="24"/>
  <c r="AW53" i="24"/>
  <c r="AW54" i="24"/>
  <c r="AW55" i="24"/>
  <c r="AW56" i="24"/>
  <c r="AW57" i="24"/>
  <c r="AW58" i="24"/>
  <c r="AW59" i="24"/>
  <c r="AW60" i="24"/>
  <c r="AW61" i="24"/>
  <c r="AW62" i="24"/>
  <c r="AW63" i="24"/>
  <c r="AW64" i="24"/>
  <c r="AW65" i="24"/>
  <c r="AW66" i="24"/>
  <c r="AW67" i="24"/>
  <c r="AW68" i="24"/>
  <c r="AW69" i="24"/>
  <c r="AW70" i="24"/>
  <c r="AW71" i="24"/>
  <c r="AW72" i="24"/>
  <c r="AW73" i="24"/>
  <c r="AW74" i="24"/>
  <c r="AW75" i="24"/>
  <c r="AW76" i="24"/>
  <c r="AV41" i="24"/>
  <c r="AV42" i="24"/>
  <c r="AV43" i="24"/>
  <c r="AV44" i="24"/>
  <c r="AV45" i="24"/>
  <c r="AV46" i="24"/>
  <c r="AV47" i="24"/>
  <c r="AV48" i="24"/>
  <c r="AV49" i="24"/>
  <c r="AV50" i="24"/>
  <c r="AV51" i="24"/>
  <c r="AV52" i="24"/>
  <c r="AV53" i="24"/>
  <c r="AV54" i="24"/>
  <c r="AV55" i="24"/>
  <c r="AV56" i="24"/>
  <c r="AV57" i="24"/>
  <c r="AV58" i="24"/>
  <c r="AV59" i="24"/>
  <c r="AV60" i="24"/>
  <c r="AV61" i="24"/>
  <c r="AV62" i="24"/>
  <c r="AV63" i="24"/>
  <c r="AV64" i="24"/>
  <c r="AV65" i="24"/>
  <c r="AV66" i="24"/>
  <c r="AV67" i="24"/>
  <c r="AV68" i="24"/>
  <c r="AV69" i="24"/>
  <c r="AV70" i="24"/>
  <c r="AV71" i="24"/>
  <c r="AV72" i="24"/>
  <c r="AV73" i="24"/>
  <c r="AV74" i="24"/>
  <c r="AV75" i="24"/>
  <c r="AU40" i="24"/>
  <c r="AU41" i="24"/>
  <c r="AU42" i="24"/>
  <c r="AU43" i="24"/>
  <c r="AU44" i="24"/>
  <c r="AU45" i="24"/>
  <c r="AU46" i="24"/>
  <c r="AU47" i="24"/>
  <c r="AU48" i="24"/>
  <c r="AU49" i="24"/>
  <c r="AU50" i="24"/>
  <c r="AU51" i="24"/>
  <c r="AU52" i="24"/>
  <c r="AU53" i="24"/>
  <c r="AU54" i="24"/>
  <c r="AU55" i="24"/>
  <c r="AU56" i="24"/>
  <c r="AU57" i="24"/>
  <c r="AU58" i="24"/>
  <c r="AU59" i="24"/>
  <c r="AU60" i="24"/>
  <c r="AU61" i="24"/>
  <c r="AU62" i="24"/>
  <c r="AU63" i="24"/>
  <c r="AU64" i="24"/>
  <c r="AU65" i="24"/>
  <c r="AU66" i="24"/>
  <c r="AU67" i="24"/>
  <c r="AU68" i="24"/>
  <c r="AU69" i="24"/>
  <c r="AU70" i="24"/>
  <c r="AU71" i="24"/>
  <c r="AU72" i="24"/>
  <c r="AU73" i="24"/>
  <c r="AU74" i="24"/>
  <c r="AT39" i="24"/>
  <c r="AT40" i="24"/>
  <c r="AT41" i="24"/>
  <c r="AT42" i="24"/>
  <c r="AT43" i="24"/>
  <c r="AT44" i="24"/>
  <c r="AT45" i="24"/>
  <c r="AT46" i="24"/>
  <c r="AT47" i="24"/>
  <c r="AT48" i="24"/>
  <c r="AT49" i="24"/>
  <c r="AT50" i="24"/>
  <c r="AT51" i="24"/>
  <c r="AT52" i="24"/>
  <c r="AT53" i="24"/>
  <c r="AT54" i="24"/>
  <c r="AT55" i="24"/>
  <c r="AT56" i="24"/>
  <c r="AT57" i="24"/>
  <c r="AT58" i="24"/>
  <c r="AT59" i="24"/>
  <c r="AT60" i="24"/>
  <c r="AT61" i="24"/>
  <c r="AT62" i="24"/>
  <c r="AT63" i="24"/>
  <c r="AT64" i="24"/>
  <c r="AT65" i="24"/>
  <c r="AT66" i="24"/>
  <c r="AT67" i="24"/>
  <c r="AT68" i="24"/>
  <c r="AT69" i="24"/>
  <c r="AT70" i="24"/>
  <c r="AT71" i="24"/>
  <c r="AT72" i="24"/>
  <c r="AT73" i="24"/>
  <c r="AS38" i="24"/>
  <c r="AS39" i="24"/>
  <c r="AS40" i="24"/>
  <c r="AS41" i="24"/>
  <c r="AS42" i="24"/>
  <c r="AS43" i="24"/>
  <c r="AS44" i="24"/>
  <c r="AS45" i="24"/>
  <c r="AS46" i="24"/>
  <c r="AS47" i="24"/>
  <c r="AS48" i="24"/>
  <c r="AS49" i="24"/>
  <c r="AS50" i="24"/>
  <c r="AS51" i="24"/>
  <c r="AS52" i="24"/>
  <c r="AS53" i="24"/>
  <c r="AS54" i="24"/>
  <c r="AS55" i="24"/>
  <c r="AS56" i="24"/>
  <c r="AS57" i="24"/>
  <c r="AS58" i="24"/>
  <c r="AS59" i="24"/>
  <c r="AS60" i="24"/>
  <c r="AS61" i="24"/>
  <c r="AS62" i="24"/>
  <c r="AS63" i="24"/>
  <c r="AS64" i="24"/>
  <c r="AS65" i="24"/>
  <c r="AS66" i="24"/>
  <c r="AS67" i="24"/>
  <c r="AS68" i="24"/>
  <c r="AS69" i="24"/>
  <c r="AS70" i="24"/>
  <c r="AS71" i="24"/>
  <c r="AS72" i="24"/>
  <c r="AR37" i="24"/>
  <c r="AR38" i="24"/>
  <c r="AR39" i="24"/>
  <c r="AR40" i="24"/>
  <c r="AR41" i="24"/>
  <c r="AR42" i="24"/>
  <c r="AR43" i="24"/>
  <c r="AR44" i="24"/>
  <c r="AR45" i="24"/>
  <c r="AR46" i="24"/>
  <c r="AR47" i="24"/>
  <c r="AR48" i="24"/>
  <c r="AR49" i="24"/>
  <c r="AR50" i="24"/>
  <c r="AR51" i="24"/>
  <c r="AR52" i="24"/>
  <c r="AR53" i="24"/>
  <c r="AR54" i="24"/>
  <c r="AR55" i="24"/>
  <c r="AR56" i="24"/>
  <c r="AR57" i="24"/>
  <c r="AR58" i="24"/>
  <c r="AR59" i="24"/>
  <c r="AR60" i="24"/>
  <c r="AR61" i="24"/>
  <c r="AR62" i="24"/>
  <c r="AR63" i="24"/>
  <c r="AR64" i="24"/>
  <c r="AR65" i="24"/>
  <c r="AR66" i="24"/>
  <c r="AR67" i="24"/>
  <c r="AR68" i="24"/>
  <c r="AR69" i="24"/>
  <c r="AR70" i="24"/>
  <c r="AR71" i="24"/>
  <c r="AQ36" i="24"/>
  <c r="AQ37" i="24"/>
  <c r="AQ38" i="24"/>
  <c r="AQ39" i="24"/>
  <c r="AQ40" i="24"/>
  <c r="AQ41" i="24"/>
  <c r="AQ42" i="24"/>
  <c r="AQ43" i="24"/>
  <c r="AQ44" i="24"/>
  <c r="AQ45" i="24"/>
  <c r="AQ46" i="24"/>
  <c r="AQ47" i="24"/>
  <c r="AQ48" i="24"/>
  <c r="AQ49" i="24"/>
  <c r="AQ50" i="24"/>
  <c r="AQ51" i="24"/>
  <c r="AQ52" i="24"/>
  <c r="AQ53" i="24"/>
  <c r="AQ54" i="24"/>
  <c r="AQ55" i="24"/>
  <c r="AQ56" i="24"/>
  <c r="AQ57" i="24"/>
  <c r="AQ58" i="24"/>
  <c r="AQ59" i="24"/>
  <c r="AQ60" i="24"/>
  <c r="AQ61" i="24"/>
  <c r="AQ62" i="24"/>
  <c r="AQ63" i="24"/>
  <c r="AQ64" i="24"/>
  <c r="AQ65" i="24"/>
  <c r="AQ66" i="24"/>
  <c r="AQ67" i="24"/>
  <c r="AQ68" i="24"/>
  <c r="AQ69" i="24"/>
  <c r="AQ70" i="24"/>
  <c r="AP35" i="24"/>
  <c r="AP36" i="24"/>
  <c r="AP37" i="24"/>
  <c r="AP38" i="24"/>
  <c r="AP39" i="24"/>
  <c r="AP40" i="24"/>
  <c r="AP41" i="24"/>
  <c r="AP42" i="24"/>
  <c r="AP43" i="24"/>
  <c r="AP44" i="24"/>
  <c r="AP45" i="24"/>
  <c r="AP46" i="24"/>
  <c r="AP47" i="24"/>
  <c r="AP48" i="24"/>
  <c r="AP49" i="24"/>
  <c r="AP50" i="24"/>
  <c r="AP51" i="24"/>
  <c r="AP52" i="24"/>
  <c r="AP53" i="24"/>
  <c r="AP54" i="24"/>
  <c r="AP55" i="24"/>
  <c r="AP56" i="24"/>
  <c r="AP57" i="24"/>
  <c r="AP58" i="24"/>
  <c r="AP59" i="24"/>
  <c r="AP60" i="24"/>
  <c r="AP61" i="24"/>
  <c r="AP62" i="24"/>
  <c r="AP63" i="24"/>
  <c r="AP64" i="24"/>
  <c r="AP65" i="24"/>
  <c r="AP66" i="24"/>
  <c r="AP67" i="24"/>
  <c r="AP68" i="24"/>
  <c r="AP69" i="24"/>
  <c r="AO34" i="24"/>
  <c r="AO35" i="24"/>
  <c r="AO36" i="24"/>
  <c r="AO37" i="24"/>
  <c r="AO38" i="24"/>
  <c r="AO39" i="24"/>
  <c r="AO40" i="24"/>
  <c r="AO41" i="24"/>
  <c r="AO42" i="24"/>
  <c r="AO43" i="24"/>
  <c r="AO44" i="24"/>
  <c r="AO45" i="24"/>
  <c r="AO46" i="24"/>
  <c r="AO47" i="24"/>
  <c r="AO48" i="24"/>
  <c r="AO49" i="24"/>
  <c r="AO50" i="24"/>
  <c r="AO51" i="24"/>
  <c r="AO52" i="24"/>
  <c r="AO53" i="24"/>
  <c r="AO54" i="24"/>
  <c r="AO55" i="24"/>
  <c r="AO56" i="24"/>
  <c r="AO57" i="24"/>
  <c r="AO58" i="24"/>
  <c r="AO59" i="24"/>
  <c r="AO60" i="24"/>
  <c r="AO61" i="24"/>
  <c r="AO62" i="24"/>
  <c r="AO63" i="24"/>
  <c r="AO64" i="24"/>
  <c r="AO65" i="24"/>
  <c r="AO66" i="24"/>
  <c r="AO67" i="24"/>
  <c r="AO68" i="24"/>
  <c r="AN33" i="24"/>
  <c r="AN34" i="24"/>
  <c r="AN35" i="24"/>
  <c r="AN36" i="24"/>
  <c r="AN37" i="24"/>
  <c r="AN38" i="24"/>
  <c r="AN39" i="24"/>
  <c r="AN40" i="24"/>
  <c r="AN41" i="24"/>
  <c r="AN42" i="24"/>
  <c r="AN43" i="24"/>
  <c r="AN44" i="24"/>
  <c r="AN45" i="24"/>
  <c r="AN46" i="24"/>
  <c r="AN47" i="24"/>
  <c r="AN48" i="24"/>
  <c r="AN49" i="24"/>
  <c r="AN50" i="24"/>
  <c r="AN51" i="24"/>
  <c r="AN52" i="24"/>
  <c r="AN53" i="24"/>
  <c r="AN54" i="24"/>
  <c r="AN55" i="24"/>
  <c r="AN56" i="24"/>
  <c r="AN57" i="24"/>
  <c r="AN58" i="24"/>
  <c r="AN59" i="24"/>
  <c r="AN60" i="24"/>
  <c r="AN61" i="24"/>
  <c r="AN62" i="24"/>
  <c r="AN63" i="24"/>
  <c r="AN64" i="24"/>
  <c r="AN65" i="24"/>
  <c r="AN66" i="24"/>
  <c r="AN67" i="24"/>
  <c r="AM32" i="24"/>
  <c r="AM33" i="24"/>
  <c r="AM34" i="24"/>
  <c r="AM35" i="24"/>
  <c r="AM36" i="24"/>
  <c r="AM37" i="24"/>
  <c r="AM38" i="24"/>
  <c r="AM39" i="24"/>
  <c r="AM40" i="24"/>
  <c r="AM41" i="24"/>
  <c r="AM42" i="24"/>
  <c r="AM43" i="24"/>
  <c r="AM44" i="24"/>
  <c r="AM45" i="24"/>
  <c r="AM46" i="24"/>
  <c r="AM47" i="24"/>
  <c r="AM48" i="24"/>
  <c r="AM49" i="24"/>
  <c r="AM50" i="24"/>
  <c r="AM51" i="24"/>
  <c r="AM52" i="24"/>
  <c r="AM53" i="24"/>
  <c r="AM54" i="24"/>
  <c r="AM55" i="24"/>
  <c r="AM56" i="24"/>
  <c r="AM57" i="24"/>
  <c r="AM58" i="24"/>
  <c r="AM59" i="24"/>
  <c r="AM60" i="24"/>
  <c r="AM61" i="24"/>
  <c r="AM62" i="24"/>
  <c r="AM63" i="24"/>
  <c r="AM64" i="24"/>
  <c r="AM65" i="24"/>
  <c r="AM66" i="24"/>
  <c r="AX42" i="24"/>
  <c r="AW41" i="24"/>
  <c r="AV40" i="24"/>
  <c r="AU39" i="24"/>
  <c r="AT38" i="24"/>
  <c r="AS37" i="24"/>
  <c r="AR36" i="24"/>
  <c r="AQ35" i="24"/>
  <c r="AP34" i="24"/>
  <c r="AO33" i="24"/>
  <c r="AN32" i="24"/>
  <c r="AM31" i="24"/>
  <c r="AX43" i="23"/>
  <c r="AX44" i="23"/>
  <c r="AX45" i="23"/>
  <c r="AX46" i="23"/>
  <c r="AX47" i="23"/>
  <c r="AX48" i="23"/>
  <c r="AX49" i="23"/>
  <c r="AX50" i="23"/>
  <c r="AX51" i="23"/>
  <c r="AX52" i="23"/>
  <c r="AX53" i="23"/>
  <c r="AX54" i="23"/>
  <c r="AX55" i="23"/>
  <c r="AX56" i="23"/>
  <c r="AX57" i="23"/>
  <c r="AX58" i="23"/>
  <c r="AX59" i="23"/>
  <c r="AX60" i="23"/>
  <c r="AX61" i="23"/>
  <c r="AX62" i="23"/>
  <c r="AX63" i="23"/>
  <c r="AX64" i="23"/>
  <c r="AX65" i="23"/>
  <c r="AX66" i="23"/>
  <c r="AX67" i="23"/>
  <c r="AX68" i="23"/>
  <c r="AX69" i="23"/>
  <c r="AX70" i="23"/>
  <c r="AX71" i="23"/>
  <c r="AX72" i="23"/>
  <c r="AX73" i="23"/>
  <c r="AX74" i="23"/>
  <c r="AX75" i="23"/>
  <c r="AX76" i="23"/>
  <c r="AX77" i="23"/>
  <c r="AX78" i="23"/>
  <c r="AX79" i="23"/>
  <c r="AX80" i="23"/>
  <c r="AX81" i="23"/>
  <c r="AX82" i="23"/>
  <c r="AX83" i="23"/>
  <c r="AX84" i="23"/>
  <c r="AX85" i="23"/>
  <c r="AX86" i="23"/>
  <c r="AX87" i="23"/>
  <c r="AX88" i="23"/>
  <c r="AX89" i="23"/>
  <c r="AX90" i="23"/>
  <c r="AX91" i="23"/>
  <c r="AX92" i="23"/>
  <c r="AX93" i="23"/>
  <c r="AX94" i="23"/>
  <c r="AX95" i="23"/>
  <c r="AX96" i="23"/>
  <c r="AX97" i="23"/>
  <c r="AX98" i="23"/>
  <c r="AX99" i="23"/>
  <c r="AX100" i="23"/>
  <c r="AX101" i="23"/>
  <c r="BN101" i="23" s="1"/>
  <c r="AX42" i="23"/>
  <c r="AW42" i="23"/>
  <c r="AW43" i="23"/>
  <c r="AW44" i="23"/>
  <c r="AW45" i="23"/>
  <c r="AW46" i="23"/>
  <c r="AW47" i="23"/>
  <c r="AW48" i="23"/>
  <c r="AW49" i="23"/>
  <c r="AW50" i="23"/>
  <c r="AW51" i="23"/>
  <c r="AW52" i="23"/>
  <c r="AW53" i="23"/>
  <c r="AW54" i="23"/>
  <c r="AW55" i="23"/>
  <c r="AW56" i="23"/>
  <c r="AW57" i="23"/>
  <c r="AW58" i="23"/>
  <c r="AW59" i="23"/>
  <c r="AW60" i="23"/>
  <c r="AW61" i="23"/>
  <c r="AW62" i="23"/>
  <c r="AW63" i="23"/>
  <c r="AW64" i="23"/>
  <c r="AW65" i="23"/>
  <c r="AW66" i="23"/>
  <c r="AW67" i="23"/>
  <c r="AW68" i="23"/>
  <c r="AW69" i="23"/>
  <c r="AW70" i="23"/>
  <c r="AW71" i="23"/>
  <c r="AW72" i="23"/>
  <c r="AW73" i="23"/>
  <c r="AW74" i="23"/>
  <c r="AW75" i="23"/>
  <c r="AW76" i="23"/>
  <c r="AW77" i="23"/>
  <c r="AW78" i="23"/>
  <c r="AW79" i="23"/>
  <c r="AW80" i="23"/>
  <c r="AW81" i="23"/>
  <c r="AW82" i="23"/>
  <c r="AW83" i="23"/>
  <c r="AW84" i="23"/>
  <c r="AW85" i="23"/>
  <c r="AW86" i="23"/>
  <c r="AW87" i="23"/>
  <c r="AW88" i="23"/>
  <c r="AW89" i="23"/>
  <c r="AW90" i="23"/>
  <c r="AW91" i="23"/>
  <c r="AW92" i="23"/>
  <c r="AW93" i="23"/>
  <c r="AW94" i="23"/>
  <c r="AW95" i="23"/>
  <c r="AW96" i="23"/>
  <c r="AW97" i="23"/>
  <c r="AW98" i="23"/>
  <c r="AW99" i="23"/>
  <c r="AW100" i="23"/>
  <c r="AW41" i="23"/>
  <c r="AV41" i="23"/>
  <c r="AV42" i="23"/>
  <c r="AV43" i="23"/>
  <c r="AV44" i="23"/>
  <c r="AV45" i="23"/>
  <c r="AV46" i="23"/>
  <c r="AV47" i="23"/>
  <c r="AV48" i="23"/>
  <c r="AV49" i="23"/>
  <c r="AV50" i="23"/>
  <c r="AV51" i="23"/>
  <c r="AV52" i="23"/>
  <c r="AV53" i="23"/>
  <c r="AV54" i="23"/>
  <c r="AV55" i="23"/>
  <c r="AV56" i="23"/>
  <c r="AV57" i="23"/>
  <c r="AV58" i="23"/>
  <c r="AV59" i="23"/>
  <c r="AV60" i="23"/>
  <c r="AV61" i="23"/>
  <c r="AV62" i="23"/>
  <c r="AV63" i="23"/>
  <c r="AV64" i="23"/>
  <c r="AV65" i="23"/>
  <c r="AV66" i="23"/>
  <c r="AV67" i="23"/>
  <c r="AV68" i="23"/>
  <c r="AV69" i="23"/>
  <c r="AV70" i="23"/>
  <c r="AV71" i="23"/>
  <c r="AV72" i="23"/>
  <c r="AV73" i="23"/>
  <c r="AV74" i="23"/>
  <c r="AV75" i="23"/>
  <c r="AV76" i="23"/>
  <c r="AV77" i="23"/>
  <c r="AV78" i="23"/>
  <c r="AV79" i="23"/>
  <c r="AV80" i="23"/>
  <c r="AV81" i="23"/>
  <c r="AV82" i="23"/>
  <c r="AV83" i="23"/>
  <c r="AV84" i="23"/>
  <c r="AV85" i="23"/>
  <c r="AV86" i="23"/>
  <c r="AV87" i="23"/>
  <c r="AV88" i="23"/>
  <c r="AV89" i="23"/>
  <c r="AV90" i="23"/>
  <c r="AV91" i="23"/>
  <c r="AV92" i="23"/>
  <c r="AV93" i="23"/>
  <c r="AV94" i="23"/>
  <c r="AV95" i="23"/>
  <c r="AV96" i="23"/>
  <c r="AV97" i="23"/>
  <c r="AV98" i="23"/>
  <c r="AV99" i="23"/>
  <c r="BN99" i="23"/>
  <c r="AV40" i="23"/>
  <c r="AU40" i="23"/>
  <c r="AU41" i="23"/>
  <c r="AU42" i="23"/>
  <c r="AU43" i="23"/>
  <c r="AU44" i="23"/>
  <c r="AU45" i="23"/>
  <c r="AU46" i="23"/>
  <c r="AU47" i="23"/>
  <c r="AU48" i="23"/>
  <c r="AU49" i="23"/>
  <c r="AU50" i="23"/>
  <c r="AU51" i="23"/>
  <c r="AU52" i="23"/>
  <c r="AU53" i="23"/>
  <c r="AU54" i="23"/>
  <c r="AU55" i="23"/>
  <c r="AU56" i="23"/>
  <c r="AU57" i="23"/>
  <c r="AU58" i="23"/>
  <c r="AU59" i="23"/>
  <c r="AU60" i="23"/>
  <c r="AU61" i="23"/>
  <c r="AU62" i="23"/>
  <c r="AU63" i="23"/>
  <c r="AU64" i="23"/>
  <c r="AU65" i="23"/>
  <c r="AU66" i="23"/>
  <c r="AU67" i="23"/>
  <c r="AU68" i="23"/>
  <c r="AU69" i="23"/>
  <c r="AU70" i="23"/>
  <c r="AU71" i="23"/>
  <c r="AU72" i="23"/>
  <c r="AU73" i="23"/>
  <c r="AU74" i="23"/>
  <c r="AU75" i="23"/>
  <c r="AU76" i="23"/>
  <c r="AU77" i="23"/>
  <c r="AU78" i="23"/>
  <c r="AU79" i="23"/>
  <c r="AU80" i="23"/>
  <c r="AU81" i="23"/>
  <c r="AU82" i="23"/>
  <c r="AU83" i="23"/>
  <c r="AU84" i="23"/>
  <c r="AU85" i="23"/>
  <c r="AU86" i="23"/>
  <c r="AU87" i="23"/>
  <c r="AU88" i="23"/>
  <c r="AU89" i="23"/>
  <c r="AU90" i="23"/>
  <c r="AU91" i="23"/>
  <c r="AU92" i="23"/>
  <c r="AU93" i="23"/>
  <c r="AU94" i="23"/>
  <c r="AU95" i="23"/>
  <c r="AU96" i="23"/>
  <c r="AU97" i="23"/>
  <c r="AU98" i="23"/>
  <c r="AU39" i="23"/>
  <c r="AT39" i="23"/>
  <c r="AT40" i="23"/>
  <c r="AT41" i="23"/>
  <c r="AT42" i="23"/>
  <c r="AT43" i="23"/>
  <c r="AT44" i="23"/>
  <c r="AT45" i="23"/>
  <c r="AT46" i="23"/>
  <c r="AT47" i="23"/>
  <c r="AT48" i="23"/>
  <c r="AT49" i="23"/>
  <c r="AT50" i="23"/>
  <c r="AT51" i="23"/>
  <c r="AT52" i="23"/>
  <c r="AT53" i="23"/>
  <c r="AT54" i="23"/>
  <c r="AT55" i="23"/>
  <c r="AT56" i="23"/>
  <c r="AT57" i="23"/>
  <c r="AT58" i="23"/>
  <c r="AT59" i="23"/>
  <c r="AT60" i="23"/>
  <c r="AT61" i="23"/>
  <c r="AT62" i="23"/>
  <c r="AT63" i="23"/>
  <c r="AT64" i="23"/>
  <c r="AT65" i="23"/>
  <c r="AT66" i="23"/>
  <c r="AT67" i="23"/>
  <c r="AT68" i="23"/>
  <c r="AT69" i="23"/>
  <c r="AT70" i="23"/>
  <c r="AT71" i="23"/>
  <c r="AT72" i="23"/>
  <c r="AT73" i="23"/>
  <c r="AT74" i="23"/>
  <c r="AT75" i="23"/>
  <c r="AT76" i="23"/>
  <c r="AT77" i="23"/>
  <c r="AT78" i="23"/>
  <c r="AT79" i="23"/>
  <c r="AT80" i="23"/>
  <c r="AT81" i="23"/>
  <c r="AT82" i="23"/>
  <c r="AT83" i="23"/>
  <c r="AT84" i="23"/>
  <c r="AT85" i="23"/>
  <c r="AT86" i="23"/>
  <c r="AT87" i="23"/>
  <c r="AT88" i="23"/>
  <c r="AT89" i="23"/>
  <c r="AT90" i="23"/>
  <c r="AT91" i="23"/>
  <c r="AT92" i="23"/>
  <c r="AT93" i="23"/>
  <c r="AT94" i="23"/>
  <c r="AT95" i="23"/>
  <c r="AT96" i="23"/>
  <c r="AT97" i="23"/>
  <c r="BN97" i="23" s="1"/>
  <c r="AT38" i="23"/>
  <c r="AS38" i="23"/>
  <c r="AS39" i="23"/>
  <c r="AS40" i="23"/>
  <c r="AS41" i="23"/>
  <c r="AS42" i="23"/>
  <c r="AS43" i="23"/>
  <c r="AS44" i="23"/>
  <c r="AS45" i="23"/>
  <c r="AS46" i="23"/>
  <c r="AS47" i="23"/>
  <c r="AS48" i="23"/>
  <c r="AS49" i="23"/>
  <c r="AS50" i="23"/>
  <c r="AS51" i="23"/>
  <c r="AS52" i="23"/>
  <c r="AS53" i="23"/>
  <c r="AS54" i="23"/>
  <c r="AS55" i="23"/>
  <c r="AS56" i="23"/>
  <c r="AS57" i="23"/>
  <c r="AS58" i="23"/>
  <c r="AS59" i="23"/>
  <c r="AS60" i="23"/>
  <c r="AS61" i="23"/>
  <c r="AS62" i="23"/>
  <c r="AS63" i="23"/>
  <c r="AS64" i="23"/>
  <c r="AS65" i="23"/>
  <c r="AS66" i="23"/>
  <c r="AS67" i="23"/>
  <c r="AS68" i="23"/>
  <c r="AS69" i="23"/>
  <c r="AS70" i="23"/>
  <c r="AS71" i="23"/>
  <c r="AS72" i="23"/>
  <c r="AS73" i="23"/>
  <c r="AS74" i="23"/>
  <c r="AS75" i="23"/>
  <c r="AS76" i="23"/>
  <c r="AS77" i="23"/>
  <c r="AS78" i="23"/>
  <c r="AS79" i="23"/>
  <c r="AS80" i="23"/>
  <c r="AS81" i="23"/>
  <c r="AS82" i="23"/>
  <c r="AS83" i="23"/>
  <c r="AS84" i="23"/>
  <c r="AS85" i="23"/>
  <c r="AS86" i="23"/>
  <c r="AS87" i="23"/>
  <c r="AS88" i="23"/>
  <c r="AS89" i="23"/>
  <c r="AS90" i="23"/>
  <c r="AS91" i="23"/>
  <c r="AS92" i="23"/>
  <c r="AS93" i="23"/>
  <c r="AS94" i="23"/>
  <c r="AS95" i="23"/>
  <c r="AS96" i="23"/>
  <c r="AS37" i="23"/>
  <c r="AR37" i="23"/>
  <c r="AR38" i="23"/>
  <c r="AR39" i="23"/>
  <c r="AR40" i="23"/>
  <c r="AR41" i="23"/>
  <c r="AR42" i="23"/>
  <c r="AR43" i="23"/>
  <c r="AR44" i="23"/>
  <c r="AR45" i="23"/>
  <c r="AR46" i="23"/>
  <c r="AR47" i="23"/>
  <c r="AR48" i="23"/>
  <c r="AR49" i="23"/>
  <c r="AR50" i="23"/>
  <c r="AR51" i="23"/>
  <c r="AR52" i="23"/>
  <c r="AR53" i="23"/>
  <c r="AR54" i="23"/>
  <c r="AR55" i="23"/>
  <c r="AR56" i="23"/>
  <c r="AR57" i="23"/>
  <c r="AR58" i="23"/>
  <c r="AR59" i="23"/>
  <c r="AR60" i="23"/>
  <c r="AR61" i="23"/>
  <c r="AR62" i="23"/>
  <c r="AR63" i="23"/>
  <c r="AR64" i="23"/>
  <c r="AR65" i="23"/>
  <c r="AR66" i="23"/>
  <c r="AR67" i="23"/>
  <c r="AR68" i="23"/>
  <c r="AR69" i="23"/>
  <c r="AR70" i="23"/>
  <c r="AR71" i="23"/>
  <c r="AR72" i="23"/>
  <c r="AR73" i="23"/>
  <c r="AR74" i="23"/>
  <c r="AR75" i="23"/>
  <c r="AR76" i="23"/>
  <c r="AR77" i="23"/>
  <c r="AR78" i="23"/>
  <c r="AR79" i="23"/>
  <c r="AR80" i="23"/>
  <c r="AR81" i="23"/>
  <c r="AR82" i="23"/>
  <c r="AR83" i="23"/>
  <c r="AR84" i="23"/>
  <c r="AR85" i="23"/>
  <c r="AR86" i="23"/>
  <c r="AR87" i="23"/>
  <c r="AR88" i="23"/>
  <c r="AR89" i="23"/>
  <c r="AR90" i="23"/>
  <c r="AR91" i="23"/>
  <c r="AR92" i="23"/>
  <c r="AR93" i="23"/>
  <c r="AR94" i="23"/>
  <c r="AR95" i="23"/>
  <c r="AR36" i="23"/>
  <c r="AQ36" i="23"/>
  <c r="AQ37" i="23"/>
  <c r="AQ38" i="23"/>
  <c r="AQ39" i="23"/>
  <c r="AQ40" i="23"/>
  <c r="AQ41" i="23"/>
  <c r="AQ42" i="23"/>
  <c r="AQ43" i="23"/>
  <c r="AQ44" i="23"/>
  <c r="AQ45" i="23"/>
  <c r="AQ46" i="23"/>
  <c r="AQ47" i="23"/>
  <c r="AQ48" i="23"/>
  <c r="AQ49" i="23"/>
  <c r="AQ50" i="23"/>
  <c r="AQ51" i="23"/>
  <c r="AQ52" i="23"/>
  <c r="AQ53" i="23"/>
  <c r="AQ54" i="23"/>
  <c r="AQ55" i="23"/>
  <c r="AQ56" i="23"/>
  <c r="AQ57" i="23"/>
  <c r="AQ58" i="23"/>
  <c r="AQ59" i="23"/>
  <c r="AQ60" i="23"/>
  <c r="AQ61" i="23"/>
  <c r="AQ62" i="23"/>
  <c r="AQ63" i="23"/>
  <c r="AQ64" i="23"/>
  <c r="AQ65" i="23"/>
  <c r="AQ66" i="23"/>
  <c r="AQ67" i="23"/>
  <c r="AQ68" i="23"/>
  <c r="AQ69" i="23"/>
  <c r="AQ70" i="23"/>
  <c r="AQ71" i="23"/>
  <c r="AQ72" i="23"/>
  <c r="AQ73" i="23"/>
  <c r="AQ74" i="23"/>
  <c r="AQ75" i="23"/>
  <c r="AQ76" i="23"/>
  <c r="AQ77" i="23"/>
  <c r="AQ78" i="23"/>
  <c r="AQ79" i="23"/>
  <c r="AQ80" i="23"/>
  <c r="AQ81" i="23"/>
  <c r="AQ82" i="23"/>
  <c r="AQ83" i="23"/>
  <c r="AQ84" i="23"/>
  <c r="AQ85" i="23"/>
  <c r="AQ86" i="23"/>
  <c r="AQ87" i="23"/>
  <c r="AQ88" i="23"/>
  <c r="AQ89" i="23"/>
  <c r="AQ90" i="23"/>
  <c r="AQ91" i="23"/>
  <c r="AQ92" i="23"/>
  <c r="AQ93" i="23"/>
  <c r="AQ94" i="23"/>
  <c r="AQ35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34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71" i="23"/>
  <c r="AO72" i="23"/>
  <c r="AO73" i="23"/>
  <c r="AO74" i="23"/>
  <c r="AO75" i="23"/>
  <c r="AO76" i="23"/>
  <c r="AO77" i="23"/>
  <c r="AO78" i="23"/>
  <c r="AO79" i="23"/>
  <c r="AO80" i="23"/>
  <c r="AO81" i="23"/>
  <c r="AO82" i="23"/>
  <c r="AO83" i="23"/>
  <c r="AO84" i="23"/>
  <c r="AO85" i="23"/>
  <c r="AO86" i="23"/>
  <c r="AO87" i="23"/>
  <c r="AO88" i="23"/>
  <c r="AO89" i="23"/>
  <c r="AO90" i="23"/>
  <c r="AO91" i="23"/>
  <c r="AO92" i="23"/>
  <c r="AO33" i="23"/>
  <c r="AN33" i="23"/>
  <c r="AN34" i="23"/>
  <c r="AN35" i="23"/>
  <c r="AN36" i="23"/>
  <c r="AN37" i="23"/>
  <c r="AN38" i="23"/>
  <c r="AN39" i="23"/>
  <c r="AN40" i="23"/>
  <c r="AN41" i="23"/>
  <c r="AN42" i="23"/>
  <c r="AN43" i="23"/>
  <c r="AN44" i="23"/>
  <c r="AN45" i="23"/>
  <c r="AN46" i="23"/>
  <c r="AN47" i="23"/>
  <c r="AN48" i="23"/>
  <c r="AN49" i="23"/>
  <c r="AN50" i="23"/>
  <c r="AN51" i="23"/>
  <c r="AN52" i="23"/>
  <c r="AN53" i="23"/>
  <c r="AN54" i="23"/>
  <c r="AN55" i="23"/>
  <c r="AN56" i="23"/>
  <c r="AN57" i="23"/>
  <c r="AN58" i="23"/>
  <c r="AN59" i="23"/>
  <c r="AN60" i="23"/>
  <c r="AN61" i="23"/>
  <c r="AN62" i="23"/>
  <c r="AN63" i="23"/>
  <c r="AN64" i="23"/>
  <c r="AN65" i="23"/>
  <c r="AN66" i="23"/>
  <c r="AN67" i="23"/>
  <c r="AN68" i="23"/>
  <c r="AN69" i="23"/>
  <c r="AN70" i="23"/>
  <c r="AN71" i="23"/>
  <c r="AN72" i="23"/>
  <c r="AN73" i="23"/>
  <c r="AN74" i="23"/>
  <c r="AN75" i="23"/>
  <c r="AN76" i="23"/>
  <c r="AN77" i="23"/>
  <c r="AN78" i="23"/>
  <c r="AN79" i="23"/>
  <c r="AN80" i="23"/>
  <c r="AN81" i="23"/>
  <c r="AN82" i="23"/>
  <c r="AN83" i="23"/>
  <c r="AN84" i="23"/>
  <c r="AN85" i="23"/>
  <c r="AN86" i="23"/>
  <c r="AN87" i="23"/>
  <c r="AN88" i="23"/>
  <c r="AN89" i="23"/>
  <c r="AN90" i="23"/>
  <c r="AN91" i="23"/>
  <c r="AN32" i="23"/>
  <c r="AM32" i="23"/>
  <c r="AM33" i="23"/>
  <c r="AM34" i="23"/>
  <c r="AM35" i="23"/>
  <c r="AM36" i="23"/>
  <c r="AM37" i="23"/>
  <c r="AM38" i="23"/>
  <c r="AM39" i="23"/>
  <c r="AM40" i="23"/>
  <c r="AM41" i="23"/>
  <c r="AM42" i="23"/>
  <c r="AM43" i="23"/>
  <c r="AM44" i="23"/>
  <c r="AM45" i="23"/>
  <c r="AM46" i="23"/>
  <c r="AM47" i="23"/>
  <c r="AM48" i="23"/>
  <c r="AM49" i="23"/>
  <c r="AM50" i="23"/>
  <c r="AM51" i="23"/>
  <c r="AM52" i="23"/>
  <c r="AM53" i="23"/>
  <c r="AM54" i="23"/>
  <c r="AM55" i="23"/>
  <c r="AM56" i="23"/>
  <c r="AM57" i="23"/>
  <c r="AM58" i="23"/>
  <c r="AM59" i="23"/>
  <c r="AM60" i="23"/>
  <c r="AM61" i="23"/>
  <c r="AM62" i="23"/>
  <c r="AM63" i="23"/>
  <c r="AM64" i="23"/>
  <c r="AM65" i="23"/>
  <c r="AM66" i="23"/>
  <c r="AM67" i="23"/>
  <c r="AM68" i="23"/>
  <c r="AM69" i="23"/>
  <c r="AM70" i="23"/>
  <c r="AM71" i="23"/>
  <c r="AM72" i="23"/>
  <c r="AM73" i="23"/>
  <c r="AM74" i="23"/>
  <c r="AM75" i="23"/>
  <c r="AM76" i="23"/>
  <c r="AM77" i="23"/>
  <c r="AM78" i="23"/>
  <c r="AM79" i="23"/>
  <c r="AM80" i="23"/>
  <c r="AM81" i="23"/>
  <c r="AM82" i="23"/>
  <c r="AM83" i="23"/>
  <c r="AM84" i="23"/>
  <c r="AM85" i="23"/>
  <c r="AM86" i="23"/>
  <c r="AM87" i="23"/>
  <c r="AM88" i="23"/>
  <c r="AM89" i="23"/>
  <c r="AM90" i="23"/>
  <c r="AM31" i="23"/>
  <c r="BN96" i="23"/>
  <c r="BN93" i="23"/>
  <c r="BN98" i="23"/>
  <c r="BN100" i="23"/>
  <c r="BN73" i="24"/>
  <c r="BN92" i="23"/>
  <c r="BN95" i="23"/>
  <c r="BN91" i="23"/>
  <c r="BN94" i="23"/>
  <c r="AZ43" i="27"/>
  <c r="AZ44" i="27"/>
  <c r="AZ45" i="27"/>
  <c r="AZ46" i="27"/>
  <c r="AZ47" i="27"/>
  <c r="AZ48" i="27"/>
  <c r="AZ49" i="27"/>
  <c r="AZ50" i="27"/>
  <c r="AZ51" i="27"/>
  <c r="AZ52" i="27"/>
  <c r="AZ53" i="27"/>
  <c r="AZ54" i="27"/>
  <c r="AZ55" i="27"/>
  <c r="AZ56" i="27"/>
  <c r="AZ57" i="27"/>
  <c r="AZ58" i="27"/>
  <c r="AZ59" i="27"/>
  <c r="AZ60" i="27"/>
  <c r="AZ61" i="27"/>
  <c r="AZ62" i="27"/>
  <c r="AZ63" i="27"/>
  <c r="AZ64" i="27"/>
  <c r="AZ65" i="27"/>
  <c r="AZ66" i="27"/>
  <c r="AZ67" i="27"/>
  <c r="AZ68" i="27"/>
  <c r="AZ69" i="27"/>
  <c r="AZ70" i="27"/>
  <c r="AZ71" i="27"/>
  <c r="AZ72" i="27"/>
  <c r="AZ73" i="27"/>
  <c r="AZ74" i="27"/>
  <c r="AZ75" i="27"/>
  <c r="AZ76" i="27"/>
  <c r="AZ77" i="27"/>
  <c r="AZ78" i="27"/>
  <c r="AZ79" i="27"/>
  <c r="AZ80" i="27"/>
  <c r="AZ81" i="27"/>
  <c r="AZ82" i="27"/>
  <c r="AZ83" i="27"/>
  <c r="AZ84" i="27"/>
  <c r="AZ85" i="27"/>
  <c r="AZ86" i="27"/>
  <c r="AZ87" i="27"/>
  <c r="AZ88" i="27"/>
  <c r="AZ89" i="27"/>
  <c r="AZ90" i="27"/>
  <c r="AZ91" i="27"/>
  <c r="AZ92" i="27"/>
  <c r="AZ93" i="27"/>
  <c r="AZ94" i="27"/>
  <c r="AZ95" i="27"/>
  <c r="AZ96" i="27"/>
  <c r="AZ97" i="27"/>
  <c r="AZ98" i="27"/>
  <c r="AZ99" i="27"/>
  <c r="AZ100" i="27"/>
  <c r="AZ101" i="27"/>
  <c r="AZ102" i="27"/>
  <c r="AZ103" i="27"/>
  <c r="AZ104" i="27"/>
  <c r="AZ105" i="27"/>
  <c r="AZ106" i="27"/>
  <c r="AZ107" i="27"/>
  <c r="AZ108" i="27"/>
  <c r="AZ109" i="27"/>
  <c r="AZ110" i="27"/>
  <c r="AZ111" i="27"/>
  <c r="AZ112" i="27"/>
  <c r="AZ113" i="27"/>
  <c r="AZ114" i="27"/>
  <c r="AZ115" i="27"/>
  <c r="AZ116" i="27"/>
  <c r="AZ117" i="27"/>
  <c r="AZ118" i="27"/>
  <c r="AZ119" i="27"/>
  <c r="AZ120" i="27"/>
  <c r="AZ121" i="27"/>
  <c r="AZ122" i="27"/>
  <c r="AZ123" i="27"/>
  <c r="AZ124" i="27"/>
  <c r="AZ125" i="27"/>
  <c r="AZ42" i="27"/>
  <c r="AY42" i="27"/>
  <c r="AY43" i="27"/>
  <c r="AY44" i="27"/>
  <c r="AY45" i="27"/>
  <c r="AY46" i="27"/>
  <c r="AY47" i="27"/>
  <c r="AY48" i="27"/>
  <c r="AY49" i="27"/>
  <c r="AY50" i="27"/>
  <c r="AY51" i="27"/>
  <c r="AY52" i="27"/>
  <c r="AY53" i="27"/>
  <c r="AY54" i="27"/>
  <c r="AY55" i="27"/>
  <c r="AY56" i="27"/>
  <c r="AY57" i="27"/>
  <c r="AY58" i="27"/>
  <c r="AY59" i="27"/>
  <c r="AY60" i="27"/>
  <c r="AY61" i="27"/>
  <c r="AY62" i="27"/>
  <c r="AY63" i="27"/>
  <c r="AY64" i="27"/>
  <c r="AY65" i="27"/>
  <c r="AY66" i="27"/>
  <c r="AY67" i="27"/>
  <c r="AY68" i="27"/>
  <c r="AY69" i="27"/>
  <c r="AY70" i="27"/>
  <c r="AY71" i="27"/>
  <c r="AY72" i="27"/>
  <c r="AY73" i="27"/>
  <c r="AY74" i="27"/>
  <c r="AY75" i="27"/>
  <c r="AY76" i="27"/>
  <c r="AY77" i="27"/>
  <c r="AY78" i="27"/>
  <c r="AY79" i="27"/>
  <c r="AY80" i="27"/>
  <c r="AY81" i="27"/>
  <c r="AY82" i="27"/>
  <c r="AY83" i="27"/>
  <c r="AY84" i="27"/>
  <c r="AY85" i="27"/>
  <c r="AY86" i="27"/>
  <c r="AY87" i="27"/>
  <c r="AY88" i="27"/>
  <c r="AY89" i="27"/>
  <c r="AY90" i="27"/>
  <c r="AY91" i="27"/>
  <c r="AY92" i="27"/>
  <c r="AY93" i="27"/>
  <c r="AY94" i="27"/>
  <c r="AY95" i="27"/>
  <c r="AY96" i="27"/>
  <c r="AY97" i="27"/>
  <c r="AY98" i="27"/>
  <c r="AY99" i="27"/>
  <c r="AY100" i="27"/>
  <c r="AY101" i="27"/>
  <c r="AY102" i="27"/>
  <c r="AY103" i="27"/>
  <c r="AY104" i="27"/>
  <c r="AY105" i="27"/>
  <c r="AY106" i="27"/>
  <c r="AY107" i="27"/>
  <c r="AY108" i="27"/>
  <c r="AY109" i="27"/>
  <c r="AY110" i="27"/>
  <c r="AY111" i="27"/>
  <c r="AY112" i="27"/>
  <c r="AY113" i="27"/>
  <c r="AY114" i="27"/>
  <c r="AY115" i="27"/>
  <c r="AY116" i="27"/>
  <c r="AY117" i="27"/>
  <c r="AY118" i="27"/>
  <c r="AY119" i="27"/>
  <c r="AY120" i="27"/>
  <c r="AY121" i="27"/>
  <c r="AY122" i="27"/>
  <c r="AY123" i="27"/>
  <c r="AY124" i="27"/>
  <c r="AY41" i="27"/>
  <c r="AX41" i="27"/>
  <c r="AX42" i="27"/>
  <c r="AX43" i="27"/>
  <c r="AX44" i="27"/>
  <c r="AX45" i="27"/>
  <c r="AX46" i="27"/>
  <c r="AX47" i="27"/>
  <c r="AX48" i="27"/>
  <c r="AX49" i="27"/>
  <c r="AX50" i="27"/>
  <c r="AX51" i="27"/>
  <c r="AX52" i="27"/>
  <c r="AX53" i="27"/>
  <c r="AX54" i="27"/>
  <c r="AX55" i="27"/>
  <c r="AX56" i="27"/>
  <c r="AX57" i="27"/>
  <c r="AX58" i="27"/>
  <c r="AX59" i="27"/>
  <c r="AX60" i="27"/>
  <c r="AX61" i="27"/>
  <c r="AX62" i="27"/>
  <c r="AX63" i="27"/>
  <c r="AX64" i="27"/>
  <c r="AX65" i="27"/>
  <c r="AX66" i="27"/>
  <c r="AX67" i="27"/>
  <c r="AX68" i="27"/>
  <c r="AX69" i="27"/>
  <c r="AX70" i="27"/>
  <c r="AX71" i="27"/>
  <c r="AX72" i="27"/>
  <c r="AX73" i="27"/>
  <c r="AX74" i="27"/>
  <c r="AX75" i="27"/>
  <c r="AX76" i="27"/>
  <c r="AX77" i="27"/>
  <c r="AX78" i="27"/>
  <c r="AX79" i="27"/>
  <c r="AX80" i="27"/>
  <c r="AX81" i="27"/>
  <c r="AX82" i="27"/>
  <c r="AX83" i="27"/>
  <c r="AX84" i="27"/>
  <c r="AX85" i="27"/>
  <c r="AX86" i="27"/>
  <c r="AX87" i="27"/>
  <c r="AX88" i="27"/>
  <c r="AX89" i="27"/>
  <c r="AX90" i="27"/>
  <c r="AX91" i="27"/>
  <c r="AX92" i="27"/>
  <c r="AX93" i="27"/>
  <c r="AX94" i="27"/>
  <c r="AX95" i="27"/>
  <c r="AX96" i="27"/>
  <c r="AX97" i="27"/>
  <c r="AX98" i="27"/>
  <c r="AX99" i="27"/>
  <c r="AX100" i="27"/>
  <c r="AX101" i="27"/>
  <c r="AX102" i="27"/>
  <c r="AX103" i="27"/>
  <c r="AX104" i="27"/>
  <c r="AX105" i="27"/>
  <c r="AX106" i="27"/>
  <c r="AX107" i="27"/>
  <c r="AX108" i="27"/>
  <c r="AX109" i="27"/>
  <c r="AX110" i="27"/>
  <c r="AX111" i="27"/>
  <c r="AX112" i="27"/>
  <c r="AX113" i="27"/>
  <c r="AX114" i="27"/>
  <c r="AX115" i="27"/>
  <c r="AX116" i="27"/>
  <c r="AX117" i="27"/>
  <c r="AX118" i="27"/>
  <c r="AX119" i="27"/>
  <c r="AX120" i="27"/>
  <c r="AX121" i="27"/>
  <c r="AX122" i="27"/>
  <c r="AX123" i="27"/>
  <c r="AX40" i="27"/>
  <c r="AW40" i="27"/>
  <c r="AW41" i="27"/>
  <c r="AW42" i="27"/>
  <c r="AW43" i="27"/>
  <c r="AW44" i="27"/>
  <c r="AW45" i="27"/>
  <c r="AW46" i="27"/>
  <c r="AW47" i="27"/>
  <c r="AW48" i="27"/>
  <c r="AW49" i="27"/>
  <c r="AW50" i="27"/>
  <c r="AW51" i="27"/>
  <c r="AW52" i="27"/>
  <c r="AW53" i="27"/>
  <c r="AW54" i="27"/>
  <c r="AW55" i="27"/>
  <c r="AW56" i="27"/>
  <c r="AW57" i="27"/>
  <c r="AW58" i="27"/>
  <c r="AW59" i="27"/>
  <c r="AW60" i="27"/>
  <c r="AW61" i="27"/>
  <c r="AW62" i="27"/>
  <c r="AW63" i="27"/>
  <c r="AW64" i="27"/>
  <c r="AW65" i="27"/>
  <c r="AW66" i="27"/>
  <c r="AW67" i="27"/>
  <c r="AW68" i="27"/>
  <c r="AW69" i="27"/>
  <c r="AW70" i="27"/>
  <c r="AW71" i="27"/>
  <c r="AW72" i="27"/>
  <c r="AW73" i="27"/>
  <c r="AW74" i="27"/>
  <c r="AW75" i="27"/>
  <c r="AW76" i="27"/>
  <c r="AW77" i="27"/>
  <c r="AW78" i="27"/>
  <c r="AW79" i="27"/>
  <c r="AW80" i="27"/>
  <c r="AW81" i="27"/>
  <c r="AW82" i="27"/>
  <c r="AW83" i="27"/>
  <c r="AW84" i="27"/>
  <c r="AW85" i="27"/>
  <c r="AW86" i="27"/>
  <c r="AW87" i="27"/>
  <c r="AW88" i="27"/>
  <c r="AW89" i="27"/>
  <c r="AW90" i="27"/>
  <c r="AW91" i="27"/>
  <c r="AW92" i="27"/>
  <c r="AW93" i="27"/>
  <c r="AW94" i="27"/>
  <c r="AW95" i="27"/>
  <c r="AW96" i="27"/>
  <c r="AW97" i="27"/>
  <c r="AW98" i="27"/>
  <c r="AW99" i="27"/>
  <c r="AW100" i="27"/>
  <c r="AW101" i="27"/>
  <c r="AW102" i="27"/>
  <c r="AW103" i="27"/>
  <c r="AW104" i="27"/>
  <c r="AW105" i="27"/>
  <c r="AW106" i="27"/>
  <c r="AW107" i="27"/>
  <c r="AW108" i="27"/>
  <c r="AW109" i="27"/>
  <c r="AW110" i="27"/>
  <c r="AW111" i="27"/>
  <c r="AW112" i="27"/>
  <c r="AW113" i="27"/>
  <c r="AW114" i="27"/>
  <c r="AW115" i="27"/>
  <c r="AW116" i="27"/>
  <c r="AW117" i="27"/>
  <c r="AW118" i="27"/>
  <c r="AW119" i="27"/>
  <c r="AW120" i="27"/>
  <c r="AW121" i="27"/>
  <c r="AW122" i="27"/>
  <c r="AW39" i="27"/>
  <c r="AV39" i="27"/>
  <c r="AV40" i="27"/>
  <c r="AV41" i="27"/>
  <c r="AV42" i="27"/>
  <c r="AV43" i="27"/>
  <c r="AV44" i="27"/>
  <c r="AV45" i="27"/>
  <c r="AV46" i="27"/>
  <c r="AV47" i="27"/>
  <c r="AV48" i="27"/>
  <c r="AV49" i="27"/>
  <c r="AV50" i="27"/>
  <c r="AV51" i="27"/>
  <c r="AV52" i="27"/>
  <c r="AV53" i="27"/>
  <c r="AV54" i="27"/>
  <c r="AV55" i="27"/>
  <c r="AV56" i="27"/>
  <c r="AV57" i="27"/>
  <c r="AV58" i="27"/>
  <c r="AV59" i="27"/>
  <c r="AV60" i="27"/>
  <c r="AV61" i="27"/>
  <c r="AV62" i="27"/>
  <c r="AV63" i="27"/>
  <c r="AV64" i="27"/>
  <c r="AV65" i="27"/>
  <c r="AV66" i="27"/>
  <c r="AV67" i="27"/>
  <c r="AV68" i="27"/>
  <c r="AV69" i="27"/>
  <c r="AV70" i="27"/>
  <c r="AV71" i="27"/>
  <c r="AV72" i="27"/>
  <c r="AV73" i="27"/>
  <c r="AV74" i="27"/>
  <c r="AV75" i="27"/>
  <c r="AV76" i="27"/>
  <c r="AV77" i="27"/>
  <c r="AV78" i="27"/>
  <c r="AV79" i="27"/>
  <c r="AV80" i="27"/>
  <c r="AV81" i="27"/>
  <c r="AV82" i="27"/>
  <c r="AV83" i="27"/>
  <c r="AV84" i="27"/>
  <c r="AV85" i="27"/>
  <c r="AV86" i="27"/>
  <c r="AV87" i="27"/>
  <c r="AV88" i="27"/>
  <c r="AV89" i="27"/>
  <c r="AV90" i="27"/>
  <c r="AV91" i="27"/>
  <c r="AV92" i="27"/>
  <c r="AV93" i="27"/>
  <c r="AV94" i="27"/>
  <c r="AV95" i="27"/>
  <c r="AV96" i="27"/>
  <c r="AV97" i="27"/>
  <c r="AV98" i="27"/>
  <c r="AV99" i="27"/>
  <c r="AV100" i="27"/>
  <c r="AV101" i="27"/>
  <c r="AV102" i="27"/>
  <c r="AV103" i="27"/>
  <c r="AV104" i="27"/>
  <c r="AV105" i="27"/>
  <c r="AV106" i="27"/>
  <c r="AV107" i="27"/>
  <c r="AV108" i="27"/>
  <c r="AV109" i="27"/>
  <c r="AV110" i="27"/>
  <c r="AV111" i="27"/>
  <c r="AV112" i="27"/>
  <c r="AV113" i="27"/>
  <c r="AV114" i="27"/>
  <c r="AV115" i="27"/>
  <c r="AV116" i="27"/>
  <c r="AV117" i="27"/>
  <c r="AV118" i="27"/>
  <c r="AV119" i="27"/>
  <c r="AV120" i="27"/>
  <c r="AV121" i="27"/>
  <c r="AV38" i="27"/>
  <c r="AU38" i="27"/>
  <c r="AU39" i="27"/>
  <c r="AU40" i="27"/>
  <c r="AU41" i="27"/>
  <c r="AU42" i="27"/>
  <c r="AU43" i="27"/>
  <c r="AU44" i="27"/>
  <c r="AU45" i="27"/>
  <c r="AU46" i="27"/>
  <c r="AU47" i="27"/>
  <c r="AU48" i="27"/>
  <c r="AU49" i="27"/>
  <c r="AU50" i="27"/>
  <c r="AU51" i="27"/>
  <c r="AU52" i="27"/>
  <c r="AU53" i="27"/>
  <c r="AU54" i="27"/>
  <c r="AU55" i="27"/>
  <c r="AU56" i="27"/>
  <c r="AU57" i="27"/>
  <c r="AU58" i="27"/>
  <c r="AU59" i="27"/>
  <c r="AU60" i="27"/>
  <c r="AU61" i="27"/>
  <c r="AU62" i="27"/>
  <c r="AU63" i="27"/>
  <c r="AU64" i="27"/>
  <c r="AU65" i="27"/>
  <c r="AU66" i="27"/>
  <c r="AU67" i="27"/>
  <c r="AU68" i="27"/>
  <c r="AU69" i="27"/>
  <c r="AU70" i="27"/>
  <c r="AU71" i="27"/>
  <c r="AU72" i="27"/>
  <c r="AU73" i="27"/>
  <c r="AU74" i="27"/>
  <c r="AU75" i="27"/>
  <c r="AU76" i="27"/>
  <c r="AU77" i="27"/>
  <c r="AU78" i="27"/>
  <c r="AU79" i="27"/>
  <c r="AU80" i="27"/>
  <c r="AU81" i="27"/>
  <c r="AU82" i="27"/>
  <c r="AU83" i="27"/>
  <c r="AU84" i="27"/>
  <c r="AU85" i="27"/>
  <c r="AU86" i="27"/>
  <c r="AU87" i="27"/>
  <c r="AU88" i="27"/>
  <c r="AU89" i="27"/>
  <c r="AU90" i="27"/>
  <c r="AU91" i="27"/>
  <c r="AU92" i="27"/>
  <c r="AU93" i="27"/>
  <c r="AU94" i="27"/>
  <c r="AU95" i="27"/>
  <c r="AU96" i="27"/>
  <c r="AU97" i="27"/>
  <c r="AU98" i="27"/>
  <c r="AU99" i="27"/>
  <c r="AU100" i="27"/>
  <c r="AU101" i="27"/>
  <c r="AU102" i="27"/>
  <c r="AU103" i="27"/>
  <c r="AU104" i="27"/>
  <c r="AU105" i="27"/>
  <c r="AU106" i="27"/>
  <c r="AU107" i="27"/>
  <c r="AU108" i="27"/>
  <c r="AU109" i="27"/>
  <c r="AU110" i="27"/>
  <c r="AU111" i="27"/>
  <c r="AU112" i="27"/>
  <c r="AU113" i="27"/>
  <c r="AU114" i="27"/>
  <c r="AU115" i="27"/>
  <c r="AU116" i="27"/>
  <c r="AU117" i="27"/>
  <c r="AU118" i="27"/>
  <c r="AU119" i="27"/>
  <c r="AU120" i="27"/>
  <c r="AU37" i="27"/>
  <c r="AT37" i="27"/>
  <c r="AT38" i="27"/>
  <c r="AT39" i="27"/>
  <c r="AT40" i="27"/>
  <c r="AT41" i="27"/>
  <c r="AT42" i="27"/>
  <c r="AT43" i="27"/>
  <c r="AT44" i="27"/>
  <c r="AT45" i="27"/>
  <c r="AT46" i="27"/>
  <c r="AT47" i="27"/>
  <c r="AT48" i="27"/>
  <c r="AT49" i="27"/>
  <c r="AT50" i="27"/>
  <c r="AT51" i="27"/>
  <c r="AT52" i="27"/>
  <c r="AT53" i="27"/>
  <c r="AT54" i="27"/>
  <c r="AT55" i="27"/>
  <c r="AT56" i="27"/>
  <c r="AT57" i="27"/>
  <c r="AT58" i="27"/>
  <c r="AT59" i="27"/>
  <c r="AT60" i="27"/>
  <c r="AT61" i="27"/>
  <c r="AT62" i="27"/>
  <c r="AT63" i="27"/>
  <c r="AT64" i="27"/>
  <c r="AT65" i="27"/>
  <c r="AT66" i="27"/>
  <c r="AT67" i="27"/>
  <c r="AT68" i="27"/>
  <c r="AT69" i="27"/>
  <c r="AT70" i="27"/>
  <c r="AT71" i="27"/>
  <c r="AT72" i="27"/>
  <c r="AT73" i="27"/>
  <c r="AT74" i="27"/>
  <c r="AT75" i="27"/>
  <c r="AT76" i="27"/>
  <c r="AT77" i="27"/>
  <c r="AT78" i="27"/>
  <c r="AT79" i="27"/>
  <c r="AT80" i="27"/>
  <c r="AT81" i="27"/>
  <c r="AT82" i="27"/>
  <c r="AT83" i="27"/>
  <c r="AT84" i="27"/>
  <c r="AT85" i="27"/>
  <c r="AT86" i="27"/>
  <c r="AT87" i="27"/>
  <c r="AT88" i="27"/>
  <c r="AT89" i="27"/>
  <c r="AT90" i="27"/>
  <c r="AT91" i="27"/>
  <c r="AT92" i="27"/>
  <c r="AT93" i="27"/>
  <c r="AT94" i="27"/>
  <c r="AT95" i="27"/>
  <c r="AT96" i="27"/>
  <c r="AT97" i="27"/>
  <c r="AT98" i="27"/>
  <c r="AT99" i="27"/>
  <c r="AT100" i="27"/>
  <c r="AT101" i="27"/>
  <c r="AT102" i="27"/>
  <c r="AT103" i="27"/>
  <c r="AT104" i="27"/>
  <c r="AT105" i="27"/>
  <c r="AT106" i="27"/>
  <c r="AT107" i="27"/>
  <c r="AT108" i="27"/>
  <c r="AT109" i="27"/>
  <c r="AT110" i="27"/>
  <c r="AT111" i="27"/>
  <c r="AT112" i="27"/>
  <c r="AT113" i="27"/>
  <c r="AT114" i="27"/>
  <c r="AT115" i="27"/>
  <c r="AT116" i="27"/>
  <c r="AT117" i="27"/>
  <c r="AT118" i="27"/>
  <c r="AT119" i="27"/>
  <c r="AT36" i="27"/>
  <c r="AS36" i="27"/>
  <c r="AS37" i="27"/>
  <c r="AS38" i="27"/>
  <c r="AS39" i="27"/>
  <c r="AS40" i="27"/>
  <c r="AS41" i="27"/>
  <c r="AS42" i="27"/>
  <c r="AS43" i="27"/>
  <c r="AS44" i="27"/>
  <c r="AS45" i="27"/>
  <c r="AS46" i="27"/>
  <c r="AS47" i="27"/>
  <c r="AS48" i="27"/>
  <c r="AS49" i="27"/>
  <c r="AS50" i="27"/>
  <c r="AS51" i="27"/>
  <c r="AS52" i="27"/>
  <c r="AS53" i="27"/>
  <c r="AS54" i="27"/>
  <c r="AS55" i="27"/>
  <c r="AS56" i="27"/>
  <c r="AS57" i="27"/>
  <c r="AS58" i="27"/>
  <c r="AS59" i="27"/>
  <c r="AS60" i="27"/>
  <c r="AS61" i="27"/>
  <c r="AS62" i="27"/>
  <c r="AS63" i="27"/>
  <c r="AS64" i="27"/>
  <c r="AS65" i="27"/>
  <c r="AS66" i="27"/>
  <c r="AS67" i="27"/>
  <c r="AS68" i="27"/>
  <c r="AS69" i="27"/>
  <c r="AS70" i="27"/>
  <c r="AS71" i="27"/>
  <c r="AS72" i="27"/>
  <c r="AS73" i="27"/>
  <c r="AS74" i="27"/>
  <c r="AS75" i="27"/>
  <c r="AS76" i="27"/>
  <c r="AS77" i="27"/>
  <c r="AS78" i="27"/>
  <c r="AS79" i="27"/>
  <c r="AS80" i="27"/>
  <c r="AS81" i="27"/>
  <c r="AS82" i="27"/>
  <c r="AS83" i="27"/>
  <c r="AS84" i="27"/>
  <c r="AS85" i="27"/>
  <c r="AS86" i="27"/>
  <c r="AS87" i="27"/>
  <c r="AS88" i="27"/>
  <c r="AS89" i="27"/>
  <c r="AS90" i="27"/>
  <c r="AS91" i="27"/>
  <c r="AS92" i="27"/>
  <c r="AS93" i="27"/>
  <c r="AS94" i="27"/>
  <c r="AS95" i="27"/>
  <c r="AS96" i="27"/>
  <c r="AS97" i="27"/>
  <c r="AS98" i="27"/>
  <c r="AS99" i="27"/>
  <c r="AS100" i="27"/>
  <c r="AS101" i="27"/>
  <c r="AS102" i="27"/>
  <c r="AS103" i="27"/>
  <c r="AS104" i="27"/>
  <c r="AS105" i="27"/>
  <c r="AS106" i="27"/>
  <c r="AS107" i="27"/>
  <c r="AS108" i="27"/>
  <c r="AS109" i="27"/>
  <c r="AS110" i="27"/>
  <c r="AS111" i="27"/>
  <c r="AS112" i="27"/>
  <c r="AS113" i="27"/>
  <c r="AS114" i="27"/>
  <c r="AS115" i="27"/>
  <c r="AS116" i="27"/>
  <c r="AS117" i="27"/>
  <c r="AS118" i="27"/>
  <c r="AS35" i="27"/>
  <c r="AR35" i="27"/>
  <c r="AR36" i="27"/>
  <c r="AR37" i="27"/>
  <c r="AR38" i="27"/>
  <c r="AR39" i="27"/>
  <c r="AR40" i="27"/>
  <c r="AR41" i="27"/>
  <c r="AR42" i="27"/>
  <c r="AR43" i="27"/>
  <c r="AR44" i="27"/>
  <c r="AR45" i="27"/>
  <c r="AR46" i="27"/>
  <c r="AR47" i="27"/>
  <c r="AR48" i="27"/>
  <c r="AR49" i="27"/>
  <c r="AR50" i="27"/>
  <c r="AR51" i="27"/>
  <c r="AR52" i="27"/>
  <c r="AR53" i="27"/>
  <c r="AR54" i="27"/>
  <c r="AR55" i="27"/>
  <c r="AR56" i="27"/>
  <c r="AR57" i="27"/>
  <c r="AR58" i="27"/>
  <c r="AR59" i="27"/>
  <c r="AR60" i="27"/>
  <c r="AR61" i="27"/>
  <c r="AR62" i="27"/>
  <c r="AR63" i="27"/>
  <c r="AR64" i="27"/>
  <c r="AR65" i="27"/>
  <c r="AR66" i="27"/>
  <c r="AR67" i="27"/>
  <c r="AR68" i="27"/>
  <c r="AR69" i="27"/>
  <c r="AR70" i="27"/>
  <c r="AR71" i="27"/>
  <c r="AR72" i="27"/>
  <c r="AR73" i="27"/>
  <c r="AR74" i="27"/>
  <c r="AR75" i="27"/>
  <c r="AR76" i="27"/>
  <c r="AR77" i="27"/>
  <c r="AR78" i="27"/>
  <c r="AR79" i="27"/>
  <c r="AR80" i="27"/>
  <c r="AR81" i="27"/>
  <c r="AR82" i="27"/>
  <c r="AR83" i="27"/>
  <c r="AR84" i="27"/>
  <c r="AR85" i="27"/>
  <c r="AR86" i="27"/>
  <c r="AR87" i="27"/>
  <c r="AR88" i="27"/>
  <c r="AR89" i="27"/>
  <c r="AR90" i="27"/>
  <c r="AR91" i="27"/>
  <c r="AR92" i="27"/>
  <c r="AR93" i="27"/>
  <c r="AR94" i="27"/>
  <c r="AR95" i="27"/>
  <c r="AR96" i="27"/>
  <c r="AR97" i="27"/>
  <c r="AR98" i="27"/>
  <c r="AR99" i="27"/>
  <c r="AR100" i="27"/>
  <c r="AR101" i="27"/>
  <c r="AR102" i="27"/>
  <c r="AR103" i="27"/>
  <c r="AR104" i="27"/>
  <c r="AR105" i="27"/>
  <c r="AR106" i="27"/>
  <c r="AR107" i="27"/>
  <c r="AR108" i="27"/>
  <c r="AR109" i="27"/>
  <c r="AR110" i="27"/>
  <c r="AR111" i="27"/>
  <c r="AR112" i="27"/>
  <c r="AR113" i="27"/>
  <c r="AR114" i="27"/>
  <c r="AR115" i="27"/>
  <c r="AR116" i="27"/>
  <c r="AR117" i="27"/>
  <c r="AR34" i="27"/>
  <c r="BC43" i="22"/>
  <c r="BC44" i="22"/>
  <c r="BC45" i="22"/>
  <c r="BC46" i="22"/>
  <c r="BC47" i="22"/>
  <c r="BC48" i="22"/>
  <c r="BC49" i="22"/>
  <c r="BC50" i="22"/>
  <c r="BC51" i="22"/>
  <c r="BC52" i="22"/>
  <c r="BC53" i="22"/>
  <c r="BC54" i="22"/>
  <c r="BC55" i="22"/>
  <c r="BC56" i="22"/>
  <c r="BC57" i="22"/>
  <c r="BC58" i="22"/>
  <c r="BC59" i="22"/>
  <c r="BC60" i="22"/>
  <c r="BC61" i="22"/>
  <c r="BC62" i="22"/>
  <c r="BC63" i="22"/>
  <c r="BC64" i="22"/>
  <c r="BC65" i="22"/>
  <c r="BC66" i="22"/>
  <c r="BC67" i="22"/>
  <c r="BC68" i="22"/>
  <c r="BC69" i="22"/>
  <c r="BC70" i="22"/>
  <c r="BC71" i="22"/>
  <c r="BC72" i="22"/>
  <c r="BC73" i="22"/>
  <c r="BC74" i="22"/>
  <c r="BC75" i="22"/>
  <c r="BC76" i="22"/>
  <c r="BC77" i="22"/>
  <c r="BC78" i="22"/>
  <c r="BC79" i="22"/>
  <c r="BC80" i="22"/>
  <c r="BC81" i="22"/>
  <c r="BC82" i="22"/>
  <c r="BC83" i="22"/>
  <c r="BC84" i="22"/>
  <c r="BC85" i="22"/>
  <c r="BC86" i="22"/>
  <c r="BC87" i="22"/>
  <c r="BC88" i="22"/>
  <c r="BC89" i="22"/>
  <c r="BC90" i="22"/>
  <c r="BC91" i="22"/>
  <c r="BC92" i="22"/>
  <c r="BC93" i="22"/>
  <c r="BC94" i="22"/>
  <c r="BC95" i="22"/>
  <c r="BC96" i="22"/>
  <c r="BC97" i="22"/>
  <c r="BC98" i="22"/>
  <c r="BC99" i="22"/>
  <c r="BC100" i="22"/>
  <c r="BC101" i="22"/>
  <c r="BC102" i="22"/>
  <c r="BC103" i="22"/>
  <c r="BC104" i="22"/>
  <c r="BC105" i="22"/>
  <c r="BC106" i="22"/>
  <c r="BC107" i="22"/>
  <c r="BC108" i="22"/>
  <c r="BC109" i="22"/>
  <c r="BC110" i="22"/>
  <c r="BC111" i="22"/>
  <c r="BC112" i="22"/>
  <c r="BC113" i="22"/>
  <c r="BC114" i="22"/>
  <c r="BC115" i="22"/>
  <c r="BC116" i="22"/>
  <c r="BC117" i="22"/>
  <c r="BC118" i="22"/>
  <c r="BC119" i="22"/>
  <c r="BC120" i="22"/>
  <c r="BC121" i="22"/>
  <c r="BC122" i="22"/>
  <c r="BC123" i="22"/>
  <c r="BC124" i="22"/>
  <c r="BC125" i="22"/>
  <c r="BC126" i="22"/>
  <c r="BC127" i="22"/>
  <c r="BC128" i="22"/>
  <c r="BC129" i="22"/>
  <c r="BC130" i="22"/>
  <c r="BC131" i="22"/>
  <c r="BC132" i="22"/>
  <c r="BC133" i="22"/>
  <c r="BC134" i="22"/>
  <c r="BC135" i="22"/>
  <c r="BC136" i="22"/>
  <c r="BC137" i="22"/>
  <c r="BC138" i="22"/>
  <c r="BC139" i="22"/>
  <c r="BC140" i="22"/>
  <c r="BC141" i="22"/>
  <c r="BC142" i="22"/>
  <c r="BC143" i="22"/>
  <c r="BC144" i="22"/>
  <c r="BC145" i="22"/>
  <c r="BC146" i="22"/>
  <c r="BC147" i="22"/>
  <c r="BC148" i="22"/>
  <c r="BC149" i="22"/>
  <c r="BC150" i="22"/>
  <c r="BC151" i="22"/>
  <c r="BC152" i="22"/>
  <c r="BC153" i="22"/>
  <c r="BC154" i="22"/>
  <c r="BC155" i="22"/>
  <c r="BC156" i="22"/>
  <c r="BC157" i="22"/>
  <c r="BC158" i="22"/>
  <c r="BC159" i="22"/>
  <c r="BC160" i="22"/>
  <c r="BC161" i="22"/>
  <c r="BQ161" i="22" s="1"/>
  <c r="BC42" i="22"/>
  <c r="BB42" i="22"/>
  <c r="BB43" i="22"/>
  <c r="BB44" i="22"/>
  <c r="BB45" i="22"/>
  <c r="BB46" i="22"/>
  <c r="BB47" i="22"/>
  <c r="BB48" i="22"/>
  <c r="BB49" i="22"/>
  <c r="BB50" i="22"/>
  <c r="BB51" i="22"/>
  <c r="BB52" i="22"/>
  <c r="BB53" i="22"/>
  <c r="BB54" i="22"/>
  <c r="BB55" i="22"/>
  <c r="BB56" i="22"/>
  <c r="BB57" i="22"/>
  <c r="BB58" i="22"/>
  <c r="BB59" i="22"/>
  <c r="BB60" i="22"/>
  <c r="BB61" i="22"/>
  <c r="BB62" i="22"/>
  <c r="BB63" i="22"/>
  <c r="BB64" i="22"/>
  <c r="BB65" i="22"/>
  <c r="BB66" i="22"/>
  <c r="BB67" i="22"/>
  <c r="BB68" i="22"/>
  <c r="BB69" i="22"/>
  <c r="BB70" i="22"/>
  <c r="BB71" i="22"/>
  <c r="BB72" i="22"/>
  <c r="BB73" i="22"/>
  <c r="BB74" i="22"/>
  <c r="BB75" i="22"/>
  <c r="BB76" i="22"/>
  <c r="BB77" i="22"/>
  <c r="BB78" i="22"/>
  <c r="BB79" i="22"/>
  <c r="BB80" i="22"/>
  <c r="BB81" i="22"/>
  <c r="BB82" i="22"/>
  <c r="BB83" i="22"/>
  <c r="BB84" i="22"/>
  <c r="BB85" i="22"/>
  <c r="BB86" i="22"/>
  <c r="BB87" i="22"/>
  <c r="BB88" i="22"/>
  <c r="BB89" i="22"/>
  <c r="BB90" i="22"/>
  <c r="BB91" i="22"/>
  <c r="BB92" i="22"/>
  <c r="BB93" i="22"/>
  <c r="BB94" i="22"/>
  <c r="BB95" i="22"/>
  <c r="BB96" i="22"/>
  <c r="BB97" i="22"/>
  <c r="BB98" i="22"/>
  <c r="BB99" i="22"/>
  <c r="BB100" i="22"/>
  <c r="BB101" i="22"/>
  <c r="BB102" i="22"/>
  <c r="BB103" i="22"/>
  <c r="BB104" i="22"/>
  <c r="BB105" i="22"/>
  <c r="BB106" i="22"/>
  <c r="BB107" i="22"/>
  <c r="BB108" i="22"/>
  <c r="BB109" i="22"/>
  <c r="BB110" i="22"/>
  <c r="BB111" i="22"/>
  <c r="BB112" i="22"/>
  <c r="BB113" i="22"/>
  <c r="BB114" i="22"/>
  <c r="BB115" i="22"/>
  <c r="BB116" i="22"/>
  <c r="BB117" i="22"/>
  <c r="BB118" i="22"/>
  <c r="BB119" i="22"/>
  <c r="BB120" i="22"/>
  <c r="BB121" i="22"/>
  <c r="BB122" i="22"/>
  <c r="BB123" i="22"/>
  <c r="BB124" i="22"/>
  <c r="BB125" i="22"/>
  <c r="BB126" i="22"/>
  <c r="BB127" i="22"/>
  <c r="BB128" i="22"/>
  <c r="BB129" i="22"/>
  <c r="BB130" i="22"/>
  <c r="BB131" i="22"/>
  <c r="BB132" i="22"/>
  <c r="BB133" i="22"/>
  <c r="BB134" i="22"/>
  <c r="BB135" i="22"/>
  <c r="BB136" i="22"/>
  <c r="BB137" i="22"/>
  <c r="BB138" i="22"/>
  <c r="BB139" i="22"/>
  <c r="BB140" i="22"/>
  <c r="BB141" i="22"/>
  <c r="BB142" i="22"/>
  <c r="BB143" i="22"/>
  <c r="BB144" i="22"/>
  <c r="BB145" i="22"/>
  <c r="BB146" i="22"/>
  <c r="BB147" i="22"/>
  <c r="BB148" i="22"/>
  <c r="BB149" i="22"/>
  <c r="BB150" i="22"/>
  <c r="BB151" i="22"/>
  <c r="BB152" i="22"/>
  <c r="BB153" i="22"/>
  <c r="BB154" i="22"/>
  <c r="BB155" i="22"/>
  <c r="BB156" i="22"/>
  <c r="BB157" i="22"/>
  <c r="BB158" i="22"/>
  <c r="BB159" i="22"/>
  <c r="BB160" i="22"/>
  <c r="BQ160" i="22"/>
  <c r="BB41" i="22"/>
  <c r="BA41" i="22"/>
  <c r="BA42" i="22"/>
  <c r="BA43" i="22"/>
  <c r="BA44" i="22"/>
  <c r="BA45" i="22"/>
  <c r="BA46" i="22"/>
  <c r="BA47" i="22"/>
  <c r="BA48" i="22"/>
  <c r="BA49" i="22"/>
  <c r="BA50" i="22"/>
  <c r="BA51" i="22"/>
  <c r="BA52" i="22"/>
  <c r="BA53" i="22"/>
  <c r="BA54" i="22"/>
  <c r="BA55" i="22"/>
  <c r="BA56" i="22"/>
  <c r="BA57" i="22"/>
  <c r="BA58" i="22"/>
  <c r="BA59" i="22"/>
  <c r="BA60" i="22"/>
  <c r="BA61" i="22"/>
  <c r="BA62" i="22"/>
  <c r="BA63" i="22"/>
  <c r="BA64" i="22"/>
  <c r="BA65" i="22"/>
  <c r="BA66" i="22"/>
  <c r="BA67" i="22"/>
  <c r="BA68" i="22"/>
  <c r="BA69" i="22"/>
  <c r="BA70" i="22"/>
  <c r="BA71" i="22"/>
  <c r="BA72" i="22"/>
  <c r="BA73" i="22"/>
  <c r="BA74" i="22"/>
  <c r="BA75" i="22"/>
  <c r="BA76" i="22"/>
  <c r="BA77" i="22"/>
  <c r="BA78" i="22"/>
  <c r="BA79" i="22"/>
  <c r="BA80" i="22"/>
  <c r="BA81" i="22"/>
  <c r="BA82" i="22"/>
  <c r="BA83" i="22"/>
  <c r="BA84" i="22"/>
  <c r="BA85" i="22"/>
  <c r="BA86" i="22"/>
  <c r="BA87" i="22"/>
  <c r="BA88" i="22"/>
  <c r="BA89" i="22"/>
  <c r="BA90" i="22"/>
  <c r="BA91" i="22"/>
  <c r="BA92" i="22"/>
  <c r="BA93" i="22"/>
  <c r="BA94" i="22"/>
  <c r="BA95" i="22"/>
  <c r="BA96" i="22"/>
  <c r="BA97" i="22"/>
  <c r="BA98" i="22"/>
  <c r="BA99" i="22"/>
  <c r="BA100" i="22"/>
  <c r="BA101" i="22"/>
  <c r="BA102" i="22"/>
  <c r="BA103" i="22"/>
  <c r="BA104" i="22"/>
  <c r="BA105" i="22"/>
  <c r="BA106" i="22"/>
  <c r="BA107" i="22"/>
  <c r="BA108" i="22"/>
  <c r="BA109" i="22"/>
  <c r="BA110" i="22"/>
  <c r="BA111" i="22"/>
  <c r="BA112" i="22"/>
  <c r="BA113" i="22"/>
  <c r="BA114" i="22"/>
  <c r="BA115" i="22"/>
  <c r="BA116" i="22"/>
  <c r="BA117" i="22"/>
  <c r="BA118" i="22"/>
  <c r="BA119" i="22"/>
  <c r="BA120" i="22"/>
  <c r="BA121" i="22"/>
  <c r="BA122" i="22"/>
  <c r="BA123" i="22"/>
  <c r="BA124" i="22"/>
  <c r="BA125" i="22"/>
  <c r="BA126" i="22"/>
  <c r="BA127" i="22"/>
  <c r="BA128" i="22"/>
  <c r="BA129" i="22"/>
  <c r="BA130" i="22"/>
  <c r="BA131" i="22"/>
  <c r="BA132" i="22"/>
  <c r="BA133" i="22"/>
  <c r="BA134" i="22"/>
  <c r="BA135" i="22"/>
  <c r="BA136" i="22"/>
  <c r="BA137" i="22"/>
  <c r="BA138" i="22"/>
  <c r="BA139" i="22"/>
  <c r="BA140" i="22"/>
  <c r="BA141" i="22"/>
  <c r="BA142" i="22"/>
  <c r="BA143" i="22"/>
  <c r="BA144" i="22"/>
  <c r="BA145" i="22"/>
  <c r="BA146" i="22"/>
  <c r="BA147" i="22"/>
  <c r="BA148" i="22"/>
  <c r="BA149" i="22"/>
  <c r="BA150" i="22"/>
  <c r="BA151" i="22"/>
  <c r="BA152" i="22"/>
  <c r="BA153" i="22"/>
  <c r="BA154" i="22"/>
  <c r="BA155" i="22"/>
  <c r="BA156" i="22"/>
  <c r="BA157" i="22"/>
  <c r="BA158" i="22"/>
  <c r="BA159" i="22"/>
  <c r="BA40" i="22"/>
  <c r="AZ40" i="22"/>
  <c r="AZ41" i="22"/>
  <c r="AZ42" i="22"/>
  <c r="AZ43" i="22"/>
  <c r="AZ44" i="22"/>
  <c r="AZ45" i="22"/>
  <c r="AZ46" i="22"/>
  <c r="AZ47" i="22"/>
  <c r="AZ48" i="22"/>
  <c r="AZ49" i="22"/>
  <c r="AZ50" i="22"/>
  <c r="AZ51" i="22"/>
  <c r="AZ52" i="22"/>
  <c r="AZ53" i="22"/>
  <c r="AZ54" i="22"/>
  <c r="AZ55" i="22"/>
  <c r="AZ56" i="22"/>
  <c r="AZ57" i="22"/>
  <c r="AZ58" i="22"/>
  <c r="AZ59" i="22"/>
  <c r="AZ60" i="22"/>
  <c r="AZ61" i="22"/>
  <c r="AZ62" i="22"/>
  <c r="AZ63" i="22"/>
  <c r="AZ64" i="22"/>
  <c r="AZ65" i="22"/>
  <c r="AZ66" i="22"/>
  <c r="AZ67" i="22"/>
  <c r="AZ68" i="22"/>
  <c r="AZ69" i="22"/>
  <c r="AZ70" i="22"/>
  <c r="AZ71" i="22"/>
  <c r="AZ72" i="22"/>
  <c r="AZ73" i="22"/>
  <c r="AZ74" i="22"/>
  <c r="AZ75" i="22"/>
  <c r="AZ76" i="22"/>
  <c r="AZ77" i="22"/>
  <c r="AZ78" i="22"/>
  <c r="AZ79" i="22"/>
  <c r="AZ80" i="22"/>
  <c r="AZ81" i="22"/>
  <c r="AZ82" i="22"/>
  <c r="AZ83" i="22"/>
  <c r="AZ84" i="22"/>
  <c r="AZ85" i="22"/>
  <c r="AZ86" i="22"/>
  <c r="AZ87" i="22"/>
  <c r="AZ88" i="22"/>
  <c r="AZ89" i="22"/>
  <c r="AZ90" i="22"/>
  <c r="AZ91" i="22"/>
  <c r="AZ92" i="22"/>
  <c r="AZ93" i="22"/>
  <c r="AZ94" i="22"/>
  <c r="AZ95" i="22"/>
  <c r="AZ96" i="22"/>
  <c r="AZ97" i="22"/>
  <c r="AZ98" i="22"/>
  <c r="AZ99" i="22"/>
  <c r="AZ100" i="22"/>
  <c r="AZ101" i="22"/>
  <c r="AZ102" i="22"/>
  <c r="AZ103" i="22"/>
  <c r="AZ104" i="22"/>
  <c r="AZ105" i="22"/>
  <c r="AZ106" i="22"/>
  <c r="AZ107" i="22"/>
  <c r="AZ108" i="22"/>
  <c r="AZ109" i="22"/>
  <c r="AZ110" i="22"/>
  <c r="AZ111" i="22"/>
  <c r="AZ112" i="22"/>
  <c r="AZ113" i="22"/>
  <c r="AZ114" i="22"/>
  <c r="AZ115" i="22"/>
  <c r="AZ116" i="22"/>
  <c r="AZ117" i="22"/>
  <c r="AZ118" i="22"/>
  <c r="AZ119" i="22"/>
  <c r="AZ120" i="22"/>
  <c r="AZ121" i="22"/>
  <c r="AZ122" i="22"/>
  <c r="AZ123" i="22"/>
  <c r="AZ124" i="22"/>
  <c r="AZ125" i="22"/>
  <c r="AZ126" i="22"/>
  <c r="AZ127" i="22"/>
  <c r="AZ128" i="22"/>
  <c r="AZ129" i="22"/>
  <c r="AZ130" i="22"/>
  <c r="AZ131" i="22"/>
  <c r="AZ132" i="22"/>
  <c r="AZ133" i="22"/>
  <c r="AZ134" i="22"/>
  <c r="AZ135" i="22"/>
  <c r="AZ136" i="22"/>
  <c r="AZ137" i="22"/>
  <c r="AZ138" i="22"/>
  <c r="AZ139" i="22"/>
  <c r="AZ140" i="22"/>
  <c r="AZ141" i="22"/>
  <c r="AZ142" i="22"/>
  <c r="AZ143" i="22"/>
  <c r="AZ144" i="22"/>
  <c r="AZ145" i="22"/>
  <c r="AZ146" i="22"/>
  <c r="AZ147" i="22"/>
  <c r="AZ148" i="22"/>
  <c r="AZ149" i="22"/>
  <c r="AZ150" i="22"/>
  <c r="AZ151" i="22"/>
  <c r="AZ152" i="22"/>
  <c r="AZ153" i="22"/>
  <c r="AZ154" i="22"/>
  <c r="AZ155" i="22"/>
  <c r="AZ156" i="22"/>
  <c r="AZ157" i="22"/>
  <c r="AZ158" i="22"/>
  <c r="AZ39" i="22"/>
  <c r="AY39" i="22"/>
  <c r="AY40" i="22"/>
  <c r="AY41" i="22"/>
  <c r="AY42" i="22"/>
  <c r="AY43" i="22"/>
  <c r="AY44" i="22"/>
  <c r="AY45" i="22"/>
  <c r="AY46" i="22"/>
  <c r="AY47" i="22"/>
  <c r="AY48" i="22"/>
  <c r="AY49" i="22"/>
  <c r="AY50" i="22"/>
  <c r="AY51" i="22"/>
  <c r="AY52" i="22"/>
  <c r="AY53" i="22"/>
  <c r="AY54" i="22"/>
  <c r="AY55" i="22"/>
  <c r="AY56" i="22"/>
  <c r="AY57" i="22"/>
  <c r="AY58" i="22"/>
  <c r="AY59" i="22"/>
  <c r="AY60" i="22"/>
  <c r="AY61" i="22"/>
  <c r="AY62" i="22"/>
  <c r="AY63" i="22"/>
  <c r="AY64" i="22"/>
  <c r="AY65" i="22"/>
  <c r="AY66" i="22"/>
  <c r="AY67" i="22"/>
  <c r="AY68" i="22"/>
  <c r="AY69" i="22"/>
  <c r="AY70" i="22"/>
  <c r="AY71" i="22"/>
  <c r="AY72" i="22"/>
  <c r="AY73" i="22"/>
  <c r="AY74" i="22"/>
  <c r="AY75" i="22"/>
  <c r="AY76" i="22"/>
  <c r="AY77" i="22"/>
  <c r="AY78" i="22"/>
  <c r="AY79" i="22"/>
  <c r="AY80" i="22"/>
  <c r="AY81" i="22"/>
  <c r="AY82" i="22"/>
  <c r="AY83" i="22"/>
  <c r="AY84" i="22"/>
  <c r="AY85" i="22"/>
  <c r="AY86" i="22"/>
  <c r="AY87" i="22"/>
  <c r="AY88" i="22"/>
  <c r="AY89" i="22"/>
  <c r="AY90" i="22"/>
  <c r="AY91" i="22"/>
  <c r="AY92" i="22"/>
  <c r="AY93" i="22"/>
  <c r="AY94" i="22"/>
  <c r="AY95" i="22"/>
  <c r="AY96" i="22"/>
  <c r="AY97" i="22"/>
  <c r="AY98" i="22"/>
  <c r="AY99" i="22"/>
  <c r="AY100" i="22"/>
  <c r="AY101" i="22"/>
  <c r="AY102" i="22"/>
  <c r="AY103" i="22"/>
  <c r="AY104" i="22"/>
  <c r="AY105" i="22"/>
  <c r="AY106" i="22"/>
  <c r="AY107" i="22"/>
  <c r="AY108" i="22"/>
  <c r="AY109" i="22"/>
  <c r="AY110" i="22"/>
  <c r="AY111" i="22"/>
  <c r="AY112" i="22"/>
  <c r="AY113" i="22"/>
  <c r="AY114" i="22"/>
  <c r="AY115" i="22"/>
  <c r="AY116" i="22"/>
  <c r="AY117" i="22"/>
  <c r="AY118" i="22"/>
  <c r="AY119" i="22"/>
  <c r="AY120" i="22"/>
  <c r="AY121" i="22"/>
  <c r="AY122" i="22"/>
  <c r="AY123" i="22"/>
  <c r="AY124" i="22"/>
  <c r="AY125" i="22"/>
  <c r="AY126" i="22"/>
  <c r="AY127" i="22"/>
  <c r="AY128" i="22"/>
  <c r="AY129" i="22"/>
  <c r="AY130" i="22"/>
  <c r="AY131" i="22"/>
  <c r="AY132" i="22"/>
  <c r="AY133" i="22"/>
  <c r="AY134" i="22"/>
  <c r="AY135" i="22"/>
  <c r="AY136" i="22"/>
  <c r="AY137" i="22"/>
  <c r="AY138" i="22"/>
  <c r="AY139" i="22"/>
  <c r="AY140" i="22"/>
  <c r="AY141" i="22"/>
  <c r="AY142" i="22"/>
  <c r="AY143" i="22"/>
  <c r="AY144" i="22"/>
  <c r="AY145" i="22"/>
  <c r="AY146" i="22"/>
  <c r="AY147" i="22"/>
  <c r="AY148" i="22"/>
  <c r="AY149" i="22"/>
  <c r="AY150" i="22"/>
  <c r="AY151" i="22"/>
  <c r="AY152" i="22"/>
  <c r="AY153" i="22"/>
  <c r="AY154" i="22"/>
  <c r="AY155" i="22"/>
  <c r="AY156" i="22"/>
  <c r="AY157" i="22"/>
  <c r="AY38" i="22"/>
  <c r="AX38" i="22"/>
  <c r="AX39" i="22"/>
  <c r="AX40" i="22"/>
  <c r="AX41" i="22"/>
  <c r="AX42" i="22"/>
  <c r="AX43" i="22"/>
  <c r="AX44" i="22"/>
  <c r="AX45" i="22"/>
  <c r="AX46" i="22"/>
  <c r="AX47" i="22"/>
  <c r="AX48" i="22"/>
  <c r="AX49" i="22"/>
  <c r="AX50" i="22"/>
  <c r="AX51" i="22"/>
  <c r="AX52" i="22"/>
  <c r="AX53" i="22"/>
  <c r="AX54" i="22"/>
  <c r="AX55" i="22"/>
  <c r="AX56" i="22"/>
  <c r="AX57" i="22"/>
  <c r="AX58" i="22"/>
  <c r="AX59" i="22"/>
  <c r="AX60" i="22"/>
  <c r="AX61" i="22"/>
  <c r="AX62" i="22"/>
  <c r="AX63" i="22"/>
  <c r="AX64" i="22"/>
  <c r="AX65" i="22"/>
  <c r="AX66" i="22"/>
  <c r="AX67" i="22"/>
  <c r="AX68" i="22"/>
  <c r="AX69" i="22"/>
  <c r="AX70" i="22"/>
  <c r="AX71" i="22"/>
  <c r="AX72" i="22"/>
  <c r="AX73" i="22"/>
  <c r="AX74" i="22"/>
  <c r="AX75" i="22"/>
  <c r="AX76" i="22"/>
  <c r="AX77" i="22"/>
  <c r="AX78" i="22"/>
  <c r="AX79" i="22"/>
  <c r="AX80" i="22"/>
  <c r="AX81" i="22"/>
  <c r="AX82" i="22"/>
  <c r="AX83" i="22"/>
  <c r="AX84" i="22"/>
  <c r="AX85" i="22"/>
  <c r="AX86" i="22"/>
  <c r="AX87" i="22"/>
  <c r="AX88" i="22"/>
  <c r="AX89" i="22"/>
  <c r="AX90" i="22"/>
  <c r="AX91" i="22"/>
  <c r="AX92" i="22"/>
  <c r="AX93" i="22"/>
  <c r="AX94" i="22"/>
  <c r="AX95" i="22"/>
  <c r="AX96" i="22"/>
  <c r="AX97" i="22"/>
  <c r="AX98" i="22"/>
  <c r="AX99" i="22"/>
  <c r="AX100" i="22"/>
  <c r="AX101" i="22"/>
  <c r="AX102" i="22"/>
  <c r="AX103" i="22"/>
  <c r="AX104" i="22"/>
  <c r="AX105" i="22"/>
  <c r="AX106" i="22"/>
  <c r="AX107" i="22"/>
  <c r="AX108" i="22"/>
  <c r="AX109" i="22"/>
  <c r="AX110" i="22"/>
  <c r="AX111" i="22"/>
  <c r="AX112" i="22"/>
  <c r="AX113" i="22"/>
  <c r="AX114" i="22"/>
  <c r="AX115" i="22"/>
  <c r="AX116" i="22"/>
  <c r="AX117" i="22"/>
  <c r="AX118" i="22"/>
  <c r="AX119" i="22"/>
  <c r="AX120" i="22"/>
  <c r="AX121" i="22"/>
  <c r="AX122" i="22"/>
  <c r="AX123" i="22"/>
  <c r="AX124" i="22"/>
  <c r="AX125" i="22"/>
  <c r="AX126" i="22"/>
  <c r="AX127" i="22"/>
  <c r="AX128" i="22"/>
  <c r="AX129" i="22"/>
  <c r="AX130" i="22"/>
  <c r="AX131" i="22"/>
  <c r="AX132" i="22"/>
  <c r="AX133" i="22"/>
  <c r="AX134" i="22"/>
  <c r="AX135" i="22"/>
  <c r="AX136" i="22"/>
  <c r="AX137" i="22"/>
  <c r="AX138" i="22"/>
  <c r="AX139" i="22"/>
  <c r="AX140" i="22"/>
  <c r="AX141" i="22"/>
  <c r="AX142" i="22"/>
  <c r="AX143" i="22"/>
  <c r="AX144" i="22"/>
  <c r="AX145" i="22"/>
  <c r="AX146" i="22"/>
  <c r="AX147" i="22"/>
  <c r="AX148" i="22"/>
  <c r="AX149" i="22"/>
  <c r="AX150" i="22"/>
  <c r="AX151" i="22"/>
  <c r="AX152" i="22"/>
  <c r="AX153" i="22"/>
  <c r="AX154" i="22"/>
  <c r="AX155" i="22"/>
  <c r="AX156" i="22"/>
  <c r="AX37" i="22"/>
  <c r="AW37" i="22"/>
  <c r="AW38" i="22"/>
  <c r="AW39" i="22"/>
  <c r="AW40" i="22"/>
  <c r="AW41" i="22"/>
  <c r="AW42" i="22"/>
  <c r="AW43" i="22"/>
  <c r="AW44" i="22"/>
  <c r="AW45" i="22"/>
  <c r="AW46" i="22"/>
  <c r="AW47" i="22"/>
  <c r="AW48" i="22"/>
  <c r="AW49" i="22"/>
  <c r="AW50" i="22"/>
  <c r="AW51" i="22"/>
  <c r="AW52" i="22"/>
  <c r="AW53" i="22"/>
  <c r="AW54" i="22"/>
  <c r="AW55" i="22"/>
  <c r="AW56" i="22"/>
  <c r="AW57" i="22"/>
  <c r="AW58" i="22"/>
  <c r="AW59" i="22"/>
  <c r="AW60" i="22"/>
  <c r="AW61" i="22"/>
  <c r="AW62" i="22"/>
  <c r="AW63" i="22"/>
  <c r="AW64" i="22"/>
  <c r="AW65" i="22"/>
  <c r="AW66" i="22"/>
  <c r="AW67" i="22"/>
  <c r="AW68" i="22"/>
  <c r="AW69" i="22"/>
  <c r="AW70" i="22"/>
  <c r="AW71" i="22"/>
  <c r="AW72" i="22"/>
  <c r="AW73" i="22"/>
  <c r="AW74" i="22"/>
  <c r="AW75" i="22"/>
  <c r="AW76" i="22"/>
  <c r="AW77" i="22"/>
  <c r="AW78" i="22"/>
  <c r="AW79" i="22"/>
  <c r="AW80" i="22"/>
  <c r="AW81" i="22"/>
  <c r="AW82" i="22"/>
  <c r="AW83" i="22"/>
  <c r="AW84" i="22"/>
  <c r="AW85" i="22"/>
  <c r="AW86" i="22"/>
  <c r="AW87" i="22"/>
  <c r="AW88" i="22"/>
  <c r="AW89" i="22"/>
  <c r="AW90" i="22"/>
  <c r="AW91" i="22"/>
  <c r="AW92" i="22"/>
  <c r="AW93" i="22"/>
  <c r="AW94" i="22"/>
  <c r="AW95" i="22"/>
  <c r="AW96" i="22"/>
  <c r="AW97" i="22"/>
  <c r="AW98" i="22"/>
  <c r="AW99" i="22"/>
  <c r="AW100" i="22"/>
  <c r="AW101" i="22"/>
  <c r="AW102" i="22"/>
  <c r="AW103" i="22"/>
  <c r="AW104" i="22"/>
  <c r="AW105" i="22"/>
  <c r="AW106" i="22"/>
  <c r="AW107" i="22"/>
  <c r="AW108" i="22"/>
  <c r="AW109" i="22"/>
  <c r="AW110" i="22"/>
  <c r="AW111" i="22"/>
  <c r="AW112" i="22"/>
  <c r="AW113" i="22"/>
  <c r="AW114" i="22"/>
  <c r="AW115" i="22"/>
  <c r="AW116" i="22"/>
  <c r="AW117" i="22"/>
  <c r="AW118" i="22"/>
  <c r="AW119" i="22"/>
  <c r="AW120" i="22"/>
  <c r="AW121" i="22"/>
  <c r="AW122" i="22"/>
  <c r="AW123" i="22"/>
  <c r="AW124" i="22"/>
  <c r="AW125" i="22"/>
  <c r="AW126" i="22"/>
  <c r="AW127" i="22"/>
  <c r="AW128" i="22"/>
  <c r="AW129" i="22"/>
  <c r="AW130" i="22"/>
  <c r="AW131" i="22"/>
  <c r="AW132" i="22"/>
  <c r="AW133" i="22"/>
  <c r="AW134" i="22"/>
  <c r="AW135" i="22"/>
  <c r="AW136" i="22"/>
  <c r="AW137" i="22"/>
  <c r="AW138" i="22"/>
  <c r="AW139" i="22"/>
  <c r="AW140" i="22"/>
  <c r="AW141" i="22"/>
  <c r="AW142" i="22"/>
  <c r="AW143" i="22"/>
  <c r="AW144" i="22"/>
  <c r="AW145" i="22"/>
  <c r="AW146" i="22"/>
  <c r="AW147" i="22"/>
  <c r="AW148" i="22"/>
  <c r="AW149" i="22"/>
  <c r="AW150" i="22"/>
  <c r="AW151" i="22"/>
  <c r="AW152" i="22"/>
  <c r="AW153" i="22"/>
  <c r="AW154" i="22"/>
  <c r="AW155" i="22"/>
  <c r="AW36" i="22"/>
  <c r="AV36" i="22"/>
  <c r="AV37" i="22"/>
  <c r="AV38" i="22"/>
  <c r="AV39" i="22"/>
  <c r="AV40" i="22"/>
  <c r="AV41" i="22"/>
  <c r="AV42" i="22"/>
  <c r="AV43" i="22"/>
  <c r="AV44" i="22"/>
  <c r="AV45" i="22"/>
  <c r="AV46" i="22"/>
  <c r="AV47" i="22"/>
  <c r="AV48" i="22"/>
  <c r="AV49" i="22"/>
  <c r="AV50" i="22"/>
  <c r="AV51" i="22"/>
  <c r="AV52" i="22"/>
  <c r="AV53" i="22"/>
  <c r="AV54" i="22"/>
  <c r="AV55" i="22"/>
  <c r="AV56" i="22"/>
  <c r="AV57" i="22"/>
  <c r="AV58" i="22"/>
  <c r="AV59" i="22"/>
  <c r="AV60" i="22"/>
  <c r="AV61" i="22"/>
  <c r="AV62" i="22"/>
  <c r="AV63" i="22"/>
  <c r="AV64" i="22"/>
  <c r="AV65" i="22"/>
  <c r="AV66" i="22"/>
  <c r="AV67" i="22"/>
  <c r="AV68" i="22"/>
  <c r="AV69" i="22"/>
  <c r="AV70" i="22"/>
  <c r="AV71" i="22"/>
  <c r="AV72" i="22"/>
  <c r="AV73" i="22"/>
  <c r="AV74" i="22"/>
  <c r="AV75" i="22"/>
  <c r="AV76" i="22"/>
  <c r="AV77" i="22"/>
  <c r="AV78" i="22"/>
  <c r="AV79" i="22"/>
  <c r="AV80" i="22"/>
  <c r="AV81" i="22"/>
  <c r="AV82" i="22"/>
  <c r="AV83" i="22"/>
  <c r="AV84" i="22"/>
  <c r="AV85" i="22"/>
  <c r="AV86" i="22"/>
  <c r="AV87" i="22"/>
  <c r="AV88" i="22"/>
  <c r="AV89" i="22"/>
  <c r="AV90" i="22"/>
  <c r="AV91" i="22"/>
  <c r="AV92" i="22"/>
  <c r="AV93" i="22"/>
  <c r="AV94" i="22"/>
  <c r="AV95" i="22"/>
  <c r="AV96" i="22"/>
  <c r="AV97" i="22"/>
  <c r="AV98" i="22"/>
  <c r="AV99" i="22"/>
  <c r="AV100" i="22"/>
  <c r="AV101" i="22"/>
  <c r="AV102" i="22"/>
  <c r="AV103" i="22"/>
  <c r="AV104" i="22"/>
  <c r="AV105" i="22"/>
  <c r="AV106" i="22"/>
  <c r="AV107" i="22"/>
  <c r="AV108" i="22"/>
  <c r="AV109" i="22"/>
  <c r="AV110" i="22"/>
  <c r="AV111" i="22"/>
  <c r="AV112" i="22"/>
  <c r="AV113" i="22"/>
  <c r="AV114" i="22"/>
  <c r="AV115" i="22"/>
  <c r="AV116" i="22"/>
  <c r="AV117" i="22"/>
  <c r="AV118" i="22"/>
  <c r="AV119" i="22"/>
  <c r="AV120" i="22"/>
  <c r="AV121" i="22"/>
  <c r="AV122" i="22"/>
  <c r="AV123" i="22"/>
  <c r="AV124" i="22"/>
  <c r="AV125" i="22"/>
  <c r="AV126" i="22"/>
  <c r="AV127" i="22"/>
  <c r="AV128" i="22"/>
  <c r="AV129" i="22"/>
  <c r="AV130" i="22"/>
  <c r="AV131" i="22"/>
  <c r="AV132" i="22"/>
  <c r="AV133" i="22"/>
  <c r="AV134" i="22"/>
  <c r="AV135" i="22"/>
  <c r="AV136" i="22"/>
  <c r="AV137" i="22"/>
  <c r="AV138" i="22"/>
  <c r="AV139" i="22"/>
  <c r="AV140" i="22"/>
  <c r="AV141" i="22"/>
  <c r="AV142" i="22"/>
  <c r="AV143" i="22"/>
  <c r="AV144" i="22"/>
  <c r="AV145" i="22"/>
  <c r="AV146" i="22"/>
  <c r="AV147" i="22"/>
  <c r="AV148" i="22"/>
  <c r="AV149" i="22"/>
  <c r="AV150" i="22"/>
  <c r="AV151" i="22"/>
  <c r="AV152" i="22"/>
  <c r="AV153" i="22"/>
  <c r="AV154" i="22"/>
  <c r="AV35" i="22"/>
  <c r="AU35" i="22"/>
  <c r="AU36" i="22"/>
  <c r="AU37" i="22"/>
  <c r="AU38" i="22"/>
  <c r="AU39" i="22"/>
  <c r="AU40" i="22"/>
  <c r="AU41" i="22"/>
  <c r="AU42" i="22"/>
  <c r="AU43" i="22"/>
  <c r="AU44" i="22"/>
  <c r="AU45" i="22"/>
  <c r="AU46" i="22"/>
  <c r="AU47" i="22"/>
  <c r="AU48" i="22"/>
  <c r="AU49" i="22"/>
  <c r="AU50" i="22"/>
  <c r="AU51" i="22"/>
  <c r="AU52" i="22"/>
  <c r="AU53" i="22"/>
  <c r="AU54" i="22"/>
  <c r="AU55" i="22"/>
  <c r="AU56" i="22"/>
  <c r="AU57" i="22"/>
  <c r="AU58" i="22"/>
  <c r="AU59" i="22"/>
  <c r="AU60" i="22"/>
  <c r="AU61" i="22"/>
  <c r="AU62" i="22"/>
  <c r="AU63" i="22"/>
  <c r="AU64" i="22"/>
  <c r="AU65" i="22"/>
  <c r="AU66" i="22"/>
  <c r="AU67" i="22"/>
  <c r="AU68" i="22"/>
  <c r="AU69" i="22"/>
  <c r="AU70" i="22"/>
  <c r="AU71" i="22"/>
  <c r="AU72" i="22"/>
  <c r="AU73" i="22"/>
  <c r="AU74" i="22"/>
  <c r="AU75" i="22"/>
  <c r="AU76" i="22"/>
  <c r="AU77" i="22"/>
  <c r="AU78" i="22"/>
  <c r="AU79" i="22"/>
  <c r="AU80" i="22"/>
  <c r="AU81" i="22"/>
  <c r="AU82" i="22"/>
  <c r="AU83" i="22"/>
  <c r="AU84" i="22"/>
  <c r="AU85" i="22"/>
  <c r="AU86" i="22"/>
  <c r="AU87" i="22"/>
  <c r="AU88" i="22"/>
  <c r="AU89" i="22"/>
  <c r="AU90" i="22"/>
  <c r="AU91" i="22"/>
  <c r="AU92" i="22"/>
  <c r="AU93" i="22"/>
  <c r="AU94" i="22"/>
  <c r="AU95" i="22"/>
  <c r="AU96" i="22"/>
  <c r="AU97" i="22"/>
  <c r="AU98" i="22"/>
  <c r="AU99" i="22"/>
  <c r="AU100" i="22"/>
  <c r="AU101" i="22"/>
  <c r="AU102" i="22"/>
  <c r="AU103" i="22"/>
  <c r="AU104" i="22"/>
  <c r="AU105" i="22"/>
  <c r="AU106" i="22"/>
  <c r="AU107" i="22"/>
  <c r="AU108" i="22"/>
  <c r="AU109" i="22"/>
  <c r="AU110" i="22"/>
  <c r="AU111" i="22"/>
  <c r="AU112" i="22"/>
  <c r="AU113" i="22"/>
  <c r="AU114" i="22"/>
  <c r="AU115" i="22"/>
  <c r="AU116" i="22"/>
  <c r="AU117" i="22"/>
  <c r="AU118" i="22"/>
  <c r="AU119" i="22"/>
  <c r="AU120" i="22"/>
  <c r="AU121" i="22"/>
  <c r="AU122" i="22"/>
  <c r="AU123" i="22"/>
  <c r="AU124" i="22"/>
  <c r="AU125" i="22"/>
  <c r="AU126" i="22"/>
  <c r="AU127" i="22"/>
  <c r="AU128" i="22"/>
  <c r="AU129" i="22"/>
  <c r="AU130" i="22"/>
  <c r="AU131" i="22"/>
  <c r="AU132" i="22"/>
  <c r="AU133" i="22"/>
  <c r="AU134" i="22"/>
  <c r="AU135" i="22"/>
  <c r="AU136" i="22"/>
  <c r="AU137" i="22"/>
  <c r="AU138" i="22"/>
  <c r="AU139" i="22"/>
  <c r="AU140" i="22"/>
  <c r="AU141" i="22"/>
  <c r="AU142" i="22"/>
  <c r="AU143" i="22"/>
  <c r="AU144" i="22"/>
  <c r="AU145" i="22"/>
  <c r="AU146" i="22"/>
  <c r="AU147" i="22"/>
  <c r="AU148" i="22"/>
  <c r="AU149" i="22"/>
  <c r="AU150" i="22"/>
  <c r="AU151" i="22"/>
  <c r="AU152" i="22"/>
  <c r="AU153" i="22"/>
  <c r="AU34" i="22"/>
  <c r="AT34" i="22"/>
  <c r="AT35" i="22"/>
  <c r="AT36" i="22"/>
  <c r="AT37" i="22"/>
  <c r="AT38" i="22"/>
  <c r="AT39" i="22"/>
  <c r="AT40" i="22"/>
  <c r="AT41" i="22"/>
  <c r="AT42" i="22"/>
  <c r="AT43" i="22"/>
  <c r="AT44" i="22"/>
  <c r="AT45" i="22"/>
  <c r="AT46" i="22"/>
  <c r="AT47" i="22"/>
  <c r="AT48" i="22"/>
  <c r="AT49" i="22"/>
  <c r="AT50" i="22"/>
  <c r="AT51" i="22"/>
  <c r="AT52" i="22"/>
  <c r="AT53" i="22"/>
  <c r="AT54" i="22"/>
  <c r="AT55" i="22"/>
  <c r="AT56" i="22"/>
  <c r="AT57" i="22"/>
  <c r="AT58" i="22"/>
  <c r="AT59" i="22"/>
  <c r="AT60" i="22"/>
  <c r="AT61" i="22"/>
  <c r="AT62" i="22"/>
  <c r="AT63" i="22"/>
  <c r="AT64" i="22"/>
  <c r="AT65" i="22"/>
  <c r="AT66" i="22"/>
  <c r="AT67" i="22"/>
  <c r="AT68" i="22"/>
  <c r="AT69" i="22"/>
  <c r="AT70" i="22"/>
  <c r="AT71" i="22"/>
  <c r="AT72" i="22"/>
  <c r="AT73" i="22"/>
  <c r="AT74" i="22"/>
  <c r="AT75" i="22"/>
  <c r="AT76" i="22"/>
  <c r="AT77" i="22"/>
  <c r="AT78" i="22"/>
  <c r="AT79" i="22"/>
  <c r="AT80" i="22"/>
  <c r="AT81" i="22"/>
  <c r="AT82" i="22"/>
  <c r="AT83" i="22"/>
  <c r="AT84" i="22"/>
  <c r="AT85" i="22"/>
  <c r="AT86" i="22"/>
  <c r="AT87" i="22"/>
  <c r="AT88" i="22"/>
  <c r="AT89" i="22"/>
  <c r="AT90" i="22"/>
  <c r="AT91" i="22"/>
  <c r="AT92" i="22"/>
  <c r="AT93" i="22"/>
  <c r="AT94" i="22"/>
  <c r="AT95" i="22"/>
  <c r="AT96" i="22"/>
  <c r="AT97" i="22"/>
  <c r="AT98" i="22"/>
  <c r="AT99" i="22"/>
  <c r="AT100" i="22"/>
  <c r="AT101" i="22"/>
  <c r="AT102" i="22"/>
  <c r="AT103" i="22"/>
  <c r="AT104" i="22"/>
  <c r="AT105" i="22"/>
  <c r="AT106" i="22"/>
  <c r="AT107" i="22"/>
  <c r="AT108" i="22"/>
  <c r="AT109" i="22"/>
  <c r="AT110" i="22"/>
  <c r="AT111" i="22"/>
  <c r="AT112" i="22"/>
  <c r="AT113" i="22"/>
  <c r="AT114" i="22"/>
  <c r="AT115" i="22"/>
  <c r="AT116" i="22"/>
  <c r="AT117" i="22"/>
  <c r="AT118" i="22"/>
  <c r="AT119" i="22"/>
  <c r="AT120" i="22"/>
  <c r="AT121" i="22"/>
  <c r="AT122" i="22"/>
  <c r="AT123" i="22"/>
  <c r="AT124" i="22"/>
  <c r="AT125" i="22"/>
  <c r="AT126" i="22"/>
  <c r="AT127" i="22"/>
  <c r="AT128" i="22"/>
  <c r="AT129" i="22"/>
  <c r="AT130" i="22"/>
  <c r="AT131" i="22"/>
  <c r="AT132" i="22"/>
  <c r="AT133" i="22"/>
  <c r="AT134" i="22"/>
  <c r="AT135" i="22"/>
  <c r="AT136" i="22"/>
  <c r="AT137" i="22"/>
  <c r="AT138" i="22"/>
  <c r="AT139" i="22"/>
  <c r="AT140" i="22"/>
  <c r="AT141" i="22"/>
  <c r="AT142" i="22"/>
  <c r="AT143" i="22"/>
  <c r="AT144" i="22"/>
  <c r="AT145" i="22"/>
  <c r="AT146" i="22"/>
  <c r="AT147" i="22"/>
  <c r="AT148" i="22"/>
  <c r="AT149" i="22"/>
  <c r="AT150" i="22"/>
  <c r="AT151" i="22"/>
  <c r="AT152" i="22"/>
  <c r="AT33" i="22"/>
  <c r="AS33" i="22"/>
  <c r="AS34" i="22"/>
  <c r="AS35" i="22"/>
  <c r="AS36" i="22"/>
  <c r="AS37" i="22"/>
  <c r="AS38" i="22"/>
  <c r="AS39" i="22"/>
  <c r="AS40" i="22"/>
  <c r="AS41" i="22"/>
  <c r="AS42" i="22"/>
  <c r="AS43" i="22"/>
  <c r="AS44" i="22"/>
  <c r="AS45" i="22"/>
  <c r="AS46" i="22"/>
  <c r="AS47" i="22"/>
  <c r="AS48" i="22"/>
  <c r="AS49" i="22"/>
  <c r="AS50" i="22"/>
  <c r="AS51" i="22"/>
  <c r="AS52" i="22"/>
  <c r="AS53" i="22"/>
  <c r="AS54" i="22"/>
  <c r="AS55" i="22"/>
  <c r="AS56" i="22"/>
  <c r="AS57" i="22"/>
  <c r="AS58" i="22"/>
  <c r="AS59" i="22"/>
  <c r="AS60" i="22"/>
  <c r="AS61" i="22"/>
  <c r="AS62" i="22"/>
  <c r="AS63" i="22"/>
  <c r="AS64" i="22"/>
  <c r="AS65" i="22"/>
  <c r="AS66" i="22"/>
  <c r="AS67" i="22"/>
  <c r="AS68" i="22"/>
  <c r="AS69" i="22"/>
  <c r="AS70" i="22"/>
  <c r="AS71" i="22"/>
  <c r="AS72" i="22"/>
  <c r="AS73" i="22"/>
  <c r="AS74" i="22"/>
  <c r="AS75" i="22"/>
  <c r="AS76" i="22"/>
  <c r="AS77" i="22"/>
  <c r="AS78" i="22"/>
  <c r="AS79" i="22"/>
  <c r="AS80" i="22"/>
  <c r="AS81" i="22"/>
  <c r="AS82" i="22"/>
  <c r="AS83" i="22"/>
  <c r="AS84" i="22"/>
  <c r="AS85" i="22"/>
  <c r="AS86" i="22"/>
  <c r="AS87" i="22"/>
  <c r="AS88" i="22"/>
  <c r="AS89" i="22"/>
  <c r="AS90" i="22"/>
  <c r="AS91" i="22"/>
  <c r="AS92" i="22"/>
  <c r="AS93" i="22"/>
  <c r="AS94" i="22"/>
  <c r="AS95" i="22"/>
  <c r="AS96" i="22"/>
  <c r="AS97" i="22"/>
  <c r="AS98" i="22"/>
  <c r="AS99" i="22"/>
  <c r="AS100" i="22"/>
  <c r="AS101" i="22"/>
  <c r="AS102" i="22"/>
  <c r="AS103" i="22"/>
  <c r="AS104" i="22"/>
  <c r="AS105" i="22"/>
  <c r="AS106" i="22"/>
  <c r="AS107" i="22"/>
  <c r="AS108" i="22"/>
  <c r="AS109" i="22"/>
  <c r="AS110" i="22"/>
  <c r="AS111" i="22"/>
  <c r="AS112" i="22"/>
  <c r="AS113" i="22"/>
  <c r="AS114" i="22"/>
  <c r="AS115" i="22"/>
  <c r="AS116" i="22"/>
  <c r="AS117" i="22"/>
  <c r="AS118" i="22"/>
  <c r="AS119" i="22"/>
  <c r="AS120" i="22"/>
  <c r="AS121" i="22"/>
  <c r="AS122" i="22"/>
  <c r="AS123" i="22"/>
  <c r="AS124" i="22"/>
  <c r="AS125" i="22"/>
  <c r="AS126" i="22"/>
  <c r="AS127" i="22"/>
  <c r="AS128" i="22"/>
  <c r="AS129" i="22"/>
  <c r="AS130" i="22"/>
  <c r="AS131" i="22"/>
  <c r="AS132" i="22"/>
  <c r="AS133" i="22"/>
  <c r="AS134" i="22"/>
  <c r="AS135" i="22"/>
  <c r="AS136" i="22"/>
  <c r="AS137" i="22"/>
  <c r="AS138" i="22"/>
  <c r="AS139" i="22"/>
  <c r="AS140" i="22"/>
  <c r="AS141" i="22"/>
  <c r="AS142" i="22"/>
  <c r="AS143" i="22"/>
  <c r="AS144" i="22"/>
  <c r="AS145" i="22"/>
  <c r="AS146" i="22"/>
  <c r="AS147" i="22"/>
  <c r="AS148" i="22"/>
  <c r="AS149" i="22"/>
  <c r="AS150" i="22"/>
  <c r="AS151" i="22"/>
  <c r="AS32" i="22"/>
  <c r="AR32" i="22"/>
  <c r="AR33" i="22"/>
  <c r="AR34" i="22"/>
  <c r="AR35" i="22"/>
  <c r="AR36" i="22"/>
  <c r="AR37" i="22"/>
  <c r="AR38" i="22"/>
  <c r="AR39" i="22"/>
  <c r="AR40" i="22"/>
  <c r="AR41" i="22"/>
  <c r="AR42" i="22"/>
  <c r="AR43" i="22"/>
  <c r="AR44" i="22"/>
  <c r="AR45" i="22"/>
  <c r="AR46" i="22"/>
  <c r="AR47" i="22"/>
  <c r="AR48" i="22"/>
  <c r="AR49" i="22"/>
  <c r="AR50" i="22"/>
  <c r="AR51" i="22"/>
  <c r="AR52" i="22"/>
  <c r="AR53" i="22"/>
  <c r="AR54" i="22"/>
  <c r="AR55" i="22"/>
  <c r="AR56" i="22"/>
  <c r="AR57" i="22"/>
  <c r="AR58" i="22"/>
  <c r="AR59" i="22"/>
  <c r="AR60" i="22"/>
  <c r="AR61" i="22"/>
  <c r="AR62" i="22"/>
  <c r="AR63" i="22"/>
  <c r="AR64" i="22"/>
  <c r="AR65" i="22"/>
  <c r="AR66" i="22"/>
  <c r="AR67" i="22"/>
  <c r="AR68" i="22"/>
  <c r="AR69" i="22"/>
  <c r="AR70" i="22"/>
  <c r="AR71" i="22"/>
  <c r="AR72" i="22"/>
  <c r="AR73" i="22"/>
  <c r="AR74" i="22"/>
  <c r="AR75" i="22"/>
  <c r="AR76" i="22"/>
  <c r="AR77" i="22"/>
  <c r="AR78" i="22"/>
  <c r="AR79" i="22"/>
  <c r="AR80" i="22"/>
  <c r="AR81" i="22"/>
  <c r="AR82" i="22"/>
  <c r="AR83" i="22"/>
  <c r="AR84" i="22"/>
  <c r="AR85" i="22"/>
  <c r="AR86" i="22"/>
  <c r="AR87" i="22"/>
  <c r="AR88" i="22"/>
  <c r="AR89" i="22"/>
  <c r="AR90" i="22"/>
  <c r="AR91" i="22"/>
  <c r="AR92" i="22"/>
  <c r="AR93" i="22"/>
  <c r="AR94" i="22"/>
  <c r="AR95" i="22"/>
  <c r="AR96" i="22"/>
  <c r="AR97" i="22"/>
  <c r="AR98" i="22"/>
  <c r="AR99" i="22"/>
  <c r="AR100" i="22"/>
  <c r="AR101" i="22"/>
  <c r="AR102" i="22"/>
  <c r="AR103" i="22"/>
  <c r="AR104" i="22"/>
  <c r="AR105" i="22"/>
  <c r="AR106" i="22"/>
  <c r="AR107" i="22"/>
  <c r="AR108" i="22"/>
  <c r="AR109" i="22"/>
  <c r="AR110" i="22"/>
  <c r="AR111" i="22"/>
  <c r="AR112" i="22"/>
  <c r="AR113" i="22"/>
  <c r="AR114" i="22"/>
  <c r="AR115" i="22"/>
  <c r="AR116" i="22"/>
  <c r="AR117" i="22"/>
  <c r="AR118" i="22"/>
  <c r="AR119" i="22"/>
  <c r="AR120" i="22"/>
  <c r="AR121" i="22"/>
  <c r="AR122" i="22"/>
  <c r="AR123" i="22"/>
  <c r="AR124" i="22"/>
  <c r="AR125" i="22"/>
  <c r="AR126" i="22"/>
  <c r="AR127" i="22"/>
  <c r="AR128" i="22"/>
  <c r="AR129" i="22"/>
  <c r="AR130" i="22"/>
  <c r="AR131" i="22"/>
  <c r="AR132" i="22"/>
  <c r="AR133" i="22"/>
  <c r="AR134" i="22"/>
  <c r="AR135" i="22"/>
  <c r="AR136" i="22"/>
  <c r="AR137" i="22"/>
  <c r="AR138" i="22"/>
  <c r="AR139" i="22"/>
  <c r="AR140" i="22"/>
  <c r="AR141" i="22"/>
  <c r="AR142" i="22"/>
  <c r="AR143" i="22"/>
  <c r="AR144" i="22"/>
  <c r="AR145" i="22"/>
  <c r="AR146" i="22"/>
  <c r="AR147" i="22"/>
  <c r="AR148" i="22"/>
  <c r="AR149" i="22"/>
  <c r="AR150" i="22"/>
  <c r="AR31" i="22"/>
  <c r="EC90" i="25"/>
  <c r="EC91" i="25"/>
  <c r="EC92" i="25"/>
  <c r="EC93" i="25"/>
  <c r="EC94" i="25"/>
  <c r="EC95" i="25"/>
  <c r="EC96" i="25"/>
  <c r="EC97" i="25"/>
  <c r="EC98" i="25"/>
  <c r="EC99" i="25"/>
  <c r="EC100" i="25"/>
  <c r="EC101" i="25"/>
  <c r="EC102" i="25"/>
  <c r="EC103" i="25"/>
  <c r="K31" i="25"/>
  <c r="CW39" i="25" s="1"/>
  <c r="K32" i="25"/>
  <c r="CX43" i="25" s="1"/>
  <c r="K33" i="25"/>
  <c r="AP35" i="25" s="1"/>
  <c r="K34" i="25"/>
  <c r="CZ36" i="25" s="1"/>
  <c r="K35" i="25"/>
  <c r="DA43" i="25" s="1"/>
  <c r="K36" i="25"/>
  <c r="AS54" i="25" s="1"/>
  <c r="K37" i="25"/>
  <c r="K38" i="25"/>
  <c r="K39" i="25"/>
  <c r="DE47" i="25" s="1"/>
  <c r="K40" i="25"/>
  <c r="DF43" i="25" s="1"/>
  <c r="K41" i="25"/>
  <c r="AX45" i="25" s="1"/>
  <c r="K42" i="25"/>
  <c r="DH44" i="25" s="1"/>
  <c r="EA44" i="25" s="1"/>
  <c r="K43" i="25"/>
  <c r="K44" i="25"/>
  <c r="K45" i="25"/>
  <c r="K46" i="25"/>
  <c r="K47" i="25"/>
  <c r="K48" i="25"/>
  <c r="K49" i="25"/>
  <c r="K50" i="25"/>
  <c r="K51" i="25"/>
  <c r="DQ61" i="25" s="1"/>
  <c r="EA61" i="25" s="1"/>
  <c r="K52" i="25"/>
  <c r="K53" i="25"/>
  <c r="K54" i="25"/>
  <c r="K55" i="25"/>
  <c r="K56" i="25"/>
  <c r="K57" i="25"/>
  <c r="K58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BV146" i="5"/>
  <c r="BV116" i="5"/>
  <c r="BJ146" i="5"/>
  <c r="BJ131" i="5"/>
  <c r="BA143" i="5"/>
  <c r="BA144" i="5"/>
  <c r="BA145" i="5"/>
  <c r="AX146" i="5"/>
  <c r="N143" i="5"/>
  <c r="N144" i="5"/>
  <c r="N145" i="5"/>
  <c r="M143" i="5"/>
  <c r="M144" i="5"/>
  <c r="M145" i="5"/>
  <c r="L143" i="5"/>
  <c r="L144" i="5"/>
  <c r="L145" i="5"/>
  <c r="J135" i="5"/>
  <c r="J136" i="5"/>
  <c r="J137" i="5"/>
  <c r="J138" i="5"/>
  <c r="J139" i="5"/>
  <c r="J140" i="5"/>
  <c r="J141" i="5"/>
  <c r="J142" i="5"/>
  <c r="J143" i="5"/>
  <c r="J144" i="5"/>
  <c r="J145" i="5"/>
  <c r="J134" i="5"/>
  <c r="I135" i="5"/>
  <c r="I136" i="5"/>
  <c r="I137" i="5"/>
  <c r="I138" i="5"/>
  <c r="I139" i="5"/>
  <c r="I140" i="5"/>
  <c r="I141" i="5"/>
  <c r="I142" i="5"/>
  <c r="I143" i="5"/>
  <c r="I144" i="5"/>
  <c r="I145" i="5"/>
  <c r="I134" i="5"/>
  <c r="H135" i="5"/>
  <c r="H136" i="5"/>
  <c r="H137" i="5"/>
  <c r="H138" i="5"/>
  <c r="H139" i="5"/>
  <c r="H140" i="5"/>
  <c r="H141" i="5"/>
  <c r="H142" i="5"/>
  <c r="H143" i="5"/>
  <c r="H144" i="5"/>
  <c r="H145" i="5"/>
  <c r="H134" i="5"/>
  <c r="BQ158" i="22"/>
  <c r="BQ159" i="22"/>
  <c r="BQ153" i="22"/>
  <c r="DQ52" i="25"/>
  <c r="DQ53" i="25"/>
  <c r="DQ56" i="25"/>
  <c r="DQ62" i="25"/>
  <c r="DQ55" i="25"/>
  <c r="DQ57" i="25"/>
  <c r="DP52" i="25"/>
  <c r="DP60" i="25"/>
  <c r="BG56" i="25"/>
  <c r="BG64" i="25"/>
  <c r="BG72" i="25"/>
  <c r="BG80" i="25"/>
  <c r="BG88" i="25"/>
  <c r="BG96" i="25"/>
  <c r="BG104" i="25"/>
  <c r="BG70" i="25"/>
  <c r="BG55" i="25"/>
  <c r="DP53" i="25"/>
  <c r="DP61" i="25"/>
  <c r="BG57" i="25"/>
  <c r="BG65" i="25"/>
  <c r="BG73" i="25"/>
  <c r="BG81" i="25"/>
  <c r="BG89" i="25"/>
  <c r="BG97" i="25"/>
  <c r="BG105" i="25"/>
  <c r="BG94" i="25"/>
  <c r="DP59" i="25"/>
  <c r="BG87" i="25"/>
  <c r="DP54" i="25"/>
  <c r="DP50" i="25"/>
  <c r="BG58" i="25"/>
  <c r="BG66" i="25"/>
  <c r="BG74" i="25"/>
  <c r="BG82" i="25"/>
  <c r="BG90" i="25"/>
  <c r="BG98" i="25"/>
  <c r="BG106" i="25"/>
  <c r="BG62" i="25"/>
  <c r="BG50" i="25"/>
  <c r="BG71" i="25"/>
  <c r="DP55" i="25"/>
  <c r="BG51" i="25"/>
  <c r="BG59" i="25"/>
  <c r="BG67" i="25"/>
  <c r="BG75" i="25"/>
  <c r="BG83" i="25"/>
  <c r="BG91" i="25"/>
  <c r="BG99" i="25"/>
  <c r="BG107" i="25"/>
  <c r="BG78" i="25"/>
  <c r="DP51" i="25"/>
  <c r="BG103" i="25"/>
  <c r="DP56" i="25"/>
  <c r="BG52" i="25"/>
  <c r="BG60" i="25"/>
  <c r="BG68" i="25"/>
  <c r="BG76" i="25"/>
  <c r="BG84" i="25"/>
  <c r="BG92" i="25"/>
  <c r="BG100" i="25"/>
  <c r="BG108" i="25"/>
  <c r="DP58" i="25"/>
  <c r="BG86" i="25"/>
  <c r="BG79" i="25"/>
  <c r="DP57" i="25"/>
  <c r="BG53" i="25"/>
  <c r="BG61" i="25"/>
  <c r="BG69" i="25"/>
  <c r="BG77" i="25"/>
  <c r="BG85" i="25"/>
  <c r="BG93" i="25"/>
  <c r="BG101" i="25"/>
  <c r="BG109" i="25"/>
  <c r="BG54" i="25"/>
  <c r="BG102" i="25"/>
  <c r="BG63" i="25"/>
  <c r="BG95" i="25"/>
  <c r="DW62" i="25"/>
  <c r="BN116" i="25"/>
  <c r="BN108" i="25"/>
  <c r="BN100" i="25"/>
  <c r="BN92" i="25"/>
  <c r="BN84" i="25"/>
  <c r="BN76" i="25"/>
  <c r="BN68" i="25"/>
  <c r="BN60" i="25"/>
  <c r="BN96" i="25"/>
  <c r="BN109" i="25"/>
  <c r="BN61" i="25"/>
  <c r="DW61" i="25"/>
  <c r="BN115" i="25"/>
  <c r="BN107" i="25"/>
  <c r="BN99" i="25"/>
  <c r="BN91" i="25"/>
  <c r="BN83" i="25"/>
  <c r="BN75" i="25"/>
  <c r="BN67" i="25"/>
  <c r="BN59" i="25"/>
  <c r="BN58" i="25"/>
  <c r="BN88" i="25"/>
  <c r="DW63" i="25"/>
  <c r="BN69" i="25"/>
  <c r="DW68" i="25"/>
  <c r="DW60" i="25"/>
  <c r="BN114" i="25"/>
  <c r="BN106" i="25"/>
  <c r="BN98" i="25"/>
  <c r="BN90" i="25"/>
  <c r="BN82" i="25"/>
  <c r="BN74" i="25"/>
  <c r="BN66" i="25"/>
  <c r="BN80" i="25"/>
  <c r="BN101" i="25"/>
  <c r="DW67" i="25"/>
  <c r="DW59" i="25"/>
  <c r="BN113" i="25"/>
  <c r="BN105" i="25"/>
  <c r="BN97" i="25"/>
  <c r="BN89" i="25"/>
  <c r="BN81" i="25"/>
  <c r="BN73" i="25"/>
  <c r="BN65" i="25"/>
  <c r="BN57" i="25"/>
  <c r="BN112" i="25"/>
  <c r="BN64" i="25"/>
  <c r="BN93" i="25"/>
  <c r="DW66" i="25"/>
  <c r="DW58" i="25"/>
  <c r="BN104" i="25"/>
  <c r="BN72" i="25"/>
  <c r="BN85" i="25"/>
  <c r="DW65" i="25"/>
  <c r="DW57" i="25"/>
  <c r="BN111" i="25"/>
  <c r="BN103" i="25"/>
  <c r="BN95" i="25"/>
  <c r="BN87" i="25"/>
  <c r="BN79" i="25"/>
  <c r="BN71" i="25"/>
  <c r="BN63" i="25"/>
  <c r="DW64" i="25"/>
  <c r="BN110" i="25"/>
  <c r="BN102" i="25"/>
  <c r="BN94" i="25"/>
  <c r="BN86" i="25"/>
  <c r="BN78" i="25"/>
  <c r="BN70" i="25"/>
  <c r="BN62" i="25"/>
  <c r="BN77" i="25"/>
  <c r="DO53" i="25"/>
  <c r="DO49" i="25"/>
  <c r="BF57" i="25"/>
  <c r="BF65" i="25"/>
  <c r="BF73" i="25"/>
  <c r="BF81" i="25"/>
  <c r="BF89" i="25"/>
  <c r="BF97" i="25"/>
  <c r="BF105" i="25"/>
  <c r="BF90" i="25"/>
  <c r="BF106" i="25"/>
  <c r="BF51" i="25"/>
  <c r="BF59" i="25"/>
  <c r="BF67" i="25"/>
  <c r="BF83" i="25"/>
  <c r="BF99" i="25"/>
  <c r="DO56" i="25"/>
  <c r="BF84" i="25"/>
  <c r="BF53" i="25"/>
  <c r="BF85" i="25"/>
  <c r="BF49" i="25"/>
  <c r="BF62" i="25"/>
  <c r="BF95" i="25"/>
  <c r="BF80" i="25"/>
  <c r="DO54" i="25"/>
  <c r="BF50" i="25"/>
  <c r="BF58" i="25"/>
  <c r="BF66" i="25"/>
  <c r="BF74" i="25"/>
  <c r="BF82" i="25"/>
  <c r="BF98" i="25"/>
  <c r="BF75" i="25"/>
  <c r="BF107" i="25"/>
  <c r="BF60" i="25"/>
  <c r="BF76" i="25"/>
  <c r="BF108" i="25"/>
  <c r="BF61" i="25"/>
  <c r="DO58" i="25"/>
  <c r="BF102" i="25"/>
  <c r="BF63" i="25"/>
  <c r="BF104" i="25"/>
  <c r="DO55" i="25"/>
  <c r="BF91" i="25"/>
  <c r="BF68" i="25"/>
  <c r="BF100" i="25"/>
  <c r="DO57" i="25"/>
  <c r="BF77" i="25"/>
  <c r="BF93" i="25"/>
  <c r="DO50" i="25"/>
  <c r="BF70" i="25"/>
  <c r="BF94" i="25"/>
  <c r="DO59" i="25"/>
  <c r="BF87" i="25"/>
  <c r="DO52" i="25"/>
  <c r="BF64" i="25"/>
  <c r="BF96" i="25"/>
  <c r="BF52" i="25"/>
  <c r="BF92" i="25"/>
  <c r="BF69" i="25"/>
  <c r="BF101" i="25"/>
  <c r="BF54" i="25"/>
  <c r="BF86" i="25"/>
  <c r="DO51" i="25"/>
  <c r="BF71" i="25"/>
  <c r="BF103" i="25"/>
  <c r="DO60" i="25"/>
  <c r="BF72" i="25"/>
  <c r="BF88" i="25"/>
  <c r="BF78" i="25"/>
  <c r="BF55" i="25"/>
  <c r="BF79" i="25"/>
  <c r="BF56" i="25"/>
  <c r="DZ69" i="25"/>
  <c r="DZ61" i="25"/>
  <c r="BQ115" i="25"/>
  <c r="BQ107" i="25"/>
  <c r="BQ99" i="25"/>
  <c r="BQ91" i="25"/>
  <c r="BQ83" i="25"/>
  <c r="BQ75" i="25"/>
  <c r="BQ67" i="25"/>
  <c r="BQ116" i="25"/>
  <c r="BQ68" i="25"/>
  <c r="DZ68" i="25"/>
  <c r="DZ60" i="25"/>
  <c r="BQ114" i="25"/>
  <c r="BQ106" i="25"/>
  <c r="BQ98" i="25"/>
  <c r="BQ90" i="25"/>
  <c r="BQ82" i="25"/>
  <c r="BQ74" i="25"/>
  <c r="BQ66" i="25"/>
  <c r="BQ108" i="25"/>
  <c r="BQ60" i="25"/>
  <c r="DZ67" i="25"/>
  <c r="BQ113" i="25"/>
  <c r="BQ105" i="25"/>
  <c r="BQ97" i="25"/>
  <c r="BQ89" i="25"/>
  <c r="BQ81" i="25"/>
  <c r="BQ73" i="25"/>
  <c r="BQ65" i="25"/>
  <c r="BQ100" i="25"/>
  <c r="DZ66" i="25"/>
  <c r="BQ112" i="25"/>
  <c r="BQ104" i="25"/>
  <c r="BQ96" i="25"/>
  <c r="BQ88" i="25"/>
  <c r="BQ80" i="25"/>
  <c r="BQ72" i="25"/>
  <c r="BQ64" i="25"/>
  <c r="DZ70" i="25"/>
  <c r="EA70" i="25"/>
  <c r="BQ84" i="25"/>
  <c r="DZ65" i="25"/>
  <c r="BQ119" i="25"/>
  <c r="BR119" i="25"/>
  <c r="BQ111" i="25"/>
  <c r="BQ103" i="25"/>
  <c r="BQ95" i="25"/>
  <c r="BQ87" i="25"/>
  <c r="BQ79" i="25"/>
  <c r="BQ71" i="25"/>
  <c r="BQ63" i="25"/>
  <c r="BQ76" i="25"/>
  <c r="DZ64" i="25"/>
  <c r="BQ118" i="25"/>
  <c r="BR118" i="25" s="1"/>
  <c r="BQ110" i="25"/>
  <c r="BQ102" i="25"/>
  <c r="BQ94" i="25"/>
  <c r="BQ86" i="25"/>
  <c r="BQ78" i="25"/>
  <c r="BQ70" i="25"/>
  <c r="BQ62" i="25"/>
  <c r="DZ71" i="25"/>
  <c r="EA71" i="25"/>
  <c r="DZ63" i="25"/>
  <c r="BQ117" i="25"/>
  <c r="BQ109" i="25"/>
  <c r="BQ101" i="25"/>
  <c r="BQ93" i="25"/>
  <c r="BQ85" i="25"/>
  <c r="BQ77" i="25"/>
  <c r="BQ69" i="25"/>
  <c r="BQ61" i="25"/>
  <c r="DZ62" i="25"/>
  <c r="BQ92" i="25"/>
  <c r="DX67" i="25"/>
  <c r="DX59" i="25"/>
  <c r="BO113" i="25"/>
  <c r="BO105" i="25"/>
  <c r="BO97" i="25"/>
  <c r="BO89" i="25"/>
  <c r="BO81" i="25"/>
  <c r="BO73" i="25"/>
  <c r="BO65" i="25"/>
  <c r="DX60" i="25"/>
  <c r="DX66" i="25"/>
  <c r="DX58" i="25"/>
  <c r="BO112" i="25"/>
  <c r="BO104" i="25"/>
  <c r="BO96" i="25"/>
  <c r="BO88" i="25"/>
  <c r="BO80" i="25"/>
  <c r="BO72" i="25"/>
  <c r="BO64" i="25"/>
  <c r="BO114" i="25"/>
  <c r="BO58" i="25"/>
  <c r="DX65" i="25"/>
  <c r="BO111" i="25"/>
  <c r="BO103" i="25"/>
  <c r="BO95" i="25"/>
  <c r="BO87" i="25"/>
  <c r="BO79" i="25"/>
  <c r="BO71" i="25"/>
  <c r="BO63" i="25"/>
  <c r="BO106" i="25"/>
  <c r="DX64" i="25"/>
  <c r="BO110" i="25"/>
  <c r="BO102" i="25"/>
  <c r="BO94" i="25"/>
  <c r="BO86" i="25"/>
  <c r="BO78" i="25"/>
  <c r="BO70" i="25"/>
  <c r="BO62" i="25"/>
  <c r="BO117" i="25"/>
  <c r="BR117" i="25" s="1"/>
  <c r="BO74" i="25"/>
  <c r="DX63" i="25"/>
  <c r="BO109" i="25"/>
  <c r="BO101" i="25"/>
  <c r="BO93" i="25"/>
  <c r="BO85" i="25"/>
  <c r="BO77" i="25"/>
  <c r="BO69" i="25"/>
  <c r="BO61" i="25"/>
  <c r="BO82" i="25"/>
  <c r="DX62" i="25"/>
  <c r="BO116" i="25"/>
  <c r="BO108" i="25"/>
  <c r="BO100" i="25"/>
  <c r="BO92" i="25"/>
  <c r="BO84" i="25"/>
  <c r="BO76" i="25"/>
  <c r="BO68" i="25"/>
  <c r="BO60" i="25"/>
  <c r="BO90" i="25"/>
  <c r="DX69" i="25"/>
  <c r="DX61" i="25"/>
  <c r="BO115" i="25"/>
  <c r="BO107" i="25"/>
  <c r="BO99" i="25"/>
  <c r="BO91" i="25"/>
  <c r="BO83" i="25"/>
  <c r="BO75" i="25"/>
  <c r="BO67" i="25"/>
  <c r="BO59" i="25"/>
  <c r="DX68" i="25"/>
  <c r="BO98" i="25"/>
  <c r="BO66" i="25"/>
  <c r="DV65" i="25"/>
  <c r="DV57" i="25"/>
  <c r="BM111" i="25"/>
  <c r="BM103" i="25"/>
  <c r="BM95" i="25"/>
  <c r="BM87" i="25"/>
  <c r="BM79" i="25"/>
  <c r="BM71" i="25"/>
  <c r="BM63" i="25"/>
  <c r="BM109" i="25"/>
  <c r="BM93" i="25"/>
  <c r="BM69" i="25"/>
  <c r="BM107" i="25"/>
  <c r="BM67" i="25"/>
  <c r="BM64" i="25"/>
  <c r="DV64" i="25"/>
  <c r="DV56" i="25"/>
  <c r="BM110" i="25"/>
  <c r="BM102" i="25"/>
  <c r="BM94" i="25"/>
  <c r="BM86" i="25"/>
  <c r="BM78" i="25"/>
  <c r="BM70" i="25"/>
  <c r="BM62" i="25"/>
  <c r="BM85" i="25"/>
  <c r="BM61" i="25"/>
  <c r="BM115" i="25"/>
  <c r="BM83" i="25"/>
  <c r="BM80" i="25"/>
  <c r="DV63" i="25"/>
  <c r="BM101" i="25"/>
  <c r="BM77" i="25"/>
  <c r="BM99" i="25"/>
  <c r="BM75" i="25"/>
  <c r="DV66" i="25"/>
  <c r="BM112" i="25"/>
  <c r="BM56" i="25"/>
  <c r="DV62" i="25"/>
  <c r="BM108" i="25"/>
  <c r="BM100" i="25"/>
  <c r="BM92" i="25"/>
  <c r="BM84" i="25"/>
  <c r="BM76" i="25"/>
  <c r="BM68" i="25"/>
  <c r="BM60" i="25"/>
  <c r="DV58" i="25"/>
  <c r="BM104" i="25"/>
  <c r="BM72" i="25"/>
  <c r="DV61" i="25"/>
  <c r="BM91" i="25"/>
  <c r="BM59" i="25"/>
  <c r="BM88" i="25"/>
  <c r="DV60" i="25"/>
  <c r="BM114" i="25"/>
  <c r="BM106" i="25"/>
  <c r="BM98" i="25"/>
  <c r="BM90" i="25"/>
  <c r="BM82" i="25"/>
  <c r="BM74" i="25"/>
  <c r="BM66" i="25"/>
  <c r="BM58" i="25"/>
  <c r="DV67" i="25"/>
  <c r="DV59" i="25"/>
  <c r="BM113" i="25"/>
  <c r="BM105" i="25"/>
  <c r="BM97" i="25"/>
  <c r="BM89" i="25"/>
  <c r="BM81" i="25"/>
  <c r="BM73" i="25"/>
  <c r="BM65" i="25"/>
  <c r="BM57" i="25"/>
  <c r="BM96" i="25"/>
  <c r="BQ150" i="22"/>
  <c r="DU56" i="25"/>
  <c r="DU64" i="25"/>
  <c r="DU62" i="25"/>
  <c r="DU57" i="25"/>
  <c r="DU65" i="25"/>
  <c r="DU59" i="25"/>
  <c r="DU58" i="25"/>
  <c r="DU66" i="25"/>
  <c r="DU55" i="25"/>
  <c r="DU60" i="25"/>
  <c r="DU61" i="25"/>
  <c r="DU63" i="25"/>
  <c r="BL59" i="25"/>
  <c r="BL67" i="25"/>
  <c r="BL75" i="25"/>
  <c r="BL83" i="25"/>
  <c r="BL91" i="25"/>
  <c r="BL99" i="25"/>
  <c r="BL107" i="25"/>
  <c r="BL55" i="25"/>
  <c r="BL56" i="25"/>
  <c r="BL96" i="25"/>
  <c r="BL60" i="25"/>
  <c r="BL68" i="25"/>
  <c r="BL76" i="25"/>
  <c r="BL84" i="25"/>
  <c r="BL92" i="25"/>
  <c r="BL100" i="25"/>
  <c r="BL108" i="25"/>
  <c r="BL72" i="25"/>
  <c r="BL112" i="25"/>
  <c r="BL66" i="25"/>
  <c r="BL106" i="25"/>
  <c r="BL61" i="25"/>
  <c r="BL69" i="25"/>
  <c r="BL77" i="25"/>
  <c r="BL85" i="25"/>
  <c r="BL93" i="25"/>
  <c r="BL101" i="25"/>
  <c r="BL109" i="25"/>
  <c r="BL80" i="25"/>
  <c r="BL74" i="25"/>
  <c r="BL62" i="25"/>
  <c r="BL70" i="25"/>
  <c r="BL78" i="25"/>
  <c r="BL86" i="25"/>
  <c r="BL94" i="25"/>
  <c r="BL102" i="25"/>
  <c r="BL110" i="25"/>
  <c r="BL88" i="25"/>
  <c r="BL82" i="25"/>
  <c r="BL114" i="25"/>
  <c r="BL63" i="25"/>
  <c r="BL71" i="25"/>
  <c r="BL79" i="25"/>
  <c r="BL87" i="25"/>
  <c r="BL95" i="25"/>
  <c r="BL103" i="25"/>
  <c r="BL111" i="25"/>
  <c r="BL64" i="25"/>
  <c r="BL104" i="25"/>
  <c r="BL98" i="25"/>
  <c r="BL57" i="25"/>
  <c r="BL65" i="25"/>
  <c r="BL73" i="25"/>
  <c r="BL81" i="25"/>
  <c r="BL89" i="25"/>
  <c r="BL97" i="25"/>
  <c r="BL105" i="25"/>
  <c r="BL113" i="25"/>
  <c r="BL58" i="25"/>
  <c r="BL90" i="25"/>
  <c r="BQ157" i="22"/>
  <c r="DT59" i="25"/>
  <c r="DT60" i="25"/>
  <c r="DT61" i="25"/>
  <c r="DT62" i="25"/>
  <c r="DT63" i="25"/>
  <c r="DT56" i="25"/>
  <c r="DT57" i="25"/>
  <c r="DT58" i="25"/>
  <c r="DT55" i="25"/>
  <c r="DT64" i="25"/>
  <c r="DT65" i="25"/>
  <c r="DT54" i="25"/>
  <c r="BK62" i="25"/>
  <c r="BK70" i="25"/>
  <c r="BK78" i="25"/>
  <c r="BK86" i="25"/>
  <c r="BK94" i="25"/>
  <c r="BK102" i="25"/>
  <c r="BK110" i="25"/>
  <c r="BK59" i="25"/>
  <c r="BK83" i="25"/>
  <c r="BK107" i="25"/>
  <c r="BK69" i="25"/>
  <c r="BK55" i="25"/>
  <c r="BK63" i="25"/>
  <c r="BK71" i="25"/>
  <c r="BK79" i="25"/>
  <c r="BK87" i="25"/>
  <c r="BK95" i="25"/>
  <c r="BK103" i="25"/>
  <c r="BK111" i="25"/>
  <c r="BK99" i="25"/>
  <c r="BK77" i="25"/>
  <c r="BK56" i="25"/>
  <c r="BK64" i="25"/>
  <c r="BK72" i="25"/>
  <c r="BK80" i="25"/>
  <c r="BK88" i="25"/>
  <c r="BK96" i="25"/>
  <c r="BK104" i="25"/>
  <c r="BK112" i="25"/>
  <c r="BK67" i="25"/>
  <c r="BK93" i="25"/>
  <c r="BK57" i="25"/>
  <c r="BK65" i="25"/>
  <c r="BK73" i="25"/>
  <c r="BK81" i="25"/>
  <c r="BK89" i="25"/>
  <c r="BK97" i="25"/>
  <c r="BK105" i="25"/>
  <c r="BK113" i="25"/>
  <c r="BR113" i="25" s="1"/>
  <c r="BK75" i="25"/>
  <c r="BK101" i="25"/>
  <c r="BK58" i="25"/>
  <c r="BK66" i="25"/>
  <c r="BK74" i="25"/>
  <c r="BK82" i="25"/>
  <c r="BK90" i="25"/>
  <c r="BK98" i="25"/>
  <c r="BK106" i="25"/>
  <c r="BK54" i="25"/>
  <c r="BK91" i="25"/>
  <c r="BK109" i="25"/>
  <c r="BK60" i="25"/>
  <c r="BK68" i="25"/>
  <c r="BK76" i="25"/>
  <c r="BK84" i="25"/>
  <c r="BK92" i="25"/>
  <c r="BK100" i="25"/>
  <c r="BK108" i="25"/>
  <c r="BK61" i="25"/>
  <c r="BK85" i="25"/>
  <c r="DL51" i="25"/>
  <c r="BC51" i="25"/>
  <c r="BC59" i="25"/>
  <c r="BC67" i="25"/>
  <c r="BC75" i="25"/>
  <c r="BC83" i="25"/>
  <c r="BC91" i="25"/>
  <c r="BC99" i="25"/>
  <c r="DL52" i="25"/>
  <c r="BC52" i="25"/>
  <c r="BC60" i="25"/>
  <c r="BC68" i="25"/>
  <c r="BC76" i="25"/>
  <c r="BC92" i="25"/>
  <c r="BC100" i="25"/>
  <c r="BC57" i="25"/>
  <c r="BC97" i="25"/>
  <c r="DL50" i="25"/>
  <c r="BC50" i="25"/>
  <c r="BC98" i="25"/>
  <c r="BC84" i="25"/>
  <c r="DL53" i="25"/>
  <c r="BC53" i="25"/>
  <c r="BC61" i="25"/>
  <c r="BC69" i="25"/>
  <c r="BC77" i="25"/>
  <c r="BC85" i="25"/>
  <c r="BC93" i="25"/>
  <c r="BC101" i="25"/>
  <c r="BC54" i="25"/>
  <c r="BC70" i="25"/>
  <c r="BC86" i="25"/>
  <c r="BC102" i="25"/>
  <c r="BC49" i="25"/>
  <c r="BC65" i="25"/>
  <c r="BC105" i="25"/>
  <c r="BC58" i="25"/>
  <c r="BC90" i="25"/>
  <c r="DL54" i="25"/>
  <c r="BC62" i="25"/>
  <c r="BC78" i="25"/>
  <c r="BC94" i="25"/>
  <c r="BC103" i="25"/>
  <c r="DL49" i="25"/>
  <c r="BC89" i="25"/>
  <c r="BC82" i="25"/>
  <c r="DL47" i="25"/>
  <c r="DL55" i="25"/>
  <c r="BC47" i="25"/>
  <c r="BC55" i="25"/>
  <c r="BC63" i="25"/>
  <c r="BC71" i="25"/>
  <c r="BC79" i="25"/>
  <c r="BC87" i="25"/>
  <c r="BC95" i="25"/>
  <c r="DL57" i="25"/>
  <c r="BC73" i="25"/>
  <c r="DL46" i="25"/>
  <c r="BC66" i="25"/>
  <c r="BC46" i="25"/>
  <c r="DL48" i="25"/>
  <c r="DL56" i="25"/>
  <c r="BC48" i="25"/>
  <c r="BC56" i="25"/>
  <c r="BC64" i="25"/>
  <c r="BC72" i="25"/>
  <c r="BC80" i="25"/>
  <c r="BC88" i="25"/>
  <c r="BC96" i="25"/>
  <c r="BC104" i="25"/>
  <c r="BC81" i="25"/>
  <c r="BC74" i="25"/>
  <c r="DM48" i="25"/>
  <c r="DM56" i="25"/>
  <c r="BD48" i="25"/>
  <c r="BD56" i="25"/>
  <c r="BD64" i="25"/>
  <c r="BD72" i="25"/>
  <c r="BD80" i="25"/>
  <c r="BD88" i="25"/>
  <c r="BD96" i="25"/>
  <c r="BD104" i="25"/>
  <c r="DM57" i="25"/>
  <c r="BD57" i="25"/>
  <c r="BD65" i="25"/>
  <c r="BD81" i="25"/>
  <c r="BD89" i="25"/>
  <c r="BD97" i="25"/>
  <c r="BD54" i="25"/>
  <c r="BD102" i="25"/>
  <c r="BD79" i="25"/>
  <c r="DM49" i="25"/>
  <c r="BD49" i="25"/>
  <c r="BD73" i="25"/>
  <c r="BD105" i="25"/>
  <c r="BD70" i="25"/>
  <c r="BD95" i="25"/>
  <c r="DM50" i="25"/>
  <c r="DM58" i="25"/>
  <c r="BD50" i="25"/>
  <c r="BD58" i="25"/>
  <c r="BD66" i="25"/>
  <c r="BD74" i="25"/>
  <c r="BD82" i="25"/>
  <c r="BD90" i="25"/>
  <c r="BD98" i="25"/>
  <c r="BD106" i="25"/>
  <c r="BD83" i="25"/>
  <c r="BD99" i="25"/>
  <c r="DM54" i="25"/>
  <c r="BD78" i="25"/>
  <c r="DM55" i="25"/>
  <c r="BD71" i="25"/>
  <c r="DM51" i="25"/>
  <c r="DM47" i="25"/>
  <c r="BD51" i="25"/>
  <c r="BD59" i="25"/>
  <c r="BD67" i="25"/>
  <c r="BD75" i="25"/>
  <c r="BD91" i="25"/>
  <c r="BD47" i="25"/>
  <c r="BD94" i="25"/>
  <c r="BD55" i="25"/>
  <c r="BD103" i="25"/>
  <c r="DM52" i="25"/>
  <c r="BD52" i="25"/>
  <c r="BD60" i="25"/>
  <c r="BD68" i="25"/>
  <c r="BD76" i="25"/>
  <c r="BD84" i="25"/>
  <c r="BD92" i="25"/>
  <c r="BD100" i="25"/>
  <c r="BD86" i="25"/>
  <c r="BD87" i="25"/>
  <c r="DM53" i="25"/>
  <c r="BD53" i="25"/>
  <c r="BD61" i="25"/>
  <c r="BD69" i="25"/>
  <c r="BD77" i="25"/>
  <c r="BD85" i="25"/>
  <c r="BD93" i="25"/>
  <c r="BD101" i="25"/>
  <c r="BD62" i="25"/>
  <c r="BD63" i="25"/>
  <c r="DS54" i="25"/>
  <c r="DS62" i="25"/>
  <c r="DS59" i="25"/>
  <c r="DS61" i="25"/>
  <c r="DS55" i="25"/>
  <c r="DS63" i="25"/>
  <c r="DS56" i="25"/>
  <c r="DS64" i="25"/>
  <c r="DS57" i="25"/>
  <c r="DS53" i="25"/>
  <c r="DS58" i="25"/>
  <c r="DS60" i="25"/>
  <c r="BJ54" i="25"/>
  <c r="BJ62" i="25"/>
  <c r="BJ70" i="25"/>
  <c r="BJ78" i="25"/>
  <c r="BJ86" i="25"/>
  <c r="BJ94" i="25"/>
  <c r="BJ102" i="25"/>
  <c r="BJ110" i="25"/>
  <c r="BJ74" i="25"/>
  <c r="BJ83" i="25"/>
  <c r="BJ92" i="25"/>
  <c r="BJ55" i="25"/>
  <c r="BJ63" i="25"/>
  <c r="BJ71" i="25"/>
  <c r="BJ79" i="25"/>
  <c r="BJ87" i="25"/>
  <c r="BJ95" i="25"/>
  <c r="BJ103" i="25"/>
  <c r="BJ111" i="25"/>
  <c r="BJ66" i="25"/>
  <c r="BJ59" i="25"/>
  <c r="BJ99" i="25"/>
  <c r="BJ100" i="25"/>
  <c r="BJ56" i="25"/>
  <c r="BJ64" i="25"/>
  <c r="BJ72" i="25"/>
  <c r="BJ80" i="25"/>
  <c r="BJ88" i="25"/>
  <c r="BJ96" i="25"/>
  <c r="BJ104" i="25"/>
  <c r="BJ112" i="25"/>
  <c r="BJ82" i="25"/>
  <c r="BJ106" i="25"/>
  <c r="BJ75" i="25"/>
  <c r="BJ84" i="25"/>
  <c r="BJ57" i="25"/>
  <c r="BJ65" i="25"/>
  <c r="BJ73" i="25"/>
  <c r="BJ81" i="25"/>
  <c r="BJ89" i="25"/>
  <c r="BJ97" i="25"/>
  <c r="BJ105" i="25"/>
  <c r="BJ53" i="25"/>
  <c r="BJ90" i="25"/>
  <c r="BJ91" i="25"/>
  <c r="BJ60" i="25"/>
  <c r="BJ68" i="25"/>
  <c r="BJ76" i="25"/>
  <c r="BJ61" i="25"/>
  <c r="BJ69" i="25"/>
  <c r="BJ77" i="25"/>
  <c r="BJ85" i="25"/>
  <c r="BJ93" i="25"/>
  <c r="BJ101" i="25"/>
  <c r="BJ109" i="25"/>
  <c r="BJ58" i="25"/>
  <c r="BJ98" i="25"/>
  <c r="BJ67" i="25"/>
  <c r="BJ107" i="25"/>
  <c r="BJ108" i="25"/>
  <c r="DR57" i="25"/>
  <c r="DR58" i="25"/>
  <c r="DR62" i="25"/>
  <c r="DR63" i="25"/>
  <c r="DR52" i="25"/>
  <c r="DR59" i="25"/>
  <c r="DR54" i="25"/>
  <c r="DR60" i="25"/>
  <c r="DR61" i="25"/>
  <c r="DR55" i="25"/>
  <c r="DR56" i="25"/>
  <c r="DR53" i="25"/>
  <c r="BQ154" i="22"/>
  <c r="BQ156" i="22"/>
  <c r="BQ152" i="22"/>
  <c r="BQ155" i="22"/>
  <c r="BQ151" i="22"/>
  <c r="BE49" i="25"/>
  <c r="BE53" i="25"/>
  <c r="BE57" i="25"/>
  <c r="BE61" i="25"/>
  <c r="BE65" i="25"/>
  <c r="BE69" i="25"/>
  <c r="BE73" i="25"/>
  <c r="BE77" i="25"/>
  <c r="BE81" i="25"/>
  <c r="BE85" i="25"/>
  <c r="BE89" i="25"/>
  <c r="BE93" i="25"/>
  <c r="BE97" i="25"/>
  <c r="BE101" i="25"/>
  <c r="BE105" i="25"/>
  <c r="DN50" i="25"/>
  <c r="DN54" i="25"/>
  <c r="DN58" i="25"/>
  <c r="BE50" i="25"/>
  <c r="BE54" i="25"/>
  <c r="BE58" i="25"/>
  <c r="BE62" i="25"/>
  <c r="BE66" i="25"/>
  <c r="BE70" i="25"/>
  <c r="BE74" i="25"/>
  <c r="BE78" i="25"/>
  <c r="BE82" i="25"/>
  <c r="BE86" i="25"/>
  <c r="BE90" i="25"/>
  <c r="BE94" i="25"/>
  <c r="BE98" i="25"/>
  <c r="BE102" i="25"/>
  <c r="BE106" i="25"/>
  <c r="DN51" i="25"/>
  <c r="DN55" i="25"/>
  <c r="DN59" i="25"/>
  <c r="BE51" i="25"/>
  <c r="BE55" i="25"/>
  <c r="BE59" i="25"/>
  <c r="BE63" i="25"/>
  <c r="BE67" i="25"/>
  <c r="BE71" i="25"/>
  <c r="BE75" i="25"/>
  <c r="BE79" i="25"/>
  <c r="BE83" i="25"/>
  <c r="BE87" i="25"/>
  <c r="BE91" i="25"/>
  <c r="BE95" i="25"/>
  <c r="BE99" i="25"/>
  <c r="BE103" i="25"/>
  <c r="BE107" i="25"/>
  <c r="DN52" i="25"/>
  <c r="DN56" i="25"/>
  <c r="DN48" i="25"/>
  <c r="BE52" i="25"/>
  <c r="BE56" i="25"/>
  <c r="BE60" i="25"/>
  <c r="BE64" i="25"/>
  <c r="BE68" i="25"/>
  <c r="BE72" i="25"/>
  <c r="BE76" i="25"/>
  <c r="BE80" i="25"/>
  <c r="BE84" i="25"/>
  <c r="BE88" i="25"/>
  <c r="BE92" i="25"/>
  <c r="BE96" i="25"/>
  <c r="BE100" i="25"/>
  <c r="BE104" i="25"/>
  <c r="BE48" i="25"/>
  <c r="DN49" i="25"/>
  <c r="DN53" i="25"/>
  <c r="DN57" i="25"/>
  <c r="DD40" i="25"/>
  <c r="DK47" i="25"/>
  <c r="DK51" i="25"/>
  <c r="DK55" i="25"/>
  <c r="DK52" i="25"/>
  <c r="DK46" i="25"/>
  <c r="DK48" i="25"/>
  <c r="DK56" i="25"/>
  <c r="DK50" i="25"/>
  <c r="DK49" i="25"/>
  <c r="DK53" i="25"/>
  <c r="DK45" i="25"/>
  <c r="DK54" i="25"/>
  <c r="DJ46" i="25"/>
  <c r="DJ50" i="25"/>
  <c r="DJ54" i="25"/>
  <c r="DJ49" i="25"/>
  <c r="DJ47" i="25"/>
  <c r="DJ51" i="25"/>
  <c r="DJ55" i="25"/>
  <c r="DJ45" i="25"/>
  <c r="DJ44" i="25"/>
  <c r="DJ48" i="25"/>
  <c r="DJ52" i="25"/>
  <c r="DJ53" i="25"/>
  <c r="DI54" i="25"/>
  <c r="DI44" i="25"/>
  <c r="DI48" i="25"/>
  <c r="DI52" i="25"/>
  <c r="DI43" i="25"/>
  <c r="DI45" i="25"/>
  <c r="DI49" i="25"/>
  <c r="DI53" i="25"/>
  <c r="DI47" i="25"/>
  <c r="DI46" i="25"/>
  <c r="DI50" i="25"/>
  <c r="DI51" i="25"/>
  <c r="BA48" i="25"/>
  <c r="BA52" i="25"/>
  <c r="BA56" i="25"/>
  <c r="BA60" i="25"/>
  <c r="BA64" i="25"/>
  <c r="BA68" i="25"/>
  <c r="BA72" i="25"/>
  <c r="BA76" i="25"/>
  <c r="BA80" i="25"/>
  <c r="BA84" i="25"/>
  <c r="BA88" i="25"/>
  <c r="BA92" i="25"/>
  <c r="BA96" i="25"/>
  <c r="BA100" i="25"/>
  <c r="BA44" i="25"/>
  <c r="BA47" i="25"/>
  <c r="BA59" i="25"/>
  <c r="BA71" i="25"/>
  <c r="BA75" i="25"/>
  <c r="BA87" i="25"/>
  <c r="BA95" i="25"/>
  <c r="BA45" i="25"/>
  <c r="BA49" i="25"/>
  <c r="BA53" i="25"/>
  <c r="BA57" i="25"/>
  <c r="BA61" i="25"/>
  <c r="BA65" i="25"/>
  <c r="BA69" i="25"/>
  <c r="BA73" i="25"/>
  <c r="BA77" i="25"/>
  <c r="BA81" i="25"/>
  <c r="BA85" i="25"/>
  <c r="BA89" i="25"/>
  <c r="BA93" i="25"/>
  <c r="BA97" i="25"/>
  <c r="BA101" i="25"/>
  <c r="BA51" i="25"/>
  <c r="BA63" i="25"/>
  <c r="BA79" i="25"/>
  <c r="BA91" i="25"/>
  <c r="BA103" i="25"/>
  <c r="BA46" i="25"/>
  <c r="BA50" i="25"/>
  <c r="BA54" i="25"/>
  <c r="BA58" i="25"/>
  <c r="BA62" i="25"/>
  <c r="BA66" i="25"/>
  <c r="BA70" i="25"/>
  <c r="BA74" i="25"/>
  <c r="BA78" i="25"/>
  <c r="BA82" i="25"/>
  <c r="BA86" i="25"/>
  <c r="BA90" i="25"/>
  <c r="BA94" i="25"/>
  <c r="BA98" i="25"/>
  <c r="BA102" i="25"/>
  <c r="BA55" i="25"/>
  <c r="BA67" i="25"/>
  <c r="BA83" i="25"/>
  <c r="BA99" i="25"/>
  <c r="AZ44" i="25"/>
  <c r="AZ48" i="25"/>
  <c r="AZ52" i="25"/>
  <c r="AZ56" i="25"/>
  <c r="AZ60" i="25"/>
  <c r="AZ64" i="25"/>
  <c r="AZ68" i="25"/>
  <c r="AZ72" i="25"/>
  <c r="AZ76" i="25"/>
  <c r="AZ80" i="25"/>
  <c r="AZ84" i="25"/>
  <c r="AZ88" i="25"/>
  <c r="AZ92" i="25"/>
  <c r="AZ96" i="25"/>
  <c r="AZ100" i="25"/>
  <c r="AZ47" i="25"/>
  <c r="AZ55" i="25"/>
  <c r="AZ67" i="25"/>
  <c r="AZ75" i="25"/>
  <c r="AZ83" i="25"/>
  <c r="AZ95" i="25"/>
  <c r="AZ45" i="25"/>
  <c r="AZ49" i="25"/>
  <c r="AZ53" i="25"/>
  <c r="AZ57" i="25"/>
  <c r="AZ61" i="25"/>
  <c r="AZ65" i="25"/>
  <c r="AZ69" i="25"/>
  <c r="AZ73" i="25"/>
  <c r="AZ77" i="25"/>
  <c r="AZ81" i="25"/>
  <c r="AZ85" i="25"/>
  <c r="AZ89" i="25"/>
  <c r="AZ93" i="25"/>
  <c r="AZ97" i="25"/>
  <c r="AZ101" i="25"/>
  <c r="AZ43" i="25"/>
  <c r="AZ59" i="25"/>
  <c r="AZ79" i="25"/>
  <c r="AZ91" i="25"/>
  <c r="AZ46" i="25"/>
  <c r="AZ50" i="25"/>
  <c r="AZ54" i="25"/>
  <c r="AZ58" i="25"/>
  <c r="AZ62" i="25"/>
  <c r="AZ66" i="25"/>
  <c r="AZ70" i="25"/>
  <c r="AZ74" i="25"/>
  <c r="AZ78" i="25"/>
  <c r="AZ82" i="25"/>
  <c r="AZ86" i="25"/>
  <c r="AZ90" i="25"/>
  <c r="AZ94" i="25"/>
  <c r="AZ98" i="25"/>
  <c r="AZ102" i="25"/>
  <c r="AZ51" i="25"/>
  <c r="AZ63" i="25"/>
  <c r="AZ71" i="25"/>
  <c r="AZ87" i="25"/>
  <c r="AZ99" i="25"/>
  <c r="BB48" i="25"/>
  <c r="BB52" i="25"/>
  <c r="BB56" i="25"/>
  <c r="BB60" i="25"/>
  <c r="BB64" i="25"/>
  <c r="BB68" i="25"/>
  <c r="BB72" i="25"/>
  <c r="BB76" i="25"/>
  <c r="BB80" i="25"/>
  <c r="BB84" i="25"/>
  <c r="BB88" i="25"/>
  <c r="BB92" i="25"/>
  <c r="BB96" i="25"/>
  <c r="BB100" i="25"/>
  <c r="BB104" i="25"/>
  <c r="BB59" i="25"/>
  <c r="BB71" i="25"/>
  <c r="BB79" i="25"/>
  <c r="BB91" i="25"/>
  <c r="BB103" i="25"/>
  <c r="BB49" i="25"/>
  <c r="BB53" i="25"/>
  <c r="BB57" i="25"/>
  <c r="BB61" i="25"/>
  <c r="BB65" i="25"/>
  <c r="BB69" i="25"/>
  <c r="BB73" i="25"/>
  <c r="BB77" i="25"/>
  <c r="BB81" i="25"/>
  <c r="BB85" i="25"/>
  <c r="BB89" i="25"/>
  <c r="BB93" i="25"/>
  <c r="BB97" i="25"/>
  <c r="BB101" i="25"/>
  <c r="BB47" i="25"/>
  <c r="BB55" i="25"/>
  <c r="BB67" i="25"/>
  <c r="BB75" i="25"/>
  <c r="BB87" i="25"/>
  <c r="BB99" i="25"/>
  <c r="BB45" i="25"/>
  <c r="BB46" i="25"/>
  <c r="BB50" i="25"/>
  <c r="BB54" i="25"/>
  <c r="BB58" i="25"/>
  <c r="BB62" i="25"/>
  <c r="BB66" i="25"/>
  <c r="BB70" i="25"/>
  <c r="BB74" i="25"/>
  <c r="BB78" i="25"/>
  <c r="BB82" i="25"/>
  <c r="BB86" i="25"/>
  <c r="BB90" i="25"/>
  <c r="BB94" i="25"/>
  <c r="BB98" i="25"/>
  <c r="BB102" i="25"/>
  <c r="BB51" i="25"/>
  <c r="BB63" i="25"/>
  <c r="BB83" i="25"/>
  <c r="BB95" i="25"/>
  <c r="AT42" i="25"/>
  <c r="AP67" i="25"/>
  <c r="AT77" i="25"/>
  <c r="AU89" i="25"/>
  <c r="AP39" i="25"/>
  <c r="AX64" i="25"/>
  <c r="AQ80" i="25"/>
  <c r="AY74" i="25"/>
  <c r="AP88" i="25"/>
  <c r="AP60" i="25"/>
  <c r="AT65" i="25"/>
  <c r="AX96" i="25"/>
  <c r="AX52" i="25"/>
  <c r="AP82" i="25"/>
  <c r="AP54" i="25"/>
  <c r="AT37" i="25"/>
  <c r="AT54" i="25"/>
  <c r="AX84" i="25"/>
  <c r="AP75" i="25"/>
  <c r="AP46" i="25"/>
  <c r="AT86" i="25"/>
  <c r="AT45" i="25"/>
  <c r="AX73" i="25"/>
  <c r="AP92" i="25"/>
  <c r="AP78" i="25"/>
  <c r="AP64" i="25"/>
  <c r="AP50" i="25"/>
  <c r="AT81" i="25"/>
  <c r="AT61" i="25"/>
  <c r="AT38" i="25"/>
  <c r="AX89" i="25"/>
  <c r="AX68" i="25"/>
  <c r="AX48" i="25"/>
  <c r="AP86" i="25"/>
  <c r="AP71" i="25"/>
  <c r="AP56" i="25"/>
  <c r="AP43" i="25"/>
  <c r="AT93" i="25"/>
  <c r="AT70" i="25"/>
  <c r="AT49" i="25"/>
  <c r="AX100" i="25"/>
  <c r="AX80" i="25"/>
  <c r="AX57" i="25"/>
  <c r="AP87" i="25"/>
  <c r="AP80" i="25"/>
  <c r="AP72" i="25"/>
  <c r="AP66" i="25"/>
  <c r="AP59" i="25"/>
  <c r="AP51" i="25"/>
  <c r="AP44" i="25"/>
  <c r="AP36" i="25"/>
  <c r="AT94" i="25"/>
  <c r="AT85" i="25"/>
  <c r="AT73" i="25"/>
  <c r="AT62" i="25"/>
  <c r="AT53" i="25"/>
  <c r="AT41" i="25"/>
  <c r="AX97" i="25"/>
  <c r="AX88" i="25"/>
  <c r="AX76" i="25"/>
  <c r="AX65" i="25"/>
  <c r="AX56" i="25"/>
  <c r="AX44" i="25"/>
  <c r="AP91" i="25"/>
  <c r="AP83" i="25"/>
  <c r="AP76" i="25"/>
  <c r="AP70" i="25"/>
  <c r="AP62" i="25"/>
  <c r="AP55" i="25"/>
  <c r="AP48" i="25"/>
  <c r="AP40" i="25"/>
  <c r="AR75" i="25"/>
  <c r="AT89" i="25"/>
  <c r="AT78" i="25"/>
  <c r="AT69" i="25"/>
  <c r="AT57" i="25"/>
  <c r="AT46" i="25"/>
  <c r="AX92" i="25"/>
  <c r="AX81" i="25"/>
  <c r="AX72" i="25"/>
  <c r="AX60" i="25"/>
  <c r="AX49" i="25"/>
  <c r="AN77" i="25"/>
  <c r="AV86" i="25"/>
  <c r="AN37" i="25"/>
  <c r="AN71" i="25"/>
  <c r="AN55" i="25"/>
  <c r="AQ48" i="25"/>
  <c r="AU68" i="25"/>
  <c r="AR43" i="25"/>
  <c r="AV54" i="25"/>
  <c r="AN53" i="25"/>
  <c r="AR91" i="25"/>
  <c r="AV98" i="25"/>
  <c r="CY41" i="25"/>
  <c r="AQ90" i="25"/>
  <c r="AQ37" i="25"/>
  <c r="AU78" i="25"/>
  <c r="AY58" i="25"/>
  <c r="AQ58" i="25"/>
  <c r="AN87" i="25"/>
  <c r="AN69" i="25"/>
  <c r="AN45" i="25"/>
  <c r="AR63" i="25"/>
  <c r="AV70" i="25"/>
  <c r="AN85" i="25"/>
  <c r="AN61" i="25"/>
  <c r="AN39" i="25"/>
  <c r="AQ69" i="25"/>
  <c r="AR35" i="25"/>
  <c r="AR59" i="25"/>
  <c r="AU54" i="25"/>
  <c r="AV66" i="25"/>
  <c r="AY90" i="25"/>
  <c r="AP90" i="25"/>
  <c r="AP84" i="25"/>
  <c r="AP79" i="25"/>
  <c r="AP74" i="25"/>
  <c r="AP68" i="25"/>
  <c r="AP63" i="25"/>
  <c r="AP58" i="25"/>
  <c r="AP52" i="25"/>
  <c r="AP47" i="25"/>
  <c r="AP42" i="25"/>
  <c r="AT90" i="25"/>
  <c r="AT82" i="25"/>
  <c r="AT74" i="25"/>
  <c r="AT66" i="25"/>
  <c r="AT58" i="25"/>
  <c r="AT50" i="25"/>
  <c r="AX41" i="25"/>
  <c r="AX93" i="25"/>
  <c r="AX85" i="25"/>
  <c r="AX77" i="25"/>
  <c r="AX69" i="25"/>
  <c r="AX61" i="25"/>
  <c r="AX53" i="25"/>
  <c r="DG43" i="25"/>
  <c r="AX42" i="25"/>
  <c r="AX46" i="25"/>
  <c r="AX50" i="25"/>
  <c r="AX54" i="25"/>
  <c r="AX58" i="25"/>
  <c r="AX62" i="25"/>
  <c r="AX66" i="25"/>
  <c r="AX70" i="25"/>
  <c r="AX74" i="25"/>
  <c r="AX78" i="25"/>
  <c r="AX82" i="25"/>
  <c r="AX86" i="25"/>
  <c r="AX90" i="25"/>
  <c r="AX94" i="25"/>
  <c r="AX98" i="25"/>
  <c r="DG44" i="25"/>
  <c r="AX43" i="25"/>
  <c r="AX47" i="25"/>
  <c r="AX51" i="25"/>
  <c r="AX55" i="25"/>
  <c r="AX59" i="25"/>
  <c r="AX63" i="25"/>
  <c r="AX67" i="25"/>
  <c r="AX71" i="25"/>
  <c r="AX75" i="25"/>
  <c r="AX79" i="25"/>
  <c r="AX83" i="25"/>
  <c r="AX87" i="25"/>
  <c r="AX91" i="25"/>
  <c r="AX95" i="25"/>
  <c r="AX99" i="25"/>
  <c r="DC39" i="25"/>
  <c r="AT39" i="25"/>
  <c r="AT43" i="25"/>
  <c r="AT47" i="25"/>
  <c r="AT51" i="25"/>
  <c r="AT55" i="25"/>
  <c r="AT59" i="25"/>
  <c r="AT63" i="25"/>
  <c r="AT67" i="25"/>
  <c r="AT71" i="25"/>
  <c r="AT75" i="25"/>
  <c r="AT79" i="25"/>
  <c r="AT83" i="25"/>
  <c r="AT87" i="25"/>
  <c r="AT91" i="25"/>
  <c r="AT95" i="25"/>
  <c r="AT40" i="25"/>
  <c r="AT44" i="25"/>
  <c r="AT48" i="25"/>
  <c r="AT52" i="25"/>
  <c r="AT56" i="25"/>
  <c r="AT60" i="25"/>
  <c r="AT64" i="25"/>
  <c r="AT68" i="25"/>
  <c r="AT72" i="25"/>
  <c r="AT76" i="25"/>
  <c r="AT80" i="25"/>
  <c r="AT84" i="25"/>
  <c r="AT88" i="25"/>
  <c r="AT92" i="25"/>
  <c r="AT96" i="25"/>
  <c r="CY35" i="25"/>
  <c r="AP37" i="25"/>
  <c r="AP41" i="25"/>
  <c r="AP45" i="25"/>
  <c r="AP49" i="25"/>
  <c r="AP53" i="25"/>
  <c r="AP57" i="25"/>
  <c r="AP61" i="25"/>
  <c r="AP65" i="25"/>
  <c r="AP69" i="25"/>
  <c r="AP73" i="25"/>
  <c r="AP77" i="25"/>
  <c r="AP81" i="25"/>
  <c r="AP85" i="25"/>
  <c r="AP89" i="25"/>
  <c r="AP33" i="25"/>
  <c r="AP34" i="25"/>
  <c r="AP38" i="25"/>
  <c r="AN79" i="25"/>
  <c r="AN63" i="25"/>
  <c r="AN47" i="25"/>
  <c r="AR79" i="25"/>
  <c r="AR47" i="25"/>
  <c r="AV82" i="25"/>
  <c r="AV50" i="25"/>
  <c r="AO75" i="25"/>
  <c r="AQ74" i="25"/>
  <c r="AQ53" i="25"/>
  <c r="AU94" i="25"/>
  <c r="AU73" i="25"/>
  <c r="AU46" i="25"/>
  <c r="AY98" i="25"/>
  <c r="AY66" i="25"/>
  <c r="AQ85" i="25"/>
  <c r="AQ64" i="25"/>
  <c r="AQ42" i="25"/>
  <c r="AU84" i="25"/>
  <c r="AU62" i="25"/>
  <c r="AY82" i="25"/>
  <c r="AY50" i="25"/>
  <c r="DC40" i="25"/>
  <c r="AQ88" i="25"/>
  <c r="AQ77" i="25"/>
  <c r="AQ66" i="25"/>
  <c r="AQ56" i="25"/>
  <c r="AQ45" i="25"/>
  <c r="AU97" i="25"/>
  <c r="AU86" i="25"/>
  <c r="AU76" i="25"/>
  <c r="AU65" i="25"/>
  <c r="AU50" i="25"/>
  <c r="AY94" i="25"/>
  <c r="AY78" i="25"/>
  <c r="AY62" i="25"/>
  <c r="AY46" i="25"/>
  <c r="CZ38" i="25"/>
  <c r="AQ93" i="25"/>
  <c r="AQ82" i="25"/>
  <c r="AQ72" i="25"/>
  <c r="AQ61" i="25"/>
  <c r="AQ50" i="25"/>
  <c r="AQ40" i="25"/>
  <c r="AU92" i="25"/>
  <c r="AU81" i="25"/>
  <c r="AU70" i="25"/>
  <c r="AU58" i="25"/>
  <c r="AU42" i="25"/>
  <c r="AY42" i="25"/>
  <c r="AY86" i="25"/>
  <c r="AY70" i="25"/>
  <c r="AY54" i="25"/>
  <c r="DE42" i="25"/>
  <c r="AO83" i="25"/>
  <c r="AS46" i="25"/>
  <c r="CZ45" i="25"/>
  <c r="DC45" i="25"/>
  <c r="DD42" i="25"/>
  <c r="DG45" i="25"/>
  <c r="AO60" i="25"/>
  <c r="AS88" i="25"/>
  <c r="CY40" i="25"/>
  <c r="CZ37" i="25"/>
  <c r="DD38" i="25"/>
  <c r="DG41" i="25"/>
  <c r="DH50" i="25"/>
  <c r="AO91" i="25"/>
  <c r="AO39" i="25"/>
  <c r="AS67" i="25"/>
  <c r="AW92" i="25"/>
  <c r="CZ34" i="25"/>
  <c r="DC48" i="25"/>
  <c r="DD45" i="25"/>
  <c r="DG52" i="25"/>
  <c r="DH49" i="25"/>
  <c r="CX39" i="25"/>
  <c r="AO81" i="25"/>
  <c r="AO58" i="25"/>
  <c r="AO36" i="25"/>
  <c r="AS64" i="25"/>
  <c r="CW42" i="25"/>
  <c r="AN31" i="25"/>
  <c r="AN83" i="25"/>
  <c r="AN75" i="25"/>
  <c r="AN67" i="25"/>
  <c r="AN59" i="25"/>
  <c r="AN51" i="25"/>
  <c r="AN43" i="25"/>
  <c r="AN35" i="25"/>
  <c r="AO87" i="25"/>
  <c r="AO79" i="25"/>
  <c r="AO71" i="25"/>
  <c r="AO50" i="25"/>
  <c r="AR87" i="25"/>
  <c r="AR71" i="25"/>
  <c r="AR55" i="25"/>
  <c r="AR39" i="25"/>
  <c r="AS78" i="25"/>
  <c r="AS56" i="25"/>
  <c r="AV94" i="25"/>
  <c r="AV78" i="25"/>
  <c r="AV62" i="25"/>
  <c r="AV46" i="25"/>
  <c r="AW60" i="25"/>
  <c r="CW34" i="25"/>
  <c r="CY33" i="25"/>
  <c r="CY37" i="25"/>
  <c r="CZ42" i="25"/>
  <c r="DA46" i="25"/>
  <c r="DB39" i="25"/>
  <c r="DC44" i="25"/>
  <c r="DD49" i="25"/>
  <c r="DD41" i="25"/>
  <c r="DF47" i="25"/>
  <c r="DG49" i="25"/>
  <c r="DH42" i="25"/>
  <c r="DH46" i="25"/>
  <c r="DB47" i="25"/>
  <c r="AO89" i="25"/>
  <c r="AO73" i="25"/>
  <c r="AS86" i="25"/>
  <c r="AS43" i="25"/>
  <c r="AW84" i="25"/>
  <c r="CX35" i="25"/>
  <c r="DB43" i="25"/>
  <c r="DF51" i="25"/>
  <c r="AN89" i="25"/>
  <c r="AN81" i="25"/>
  <c r="AN73" i="25"/>
  <c r="AN65" i="25"/>
  <c r="AN57" i="25"/>
  <c r="AN49" i="25"/>
  <c r="AN41" i="25"/>
  <c r="AN33" i="25"/>
  <c r="AO85" i="25"/>
  <c r="AO77" i="25"/>
  <c r="AO68" i="25"/>
  <c r="AO47" i="25"/>
  <c r="AR83" i="25"/>
  <c r="AR67" i="25"/>
  <c r="AR51" i="25"/>
  <c r="AS36" i="25"/>
  <c r="AS75" i="25"/>
  <c r="AV90" i="25"/>
  <c r="AV74" i="25"/>
  <c r="AV58" i="25"/>
  <c r="AV42" i="25"/>
  <c r="CY44" i="25"/>
  <c r="CY36" i="25"/>
  <c r="CZ41" i="25"/>
  <c r="DA38" i="25"/>
  <c r="DC37" i="25"/>
  <c r="DC41" i="25"/>
  <c r="DD46" i="25"/>
  <c r="DE50" i="25"/>
  <c r="DG48" i="25"/>
  <c r="DH53" i="25"/>
  <c r="DH45" i="25"/>
  <c r="AN88" i="25"/>
  <c r="AN84" i="25"/>
  <c r="AN80" i="25"/>
  <c r="AN76" i="25"/>
  <c r="AN72" i="25"/>
  <c r="AN68" i="25"/>
  <c r="AN64" i="25"/>
  <c r="AN60" i="25"/>
  <c r="AN56" i="25"/>
  <c r="AN52" i="25"/>
  <c r="AN48" i="25"/>
  <c r="AN44" i="25"/>
  <c r="AN40" i="25"/>
  <c r="AN36" i="25"/>
  <c r="AN32" i="25"/>
  <c r="AR88" i="25"/>
  <c r="AR80" i="25"/>
  <c r="AR72" i="25"/>
  <c r="AR64" i="25"/>
  <c r="AR56" i="25"/>
  <c r="AR48" i="25"/>
  <c r="AR40" i="25"/>
  <c r="AV93" i="25"/>
  <c r="AV85" i="25"/>
  <c r="AV77" i="25"/>
  <c r="AV69" i="25"/>
  <c r="AV61" i="25"/>
  <c r="AV53" i="25"/>
  <c r="AV45" i="25"/>
  <c r="AW46" i="25"/>
  <c r="DF42" i="25"/>
  <c r="DF46" i="25"/>
  <c r="DF50" i="25"/>
  <c r="AW44" i="25"/>
  <c r="AW76" i="25"/>
  <c r="DF41" i="25"/>
  <c r="DF45" i="25"/>
  <c r="DF49" i="25"/>
  <c r="AW68" i="25"/>
  <c r="AW40" i="25"/>
  <c r="AS39" i="25"/>
  <c r="DB38" i="25"/>
  <c r="DB42" i="25"/>
  <c r="DB46" i="25"/>
  <c r="AS40" i="25"/>
  <c r="AS51" i="25"/>
  <c r="AS62" i="25"/>
  <c r="AS72" i="25"/>
  <c r="AS83" i="25"/>
  <c r="AS94" i="25"/>
  <c r="DB37" i="25"/>
  <c r="DB41" i="25"/>
  <c r="DB45" i="25"/>
  <c r="AS38" i="25"/>
  <c r="AS48" i="25"/>
  <c r="AS59" i="25"/>
  <c r="AS70" i="25"/>
  <c r="AS80" i="25"/>
  <c r="AS91" i="25"/>
  <c r="AO38" i="25"/>
  <c r="CX34" i="25"/>
  <c r="CX38" i="25"/>
  <c r="CX42" i="25"/>
  <c r="AO34" i="25"/>
  <c r="AO44" i="25"/>
  <c r="AO55" i="25"/>
  <c r="AO66" i="25"/>
  <c r="CX33" i="25"/>
  <c r="CX37" i="25"/>
  <c r="CX41" i="25"/>
  <c r="AO42" i="25"/>
  <c r="AO52" i="25"/>
  <c r="AO63" i="25"/>
  <c r="CX32" i="25"/>
  <c r="CX36" i="25"/>
  <c r="DB36" i="25"/>
  <c r="DB40" i="25"/>
  <c r="DF40" i="25"/>
  <c r="DF44" i="25"/>
  <c r="DE41" i="25"/>
  <c r="DE45" i="25"/>
  <c r="DE49" i="25"/>
  <c r="AV40" i="25"/>
  <c r="AV44" i="25"/>
  <c r="AV48" i="25"/>
  <c r="AV52" i="25"/>
  <c r="AV56" i="25"/>
  <c r="AV60" i="25"/>
  <c r="AV64" i="25"/>
  <c r="AV68" i="25"/>
  <c r="AV72" i="25"/>
  <c r="AV76" i="25"/>
  <c r="AV80" i="25"/>
  <c r="AV84" i="25"/>
  <c r="AV88" i="25"/>
  <c r="AV92" i="25"/>
  <c r="AV96" i="25"/>
  <c r="DE40" i="25"/>
  <c r="DE44" i="25"/>
  <c r="DE48" i="25"/>
  <c r="AV43" i="25"/>
  <c r="AV47" i="25"/>
  <c r="AV51" i="25"/>
  <c r="AV55" i="25"/>
  <c r="AV59" i="25"/>
  <c r="AV63" i="25"/>
  <c r="AV67" i="25"/>
  <c r="AV71" i="25"/>
  <c r="AV75" i="25"/>
  <c r="AV79" i="25"/>
  <c r="AV83" i="25"/>
  <c r="AV87" i="25"/>
  <c r="AV91" i="25"/>
  <c r="AV95" i="25"/>
  <c r="AV39" i="25"/>
  <c r="DA37" i="25"/>
  <c r="DA41" i="25"/>
  <c r="DA45" i="25"/>
  <c r="AR38" i="25"/>
  <c r="AR42" i="25"/>
  <c r="AR46" i="25"/>
  <c r="AR50" i="25"/>
  <c r="AR54" i="25"/>
  <c r="AR58" i="25"/>
  <c r="AR62" i="25"/>
  <c r="AR66" i="25"/>
  <c r="AR70" i="25"/>
  <c r="AR74" i="25"/>
  <c r="AR78" i="25"/>
  <c r="AR82" i="25"/>
  <c r="AR86" i="25"/>
  <c r="AR90" i="25"/>
  <c r="AR94" i="25"/>
  <c r="DA36" i="25"/>
  <c r="DA40" i="25"/>
  <c r="DA44" i="25"/>
  <c r="AR37" i="25"/>
  <c r="AR41" i="25"/>
  <c r="AR45" i="25"/>
  <c r="AR49" i="25"/>
  <c r="AR53" i="25"/>
  <c r="AR57" i="25"/>
  <c r="AR61" i="25"/>
  <c r="AR65" i="25"/>
  <c r="AR69" i="25"/>
  <c r="AR73" i="25"/>
  <c r="AR77" i="25"/>
  <c r="AR81" i="25"/>
  <c r="AR85" i="25"/>
  <c r="AR89" i="25"/>
  <c r="AR93" i="25"/>
  <c r="CW33" i="25"/>
  <c r="CW37" i="25"/>
  <c r="CW41" i="25"/>
  <c r="CW32" i="25"/>
  <c r="CW36" i="25"/>
  <c r="CW40" i="25"/>
  <c r="CW38" i="25"/>
  <c r="DA42" i="25"/>
  <c r="DE46" i="25"/>
  <c r="AN90" i="25"/>
  <c r="AN86" i="25"/>
  <c r="AN82" i="25"/>
  <c r="AN78" i="25"/>
  <c r="AN74" i="25"/>
  <c r="AN70" i="25"/>
  <c r="AN66" i="25"/>
  <c r="AN62" i="25"/>
  <c r="AN58" i="25"/>
  <c r="AN54" i="25"/>
  <c r="AN50" i="25"/>
  <c r="AN46" i="25"/>
  <c r="AN42" i="25"/>
  <c r="AN38" i="25"/>
  <c r="AN34" i="25"/>
  <c r="AR92" i="25"/>
  <c r="AR84" i="25"/>
  <c r="AR76" i="25"/>
  <c r="AR68" i="25"/>
  <c r="AR60" i="25"/>
  <c r="AR52" i="25"/>
  <c r="AR44" i="25"/>
  <c r="AR36" i="25"/>
  <c r="AV97" i="25"/>
  <c r="AV89" i="25"/>
  <c r="AV81" i="25"/>
  <c r="AV73" i="25"/>
  <c r="AV65" i="25"/>
  <c r="AV57" i="25"/>
  <c r="AV49" i="25"/>
  <c r="AV41" i="25"/>
  <c r="AW52" i="25"/>
  <c r="CW31" i="25"/>
  <c r="CW35" i="25"/>
  <c r="CX40" i="25"/>
  <c r="DA35" i="25"/>
  <c r="DA39" i="25"/>
  <c r="DB44" i="25"/>
  <c r="DE39" i="25"/>
  <c r="DE43" i="25"/>
  <c r="DF48" i="25"/>
  <c r="CY42" i="25"/>
  <c r="EA42" i="25" s="1"/>
  <c r="CY38" i="25"/>
  <c r="CY34" i="25"/>
  <c r="CZ43" i="25"/>
  <c r="CZ39" i="25"/>
  <c r="CZ35" i="25"/>
  <c r="DC46" i="25"/>
  <c r="EA46" i="25" s="1"/>
  <c r="DC42" i="25"/>
  <c r="DC38" i="25"/>
  <c r="DD47" i="25"/>
  <c r="DD43" i="25"/>
  <c r="DD39" i="25"/>
  <c r="DG50" i="25"/>
  <c r="DG46" i="25"/>
  <c r="DG42" i="25"/>
  <c r="DH51" i="25"/>
  <c r="DH47" i="25"/>
  <c r="DH43" i="25"/>
  <c r="CY43" i="25"/>
  <c r="CY39" i="25"/>
  <c r="CZ44" i="25"/>
  <c r="CZ40" i="25"/>
  <c r="DC47" i="25"/>
  <c r="EA47" i="25" s="1"/>
  <c r="DC43" i="25"/>
  <c r="DD48" i="25"/>
  <c r="EA48" i="25" s="1"/>
  <c r="DD44" i="25"/>
  <c r="DG51" i="25"/>
  <c r="DG47" i="25"/>
  <c r="DH52" i="25"/>
  <c r="EA52" i="25" s="1"/>
  <c r="DH48" i="25"/>
  <c r="AW96" i="25"/>
  <c r="AW88" i="25"/>
  <c r="AW80" i="25"/>
  <c r="AW72" i="25"/>
  <c r="AW64" i="25"/>
  <c r="AW56" i="25"/>
  <c r="AW48" i="25"/>
  <c r="AY45" i="25"/>
  <c r="AY49" i="25"/>
  <c r="AY53" i="25"/>
  <c r="AY57" i="25"/>
  <c r="AY61" i="25"/>
  <c r="AY65" i="25"/>
  <c r="AY69" i="25"/>
  <c r="AY73" i="25"/>
  <c r="AY77" i="25"/>
  <c r="AY81" i="25"/>
  <c r="AY85" i="25"/>
  <c r="AY89" i="25"/>
  <c r="AY93" i="25"/>
  <c r="AY97" i="25"/>
  <c r="AY101" i="25"/>
  <c r="AY43" i="25"/>
  <c r="AY47" i="25"/>
  <c r="AY51" i="25"/>
  <c r="AY55" i="25"/>
  <c r="AY59" i="25"/>
  <c r="AY63" i="25"/>
  <c r="AY67" i="25"/>
  <c r="AY71" i="25"/>
  <c r="AY75" i="25"/>
  <c r="AY79" i="25"/>
  <c r="AY83" i="25"/>
  <c r="AY87" i="25"/>
  <c r="AY91" i="25"/>
  <c r="AY95" i="25"/>
  <c r="AY99" i="25"/>
  <c r="AU41" i="25"/>
  <c r="AU45" i="25"/>
  <c r="AU49" i="25"/>
  <c r="AU53" i="25"/>
  <c r="AU57" i="25"/>
  <c r="AU61" i="25"/>
  <c r="AU39" i="25"/>
  <c r="AU43" i="25"/>
  <c r="AU47" i="25"/>
  <c r="AU51" i="25"/>
  <c r="AU55" i="25"/>
  <c r="AU59" i="25"/>
  <c r="AU63" i="25"/>
  <c r="AU67" i="25"/>
  <c r="AU71" i="25"/>
  <c r="AU75" i="25"/>
  <c r="AU79" i="25"/>
  <c r="AU83" i="25"/>
  <c r="AU87" i="25"/>
  <c r="AU91" i="25"/>
  <c r="AU95" i="25"/>
  <c r="AQ35" i="25"/>
  <c r="AQ39" i="25"/>
  <c r="AQ43" i="25"/>
  <c r="AQ47" i="25"/>
  <c r="AQ51" i="25"/>
  <c r="AQ55" i="25"/>
  <c r="AQ59" i="25"/>
  <c r="AQ63" i="25"/>
  <c r="AQ67" i="25"/>
  <c r="AQ71" i="25"/>
  <c r="AQ75" i="25"/>
  <c r="AQ79" i="25"/>
  <c r="AQ83" i="25"/>
  <c r="AQ87" i="25"/>
  <c r="AQ91" i="25"/>
  <c r="AO90" i="25"/>
  <c r="AO86" i="25"/>
  <c r="AO82" i="25"/>
  <c r="AO78" i="25"/>
  <c r="AO74" i="25"/>
  <c r="AO70" i="25"/>
  <c r="AO64" i="25"/>
  <c r="AO59" i="25"/>
  <c r="AO54" i="25"/>
  <c r="AO48" i="25"/>
  <c r="AO43" i="25"/>
  <c r="AQ34" i="25"/>
  <c r="AQ89" i="25"/>
  <c r="AQ84" i="25"/>
  <c r="AQ78" i="25"/>
  <c r="AQ73" i="25"/>
  <c r="AQ68" i="25"/>
  <c r="AQ62" i="25"/>
  <c r="AQ57" i="25"/>
  <c r="AQ52" i="25"/>
  <c r="AQ46" i="25"/>
  <c r="AQ41" i="25"/>
  <c r="AQ36" i="25"/>
  <c r="AS92" i="25"/>
  <c r="AS87" i="25"/>
  <c r="AS82" i="25"/>
  <c r="AS76" i="25"/>
  <c r="AS71" i="25"/>
  <c r="AS66" i="25"/>
  <c r="AS60" i="25"/>
  <c r="AS55" i="25"/>
  <c r="AS50" i="25"/>
  <c r="AS44" i="25"/>
  <c r="AU96" i="25"/>
  <c r="AU90" i="25"/>
  <c r="AU85" i="25"/>
  <c r="AU80" i="25"/>
  <c r="AU74" i="25"/>
  <c r="AU69" i="25"/>
  <c r="AU64" i="25"/>
  <c r="AU56" i="25"/>
  <c r="AU48" i="25"/>
  <c r="AU40" i="25"/>
  <c r="AW94" i="25"/>
  <c r="BR94" i="25" s="1"/>
  <c r="AW86" i="25"/>
  <c r="AW78" i="25"/>
  <c r="AW70" i="25"/>
  <c r="AW62" i="25"/>
  <c r="AW54" i="25"/>
  <c r="AY100" i="25"/>
  <c r="BR100" i="25" s="1"/>
  <c r="AY92" i="25"/>
  <c r="AY84" i="25"/>
  <c r="AY76" i="25"/>
  <c r="AY68" i="25"/>
  <c r="AY60" i="25"/>
  <c r="AY52" i="25"/>
  <c r="AY44" i="25"/>
  <c r="AW43" i="25"/>
  <c r="AW47" i="25"/>
  <c r="AW51" i="25"/>
  <c r="AW55" i="25"/>
  <c r="AW59" i="25"/>
  <c r="AW63" i="25"/>
  <c r="AW67" i="25"/>
  <c r="AW71" i="25"/>
  <c r="AW75" i="25"/>
  <c r="AW79" i="25"/>
  <c r="AW83" i="25"/>
  <c r="AW87" i="25"/>
  <c r="AW91" i="25"/>
  <c r="AW95" i="25"/>
  <c r="AW99" i="25"/>
  <c r="AW41" i="25"/>
  <c r="AW45" i="25"/>
  <c r="AW49" i="25"/>
  <c r="AW53" i="25"/>
  <c r="AW57" i="25"/>
  <c r="AW61" i="25"/>
  <c r="AW65" i="25"/>
  <c r="AW69" i="25"/>
  <c r="AW73" i="25"/>
  <c r="AW77" i="25"/>
  <c r="AW81" i="25"/>
  <c r="AW85" i="25"/>
  <c r="AW89" i="25"/>
  <c r="AW93" i="25"/>
  <c r="AW97" i="25"/>
  <c r="AS37" i="25"/>
  <c r="AS41" i="25"/>
  <c r="AS45" i="25"/>
  <c r="AS49" i="25"/>
  <c r="AS53" i="25"/>
  <c r="AS57" i="25"/>
  <c r="AS61" i="25"/>
  <c r="AS65" i="25"/>
  <c r="AS69" i="25"/>
  <c r="AS73" i="25"/>
  <c r="AS77" i="25"/>
  <c r="AS81" i="25"/>
  <c r="AS85" i="25"/>
  <c r="AS89" i="25"/>
  <c r="AS93" i="25"/>
  <c r="AO33" i="25"/>
  <c r="AO37" i="25"/>
  <c r="AO41" i="25"/>
  <c r="AO45" i="25"/>
  <c r="AO49" i="25"/>
  <c r="AO53" i="25"/>
  <c r="AO57" i="25"/>
  <c r="AO61" i="25"/>
  <c r="AO65" i="25"/>
  <c r="AO69" i="25"/>
  <c r="AO32" i="25"/>
  <c r="AO88" i="25"/>
  <c r="AO84" i="25"/>
  <c r="AO80" i="25"/>
  <c r="AO76" i="25"/>
  <c r="AO72" i="25"/>
  <c r="AO67" i="25"/>
  <c r="AO62" i="25"/>
  <c r="AO56" i="25"/>
  <c r="AO51" i="25"/>
  <c r="AO46" i="25"/>
  <c r="AO40" i="25"/>
  <c r="AO35" i="25"/>
  <c r="AQ92" i="25"/>
  <c r="BR92" i="25" s="1"/>
  <c r="AQ86" i="25"/>
  <c r="AQ81" i="25"/>
  <c r="AQ76" i="25"/>
  <c r="AQ70" i="25"/>
  <c r="AQ65" i="25"/>
  <c r="AQ60" i="25"/>
  <c r="AQ54" i="25"/>
  <c r="AQ49" i="25"/>
  <c r="AQ44" i="25"/>
  <c r="AQ38" i="25"/>
  <c r="AS95" i="25"/>
  <c r="AS90" i="25"/>
  <c r="AS84" i="25"/>
  <c r="AS79" i="25"/>
  <c r="AS74" i="25"/>
  <c r="AS68" i="25"/>
  <c r="AS63" i="25"/>
  <c r="AS58" i="25"/>
  <c r="AS52" i="25"/>
  <c r="AS47" i="25"/>
  <c r="AS42" i="25"/>
  <c r="AU38" i="25"/>
  <c r="AU93" i="25"/>
  <c r="AU88" i="25"/>
  <c r="AU82" i="25"/>
  <c r="AU77" i="25"/>
  <c r="AU72" i="25"/>
  <c r="AU66" i="25"/>
  <c r="AU60" i="25"/>
  <c r="AU52" i="25"/>
  <c r="AU44" i="25"/>
  <c r="AW98" i="25"/>
  <c r="BR98" i="25" s="1"/>
  <c r="AW90" i="25"/>
  <c r="AW82" i="25"/>
  <c r="AW74" i="25"/>
  <c r="AW66" i="25"/>
  <c r="AW58" i="25"/>
  <c r="AW50" i="25"/>
  <c r="AW42" i="25"/>
  <c r="AY96" i="25"/>
  <c r="AY88" i="25"/>
  <c r="AY80" i="25"/>
  <c r="AY72" i="25"/>
  <c r="AY64" i="25"/>
  <c r="AY56" i="25"/>
  <c r="AY48" i="25"/>
  <c r="EA53" i="25"/>
  <c r="BR111" i="25"/>
  <c r="EA69" i="25"/>
  <c r="EA62" i="25"/>
  <c r="EA55" i="25"/>
  <c r="EA65" i="25"/>
  <c r="BR110" i="25"/>
  <c r="BR106" i="25"/>
  <c r="ED106" i="25"/>
  <c r="EE106" i="25" s="1"/>
  <c r="EF106" i="25" s="1"/>
  <c r="BR115" i="25"/>
  <c r="EA64" i="25"/>
  <c r="BR102" i="25"/>
  <c r="BY220" i="5" s="1"/>
  <c r="BR109" i="25"/>
  <c r="EA66" i="25"/>
  <c r="BR112" i="25"/>
  <c r="EA56" i="25"/>
  <c r="BR105" i="25"/>
  <c r="ED105" i="25" s="1"/>
  <c r="EE105" i="25" s="1"/>
  <c r="EF105" i="25" s="1"/>
  <c r="BR104" i="25"/>
  <c r="ED104" i="25"/>
  <c r="EE104" i="25" s="1"/>
  <c r="EF104" i="25" s="1"/>
  <c r="BR108" i="25"/>
  <c r="EA63" i="25"/>
  <c r="EA57" i="25"/>
  <c r="BR99" i="25"/>
  <c r="BY217" i="5" s="1"/>
  <c r="EA68" i="25"/>
  <c r="EA50" i="25"/>
  <c r="EA49" i="25"/>
  <c r="EA45" i="25"/>
  <c r="BR91" i="25"/>
  <c r="BY209" i="5" s="1"/>
  <c r="BR93" i="25"/>
  <c r="BY211" i="5" s="1"/>
  <c r="BR90" i="25"/>
  <c r="BY205" i="5" s="1"/>
  <c r="ED102" i="25"/>
  <c r="EE102" i="25"/>
  <c r="EF102" i="25" s="1"/>
  <c r="N32" i="13"/>
  <c r="N28" i="13"/>
  <c r="N30" i="13" s="1"/>
  <c r="N34" i="13" s="1"/>
  <c r="N36" i="13" s="1"/>
  <c r="N21" i="13"/>
  <c r="N19" i="13"/>
  <c r="ED90" i="25"/>
  <c r="EE90" i="25" s="1"/>
  <c r="EF90" i="25" s="1"/>
  <c r="CG116" i="5"/>
  <c r="CG131" i="5"/>
  <c r="D7" i="28"/>
  <c r="D8" i="28"/>
  <c r="D9" i="28"/>
  <c r="D10" i="28"/>
  <c r="D11" i="28"/>
  <c r="D6" i="28"/>
  <c r="F6" i="28" s="1"/>
  <c r="AB125" i="5"/>
  <c r="G68" i="8"/>
  <c r="K68" i="8"/>
  <c r="M28" i="29"/>
  <c r="AB127" i="5"/>
  <c r="AB130" i="5"/>
  <c r="AB129" i="5"/>
  <c r="AB128" i="5"/>
  <c r="AB126" i="5"/>
  <c r="O53" i="29"/>
  <c r="O49" i="29"/>
  <c r="O48" i="29"/>
  <c r="O47" i="29"/>
  <c r="O46" i="29"/>
  <c r="O45" i="29"/>
  <c r="O44" i="29"/>
  <c r="O43" i="29"/>
  <c r="O40" i="29"/>
  <c r="O39" i="29"/>
  <c r="O37" i="29"/>
  <c r="O36" i="29"/>
  <c r="O35" i="29"/>
  <c r="O34" i="29"/>
  <c r="O33" i="29"/>
  <c r="L55" i="29"/>
  <c r="I55" i="29"/>
  <c r="K55" i="29"/>
  <c r="D55" i="29"/>
  <c r="E28" i="29"/>
  <c r="G28" i="29"/>
  <c r="E55" i="29"/>
  <c r="M55" i="29"/>
  <c r="N55" i="29"/>
  <c r="H55" i="29"/>
  <c r="H28" i="29"/>
  <c r="C28" i="29"/>
  <c r="O51" i="29"/>
  <c r="C55" i="29"/>
  <c r="D36" i="28" s="1" a="1"/>
  <c r="O41" i="29"/>
  <c r="F12" i="28"/>
  <c r="F11" i="28"/>
  <c r="F10" i="28"/>
  <c r="F9" i="28"/>
  <c r="F8" i="28"/>
  <c r="F7" i="28"/>
  <c r="F15" i="28"/>
  <c r="F17" i="28"/>
  <c r="F14" i="28"/>
  <c r="F16" i="28"/>
  <c r="F13" i="28"/>
  <c r="H128" i="5"/>
  <c r="H129" i="5"/>
  <c r="H130" i="5"/>
  <c r="H32" i="5"/>
  <c r="J128" i="5"/>
  <c r="J129" i="5"/>
  <c r="J130" i="5"/>
  <c r="I129" i="5"/>
  <c r="I130" i="5"/>
  <c r="CM88" i="14"/>
  <c r="CM89" i="14"/>
  <c r="CM90" i="14"/>
  <c r="CM91" i="14"/>
  <c r="CM92" i="14"/>
  <c r="CM93" i="14"/>
  <c r="CM94" i="14"/>
  <c r="CM95" i="14"/>
  <c r="CM96" i="14"/>
  <c r="CM97" i="14"/>
  <c r="EC88" i="25"/>
  <c r="EC89" i="25"/>
  <c r="AL31" i="24"/>
  <c r="AL35" i="24"/>
  <c r="AL39" i="24"/>
  <c r="AL43" i="24"/>
  <c r="AL47" i="24"/>
  <c r="AL51" i="24"/>
  <c r="AL55" i="24"/>
  <c r="AL59" i="24"/>
  <c r="AL63" i="24"/>
  <c r="AL32" i="24"/>
  <c r="AL36" i="24"/>
  <c r="AL40" i="24"/>
  <c r="AL44" i="24"/>
  <c r="AL48" i="24"/>
  <c r="AL52" i="24"/>
  <c r="AL56" i="24"/>
  <c r="AL60" i="24"/>
  <c r="AL64" i="24"/>
  <c r="AL33" i="24"/>
  <c r="AL37" i="24"/>
  <c r="AL41" i="24"/>
  <c r="AL45" i="24"/>
  <c r="AL49" i="24"/>
  <c r="AL53" i="24"/>
  <c r="AL57" i="24"/>
  <c r="AL61" i="24"/>
  <c r="AL65" i="24"/>
  <c r="BN65" i="24"/>
  <c r="AL34" i="24"/>
  <c r="AL38" i="24"/>
  <c r="AL42" i="24"/>
  <c r="AL46" i="24"/>
  <c r="AL50" i="24"/>
  <c r="AL54" i="24"/>
  <c r="AL58" i="24"/>
  <c r="AL62" i="24"/>
  <c r="AL30" i="24"/>
  <c r="AL30" i="23"/>
  <c r="AL31" i="23"/>
  <c r="AL35" i="23"/>
  <c r="AL39" i="23"/>
  <c r="AL43" i="23"/>
  <c r="AL47" i="23"/>
  <c r="AL51" i="23"/>
  <c r="AL55" i="23"/>
  <c r="AL59" i="23"/>
  <c r="AL63" i="23"/>
  <c r="AL67" i="23"/>
  <c r="AL71" i="23"/>
  <c r="AL75" i="23"/>
  <c r="AL79" i="23"/>
  <c r="AL87" i="23"/>
  <c r="AL32" i="23"/>
  <c r="AL36" i="23"/>
  <c r="AL40" i="23"/>
  <c r="AL44" i="23"/>
  <c r="AL48" i="23"/>
  <c r="AL52" i="23"/>
  <c r="AL56" i="23"/>
  <c r="AL60" i="23"/>
  <c r="AL64" i="23"/>
  <c r="AL68" i="23"/>
  <c r="AL72" i="23"/>
  <c r="AL76" i="23"/>
  <c r="AL80" i="23"/>
  <c r="AL84" i="23"/>
  <c r="AL88" i="23"/>
  <c r="AL33" i="23"/>
  <c r="AL37" i="23"/>
  <c r="AL41" i="23"/>
  <c r="AL45" i="23"/>
  <c r="AL49" i="23"/>
  <c r="AL53" i="23"/>
  <c r="AL57" i="23"/>
  <c r="AL61" i="23"/>
  <c r="AL65" i="23"/>
  <c r="AL69" i="23"/>
  <c r="AL73" i="23"/>
  <c r="AL77" i="23"/>
  <c r="AL81" i="23"/>
  <c r="AL85" i="23"/>
  <c r="AL89" i="23"/>
  <c r="AL34" i="23"/>
  <c r="AL38" i="23"/>
  <c r="AL42" i="23"/>
  <c r="AL46" i="23"/>
  <c r="AL50" i="23"/>
  <c r="AL54" i="23"/>
  <c r="AL58" i="23"/>
  <c r="AL62" i="23"/>
  <c r="AL66" i="23"/>
  <c r="AL70" i="23"/>
  <c r="AL74" i="23"/>
  <c r="AL78" i="23"/>
  <c r="AL82" i="23"/>
  <c r="AL86" i="23"/>
  <c r="AL83" i="23"/>
  <c r="J29" i="22"/>
  <c r="J30" i="22"/>
  <c r="AQ45" i="22" s="1"/>
  <c r="K14" i="25"/>
  <c r="K15" i="25"/>
  <c r="K16" i="25"/>
  <c r="K29" i="25"/>
  <c r="K30" i="25"/>
  <c r="CV31" i="25" s="1"/>
  <c r="AQ33" i="22"/>
  <c r="AQ37" i="22"/>
  <c r="AQ41" i="22"/>
  <c r="AQ49" i="22"/>
  <c r="AQ53" i="22"/>
  <c r="AQ57" i="22"/>
  <c r="AQ65" i="22"/>
  <c r="AQ69" i="22"/>
  <c r="AQ73" i="22"/>
  <c r="AQ81" i="22"/>
  <c r="AQ85" i="22"/>
  <c r="AQ89" i="22"/>
  <c r="AQ97" i="22"/>
  <c r="AQ101" i="22"/>
  <c r="AQ105" i="22"/>
  <c r="AQ113" i="22"/>
  <c r="AQ117" i="22"/>
  <c r="AQ121" i="22"/>
  <c r="AQ129" i="22"/>
  <c r="AQ133" i="22"/>
  <c r="AQ137" i="22"/>
  <c r="AQ145" i="22"/>
  <c r="AQ149" i="22"/>
  <c r="BQ149" i="22"/>
  <c r="AQ38" i="22"/>
  <c r="AQ42" i="22"/>
  <c r="AQ46" i="22"/>
  <c r="AQ54" i="22"/>
  <c r="AQ58" i="22"/>
  <c r="AQ62" i="22"/>
  <c r="AQ70" i="22"/>
  <c r="AQ74" i="22"/>
  <c r="AQ78" i="22"/>
  <c r="AQ86" i="22"/>
  <c r="AQ90" i="22"/>
  <c r="AQ94" i="22"/>
  <c r="AQ102" i="22"/>
  <c r="AQ106" i="22"/>
  <c r="AQ110" i="22"/>
  <c r="AQ118" i="22"/>
  <c r="AQ122" i="22"/>
  <c r="AQ126" i="22"/>
  <c r="AQ134" i="22"/>
  <c r="AQ138" i="22"/>
  <c r="AQ142" i="22"/>
  <c r="AQ30" i="22"/>
  <c r="AQ31" i="22"/>
  <c r="AQ35" i="22"/>
  <c r="AQ43" i="22"/>
  <c r="AQ47" i="22"/>
  <c r="AQ51" i="22"/>
  <c r="AQ59" i="22"/>
  <c r="AQ63" i="22"/>
  <c r="AQ67" i="22"/>
  <c r="AQ75" i="22"/>
  <c r="AQ79" i="22"/>
  <c r="AQ83" i="22"/>
  <c r="AQ91" i="22"/>
  <c r="AQ95" i="22"/>
  <c r="AQ99" i="22"/>
  <c r="AQ107" i="22"/>
  <c r="AQ111" i="22"/>
  <c r="AQ115" i="22"/>
  <c r="AQ123" i="22"/>
  <c r="AQ127" i="22"/>
  <c r="AQ131" i="22"/>
  <c r="AQ139" i="22"/>
  <c r="AQ143" i="22"/>
  <c r="AQ147" i="22"/>
  <c r="AQ36" i="22"/>
  <c r="AQ40" i="22"/>
  <c r="AQ44" i="22"/>
  <c r="AQ52" i="22"/>
  <c r="AQ56" i="22"/>
  <c r="AQ60" i="22"/>
  <c r="AQ68" i="22"/>
  <c r="AQ72" i="22"/>
  <c r="AQ76" i="22"/>
  <c r="AQ84" i="22"/>
  <c r="AQ88" i="22"/>
  <c r="AQ92" i="22"/>
  <c r="AQ100" i="22"/>
  <c r="AQ104" i="22"/>
  <c r="AQ108" i="22"/>
  <c r="AQ116" i="22"/>
  <c r="AQ120" i="22"/>
  <c r="AQ124" i="22"/>
  <c r="AQ132" i="22"/>
  <c r="AQ136" i="22"/>
  <c r="AQ140" i="22"/>
  <c r="AQ148" i="22"/>
  <c r="K13" i="25"/>
  <c r="AM50" i="25"/>
  <c r="AM71" i="25"/>
  <c r="AM54" i="25"/>
  <c r="AM79" i="25"/>
  <c r="CV33" i="25"/>
  <c r="AM77" i="25"/>
  <c r="AM32" i="25"/>
  <c r="AM39" i="25"/>
  <c r="AM38" i="25"/>
  <c r="AM69" i="25"/>
  <c r="AM88" i="25"/>
  <c r="AM56" i="25"/>
  <c r="CV34" i="25"/>
  <c r="AM75" i="25"/>
  <c r="AM82" i="25"/>
  <c r="AM30" i="25"/>
  <c r="AM86" i="25"/>
  <c r="AM80" i="25"/>
  <c r="AM48" i="25"/>
  <c r="CV30" i="25"/>
  <c r="AM67" i="25"/>
  <c r="AM43" i="25"/>
  <c r="AM85" i="25"/>
  <c r="AM53" i="25"/>
  <c r="AM70" i="25"/>
  <c r="AM40" i="25"/>
  <c r="CV41" i="25"/>
  <c r="EA41" i="25"/>
  <c r="AM63" i="25"/>
  <c r="AM59" i="25"/>
  <c r="AM55" i="25"/>
  <c r="AM42" i="25"/>
  <c r="AM89" i="25"/>
  <c r="BR89" i="25"/>
  <c r="BY204" i="5" s="1"/>
  <c r="AM57" i="25"/>
  <c r="AM41" i="25"/>
  <c r="AM78" i="25"/>
  <c r="AM76" i="25"/>
  <c r="AM60" i="25"/>
  <c r="AM44" i="25"/>
  <c r="CV32" i="25"/>
  <c r="CV39" i="25"/>
  <c r="AM51" i="25"/>
  <c r="AM87" i="25"/>
  <c r="AM35" i="25"/>
  <c r="AM58" i="25"/>
  <c r="AM81" i="25"/>
  <c r="AM65" i="25"/>
  <c r="AM49" i="25"/>
  <c r="AM62" i="25"/>
  <c r="AM84" i="25"/>
  <c r="AM68" i="25"/>
  <c r="AM36" i="25"/>
  <c r="CV40" i="25"/>
  <c r="CV37" i="25"/>
  <c r="K10" i="25"/>
  <c r="K12" i="25"/>
  <c r="K11" i="25"/>
  <c r="CU29" i="25"/>
  <c r="CU31" i="25"/>
  <c r="CU35" i="25"/>
  <c r="CU39" i="25"/>
  <c r="CU33" i="25"/>
  <c r="CU37" i="25"/>
  <c r="CU32" i="25"/>
  <c r="CU36" i="25"/>
  <c r="CU40" i="25"/>
  <c r="EA40" i="25" s="1"/>
  <c r="CU30" i="25"/>
  <c r="CU34" i="25"/>
  <c r="CU38" i="25"/>
  <c r="AL32" i="25"/>
  <c r="AL36" i="25"/>
  <c r="AL40" i="25"/>
  <c r="AL44" i="25"/>
  <c r="AL48" i="25"/>
  <c r="AL52" i="25"/>
  <c r="AL56" i="25"/>
  <c r="AL60" i="25"/>
  <c r="AL64" i="25"/>
  <c r="AL68" i="25"/>
  <c r="AL72" i="25"/>
  <c r="AL76" i="25"/>
  <c r="AL80" i="25"/>
  <c r="AL84" i="25"/>
  <c r="AL88" i="25"/>
  <c r="BR88" i="25" s="1"/>
  <c r="AL34" i="25"/>
  <c r="AL33" i="25"/>
  <c r="AL37" i="25"/>
  <c r="AL41" i="25"/>
  <c r="AL45" i="25"/>
  <c r="AL49" i="25"/>
  <c r="AL53" i="25"/>
  <c r="AL57" i="25"/>
  <c r="AL61" i="25"/>
  <c r="AL65" i="25"/>
  <c r="AL69" i="25"/>
  <c r="AL73" i="25"/>
  <c r="AL77" i="25"/>
  <c r="AL81" i="25"/>
  <c r="AL85" i="25"/>
  <c r="AL30" i="25"/>
  <c r="AL62" i="25"/>
  <c r="AL39" i="25"/>
  <c r="AL47" i="25"/>
  <c r="AL55" i="25"/>
  <c r="AL63" i="25"/>
  <c r="AL71" i="25"/>
  <c r="AL79" i="25"/>
  <c r="AL87" i="25"/>
  <c r="AL31" i="25"/>
  <c r="AL42" i="25"/>
  <c r="AL50" i="25"/>
  <c r="AL58" i="25"/>
  <c r="AL66" i="25"/>
  <c r="AL74" i="25"/>
  <c r="AL82" i="25"/>
  <c r="AL29" i="25"/>
  <c r="AL35" i="25"/>
  <c r="AL43" i="25"/>
  <c r="AL51" i="25"/>
  <c r="AL59" i="25"/>
  <c r="AL67" i="25"/>
  <c r="AL75" i="25"/>
  <c r="AL83" i="25"/>
  <c r="AL38" i="25"/>
  <c r="AL46" i="25"/>
  <c r="AL54" i="25"/>
  <c r="AL70" i="25"/>
  <c r="AL78" i="25"/>
  <c r="AL86" i="25"/>
  <c r="ED89" i="25"/>
  <c r="EE89" i="25" s="1"/>
  <c r="EF89" i="25" s="1"/>
  <c r="AZ131" i="5"/>
  <c r="BN131" i="5"/>
  <c r="BV131" i="5"/>
  <c r="BZ131" i="5"/>
  <c r="CH131" i="5"/>
  <c r="CI131" i="5"/>
  <c r="T131" i="5"/>
  <c r="AE131" i="5"/>
  <c r="AJ131" i="5"/>
  <c r="AK131" i="5"/>
  <c r="AL131" i="5"/>
  <c r="AX131" i="5"/>
  <c r="I128" i="5"/>
  <c r="G10" i="27"/>
  <c r="T11" i="27"/>
  <c r="G11" i="27"/>
  <c r="U12" i="27"/>
  <c r="G12" i="27"/>
  <c r="V14" i="27"/>
  <c r="G13" i="27"/>
  <c r="W14" i="27"/>
  <c r="G14" i="27"/>
  <c r="X17" i="27"/>
  <c r="G15" i="27"/>
  <c r="Y19" i="27"/>
  <c r="G16" i="27"/>
  <c r="Z20" i="27"/>
  <c r="G17" i="27"/>
  <c r="AA32" i="27"/>
  <c r="G18" i="27"/>
  <c r="AB24" i="27"/>
  <c r="G19" i="27"/>
  <c r="AC19" i="27"/>
  <c r="G20" i="27"/>
  <c r="AD21" i="27"/>
  <c r="G21" i="27"/>
  <c r="AE21" i="27"/>
  <c r="G22" i="27"/>
  <c r="AF23" i="27"/>
  <c r="G23" i="27"/>
  <c r="G24" i="27"/>
  <c r="G25" i="27"/>
  <c r="G26" i="27"/>
  <c r="G27" i="27"/>
  <c r="G28" i="27"/>
  <c r="G29" i="27"/>
  <c r="G30" i="27"/>
  <c r="G31" i="27"/>
  <c r="G32" i="27"/>
  <c r="G33" i="27"/>
  <c r="H5" i="27"/>
  <c r="O9" i="27" s="1"/>
  <c r="B17" i="27"/>
  <c r="B29" i="27" s="1"/>
  <c r="B41" i="27" s="1"/>
  <c r="B53" i="27" s="1"/>
  <c r="B65" i="27" s="1"/>
  <c r="B77" i="27" s="1"/>
  <c r="B89" i="27" s="1"/>
  <c r="B101" i="27" s="1"/>
  <c r="B113" i="27" s="1"/>
  <c r="B125" i="27" s="1"/>
  <c r="B6" i="27"/>
  <c r="B18" i="27" s="1"/>
  <c r="B30" i="27" s="1"/>
  <c r="B42" i="27" s="1"/>
  <c r="B54" i="27" s="1"/>
  <c r="B66" i="27" s="1"/>
  <c r="B78" i="27" s="1"/>
  <c r="B90" i="27" s="1"/>
  <c r="B102" i="27" s="1"/>
  <c r="B114" i="27" s="1"/>
  <c r="B126" i="27" s="1"/>
  <c r="P2" i="27"/>
  <c r="Q2" i="27"/>
  <c r="R2" i="27" s="1"/>
  <c r="S2" i="27" s="1"/>
  <c r="T2" i="27" s="1"/>
  <c r="U2" i="27" s="1"/>
  <c r="V2" i="27" s="1"/>
  <c r="W2" i="27" s="1"/>
  <c r="X2" i="27" s="1"/>
  <c r="Y2" i="27" s="1"/>
  <c r="Z2" i="27" s="1"/>
  <c r="AA2" i="27" s="1"/>
  <c r="AB2" i="27" s="1"/>
  <c r="AC2" i="27" s="1"/>
  <c r="AD2" i="27" s="1"/>
  <c r="AE2" i="27" s="1"/>
  <c r="AF2" i="27" s="1"/>
  <c r="AG2" i="27" s="1"/>
  <c r="AH2" i="27" s="1"/>
  <c r="AI2" i="27" s="1"/>
  <c r="AJ2" i="27" s="1"/>
  <c r="AK2" i="27" s="1"/>
  <c r="AL2" i="27" s="1"/>
  <c r="AM2" i="27" s="1"/>
  <c r="AN2" i="27" s="1"/>
  <c r="AO2" i="27" s="1"/>
  <c r="AP2" i="27" s="1"/>
  <c r="AQ2" i="27" s="1"/>
  <c r="AR2" i="27" s="1"/>
  <c r="AS2" i="27" s="1"/>
  <c r="AT2" i="27" s="1"/>
  <c r="AU2" i="27" s="1"/>
  <c r="AV2" i="27" s="1"/>
  <c r="AW2" i="27" s="1"/>
  <c r="AX2" i="27" s="1"/>
  <c r="AY2" i="27" s="1"/>
  <c r="AZ2" i="27" s="1"/>
  <c r="BA2" i="27" s="1"/>
  <c r="BB2" i="27" s="1"/>
  <c r="BC2" i="27" s="1"/>
  <c r="F31" i="16"/>
  <c r="AN31" i="16"/>
  <c r="AN32" i="16" s="1"/>
  <c r="AN33" i="16" s="1"/>
  <c r="AN34" i="16" s="1"/>
  <c r="AN35" i="16" s="1"/>
  <c r="AN36" i="16" s="1"/>
  <c r="AN37" i="16" s="1"/>
  <c r="AN38" i="16" s="1"/>
  <c r="AN39" i="16" s="1"/>
  <c r="AN40" i="16" s="1"/>
  <c r="AN41" i="16" s="1"/>
  <c r="AN42" i="16" s="1"/>
  <c r="AN43" i="16" s="1"/>
  <c r="AN44" i="16" s="1"/>
  <c r="AN45" i="16" s="1"/>
  <c r="AN46" i="16" s="1"/>
  <c r="AN47" i="16" s="1"/>
  <c r="AN48" i="16" s="1"/>
  <c r="AN49" i="16" s="1"/>
  <c r="AN50" i="16" s="1"/>
  <c r="AN51" i="16" s="1"/>
  <c r="AN52" i="16" s="1"/>
  <c r="AN53" i="16" s="1"/>
  <c r="AN54" i="16" s="1"/>
  <c r="AN55" i="16" s="1"/>
  <c r="AN56" i="16" s="1"/>
  <c r="AN57" i="16" s="1"/>
  <c r="AN58" i="16" s="1"/>
  <c r="AN59" i="16" s="1"/>
  <c r="AN60" i="16" s="1"/>
  <c r="AN61" i="16" s="1"/>
  <c r="AN62" i="16" s="1"/>
  <c r="AN63" i="16" s="1"/>
  <c r="AN64" i="16" s="1"/>
  <c r="AN65" i="16" s="1"/>
  <c r="AN66" i="16" s="1"/>
  <c r="AN67" i="16" s="1"/>
  <c r="AN68" i="16" s="1"/>
  <c r="AN69" i="16" s="1"/>
  <c r="AN70" i="16" s="1"/>
  <c r="AN71" i="16" s="1"/>
  <c r="AN72" i="16" s="1"/>
  <c r="AN73" i="16" s="1"/>
  <c r="AN74" i="16" s="1"/>
  <c r="AN75" i="16" s="1"/>
  <c r="AN76" i="16" s="1"/>
  <c r="AN77" i="16" s="1"/>
  <c r="AN78" i="16" s="1"/>
  <c r="AN79" i="16" s="1"/>
  <c r="AN80" i="16" s="1"/>
  <c r="AN81" i="16" s="1"/>
  <c r="AN82" i="16" s="1"/>
  <c r="AN83" i="16" s="1"/>
  <c r="AN84" i="16" s="1"/>
  <c r="AN85" i="16" s="1"/>
  <c r="AN86" i="16" s="1"/>
  <c r="AN87" i="16" s="1"/>
  <c r="AN88" i="16" s="1"/>
  <c r="AN89" i="16" s="1"/>
  <c r="AN90" i="16" s="1"/>
  <c r="F32" i="16"/>
  <c r="AO32" i="16" s="1"/>
  <c r="AO33" i="16"/>
  <c r="AO34" i="16" s="1"/>
  <c r="AO35" i="16" s="1"/>
  <c r="AO36" i="16" s="1"/>
  <c r="AO37" i="16" s="1"/>
  <c r="AO38" i="16" s="1"/>
  <c r="AO39" i="16" s="1"/>
  <c r="AO40" i="16" s="1"/>
  <c r="AO41" i="16" s="1"/>
  <c r="AO42" i="16" s="1"/>
  <c r="AO43" i="16" s="1"/>
  <c r="AO44" i="16" s="1"/>
  <c r="AO45" i="16" s="1"/>
  <c r="AO46" i="16" s="1"/>
  <c r="AO47" i="16" s="1"/>
  <c r="AO48" i="16" s="1"/>
  <c r="AO49" i="16" s="1"/>
  <c r="AO50" i="16" s="1"/>
  <c r="AO51" i="16" s="1"/>
  <c r="AO52" i="16" s="1"/>
  <c r="AO53" i="16" s="1"/>
  <c r="AO54" i="16" s="1"/>
  <c r="AO55" i="16" s="1"/>
  <c r="AO56" i="16" s="1"/>
  <c r="AO57" i="16" s="1"/>
  <c r="AO58" i="16" s="1"/>
  <c r="AO59" i="16" s="1"/>
  <c r="AO60" i="16" s="1"/>
  <c r="AO61" i="16" s="1"/>
  <c r="AO62" i="16" s="1"/>
  <c r="AO63" i="16" s="1"/>
  <c r="AO64" i="16" s="1"/>
  <c r="AO65" i="16" s="1"/>
  <c r="AO66" i="16" s="1"/>
  <c r="AO67" i="16" s="1"/>
  <c r="AO68" i="16" s="1"/>
  <c r="AO69" i="16" s="1"/>
  <c r="AO70" i="16" s="1"/>
  <c r="AO71" i="16" s="1"/>
  <c r="AO72" i="16" s="1"/>
  <c r="AO73" i="16" s="1"/>
  <c r="AO74" i="16" s="1"/>
  <c r="AO75" i="16" s="1"/>
  <c r="AO76" i="16" s="1"/>
  <c r="AO77" i="16" s="1"/>
  <c r="AO78" i="16" s="1"/>
  <c r="AO79" i="16" s="1"/>
  <c r="AO80" i="16" s="1"/>
  <c r="AO81" i="16" s="1"/>
  <c r="AO82" i="16" s="1"/>
  <c r="AO83" i="16" s="1"/>
  <c r="AO84" i="16" s="1"/>
  <c r="AO85" i="16" s="1"/>
  <c r="AO86" i="16" s="1"/>
  <c r="AO87" i="16" s="1"/>
  <c r="AO88" i="16" s="1"/>
  <c r="AO89" i="16" s="1"/>
  <c r="AO90" i="16" s="1"/>
  <c r="AO91" i="16" s="1"/>
  <c r="F27" i="16"/>
  <c r="F28" i="16"/>
  <c r="AK28" i="16" s="1"/>
  <c r="F29" i="16"/>
  <c r="AL29" i="16" s="1"/>
  <c r="AL30" i="16" s="1"/>
  <c r="AL31" i="16" s="1"/>
  <c r="AL32" i="16" s="1"/>
  <c r="AL33" i="16" s="1"/>
  <c r="AL34" i="16" s="1"/>
  <c r="AL35" i="16" s="1"/>
  <c r="AL36" i="16" s="1"/>
  <c r="AL37" i="16" s="1"/>
  <c r="AL38" i="16" s="1"/>
  <c r="AL39" i="16" s="1"/>
  <c r="AL40" i="16" s="1"/>
  <c r="AL41" i="16" s="1"/>
  <c r="AL42" i="16" s="1"/>
  <c r="AL43" i="16" s="1"/>
  <c r="AL44" i="16" s="1"/>
  <c r="AL45" i="16" s="1"/>
  <c r="AL46" i="16" s="1"/>
  <c r="AL47" i="16" s="1"/>
  <c r="AL48" i="16" s="1"/>
  <c r="AL49" i="16" s="1"/>
  <c r="AL50" i="16" s="1"/>
  <c r="AL51" i="16" s="1"/>
  <c r="AL52" i="16" s="1"/>
  <c r="AL53" i="16" s="1"/>
  <c r="AL54" i="16" s="1"/>
  <c r="AL55" i="16" s="1"/>
  <c r="AL56" i="16" s="1"/>
  <c r="AL57" i="16" s="1"/>
  <c r="AL58" i="16" s="1"/>
  <c r="AL59" i="16" s="1"/>
  <c r="AL60" i="16" s="1"/>
  <c r="AL61" i="16" s="1"/>
  <c r="AL62" i="16" s="1"/>
  <c r="AL63" i="16" s="1"/>
  <c r="AL64" i="16" s="1"/>
  <c r="AL65" i="16" s="1"/>
  <c r="AL66" i="16" s="1"/>
  <c r="AL67" i="16" s="1"/>
  <c r="AL68" i="16" s="1"/>
  <c r="AL69" i="16" s="1"/>
  <c r="AL70" i="16" s="1"/>
  <c r="AL71" i="16" s="1"/>
  <c r="AL72" i="16" s="1"/>
  <c r="AL73" i="16" s="1"/>
  <c r="AL74" i="16" s="1"/>
  <c r="AL75" i="16" s="1"/>
  <c r="AL76" i="16" s="1"/>
  <c r="AL77" i="16" s="1"/>
  <c r="AL78" i="16" s="1"/>
  <c r="AL79" i="16" s="1"/>
  <c r="AL80" i="16" s="1"/>
  <c r="AL81" i="16" s="1"/>
  <c r="AL82" i="16" s="1"/>
  <c r="AL83" i="16" s="1"/>
  <c r="AL84" i="16" s="1"/>
  <c r="AL85" i="16" s="1"/>
  <c r="AL86" i="16" s="1"/>
  <c r="AL87" i="16" s="1"/>
  <c r="AL88" i="16" s="1"/>
  <c r="F30" i="16"/>
  <c r="AM30" i="16"/>
  <c r="AM31" i="16" s="1"/>
  <c r="AM32" i="16" s="1"/>
  <c r="AM33" i="16" s="1"/>
  <c r="AM34" i="16" s="1"/>
  <c r="AM35" i="16" s="1"/>
  <c r="AM36" i="16" s="1"/>
  <c r="AM37" i="16" s="1"/>
  <c r="AM38" i="16" s="1"/>
  <c r="AM39" i="16" s="1"/>
  <c r="AM40" i="16" s="1"/>
  <c r="AM41" i="16" s="1"/>
  <c r="AM42" i="16" s="1"/>
  <c r="AM43" i="16" s="1"/>
  <c r="AM44" i="16" s="1"/>
  <c r="AM45" i="16" s="1"/>
  <c r="AM46" i="16" s="1"/>
  <c r="AM47" i="16" s="1"/>
  <c r="AM48" i="16" s="1"/>
  <c r="AM49" i="16" s="1"/>
  <c r="AM50" i="16" s="1"/>
  <c r="AM51" i="16" s="1"/>
  <c r="AM52" i="16" s="1"/>
  <c r="AM53" i="16" s="1"/>
  <c r="AM54" i="16" s="1"/>
  <c r="AM55" i="16" s="1"/>
  <c r="AM56" i="16" s="1"/>
  <c r="AM57" i="16" s="1"/>
  <c r="AM58" i="16" s="1"/>
  <c r="AM59" i="16" s="1"/>
  <c r="AM60" i="16" s="1"/>
  <c r="AM61" i="16" s="1"/>
  <c r="AM62" i="16" s="1"/>
  <c r="AM63" i="16" s="1"/>
  <c r="AM64" i="16" s="1"/>
  <c r="AM65" i="16" s="1"/>
  <c r="AM66" i="16" s="1"/>
  <c r="AM67" i="16" s="1"/>
  <c r="AM68" i="16" s="1"/>
  <c r="AM69" i="16" s="1"/>
  <c r="AM70" i="16" s="1"/>
  <c r="AM71" i="16" s="1"/>
  <c r="AM72" i="16" s="1"/>
  <c r="AM73" i="16" s="1"/>
  <c r="AM74" i="16" s="1"/>
  <c r="AM75" i="16" s="1"/>
  <c r="AM76" i="16" s="1"/>
  <c r="AM77" i="16" s="1"/>
  <c r="AM78" i="16" s="1"/>
  <c r="AM79" i="16" s="1"/>
  <c r="AM80" i="16" s="1"/>
  <c r="AM81" i="16" s="1"/>
  <c r="AM82" i="16" s="1"/>
  <c r="AM83" i="16" s="1"/>
  <c r="AM84" i="16" s="1"/>
  <c r="AM85" i="16" s="1"/>
  <c r="AM86" i="16" s="1"/>
  <c r="AM87" i="16" s="1"/>
  <c r="AM88" i="16" s="1"/>
  <c r="AM89" i="16" s="1"/>
  <c r="AD126" i="5"/>
  <c r="AD125" i="5"/>
  <c r="AD124" i="5"/>
  <c r="AD123" i="5"/>
  <c r="AD122" i="5"/>
  <c r="AD121" i="5"/>
  <c r="AD120" i="5"/>
  <c r="AD119" i="5"/>
  <c r="AP34" i="27"/>
  <c r="AP38" i="27"/>
  <c r="AP42" i="27"/>
  <c r="AP46" i="27"/>
  <c r="AP50" i="27"/>
  <c r="AP54" i="27"/>
  <c r="AP58" i="27"/>
  <c r="AP62" i="27"/>
  <c r="AP66" i="27"/>
  <c r="AP70" i="27"/>
  <c r="AP74" i="27"/>
  <c r="AP78" i="27"/>
  <c r="AP82" i="27"/>
  <c r="AP86" i="27"/>
  <c r="AP90" i="27"/>
  <c r="AP94" i="27"/>
  <c r="AP98" i="27"/>
  <c r="AP102" i="27"/>
  <c r="AP106" i="27"/>
  <c r="AP110" i="27"/>
  <c r="AP114" i="27"/>
  <c r="AP36" i="27"/>
  <c r="AP40" i="27"/>
  <c r="AP44" i="27"/>
  <c r="AP48" i="27"/>
  <c r="AP52" i="27"/>
  <c r="AP56" i="27"/>
  <c r="AP60" i="27"/>
  <c r="AP64" i="27"/>
  <c r="AP68" i="27"/>
  <c r="AP72" i="27"/>
  <c r="AP76" i="27"/>
  <c r="AP80" i="27"/>
  <c r="AP84" i="27"/>
  <c r="AP88" i="27"/>
  <c r="AP92" i="27"/>
  <c r="AP96" i="27"/>
  <c r="AP100" i="27"/>
  <c r="AP104" i="27"/>
  <c r="AP108" i="27"/>
  <c r="AP112" i="27"/>
  <c r="AP32" i="27"/>
  <c r="AP39" i="27"/>
  <c r="AP47" i="27"/>
  <c r="AP55" i="27"/>
  <c r="AP63" i="27"/>
  <c r="AP71" i="27"/>
  <c r="AP79" i="27"/>
  <c r="AP87" i="27"/>
  <c r="AP95" i="27"/>
  <c r="AP103" i="27"/>
  <c r="AP111" i="27"/>
  <c r="AP33" i="27"/>
  <c r="AP49" i="27"/>
  <c r="AP65" i="27"/>
  <c r="AP81" i="27"/>
  <c r="AP97" i="27"/>
  <c r="AP113" i="27"/>
  <c r="AP35" i="27"/>
  <c r="AP43" i="27"/>
  <c r="AP51" i="27"/>
  <c r="AP59" i="27"/>
  <c r="AP67" i="27"/>
  <c r="AP75" i="27"/>
  <c r="AP83" i="27"/>
  <c r="AP91" i="27"/>
  <c r="AP99" i="27"/>
  <c r="AP107" i="27"/>
  <c r="AP115" i="27"/>
  <c r="AP37" i="27"/>
  <c r="AP45" i="27"/>
  <c r="AP53" i="27"/>
  <c r="AP61" i="27"/>
  <c r="AP69" i="27"/>
  <c r="AP77" i="27"/>
  <c r="AP85" i="27"/>
  <c r="AP93" i="27"/>
  <c r="AP101" i="27"/>
  <c r="AP109" i="27"/>
  <c r="AP41" i="27"/>
  <c r="AP57" i="27"/>
  <c r="AP73" i="27"/>
  <c r="AP89" i="27"/>
  <c r="AP105" i="27"/>
  <c r="AO33" i="27"/>
  <c r="AO37" i="27"/>
  <c r="AO41" i="27"/>
  <c r="AO45" i="27"/>
  <c r="AO49" i="27"/>
  <c r="AO53" i="27"/>
  <c r="AO57" i="27"/>
  <c r="AO61" i="27"/>
  <c r="AO65" i="27"/>
  <c r="AO69" i="27"/>
  <c r="AO73" i="27"/>
  <c r="AO77" i="27"/>
  <c r="AO81" i="27"/>
  <c r="AO85" i="27"/>
  <c r="AO89" i="27"/>
  <c r="AO93" i="27"/>
  <c r="AO97" i="27"/>
  <c r="AO101" i="27"/>
  <c r="AO105" i="27"/>
  <c r="AO109" i="27"/>
  <c r="AO113" i="27"/>
  <c r="AO35" i="27"/>
  <c r="AO39" i="27"/>
  <c r="AO43" i="27"/>
  <c r="AO47" i="27"/>
  <c r="AO51" i="27"/>
  <c r="AO55" i="27"/>
  <c r="AO59" i="27"/>
  <c r="AO63" i="27"/>
  <c r="AO67" i="27"/>
  <c r="AO71" i="27"/>
  <c r="AO75" i="27"/>
  <c r="AO79" i="27"/>
  <c r="AO83" i="27"/>
  <c r="AO87" i="27"/>
  <c r="AO91" i="27"/>
  <c r="AO95" i="27"/>
  <c r="AO99" i="27"/>
  <c r="AO103" i="27"/>
  <c r="AO107" i="27"/>
  <c r="AO111" i="27"/>
  <c r="AO31" i="27"/>
  <c r="AO34" i="27"/>
  <c r="AO42" i="27"/>
  <c r="AO50" i="27"/>
  <c r="AO58" i="27"/>
  <c r="AO66" i="27"/>
  <c r="AO74" i="27"/>
  <c r="AO82" i="27"/>
  <c r="AO90" i="27"/>
  <c r="AO98" i="27"/>
  <c r="AO106" i="27"/>
  <c r="AO114" i="27"/>
  <c r="AO44" i="27"/>
  <c r="AO60" i="27"/>
  <c r="AO76" i="27"/>
  <c r="AO92" i="27"/>
  <c r="AO108" i="27"/>
  <c r="AO38" i="27"/>
  <c r="AO46" i="27"/>
  <c r="AO54" i="27"/>
  <c r="AO62" i="27"/>
  <c r="AO70" i="27"/>
  <c r="AO78" i="27"/>
  <c r="AO86" i="27"/>
  <c r="AO94" i="27"/>
  <c r="AO102" i="27"/>
  <c r="AO110" i="27"/>
  <c r="AO32" i="27"/>
  <c r="AO40" i="27"/>
  <c r="AO48" i="27"/>
  <c r="AO56" i="27"/>
  <c r="AO64" i="27"/>
  <c r="AO72" i="27"/>
  <c r="AO80" i="27"/>
  <c r="AO88" i="27"/>
  <c r="AO96" i="27"/>
  <c r="AO104" i="27"/>
  <c r="AO112" i="27"/>
  <c r="AO36" i="27"/>
  <c r="AO52" i="27"/>
  <c r="AO68" i="27"/>
  <c r="AO84" i="27"/>
  <c r="AO100" i="27"/>
  <c r="AQ35" i="27"/>
  <c r="AQ39" i="27"/>
  <c r="AQ43" i="27"/>
  <c r="AQ47" i="27"/>
  <c r="AQ51" i="27"/>
  <c r="AQ55" i="27"/>
  <c r="AQ59" i="27"/>
  <c r="AQ63" i="27"/>
  <c r="AQ67" i="27"/>
  <c r="AQ71" i="27"/>
  <c r="AQ75" i="27"/>
  <c r="AQ79" i="27"/>
  <c r="AQ83" i="27"/>
  <c r="AQ87" i="27"/>
  <c r="AQ91" i="27"/>
  <c r="AQ95" i="27"/>
  <c r="AQ99" i="27"/>
  <c r="AQ103" i="27"/>
  <c r="AQ107" i="27"/>
  <c r="AQ111" i="27"/>
  <c r="AQ115" i="27"/>
  <c r="AQ36" i="27"/>
  <c r="AQ40" i="27"/>
  <c r="AQ44" i="27"/>
  <c r="AQ48" i="27"/>
  <c r="AQ52" i="27"/>
  <c r="AQ56" i="27"/>
  <c r="AQ60" i="27"/>
  <c r="AQ64" i="27"/>
  <c r="AQ68" i="27"/>
  <c r="AQ72" i="27"/>
  <c r="AQ76" i="27"/>
  <c r="AQ80" i="27"/>
  <c r="AQ84" i="27"/>
  <c r="AQ88" i="27"/>
  <c r="AQ92" i="27"/>
  <c r="AQ96" i="27"/>
  <c r="AQ100" i="27"/>
  <c r="AQ104" i="27"/>
  <c r="AQ37" i="27"/>
  <c r="AQ41" i="27"/>
  <c r="AQ45" i="27"/>
  <c r="AQ49" i="27"/>
  <c r="AQ53" i="27"/>
  <c r="AQ57" i="27"/>
  <c r="AQ61" i="27"/>
  <c r="AQ65" i="27"/>
  <c r="AQ69" i="27"/>
  <c r="AQ73" i="27"/>
  <c r="AQ77" i="27"/>
  <c r="AQ81" i="27"/>
  <c r="AQ85" i="27"/>
  <c r="AQ89" i="27"/>
  <c r="AQ93" i="27"/>
  <c r="AQ97" i="27"/>
  <c r="AQ101" i="27"/>
  <c r="AQ105" i="27"/>
  <c r="AQ109" i="27"/>
  <c r="AQ113" i="27"/>
  <c r="AQ33" i="27"/>
  <c r="AQ34" i="27"/>
  <c r="AQ38" i="27"/>
  <c r="AQ42" i="27"/>
  <c r="AQ46" i="27"/>
  <c r="AQ50" i="27"/>
  <c r="AQ54" i="27"/>
  <c r="AQ58" i="27"/>
  <c r="AQ62" i="27"/>
  <c r="AQ66" i="27"/>
  <c r="AQ70" i="27"/>
  <c r="AQ74" i="27"/>
  <c r="AQ78" i="27"/>
  <c r="AQ82" i="27"/>
  <c r="AQ86" i="27"/>
  <c r="AQ90" i="27"/>
  <c r="AQ94" i="27"/>
  <c r="AQ108" i="27"/>
  <c r="AQ116" i="27"/>
  <c r="AQ110" i="27"/>
  <c r="AQ102" i="27"/>
  <c r="AQ112" i="27"/>
  <c r="AQ106" i="27"/>
  <c r="AQ114" i="27"/>
  <c r="AQ98" i="27"/>
  <c r="G9" i="27"/>
  <c r="S20" i="27" s="1"/>
  <c r="G6" i="27"/>
  <c r="P6" i="27"/>
  <c r="G7" i="27"/>
  <c r="Q8" i="27" s="1"/>
  <c r="O89" i="27"/>
  <c r="K8" i="25"/>
  <c r="K7" i="25"/>
  <c r="K6" i="25"/>
  <c r="K9" i="25"/>
  <c r="AD131" i="5"/>
  <c r="X78" i="27"/>
  <c r="Y94" i="27"/>
  <c r="AA26" i="27"/>
  <c r="X70" i="27"/>
  <c r="Y38" i="27"/>
  <c r="AB72" i="27"/>
  <c r="X46" i="27"/>
  <c r="AA93" i="27"/>
  <c r="AB62" i="27"/>
  <c r="U54" i="27"/>
  <c r="X38" i="27"/>
  <c r="AA50" i="27"/>
  <c r="AB22" i="27"/>
  <c r="V85" i="27"/>
  <c r="V53" i="27"/>
  <c r="V21" i="27"/>
  <c r="U33" i="27"/>
  <c r="V77" i="27"/>
  <c r="V45" i="27"/>
  <c r="V13" i="27"/>
  <c r="Y80" i="27"/>
  <c r="Y24" i="27"/>
  <c r="AC74" i="27"/>
  <c r="O25" i="27"/>
  <c r="V12" i="27"/>
  <c r="V69" i="27"/>
  <c r="V37" i="27"/>
  <c r="X94" i="27"/>
  <c r="X62" i="27"/>
  <c r="X30" i="27"/>
  <c r="Y67" i="27"/>
  <c r="AB94" i="27"/>
  <c r="AB51" i="27"/>
  <c r="AC42" i="27"/>
  <c r="U75" i="27"/>
  <c r="V93" i="27"/>
  <c r="V61" i="27"/>
  <c r="V29" i="27"/>
  <c r="X86" i="27"/>
  <c r="X54" i="27"/>
  <c r="X22" i="27"/>
  <c r="Y51" i="27"/>
  <c r="AA72" i="27"/>
  <c r="AB83" i="27"/>
  <c r="AB38" i="27"/>
  <c r="AC94" i="27"/>
  <c r="AC30" i="27"/>
  <c r="AC78" i="27"/>
  <c r="AC46" i="27"/>
  <c r="AC62" i="27"/>
  <c r="AC90" i="27"/>
  <c r="AC58" i="27"/>
  <c r="AC26" i="27"/>
  <c r="AC102" i="27"/>
  <c r="AC86" i="27"/>
  <c r="AC70" i="27"/>
  <c r="AC54" i="27"/>
  <c r="AC38" i="27"/>
  <c r="AC22" i="27"/>
  <c r="AC98" i="27"/>
  <c r="AC82" i="27"/>
  <c r="AC66" i="27"/>
  <c r="AC50" i="27"/>
  <c r="AC34" i="27"/>
  <c r="X90" i="27"/>
  <c r="X82" i="27"/>
  <c r="X74" i="27"/>
  <c r="X66" i="27"/>
  <c r="X58" i="27"/>
  <c r="X50" i="27"/>
  <c r="X42" i="27"/>
  <c r="X34" i="27"/>
  <c r="X26" i="27"/>
  <c r="X18" i="27"/>
  <c r="Y88" i="27"/>
  <c r="Y72" i="27"/>
  <c r="Y59" i="27"/>
  <c r="Y46" i="27"/>
  <c r="Y30" i="27"/>
  <c r="Y16" i="27"/>
  <c r="Z92" i="27"/>
  <c r="Z81" i="27"/>
  <c r="Z70" i="27"/>
  <c r="Z60" i="27"/>
  <c r="Z49" i="27"/>
  <c r="Z38" i="27"/>
  <c r="Z28" i="27"/>
  <c r="Z17" i="27"/>
  <c r="AA82" i="27"/>
  <c r="AA61" i="27"/>
  <c r="AA40" i="27"/>
  <c r="AB99" i="27"/>
  <c r="AB88" i="27"/>
  <c r="AB78" i="27"/>
  <c r="AB67" i="27"/>
  <c r="AB56" i="27"/>
  <c r="AB46" i="27"/>
  <c r="AB30" i="27"/>
  <c r="Z97" i="27"/>
  <c r="Z76" i="27"/>
  <c r="Z54" i="27"/>
  <c r="Z33" i="27"/>
  <c r="X14" i="27"/>
  <c r="X96" i="27"/>
  <c r="X88" i="27"/>
  <c r="X80" i="27"/>
  <c r="X72" i="27"/>
  <c r="X64" i="27"/>
  <c r="X56" i="27"/>
  <c r="X48" i="27"/>
  <c r="X40" i="27"/>
  <c r="X32" i="27"/>
  <c r="X24" i="27"/>
  <c r="X15" i="27"/>
  <c r="Y83" i="27"/>
  <c r="Y70" i="27"/>
  <c r="Y56" i="27"/>
  <c r="Y40" i="27"/>
  <c r="Y27" i="27"/>
  <c r="Z16" i="27"/>
  <c r="Z89" i="27"/>
  <c r="Z78" i="27"/>
  <c r="Z68" i="27"/>
  <c r="Z57" i="27"/>
  <c r="Z46" i="27"/>
  <c r="Z36" i="27"/>
  <c r="Z25" i="27"/>
  <c r="AA98" i="27"/>
  <c r="AA77" i="27"/>
  <c r="AA56" i="27"/>
  <c r="AA34" i="27"/>
  <c r="AB96" i="27"/>
  <c r="AB86" i="27"/>
  <c r="AB75" i="27"/>
  <c r="AB64" i="27"/>
  <c r="AB54" i="27"/>
  <c r="AB42" i="27"/>
  <c r="AB26" i="27"/>
  <c r="Z86" i="27"/>
  <c r="Z65" i="27"/>
  <c r="Z44" i="27"/>
  <c r="Z22" i="27"/>
  <c r="X92" i="27"/>
  <c r="X84" i="27"/>
  <c r="X76" i="27"/>
  <c r="X68" i="27"/>
  <c r="X60" i="27"/>
  <c r="X52" i="27"/>
  <c r="X44" i="27"/>
  <c r="X36" i="27"/>
  <c r="X28" i="27"/>
  <c r="X20" i="27"/>
  <c r="Y91" i="27"/>
  <c r="Y78" i="27"/>
  <c r="Y62" i="27"/>
  <c r="Y48" i="27"/>
  <c r="Y35" i="27"/>
  <c r="Z94" i="27"/>
  <c r="Z84" i="27"/>
  <c r="Z73" i="27"/>
  <c r="Z62" i="27"/>
  <c r="Z52" i="27"/>
  <c r="Z41" i="27"/>
  <c r="Z30" i="27"/>
  <c r="AA88" i="27"/>
  <c r="AA66" i="27"/>
  <c r="AA45" i="27"/>
  <c r="AB18" i="27"/>
  <c r="AB91" i="27"/>
  <c r="AB80" i="27"/>
  <c r="AB70" i="27"/>
  <c r="AB59" i="27"/>
  <c r="AB48" i="27"/>
  <c r="AB34" i="27"/>
  <c r="W93" i="27"/>
  <c r="W77" i="27"/>
  <c r="W61" i="27"/>
  <c r="W45" i="27"/>
  <c r="W13" i="27"/>
  <c r="W85" i="27"/>
  <c r="W69" i="27"/>
  <c r="W53" i="27"/>
  <c r="W37" i="27"/>
  <c r="W21" i="27"/>
  <c r="W29" i="27"/>
  <c r="W89" i="27"/>
  <c r="W73" i="27"/>
  <c r="W57" i="27"/>
  <c r="W41" i="27"/>
  <c r="W25" i="27"/>
  <c r="W81" i="27"/>
  <c r="W65" i="27"/>
  <c r="W49" i="27"/>
  <c r="W33" i="27"/>
  <c r="W17" i="27"/>
  <c r="AM32" i="27"/>
  <c r="AM36" i="27"/>
  <c r="AM40" i="27"/>
  <c r="AM44" i="27"/>
  <c r="AM48" i="27"/>
  <c r="AM52" i="27"/>
  <c r="AM56" i="27"/>
  <c r="AM60" i="27"/>
  <c r="AM64" i="27"/>
  <c r="AM68" i="27"/>
  <c r="AM72" i="27"/>
  <c r="AM76" i="27"/>
  <c r="AM80" i="27"/>
  <c r="AM84" i="27"/>
  <c r="AM88" i="27"/>
  <c r="AM92" i="27"/>
  <c r="AM96" i="27"/>
  <c r="AM100" i="27"/>
  <c r="AM104" i="27"/>
  <c r="AM108" i="27"/>
  <c r="AM112" i="27"/>
  <c r="AM33" i="27"/>
  <c r="AM37" i="27"/>
  <c r="AM41" i="27"/>
  <c r="AM45" i="27"/>
  <c r="AM49" i="27"/>
  <c r="AM53" i="27"/>
  <c r="AM57" i="27"/>
  <c r="AM61" i="27"/>
  <c r="AM65" i="27"/>
  <c r="AM69" i="27"/>
  <c r="AM73" i="27"/>
  <c r="AM77" i="27"/>
  <c r="AM81" i="27"/>
  <c r="AM85" i="27"/>
  <c r="AM89" i="27"/>
  <c r="AM93" i="27"/>
  <c r="AM97" i="27"/>
  <c r="AM101" i="27"/>
  <c r="AM105" i="27"/>
  <c r="AM109" i="27"/>
  <c r="AM29" i="27"/>
  <c r="AM30" i="27"/>
  <c r="AM34" i="27"/>
  <c r="AM38" i="27"/>
  <c r="AM42" i="27"/>
  <c r="AM46" i="27"/>
  <c r="AM50" i="27"/>
  <c r="AM54" i="27"/>
  <c r="AM58" i="27"/>
  <c r="AM62" i="27"/>
  <c r="AM66" i="27"/>
  <c r="AM70" i="27"/>
  <c r="AM74" i="27"/>
  <c r="AM78" i="27"/>
  <c r="AM82" i="27"/>
  <c r="AM86" i="27"/>
  <c r="AM90" i="27"/>
  <c r="AM94" i="27"/>
  <c r="AM98" i="27"/>
  <c r="AM102" i="27"/>
  <c r="AM106" i="27"/>
  <c r="AM110" i="27"/>
  <c r="AM31" i="27"/>
  <c r="AM35" i="27"/>
  <c r="AM39" i="27"/>
  <c r="AM43" i="27"/>
  <c r="AM47" i="27"/>
  <c r="AM51" i="27"/>
  <c r="AM55" i="27"/>
  <c r="AM59" i="27"/>
  <c r="AM63" i="27"/>
  <c r="AM67" i="27"/>
  <c r="AM71" i="27"/>
  <c r="AM75" i="27"/>
  <c r="AM79" i="27"/>
  <c r="AM83" i="27"/>
  <c r="AM87" i="27"/>
  <c r="AM91" i="27"/>
  <c r="AM95" i="27"/>
  <c r="AM99" i="27"/>
  <c r="AM103" i="27"/>
  <c r="AM107" i="27"/>
  <c r="AM111" i="27"/>
  <c r="AI26" i="27"/>
  <c r="AI30" i="27"/>
  <c r="AI34" i="27"/>
  <c r="AI38" i="27"/>
  <c r="AI42" i="27"/>
  <c r="AI46" i="27"/>
  <c r="AI50" i="27"/>
  <c r="AI54" i="27"/>
  <c r="AI58" i="27"/>
  <c r="AI62" i="27"/>
  <c r="AI66" i="27"/>
  <c r="AI70" i="27"/>
  <c r="AI74" i="27"/>
  <c r="AI78" i="27"/>
  <c r="AI82" i="27"/>
  <c r="AI86" i="27"/>
  <c r="AI90" i="27"/>
  <c r="AI94" i="27"/>
  <c r="AI98" i="27"/>
  <c r="AI102" i="27"/>
  <c r="AI106" i="27"/>
  <c r="AI27" i="27"/>
  <c r="AI31" i="27"/>
  <c r="AI35" i="27"/>
  <c r="AI39" i="27"/>
  <c r="AI43" i="27"/>
  <c r="AI47" i="27"/>
  <c r="AI51" i="27"/>
  <c r="AI55" i="27"/>
  <c r="AI59" i="27"/>
  <c r="AI63" i="27"/>
  <c r="AI67" i="27"/>
  <c r="AI71" i="27"/>
  <c r="AI75" i="27"/>
  <c r="AI79" i="27"/>
  <c r="AI83" i="27"/>
  <c r="AI87" i="27"/>
  <c r="AI91" i="27"/>
  <c r="AI95" i="27"/>
  <c r="AI99" i="27"/>
  <c r="AI103" i="27"/>
  <c r="AI107" i="27"/>
  <c r="AI28" i="27"/>
  <c r="AI32" i="27"/>
  <c r="AI36" i="27"/>
  <c r="AI40" i="27"/>
  <c r="AI44" i="27"/>
  <c r="AI48" i="27"/>
  <c r="AI52" i="27"/>
  <c r="AI56" i="27"/>
  <c r="AI60" i="27"/>
  <c r="AI64" i="27"/>
  <c r="AI68" i="27"/>
  <c r="AI72" i="27"/>
  <c r="AI76" i="27"/>
  <c r="AI80" i="27"/>
  <c r="AI84" i="27"/>
  <c r="AI88" i="27"/>
  <c r="AI92" i="27"/>
  <c r="AI96" i="27"/>
  <c r="AI100" i="27"/>
  <c r="AI104" i="27"/>
  <c r="AI108" i="27"/>
  <c r="AI29" i="27"/>
  <c r="AI33" i="27"/>
  <c r="AI37" i="27"/>
  <c r="AI41" i="27"/>
  <c r="AI45" i="27"/>
  <c r="AI49" i="27"/>
  <c r="AI53" i="27"/>
  <c r="AI57" i="27"/>
  <c r="AI61" i="27"/>
  <c r="AI65" i="27"/>
  <c r="AI69" i="27"/>
  <c r="AI73" i="27"/>
  <c r="AI77" i="27"/>
  <c r="AI81" i="27"/>
  <c r="AI85" i="27"/>
  <c r="AI89" i="27"/>
  <c r="AI93" i="27"/>
  <c r="AI97" i="27"/>
  <c r="AI101" i="27"/>
  <c r="AI105" i="27"/>
  <c r="AI25" i="27"/>
  <c r="AD20" i="27"/>
  <c r="AD100" i="27"/>
  <c r="AD96" i="27"/>
  <c r="AD92" i="27"/>
  <c r="AD88" i="27"/>
  <c r="AD84" i="27"/>
  <c r="AD80" i="27"/>
  <c r="AD76" i="27"/>
  <c r="AD72" i="27"/>
  <c r="AD68" i="27"/>
  <c r="AD64" i="27"/>
  <c r="AD60" i="27"/>
  <c r="AD56" i="27"/>
  <c r="AD52" i="27"/>
  <c r="AD48" i="27"/>
  <c r="AD44" i="27"/>
  <c r="AD40" i="27"/>
  <c r="AD36" i="27"/>
  <c r="AD32" i="27"/>
  <c r="AD28" i="27"/>
  <c r="AD24" i="27"/>
  <c r="AE104" i="27"/>
  <c r="AE100" i="27"/>
  <c r="AE96" i="27"/>
  <c r="AE92" i="27"/>
  <c r="AE88" i="27"/>
  <c r="AE84" i="27"/>
  <c r="AE80" i="27"/>
  <c r="AE76" i="27"/>
  <c r="AE72" i="27"/>
  <c r="AE68" i="27"/>
  <c r="AE64" i="27"/>
  <c r="AE60" i="27"/>
  <c r="AE56" i="27"/>
  <c r="AE52" i="27"/>
  <c r="AE48" i="27"/>
  <c r="AE44" i="27"/>
  <c r="AE40" i="27"/>
  <c r="AE36" i="27"/>
  <c r="AE32" i="27"/>
  <c r="AE28" i="27"/>
  <c r="AE24" i="27"/>
  <c r="AL31" i="27"/>
  <c r="AL35" i="27"/>
  <c r="AL39" i="27"/>
  <c r="AL43" i="27"/>
  <c r="AL47" i="27"/>
  <c r="AL51" i="27"/>
  <c r="AL55" i="27"/>
  <c r="AL59" i="27"/>
  <c r="AL63" i="27"/>
  <c r="AL67" i="27"/>
  <c r="AL71" i="27"/>
  <c r="AL75" i="27"/>
  <c r="AL79" i="27"/>
  <c r="AL83" i="27"/>
  <c r="AL87" i="27"/>
  <c r="AL91" i="27"/>
  <c r="AL95" i="27"/>
  <c r="AL99" i="27"/>
  <c r="AL103" i="27"/>
  <c r="AL107" i="27"/>
  <c r="AL111" i="27"/>
  <c r="AL32" i="27"/>
  <c r="AL36" i="27"/>
  <c r="AL40" i="27"/>
  <c r="AL44" i="27"/>
  <c r="AL48" i="27"/>
  <c r="AL52" i="27"/>
  <c r="AL56" i="27"/>
  <c r="AL60" i="27"/>
  <c r="AL64" i="27"/>
  <c r="AL68" i="27"/>
  <c r="AL72" i="27"/>
  <c r="AL76" i="27"/>
  <c r="AL80" i="27"/>
  <c r="AL84" i="27"/>
  <c r="AL88" i="27"/>
  <c r="AL92" i="27"/>
  <c r="AL96" i="27"/>
  <c r="AL100" i="27"/>
  <c r="AL104" i="27"/>
  <c r="AL108" i="27"/>
  <c r="AL29" i="27"/>
  <c r="AL33" i="27"/>
  <c r="AL37" i="27"/>
  <c r="AL41" i="27"/>
  <c r="AL45" i="27"/>
  <c r="AL49" i="27"/>
  <c r="AL53" i="27"/>
  <c r="AL57" i="27"/>
  <c r="AL61" i="27"/>
  <c r="AL65" i="27"/>
  <c r="AL69" i="27"/>
  <c r="AL73" i="27"/>
  <c r="AL77" i="27"/>
  <c r="AL81" i="27"/>
  <c r="AL85" i="27"/>
  <c r="AL89" i="27"/>
  <c r="AL93" i="27"/>
  <c r="AL97" i="27"/>
  <c r="AL101" i="27"/>
  <c r="AL105" i="27"/>
  <c r="AL109" i="27"/>
  <c r="AL30" i="27"/>
  <c r="AL34" i="27"/>
  <c r="AL38" i="27"/>
  <c r="AL42" i="27"/>
  <c r="AL46" i="27"/>
  <c r="AL50" i="27"/>
  <c r="AL54" i="27"/>
  <c r="AL58" i="27"/>
  <c r="AL62" i="27"/>
  <c r="AL66" i="27"/>
  <c r="AL70" i="27"/>
  <c r="AL74" i="27"/>
  <c r="AL78" i="27"/>
  <c r="AL82" i="27"/>
  <c r="AL86" i="27"/>
  <c r="AL90" i="27"/>
  <c r="AL94" i="27"/>
  <c r="AL98" i="27"/>
  <c r="AL102" i="27"/>
  <c r="AL106" i="27"/>
  <c r="AL110" i="27"/>
  <c r="AL28" i="27"/>
  <c r="AH25" i="27"/>
  <c r="AH29" i="27"/>
  <c r="AH33" i="27"/>
  <c r="AH37" i="27"/>
  <c r="AH41" i="27"/>
  <c r="AH45" i="27"/>
  <c r="AH49" i="27"/>
  <c r="AH53" i="27"/>
  <c r="AH57" i="27"/>
  <c r="AH61" i="27"/>
  <c r="AH65" i="27"/>
  <c r="AH69" i="27"/>
  <c r="AH73" i="27"/>
  <c r="AH77" i="27"/>
  <c r="AH81" i="27"/>
  <c r="AH85" i="27"/>
  <c r="AH89" i="27"/>
  <c r="AH93" i="27"/>
  <c r="AH97" i="27"/>
  <c r="AH101" i="27"/>
  <c r="AH105" i="27"/>
  <c r="AH26" i="27"/>
  <c r="AH30" i="27"/>
  <c r="AH34" i="27"/>
  <c r="AH38" i="27"/>
  <c r="AH42" i="27"/>
  <c r="AH46" i="27"/>
  <c r="AH50" i="27"/>
  <c r="AH54" i="27"/>
  <c r="AH58" i="27"/>
  <c r="AH62" i="27"/>
  <c r="AH66" i="27"/>
  <c r="AH70" i="27"/>
  <c r="AH74" i="27"/>
  <c r="AH78" i="27"/>
  <c r="AH82" i="27"/>
  <c r="AH86" i="27"/>
  <c r="AH90" i="27"/>
  <c r="AH94" i="27"/>
  <c r="AH98" i="27"/>
  <c r="AH102" i="27"/>
  <c r="AH106" i="27"/>
  <c r="AH24" i="27"/>
  <c r="AH27" i="27"/>
  <c r="AH31" i="27"/>
  <c r="AH35" i="27"/>
  <c r="AH39" i="27"/>
  <c r="AH43" i="27"/>
  <c r="AH47" i="27"/>
  <c r="AH51" i="27"/>
  <c r="AH55" i="27"/>
  <c r="AH59" i="27"/>
  <c r="AH63" i="27"/>
  <c r="AH67" i="27"/>
  <c r="AH71" i="27"/>
  <c r="AH75" i="27"/>
  <c r="AH79" i="27"/>
  <c r="AH83" i="27"/>
  <c r="AH87" i="27"/>
  <c r="AH91" i="27"/>
  <c r="AH95" i="27"/>
  <c r="AH99" i="27"/>
  <c r="AH103" i="27"/>
  <c r="AH107" i="27"/>
  <c r="AH28" i="27"/>
  <c r="AH32" i="27"/>
  <c r="AH36" i="27"/>
  <c r="AH40" i="27"/>
  <c r="AH44" i="27"/>
  <c r="AH48" i="27"/>
  <c r="AH52" i="27"/>
  <c r="AH56" i="27"/>
  <c r="AH60" i="27"/>
  <c r="AH64" i="27"/>
  <c r="AH68" i="27"/>
  <c r="AH72" i="27"/>
  <c r="AH76" i="27"/>
  <c r="AH80" i="27"/>
  <c r="AH84" i="27"/>
  <c r="AH88" i="27"/>
  <c r="AH92" i="27"/>
  <c r="AH96" i="27"/>
  <c r="AH100" i="27"/>
  <c r="AH104" i="27"/>
  <c r="AD103" i="27"/>
  <c r="AD99" i="27"/>
  <c r="AD95" i="27"/>
  <c r="AD91" i="27"/>
  <c r="AD87" i="27"/>
  <c r="AD83" i="27"/>
  <c r="AD79" i="27"/>
  <c r="AD75" i="27"/>
  <c r="AD71" i="27"/>
  <c r="AD67" i="27"/>
  <c r="AD63" i="27"/>
  <c r="AD59" i="27"/>
  <c r="AD55" i="27"/>
  <c r="AD51" i="27"/>
  <c r="AD47" i="27"/>
  <c r="AD43" i="27"/>
  <c r="AD39" i="27"/>
  <c r="AD35" i="27"/>
  <c r="AD31" i="27"/>
  <c r="AD27" i="27"/>
  <c r="AD23" i="27"/>
  <c r="AE103" i="27"/>
  <c r="AE99" i="27"/>
  <c r="AE95" i="27"/>
  <c r="AE91" i="27"/>
  <c r="AE87" i="27"/>
  <c r="AE83" i="27"/>
  <c r="AE79" i="27"/>
  <c r="AE75" i="27"/>
  <c r="AE71" i="27"/>
  <c r="AE67" i="27"/>
  <c r="AE63" i="27"/>
  <c r="AE59" i="27"/>
  <c r="AE55" i="27"/>
  <c r="AE51" i="27"/>
  <c r="AE47" i="27"/>
  <c r="AE43" i="27"/>
  <c r="AE39" i="27"/>
  <c r="AE35" i="27"/>
  <c r="AE31" i="27"/>
  <c r="AE27" i="27"/>
  <c r="AE23" i="27"/>
  <c r="AK31" i="27"/>
  <c r="AK35" i="27"/>
  <c r="AK39" i="27"/>
  <c r="AK43" i="27"/>
  <c r="AK47" i="27"/>
  <c r="AK51" i="27"/>
  <c r="AK55" i="27"/>
  <c r="AK59" i="27"/>
  <c r="AK63" i="27"/>
  <c r="AK67" i="27"/>
  <c r="AK71" i="27"/>
  <c r="AK75" i="27"/>
  <c r="AK79" i="27"/>
  <c r="AK83" i="27"/>
  <c r="AK87" i="27"/>
  <c r="AK91" i="27"/>
  <c r="AK95" i="27"/>
  <c r="AK99" i="27"/>
  <c r="AK103" i="27"/>
  <c r="AK28" i="27"/>
  <c r="AK32" i="27"/>
  <c r="AK36" i="27"/>
  <c r="AK40" i="27"/>
  <c r="AK44" i="27"/>
  <c r="AK48" i="27"/>
  <c r="AK52" i="27"/>
  <c r="AK56" i="27"/>
  <c r="AK60" i="27"/>
  <c r="AK64" i="27"/>
  <c r="AK68" i="27"/>
  <c r="AK72" i="27"/>
  <c r="AK76" i="27"/>
  <c r="AK80" i="27"/>
  <c r="AK84" i="27"/>
  <c r="AK88" i="27"/>
  <c r="AK92" i="27"/>
  <c r="AK96" i="27"/>
  <c r="AK100" i="27"/>
  <c r="AK104" i="27"/>
  <c r="AK29" i="27"/>
  <c r="AK33" i="27"/>
  <c r="AK37" i="27"/>
  <c r="AK41" i="27"/>
  <c r="AK45" i="27"/>
  <c r="AK49" i="27"/>
  <c r="AK53" i="27"/>
  <c r="AK57" i="27"/>
  <c r="AK61" i="27"/>
  <c r="AK65" i="27"/>
  <c r="AK69" i="27"/>
  <c r="AK73" i="27"/>
  <c r="AK77" i="27"/>
  <c r="AK81" i="27"/>
  <c r="AK85" i="27"/>
  <c r="AK89" i="27"/>
  <c r="AK93" i="27"/>
  <c r="AK97" i="27"/>
  <c r="AK101" i="27"/>
  <c r="AK30" i="27"/>
  <c r="AK34" i="27"/>
  <c r="AK38" i="27"/>
  <c r="AK42" i="27"/>
  <c r="AK46" i="27"/>
  <c r="AK50" i="27"/>
  <c r="AK54" i="27"/>
  <c r="AK58" i="27"/>
  <c r="AK62" i="27"/>
  <c r="AK66" i="27"/>
  <c r="AK70" i="27"/>
  <c r="AK74" i="27"/>
  <c r="AK78" i="27"/>
  <c r="AK82" i="27"/>
  <c r="AK86" i="27"/>
  <c r="AK90" i="27"/>
  <c r="AK94" i="27"/>
  <c r="AK98" i="27"/>
  <c r="AK102" i="27"/>
  <c r="AK106" i="27"/>
  <c r="AK110" i="27"/>
  <c r="AK107" i="27"/>
  <c r="AK27" i="27"/>
  <c r="AK108" i="27"/>
  <c r="AK105" i="27"/>
  <c r="AK109" i="27"/>
  <c r="AG25" i="27"/>
  <c r="AG29" i="27"/>
  <c r="AG33" i="27"/>
  <c r="AG37" i="27"/>
  <c r="AG41" i="27"/>
  <c r="AG45" i="27"/>
  <c r="AG49" i="27"/>
  <c r="AG53" i="27"/>
  <c r="AG57" i="27"/>
  <c r="AG61" i="27"/>
  <c r="AG65" i="27"/>
  <c r="AG69" i="27"/>
  <c r="AG73" i="27"/>
  <c r="AG77" i="27"/>
  <c r="AG81" i="27"/>
  <c r="AG85" i="27"/>
  <c r="AG89" i="27"/>
  <c r="AG93" i="27"/>
  <c r="AG97" i="27"/>
  <c r="AG101" i="27"/>
  <c r="AG26" i="27"/>
  <c r="AG30" i="27"/>
  <c r="AG34" i="27"/>
  <c r="AG38" i="27"/>
  <c r="AG42" i="27"/>
  <c r="AG46" i="27"/>
  <c r="AG50" i="27"/>
  <c r="AG54" i="27"/>
  <c r="AG58" i="27"/>
  <c r="AG62" i="27"/>
  <c r="AG66" i="27"/>
  <c r="AG70" i="27"/>
  <c r="AG74" i="27"/>
  <c r="AG78" i="27"/>
  <c r="AG82" i="27"/>
  <c r="AG86" i="27"/>
  <c r="AG90" i="27"/>
  <c r="AG94" i="27"/>
  <c r="AG98" i="27"/>
  <c r="AG102" i="27"/>
  <c r="AG27" i="27"/>
  <c r="AG31" i="27"/>
  <c r="AG35" i="27"/>
  <c r="AG39" i="27"/>
  <c r="AG43" i="27"/>
  <c r="AG47" i="27"/>
  <c r="AG51" i="27"/>
  <c r="AG55" i="27"/>
  <c r="AG59" i="27"/>
  <c r="AG63" i="27"/>
  <c r="AG67" i="27"/>
  <c r="AG71" i="27"/>
  <c r="AG75" i="27"/>
  <c r="AG79" i="27"/>
  <c r="AG83" i="27"/>
  <c r="AG87" i="27"/>
  <c r="AG91" i="27"/>
  <c r="AG95" i="27"/>
  <c r="AG99" i="27"/>
  <c r="AG103" i="27"/>
  <c r="AG24" i="27"/>
  <c r="AG28" i="27"/>
  <c r="AG32" i="27"/>
  <c r="AG36" i="27"/>
  <c r="AG40" i="27"/>
  <c r="AG44" i="27"/>
  <c r="AG48" i="27"/>
  <c r="AG52" i="27"/>
  <c r="AG56" i="27"/>
  <c r="AG60" i="27"/>
  <c r="AG64" i="27"/>
  <c r="AG68" i="27"/>
  <c r="AG72" i="27"/>
  <c r="AG76" i="27"/>
  <c r="AG80" i="27"/>
  <c r="AG84" i="27"/>
  <c r="AG88" i="27"/>
  <c r="AG92" i="27"/>
  <c r="AG96" i="27"/>
  <c r="AG100" i="27"/>
  <c r="AG105" i="27"/>
  <c r="AG106" i="27"/>
  <c r="AG23" i="27"/>
  <c r="AG104" i="27"/>
  <c r="AD102" i="27"/>
  <c r="AD98" i="27"/>
  <c r="AD94" i="27"/>
  <c r="AD90" i="27"/>
  <c r="AD86" i="27"/>
  <c r="AD82" i="27"/>
  <c r="AD78" i="27"/>
  <c r="AD74" i="27"/>
  <c r="AD70" i="27"/>
  <c r="AD66" i="27"/>
  <c r="AD62" i="27"/>
  <c r="AD58" i="27"/>
  <c r="AD54" i="27"/>
  <c r="AD50" i="27"/>
  <c r="AD46" i="27"/>
  <c r="AD42" i="27"/>
  <c r="AD38" i="27"/>
  <c r="AD34" i="27"/>
  <c r="AD30" i="27"/>
  <c r="AD26" i="27"/>
  <c r="AD22" i="27"/>
  <c r="AE102" i="27"/>
  <c r="AE98" i="27"/>
  <c r="AE94" i="27"/>
  <c r="AE90" i="27"/>
  <c r="AE86" i="27"/>
  <c r="AE82" i="27"/>
  <c r="AE78" i="27"/>
  <c r="AE74" i="27"/>
  <c r="AE70" i="27"/>
  <c r="AE66" i="27"/>
  <c r="AE62" i="27"/>
  <c r="AE58" i="27"/>
  <c r="AE54" i="27"/>
  <c r="AE50" i="27"/>
  <c r="AE46" i="27"/>
  <c r="AE42" i="27"/>
  <c r="AE38" i="27"/>
  <c r="AE34" i="27"/>
  <c r="AE30" i="27"/>
  <c r="AE26" i="27"/>
  <c r="AE22" i="27"/>
  <c r="AN33" i="27"/>
  <c r="AN37" i="27"/>
  <c r="AN41" i="27"/>
  <c r="AN45" i="27"/>
  <c r="AN49" i="27"/>
  <c r="AN53" i="27"/>
  <c r="AN57" i="27"/>
  <c r="AN61" i="27"/>
  <c r="AN65" i="27"/>
  <c r="AN69" i="27"/>
  <c r="AN73" i="27"/>
  <c r="AN77" i="27"/>
  <c r="AN81" i="27"/>
  <c r="AN85" i="27"/>
  <c r="AN89" i="27"/>
  <c r="AN93" i="27"/>
  <c r="AN97" i="27"/>
  <c r="AN101" i="27"/>
  <c r="AN105" i="27"/>
  <c r="AN109" i="27"/>
  <c r="AN113" i="27"/>
  <c r="AN34" i="27"/>
  <c r="AN38" i="27"/>
  <c r="AN42" i="27"/>
  <c r="AN46" i="27"/>
  <c r="AN50" i="27"/>
  <c r="AN54" i="27"/>
  <c r="AN58" i="27"/>
  <c r="AN62" i="27"/>
  <c r="AN66" i="27"/>
  <c r="AN70" i="27"/>
  <c r="AN74" i="27"/>
  <c r="AN78" i="27"/>
  <c r="AN82" i="27"/>
  <c r="AN86" i="27"/>
  <c r="AN90" i="27"/>
  <c r="AN94" i="27"/>
  <c r="AN98" i="27"/>
  <c r="AN102" i="27"/>
  <c r="AN106" i="27"/>
  <c r="AN110" i="27"/>
  <c r="AN30" i="27"/>
  <c r="AN31" i="27"/>
  <c r="AN35" i="27"/>
  <c r="AN39" i="27"/>
  <c r="AN43" i="27"/>
  <c r="AN47" i="27"/>
  <c r="AN51" i="27"/>
  <c r="AN55" i="27"/>
  <c r="AN59" i="27"/>
  <c r="AN63" i="27"/>
  <c r="AN67" i="27"/>
  <c r="AN71" i="27"/>
  <c r="AN75" i="27"/>
  <c r="AN79" i="27"/>
  <c r="AN83" i="27"/>
  <c r="AN87" i="27"/>
  <c r="AN91" i="27"/>
  <c r="AN95" i="27"/>
  <c r="AN99" i="27"/>
  <c r="AN103" i="27"/>
  <c r="AN107" i="27"/>
  <c r="AN111" i="27"/>
  <c r="AN32" i="27"/>
  <c r="AN36" i="27"/>
  <c r="AN40" i="27"/>
  <c r="AN44" i="27"/>
  <c r="AN48" i="27"/>
  <c r="AN52" i="27"/>
  <c r="AN56" i="27"/>
  <c r="AN60" i="27"/>
  <c r="AN64" i="27"/>
  <c r="AN68" i="27"/>
  <c r="AN72" i="27"/>
  <c r="AN76" i="27"/>
  <c r="AN80" i="27"/>
  <c r="AN84" i="27"/>
  <c r="AN88" i="27"/>
  <c r="AN92" i="27"/>
  <c r="AN96" i="27"/>
  <c r="AN100" i="27"/>
  <c r="AN104" i="27"/>
  <c r="AN108" i="27"/>
  <c r="AN112" i="27"/>
  <c r="AJ27" i="27"/>
  <c r="AJ31" i="27"/>
  <c r="AJ35" i="27"/>
  <c r="AJ39" i="27"/>
  <c r="AJ43" i="27"/>
  <c r="AJ47" i="27"/>
  <c r="AJ51" i="27"/>
  <c r="AJ55" i="27"/>
  <c r="AJ59" i="27"/>
  <c r="AJ63" i="27"/>
  <c r="AJ67" i="27"/>
  <c r="AJ71" i="27"/>
  <c r="AJ75" i="27"/>
  <c r="AJ79" i="27"/>
  <c r="AJ83" i="27"/>
  <c r="AJ87" i="27"/>
  <c r="AJ91" i="27"/>
  <c r="AJ95" i="27"/>
  <c r="AJ99" i="27"/>
  <c r="AJ103" i="27"/>
  <c r="AJ107" i="27"/>
  <c r="AJ28" i="27"/>
  <c r="AJ32" i="27"/>
  <c r="AJ36" i="27"/>
  <c r="AJ40" i="27"/>
  <c r="AJ44" i="27"/>
  <c r="AJ48" i="27"/>
  <c r="AJ52" i="27"/>
  <c r="AJ56" i="27"/>
  <c r="AJ60" i="27"/>
  <c r="AJ64" i="27"/>
  <c r="AJ68" i="27"/>
  <c r="AJ72" i="27"/>
  <c r="AJ76" i="27"/>
  <c r="AJ80" i="27"/>
  <c r="AJ84" i="27"/>
  <c r="AJ88" i="27"/>
  <c r="AJ92" i="27"/>
  <c r="AJ96" i="27"/>
  <c r="AJ100" i="27"/>
  <c r="AJ104" i="27"/>
  <c r="AJ108" i="27"/>
  <c r="AJ29" i="27"/>
  <c r="AJ33" i="27"/>
  <c r="AJ37" i="27"/>
  <c r="AJ41" i="27"/>
  <c r="AJ45" i="27"/>
  <c r="AJ49" i="27"/>
  <c r="AJ53" i="27"/>
  <c r="AJ57" i="27"/>
  <c r="AJ61" i="27"/>
  <c r="AJ65" i="27"/>
  <c r="AJ69" i="27"/>
  <c r="AJ73" i="27"/>
  <c r="AJ77" i="27"/>
  <c r="AJ81" i="27"/>
  <c r="AJ85" i="27"/>
  <c r="AJ89" i="27"/>
  <c r="AJ93" i="27"/>
  <c r="AJ97" i="27"/>
  <c r="AJ101" i="27"/>
  <c r="AJ105" i="27"/>
  <c r="AJ109" i="27"/>
  <c r="AJ30" i="27"/>
  <c r="AJ34" i="27"/>
  <c r="AJ38" i="27"/>
  <c r="AJ42" i="27"/>
  <c r="AJ46" i="27"/>
  <c r="AJ50" i="27"/>
  <c r="AJ54" i="27"/>
  <c r="AJ58" i="27"/>
  <c r="AJ62" i="27"/>
  <c r="AJ66" i="27"/>
  <c r="AJ70" i="27"/>
  <c r="AJ74" i="27"/>
  <c r="AJ78" i="27"/>
  <c r="AJ82" i="27"/>
  <c r="AJ86" i="27"/>
  <c r="AJ90" i="27"/>
  <c r="AJ94" i="27"/>
  <c r="AJ98" i="27"/>
  <c r="AJ102" i="27"/>
  <c r="AJ106" i="27"/>
  <c r="AJ26" i="27"/>
  <c r="AF24" i="27"/>
  <c r="AF28" i="27"/>
  <c r="AF32" i="27"/>
  <c r="AF36" i="27"/>
  <c r="AF40" i="27"/>
  <c r="AF44" i="27"/>
  <c r="AF48" i="27"/>
  <c r="AF52" i="27"/>
  <c r="AF56" i="27"/>
  <c r="AF60" i="27"/>
  <c r="AF64" i="27"/>
  <c r="AF68" i="27"/>
  <c r="AF72" i="27"/>
  <c r="AF76" i="27"/>
  <c r="AF80" i="27"/>
  <c r="AF84" i="27"/>
  <c r="AF88" i="27"/>
  <c r="AF92" i="27"/>
  <c r="AF96" i="27"/>
  <c r="AF100" i="27"/>
  <c r="AF104" i="27"/>
  <c r="AF93" i="27"/>
  <c r="AF101" i="27"/>
  <c r="AF105" i="27"/>
  <c r="AF25" i="27"/>
  <c r="AF29" i="27"/>
  <c r="AF33" i="27"/>
  <c r="AF37" i="27"/>
  <c r="AF41" i="27"/>
  <c r="AF45" i="27"/>
  <c r="AF49" i="27"/>
  <c r="AF53" i="27"/>
  <c r="AF57" i="27"/>
  <c r="AF61" i="27"/>
  <c r="AF65" i="27"/>
  <c r="AF69" i="27"/>
  <c r="AF73" i="27"/>
  <c r="AF77" i="27"/>
  <c r="AF81" i="27"/>
  <c r="AF85" i="27"/>
  <c r="AF89" i="27"/>
  <c r="AF97" i="27"/>
  <c r="AF26" i="27"/>
  <c r="AF30" i="27"/>
  <c r="AF34" i="27"/>
  <c r="AF38" i="27"/>
  <c r="AF42" i="27"/>
  <c r="AF46" i="27"/>
  <c r="AF50" i="27"/>
  <c r="AF54" i="27"/>
  <c r="AF58" i="27"/>
  <c r="AF62" i="27"/>
  <c r="AF66" i="27"/>
  <c r="AF70" i="27"/>
  <c r="AF74" i="27"/>
  <c r="AF78" i="27"/>
  <c r="AF82" i="27"/>
  <c r="AF86" i="27"/>
  <c r="AF90" i="27"/>
  <c r="AF94" i="27"/>
  <c r="AF98" i="27"/>
  <c r="AF102" i="27"/>
  <c r="AF22" i="27"/>
  <c r="AF99" i="27"/>
  <c r="AF27" i="27"/>
  <c r="AF31" i="27"/>
  <c r="AF35" i="27"/>
  <c r="AF39" i="27"/>
  <c r="AF43" i="27"/>
  <c r="AF47" i="27"/>
  <c r="AF51" i="27"/>
  <c r="AF55" i="27"/>
  <c r="AF59" i="27"/>
  <c r="AF63" i="27"/>
  <c r="AF67" i="27"/>
  <c r="AF71" i="27"/>
  <c r="AF75" i="27"/>
  <c r="AF79" i="27"/>
  <c r="AF83" i="27"/>
  <c r="AF87" i="27"/>
  <c r="AF91" i="27"/>
  <c r="AF95" i="27"/>
  <c r="AF103" i="27"/>
  <c r="AD101" i="27"/>
  <c r="AD97" i="27"/>
  <c r="AD93" i="27"/>
  <c r="AD89" i="27"/>
  <c r="AD85" i="27"/>
  <c r="AD81" i="27"/>
  <c r="AD77" i="27"/>
  <c r="AD73" i="27"/>
  <c r="AD69" i="27"/>
  <c r="AD65" i="27"/>
  <c r="AD61" i="27"/>
  <c r="AD57" i="27"/>
  <c r="AD53" i="27"/>
  <c r="AD49" i="27"/>
  <c r="AD45" i="27"/>
  <c r="AD41" i="27"/>
  <c r="AD37" i="27"/>
  <c r="AD33" i="27"/>
  <c r="AD29" i="27"/>
  <c r="AD25" i="27"/>
  <c r="AE101" i="27"/>
  <c r="AE97" i="27"/>
  <c r="AE93" i="27"/>
  <c r="AE89" i="27"/>
  <c r="AE85" i="27"/>
  <c r="AE81" i="27"/>
  <c r="AE77" i="27"/>
  <c r="AE73" i="27"/>
  <c r="AE69" i="27"/>
  <c r="AE65" i="27"/>
  <c r="AE61" i="27"/>
  <c r="AE57" i="27"/>
  <c r="AE53" i="27"/>
  <c r="AE49" i="27"/>
  <c r="AE45" i="27"/>
  <c r="AE41" i="27"/>
  <c r="AE37" i="27"/>
  <c r="AE33" i="27"/>
  <c r="AE29" i="27"/>
  <c r="AE25" i="27"/>
  <c r="AC96" i="27"/>
  <c r="AC88" i="27"/>
  <c r="AC80" i="27"/>
  <c r="AC72" i="27"/>
  <c r="AC64" i="27"/>
  <c r="AC56" i="27"/>
  <c r="AC48" i="27"/>
  <c r="AC40" i="27"/>
  <c r="AC32" i="27"/>
  <c r="AC24" i="27"/>
  <c r="AC100" i="27"/>
  <c r="AC92" i="27"/>
  <c r="AC84" i="27"/>
  <c r="AC76" i="27"/>
  <c r="AC68" i="27"/>
  <c r="AC60" i="27"/>
  <c r="AC52" i="27"/>
  <c r="AC44" i="27"/>
  <c r="AC36" i="27"/>
  <c r="AC28" i="27"/>
  <c r="AC20" i="27"/>
  <c r="AC101" i="27"/>
  <c r="AC97" i="27"/>
  <c r="AC93" i="27"/>
  <c r="AC89" i="27"/>
  <c r="AC85" i="27"/>
  <c r="AC81" i="27"/>
  <c r="AC77" i="27"/>
  <c r="AC73" i="27"/>
  <c r="AC69" i="27"/>
  <c r="AC65" i="27"/>
  <c r="AC61" i="27"/>
  <c r="AC57" i="27"/>
  <c r="AC53" i="27"/>
  <c r="AC49" i="27"/>
  <c r="AC45" i="27"/>
  <c r="AC41" i="27"/>
  <c r="AC37" i="27"/>
  <c r="AC33" i="27"/>
  <c r="AC29" i="27"/>
  <c r="AC25" i="27"/>
  <c r="AC21" i="27"/>
  <c r="AC99" i="27"/>
  <c r="AC95" i="27"/>
  <c r="AC91" i="27"/>
  <c r="AC87" i="27"/>
  <c r="AC83" i="27"/>
  <c r="AC79" i="27"/>
  <c r="AC75" i="27"/>
  <c r="AC71" i="27"/>
  <c r="AC67" i="27"/>
  <c r="AC63" i="27"/>
  <c r="AC59" i="27"/>
  <c r="AC55" i="27"/>
  <c r="AC51" i="27"/>
  <c r="AC47" i="27"/>
  <c r="AC43" i="27"/>
  <c r="AC39" i="27"/>
  <c r="AC35" i="27"/>
  <c r="AC31" i="27"/>
  <c r="AC27" i="27"/>
  <c r="AC23" i="27"/>
  <c r="Y17" i="27"/>
  <c r="Y21" i="27"/>
  <c r="Y25" i="27"/>
  <c r="Y29" i="27"/>
  <c r="Y33" i="27"/>
  <c r="Y37" i="27"/>
  <c r="Y41" i="27"/>
  <c r="Y45" i="27"/>
  <c r="Y49" i="27"/>
  <c r="Y53" i="27"/>
  <c r="Y57" i="27"/>
  <c r="Y61" i="27"/>
  <c r="Y65" i="27"/>
  <c r="Y69" i="27"/>
  <c r="Y73" i="27"/>
  <c r="Y77" i="27"/>
  <c r="Y81" i="27"/>
  <c r="Y85" i="27"/>
  <c r="Y89" i="27"/>
  <c r="Y93" i="27"/>
  <c r="Y97" i="27"/>
  <c r="Y18" i="27"/>
  <c r="Y23" i="27"/>
  <c r="Y28" i="27"/>
  <c r="Y34" i="27"/>
  <c r="Y39" i="27"/>
  <c r="Y44" i="27"/>
  <c r="Y50" i="27"/>
  <c r="Y55" i="27"/>
  <c r="Y60" i="27"/>
  <c r="Y66" i="27"/>
  <c r="Y71" i="27"/>
  <c r="Y76" i="27"/>
  <c r="Y82" i="27"/>
  <c r="Y87" i="27"/>
  <c r="Y92" i="27"/>
  <c r="Y98" i="27"/>
  <c r="Y15" i="27"/>
  <c r="Y20" i="27"/>
  <c r="Y26" i="27"/>
  <c r="Y31" i="27"/>
  <c r="Y36" i="27"/>
  <c r="Y42" i="27"/>
  <c r="Y47" i="27"/>
  <c r="Y52" i="27"/>
  <c r="Y58" i="27"/>
  <c r="Y63" i="27"/>
  <c r="Y68" i="27"/>
  <c r="Y74" i="27"/>
  <c r="Y79" i="27"/>
  <c r="Y84" i="27"/>
  <c r="Y90" i="27"/>
  <c r="Y95" i="27"/>
  <c r="Y96" i="27"/>
  <c r="Y86" i="27"/>
  <c r="Y75" i="27"/>
  <c r="Y64" i="27"/>
  <c r="Y54" i="27"/>
  <c r="Y43" i="27"/>
  <c r="Y32" i="27"/>
  <c r="Y22" i="27"/>
  <c r="AA96" i="27"/>
  <c r="AA85" i="27"/>
  <c r="AA74" i="27"/>
  <c r="AA64" i="27"/>
  <c r="AA53" i="27"/>
  <c r="AA42" i="27"/>
  <c r="AA19" i="27"/>
  <c r="AA23" i="27"/>
  <c r="AA27" i="27"/>
  <c r="AA31" i="27"/>
  <c r="AA35" i="27"/>
  <c r="AA39" i="27"/>
  <c r="AA43" i="27"/>
  <c r="AA47" i="27"/>
  <c r="AA51" i="27"/>
  <c r="AA55" i="27"/>
  <c r="AA59" i="27"/>
  <c r="AA63" i="27"/>
  <c r="AA67" i="27"/>
  <c r="AA71" i="27"/>
  <c r="AA75" i="27"/>
  <c r="AA79" i="27"/>
  <c r="AA83" i="27"/>
  <c r="AA87" i="27"/>
  <c r="AA91" i="27"/>
  <c r="AA95" i="27"/>
  <c r="AA99" i="27"/>
  <c r="AA17" i="27"/>
  <c r="AA22" i="27"/>
  <c r="AA28" i="27"/>
  <c r="AA33" i="27"/>
  <c r="AA38" i="27"/>
  <c r="AA44" i="27"/>
  <c r="AA49" i="27"/>
  <c r="AA54" i="27"/>
  <c r="AA60" i="27"/>
  <c r="AA65" i="27"/>
  <c r="AA70" i="27"/>
  <c r="AA76" i="27"/>
  <c r="AA81" i="27"/>
  <c r="AA86" i="27"/>
  <c r="AA92" i="27"/>
  <c r="AA97" i="27"/>
  <c r="AA18" i="27"/>
  <c r="AA24" i="27"/>
  <c r="AA29" i="27"/>
  <c r="AA20" i="27"/>
  <c r="AA25" i="27"/>
  <c r="AA30" i="27"/>
  <c r="AA36" i="27"/>
  <c r="AA41" i="27"/>
  <c r="AA46" i="27"/>
  <c r="AA52" i="27"/>
  <c r="AA57" i="27"/>
  <c r="AA62" i="27"/>
  <c r="AA68" i="27"/>
  <c r="AA73" i="27"/>
  <c r="AA78" i="27"/>
  <c r="AA84" i="27"/>
  <c r="AA89" i="27"/>
  <c r="AA94" i="27"/>
  <c r="AA100" i="27"/>
  <c r="AA90" i="27"/>
  <c r="AA80" i="27"/>
  <c r="AA69" i="27"/>
  <c r="AA58" i="27"/>
  <c r="AA48" i="27"/>
  <c r="AA37" i="27"/>
  <c r="AA21" i="27"/>
  <c r="Z19" i="27"/>
  <c r="Z23" i="27"/>
  <c r="Z27" i="27"/>
  <c r="Z31" i="27"/>
  <c r="Z35" i="27"/>
  <c r="Z39" i="27"/>
  <c r="Z43" i="27"/>
  <c r="Z47" i="27"/>
  <c r="Z51" i="27"/>
  <c r="Z55" i="27"/>
  <c r="Z59" i="27"/>
  <c r="Z63" i="27"/>
  <c r="Z67" i="27"/>
  <c r="Z71" i="27"/>
  <c r="Z75" i="27"/>
  <c r="Z79" i="27"/>
  <c r="Z83" i="27"/>
  <c r="Z87" i="27"/>
  <c r="Z91" i="27"/>
  <c r="Z95" i="27"/>
  <c r="Z99" i="27"/>
  <c r="X97" i="27"/>
  <c r="X93" i="27"/>
  <c r="X89" i="27"/>
  <c r="X85" i="27"/>
  <c r="X81" i="27"/>
  <c r="X77" i="27"/>
  <c r="X73" i="27"/>
  <c r="X69" i="27"/>
  <c r="X65" i="27"/>
  <c r="X61" i="27"/>
  <c r="X57" i="27"/>
  <c r="X53" i="27"/>
  <c r="X49" i="27"/>
  <c r="X45" i="27"/>
  <c r="X41" i="27"/>
  <c r="X37" i="27"/>
  <c r="X33" i="27"/>
  <c r="X29" i="27"/>
  <c r="X25" i="27"/>
  <c r="X21" i="27"/>
  <c r="X16" i="27"/>
  <c r="Z96" i="27"/>
  <c r="Z90" i="27"/>
  <c r="Z85" i="27"/>
  <c r="Z80" i="27"/>
  <c r="Z74" i="27"/>
  <c r="Z69" i="27"/>
  <c r="Z64" i="27"/>
  <c r="Z58" i="27"/>
  <c r="Z53" i="27"/>
  <c r="Z48" i="27"/>
  <c r="Z42" i="27"/>
  <c r="Z37" i="27"/>
  <c r="Z32" i="27"/>
  <c r="Z26" i="27"/>
  <c r="Z21" i="27"/>
  <c r="AB100" i="27"/>
  <c r="AB95" i="27"/>
  <c r="AB90" i="27"/>
  <c r="AB84" i="27"/>
  <c r="AB79" i="27"/>
  <c r="AB74" i="27"/>
  <c r="AB68" i="27"/>
  <c r="AB63" i="27"/>
  <c r="AB58" i="27"/>
  <c r="AB52" i="27"/>
  <c r="AB47" i="27"/>
  <c r="AB40" i="27"/>
  <c r="AB32" i="27"/>
  <c r="AB19" i="27"/>
  <c r="AB23" i="27"/>
  <c r="AB27" i="27"/>
  <c r="AB31" i="27"/>
  <c r="AB35" i="27"/>
  <c r="AB39" i="27"/>
  <c r="AB43" i="27"/>
  <c r="AB21" i="27"/>
  <c r="AB25" i="27"/>
  <c r="AB29" i="27"/>
  <c r="AB33" i="27"/>
  <c r="AB37" i="27"/>
  <c r="AB41" i="27"/>
  <c r="AB45" i="27"/>
  <c r="AB49" i="27"/>
  <c r="AB53" i="27"/>
  <c r="AB57" i="27"/>
  <c r="AB61" i="27"/>
  <c r="AB65" i="27"/>
  <c r="AB69" i="27"/>
  <c r="AB73" i="27"/>
  <c r="AB77" i="27"/>
  <c r="AB81" i="27"/>
  <c r="AB85" i="27"/>
  <c r="AB89" i="27"/>
  <c r="AB93" i="27"/>
  <c r="AB97" i="27"/>
  <c r="AB101" i="27"/>
  <c r="X95" i="27"/>
  <c r="X91" i="27"/>
  <c r="X87" i="27"/>
  <c r="X83" i="27"/>
  <c r="X79" i="27"/>
  <c r="X75" i="27"/>
  <c r="X71" i="27"/>
  <c r="X67" i="27"/>
  <c r="X63" i="27"/>
  <c r="X59" i="27"/>
  <c r="X55" i="27"/>
  <c r="X51" i="27"/>
  <c r="X47" i="27"/>
  <c r="X43" i="27"/>
  <c r="X39" i="27"/>
  <c r="X35" i="27"/>
  <c r="X31" i="27"/>
  <c r="X27" i="27"/>
  <c r="X23" i="27"/>
  <c r="X19" i="27"/>
  <c r="Z98" i="27"/>
  <c r="Z93" i="27"/>
  <c r="Z88" i="27"/>
  <c r="Z82" i="27"/>
  <c r="Z77" i="27"/>
  <c r="Z72" i="27"/>
  <c r="Z66" i="27"/>
  <c r="Z61" i="27"/>
  <c r="Z56" i="27"/>
  <c r="Z50" i="27"/>
  <c r="Z45" i="27"/>
  <c r="Z40" i="27"/>
  <c r="Z34" i="27"/>
  <c r="Z29" i="27"/>
  <c r="Z24" i="27"/>
  <c r="Z18" i="27"/>
  <c r="AB98" i="27"/>
  <c r="AB92" i="27"/>
  <c r="AB87" i="27"/>
  <c r="AB82" i="27"/>
  <c r="AB76" i="27"/>
  <c r="AB71" i="27"/>
  <c r="AB66" i="27"/>
  <c r="AB60" i="27"/>
  <c r="AB55" i="27"/>
  <c r="AB50" i="27"/>
  <c r="AB44" i="27"/>
  <c r="AB36" i="27"/>
  <c r="AB28" i="27"/>
  <c r="AB20" i="27"/>
  <c r="W91" i="27"/>
  <c r="W83" i="27"/>
  <c r="W75" i="27"/>
  <c r="W67" i="27"/>
  <c r="W59" i="27"/>
  <c r="W51" i="27"/>
  <c r="W43" i="27"/>
  <c r="W35" i="27"/>
  <c r="W27" i="27"/>
  <c r="W19" i="27"/>
  <c r="W95" i="27"/>
  <c r="W87" i="27"/>
  <c r="W79" i="27"/>
  <c r="W71" i="27"/>
  <c r="W63" i="27"/>
  <c r="W55" i="27"/>
  <c r="W47" i="27"/>
  <c r="W39" i="27"/>
  <c r="W31" i="27"/>
  <c r="W23" i="27"/>
  <c r="W15" i="27"/>
  <c r="W96" i="27"/>
  <c r="W92" i="27"/>
  <c r="W88" i="27"/>
  <c r="W84" i="27"/>
  <c r="W80" i="27"/>
  <c r="W76" i="27"/>
  <c r="W72" i="27"/>
  <c r="W68" i="27"/>
  <c r="W64" i="27"/>
  <c r="W60" i="27"/>
  <c r="W56" i="27"/>
  <c r="W52" i="27"/>
  <c r="W48" i="27"/>
  <c r="W44" i="27"/>
  <c r="W40" i="27"/>
  <c r="W36" i="27"/>
  <c r="W32" i="27"/>
  <c r="W28" i="27"/>
  <c r="W24" i="27"/>
  <c r="W20" i="27"/>
  <c r="W16" i="27"/>
  <c r="W94" i="27"/>
  <c r="W90" i="27"/>
  <c r="W86" i="27"/>
  <c r="W82" i="27"/>
  <c r="W78" i="27"/>
  <c r="W74" i="27"/>
  <c r="W70" i="27"/>
  <c r="W66" i="27"/>
  <c r="W62" i="27"/>
  <c r="W58" i="27"/>
  <c r="W54" i="27"/>
  <c r="W50" i="27"/>
  <c r="W46" i="27"/>
  <c r="W42" i="27"/>
  <c r="W38" i="27"/>
  <c r="W34" i="27"/>
  <c r="W30" i="27"/>
  <c r="W26" i="27"/>
  <c r="W22" i="27"/>
  <c r="W18" i="27"/>
  <c r="U86" i="27"/>
  <c r="U65" i="27"/>
  <c r="U43" i="27"/>
  <c r="U22" i="27"/>
  <c r="U81" i="27"/>
  <c r="U59" i="27"/>
  <c r="U38" i="27"/>
  <c r="U17" i="27"/>
  <c r="V89" i="27"/>
  <c r="V73" i="27"/>
  <c r="V57" i="27"/>
  <c r="V41" i="27"/>
  <c r="V25" i="27"/>
  <c r="U91" i="27"/>
  <c r="U70" i="27"/>
  <c r="U49" i="27"/>
  <c r="U27" i="27"/>
  <c r="V81" i="27"/>
  <c r="V65" i="27"/>
  <c r="V49" i="27"/>
  <c r="V33" i="27"/>
  <c r="V17" i="27"/>
  <c r="U94" i="27"/>
  <c r="U89" i="27"/>
  <c r="U83" i="27"/>
  <c r="U78" i="27"/>
  <c r="U73" i="27"/>
  <c r="U67" i="27"/>
  <c r="U62" i="27"/>
  <c r="U57" i="27"/>
  <c r="U51" i="27"/>
  <c r="U46" i="27"/>
  <c r="U41" i="27"/>
  <c r="U35" i="27"/>
  <c r="U30" i="27"/>
  <c r="U25" i="27"/>
  <c r="U19" i="27"/>
  <c r="U14" i="27"/>
  <c r="U93" i="27"/>
  <c r="U87" i="27"/>
  <c r="U82" i="27"/>
  <c r="U77" i="27"/>
  <c r="U71" i="27"/>
  <c r="U66" i="27"/>
  <c r="U61" i="27"/>
  <c r="U55" i="27"/>
  <c r="U50" i="27"/>
  <c r="U45" i="27"/>
  <c r="U39" i="27"/>
  <c r="U34" i="27"/>
  <c r="U29" i="27"/>
  <c r="U23" i="27"/>
  <c r="U18" i="27"/>
  <c r="U13" i="27"/>
  <c r="V92" i="27"/>
  <c r="V84" i="27"/>
  <c r="V76" i="27"/>
  <c r="V68" i="27"/>
  <c r="V60" i="27"/>
  <c r="V52" i="27"/>
  <c r="V44" i="27"/>
  <c r="V36" i="27"/>
  <c r="V28" i="27"/>
  <c r="V20" i="27"/>
  <c r="U11" i="27"/>
  <c r="U90" i="27"/>
  <c r="U85" i="27"/>
  <c r="U79" i="27"/>
  <c r="U74" i="27"/>
  <c r="U69" i="27"/>
  <c r="U63" i="27"/>
  <c r="U58" i="27"/>
  <c r="U53" i="27"/>
  <c r="U47" i="27"/>
  <c r="U42" i="27"/>
  <c r="U37" i="27"/>
  <c r="U31" i="27"/>
  <c r="U26" i="27"/>
  <c r="U21" i="27"/>
  <c r="U15" i="27"/>
  <c r="V88" i="27"/>
  <c r="V80" i="27"/>
  <c r="V72" i="27"/>
  <c r="V64" i="27"/>
  <c r="V56" i="27"/>
  <c r="V48" i="27"/>
  <c r="V40" i="27"/>
  <c r="V32" i="27"/>
  <c r="V24" i="27"/>
  <c r="V16" i="27"/>
  <c r="T81" i="27"/>
  <c r="T38" i="27"/>
  <c r="T78" i="27"/>
  <c r="T36" i="27"/>
  <c r="T89" i="27"/>
  <c r="T68" i="27"/>
  <c r="T46" i="27"/>
  <c r="T25" i="27"/>
  <c r="T10" i="27"/>
  <c r="T60" i="27"/>
  <c r="T17" i="27"/>
  <c r="T57" i="27"/>
  <c r="T14" i="27"/>
  <c r="T92" i="27"/>
  <c r="T70" i="27"/>
  <c r="T49" i="27"/>
  <c r="T28" i="27"/>
  <c r="T84" i="27"/>
  <c r="T73" i="27"/>
  <c r="T62" i="27"/>
  <c r="T52" i="27"/>
  <c r="T41" i="27"/>
  <c r="T30" i="27"/>
  <c r="T20" i="27"/>
  <c r="T86" i="27"/>
  <c r="T76" i="27"/>
  <c r="T65" i="27"/>
  <c r="T54" i="27"/>
  <c r="T44" i="27"/>
  <c r="T33" i="27"/>
  <c r="T22" i="27"/>
  <c r="V95" i="27"/>
  <c r="V91" i="27"/>
  <c r="V87" i="27"/>
  <c r="V83" i="27"/>
  <c r="V79" i="27"/>
  <c r="V75" i="27"/>
  <c r="V71" i="27"/>
  <c r="V67" i="27"/>
  <c r="V63" i="27"/>
  <c r="V59" i="27"/>
  <c r="V55" i="27"/>
  <c r="V51" i="27"/>
  <c r="V47" i="27"/>
  <c r="V43" i="27"/>
  <c r="V39" i="27"/>
  <c r="V35" i="27"/>
  <c r="V31" i="27"/>
  <c r="V27" i="27"/>
  <c r="V23" i="27"/>
  <c r="V19" i="27"/>
  <c r="V15" i="27"/>
  <c r="U92" i="27"/>
  <c r="U88" i="27"/>
  <c r="U84" i="27"/>
  <c r="U80" i="27"/>
  <c r="U76" i="27"/>
  <c r="U72" i="27"/>
  <c r="U68" i="27"/>
  <c r="U64" i="27"/>
  <c r="U60" i="27"/>
  <c r="U56" i="27"/>
  <c r="U52" i="27"/>
  <c r="U48" i="27"/>
  <c r="U44" i="27"/>
  <c r="U40" i="27"/>
  <c r="U36" i="27"/>
  <c r="U32" i="27"/>
  <c r="U28" i="27"/>
  <c r="U24" i="27"/>
  <c r="U20" i="27"/>
  <c r="U16" i="27"/>
  <c r="V94" i="27"/>
  <c r="V90" i="27"/>
  <c r="V86" i="27"/>
  <c r="V82" i="27"/>
  <c r="V78" i="27"/>
  <c r="V74" i="27"/>
  <c r="V70" i="27"/>
  <c r="V66" i="27"/>
  <c r="V62" i="27"/>
  <c r="V58" i="27"/>
  <c r="V54" i="27"/>
  <c r="V50" i="27"/>
  <c r="V46" i="27"/>
  <c r="V42" i="27"/>
  <c r="V38" i="27"/>
  <c r="V34" i="27"/>
  <c r="V30" i="27"/>
  <c r="V26" i="27"/>
  <c r="V22" i="27"/>
  <c r="V18" i="27"/>
  <c r="T90" i="27"/>
  <c r="T85" i="27"/>
  <c r="T80" i="27"/>
  <c r="T74" i="27"/>
  <c r="T69" i="27"/>
  <c r="T64" i="27"/>
  <c r="T58" i="27"/>
  <c r="T53" i="27"/>
  <c r="T48" i="27"/>
  <c r="T42" i="27"/>
  <c r="T37" i="27"/>
  <c r="T32" i="27"/>
  <c r="T26" i="27"/>
  <c r="T21" i="27"/>
  <c r="T16" i="27"/>
  <c r="T93" i="27"/>
  <c r="T88" i="27"/>
  <c r="T82" i="27"/>
  <c r="T77" i="27"/>
  <c r="T72" i="27"/>
  <c r="T66" i="27"/>
  <c r="T61" i="27"/>
  <c r="T56" i="27"/>
  <c r="T50" i="27"/>
  <c r="T45" i="27"/>
  <c r="T40" i="27"/>
  <c r="T34" i="27"/>
  <c r="T29" i="27"/>
  <c r="T24" i="27"/>
  <c r="T18" i="27"/>
  <c r="T12" i="27"/>
  <c r="T13" i="27"/>
  <c r="T91" i="27"/>
  <c r="T87" i="27"/>
  <c r="T83" i="27"/>
  <c r="T79" i="27"/>
  <c r="T75" i="27"/>
  <c r="T71" i="27"/>
  <c r="T67" i="27"/>
  <c r="T63" i="27"/>
  <c r="T59" i="27"/>
  <c r="T55" i="27"/>
  <c r="T51" i="27"/>
  <c r="T47" i="27"/>
  <c r="T43" i="27"/>
  <c r="T39" i="27"/>
  <c r="T35" i="27"/>
  <c r="T31" i="27"/>
  <c r="T27" i="27"/>
  <c r="T23" i="27"/>
  <c r="T19" i="27"/>
  <c r="T15" i="27"/>
  <c r="O65" i="27"/>
  <c r="K5" i="25"/>
  <c r="O57" i="27"/>
  <c r="G5" i="27"/>
  <c r="O5" i="27" s="1"/>
  <c r="BM5" i="27" s="1"/>
  <c r="G8" i="27"/>
  <c r="R20" i="27"/>
  <c r="K8" i="27"/>
  <c r="O33" i="27"/>
  <c r="S9" i="27"/>
  <c r="S24" i="27"/>
  <c r="S40" i="27"/>
  <c r="S56" i="27"/>
  <c r="S72" i="27"/>
  <c r="S88" i="27"/>
  <c r="S21" i="27"/>
  <c r="S37" i="27"/>
  <c r="S53" i="27"/>
  <c r="S69" i="27"/>
  <c r="S85" i="27"/>
  <c r="S27" i="27"/>
  <c r="S59" i="27"/>
  <c r="S91" i="27"/>
  <c r="S38" i="27"/>
  <c r="S70" i="27"/>
  <c r="S23" i="27"/>
  <c r="S55" i="27"/>
  <c r="S87" i="27"/>
  <c r="S90" i="27"/>
  <c r="S26" i="27"/>
  <c r="K5" i="27"/>
  <c r="M5" i="27" s="1"/>
  <c r="O81" i="27"/>
  <c r="O49" i="27"/>
  <c r="O17" i="27"/>
  <c r="O73" i="27"/>
  <c r="O41" i="27"/>
  <c r="AB121" i="5"/>
  <c r="AB123" i="5"/>
  <c r="H6" i="27"/>
  <c r="H7" i="27" s="1"/>
  <c r="O8" i="27"/>
  <c r="O12" i="27"/>
  <c r="O16" i="27"/>
  <c r="O20" i="27"/>
  <c r="O24" i="27"/>
  <c r="O28" i="27"/>
  <c r="O32" i="27"/>
  <c r="O36" i="27"/>
  <c r="O40" i="27"/>
  <c r="O44" i="27"/>
  <c r="O48" i="27"/>
  <c r="O52" i="27"/>
  <c r="O56" i="27"/>
  <c r="O60" i="27"/>
  <c r="O64" i="27"/>
  <c r="O68" i="27"/>
  <c r="O72" i="27"/>
  <c r="O76" i="27"/>
  <c r="O80" i="27"/>
  <c r="O84" i="27"/>
  <c r="O88" i="27"/>
  <c r="O92" i="27"/>
  <c r="O6" i="27"/>
  <c r="O10" i="27"/>
  <c r="O14" i="27"/>
  <c r="O18" i="27"/>
  <c r="O22" i="27"/>
  <c r="O26" i="27"/>
  <c r="O30" i="27"/>
  <c r="O34" i="27"/>
  <c r="O38" i="27"/>
  <c r="O42" i="27"/>
  <c r="O46" i="27"/>
  <c r="O50" i="27"/>
  <c r="O54" i="27"/>
  <c r="O58" i="27"/>
  <c r="O62" i="27"/>
  <c r="O66" i="27"/>
  <c r="O70" i="27"/>
  <c r="O74" i="27"/>
  <c r="O78" i="27"/>
  <c r="O82" i="27"/>
  <c r="O86" i="27"/>
  <c r="O90" i="27"/>
  <c r="O87" i="27"/>
  <c r="O79" i="27"/>
  <c r="O71" i="27"/>
  <c r="O63" i="27"/>
  <c r="O55" i="27"/>
  <c r="O47" i="27"/>
  <c r="O39" i="27"/>
  <c r="O31" i="27"/>
  <c r="O23" i="27"/>
  <c r="O15" i="27"/>
  <c r="O7" i="27"/>
  <c r="O93" i="27"/>
  <c r="O85" i="27"/>
  <c r="O77" i="27"/>
  <c r="O69" i="27"/>
  <c r="O61" i="27"/>
  <c r="O53" i="27"/>
  <c r="O45" i="27"/>
  <c r="O37" i="27"/>
  <c r="O29" i="27"/>
  <c r="O21" i="27"/>
  <c r="O13" i="27"/>
  <c r="K7" i="27"/>
  <c r="K10" i="27"/>
  <c r="K6" i="27"/>
  <c r="O91" i="27"/>
  <c r="O83" i="27"/>
  <c r="O75" i="27"/>
  <c r="O67" i="27"/>
  <c r="O59" i="27"/>
  <c r="O51" i="27"/>
  <c r="O43" i="27"/>
  <c r="O35" i="27"/>
  <c r="O27" i="27"/>
  <c r="O19" i="27"/>
  <c r="O11" i="27"/>
  <c r="K12" i="27"/>
  <c r="K11" i="27"/>
  <c r="K9" i="27"/>
  <c r="B7" i="27"/>
  <c r="AB122" i="5"/>
  <c r="AB120" i="5"/>
  <c r="AB124" i="5"/>
  <c r="Z101" i="5"/>
  <c r="Q33" i="27"/>
  <c r="BM6" i="27"/>
  <c r="S34" i="27"/>
  <c r="S42" i="27"/>
  <c r="S39" i="27"/>
  <c r="S54" i="27"/>
  <c r="S75" i="27"/>
  <c r="S11" i="27"/>
  <c r="S61" i="27"/>
  <c r="S29" i="27"/>
  <c r="S80" i="27"/>
  <c r="S48" i="27"/>
  <c r="S16" i="27"/>
  <c r="S50" i="27"/>
  <c r="S71" i="27"/>
  <c r="S86" i="27"/>
  <c r="S22" i="27"/>
  <c r="S43" i="27"/>
  <c r="S77" i="27"/>
  <c r="S45" i="27"/>
  <c r="S13" i="27"/>
  <c r="S64" i="27"/>
  <c r="S32" i="27"/>
  <c r="Q70" i="27"/>
  <c r="S58" i="27"/>
  <c r="S18" i="27"/>
  <c r="S10" i="27"/>
  <c r="S63" i="27"/>
  <c r="S31" i="27"/>
  <c r="S78" i="27"/>
  <c r="S46" i="27"/>
  <c r="S14" i="27"/>
  <c r="S67" i="27"/>
  <c r="S35" i="27"/>
  <c r="S89" i="27"/>
  <c r="S73" i="27"/>
  <c r="S57" i="27"/>
  <c r="S41" i="27"/>
  <c r="S25" i="27"/>
  <c r="S92" i="27"/>
  <c r="S76" i="27"/>
  <c r="S60" i="27"/>
  <c r="S44" i="27"/>
  <c r="S28" i="27"/>
  <c r="S12" i="27"/>
  <c r="Q41" i="27"/>
  <c r="S66" i="27"/>
  <c r="S82" i="27"/>
  <c r="S74" i="27"/>
  <c r="S79" i="27"/>
  <c r="S47" i="27"/>
  <c r="S15" i="27"/>
  <c r="S62" i="27"/>
  <c r="S30" i="27"/>
  <c r="S83" i="27"/>
  <c r="S51" i="27"/>
  <c r="S19" i="27"/>
  <c r="S81" i="27"/>
  <c r="S65" i="27"/>
  <c r="S49" i="27"/>
  <c r="S33" i="27"/>
  <c r="S17" i="27"/>
  <c r="S84" i="27"/>
  <c r="S68" i="27"/>
  <c r="S52" i="27"/>
  <c r="S36" i="27"/>
  <c r="Q86" i="27"/>
  <c r="Q42" i="27"/>
  <c r="Q35" i="27"/>
  <c r="Q60" i="27"/>
  <c r="Q26" i="27"/>
  <c r="Q19" i="27"/>
  <c r="Q52" i="27"/>
  <c r="Q71" i="27"/>
  <c r="Q22" i="27"/>
  <c r="Q73" i="27"/>
  <c r="Q9" i="27"/>
  <c r="Q28" i="27"/>
  <c r="Q55" i="27"/>
  <c r="Q83" i="27"/>
  <c r="Q65" i="27"/>
  <c r="Q84" i="27"/>
  <c r="Q20" i="27"/>
  <c r="Q58" i="27"/>
  <c r="Q66" i="27"/>
  <c r="Q39" i="27"/>
  <c r="Q54" i="27"/>
  <c r="Q67" i="27"/>
  <c r="Q89" i="27"/>
  <c r="Q57" i="27"/>
  <c r="Q25" i="27"/>
  <c r="Q76" i="27"/>
  <c r="Q44" i="27"/>
  <c r="Q12" i="27"/>
  <c r="Q18" i="27"/>
  <c r="Q87" i="27"/>
  <c r="Q23" i="27"/>
  <c r="Q38" i="27"/>
  <c r="Q51" i="27"/>
  <c r="Q81" i="27"/>
  <c r="Q49" i="27"/>
  <c r="Q17" i="27"/>
  <c r="Q68" i="27"/>
  <c r="Q36" i="27"/>
  <c r="Q7" i="27"/>
  <c r="Q90" i="27"/>
  <c r="Q74" i="27"/>
  <c r="Q50" i="27"/>
  <c r="Q79" i="27"/>
  <c r="Q47" i="27"/>
  <c r="Q15" i="27"/>
  <c r="BM15" i="27"/>
  <c r="Q62" i="27"/>
  <c r="Q30" i="27"/>
  <c r="Q75" i="27"/>
  <c r="Q43" i="27"/>
  <c r="Q11" i="27"/>
  <c r="Q77" i="27"/>
  <c r="Q61" i="27"/>
  <c r="Q45" i="27"/>
  <c r="Q29" i="27"/>
  <c r="Q13" i="27"/>
  <c r="Q80" i="27"/>
  <c r="Q64" i="27"/>
  <c r="Q48" i="27"/>
  <c r="Q32" i="27"/>
  <c r="Q16" i="27"/>
  <c r="Q82" i="27"/>
  <c r="Q10" i="27"/>
  <c r="Q34" i="27"/>
  <c r="Q63" i="27"/>
  <c r="Q31" i="27"/>
  <c r="Q78" i="27"/>
  <c r="Q46" i="27"/>
  <c r="Q14" i="27"/>
  <c r="Q59" i="27"/>
  <c r="Q27" i="27"/>
  <c r="Q85" i="27"/>
  <c r="Q69" i="27"/>
  <c r="Q53" i="27"/>
  <c r="Q37" i="27"/>
  <c r="Q21" i="27"/>
  <c r="Q88" i="27"/>
  <c r="Q72" i="27"/>
  <c r="Q56" i="27"/>
  <c r="Q40" i="27"/>
  <c r="Q24" i="27"/>
  <c r="R22" i="27"/>
  <c r="R13" i="27"/>
  <c r="R67" i="27"/>
  <c r="R48" i="27"/>
  <c r="R26" i="27"/>
  <c r="R15" i="27"/>
  <c r="AB119" i="5"/>
  <c r="AB131" i="5" s="1"/>
  <c r="Z131" i="5"/>
  <c r="R77" i="27"/>
  <c r="R58" i="27"/>
  <c r="R29" i="27"/>
  <c r="R32" i="27"/>
  <c r="R14" i="27"/>
  <c r="R35" i="27"/>
  <c r="R79" i="27"/>
  <c r="R61" i="27"/>
  <c r="R80" i="27"/>
  <c r="R16" i="27"/>
  <c r="R46" i="27"/>
  <c r="R90" i="27"/>
  <c r="R47" i="27"/>
  <c r="R45" i="27"/>
  <c r="R64" i="27"/>
  <c r="R38" i="27"/>
  <c r="R70" i="27"/>
  <c r="R91" i="27"/>
  <c r="R59" i="27"/>
  <c r="R27" i="27"/>
  <c r="R82" i="27"/>
  <c r="R50" i="27"/>
  <c r="R18" i="27"/>
  <c r="R71" i="27"/>
  <c r="R39" i="27"/>
  <c r="R89" i="27"/>
  <c r="R73" i="27"/>
  <c r="R57" i="27"/>
  <c r="R41" i="27"/>
  <c r="R25" i="27"/>
  <c r="R9" i="27"/>
  <c r="R76" i="27"/>
  <c r="R60" i="27"/>
  <c r="R44" i="27"/>
  <c r="R28" i="27"/>
  <c r="R12" i="27"/>
  <c r="BM12" i="27" s="1"/>
  <c r="R8" i="27"/>
  <c r="R62" i="27"/>
  <c r="R86" i="27"/>
  <c r="R83" i="27"/>
  <c r="R51" i="27"/>
  <c r="R19" i="27"/>
  <c r="R74" i="27"/>
  <c r="R42" i="27"/>
  <c r="BM42" i="27" s="1"/>
  <c r="R10" i="27"/>
  <c r="R63" i="27"/>
  <c r="R31" i="27"/>
  <c r="R85" i="27"/>
  <c r="R69" i="27"/>
  <c r="R53" i="27"/>
  <c r="R37" i="27"/>
  <c r="R21" i="27"/>
  <c r="R88" i="27"/>
  <c r="R72" i="27"/>
  <c r="R56" i="27"/>
  <c r="R40" i="27"/>
  <c r="R24" i="27"/>
  <c r="M6" i="27"/>
  <c r="R78" i="27"/>
  <c r="R30" i="27"/>
  <c r="R54" i="27"/>
  <c r="R75" i="27"/>
  <c r="R43" i="27"/>
  <c r="BM43" i="27" s="1"/>
  <c r="R11" i="27"/>
  <c r="R66" i="27"/>
  <c r="R34" i="27"/>
  <c r="R87" i="27"/>
  <c r="R55" i="27"/>
  <c r="R23" i="27"/>
  <c r="R81" i="27"/>
  <c r="R65" i="27"/>
  <c r="R49" i="27"/>
  <c r="R33" i="27"/>
  <c r="R17" i="27"/>
  <c r="R84" i="27"/>
  <c r="R68" i="27"/>
  <c r="R52" i="27"/>
  <c r="R36" i="27"/>
  <c r="P10" i="27"/>
  <c r="BM10" i="27" s="1"/>
  <c r="P14" i="27"/>
  <c r="P18" i="27"/>
  <c r="P22" i="27"/>
  <c r="P26" i="27"/>
  <c r="BM26" i="27" s="1"/>
  <c r="P30" i="27"/>
  <c r="BM30" i="27" s="1"/>
  <c r="P34" i="27"/>
  <c r="BM34" i="27"/>
  <c r="P38" i="27"/>
  <c r="BM38" i="27" s="1"/>
  <c r="P42" i="27"/>
  <c r="P46" i="27"/>
  <c r="P50" i="27"/>
  <c r="P54" i="27"/>
  <c r="P58" i="27"/>
  <c r="P62" i="27"/>
  <c r="P8" i="27"/>
  <c r="BM8" i="27" s="1"/>
  <c r="P12" i="27"/>
  <c r="P16" i="27"/>
  <c r="P20" i="27"/>
  <c r="BM20" i="27" s="1"/>
  <c r="P24" i="27"/>
  <c r="BM24" i="27"/>
  <c r="P28" i="27"/>
  <c r="BM28" i="27" s="1"/>
  <c r="P32" i="27"/>
  <c r="P36" i="27"/>
  <c r="P40" i="27"/>
  <c r="P44" i="27"/>
  <c r="P48" i="27"/>
  <c r="P52" i="27"/>
  <c r="P56" i="27"/>
  <c r="P60" i="27"/>
  <c r="P64" i="27"/>
  <c r="P68" i="27"/>
  <c r="P72" i="27"/>
  <c r="P76" i="27"/>
  <c r="P80" i="27"/>
  <c r="P84" i="27"/>
  <c r="P88" i="27"/>
  <c r="P92" i="27"/>
  <c r="P11" i="27"/>
  <c r="BM11" i="27" s="1"/>
  <c r="P19" i="27"/>
  <c r="P27" i="27"/>
  <c r="BM27" i="27"/>
  <c r="P35" i="27"/>
  <c r="BM35" i="27" s="1"/>
  <c r="P43" i="27"/>
  <c r="P51" i="27"/>
  <c r="P59" i="27"/>
  <c r="P66" i="27"/>
  <c r="P71" i="27"/>
  <c r="P77" i="27"/>
  <c r="P82" i="27"/>
  <c r="P87" i="27"/>
  <c r="P93" i="27"/>
  <c r="P7" i="27"/>
  <c r="BM7" i="27" s="1"/>
  <c r="P15" i="27"/>
  <c r="P23" i="27"/>
  <c r="P31" i="27"/>
  <c r="BM31" i="27" s="1"/>
  <c r="P39" i="27"/>
  <c r="BM39" i="27"/>
  <c r="P47" i="27"/>
  <c r="P55" i="27"/>
  <c r="P63" i="27"/>
  <c r="P69" i="27"/>
  <c r="P74" i="27"/>
  <c r="P79" i="27"/>
  <c r="P85" i="27"/>
  <c r="P90" i="27"/>
  <c r="P9" i="27"/>
  <c r="BM9" i="27" s="1"/>
  <c r="P25" i="27"/>
  <c r="P41" i="27"/>
  <c r="P57" i="27"/>
  <c r="P70" i="27"/>
  <c r="P81" i="27"/>
  <c r="P91" i="27"/>
  <c r="P21" i="27"/>
  <c r="BM21" i="27"/>
  <c r="P37" i="27"/>
  <c r="BM37" i="27" s="1"/>
  <c r="P67" i="27"/>
  <c r="P89" i="27"/>
  <c r="P13" i="27"/>
  <c r="BM13" i="27" s="1"/>
  <c r="P29" i="27"/>
  <c r="BM29" i="27" s="1"/>
  <c r="P45" i="27"/>
  <c r="BM45" i="27" s="1"/>
  <c r="P61" i="27"/>
  <c r="P73" i="27"/>
  <c r="P83" i="27"/>
  <c r="P17" i="27"/>
  <c r="BM17" i="27" s="1"/>
  <c r="P33" i="27"/>
  <c r="BM33" i="27"/>
  <c r="P49" i="27"/>
  <c r="BM49" i="27" s="1"/>
  <c r="P65" i="27"/>
  <c r="P75" i="27"/>
  <c r="P86" i="27"/>
  <c r="P53" i="27"/>
  <c r="P78" i="27"/>
  <c r="B8" i="27"/>
  <c r="B19" i="27"/>
  <c r="B31" i="27" s="1"/>
  <c r="B43" i="27" s="1"/>
  <c r="B55" i="27" s="1"/>
  <c r="B67" i="27" s="1"/>
  <c r="B79" i="27" s="1"/>
  <c r="B91" i="27" s="1"/>
  <c r="B103" i="27" s="1"/>
  <c r="B115" i="27" s="1"/>
  <c r="B127" i="27" s="1"/>
  <c r="BM32" i="27"/>
  <c r="BM23" i="27"/>
  <c r="BM22" i="27"/>
  <c r="BM18" i="27"/>
  <c r="BM36" i="27"/>
  <c r="BM14" i="27"/>
  <c r="BM41" i="27"/>
  <c r="BM16" i="27"/>
  <c r="BM25" i="27"/>
  <c r="BM40" i="27"/>
  <c r="BM19" i="27"/>
  <c r="B9" i="27"/>
  <c r="B20" i="27"/>
  <c r="B32" i="27"/>
  <c r="B44" i="27" s="1"/>
  <c r="B56" i="27" s="1"/>
  <c r="B68" i="27" s="1"/>
  <c r="B80" i="27" s="1"/>
  <c r="B92" i="27" s="1"/>
  <c r="B104" i="27" s="1"/>
  <c r="B116" i="27" s="1"/>
  <c r="B128" i="27" s="1"/>
  <c r="B21" i="27"/>
  <c r="B33" i="27"/>
  <c r="B45" i="27" s="1"/>
  <c r="B57" i="27" s="1"/>
  <c r="B69" i="27" s="1"/>
  <c r="B81" i="27" s="1"/>
  <c r="B93" i="27" s="1"/>
  <c r="B105" i="27" s="1"/>
  <c r="B117" i="27" s="1"/>
  <c r="B129" i="27" s="1"/>
  <c r="B10" i="27"/>
  <c r="B22" i="27" s="1"/>
  <c r="B34" i="27" s="1"/>
  <c r="B46" i="27" s="1"/>
  <c r="B58" i="27" s="1"/>
  <c r="B70" i="27" s="1"/>
  <c r="B82" i="27" s="1"/>
  <c r="B94" i="27" s="1"/>
  <c r="B106" i="27" s="1"/>
  <c r="B118" i="27" s="1"/>
  <c r="K22" i="27"/>
  <c r="K25" i="27"/>
  <c r="K21" i="27"/>
  <c r="K17" i="27"/>
  <c r="K15" i="27"/>
  <c r="K23" i="27"/>
  <c r="K20" i="27"/>
  <c r="K30" i="27"/>
  <c r="K14" i="27"/>
  <c r="K24" i="27"/>
  <c r="K18" i="27"/>
  <c r="K29" i="27"/>
  <c r="K19" i="27"/>
  <c r="K28" i="27"/>
  <c r="K27" i="27"/>
  <c r="K26" i="27"/>
  <c r="K13" i="27"/>
  <c r="K16" i="27"/>
  <c r="K46" i="27"/>
  <c r="K86" i="27"/>
  <c r="K70" i="27"/>
  <c r="K66" i="27"/>
  <c r="K72" i="27"/>
  <c r="K59" i="27"/>
  <c r="K51" i="27"/>
  <c r="K43" i="27"/>
  <c r="K35" i="27"/>
  <c r="K58" i="27"/>
  <c r="K44" i="27"/>
  <c r="K32" i="27"/>
  <c r="K84" i="27"/>
  <c r="K73" i="27"/>
  <c r="K40" i="27"/>
  <c r="K55" i="27"/>
  <c r="K83" i="27"/>
  <c r="K77" i="27"/>
  <c r="K53" i="27"/>
  <c r="K37" i="27"/>
  <c r="K74" i="27"/>
  <c r="K54" i="27"/>
  <c r="K79" i="27"/>
  <c r="K69" i="27"/>
  <c r="K85" i="27"/>
  <c r="K65" i="27"/>
  <c r="K57" i="27"/>
  <c r="K49" i="27"/>
  <c r="K41" i="27"/>
  <c r="K33" i="27"/>
  <c r="K50" i="27"/>
  <c r="K36" i="27"/>
  <c r="K48" i="27"/>
  <c r="K76" i="27"/>
  <c r="K56" i="27"/>
  <c r="K78" i="27"/>
  <c r="K68" i="27"/>
  <c r="K80" i="27"/>
  <c r="K63" i="27"/>
  <c r="K47" i="27"/>
  <c r="K39" i="27"/>
  <c r="K31" i="27"/>
  <c r="K82" i="27"/>
  <c r="K42" i="27"/>
  <c r="K60" i="27"/>
  <c r="K64" i="27"/>
  <c r="K38" i="27"/>
  <c r="K75" i="27"/>
  <c r="K62" i="27"/>
  <c r="K71" i="27"/>
  <c r="K67" i="27"/>
  <c r="K61" i="27"/>
  <c r="K45" i="27"/>
  <c r="K34" i="27"/>
  <c r="K52" i="27"/>
  <c r="K81" i="27"/>
  <c r="B11" i="27"/>
  <c r="B12" i="27" s="1"/>
  <c r="K5" i="17"/>
  <c r="CK87" i="14"/>
  <c r="B23" i="27"/>
  <c r="B35" i="27" s="1"/>
  <c r="B47" i="27" s="1"/>
  <c r="B59" i="27" s="1"/>
  <c r="B71" i="27" s="1"/>
  <c r="B83" i="27" s="1"/>
  <c r="B95" i="27" s="1"/>
  <c r="B107" i="27" s="1"/>
  <c r="B119" i="27" s="1"/>
  <c r="E127" i="9"/>
  <c r="E128" i="9"/>
  <c r="E129" i="9"/>
  <c r="E130" i="9"/>
  <c r="E131" i="9"/>
  <c r="E132" i="9"/>
  <c r="E133" i="9"/>
  <c r="E134" i="9"/>
  <c r="E135" i="9"/>
  <c r="E136" i="9"/>
  <c r="E137" i="9"/>
  <c r="E138" i="9"/>
  <c r="AJ27" i="16"/>
  <c r="EC77" i="25"/>
  <c r="EC78" i="25"/>
  <c r="EC79" i="25"/>
  <c r="EC80" i="25"/>
  <c r="EC81" i="25"/>
  <c r="EC82" i="25"/>
  <c r="EC83" i="25"/>
  <c r="EC84" i="25"/>
  <c r="EC85" i="25"/>
  <c r="EC86" i="25"/>
  <c r="EC87" i="25"/>
  <c r="AP30" i="22"/>
  <c r="AP31" i="22"/>
  <c r="AP32" i="22"/>
  <c r="AP33" i="22"/>
  <c r="AP34" i="22"/>
  <c r="AP35" i="22"/>
  <c r="AP36" i="22"/>
  <c r="AP37" i="22"/>
  <c r="AP38" i="22"/>
  <c r="AP39" i="22"/>
  <c r="AP40" i="22"/>
  <c r="AP41" i="22"/>
  <c r="AP42" i="22"/>
  <c r="AP43" i="22"/>
  <c r="AP44" i="22"/>
  <c r="AP45" i="22"/>
  <c r="AP46" i="22"/>
  <c r="AP47" i="22"/>
  <c r="AP48" i="22"/>
  <c r="AP49" i="22"/>
  <c r="AP50" i="22"/>
  <c r="AP51" i="22"/>
  <c r="AP52" i="22"/>
  <c r="AP53" i="22"/>
  <c r="AP54" i="22"/>
  <c r="AP55" i="22"/>
  <c r="AP56" i="22"/>
  <c r="AP57" i="22"/>
  <c r="AP58" i="22"/>
  <c r="AP59" i="22"/>
  <c r="AP60" i="22"/>
  <c r="AP61" i="22"/>
  <c r="AP62" i="22"/>
  <c r="AP63" i="22"/>
  <c r="AP64" i="22"/>
  <c r="AP65" i="22"/>
  <c r="AP66" i="22"/>
  <c r="AP67" i="22"/>
  <c r="AP68" i="22"/>
  <c r="AP69" i="22"/>
  <c r="AP70" i="22"/>
  <c r="AP71" i="22"/>
  <c r="AP72" i="22"/>
  <c r="AP73" i="22"/>
  <c r="AP74" i="22"/>
  <c r="AP75" i="22"/>
  <c r="AP76" i="22"/>
  <c r="AP77" i="22"/>
  <c r="AP78" i="22"/>
  <c r="AP79" i="22"/>
  <c r="AP80" i="22"/>
  <c r="AP81" i="22"/>
  <c r="AP82" i="22"/>
  <c r="AP83" i="22"/>
  <c r="AP84" i="22"/>
  <c r="AP85" i="22"/>
  <c r="AP86" i="22"/>
  <c r="AP87" i="22"/>
  <c r="AP88" i="22"/>
  <c r="AP89" i="22"/>
  <c r="AP90" i="22"/>
  <c r="AP91" i="22"/>
  <c r="AP92" i="22"/>
  <c r="AP93" i="22"/>
  <c r="AP94" i="22"/>
  <c r="AP95" i="22"/>
  <c r="AP96" i="22"/>
  <c r="AP97" i="22"/>
  <c r="AP98" i="22"/>
  <c r="AP99" i="22"/>
  <c r="AP100" i="22"/>
  <c r="AP101" i="22"/>
  <c r="AP102" i="22"/>
  <c r="AP103" i="22"/>
  <c r="AP104" i="22"/>
  <c r="AP105" i="22"/>
  <c r="AP106" i="22"/>
  <c r="AP107" i="22"/>
  <c r="AP108" i="22"/>
  <c r="AP109" i="22"/>
  <c r="AP110" i="22"/>
  <c r="AP111" i="22"/>
  <c r="AP112" i="22"/>
  <c r="AP113" i="22"/>
  <c r="AP114" i="22"/>
  <c r="AP115" i="22"/>
  <c r="AP116" i="22"/>
  <c r="AP117" i="22"/>
  <c r="AP118" i="22"/>
  <c r="AP119" i="22"/>
  <c r="AP120" i="22"/>
  <c r="AP121" i="22"/>
  <c r="AP122" i="22"/>
  <c r="AP123" i="22"/>
  <c r="AP124" i="22"/>
  <c r="AP125" i="22"/>
  <c r="AP126" i="22"/>
  <c r="AP127" i="22"/>
  <c r="AP128" i="22"/>
  <c r="AP129" i="22"/>
  <c r="AP130" i="22"/>
  <c r="AP131" i="22"/>
  <c r="AP132" i="22"/>
  <c r="AP133" i="22"/>
  <c r="AP134" i="22"/>
  <c r="AP135" i="22"/>
  <c r="AP136" i="22"/>
  <c r="AP137" i="22"/>
  <c r="AP138" i="22"/>
  <c r="AP139" i="22"/>
  <c r="AP140" i="22"/>
  <c r="AP141" i="22"/>
  <c r="AP142" i="22"/>
  <c r="AP143" i="22"/>
  <c r="AP144" i="22"/>
  <c r="AP145" i="22"/>
  <c r="AP146" i="22"/>
  <c r="AP147" i="22"/>
  <c r="AP148" i="22"/>
  <c r="BQ148" i="22"/>
  <c r="AP29" i="22"/>
  <c r="AK30" i="23"/>
  <c r="AK31" i="23"/>
  <c r="AK32" i="23"/>
  <c r="AK33" i="23"/>
  <c r="AK34" i="23"/>
  <c r="AK35" i="23"/>
  <c r="AK36" i="23"/>
  <c r="AK37" i="23"/>
  <c r="AK38" i="23"/>
  <c r="AK39" i="23"/>
  <c r="AK40" i="23"/>
  <c r="AK41" i="23"/>
  <c r="AK42" i="23"/>
  <c r="AK43" i="23"/>
  <c r="AK44" i="23"/>
  <c r="AK45" i="23"/>
  <c r="AK46" i="23"/>
  <c r="AK47" i="23"/>
  <c r="AK48" i="23"/>
  <c r="AK49" i="23"/>
  <c r="AK50" i="23"/>
  <c r="AK51" i="23"/>
  <c r="AK52" i="23"/>
  <c r="AK53" i="23"/>
  <c r="AK54" i="23"/>
  <c r="AK55" i="23"/>
  <c r="AK56" i="23"/>
  <c r="AK57" i="23"/>
  <c r="AK58" i="23"/>
  <c r="AK59" i="23"/>
  <c r="AK60" i="23"/>
  <c r="AK61" i="23"/>
  <c r="AK62" i="23"/>
  <c r="AK63" i="23"/>
  <c r="AK64" i="23"/>
  <c r="AK65" i="23"/>
  <c r="AK66" i="23"/>
  <c r="AK67" i="23"/>
  <c r="AK68" i="23"/>
  <c r="AK69" i="23"/>
  <c r="AK70" i="23"/>
  <c r="AK71" i="23"/>
  <c r="AK72" i="23"/>
  <c r="AK73" i="23"/>
  <c r="AK74" i="23"/>
  <c r="AK75" i="23"/>
  <c r="AK76" i="23"/>
  <c r="AK77" i="23"/>
  <c r="AK78" i="23"/>
  <c r="AK79" i="23"/>
  <c r="AK80" i="23"/>
  <c r="AK81" i="23"/>
  <c r="AK82" i="23"/>
  <c r="AK83" i="23"/>
  <c r="AK84" i="23"/>
  <c r="AK85" i="23"/>
  <c r="AK86" i="23"/>
  <c r="AK87" i="23"/>
  <c r="AK88" i="23"/>
  <c r="AK29" i="23"/>
  <c r="AK30" i="24"/>
  <c r="AK31" i="24"/>
  <c r="AK32" i="24"/>
  <c r="AK33" i="24"/>
  <c r="AK34" i="24"/>
  <c r="AK35" i="24"/>
  <c r="AK36" i="24"/>
  <c r="AK37" i="24"/>
  <c r="AK38" i="24"/>
  <c r="AK39" i="24"/>
  <c r="AK40" i="24"/>
  <c r="AK41" i="24"/>
  <c r="AK42" i="24"/>
  <c r="AK43" i="24"/>
  <c r="AK44" i="24"/>
  <c r="AK45" i="24"/>
  <c r="AK46" i="24"/>
  <c r="AK47" i="24"/>
  <c r="AK48" i="24"/>
  <c r="AK49" i="24"/>
  <c r="AK50" i="24"/>
  <c r="AK51" i="24"/>
  <c r="AK52" i="24"/>
  <c r="AK53" i="24"/>
  <c r="AK54" i="24"/>
  <c r="AK55" i="24"/>
  <c r="AK56" i="24"/>
  <c r="AK57" i="24"/>
  <c r="AK58" i="24"/>
  <c r="AK59" i="24"/>
  <c r="AK60" i="24"/>
  <c r="AK61" i="24"/>
  <c r="AK62" i="24"/>
  <c r="AK63" i="24"/>
  <c r="AK64" i="24"/>
  <c r="AK29" i="24"/>
  <c r="T41" i="24"/>
  <c r="B17" i="24"/>
  <c r="B29" i="24" s="1"/>
  <c r="B41" i="24" s="1"/>
  <c r="B53" i="24" s="1"/>
  <c r="B65" i="24" s="1"/>
  <c r="B77" i="24" s="1"/>
  <c r="B89" i="24" s="1"/>
  <c r="B6" i="24"/>
  <c r="B7" i="24"/>
  <c r="N2" i="24"/>
  <c r="O2" i="24" s="1"/>
  <c r="P2" i="24" s="1"/>
  <c r="Q2" i="24" s="1"/>
  <c r="R2" i="24" s="1"/>
  <c r="S2" i="24" s="1"/>
  <c r="T2" i="24" s="1"/>
  <c r="U2" i="24" s="1"/>
  <c r="V2" i="24" s="1"/>
  <c r="W2" i="24" s="1"/>
  <c r="X2" i="24" s="1"/>
  <c r="Y2" i="24" s="1"/>
  <c r="Z2" i="24" s="1"/>
  <c r="AA2" i="24" s="1"/>
  <c r="AB2" i="24" s="1"/>
  <c r="AC2" i="24" s="1"/>
  <c r="AD2" i="24" s="1"/>
  <c r="AE2" i="24" s="1"/>
  <c r="AF2" i="24" s="1"/>
  <c r="AG2" i="24" s="1"/>
  <c r="AH2" i="24" s="1"/>
  <c r="AI2" i="24" s="1"/>
  <c r="AJ2" i="24" s="1"/>
  <c r="AK2" i="24" s="1"/>
  <c r="AL2" i="24" s="1"/>
  <c r="AM2" i="24" s="1"/>
  <c r="AN2" i="24" s="1"/>
  <c r="AO2" i="24" s="1"/>
  <c r="AP2" i="24" s="1"/>
  <c r="AQ2" i="24" s="1"/>
  <c r="AR2" i="24" s="1"/>
  <c r="AS2" i="24" s="1"/>
  <c r="AT2" i="24" s="1"/>
  <c r="AU2" i="24" s="1"/>
  <c r="AV2" i="24" s="1"/>
  <c r="AW2" i="24" s="1"/>
  <c r="AX2" i="24" s="1"/>
  <c r="AY2" i="24" s="1"/>
  <c r="AZ2" i="24" s="1"/>
  <c r="BA2" i="24" s="1"/>
  <c r="BB2" i="24" s="1"/>
  <c r="BC2" i="24" s="1"/>
  <c r="BD2" i="24" s="1"/>
  <c r="AJ59" i="23"/>
  <c r="K28" i="25"/>
  <c r="AI37" i="23"/>
  <c r="K27" i="25"/>
  <c r="AH49" i="24"/>
  <c r="K26" i="25"/>
  <c r="AG44" i="24"/>
  <c r="AG81" i="23"/>
  <c r="K25" i="25"/>
  <c r="K24" i="25"/>
  <c r="AE50" i="24"/>
  <c r="AE50" i="23"/>
  <c r="K23" i="25"/>
  <c r="AD44" i="24"/>
  <c r="K22" i="25"/>
  <c r="AC24" i="24"/>
  <c r="AC42" i="23"/>
  <c r="K21" i="25"/>
  <c r="K20" i="25"/>
  <c r="AA40" i="24"/>
  <c r="AA50" i="23"/>
  <c r="K19" i="25"/>
  <c r="Z36" i="24"/>
  <c r="Z30" i="23"/>
  <c r="K18" i="25"/>
  <c r="W42" i="24"/>
  <c r="W24" i="23"/>
  <c r="V14" i="24"/>
  <c r="U17" i="24"/>
  <c r="U43" i="23"/>
  <c r="S42" i="24"/>
  <c r="S68" i="23"/>
  <c r="R34" i="24"/>
  <c r="Q17" i="24"/>
  <c r="O38" i="24"/>
  <c r="N37" i="24"/>
  <c r="M13" i="24"/>
  <c r="AC70" i="23"/>
  <c r="Q29" i="24"/>
  <c r="U29" i="24"/>
  <c r="S34" i="24"/>
  <c r="W32" i="24"/>
  <c r="AE30" i="23"/>
  <c r="O30" i="24"/>
  <c r="S18" i="24"/>
  <c r="AA70" i="23"/>
  <c r="AI85" i="23"/>
  <c r="O14" i="24"/>
  <c r="T31" i="24"/>
  <c r="AA34" i="23"/>
  <c r="T17" i="23"/>
  <c r="T14" i="23"/>
  <c r="T37" i="23"/>
  <c r="T52" i="23"/>
  <c r="T66" i="23"/>
  <c r="T25" i="23"/>
  <c r="T45" i="23"/>
  <c r="T60" i="23"/>
  <c r="T33" i="23"/>
  <c r="T65" i="23"/>
  <c r="T13" i="23"/>
  <c r="T50" i="23"/>
  <c r="T44" i="23"/>
  <c r="T57" i="23"/>
  <c r="T12" i="23"/>
  <c r="T22" i="23"/>
  <c r="X17" i="23"/>
  <c r="X34" i="23"/>
  <c r="X57" i="23"/>
  <c r="X25" i="23"/>
  <c r="X45" i="23"/>
  <c r="X66" i="23"/>
  <c r="X53" i="23"/>
  <c r="X33" i="23"/>
  <c r="X74" i="23"/>
  <c r="X21" i="23"/>
  <c r="X42" i="23"/>
  <c r="X65" i="23"/>
  <c r="AB34" i="24"/>
  <c r="AB35" i="24"/>
  <c r="AB50" i="24"/>
  <c r="AF54" i="24"/>
  <c r="AF38" i="24"/>
  <c r="AF55" i="24"/>
  <c r="AJ59" i="24"/>
  <c r="AJ42" i="24"/>
  <c r="AJ43" i="24"/>
  <c r="P10" i="23"/>
  <c r="P9" i="23"/>
  <c r="P19" i="23"/>
  <c r="P30" i="23"/>
  <c r="P41" i="23"/>
  <c r="P51" i="23"/>
  <c r="P62" i="23"/>
  <c r="P14" i="23"/>
  <c r="P25" i="23"/>
  <c r="P35" i="23"/>
  <c r="P46" i="23"/>
  <c r="P57" i="23"/>
  <c r="P67" i="23"/>
  <c r="P18" i="23"/>
  <c r="P39" i="23"/>
  <c r="P61" i="23"/>
  <c r="P29" i="23"/>
  <c r="P50" i="23"/>
  <c r="P45" i="23"/>
  <c r="P13" i="23"/>
  <c r="P55" i="23"/>
  <c r="P23" i="23"/>
  <c r="P66" i="23"/>
  <c r="P34" i="23"/>
  <c r="M50" i="23"/>
  <c r="O12" i="23"/>
  <c r="O22" i="23"/>
  <c r="O33" i="23"/>
  <c r="O44" i="23"/>
  <c r="O54" i="23"/>
  <c r="O65" i="23"/>
  <c r="O17" i="23"/>
  <c r="O28" i="23"/>
  <c r="O38" i="23"/>
  <c r="O49" i="23"/>
  <c r="O60" i="23"/>
  <c r="O21" i="23"/>
  <c r="O42" i="23"/>
  <c r="O64" i="23"/>
  <c r="O10" i="23"/>
  <c r="O32" i="23"/>
  <c r="O53" i="23"/>
  <c r="Q38" i="23"/>
  <c r="Q16" i="23"/>
  <c r="Q59" i="23"/>
  <c r="Q22" i="23"/>
  <c r="Q64" i="23"/>
  <c r="N41" i="23"/>
  <c r="N63" i="23"/>
  <c r="R24" i="23"/>
  <c r="R40" i="23"/>
  <c r="R19" i="23"/>
  <c r="V63" i="23"/>
  <c r="V19" i="23"/>
  <c r="K17" i="25"/>
  <c r="P10" i="24"/>
  <c r="P15" i="24"/>
  <c r="P25" i="24"/>
  <c r="P36" i="24"/>
  <c r="P9" i="24"/>
  <c r="P20" i="24"/>
  <c r="P31" i="24"/>
  <c r="P41" i="24"/>
  <c r="P11" i="24"/>
  <c r="P32" i="24"/>
  <c r="P21" i="24"/>
  <c r="P43" i="24"/>
  <c r="P27" i="24"/>
  <c r="O58" i="23"/>
  <c r="O16" i="23"/>
  <c r="R61" i="23"/>
  <c r="S25" i="23"/>
  <c r="AF71" i="23"/>
  <c r="AF67" i="23"/>
  <c r="AF48" i="23"/>
  <c r="P16" i="24"/>
  <c r="O48" i="23"/>
  <c r="U34" i="23"/>
  <c r="S20" i="23"/>
  <c r="S33" i="23"/>
  <c r="S48" i="23"/>
  <c r="S63" i="23"/>
  <c r="S12" i="23"/>
  <c r="S27" i="23"/>
  <c r="S41" i="23"/>
  <c r="S55" i="23"/>
  <c r="S69" i="23"/>
  <c r="S32" i="23"/>
  <c r="S60" i="23"/>
  <c r="S17" i="23"/>
  <c r="S47" i="23"/>
  <c r="W16" i="23"/>
  <c r="W37" i="23"/>
  <c r="W60" i="23"/>
  <c r="W28" i="23"/>
  <c r="W48" i="23"/>
  <c r="W69" i="23"/>
  <c r="W36" i="23"/>
  <c r="W56" i="23"/>
  <c r="Y32" i="24"/>
  <c r="Y48" i="24"/>
  <c r="AA22" i="24"/>
  <c r="AA30" i="24"/>
  <c r="AA49" i="24"/>
  <c r="AE26" i="24"/>
  <c r="AE33" i="24"/>
  <c r="AI30" i="24"/>
  <c r="AI37" i="24"/>
  <c r="AB40" i="23"/>
  <c r="AB52" i="23"/>
  <c r="AB25" i="23"/>
  <c r="AB68" i="23"/>
  <c r="AB73" i="23"/>
  <c r="AB37" i="23"/>
  <c r="X21" i="24"/>
  <c r="X22" i="24"/>
  <c r="X43" i="24"/>
  <c r="X33" i="24"/>
  <c r="X37" i="24"/>
  <c r="X47" i="24"/>
  <c r="AI38" i="24"/>
  <c r="O37" i="23"/>
  <c r="S53" i="23"/>
  <c r="W68" i="23"/>
  <c r="AB53" i="23"/>
  <c r="T14" i="24"/>
  <c r="T19" i="24"/>
  <c r="T29" i="24"/>
  <c r="T40" i="24"/>
  <c r="T13" i="24"/>
  <c r="T24" i="24"/>
  <c r="T35" i="24"/>
  <c r="T45" i="24"/>
  <c r="T15" i="24"/>
  <c r="T36" i="24"/>
  <c r="T25" i="24"/>
  <c r="T47" i="24"/>
  <c r="P37" i="24"/>
  <c r="T20" i="24"/>
  <c r="X26" i="24"/>
  <c r="N20" i="23"/>
  <c r="O26" i="23"/>
  <c r="Q43" i="23"/>
  <c r="S39" i="23"/>
  <c r="W45" i="23"/>
  <c r="M21" i="24"/>
  <c r="M29" i="24"/>
  <c r="O8" i="24"/>
  <c r="O11" i="24"/>
  <c r="O27" i="24"/>
  <c r="O7" i="24"/>
  <c r="O19" i="24"/>
  <c r="O35" i="24"/>
  <c r="S12" i="24"/>
  <c r="S15" i="24"/>
  <c r="S31" i="24"/>
  <c r="S11" i="24"/>
  <c r="S23" i="24"/>
  <c r="S39" i="24"/>
  <c r="W20" i="24"/>
  <c r="W28" i="24"/>
  <c r="W49" i="24"/>
  <c r="W17" i="24"/>
  <c r="W38" i="24"/>
  <c r="Y23" i="23"/>
  <c r="AA27" i="23"/>
  <c r="AA64" i="23"/>
  <c r="AA48" i="23"/>
  <c r="CI101" i="5"/>
  <c r="B18" i="24"/>
  <c r="B30" i="24" s="1"/>
  <c r="B42" i="24" s="1"/>
  <c r="B54" i="24" s="1"/>
  <c r="B66" i="24" s="1"/>
  <c r="B78" i="24" s="1"/>
  <c r="B90" i="24" s="1"/>
  <c r="O22" i="24"/>
  <c r="S26" i="24"/>
  <c r="W21" i="24"/>
  <c r="AE74" i="23"/>
  <c r="N18" i="24"/>
  <c r="R18" i="24"/>
  <c r="V17" i="24"/>
  <c r="M24" i="24"/>
  <c r="Q25" i="24"/>
  <c r="U25" i="24"/>
  <c r="AG28" i="24"/>
  <c r="M32" i="24"/>
  <c r="M16" i="24"/>
  <c r="N29" i="24"/>
  <c r="O39" i="24"/>
  <c r="O31" i="24"/>
  <c r="O23" i="24"/>
  <c r="O15" i="24"/>
  <c r="P8" i="24"/>
  <c r="P39" i="24"/>
  <c r="P33" i="24"/>
  <c r="P28" i="24"/>
  <c r="P23" i="24"/>
  <c r="P17" i="24"/>
  <c r="P12" i="24"/>
  <c r="Q41" i="24"/>
  <c r="S43" i="24"/>
  <c r="S35" i="24"/>
  <c r="S27" i="24"/>
  <c r="S19" i="24"/>
  <c r="T12" i="24"/>
  <c r="T43" i="24"/>
  <c r="T37" i="24"/>
  <c r="T32" i="24"/>
  <c r="T27" i="24"/>
  <c r="T21" i="24"/>
  <c r="T16" i="24"/>
  <c r="U41" i="24"/>
  <c r="V34" i="24"/>
  <c r="W44" i="24"/>
  <c r="W33" i="24"/>
  <c r="W22" i="24"/>
  <c r="X49" i="24"/>
  <c r="X38" i="24"/>
  <c r="X27" i="24"/>
  <c r="X17" i="24"/>
  <c r="Y22" i="24"/>
  <c r="AA41" i="24"/>
  <c r="AB51" i="24"/>
  <c r="AC56" i="24"/>
  <c r="AE34" i="24"/>
  <c r="AF39" i="24"/>
  <c r="AI53" i="24"/>
  <c r="AJ58" i="24"/>
  <c r="M40" i="24"/>
  <c r="M8" i="24"/>
  <c r="Y43" i="24"/>
  <c r="M37" i="24"/>
  <c r="O42" i="24"/>
  <c r="O34" i="24"/>
  <c r="O26" i="24"/>
  <c r="O18" i="24"/>
  <c r="O10" i="24"/>
  <c r="P40" i="24"/>
  <c r="P35" i="24"/>
  <c r="P29" i="24"/>
  <c r="P24" i="24"/>
  <c r="P19" i="24"/>
  <c r="P13" i="24"/>
  <c r="Q9" i="24"/>
  <c r="Q13" i="24"/>
  <c r="S46" i="24"/>
  <c r="S38" i="24"/>
  <c r="S30" i="24"/>
  <c r="S22" i="24"/>
  <c r="S14" i="24"/>
  <c r="T44" i="24"/>
  <c r="T39" i="24"/>
  <c r="T33" i="24"/>
  <c r="T28" i="24"/>
  <c r="T23" i="24"/>
  <c r="T17" i="24"/>
  <c r="U45" i="24"/>
  <c r="W48" i="24"/>
  <c r="W37" i="24"/>
  <c r="W26" i="24"/>
  <c r="W16" i="24"/>
  <c r="X42" i="24"/>
  <c r="X31" i="24"/>
  <c r="Y27" i="24"/>
  <c r="AA48" i="24"/>
  <c r="AA29" i="24"/>
  <c r="AE49" i="24"/>
  <c r="AI54" i="24"/>
  <c r="V18" i="23"/>
  <c r="V22" i="23"/>
  <c r="V26" i="23"/>
  <c r="V30" i="23"/>
  <c r="V34" i="23"/>
  <c r="V38" i="23"/>
  <c r="V42" i="23"/>
  <c r="V46" i="23"/>
  <c r="V50" i="23"/>
  <c r="V54" i="23"/>
  <c r="V58" i="23"/>
  <c r="V62" i="23"/>
  <c r="V66" i="23"/>
  <c r="V70" i="23"/>
  <c r="V14" i="23"/>
  <c r="V17" i="23"/>
  <c r="V21" i="23"/>
  <c r="V25" i="23"/>
  <c r="V29" i="23"/>
  <c r="V33" i="23"/>
  <c r="V37" i="23"/>
  <c r="V41" i="23"/>
  <c r="V45" i="23"/>
  <c r="V49" i="23"/>
  <c r="V53" i="23"/>
  <c r="V57" i="23"/>
  <c r="V61" i="23"/>
  <c r="V65" i="23"/>
  <c r="V69" i="23"/>
  <c r="V73" i="23"/>
  <c r="V20" i="23"/>
  <c r="V28" i="23"/>
  <c r="V36" i="23"/>
  <c r="V44" i="23"/>
  <c r="V52" i="23"/>
  <c r="V60" i="23"/>
  <c r="V68" i="23"/>
  <c r="V15" i="23"/>
  <c r="V24" i="23"/>
  <c r="V35" i="23"/>
  <c r="V47" i="23"/>
  <c r="V56" i="23"/>
  <c r="V67" i="23"/>
  <c r="V27" i="23"/>
  <c r="V48" i="23"/>
  <c r="V71" i="23"/>
  <c r="V23" i="23"/>
  <c r="V32" i="23"/>
  <c r="V43" i="23"/>
  <c r="V55" i="23"/>
  <c r="V64" i="23"/>
  <c r="V16" i="23"/>
  <c r="V39" i="23"/>
  <c r="V59" i="23"/>
  <c r="N10" i="23"/>
  <c r="N14" i="23"/>
  <c r="N18" i="23"/>
  <c r="N22" i="23"/>
  <c r="N26" i="23"/>
  <c r="N30" i="23"/>
  <c r="N34" i="23"/>
  <c r="N38" i="23"/>
  <c r="N42" i="23"/>
  <c r="N46" i="23"/>
  <c r="N50" i="23"/>
  <c r="N54" i="23"/>
  <c r="N58" i="23"/>
  <c r="N62" i="23"/>
  <c r="N6" i="23"/>
  <c r="N7" i="23"/>
  <c r="N12" i="23"/>
  <c r="N17" i="23"/>
  <c r="N23" i="23"/>
  <c r="N28" i="23"/>
  <c r="N33" i="23"/>
  <c r="N39" i="23"/>
  <c r="N44" i="23"/>
  <c r="N49" i="23"/>
  <c r="N55" i="23"/>
  <c r="N60" i="23"/>
  <c r="N65" i="23"/>
  <c r="N8" i="23"/>
  <c r="N19" i="23"/>
  <c r="N24" i="23"/>
  <c r="N35" i="23"/>
  <c r="N45" i="23"/>
  <c r="N51" i="23"/>
  <c r="N61" i="23"/>
  <c r="N11" i="23"/>
  <c r="N16" i="23"/>
  <c r="N21" i="23"/>
  <c r="N27" i="23"/>
  <c r="N32" i="23"/>
  <c r="N37" i="23"/>
  <c r="N43" i="23"/>
  <c r="N48" i="23"/>
  <c r="N53" i="23"/>
  <c r="N59" i="23"/>
  <c r="N64" i="23"/>
  <c r="N13" i="23"/>
  <c r="N29" i="23"/>
  <c r="N40" i="23"/>
  <c r="N56" i="23"/>
  <c r="AD23" i="23"/>
  <c r="AD27" i="23"/>
  <c r="AD31" i="23"/>
  <c r="AD35" i="23"/>
  <c r="AD39" i="23"/>
  <c r="AD43" i="23"/>
  <c r="AD47" i="23"/>
  <c r="AD51" i="23"/>
  <c r="AD55" i="23"/>
  <c r="AD59" i="23"/>
  <c r="AD63" i="23"/>
  <c r="AD67" i="23"/>
  <c r="AD71" i="23"/>
  <c r="AD75" i="23"/>
  <c r="AD24" i="23"/>
  <c r="AD28" i="23"/>
  <c r="AD32" i="23"/>
  <c r="AD36" i="23"/>
  <c r="AD40" i="23"/>
  <c r="AD44" i="23"/>
  <c r="AD48" i="23"/>
  <c r="AD52" i="23"/>
  <c r="AD56" i="23"/>
  <c r="AD60" i="23"/>
  <c r="AD64" i="23"/>
  <c r="AD68" i="23"/>
  <c r="AD72" i="23"/>
  <c r="AD76" i="23"/>
  <c r="AD80" i="23"/>
  <c r="AD26" i="23"/>
  <c r="AD34" i="23"/>
  <c r="AD42" i="23"/>
  <c r="AD50" i="23"/>
  <c r="AD58" i="23"/>
  <c r="AD66" i="23"/>
  <c r="AD74" i="23"/>
  <c r="AD81" i="23"/>
  <c r="AD29" i="23"/>
  <c r="AD38" i="23"/>
  <c r="AD49" i="23"/>
  <c r="AD61" i="23"/>
  <c r="AD70" i="23"/>
  <c r="AD79" i="23"/>
  <c r="AD25" i="23"/>
  <c r="AD37" i="23"/>
  <c r="AD46" i="23"/>
  <c r="AD57" i="23"/>
  <c r="AD69" i="23"/>
  <c r="AD78" i="23"/>
  <c r="AD41" i="23"/>
  <c r="AD62" i="23"/>
  <c r="AD22" i="23"/>
  <c r="AD45" i="23"/>
  <c r="AD65" i="23"/>
  <c r="AD53" i="23"/>
  <c r="AD54" i="23"/>
  <c r="AD33" i="23"/>
  <c r="AD77" i="23"/>
  <c r="N57" i="23"/>
  <c r="N36" i="23"/>
  <c r="N15" i="23"/>
  <c r="R56" i="23"/>
  <c r="R35" i="23"/>
  <c r="R13" i="23"/>
  <c r="V51" i="23"/>
  <c r="Z65" i="23"/>
  <c r="U17" i="23"/>
  <c r="U21" i="23"/>
  <c r="U25" i="23"/>
  <c r="U29" i="23"/>
  <c r="U33" i="23"/>
  <c r="U37" i="23"/>
  <c r="U41" i="23"/>
  <c r="U45" i="23"/>
  <c r="U49" i="23"/>
  <c r="U53" i="23"/>
  <c r="U57" i="23"/>
  <c r="U61" i="23"/>
  <c r="U65" i="23"/>
  <c r="U69" i="23"/>
  <c r="U13" i="23"/>
  <c r="U16" i="23"/>
  <c r="U20" i="23"/>
  <c r="U24" i="23"/>
  <c r="U28" i="23"/>
  <c r="U32" i="23"/>
  <c r="U36" i="23"/>
  <c r="U40" i="23"/>
  <c r="U44" i="23"/>
  <c r="U48" i="23"/>
  <c r="U52" i="23"/>
  <c r="U56" i="23"/>
  <c r="U60" i="23"/>
  <c r="U64" i="23"/>
  <c r="U68" i="23"/>
  <c r="U72" i="23"/>
  <c r="U15" i="23"/>
  <c r="U23" i="23"/>
  <c r="U31" i="23"/>
  <c r="U39" i="23"/>
  <c r="U47" i="23"/>
  <c r="U55" i="23"/>
  <c r="U63" i="23"/>
  <c r="U71" i="23"/>
  <c r="U18" i="23"/>
  <c r="U27" i="23"/>
  <c r="U38" i="23"/>
  <c r="U50" i="23"/>
  <c r="U59" i="23"/>
  <c r="U70" i="23"/>
  <c r="U30" i="23"/>
  <c r="U51" i="23"/>
  <c r="U14" i="23"/>
  <c r="U26" i="23"/>
  <c r="U35" i="23"/>
  <c r="U46" i="23"/>
  <c r="U58" i="23"/>
  <c r="U67" i="23"/>
  <c r="U19" i="23"/>
  <c r="U42" i="23"/>
  <c r="U62" i="23"/>
  <c r="Q13" i="23"/>
  <c r="Q17" i="23"/>
  <c r="Q21" i="23"/>
  <c r="Q25" i="23"/>
  <c r="Q29" i="23"/>
  <c r="Q33" i="23"/>
  <c r="Q37" i="23"/>
  <c r="Q41" i="23"/>
  <c r="Q45" i="23"/>
  <c r="Q49" i="23"/>
  <c r="Q53" i="23"/>
  <c r="Q57" i="23"/>
  <c r="Q61" i="23"/>
  <c r="Q65" i="23"/>
  <c r="Q9" i="23"/>
  <c r="Q14" i="23"/>
  <c r="Q19" i="23"/>
  <c r="Q24" i="23"/>
  <c r="Q30" i="23"/>
  <c r="Q35" i="23"/>
  <c r="Q40" i="23"/>
  <c r="Q46" i="23"/>
  <c r="Q51" i="23"/>
  <c r="Q56" i="23"/>
  <c r="Q62" i="23"/>
  <c r="Q67" i="23"/>
  <c r="Q10" i="23"/>
  <c r="Q20" i="23"/>
  <c r="Q31" i="23"/>
  <c r="Q42" i="23"/>
  <c r="Q52" i="23"/>
  <c r="Q63" i="23"/>
  <c r="Q12" i="23"/>
  <c r="Q18" i="23"/>
  <c r="Q23" i="23"/>
  <c r="Q28" i="23"/>
  <c r="Q34" i="23"/>
  <c r="Q39" i="23"/>
  <c r="Q44" i="23"/>
  <c r="Q50" i="23"/>
  <c r="Q55" i="23"/>
  <c r="Q60" i="23"/>
  <c r="Q66" i="23"/>
  <c r="Q15" i="23"/>
  <c r="Q26" i="23"/>
  <c r="Q36" i="23"/>
  <c r="Q47" i="23"/>
  <c r="Q58" i="23"/>
  <c r="Q68" i="23"/>
  <c r="Y19" i="23"/>
  <c r="Y27" i="23"/>
  <c r="Y41" i="23"/>
  <c r="Y49" i="23"/>
  <c r="Y73" i="23"/>
  <c r="Y22" i="23"/>
  <c r="Y48" i="23"/>
  <c r="Y56" i="23"/>
  <c r="Y26" i="23"/>
  <c r="Y43" i="23"/>
  <c r="Y38" i="23"/>
  <c r="Y58" i="23"/>
  <c r="Y34" i="23"/>
  <c r="Y55" i="23"/>
  <c r="AG29" i="23"/>
  <c r="AG33" i="23"/>
  <c r="AG37" i="23"/>
  <c r="AG41" i="23"/>
  <c r="AG45" i="23"/>
  <c r="AG49" i="23"/>
  <c r="AG53" i="23"/>
  <c r="AG57" i="23"/>
  <c r="AG61" i="23"/>
  <c r="AG65" i="23"/>
  <c r="AG69" i="23"/>
  <c r="AG73" i="23"/>
  <c r="AG26" i="23"/>
  <c r="AG30" i="23"/>
  <c r="AG34" i="23"/>
  <c r="AG38" i="23"/>
  <c r="AG42" i="23"/>
  <c r="AG46" i="23"/>
  <c r="AG50" i="23"/>
  <c r="AG54" i="23"/>
  <c r="AG58" i="23"/>
  <c r="AG62" i="23"/>
  <c r="AG66" i="23"/>
  <c r="AG70" i="23"/>
  <c r="AG74" i="23"/>
  <c r="AG78" i="23"/>
  <c r="AG82" i="23"/>
  <c r="AG31" i="23"/>
  <c r="AG39" i="23"/>
  <c r="AG47" i="23"/>
  <c r="AG55" i="23"/>
  <c r="AG63" i="23"/>
  <c r="AG71" i="23"/>
  <c r="AG77" i="23"/>
  <c r="AG83" i="23"/>
  <c r="AG32" i="23"/>
  <c r="AG40" i="23"/>
  <c r="AG48" i="23"/>
  <c r="AG56" i="23"/>
  <c r="AG64" i="23"/>
  <c r="AG72" i="23"/>
  <c r="AG79" i="23"/>
  <c r="AG84" i="23"/>
  <c r="AG28" i="23"/>
  <c r="AG44" i="23"/>
  <c r="AG60" i="23"/>
  <c r="AG76" i="23"/>
  <c r="AG36" i="23"/>
  <c r="AG59" i="23"/>
  <c r="AG80" i="23"/>
  <c r="AG35" i="23"/>
  <c r="AG52" i="23"/>
  <c r="AG75" i="23"/>
  <c r="AG67" i="23"/>
  <c r="AG27" i="23"/>
  <c r="AG68" i="23"/>
  <c r="AG43" i="23"/>
  <c r="AG51" i="23"/>
  <c r="AG25" i="23"/>
  <c r="AC23" i="23"/>
  <c r="AC27" i="23"/>
  <c r="AC31" i="23"/>
  <c r="AC35" i="23"/>
  <c r="AC39" i="23"/>
  <c r="AC43" i="23"/>
  <c r="AC47" i="23"/>
  <c r="AC51" i="23"/>
  <c r="AC55" i="23"/>
  <c r="AC59" i="23"/>
  <c r="AC63" i="23"/>
  <c r="AC67" i="23"/>
  <c r="AC71" i="23"/>
  <c r="AC75" i="23"/>
  <c r="AC79" i="23"/>
  <c r="AC25" i="23"/>
  <c r="AC30" i="23"/>
  <c r="AC36" i="23"/>
  <c r="AC41" i="23"/>
  <c r="AC46" i="23"/>
  <c r="AC52" i="23"/>
  <c r="AC57" i="23"/>
  <c r="AC62" i="23"/>
  <c r="AC68" i="23"/>
  <c r="AC73" i="23"/>
  <c r="AC78" i="23"/>
  <c r="AC26" i="23"/>
  <c r="AC33" i="23"/>
  <c r="AC40" i="23"/>
  <c r="AC48" i="23"/>
  <c r="AC54" i="23"/>
  <c r="AC61" i="23"/>
  <c r="AC69" i="23"/>
  <c r="AC76" i="23"/>
  <c r="AC24" i="23"/>
  <c r="AC32" i="23"/>
  <c r="AC38" i="23"/>
  <c r="AC45" i="23"/>
  <c r="AC53" i="23"/>
  <c r="AC60" i="23"/>
  <c r="AC66" i="23"/>
  <c r="AC74" i="23"/>
  <c r="AC21" i="23"/>
  <c r="AC34" i="23"/>
  <c r="AC49" i="23"/>
  <c r="AC64" i="23"/>
  <c r="AC77" i="23"/>
  <c r="AC22" i="23"/>
  <c r="AC37" i="23"/>
  <c r="AC50" i="23"/>
  <c r="AC65" i="23"/>
  <c r="AC80" i="23"/>
  <c r="AC28" i="23"/>
  <c r="AC56" i="23"/>
  <c r="AC29" i="23"/>
  <c r="AC44" i="23"/>
  <c r="AC72" i="23"/>
  <c r="AC58" i="23"/>
  <c r="M26" i="23"/>
  <c r="N47" i="23"/>
  <c r="N25" i="23"/>
  <c r="Q48" i="23"/>
  <c r="Q27" i="23"/>
  <c r="R67" i="23"/>
  <c r="R45" i="23"/>
  <c r="U54" i="23"/>
  <c r="V72" i="23"/>
  <c r="V31" i="23"/>
  <c r="AD30" i="23"/>
  <c r="R14" i="23"/>
  <c r="R18" i="23"/>
  <c r="R22" i="23"/>
  <c r="R26" i="23"/>
  <c r="R30" i="23"/>
  <c r="R34" i="23"/>
  <c r="R38" i="23"/>
  <c r="R42" i="23"/>
  <c r="R46" i="23"/>
  <c r="R50" i="23"/>
  <c r="R54" i="23"/>
  <c r="R58" i="23"/>
  <c r="R62" i="23"/>
  <c r="R66" i="23"/>
  <c r="R10" i="23"/>
  <c r="R11" i="23"/>
  <c r="R16" i="23"/>
  <c r="R21" i="23"/>
  <c r="R27" i="23"/>
  <c r="R32" i="23"/>
  <c r="R37" i="23"/>
  <c r="R43" i="23"/>
  <c r="R48" i="23"/>
  <c r="R53" i="23"/>
  <c r="R59" i="23"/>
  <c r="R64" i="23"/>
  <c r="R69" i="23"/>
  <c r="R17" i="23"/>
  <c r="R28" i="23"/>
  <c r="R39" i="23"/>
  <c r="R49" i="23"/>
  <c r="R60" i="23"/>
  <c r="R15" i="23"/>
  <c r="R20" i="23"/>
  <c r="R25" i="23"/>
  <c r="R31" i="23"/>
  <c r="R36" i="23"/>
  <c r="R41" i="23"/>
  <c r="R47" i="23"/>
  <c r="R52" i="23"/>
  <c r="R57" i="23"/>
  <c r="R63" i="23"/>
  <c r="R68" i="23"/>
  <c r="R12" i="23"/>
  <c r="R23" i="23"/>
  <c r="R33" i="23"/>
  <c r="R44" i="23"/>
  <c r="R55" i="23"/>
  <c r="R65" i="23"/>
  <c r="AH30" i="23"/>
  <c r="AH34" i="23"/>
  <c r="AH38" i="23"/>
  <c r="AH42" i="23"/>
  <c r="AH46" i="23"/>
  <c r="AH50" i="23"/>
  <c r="AH54" i="23"/>
  <c r="AH58" i="23"/>
  <c r="AH62" i="23"/>
  <c r="AH66" i="23"/>
  <c r="AH70" i="23"/>
  <c r="AH74" i="23"/>
  <c r="AH78" i="23"/>
  <c r="AH82" i="23"/>
  <c r="AH26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28" i="23"/>
  <c r="AH36" i="23"/>
  <c r="AH44" i="23"/>
  <c r="AH52" i="23"/>
  <c r="AH60" i="23"/>
  <c r="AH68" i="23"/>
  <c r="AH76" i="23"/>
  <c r="AH84" i="23"/>
  <c r="AH29" i="23"/>
  <c r="AH37" i="23"/>
  <c r="AH45" i="23"/>
  <c r="AH53" i="23"/>
  <c r="AH61" i="23"/>
  <c r="AH69" i="23"/>
  <c r="AH77" i="23"/>
  <c r="AH85" i="23"/>
  <c r="AH41" i="23"/>
  <c r="AH57" i="23"/>
  <c r="AH73" i="23"/>
  <c r="AH33" i="23"/>
  <c r="AH56" i="23"/>
  <c r="AH80" i="23"/>
  <c r="AH32" i="23"/>
  <c r="AH49" i="23"/>
  <c r="AH72" i="23"/>
  <c r="AH40" i="23"/>
  <c r="AH81" i="23"/>
  <c r="AH48" i="23"/>
  <c r="AH65" i="23"/>
  <c r="Z20" i="23"/>
  <c r="Z24" i="23"/>
  <c r="Z28" i="23"/>
  <c r="Z32" i="23"/>
  <c r="Z36" i="23"/>
  <c r="Z40" i="23"/>
  <c r="Z44" i="23"/>
  <c r="Z48" i="23"/>
  <c r="Z52" i="23"/>
  <c r="Z56" i="23"/>
  <c r="Z60" i="23"/>
  <c r="Z64" i="23"/>
  <c r="Z68" i="23"/>
  <c r="Z72" i="23"/>
  <c r="Z76" i="23"/>
  <c r="Z23" i="23"/>
  <c r="Z29" i="23"/>
  <c r="Z34" i="23"/>
  <c r="Z39" i="23"/>
  <c r="Z45" i="23"/>
  <c r="Z50" i="23"/>
  <c r="Z55" i="23"/>
  <c r="Z61" i="23"/>
  <c r="Z21" i="23"/>
  <c r="Z27" i="23"/>
  <c r="Z35" i="23"/>
  <c r="Z42" i="23"/>
  <c r="Z49" i="23"/>
  <c r="Z57" i="23"/>
  <c r="Z63" i="23"/>
  <c r="Z69" i="23"/>
  <c r="Z74" i="23"/>
  <c r="Z19" i="23"/>
  <c r="Z26" i="23"/>
  <c r="Z33" i="23"/>
  <c r="Z41" i="23"/>
  <c r="Z47" i="23"/>
  <c r="Z54" i="23"/>
  <c r="Z62" i="23"/>
  <c r="Z67" i="23"/>
  <c r="Z73" i="23"/>
  <c r="Z18" i="23"/>
  <c r="Z25" i="23"/>
  <c r="Z38" i="23"/>
  <c r="Z53" i="23"/>
  <c r="Z66" i="23"/>
  <c r="Z77" i="23"/>
  <c r="Z37" i="23"/>
  <c r="Z58" i="23"/>
  <c r="Z71" i="23"/>
  <c r="Z22" i="23"/>
  <c r="Z43" i="23"/>
  <c r="Z75" i="23"/>
  <c r="Z31" i="23"/>
  <c r="Z51" i="23"/>
  <c r="Z70" i="23"/>
  <c r="Z59" i="23"/>
  <c r="M56" i="23"/>
  <c r="M63" i="23"/>
  <c r="N52" i="23"/>
  <c r="N31" i="23"/>
  <c r="N9" i="23"/>
  <c r="Q54" i="23"/>
  <c r="Q32" i="23"/>
  <c r="Q11" i="23"/>
  <c r="R51" i="23"/>
  <c r="R29" i="23"/>
  <c r="U66" i="23"/>
  <c r="U22" i="23"/>
  <c r="V40" i="23"/>
  <c r="Z46" i="23"/>
  <c r="AD73" i="23"/>
  <c r="AH64" i="23"/>
  <c r="W19" i="23"/>
  <c r="W23" i="23"/>
  <c r="W27" i="23"/>
  <c r="W31" i="23"/>
  <c r="W35" i="23"/>
  <c r="W39" i="23"/>
  <c r="W43" i="23"/>
  <c r="W47" i="23"/>
  <c r="W51" i="23"/>
  <c r="W55" i="23"/>
  <c r="W59" i="23"/>
  <c r="W63" i="23"/>
  <c r="W67" i="23"/>
  <c r="W71" i="23"/>
  <c r="W15" i="23"/>
  <c r="W18" i="23"/>
  <c r="W22" i="23"/>
  <c r="W26" i="23"/>
  <c r="W30" i="23"/>
  <c r="W34" i="23"/>
  <c r="W38" i="23"/>
  <c r="W42" i="23"/>
  <c r="W46" i="23"/>
  <c r="W50" i="23"/>
  <c r="W54" i="23"/>
  <c r="W58" i="23"/>
  <c r="W62" i="23"/>
  <c r="W66" i="23"/>
  <c r="W70" i="23"/>
  <c r="W74" i="23"/>
  <c r="W17" i="23"/>
  <c r="W25" i="23"/>
  <c r="W33" i="23"/>
  <c r="W41" i="23"/>
  <c r="W49" i="23"/>
  <c r="W57" i="23"/>
  <c r="W65" i="23"/>
  <c r="W73" i="23"/>
  <c r="S14" i="23"/>
  <c r="S18" i="23"/>
  <c r="S22" i="23"/>
  <c r="S26" i="23"/>
  <c r="S30" i="23"/>
  <c r="S34" i="23"/>
  <c r="S38" i="23"/>
  <c r="S42" i="23"/>
  <c r="S46" i="23"/>
  <c r="S50" i="23"/>
  <c r="S54" i="23"/>
  <c r="S58" i="23"/>
  <c r="S62" i="23"/>
  <c r="S66" i="23"/>
  <c r="S13" i="23"/>
  <c r="S19" i="23"/>
  <c r="S24" i="23"/>
  <c r="S29" i="23"/>
  <c r="S35" i="23"/>
  <c r="S40" i="23"/>
  <c r="S45" i="23"/>
  <c r="S51" i="23"/>
  <c r="S56" i="23"/>
  <c r="S61" i="23"/>
  <c r="S67" i="23"/>
  <c r="S11" i="23"/>
  <c r="O11" i="23"/>
  <c r="O15" i="23"/>
  <c r="O19" i="23"/>
  <c r="O23" i="23"/>
  <c r="O27" i="23"/>
  <c r="O31" i="23"/>
  <c r="O35" i="23"/>
  <c r="O39" i="23"/>
  <c r="O43" i="23"/>
  <c r="O47" i="23"/>
  <c r="O51" i="23"/>
  <c r="O55" i="23"/>
  <c r="O59" i="23"/>
  <c r="O63" i="23"/>
  <c r="O7" i="23"/>
  <c r="AI31" i="23"/>
  <c r="AI35" i="23"/>
  <c r="AI39" i="23"/>
  <c r="AI43" i="23"/>
  <c r="AI47" i="23"/>
  <c r="AI51" i="23"/>
  <c r="AI55" i="23"/>
  <c r="AI59" i="23"/>
  <c r="AI63" i="23"/>
  <c r="AI67" i="23"/>
  <c r="AI71" i="23"/>
  <c r="AI75" i="23"/>
  <c r="AI79" i="23"/>
  <c r="AI83" i="23"/>
  <c r="AI27" i="23"/>
  <c r="AI28" i="23"/>
  <c r="AI32" i="23"/>
  <c r="AI36" i="23"/>
  <c r="AI40" i="23"/>
  <c r="AI44" i="23"/>
  <c r="AI48" i="23"/>
  <c r="AI52" i="23"/>
  <c r="AI56" i="23"/>
  <c r="AI60" i="23"/>
  <c r="AI64" i="23"/>
  <c r="AI68" i="23"/>
  <c r="AI72" i="23"/>
  <c r="AI76" i="23"/>
  <c r="AI80" i="23"/>
  <c r="AI84" i="23"/>
  <c r="AI33" i="23"/>
  <c r="AI41" i="23"/>
  <c r="AI49" i="23"/>
  <c r="AI57" i="23"/>
  <c r="AI65" i="23"/>
  <c r="AI73" i="23"/>
  <c r="AI81" i="23"/>
  <c r="AI34" i="23"/>
  <c r="AI42" i="23"/>
  <c r="AI50" i="23"/>
  <c r="AI58" i="23"/>
  <c r="AI66" i="23"/>
  <c r="AI74" i="23"/>
  <c r="AI82" i="23"/>
  <c r="AI38" i="23"/>
  <c r="AI54" i="23"/>
  <c r="AI70" i="23"/>
  <c r="AI86" i="23"/>
  <c r="AI30" i="23"/>
  <c r="AI53" i="23"/>
  <c r="AI77" i="23"/>
  <c r="AI29" i="23"/>
  <c r="AI46" i="23"/>
  <c r="AI69" i="23"/>
  <c r="AI61" i="23"/>
  <c r="AI62" i="23"/>
  <c r="AE24" i="23"/>
  <c r="AE28" i="23"/>
  <c r="AE32" i="23"/>
  <c r="AE36" i="23"/>
  <c r="AE40" i="23"/>
  <c r="AE44" i="23"/>
  <c r="AE48" i="23"/>
  <c r="AE52" i="23"/>
  <c r="AE56" i="23"/>
  <c r="AE60" i="23"/>
  <c r="AE64" i="23"/>
  <c r="AE68" i="23"/>
  <c r="AE72" i="23"/>
  <c r="AE76" i="23"/>
  <c r="AE80" i="23"/>
  <c r="AE25" i="23"/>
  <c r="AE29" i="23"/>
  <c r="AE33" i="23"/>
  <c r="AE37" i="23"/>
  <c r="AE41" i="23"/>
  <c r="AE45" i="23"/>
  <c r="AE49" i="23"/>
  <c r="AE53" i="23"/>
  <c r="AE57" i="23"/>
  <c r="AE61" i="23"/>
  <c r="AE65" i="23"/>
  <c r="AE69" i="23"/>
  <c r="AE73" i="23"/>
  <c r="AE77" i="23"/>
  <c r="AE81" i="23"/>
  <c r="AE31" i="23"/>
  <c r="AE39" i="23"/>
  <c r="AE47" i="23"/>
  <c r="AE55" i="23"/>
  <c r="AE63" i="23"/>
  <c r="AE71" i="23"/>
  <c r="AE79" i="23"/>
  <c r="AE26" i="23"/>
  <c r="AE35" i="23"/>
  <c r="AE46" i="23"/>
  <c r="AE58" i="23"/>
  <c r="AE67" i="23"/>
  <c r="AE78" i="23"/>
  <c r="AE34" i="23"/>
  <c r="AE43" i="23"/>
  <c r="AE54" i="23"/>
  <c r="AE66" i="23"/>
  <c r="AE75" i="23"/>
  <c r="AE38" i="23"/>
  <c r="AE59" i="23"/>
  <c r="AE82" i="23"/>
  <c r="AE42" i="23"/>
  <c r="AE62" i="23"/>
  <c r="AE23" i="23"/>
  <c r="AA21" i="23"/>
  <c r="AA25" i="23"/>
  <c r="AA29" i="23"/>
  <c r="AA33" i="23"/>
  <c r="AA37" i="23"/>
  <c r="AA41" i="23"/>
  <c r="AA45" i="23"/>
  <c r="AA49" i="23"/>
  <c r="AA53" i="23"/>
  <c r="AA57" i="23"/>
  <c r="AA61" i="23"/>
  <c r="AA65" i="23"/>
  <c r="AA69" i="23"/>
  <c r="AA73" i="23"/>
  <c r="AA77" i="23"/>
  <c r="AA20" i="23"/>
  <c r="AA26" i="23"/>
  <c r="AA31" i="23"/>
  <c r="AA36" i="23"/>
  <c r="AA42" i="23"/>
  <c r="AA47" i="23"/>
  <c r="AA52" i="23"/>
  <c r="AA58" i="23"/>
  <c r="AA63" i="23"/>
  <c r="AA68" i="23"/>
  <c r="AA74" i="23"/>
  <c r="AA19" i="23"/>
  <c r="AA24" i="23"/>
  <c r="AA32" i="23"/>
  <c r="AA39" i="23"/>
  <c r="AA46" i="23"/>
  <c r="AA54" i="23"/>
  <c r="AA60" i="23"/>
  <c r="AA67" i="23"/>
  <c r="AA75" i="23"/>
  <c r="AA23" i="23"/>
  <c r="AA30" i="23"/>
  <c r="AA38" i="23"/>
  <c r="AA44" i="23"/>
  <c r="AA51" i="23"/>
  <c r="AA59" i="23"/>
  <c r="AA66" i="23"/>
  <c r="AA72" i="23"/>
  <c r="AA28" i="23"/>
  <c r="AA43" i="23"/>
  <c r="AA56" i="23"/>
  <c r="AA71" i="23"/>
  <c r="O66" i="23"/>
  <c r="O61" i="23"/>
  <c r="O56" i="23"/>
  <c r="O50" i="23"/>
  <c r="O45" i="23"/>
  <c r="O40" i="23"/>
  <c r="O34" i="23"/>
  <c r="O29" i="23"/>
  <c r="O24" i="23"/>
  <c r="O18" i="23"/>
  <c r="O13" i="23"/>
  <c r="O8" i="23"/>
  <c r="P63" i="23"/>
  <c r="P58" i="23"/>
  <c r="P53" i="23"/>
  <c r="P47" i="23"/>
  <c r="P42" i="23"/>
  <c r="P37" i="23"/>
  <c r="P31" i="23"/>
  <c r="P26" i="23"/>
  <c r="P21" i="23"/>
  <c r="P15" i="23"/>
  <c r="S70" i="23"/>
  <c r="S64" i="23"/>
  <c r="S57" i="23"/>
  <c r="S49" i="23"/>
  <c r="S43" i="23"/>
  <c r="S36" i="23"/>
  <c r="S28" i="23"/>
  <c r="S21" i="23"/>
  <c r="S15" i="23"/>
  <c r="T68" i="23"/>
  <c r="T61" i="23"/>
  <c r="T54" i="23"/>
  <c r="T46" i="23"/>
  <c r="T38" i="23"/>
  <c r="T29" i="23"/>
  <c r="W72" i="23"/>
  <c r="W61" i="23"/>
  <c r="W52" i="23"/>
  <c r="W40" i="23"/>
  <c r="W29" i="23"/>
  <c r="W20" i="23"/>
  <c r="X69" i="23"/>
  <c r="X58" i="23"/>
  <c r="X49" i="23"/>
  <c r="X37" i="23"/>
  <c r="X26" i="23"/>
  <c r="AA76" i="23"/>
  <c r="AA55" i="23"/>
  <c r="AA35" i="23"/>
  <c r="AB20" i="23"/>
  <c r="AB59" i="23"/>
  <c r="AE51" i="23"/>
  <c r="AI45" i="23"/>
  <c r="X20" i="23"/>
  <c r="X24" i="23"/>
  <c r="X28" i="23"/>
  <c r="X32" i="23"/>
  <c r="X36" i="23"/>
  <c r="X40" i="23"/>
  <c r="X44" i="23"/>
  <c r="X48" i="23"/>
  <c r="X52" i="23"/>
  <c r="X56" i="23"/>
  <c r="X60" i="23"/>
  <c r="X64" i="23"/>
  <c r="X68" i="23"/>
  <c r="X72" i="23"/>
  <c r="X16" i="23"/>
  <c r="X19" i="23"/>
  <c r="X23" i="23"/>
  <c r="X27" i="23"/>
  <c r="X31" i="23"/>
  <c r="X35" i="23"/>
  <c r="X39" i="23"/>
  <c r="X43" i="23"/>
  <c r="X47" i="23"/>
  <c r="X51" i="23"/>
  <c r="X55" i="23"/>
  <c r="X59" i="23"/>
  <c r="X63" i="23"/>
  <c r="X67" i="23"/>
  <c r="X71" i="23"/>
  <c r="X75" i="23"/>
  <c r="X22" i="23"/>
  <c r="X30" i="23"/>
  <c r="X38" i="23"/>
  <c r="X46" i="23"/>
  <c r="X54" i="23"/>
  <c r="X62" i="23"/>
  <c r="X70" i="23"/>
  <c r="T16" i="23"/>
  <c r="T20" i="23"/>
  <c r="T24" i="23"/>
  <c r="T28" i="23"/>
  <c r="T32" i="23"/>
  <c r="T36" i="23"/>
  <c r="T40" i="23"/>
  <c r="T15" i="23"/>
  <c r="T19" i="23"/>
  <c r="T23" i="23"/>
  <c r="T27" i="23"/>
  <c r="T31" i="23"/>
  <c r="T35" i="23"/>
  <c r="T39" i="23"/>
  <c r="T43" i="23"/>
  <c r="T47" i="23"/>
  <c r="T51" i="23"/>
  <c r="T55" i="23"/>
  <c r="T59" i="23"/>
  <c r="T63" i="23"/>
  <c r="T67" i="23"/>
  <c r="T71" i="23"/>
  <c r="T18" i="23"/>
  <c r="T26" i="23"/>
  <c r="T34" i="23"/>
  <c r="T42" i="23"/>
  <c r="T48" i="23"/>
  <c r="T53" i="23"/>
  <c r="T58" i="23"/>
  <c r="T64" i="23"/>
  <c r="T69" i="23"/>
  <c r="P12" i="23"/>
  <c r="P16" i="23"/>
  <c r="P20" i="23"/>
  <c r="P24" i="23"/>
  <c r="P28" i="23"/>
  <c r="P32" i="23"/>
  <c r="P36" i="23"/>
  <c r="P40" i="23"/>
  <c r="P44" i="23"/>
  <c r="P48" i="23"/>
  <c r="P52" i="23"/>
  <c r="P56" i="23"/>
  <c r="P60" i="23"/>
  <c r="P64" i="23"/>
  <c r="P8" i="23"/>
  <c r="AJ32" i="23"/>
  <c r="AJ36" i="23"/>
  <c r="AJ40" i="23"/>
  <c r="AJ44" i="23"/>
  <c r="AJ48" i="23"/>
  <c r="AJ52" i="23"/>
  <c r="AJ56" i="23"/>
  <c r="AJ60" i="23"/>
  <c r="AJ64" i="23"/>
  <c r="AJ68" i="23"/>
  <c r="AJ72" i="23"/>
  <c r="AJ76" i="23"/>
  <c r="AJ80" i="23"/>
  <c r="AJ84" i="23"/>
  <c r="AJ28" i="23"/>
  <c r="AJ29" i="23"/>
  <c r="AJ33" i="23"/>
  <c r="AJ37" i="23"/>
  <c r="AJ41" i="23"/>
  <c r="AJ45" i="23"/>
  <c r="AJ49" i="23"/>
  <c r="AJ53" i="23"/>
  <c r="AJ57" i="23"/>
  <c r="AJ61" i="23"/>
  <c r="AJ65" i="23"/>
  <c r="AJ69" i="23"/>
  <c r="AJ73" i="23"/>
  <c r="AJ77" i="23"/>
  <c r="AJ81" i="23"/>
  <c r="AJ85" i="23"/>
  <c r="AJ30" i="23"/>
  <c r="AJ38" i="23"/>
  <c r="AJ46" i="23"/>
  <c r="AJ54" i="23"/>
  <c r="AJ62" i="23"/>
  <c r="AJ70" i="23"/>
  <c r="AJ78" i="23"/>
  <c r="AJ86" i="23"/>
  <c r="AJ31" i="23"/>
  <c r="AJ39" i="23"/>
  <c r="AJ47" i="23"/>
  <c r="AJ55" i="23"/>
  <c r="AJ63" i="23"/>
  <c r="AJ71" i="23"/>
  <c r="AJ79" i="23"/>
  <c r="AJ87" i="23"/>
  <c r="AJ35" i="23"/>
  <c r="AJ51" i="23"/>
  <c r="AJ67" i="23"/>
  <c r="AJ83" i="23"/>
  <c r="AJ50" i="23"/>
  <c r="AJ74" i="23"/>
  <c r="AJ43" i="23"/>
  <c r="AJ66" i="23"/>
  <c r="AJ34" i="23"/>
  <c r="AJ75" i="23"/>
  <c r="AJ42" i="23"/>
  <c r="AJ82" i="23"/>
  <c r="AF25" i="23"/>
  <c r="AF29" i="23"/>
  <c r="AF33" i="23"/>
  <c r="AF27" i="23"/>
  <c r="AF32" i="23"/>
  <c r="AF37" i="23"/>
  <c r="AF41" i="23"/>
  <c r="AF45" i="23"/>
  <c r="AF49" i="23"/>
  <c r="AF53" i="23"/>
  <c r="AF57" i="23"/>
  <c r="AF61" i="23"/>
  <c r="AF65" i="23"/>
  <c r="AF69" i="23"/>
  <c r="AF73" i="23"/>
  <c r="AF77" i="23"/>
  <c r="AF81" i="23"/>
  <c r="AF28" i="23"/>
  <c r="AF34" i="23"/>
  <c r="AF38" i="23"/>
  <c r="AF42" i="23"/>
  <c r="AF46" i="23"/>
  <c r="AF50" i="23"/>
  <c r="AF54" i="23"/>
  <c r="AF58" i="23"/>
  <c r="AF62" i="23"/>
  <c r="AF66" i="23"/>
  <c r="AF70" i="23"/>
  <c r="AF74" i="23"/>
  <c r="AF78" i="23"/>
  <c r="AF82" i="23"/>
  <c r="AF26" i="23"/>
  <c r="AF36" i="23"/>
  <c r="AF44" i="23"/>
  <c r="AF52" i="23"/>
  <c r="AF60" i="23"/>
  <c r="AF68" i="23"/>
  <c r="AF76" i="23"/>
  <c r="AF24" i="23"/>
  <c r="AF31" i="23"/>
  <c r="AF43" i="23"/>
  <c r="AF55" i="23"/>
  <c r="AF64" i="23"/>
  <c r="AF75" i="23"/>
  <c r="AF30" i="23"/>
  <c r="AF40" i="23"/>
  <c r="AF51" i="23"/>
  <c r="AF63" i="23"/>
  <c r="AF72" i="23"/>
  <c r="AF83" i="23"/>
  <c r="AF35" i="23"/>
  <c r="AF56" i="23"/>
  <c r="AF79" i="23"/>
  <c r="AF39" i="23"/>
  <c r="AF59" i="23"/>
  <c r="AF80" i="23"/>
  <c r="AB22" i="23"/>
  <c r="AB26" i="23"/>
  <c r="AB30" i="23"/>
  <c r="AB34" i="23"/>
  <c r="AB38" i="23"/>
  <c r="AB42" i="23"/>
  <c r="AB46" i="23"/>
  <c r="AB50" i="23"/>
  <c r="AB54" i="23"/>
  <c r="AB58" i="23"/>
  <c r="AB62" i="23"/>
  <c r="AB66" i="23"/>
  <c r="AB70" i="23"/>
  <c r="AB74" i="23"/>
  <c r="AB78" i="23"/>
  <c r="AB23" i="23"/>
  <c r="AB28" i="23"/>
  <c r="AB33" i="23"/>
  <c r="AB39" i="23"/>
  <c r="AB44" i="23"/>
  <c r="AB49" i="23"/>
  <c r="AB55" i="23"/>
  <c r="AB60" i="23"/>
  <c r="AB65" i="23"/>
  <c r="AB71" i="23"/>
  <c r="AB76" i="23"/>
  <c r="AB21" i="23"/>
  <c r="AB29" i="23"/>
  <c r="AB36" i="23"/>
  <c r="AB43" i="23"/>
  <c r="AB51" i="23"/>
  <c r="AB57" i="23"/>
  <c r="AB64" i="23"/>
  <c r="AB72" i="23"/>
  <c r="AB79" i="23"/>
  <c r="AB27" i="23"/>
  <c r="AB35" i="23"/>
  <c r="AB41" i="23"/>
  <c r="AB48" i="23"/>
  <c r="AB56" i="23"/>
  <c r="AB63" i="23"/>
  <c r="AB69" i="23"/>
  <c r="AB77" i="23"/>
  <c r="AB31" i="23"/>
  <c r="AB32" i="23"/>
  <c r="AB47" i="23"/>
  <c r="AB61" i="23"/>
  <c r="AB75" i="23"/>
  <c r="O62" i="23"/>
  <c r="O57" i="23"/>
  <c r="O52" i="23"/>
  <c r="O46" i="23"/>
  <c r="O41" i="23"/>
  <c r="O36" i="23"/>
  <c r="O30" i="23"/>
  <c r="O25" i="23"/>
  <c r="O20" i="23"/>
  <c r="O14" i="23"/>
  <c r="O9" i="23"/>
  <c r="P65" i="23"/>
  <c r="P59" i="23"/>
  <c r="P54" i="23"/>
  <c r="P49" i="23"/>
  <c r="P43" i="23"/>
  <c r="P38" i="23"/>
  <c r="P33" i="23"/>
  <c r="P27" i="23"/>
  <c r="P22" i="23"/>
  <c r="P17" i="23"/>
  <c r="P11" i="23"/>
  <c r="S65" i="23"/>
  <c r="S59" i="23"/>
  <c r="S52" i="23"/>
  <c r="S44" i="23"/>
  <c r="S37" i="23"/>
  <c r="S31" i="23"/>
  <c r="S23" i="23"/>
  <c r="S16" i="23"/>
  <c r="T70" i="23"/>
  <c r="T62" i="23"/>
  <c r="T56" i="23"/>
  <c r="T49" i="23"/>
  <c r="T41" i="23"/>
  <c r="T30" i="23"/>
  <c r="T21" i="23"/>
  <c r="W64" i="23"/>
  <c r="W53" i="23"/>
  <c r="W44" i="23"/>
  <c r="W32" i="23"/>
  <c r="W21" i="23"/>
  <c r="X73" i="23"/>
  <c r="X61" i="23"/>
  <c r="X50" i="23"/>
  <c r="X41" i="23"/>
  <c r="X29" i="23"/>
  <c r="X18" i="23"/>
  <c r="AA78" i="23"/>
  <c r="AA62" i="23"/>
  <c r="AA40" i="23"/>
  <c r="AA22" i="23"/>
  <c r="AB67" i="23"/>
  <c r="AB45" i="23"/>
  <c r="AB24" i="23"/>
  <c r="AE70" i="23"/>
  <c r="AE27" i="23"/>
  <c r="AF47" i="23"/>
  <c r="AI78" i="23"/>
  <c r="AJ58" i="23"/>
  <c r="V18" i="24"/>
  <c r="V19" i="24"/>
  <c r="V23" i="24"/>
  <c r="V27" i="24"/>
  <c r="V31" i="24"/>
  <c r="V35" i="24"/>
  <c r="V39" i="24"/>
  <c r="V43" i="24"/>
  <c r="V47" i="24"/>
  <c r="V16" i="24"/>
  <c r="V25" i="24"/>
  <c r="V33" i="24"/>
  <c r="V41" i="24"/>
  <c r="V49" i="24"/>
  <c r="V15" i="24"/>
  <c r="V20" i="24"/>
  <c r="V24" i="24"/>
  <c r="V28" i="24"/>
  <c r="V32" i="24"/>
  <c r="V36" i="24"/>
  <c r="V40" i="24"/>
  <c r="V44" i="24"/>
  <c r="V48" i="24"/>
  <c r="V21" i="24"/>
  <c r="V29" i="24"/>
  <c r="V37" i="24"/>
  <c r="V45" i="24"/>
  <c r="R11" i="24"/>
  <c r="R15" i="24"/>
  <c r="R19" i="24"/>
  <c r="R23" i="24"/>
  <c r="R27" i="24"/>
  <c r="R31" i="24"/>
  <c r="R35" i="24"/>
  <c r="R39" i="24"/>
  <c r="R43" i="24"/>
  <c r="R21" i="24"/>
  <c r="R29" i="24"/>
  <c r="R37" i="24"/>
  <c r="R45" i="24"/>
  <c r="R12" i="24"/>
  <c r="R16" i="24"/>
  <c r="R20" i="24"/>
  <c r="R24" i="24"/>
  <c r="R28" i="24"/>
  <c r="R32" i="24"/>
  <c r="R36" i="24"/>
  <c r="R40" i="24"/>
  <c r="R44" i="24"/>
  <c r="R13" i="24"/>
  <c r="R17" i="24"/>
  <c r="R25" i="24"/>
  <c r="R33" i="24"/>
  <c r="R41" i="24"/>
  <c r="N7" i="24"/>
  <c r="N11" i="24"/>
  <c r="N15" i="24"/>
  <c r="N19" i="24"/>
  <c r="N23" i="24"/>
  <c r="N27" i="24"/>
  <c r="N31" i="24"/>
  <c r="N35" i="24"/>
  <c r="N39" i="24"/>
  <c r="N9" i="24"/>
  <c r="N13" i="24"/>
  <c r="N21" i="24"/>
  <c r="N8" i="24"/>
  <c r="N12" i="24"/>
  <c r="N16" i="24"/>
  <c r="N20" i="24"/>
  <c r="N24" i="24"/>
  <c r="N28" i="24"/>
  <c r="N32" i="24"/>
  <c r="N36" i="24"/>
  <c r="N40" i="24"/>
  <c r="N17" i="24"/>
  <c r="AD57" i="24"/>
  <c r="AD26" i="24"/>
  <c r="AD30" i="24"/>
  <c r="AD34" i="24"/>
  <c r="AD38" i="24"/>
  <c r="AD42" i="24"/>
  <c r="AD46" i="24"/>
  <c r="AD50" i="24"/>
  <c r="AD54" i="24"/>
  <c r="AD25" i="24"/>
  <c r="AD29" i="24"/>
  <c r="AD33" i="24"/>
  <c r="AD37" i="24"/>
  <c r="AD41" i="24"/>
  <c r="AD45" i="24"/>
  <c r="AD49" i="24"/>
  <c r="AD53" i="24"/>
  <c r="AD22" i="24"/>
  <c r="AD23" i="24"/>
  <c r="AD31" i="24"/>
  <c r="AD39" i="24"/>
  <c r="AD47" i="24"/>
  <c r="AD55" i="24"/>
  <c r="AD24" i="24"/>
  <c r="AD32" i="24"/>
  <c r="AD40" i="24"/>
  <c r="AD48" i="24"/>
  <c r="AD56" i="24"/>
  <c r="AD35" i="24"/>
  <c r="AD51" i="24"/>
  <c r="AD27" i="24"/>
  <c r="AD36" i="24"/>
  <c r="AD52" i="24"/>
  <c r="AD43" i="24"/>
  <c r="Z21" i="24"/>
  <c r="Z25" i="24"/>
  <c r="Z29" i="24"/>
  <c r="Z33" i="24"/>
  <c r="Z37" i="24"/>
  <c r="Z41" i="24"/>
  <c r="Z45" i="24"/>
  <c r="Z49" i="24"/>
  <c r="Z53" i="24"/>
  <c r="Z22" i="24"/>
  <c r="Z26" i="24"/>
  <c r="Z30" i="24"/>
  <c r="Z34" i="24"/>
  <c r="Z38" i="24"/>
  <c r="Z42" i="24"/>
  <c r="Z46" i="24"/>
  <c r="Z50" i="24"/>
  <c r="Z18" i="24"/>
  <c r="Z23" i="24"/>
  <c r="Z31" i="24"/>
  <c r="Z39" i="24"/>
  <c r="Z47" i="24"/>
  <c r="Z27" i="24"/>
  <c r="Z43" i="24"/>
  <c r="Z24" i="24"/>
  <c r="Z32" i="24"/>
  <c r="Z40" i="24"/>
  <c r="Z48" i="24"/>
  <c r="Z19" i="24"/>
  <c r="Z35" i="24"/>
  <c r="Z51" i="24"/>
  <c r="N6" i="24"/>
  <c r="N26" i="24"/>
  <c r="N14" i="24"/>
  <c r="R10" i="24"/>
  <c r="R30" i="24"/>
  <c r="R14" i="24"/>
  <c r="V46" i="24"/>
  <c r="V30" i="24"/>
  <c r="Z28" i="24"/>
  <c r="AD28" i="24"/>
  <c r="M6" i="24"/>
  <c r="M10" i="24"/>
  <c r="M14" i="24"/>
  <c r="M18" i="24"/>
  <c r="M22" i="24"/>
  <c r="M26" i="24"/>
  <c r="M30" i="24"/>
  <c r="M34" i="24"/>
  <c r="M38" i="24"/>
  <c r="M7" i="24"/>
  <c r="BN7" i="24"/>
  <c r="M11" i="24"/>
  <c r="M15" i="24"/>
  <c r="M19" i="24"/>
  <c r="M23" i="24"/>
  <c r="M27" i="24"/>
  <c r="M31" i="24"/>
  <c r="M35" i="24"/>
  <c r="M39" i="24"/>
  <c r="M5" i="24"/>
  <c r="M33" i="24"/>
  <c r="M25" i="24"/>
  <c r="M17" i="24"/>
  <c r="M9" i="24"/>
  <c r="N38" i="24"/>
  <c r="N30" i="24"/>
  <c r="N22" i="24"/>
  <c r="Q33" i="24"/>
  <c r="R38" i="24"/>
  <c r="R22" i="24"/>
  <c r="U13" i="24"/>
  <c r="U33" i="24"/>
  <c r="V38" i="24"/>
  <c r="V22" i="24"/>
  <c r="Z44" i="24"/>
  <c r="AH27" i="24"/>
  <c r="AH31" i="24"/>
  <c r="AH35" i="24"/>
  <c r="AH39" i="24"/>
  <c r="AH43" i="24"/>
  <c r="AH47" i="24"/>
  <c r="AH51" i="24"/>
  <c r="AH55" i="24"/>
  <c r="AH59" i="24"/>
  <c r="AH30" i="24"/>
  <c r="AH34" i="24"/>
  <c r="AH38" i="24"/>
  <c r="AH42" i="24"/>
  <c r="AH46" i="24"/>
  <c r="AH50" i="24"/>
  <c r="AH54" i="24"/>
  <c r="AH58" i="24"/>
  <c r="AH26" i="24"/>
  <c r="AH28" i="24"/>
  <c r="AH36" i="24"/>
  <c r="AH44" i="24"/>
  <c r="AH52" i="24"/>
  <c r="AH60" i="24"/>
  <c r="AH29" i="24"/>
  <c r="AH37" i="24"/>
  <c r="AH45" i="24"/>
  <c r="AH53" i="24"/>
  <c r="AH61" i="24"/>
  <c r="BN61" i="24" s="1"/>
  <c r="AH40" i="24"/>
  <c r="AH56" i="24"/>
  <c r="AH32" i="24"/>
  <c r="AH48" i="24"/>
  <c r="AH41" i="24"/>
  <c r="AH57" i="24"/>
  <c r="N34" i="24"/>
  <c r="U14" i="24"/>
  <c r="U18" i="24"/>
  <c r="U22" i="24"/>
  <c r="U26" i="24"/>
  <c r="U30" i="24"/>
  <c r="U34" i="24"/>
  <c r="U38" i="24"/>
  <c r="U42" i="24"/>
  <c r="U46" i="24"/>
  <c r="U20" i="24"/>
  <c r="U24" i="24"/>
  <c r="U32" i="24"/>
  <c r="U40" i="24"/>
  <c r="U48" i="24"/>
  <c r="U15" i="24"/>
  <c r="U19" i="24"/>
  <c r="U23" i="24"/>
  <c r="U27" i="24"/>
  <c r="U31" i="24"/>
  <c r="U35" i="24"/>
  <c r="U39" i="24"/>
  <c r="U43" i="24"/>
  <c r="U47" i="24"/>
  <c r="U16" i="24"/>
  <c r="U28" i="24"/>
  <c r="U36" i="24"/>
  <c r="U44" i="24"/>
  <c r="Q10" i="24"/>
  <c r="Q14" i="24"/>
  <c r="Q18" i="24"/>
  <c r="Q22" i="24"/>
  <c r="Q26" i="24"/>
  <c r="Q30" i="24"/>
  <c r="Q34" i="24"/>
  <c r="Q38" i="24"/>
  <c r="Q42" i="24"/>
  <c r="Q16" i="24"/>
  <c r="Q24" i="24"/>
  <c r="Q32" i="24"/>
  <c r="Q40" i="24"/>
  <c r="Q11" i="24"/>
  <c r="Q15" i="24"/>
  <c r="Q19" i="24"/>
  <c r="Q23" i="24"/>
  <c r="Q27" i="24"/>
  <c r="Q31" i="24"/>
  <c r="Q35" i="24"/>
  <c r="Q39" i="24"/>
  <c r="Q43" i="24"/>
  <c r="Q12" i="24"/>
  <c r="Q20" i="24"/>
  <c r="Q28" i="24"/>
  <c r="Q36" i="24"/>
  <c r="Q44" i="24"/>
  <c r="Y21" i="24"/>
  <c r="Y25" i="24"/>
  <c r="Y29" i="24"/>
  <c r="Y33" i="24"/>
  <c r="Y37" i="24"/>
  <c r="Y41" i="24"/>
  <c r="Y45" i="24"/>
  <c r="Y49" i="24"/>
  <c r="Y17" i="24"/>
  <c r="Y18" i="24"/>
  <c r="Y23" i="24"/>
  <c r="Y28" i="24"/>
  <c r="Y34" i="24"/>
  <c r="Y39" i="24"/>
  <c r="Y44" i="24"/>
  <c r="Y50" i="24"/>
  <c r="Y20" i="24"/>
  <c r="Y31" i="24"/>
  <c r="Y36" i="24"/>
  <c r="Y47" i="24"/>
  <c r="Y19" i="24"/>
  <c r="Y24" i="24"/>
  <c r="Y30" i="24"/>
  <c r="Y35" i="24"/>
  <c r="Y40" i="24"/>
  <c r="Y46" i="24"/>
  <c r="Y51" i="24"/>
  <c r="Y26" i="24"/>
  <c r="Y42" i="24"/>
  <c r="Y52" i="24"/>
  <c r="AG26" i="24"/>
  <c r="AG30" i="24"/>
  <c r="AG34" i="24"/>
  <c r="AG38" i="24"/>
  <c r="AG42" i="24"/>
  <c r="AG46" i="24"/>
  <c r="AG50" i="24"/>
  <c r="AG54" i="24"/>
  <c r="AG58" i="24"/>
  <c r="AG29" i="24"/>
  <c r="AG33" i="24"/>
  <c r="AG37" i="24"/>
  <c r="AG41" i="24"/>
  <c r="AG45" i="24"/>
  <c r="AG49" i="24"/>
  <c r="AG53" i="24"/>
  <c r="AG57" i="24"/>
  <c r="AG25" i="24"/>
  <c r="AG31" i="24"/>
  <c r="AG39" i="24"/>
  <c r="AG47" i="24"/>
  <c r="AG55" i="24"/>
  <c r="AG32" i="24"/>
  <c r="AG40" i="24"/>
  <c r="AG48" i="24"/>
  <c r="AG56" i="24"/>
  <c r="AG35" i="24"/>
  <c r="AG51" i="24"/>
  <c r="AG43" i="24"/>
  <c r="AG36" i="24"/>
  <c r="AG52" i="24"/>
  <c r="AG27" i="24"/>
  <c r="AG59" i="24"/>
  <c r="AC22" i="24"/>
  <c r="AC26" i="24"/>
  <c r="AC30" i="24"/>
  <c r="AC34" i="24"/>
  <c r="AC38" i="24"/>
  <c r="AC42" i="24"/>
  <c r="AC46" i="24"/>
  <c r="AC50" i="24"/>
  <c r="AC54" i="24"/>
  <c r="AC25" i="24"/>
  <c r="AC29" i="24"/>
  <c r="AC33" i="24"/>
  <c r="AC37" i="24"/>
  <c r="AC41" i="24"/>
  <c r="AC45" i="24"/>
  <c r="AC49" i="24"/>
  <c r="AC53" i="24"/>
  <c r="AC21" i="24"/>
  <c r="AC27" i="24"/>
  <c r="AC35" i="24"/>
  <c r="AC43" i="24"/>
  <c r="AC51" i="24"/>
  <c r="AC28" i="24"/>
  <c r="AC36" i="24"/>
  <c r="AC44" i="24"/>
  <c r="AC52" i="24"/>
  <c r="AC31" i="24"/>
  <c r="AC47" i="24"/>
  <c r="AC23" i="24"/>
  <c r="AC55" i="24"/>
  <c r="AC32" i="24"/>
  <c r="AC48" i="24"/>
  <c r="AC39" i="24"/>
  <c r="F5" i="24"/>
  <c r="M36" i="24"/>
  <c r="M28" i="24"/>
  <c r="M20" i="24"/>
  <c r="BN20" i="24" s="1"/>
  <c r="M12" i="24"/>
  <c r="N41" i="24"/>
  <c r="N33" i="24"/>
  <c r="N25" i="24"/>
  <c r="N10" i="24"/>
  <c r="Q37" i="24"/>
  <c r="Q21" i="24"/>
  <c r="R42" i="24"/>
  <c r="R26" i="24"/>
  <c r="U37" i="24"/>
  <c r="U21" i="24"/>
  <c r="V42" i="24"/>
  <c r="V26" i="24"/>
  <c r="Y38" i="24"/>
  <c r="Z52" i="24"/>
  <c r="Z20" i="24"/>
  <c r="AC40" i="24"/>
  <c r="AG60" i="24"/>
  <c r="AH33" i="24"/>
  <c r="X20" i="24"/>
  <c r="X24" i="24"/>
  <c r="X28" i="24"/>
  <c r="X32" i="24"/>
  <c r="X36" i="24"/>
  <c r="X40" i="24"/>
  <c r="X44" i="24"/>
  <c r="X48" i="24"/>
  <c r="BN48" i="24" s="1"/>
  <c r="X16" i="24"/>
  <c r="AJ29" i="24"/>
  <c r="AJ33" i="24"/>
  <c r="AJ37" i="24"/>
  <c r="AJ41" i="24"/>
  <c r="AJ45" i="24"/>
  <c r="AJ49" i="24"/>
  <c r="AJ53" i="24"/>
  <c r="AJ57" i="24"/>
  <c r="AJ61" i="24"/>
  <c r="AJ32" i="24"/>
  <c r="AJ36" i="24"/>
  <c r="AJ40" i="24"/>
  <c r="AJ44" i="24"/>
  <c r="AJ48" i="24"/>
  <c r="AJ52" i="24"/>
  <c r="AJ56" i="24"/>
  <c r="AJ60" i="24"/>
  <c r="AJ28" i="24"/>
  <c r="AJ30" i="24"/>
  <c r="AJ38" i="24"/>
  <c r="AJ46" i="24"/>
  <c r="AJ54" i="24"/>
  <c r="AJ62" i="24"/>
  <c r="AJ31" i="24"/>
  <c r="AJ39" i="24"/>
  <c r="AJ47" i="24"/>
  <c r="AJ55" i="24"/>
  <c r="AJ63" i="24"/>
  <c r="AF25" i="24"/>
  <c r="AF29" i="24"/>
  <c r="AF33" i="24"/>
  <c r="AF37" i="24"/>
  <c r="AF41" i="24"/>
  <c r="AF45" i="24"/>
  <c r="AF49" i="24"/>
  <c r="AF53" i="24"/>
  <c r="AF57" i="24"/>
  <c r="AF28" i="24"/>
  <c r="AF32" i="24"/>
  <c r="AF36" i="24"/>
  <c r="AF40" i="24"/>
  <c r="AF44" i="24"/>
  <c r="AF48" i="24"/>
  <c r="AF52" i="24"/>
  <c r="AF56" i="24"/>
  <c r="AF24" i="24"/>
  <c r="AF26" i="24"/>
  <c r="AF34" i="24"/>
  <c r="AF42" i="24"/>
  <c r="AF50" i="24"/>
  <c r="AF58" i="24"/>
  <c r="AF27" i="24"/>
  <c r="AF35" i="24"/>
  <c r="AF43" i="24"/>
  <c r="AF51" i="24"/>
  <c r="AF59" i="24"/>
  <c r="AB21" i="24"/>
  <c r="AB25" i="24"/>
  <c r="AB29" i="24"/>
  <c r="AB33" i="24"/>
  <c r="AB37" i="24"/>
  <c r="AB41" i="24"/>
  <c r="AB45" i="24"/>
  <c r="AB49" i="24"/>
  <c r="AB53" i="24"/>
  <c r="AB24" i="24"/>
  <c r="AB28" i="24"/>
  <c r="AB32" i="24"/>
  <c r="AB36" i="24"/>
  <c r="AB40" i="24"/>
  <c r="AB44" i="24"/>
  <c r="AB48" i="24"/>
  <c r="AB52" i="24"/>
  <c r="AB20" i="24"/>
  <c r="AB22" i="24"/>
  <c r="AB30" i="24"/>
  <c r="AB38" i="24"/>
  <c r="AB46" i="24"/>
  <c r="AB54" i="24"/>
  <c r="AB23" i="24"/>
  <c r="AB31" i="24"/>
  <c r="AB39" i="24"/>
  <c r="AB47" i="24"/>
  <c r="AB55" i="24"/>
  <c r="O41" i="24"/>
  <c r="O37" i="24"/>
  <c r="O33" i="24"/>
  <c r="O29" i="24"/>
  <c r="O25" i="24"/>
  <c r="O21" i="24"/>
  <c r="O17" i="24"/>
  <c r="O13" i="24"/>
  <c r="O9" i="24"/>
  <c r="P42" i="24"/>
  <c r="BN42" i="24" s="1"/>
  <c r="P38" i="24"/>
  <c r="P34" i="24"/>
  <c r="P30" i="24"/>
  <c r="P26" i="24"/>
  <c r="P22" i="24"/>
  <c r="P18" i="24"/>
  <c r="P14" i="24"/>
  <c r="S45" i="24"/>
  <c r="S41" i="24"/>
  <c r="S37" i="24"/>
  <c r="S33" i="24"/>
  <c r="S29" i="24"/>
  <c r="S25" i="24"/>
  <c r="S21" i="24"/>
  <c r="S17" i="24"/>
  <c r="S13" i="24"/>
  <c r="T46" i="24"/>
  <c r="T42" i="24"/>
  <c r="T38" i="24"/>
  <c r="T34" i="24"/>
  <c r="T30" i="24"/>
  <c r="T26" i="24"/>
  <c r="T22" i="24"/>
  <c r="T18" i="24"/>
  <c r="W46" i="24"/>
  <c r="W41" i="24"/>
  <c r="W36" i="24"/>
  <c r="W30" i="24"/>
  <c r="W25" i="24"/>
  <c r="X51" i="24"/>
  <c r="X46" i="24"/>
  <c r="X41" i="24"/>
  <c r="X35" i="24"/>
  <c r="X30" i="24"/>
  <c r="X25" i="24"/>
  <c r="X19" i="24"/>
  <c r="AA53" i="24"/>
  <c r="AA45" i="24"/>
  <c r="AA37" i="24"/>
  <c r="AB43" i="24"/>
  <c r="AB27" i="24"/>
  <c r="AE58" i="24"/>
  <c r="AE42" i="24"/>
  <c r="AF47" i="24"/>
  <c r="AF31" i="24"/>
  <c r="AI62" i="24"/>
  <c r="AI46" i="24"/>
  <c r="AJ51" i="24"/>
  <c r="AJ35" i="24"/>
  <c r="W19" i="24"/>
  <c r="W23" i="24"/>
  <c r="W27" i="24"/>
  <c r="W31" i="24"/>
  <c r="BN31" i="24" s="1"/>
  <c r="W35" i="24"/>
  <c r="W39" i="24"/>
  <c r="W43" i="24"/>
  <c r="W47" i="24"/>
  <c r="BN47" i="24" s="1"/>
  <c r="W15" i="24"/>
  <c r="AI28" i="24"/>
  <c r="AI32" i="24"/>
  <c r="AI36" i="24"/>
  <c r="AI40" i="24"/>
  <c r="AI44" i="24"/>
  <c r="AI48" i="24"/>
  <c r="AI52" i="24"/>
  <c r="AI56" i="24"/>
  <c r="AI60" i="24"/>
  <c r="AI31" i="24"/>
  <c r="AI35" i="24"/>
  <c r="AI39" i="24"/>
  <c r="AI43" i="24"/>
  <c r="AI47" i="24"/>
  <c r="AI51" i="24"/>
  <c r="AI55" i="24"/>
  <c r="AI59" i="24"/>
  <c r="AI27" i="24"/>
  <c r="AI33" i="24"/>
  <c r="BN33" i="24" s="1"/>
  <c r="AI41" i="24"/>
  <c r="AI49" i="24"/>
  <c r="AI57" i="24"/>
  <c r="AI34" i="24"/>
  <c r="AI42" i="24"/>
  <c r="AI50" i="24"/>
  <c r="AI58" i="24"/>
  <c r="AE24" i="24"/>
  <c r="AE28" i="24"/>
  <c r="AE32" i="24"/>
  <c r="AE36" i="24"/>
  <c r="AE40" i="24"/>
  <c r="AE44" i="24"/>
  <c r="AE48" i="24"/>
  <c r="AE52" i="24"/>
  <c r="AE56" i="24"/>
  <c r="AE27" i="24"/>
  <c r="AE31" i="24"/>
  <c r="AE35" i="24"/>
  <c r="AE39" i="24"/>
  <c r="AE43" i="24"/>
  <c r="AE47" i="24"/>
  <c r="AE51" i="24"/>
  <c r="AE55" i="24"/>
  <c r="AE23" i="24"/>
  <c r="AE29" i="24"/>
  <c r="AE37" i="24"/>
  <c r="AE45" i="24"/>
  <c r="AE53" i="24"/>
  <c r="AE30" i="24"/>
  <c r="AE38" i="24"/>
  <c r="AE46" i="24"/>
  <c r="AE54" i="24"/>
  <c r="AA20" i="24"/>
  <c r="AA24" i="24"/>
  <c r="AA28" i="24"/>
  <c r="AA32" i="24"/>
  <c r="AA23" i="24"/>
  <c r="AA27" i="24"/>
  <c r="AA31" i="24"/>
  <c r="AA35" i="24"/>
  <c r="AA25" i="24"/>
  <c r="AA33" i="24"/>
  <c r="AA38" i="24"/>
  <c r="AA42" i="24"/>
  <c r="AA46" i="24"/>
  <c r="AA50" i="24"/>
  <c r="AA54" i="24"/>
  <c r="AA26" i="24"/>
  <c r="AA34" i="24"/>
  <c r="AA39" i="24"/>
  <c r="AA43" i="24"/>
  <c r="AA47" i="24"/>
  <c r="AA51" i="24"/>
  <c r="AA19" i="24"/>
  <c r="O40" i="24"/>
  <c r="BN40" i="24" s="1"/>
  <c r="O36" i="24"/>
  <c r="O32" i="24"/>
  <c r="O28" i="24"/>
  <c r="O24" i="24"/>
  <c r="BN24" i="24" s="1"/>
  <c r="O20" i="24"/>
  <c r="O16" i="24"/>
  <c r="O12" i="24"/>
  <c r="S44" i="24"/>
  <c r="BN44" i="24" s="1"/>
  <c r="S40" i="24"/>
  <c r="S36" i="24"/>
  <c r="S32" i="24"/>
  <c r="BN32" i="24" s="1"/>
  <c r="S28" i="24"/>
  <c r="BN28" i="24" s="1"/>
  <c r="S24" i="24"/>
  <c r="S20" i="24"/>
  <c r="S16" i="24"/>
  <c r="W50" i="24"/>
  <c r="W45" i="24"/>
  <c r="W40" i="24"/>
  <c r="W34" i="24"/>
  <c r="W29" i="24"/>
  <c r="W24" i="24"/>
  <c r="W18" i="24"/>
  <c r="X50" i="24"/>
  <c r="X45" i="24"/>
  <c r="X39" i="24"/>
  <c r="X34" i="24"/>
  <c r="X29" i="24"/>
  <c r="X23" i="24"/>
  <c r="X18" i="24"/>
  <c r="AA52" i="24"/>
  <c r="AA44" i="24"/>
  <c r="AA36" i="24"/>
  <c r="AA21" i="24"/>
  <c r="AB42" i="24"/>
  <c r="AB26" i="24"/>
  <c r="AE57" i="24"/>
  <c r="BN57" i="24" s="1"/>
  <c r="AE41" i="24"/>
  <c r="AE25" i="24"/>
  <c r="AF46" i="24"/>
  <c r="AF30" i="24"/>
  <c r="AI61" i="24"/>
  <c r="AI45" i="24"/>
  <c r="AI29" i="24"/>
  <c r="AJ50" i="24"/>
  <c r="AJ34" i="24"/>
  <c r="B19" i="24"/>
  <c r="B31" i="24"/>
  <c r="B43" i="24"/>
  <c r="B55" i="24" s="1"/>
  <c r="B67" i="24" s="1"/>
  <c r="B79" i="24" s="1"/>
  <c r="B91" i="24" s="1"/>
  <c r="B8" i="24"/>
  <c r="BN78" i="23"/>
  <c r="BN45" i="24"/>
  <c r="BN79" i="23"/>
  <c r="BN16" i="24"/>
  <c r="L107" i="25"/>
  <c r="L111" i="25"/>
  <c r="L109" i="25"/>
  <c r="L114" i="25"/>
  <c r="L110" i="25"/>
  <c r="L106" i="25"/>
  <c r="L112" i="25"/>
  <c r="L113" i="25"/>
  <c r="L108" i="25"/>
  <c r="L117" i="25"/>
  <c r="L119" i="25"/>
  <c r="L115" i="25"/>
  <c r="L118" i="25"/>
  <c r="L39" i="25"/>
  <c r="L116" i="25"/>
  <c r="BN17" i="24"/>
  <c r="BN41" i="24"/>
  <c r="BN30" i="24"/>
  <c r="BN49" i="24"/>
  <c r="BN83" i="23"/>
  <c r="BN82" i="23"/>
  <c r="BN85" i="23"/>
  <c r="BN80" i="23"/>
  <c r="BN73" i="23"/>
  <c r="BN26" i="23"/>
  <c r="BN36" i="24"/>
  <c r="BN18" i="24"/>
  <c r="BN23" i="24"/>
  <c r="BN56" i="23"/>
  <c r="BN25" i="24"/>
  <c r="BN22" i="24"/>
  <c r="BN81" i="23"/>
  <c r="BN77" i="23"/>
  <c r="BN84" i="23"/>
  <c r="BN21" i="24"/>
  <c r="L105" i="25"/>
  <c r="L103" i="25"/>
  <c r="L104" i="25"/>
  <c r="BN10" i="24"/>
  <c r="BN9" i="24"/>
  <c r="BN11" i="24"/>
  <c r="BN8" i="24"/>
  <c r="BN13" i="24"/>
  <c r="BN14" i="24"/>
  <c r="I5" i="24"/>
  <c r="BN5" i="24"/>
  <c r="BN6" i="24"/>
  <c r="BN12" i="24"/>
  <c r="BN15" i="24"/>
  <c r="L91" i="25"/>
  <c r="L96" i="25"/>
  <c r="L101" i="25"/>
  <c r="L95" i="25"/>
  <c r="L100" i="25"/>
  <c r="L94" i="25"/>
  <c r="L99" i="25"/>
  <c r="L93" i="25"/>
  <c r="L98" i="25"/>
  <c r="L92" i="25"/>
  <c r="L97" i="25"/>
  <c r="L102" i="25"/>
  <c r="M47" i="23"/>
  <c r="M58" i="23"/>
  <c r="BN58" i="23" s="1"/>
  <c r="M11" i="23"/>
  <c r="BN11" i="23"/>
  <c r="M31" i="23"/>
  <c r="M24" i="23"/>
  <c r="Y31" i="23"/>
  <c r="Y71" i="23"/>
  <c r="BN71" i="23" s="1"/>
  <c r="Y75" i="23"/>
  <c r="BN75" i="23" s="1"/>
  <c r="Y72" i="23"/>
  <c r="BN72" i="23" s="1"/>
  <c r="Y40" i="23"/>
  <c r="Y65" i="23"/>
  <c r="BN65" i="23"/>
  <c r="Y33" i="23"/>
  <c r="M40" i="23"/>
  <c r="M53" i="23"/>
  <c r="M14" i="23"/>
  <c r="BN14" i="23" s="1"/>
  <c r="M17" i="23"/>
  <c r="Y30" i="23"/>
  <c r="Y39" i="23"/>
  <c r="Y59" i="23"/>
  <c r="Y64" i="23"/>
  <c r="Y32" i="23"/>
  <c r="Y57" i="23"/>
  <c r="Y24" i="23"/>
  <c r="M29" i="23"/>
  <c r="M61" i="23"/>
  <c r="M59" i="23"/>
  <c r="BN59" i="23" s="1"/>
  <c r="M43" i="23"/>
  <c r="BN43" i="23" s="1"/>
  <c r="M27" i="23"/>
  <c r="BN27" i="23"/>
  <c r="M8" i="23"/>
  <c r="BN8" i="23" s="1"/>
  <c r="M52" i="23"/>
  <c r="M36" i="23"/>
  <c r="M20" i="23"/>
  <c r="M13" i="23"/>
  <c r="BN13" i="23"/>
  <c r="M34" i="23"/>
  <c r="BN34" i="23" s="1"/>
  <c r="M21" i="23"/>
  <c r="I6" i="24"/>
  <c r="M37" i="23"/>
  <c r="F5" i="23"/>
  <c r="F6" i="23"/>
  <c r="F7" i="23"/>
  <c r="F8" i="23" s="1"/>
  <c r="F9" i="23" s="1"/>
  <c r="F10" i="23" s="1"/>
  <c r="F11" i="23" s="1"/>
  <c r="F12" i="23" s="1"/>
  <c r="F13" i="23" s="1"/>
  <c r="F14" i="23" s="1"/>
  <c r="F15" i="23" s="1"/>
  <c r="F16" i="23" s="1"/>
  <c r="F17" i="23" s="1"/>
  <c r="F18" i="23" s="1"/>
  <c r="F19" i="23" s="1"/>
  <c r="F20" i="23" s="1"/>
  <c r="F21" i="23" s="1"/>
  <c r="F22" i="23" s="1"/>
  <c r="F23" i="23" s="1"/>
  <c r="F24" i="23" s="1"/>
  <c r="F25" i="23" s="1"/>
  <c r="F26" i="23" s="1"/>
  <c r="F27" i="23" s="1"/>
  <c r="F28" i="23" s="1"/>
  <c r="F29" i="23" s="1"/>
  <c r="F30" i="23" s="1"/>
  <c r="F31" i="23" s="1"/>
  <c r="F32" i="23" s="1"/>
  <c r="F33" i="23" s="1"/>
  <c r="F34" i="23" s="1"/>
  <c r="F35" i="23" s="1"/>
  <c r="F36" i="23" s="1"/>
  <c r="F37" i="23" s="1"/>
  <c r="F38" i="23" s="1"/>
  <c r="F39" i="23" s="1"/>
  <c r="F40" i="23" s="1"/>
  <c r="F41" i="23" s="1"/>
  <c r="F42" i="23" s="1"/>
  <c r="F43" i="23" s="1"/>
  <c r="F44" i="23" s="1"/>
  <c r="F45" i="23" s="1"/>
  <c r="F46" i="23" s="1"/>
  <c r="F47" i="23" s="1"/>
  <c r="F48" i="23" s="1"/>
  <c r="F49" i="23" s="1"/>
  <c r="F50" i="23" s="1"/>
  <c r="F51" i="23" s="1"/>
  <c r="F52" i="23" s="1"/>
  <c r="F53" i="23" s="1"/>
  <c r="F54" i="23" s="1"/>
  <c r="F55" i="23" s="1"/>
  <c r="F56" i="23" s="1"/>
  <c r="F57" i="23" s="1"/>
  <c r="F58" i="23" s="1"/>
  <c r="F59" i="23" s="1"/>
  <c r="F60" i="23" s="1"/>
  <c r="F61" i="23" s="1"/>
  <c r="F62" i="23" s="1"/>
  <c r="F63" i="23" s="1"/>
  <c r="F64" i="23" s="1"/>
  <c r="F65" i="23" s="1"/>
  <c r="F66" i="23" s="1"/>
  <c r="F67" i="23" s="1"/>
  <c r="F68" i="23" s="1"/>
  <c r="F69" i="23" s="1"/>
  <c r="F70" i="23" s="1"/>
  <c r="F71" i="23" s="1"/>
  <c r="F72" i="23" s="1"/>
  <c r="F73" i="23" s="1"/>
  <c r="F74" i="23" s="1"/>
  <c r="F75" i="23" s="1"/>
  <c r="F76" i="23" s="1"/>
  <c r="F77" i="23" s="1"/>
  <c r="F78" i="23" s="1"/>
  <c r="F79" i="23" s="1"/>
  <c r="F80" i="23" s="1"/>
  <c r="F81" i="23" s="1"/>
  <c r="F82" i="23" s="1"/>
  <c r="F83" i="23" s="1"/>
  <c r="F84" i="23" s="1"/>
  <c r="F85" i="23" s="1"/>
  <c r="F86" i="23" s="1"/>
  <c r="F87" i="23" s="1"/>
  <c r="F88" i="23" s="1"/>
  <c r="F89" i="23" s="1"/>
  <c r="F90" i="23" s="1"/>
  <c r="F91" i="23" s="1"/>
  <c r="F92" i="23" s="1"/>
  <c r="F93" i="23" s="1"/>
  <c r="F94" i="23" s="1"/>
  <c r="F95" i="23" s="1"/>
  <c r="F96" i="23" s="1"/>
  <c r="F97" i="23" s="1"/>
  <c r="F98" i="23" s="1"/>
  <c r="F99" i="23" s="1"/>
  <c r="F100" i="23" s="1"/>
  <c r="M55" i="23"/>
  <c r="BN55" i="23"/>
  <c r="M39" i="23"/>
  <c r="M23" i="23"/>
  <c r="BN23" i="23" s="1"/>
  <c r="M64" i="23"/>
  <c r="BN64" i="23"/>
  <c r="M48" i="23"/>
  <c r="BN48" i="23" s="1"/>
  <c r="M32" i="23"/>
  <c r="M15" i="23"/>
  <c r="BN15" i="23" s="1"/>
  <c r="M9" i="23"/>
  <c r="BN9" i="23"/>
  <c r="M42" i="23"/>
  <c r="M45" i="23"/>
  <c r="M6" i="23"/>
  <c r="BN6" i="23"/>
  <c r="M51" i="23"/>
  <c r="M35" i="23"/>
  <c r="M19" i="23"/>
  <c r="BN19" i="23"/>
  <c r="M60" i="23"/>
  <c r="M44" i="23"/>
  <c r="M28" i="23"/>
  <c r="M10" i="23"/>
  <c r="BN10" i="23"/>
  <c r="M18" i="23"/>
  <c r="AJ81" i="25"/>
  <c r="AJ79" i="25"/>
  <c r="AJ80" i="25"/>
  <c r="AJ83" i="25"/>
  <c r="AJ84" i="25"/>
  <c r="AJ77" i="25"/>
  <c r="AJ78" i="25"/>
  <c r="AJ86" i="25"/>
  <c r="AJ82" i="25"/>
  <c r="AJ85" i="25"/>
  <c r="AG77" i="25"/>
  <c r="AG78" i="25"/>
  <c r="AG82" i="25"/>
  <c r="AG79" i="25"/>
  <c r="AG80" i="25"/>
  <c r="AG83" i="25"/>
  <c r="AG81" i="25"/>
  <c r="AF82" i="25"/>
  <c r="AF81" i="25"/>
  <c r="AF79" i="25"/>
  <c r="AF80" i="25"/>
  <c r="AF77" i="25"/>
  <c r="AF78" i="25"/>
  <c r="AH79" i="25"/>
  <c r="AH80" i="25"/>
  <c r="AH83" i="25"/>
  <c r="AH84" i="25"/>
  <c r="AH81" i="25"/>
  <c r="AH78" i="25"/>
  <c r="AH82" i="25"/>
  <c r="AH77" i="25"/>
  <c r="Y42" i="23"/>
  <c r="Y62" i="23"/>
  <c r="Y46" i="23"/>
  <c r="Y50" i="23"/>
  <c r="BN50" i="23" s="1"/>
  <c r="Y47" i="23"/>
  <c r="Y67" i="23"/>
  <c r="BN67" i="23"/>
  <c r="Y35" i="23"/>
  <c r="Y68" i="23"/>
  <c r="BN68" i="23"/>
  <c r="Y52" i="23"/>
  <c r="Y36" i="23"/>
  <c r="Y17" i="23"/>
  <c r="Y61" i="23"/>
  <c r="Y45" i="23"/>
  <c r="Y29" i="23"/>
  <c r="AK77" i="25"/>
  <c r="AK86" i="25"/>
  <c r="AK78" i="25"/>
  <c r="AK82" i="25"/>
  <c r="AK85" i="25"/>
  <c r="AK84" i="25"/>
  <c r="AK81" i="25"/>
  <c r="AK79" i="25"/>
  <c r="AK80" i="25"/>
  <c r="AK83" i="25"/>
  <c r="AK87" i="25"/>
  <c r="BR87" i="25" s="1"/>
  <c r="M7" i="23"/>
  <c r="BN7" i="23"/>
  <c r="M12" i="23"/>
  <c r="BN12" i="23" s="1"/>
  <c r="M30" i="23"/>
  <c r="M46" i="23"/>
  <c r="BN46" i="23"/>
  <c r="M62" i="23"/>
  <c r="M22" i="23"/>
  <c r="BN22" i="23"/>
  <c r="M38" i="23"/>
  <c r="BN38" i="23" s="1"/>
  <c r="M54" i="23"/>
  <c r="M25" i="23"/>
  <c r="M57" i="23"/>
  <c r="M41" i="23"/>
  <c r="BN41" i="23" s="1"/>
  <c r="M5" i="23"/>
  <c r="BN5" i="23"/>
  <c r="M16" i="23"/>
  <c r="BN16" i="23" s="1"/>
  <c r="M33" i="23"/>
  <c r="BN33" i="23"/>
  <c r="M49" i="23"/>
  <c r="BN49" i="23" s="1"/>
  <c r="AI78" i="25"/>
  <c r="AI82" i="25"/>
  <c r="AI85" i="25"/>
  <c r="BR85" i="25" s="1"/>
  <c r="AI77" i="25"/>
  <c r="AI81" i="25"/>
  <c r="AI79" i="25"/>
  <c r="AI80" i="25"/>
  <c r="AI83" i="25"/>
  <c r="AI84" i="25"/>
  <c r="Y63" i="23"/>
  <c r="BN63" i="23" s="1"/>
  <c r="Y20" i="23"/>
  <c r="Y54" i="23"/>
  <c r="AE78" i="25"/>
  <c r="AE77" i="25"/>
  <c r="AE79" i="25"/>
  <c r="AE81" i="25"/>
  <c r="AE80" i="25"/>
  <c r="Y74" i="23"/>
  <c r="BN74" i="23"/>
  <c r="Y66" i="23"/>
  <c r="BN66" i="23" s="1"/>
  <c r="Y21" i="23"/>
  <c r="Y70" i="23"/>
  <c r="BN70" i="23"/>
  <c r="Y25" i="23"/>
  <c r="Y51" i="23"/>
  <c r="Y76" i="23"/>
  <c r="BN76" i="23"/>
  <c r="Y60" i="23"/>
  <c r="Y44" i="23"/>
  <c r="Y28" i="23"/>
  <c r="Y69" i="23"/>
  <c r="BN69" i="23" s="1"/>
  <c r="Y53" i="23"/>
  <c r="Y37" i="23"/>
  <c r="Y18" i="23"/>
  <c r="F6" i="24"/>
  <c r="K5" i="24"/>
  <c r="B20" i="24"/>
  <c r="B32" i="24"/>
  <c r="B44" i="24" s="1"/>
  <c r="B56" i="24" s="1"/>
  <c r="B68" i="24" s="1"/>
  <c r="B80" i="24" s="1"/>
  <c r="B92" i="24" s="1"/>
  <c r="B9" i="24"/>
  <c r="B17" i="23"/>
  <c r="B29" i="23"/>
  <c r="B41" i="23" s="1"/>
  <c r="B53" i="23" s="1"/>
  <c r="B65" i="23" s="1"/>
  <c r="B77" i="23" s="1"/>
  <c r="B89" i="23" s="1"/>
  <c r="B101" i="23" s="1"/>
  <c r="B6" i="23"/>
  <c r="B18" i="23"/>
  <c r="B30" i="23" s="1"/>
  <c r="B42" i="23" s="1"/>
  <c r="B54" i="23" s="1"/>
  <c r="B66" i="23" s="1"/>
  <c r="B78" i="23" s="1"/>
  <c r="B90" i="23" s="1"/>
  <c r="B102" i="23" s="1"/>
  <c r="N2" i="23"/>
  <c r="O2" i="23" s="1"/>
  <c r="P2" i="23" s="1"/>
  <c r="Q2" i="23" s="1"/>
  <c r="R2" i="23" s="1"/>
  <c r="S2" i="23" s="1"/>
  <c r="T2" i="23" s="1"/>
  <c r="U2" i="23" s="1"/>
  <c r="V2" i="23" s="1"/>
  <c r="W2" i="23" s="1"/>
  <c r="X2" i="23" s="1"/>
  <c r="Y2" i="23" s="1"/>
  <c r="Z2" i="23" s="1"/>
  <c r="AA2" i="23" s="1"/>
  <c r="AB2" i="23" s="1"/>
  <c r="AC2" i="23" s="1"/>
  <c r="AD2" i="23" s="1"/>
  <c r="AE2" i="23" s="1"/>
  <c r="AF2" i="23" s="1"/>
  <c r="AG2" i="23" s="1"/>
  <c r="AH2" i="23" s="1"/>
  <c r="AI2" i="23" s="1"/>
  <c r="AJ2" i="23" s="1"/>
  <c r="AK2" i="23" s="1"/>
  <c r="AL2" i="23" s="1"/>
  <c r="AM2" i="23" s="1"/>
  <c r="AN2" i="23" s="1"/>
  <c r="AO2" i="23" s="1"/>
  <c r="AP2" i="23" s="1"/>
  <c r="AQ2" i="23" s="1"/>
  <c r="AR2" i="23" s="1"/>
  <c r="AS2" i="23" s="1"/>
  <c r="AT2" i="23" s="1"/>
  <c r="AU2" i="23" s="1"/>
  <c r="AV2" i="23" s="1"/>
  <c r="AW2" i="23" s="1"/>
  <c r="AX2" i="23" s="1"/>
  <c r="AY2" i="23" s="1"/>
  <c r="AZ2" i="23" s="1"/>
  <c r="BA2" i="23" s="1"/>
  <c r="J11" i="22"/>
  <c r="J15" i="22"/>
  <c r="J19" i="22"/>
  <c r="J23" i="22"/>
  <c r="J27" i="22"/>
  <c r="B17" i="22"/>
  <c r="B29" i="22" s="1"/>
  <c r="B41" i="22" s="1"/>
  <c r="B53" i="22" s="1"/>
  <c r="B65" i="22" s="1"/>
  <c r="B77" i="22" s="1"/>
  <c r="B89" i="22" s="1"/>
  <c r="B101" i="22" s="1"/>
  <c r="B113" i="22" s="1"/>
  <c r="B125" i="22" s="1"/>
  <c r="B137" i="22" s="1"/>
  <c r="B149" i="22" s="1"/>
  <c r="B161" i="22" s="1"/>
  <c r="B6" i="22"/>
  <c r="B18" i="22" s="1"/>
  <c r="B30" i="22" s="1"/>
  <c r="B42" i="22" s="1"/>
  <c r="B54" i="22" s="1"/>
  <c r="B66" i="22" s="1"/>
  <c r="B78" i="22" s="1"/>
  <c r="B90" i="22" s="1"/>
  <c r="B102" i="22" s="1"/>
  <c r="B114" i="22" s="1"/>
  <c r="B126" i="22" s="1"/>
  <c r="B138" i="22" s="1"/>
  <c r="B150" i="22" s="1"/>
  <c r="B162" i="22" s="1"/>
  <c r="S2" i="22"/>
  <c r="T2" i="22" s="1"/>
  <c r="U2" i="22" s="1"/>
  <c r="V2" i="22" s="1"/>
  <c r="W2" i="22" s="1"/>
  <c r="X2" i="22" s="1"/>
  <c r="Y2" i="22" s="1"/>
  <c r="Z2" i="22" s="1"/>
  <c r="AA2" i="22" s="1"/>
  <c r="AB2" i="22" s="1"/>
  <c r="AC2" i="22" s="1"/>
  <c r="AD2" i="22" s="1"/>
  <c r="AE2" i="22" s="1"/>
  <c r="AF2" i="22" s="1"/>
  <c r="AG2" i="22" s="1"/>
  <c r="AH2" i="22" s="1"/>
  <c r="AI2" i="22" s="1"/>
  <c r="AJ2" i="22" s="1"/>
  <c r="AK2" i="22" s="1"/>
  <c r="AL2" i="22" s="1"/>
  <c r="AM2" i="22" s="1"/>
  <c r="AN2" i="22" s="1"/>
  <c r="AO2" i="22" s="1"/>
  <c r="AP2" i="22" s="1"/>
  <c r="AQ2" i="22" s="1"/>
  <c r="AR2" i="22" s="1"/>
  <c r="AS2" i="22" s="1"/>
  <c r="AT2" i="22" s="1"/>
  <c r="AU2" i="22" s="1"/>
  <c r="AV2" i="22" s="1"/>
  <c r="AW2" i="22" s="1"/>
  <c r="AX2" i="22" s="1"/>
  <c r="AY2" i="22" s="1"/>
  <c r="AZ2" i="22" s="1"/>
  <c r="BA2" i="22" s="1"/>
  <c r="BB2" i="22" s="1"/>
  <c r="BC2" i="22" s="1"/>
  <c r="BD2" i="22" s="1"/>
  <c r="BE2" i="22" s="1"/>
  <c r="BF2" i="22" s="1"/>
  <c r="CS32" i="25"/>
  <c r="CS37" i="25"/>
  <c r="CR35" i="25"/>
  <c r="CQ27" i="25"/>
  <c r="CQ30" i="25"/>
  <c r="CQ35" i="25"/>
  <c r="CO28" i="25"/>
  <c r="CO33" i="25"/>
  <c r="CN31" i="25"/>
  <c r="EC40" i="25"/>
  <c r="EC41" i="25"/>
  <c r="EC42" i="25"/>
  <c r="EC44" i="25"/>
  <c r="EC45" i="25"/>
  <c r="EC46" i="25"/>
  <c r="EC47" i="25"/>
  <c r="EC48" i="25"/>
  <c r="EC49" i="25"/>
  <c r="EC50" i="25"/>
  <c r="EC52" i="25"/>
  <c r="EC53" i="25"/>
  <c r="EC55" i="25"/>
  <c r="EC56" i="25"/>
  <c r="EC57" i="25"/>
  <c r="EC61" i="25"/>
  <c r="EC62" i="25"/>
  <c r="EC63" i="25"/>
  <c r="EC64" i="25"/>
  <c r="EC65" i="25"/>
  <c r="EC66" i="25"/>
  <c r="EC68" i="25"/>
  <c r="EC69" i="25"/>
  <c r="EC70" i="25"/>
  <c r="EC71" i="25"/>
  <c r="EC72" i="25"/>
  <c r="EC73" i="25"/>
  <c r="EC74" i="25"/>
  <c r="EC75" i="25"/>
  <c r="EC76" i="25"/>
  <c r="AJ47" i="25"/>
  <c r="AJ71" i="25"/>
  <c r="AH27" i="25"/>
  <c r="AH51" i="25"/>
  <c r="AH59" i="25"/>
  <c r="AF31" i="25"/>
  <c r="AF70" i="25"/>
  <c r="B6" i="25"/>
  <c r="B7" i="25" s="1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O2" i="25"/>
  <c r="P2" i="25" s="1"/>
  <c r="Q2" i="25" s="1"/>
  <c r="R2" i="25" s="1"/>
  <c r="S2" i="25" s="1"/>
  <c r="T2" i="25" s="1"/>
  <c r="U2" i="25" s="1"/>
  <c r="V2" i="25" s="1"/>
  <c r="W2" i="25" s="1"/>
  <c r="X2" i="25" s="1"/>
  <c r="Y2" i="25" s="1"/>
  <c r="Z2" i="25" s="1"/>
  <c r="AA2" i="25" s="1"/>
  <c r="AB2" i="25" s="1"/>
  <c r="AC2" i="25" s="1"/>
  <c r="AD2" i="25" s="1"/>
  <c r="AE2" i="25" s="1"/>
  <c r="AF2" i="25" s="1"/>
  <c r="AG2" i="25" s="1"/>
  <c r="AH2" i="25" s="1"/>
  <c r="AI2" i="25" s="1"/>
  <c r="AJ2" i="25" s="1"/>
  <c r="AK2" i="25" s="1"/>
  <c r="AL2" i="25" s="1"/>
  <c r="AM2" i="25" s="1"/>
  <c r="AN2" i="25" s="1"/>
  <c r="AO2" i="25" s="1"/>
  <c r="AP2" i="25" s="1"/>
  <c r="AQ2" i="25" s="1"/>
  <c r="AR2" i="25" s="1"/>
  <c r="AS2" i="25" s="1"/>
  <c r="AT2" i="25" s="1"/>
  <c r="AU2" i="25" s="1"/>
  <c r="AV2" i="25" s="1"/>
  <c r="AW2" i="25" s="1"/>
  <c r="AX2" i="25" s="1"/>
  <c r="AY2" i="25" s="1"/>
  <c r="AZ2" i="25" s="1"/>
  <c r="BA2" i="25" s="1"/>
  <c r="BB2" i="25" s="1"/>
  <c r="CS29" i="25"/>
  <c r="CP25" i="25"/>
  <c r="CO25" i="25"/>
  <c r="BW2" i="25"/>
  <c r="BX2" i="25" s="1"/>
  <c r="BY2" i="25" s="1"/>
  <c r="BZ2" i="25" s="1"/>
  <c r="CA2" i="25" s="1"/>
  <c r="CB2" i="25" s="1"/>
  <c r="CC2" i="25" s="1"/>
  <c r="CD2" i="25" s="1"/>
  <c r="CE2" i="25" s="1"/>
  <c r="CF2" i="25" s="1"/>
  <c r="CG2" i="25" s="1"/>
  <c r="CH2" i="25" s="1"/>
  <c r="CI2" i="25" s="1"/>
  <c r="CJ2" i="25" s="1"/>
  <c r="CK2" i="25" s="1"/>
  <c r="CL2" i="25" s="1"/>
  <c r="CM2" i="25" s="1"/>
  <c r="CN2" i="25" s="1"/>
  <c r="CO2" i="25" s="1"/>
  <c r="CP2" i="25" s="1"/>
  <c r="CQ2" i="25" s="1"/>
  <c r="CR2" i="25" s="1"/>
  <c r="CS2" i="25" s="1"/>
  <c r="CT2" i="25" s="1"/>
  <c r="CU2" i="25" s="1"/>
  <c r="CV2" i="25" s="1"/>
  <c r="CW2" i="25" s="1"/>
  <c r="CX2" i="25" s="1"/>
  <c r="CY2" i="25" s="1"/>
  <c r="CZ2" i="25" s="1"/>
  <c r="DA2" i="25" s="1"/>
  <c r="DB2" i="25" s="1"/>
  <c r="DC2" i="25" s="1"/>
  <c r="DD2" i="25" s="1"/>
  <c r="DE2" i="25" s="1"/>
  <c r="DF2" i="25" s="1"/>
  <c r="DG2" i="25" s="1"/>
  <c r="DH2" i="25" s="1"/>
  <c r="DI2" i="25" s="1"/>
  <c r="DJ2" i="25" s="1"/>
  <c r="DK2" i="25" s="1"/>
  <c r="L32" i="13"/>
  <c r="L28" i="13"/>
  <c r="L30" i="13" s="1"/>
  <c r="L34" i="13" s="1"/>
  <c r="L36" i="13" s="1"/>
  <c r="L21" i="13"/>
  <c r="L19" i="13"/>
  <c r="BN31" i="23"/>
  <c r="BN57" i="23"/>
  <c r="BN25" i="23"/>
  <c r="BN51" i="23"/>
  <c r="BN54" i="23"/>
  <c r="BN18" i="23"/>
  <c r="BN61" i="23"/>
  <c r="BN47" i="23"/>
  <c r="BN20" i="23"/>
  <c r="BN17" i="23"/>
  <c r="BN37" i="23"/>
  <c r="BN24" i="23"/>
  <c r="BR81" i="25"/>
  <c r="BY196" i="5" s="1"/>
  <c r="BN45" i="23"/>
  <c r="BN39" i="23"/>
  <c r="BN29" i="23"/>
  <c r="BN28" i="23"/>
  <c r="BN42" i="23"/>
  <c r="BN36" i="23"/>
  <c r="BN62" i="23"/>
  <c r="BN44" i="23"/>
  <c r="BN52" i="23"/>
  <c r="BN53" i="23"/>
  <c r="BN40" i="23"/>
  <c r="BN60" i="23"/>
  <c r="BN30" i="23"/>
  <c r="BN32" i="23"/>
  <c r="BN35" i="23"/>
  <c r="BN21" i="23"/>
  <c r="AB18" i="22"/>
  <c r="AB22" i="22"/>
  <c r="AB26" i="22"/>
  <c r="AB30" i="22"/>
  <c r="AB34" i="22"/>
  <c r="AB38" i="22"/>
  <c r="AB42" i="22"/>
  <c r="AB46" i="22"/>
  <c r="AB50" i="22"/>
  <c r="AB54" i="22"/>
  <c r="AB58" i="22"/>
  <c r="AB62" i="22"/>
  <c r="AB66" i="22"/>
  <c r="AB70" i="22"/>
  <c r="AB74" i="22"/>
  <c r="AB78" i="22"/>
  <c r="AB82" i="22"/>
  <c r="AB86" i="22"/>
  <c r="AB90" i="22"/>
  <c r="AB94" i="22"/>
  <c r="AB98" i="22"/>
  <c r="AB102" i="22"/>
  <c r="AB106" i="22"/>
  <c r="AB110" i="22"/>
  <c r="AB114" i="22"/>
  <c r="AB118" i="22"/>
  <c r="AB122" i="22"/>
  <c r="AB126" i="22"/>
  <c r="AB130" i="22"/>
  <c r="AB134" i="22"/>
  <c r="AB19" i="22"/>
  <c r="AB23" i="22"/>
  <c r="AB27" i="22"/>
  <c r="AB31" i="22"/>
  <c r="AB35" i="22"/>
  <c r="AB39" i="22"/>
  <c r="AB43" i="22"/>
  <c r="AB47" i="22"/>
  <c r="AB51" i="22"/>
  <c r="AB55" i="22"/>
  <c r="AB59" i="22"/>
  <c r="AB63" i="22"/>
  <c r="AB67" i="22"/>
  <c r="AB71" i="22"/>
  <c r="AB75" i="22"/>
  <c r="AB79" i="22"/>
  <c r="AB83" i="22"/>
  <c r="AB87" i="22"/>
  <c r="AB91" i="22"/>
  <c r="AB95" i="22"/>
  <c r="AB99" i="22"/>
  <c r="AB103" i="22"/>
  <c r="AB107" i="22"/>
  <c r="AB111" i="22"/>
  <c r="AB115" i="22"/>
  <c r="AB119" i="22"/>
  <c r="AB123" i="22"/>
  <c r="AB127" i="22"/>
  <c r="AB131" i="22"/>
  <c r="AB15" i="22"/>
  <c r="AB17" i="22"/>
  <c r="AB21" i="22"/>
  <c r="AB25" i="22"/>
  <c r="AB29" i="22"/>
  <c r="AB33" i="22"/>
  <c r="AB37" i="22"/>
  <c r="AB41" i="22"/>
  <c r="AB45" i="22"/>
  <c r="AB49" i="22"/>
  <c r="AB53" i="22"/>
  <c r="AB57" i="22"/>
  <c r="AB61" i="22"/>
  <c r="AB65" i="22"/>
  <c r="AB69" i="22"/>
  <c r="AB73" i="22"/>
  <c r="AB77" i="22"/>
  <c r="AB81" i="22"/>
  <c r="AB85" i="22"/>
  <c r="AB89" i="22"/>
  <c r="AB93" i="22"/>
  <c r="AB97" i="22"/>
  <c r="AB101" i="22"/>
  <c r="AB105" i="22"/>
  <c r="AB109" i="22"/>
  <c r="AB113" i="22"/>
  <c r="AB117" i="22"/>
  <c r="AB121" i="22"/>
  <c r="AB125" i="22"/>
  <c r="AB129" i="22"/>
  <c r="AB133" i="22"/>
  <c r="AB20" i="22"/>
  <c r="AB36" i="22"/>
  <c r="AB52" i="22"/>
  <c r="AB68" i="22"/>
  <c r="AB84" i="22"/>
  <c r="AB100" i="22"/>
  <c r="AB116" i="22"/>
  <c r="AB132" i="22"/>
  <c r="AB60" i="22"/>
  <c r="AB108" i="22"/>
  <c r="AB24" i="22"/>
  <c r="AB40" i="22"/>
  <c r="AB56" i="22"/>
  <c r="AB72" i="22"/>
  <c r="AB88" i="22"/>
  <c r="AB104" i="22"/>
  <c r="AB120" i="22"/>
  <c r="AB44" i="22"/>
  <c r="AB92" i="22"/>
  <c r="AB16" i="22"/>
  <c r="AB32" i="22"/>
  <c r="AB48" i="22"/>
  <c r="AB64" i="22"/>
  <c r="AB80" i="22"/>
  <c r="AB96" i="22"/>
  <c r="AB112" i="22"/>
  <c r="AB128" i="22"/>
  <c r="AB28" i="22"/>
  <c r="AB76" i="22"/>
  <c r="AB124" i="22"/>
  <c r="X14" i="22"/>
  <c r="X18" i="22"/>
  <c r="X22" i="22"/>
  <c r="X26" i="22"/>
  <c r="X30" i="22"/>
  <c r="X34" i="22"/>
  <c r="X38" i="22"/>
  <c r="X42" i="22"/>
  <c r="X46" i="22"/>
  <c r="X50" i="22"/>
  <c r="X54" i="22"/>
  <c r="X58" i="22"/>
  <c r="X62" i="22"/>
  <c r="X66" i="22"/>
  <c r="X70" i="22"/>
  <c r="X74" i="22"/>
  <c r="X78" i="22"/>
  <c r="X82" i="22"/>
  <c r="X86" i="22"/>
  <c r="X90" i="22"/>
  <c r="X94" i="22"/>
  <c r="X98" i="22"/>
  <c r="X102" i="22"/>
  <c r="X106" i="22"/>
  <c r="X110" i="22"/>
  <c r="X114" i="22"/>
  <c r="X118" i="22"/>
  <c r="X122" i="22"/>
  <c r="X126" i="22"/>
  <c r="X130" i="22"/>
  <c r="X15" i="22"/>
  <c r="X19" i="22"/>
  <c r="X23" i="22"/>
  <c r="X27" i="22"/>
  <c r="X31" i="22"/>
  <c r="X35" i="22"/>
  <c r="X39" i="22"/>
  <c r="X43" i="22"/>
  <c r="X47" i="22"/>
  <c r="X51" i="22"/>
  <c r="X55" i="22"/>
  <c r="X59" i="22"/>
  <c r="X63" i="22"/>
  <c r="X67" i="22"/>
  <c r="X71" i="22"/>
  <c r="X75" i="22"/>
  <c r="X79" i="22"/>
  <c r="X83" i="22"/>
  <c r="X87" i="22"/>
  <c r="X91" i="22"/>
  <c r="X95" i="22"/>
  <c r="X99" i="22"/>
  <c r="X103" i="22"/>
  <c r="X107" i="22"/>
  <c r="X111" i="22"/>
  <c r="X115" i="22"/>
  <c r="X119" i="22"/>
  <c r="X123" i="22"/>
  <c r="X127" i="22"/>
  <c r="X11" i="22"/>
  <c r="X13" i="22"/>
  <c r="X17" i="22"/>
  <c r="X21" i="22"/>
  <c r="X25" i="22"/>
  <c r="X29" i="22"/>
  <c r="X33" i="22"/>
  <c r="X37" i="22"/>
  <c r="X41" i="22"/>
  <c r="X45" i="22"/>
  <c r="X49" i="22"/>
  <c r="X53" i="22"/>
  <c r="X57" i="22"/>
  <c r="X61" i="22"/>
  <c r="X65" i="22"/>
  <c r="X69" i="22"/>
  <c r="X73" i="22"/>
  <c r="X77" i="22"/>
  <c r="X81" i="22"/>
  <c r="X85" i="22"/>
  <c r="X89" i="22"/>
  <c r="X93" i="22"/>
  <c r="X97" i="22"/>
  <c r="X101" i="22"/>
  <c r="X105" i="22"/>
  <c r="X109" i="22"/>
  <c r="X113" i="22"/>
  <c r="X117" i="22"/>
  <c r="X121" i="22"/>
  <c r="X125" i="22"/>
  <c r="X129" i="22"/>
  <c r="X20" i="22"/>
  <c r="X36" i="22"/>
  <c r="X52" i="22"/>
  <c r="X68" i="22"/>
  <c r="X84" i="22"/>
  <c r="X100" i="22"/>
  <c r="X116" i="22"/>
  <c r="X24" i="22"/>
  <c r="X72" i="22"/>
  <c r="X104" i="22"/>
  <c r="X12" i="22"/>
  <c r="X44" i="22"/>
  <c r="X76" i="22"/>
  <c r="X108" i="22"/>
  <c r="X16" i="22"/>
  <c r="X32" i="22"/>
  <c r="X48" i="22"/>
  <c r="X64" i="22"/>
  <c r="X80" i="22"/>
  <c r="X96" i="22"/>
  <c r="X112" i="22"/>
  <c r="X128" i="22"/>
  <c r="X40" i="22"/>
  <c r="X56" i="22"/>
  <c r="X88" i="22"/>
  <c r="X120" i="22"/>
  <c r="X28" i="22"/>
  <c r="X60" i="22"/>
  <c r="X92" i="22"/>
  <c r="X124" i="22"/>
  <c r="AJ26" i="22"/>
  <c r="AJ30" i="22"/>
  <c r="AJ34" i="22"/>
  <c r="AJ38" i="22"/>
  <c r="AJ42" i="22"/>
  <c r="AJ46" i="22"/>
  <c r="AJ50" i="22"/>
  <c r="AJ54" i="22"/>
  <c r="AJ58" i="22"/>
  <c r="AJ62" i="22"/>
  <c r="AJ66" i="22"/>
  <c r="AJ70" i="22"/>
  <c r="AJ74" i="22"/>
  <c r="AJ78" i="22"/>
  <c r="AJ82" i="22"/>
  <c r="AJ86" i="22"/>
  <c r="AJ90" i="22"/>
  <c r="AJ94" i="22"/>
  <c r="AJ98" i="22"/>
  <c r="AJ102" i="22"/>
  <c r="AJ106" i="22"/>
  <c r="AJ110" i="22"/>
  <c r="AJ114" i="22"/>
  <c r="AJ118" i="22"/>
  <c r="AJ122" i="22"/>
  <c r="AJ126" i="22"/>
  <c r="AJ130" i="22"/>
  <c r="AJ134" i="22"/>
  <c r="AJ138" i="22"/>
  <c r="AJ142" i="22"/>
  <c r="AJ27" i="22"/>
  <c r="AJ31" i="22"/>
  <c r="AJ35" i="22"/>
  <c r="AJ39" i="22"/>
  <c r="AJ43" i="22"/>
  <c r="AJ47" i="22"/>
  <c r="AJ51" i="22"/>
  <c r="AJ55" i="22"/>
  <c r="AJ59" i="22"/>
  <c r="AJ63" i="22"/>
  <c r="AJ67" i="22"/>
  <c r="AJ71" i="22"/>
  <c r="AJ75" i="22"/>
  <c r="AJ79" i="22"/>
  <c r="AJ83" i="22"/>
  <c r="AJ87" i="22"/>
  <c r="AJ91" i="22"/>
  <c r="AJ95" i="22"/>
  <c r="AJ99" i="22"/>
  <c r="AJ103" i="22"/>
  <c r="AJ107" i="22"/>
  <c r="AJ111" i="22"/>
  <c r="AJ115" i="22"/>
  <c r="AJ119" i="22"/>
  <c r="AJ123" i="22"/>
  <c r="AJ127" i="22"/>
  <c r="AJ131" i="22"/>
  <c r="AJ135" i="22"/>
  <c r="AJ139" i="22"/>
  <c r="AJ23" i="22"/>
  <c r="AJ29" i="22"/>
  <c r="AJ37" i="22"/>
  <c r="AJ45" i="22"/>
  <c r="AJ53" i="22"/>
  <c r="AJ61" i="22"/>
  <c r="AJ69" i="22"/>
  <c r="AJ77" i="22"/>
  <c r="AJ85" i="22"/>
  <c r="AJ93" i="22"/>
  <c r="AJ101" i="22"/>
  <c r="AJ109" i="22"/>
  <c r="AJ117" i="22"/>
  <c r="AJ125" i="22"/>
  <c r="AJ133" i="22"/>
  <c r="AJ141" i="22"/>
  <c r="AJ24" i="22"/>
  <c r="AJ32" i="22"/>
  <c r="AJ40" i="22"/>
  <c r="AJ48" i="22"/>
  <c r="AJ56" i="22"/>
  <c r="AJ64" i="22"/>
  <c r="AJ72" i="22"/>
  <c r="AJ80" i="22"/>
  <c r="AJ88" i="22"/>
  <c r="AJ96" i="22"/>
  <c r="AJ104" i="22"/>
  <c r="AJ112" i="22"/>
  <c r="AJ120" i="22"/>
  <c r="AJ128" i="22"/>
  <c r="AJ136" i="22"/>
  <c r="AJ28" i="22"/>
  <c r="AJ36" i="22"/>
  <c r="AJ44" i="22"/>
  <c r="AJ52" i="22"/>
  <c r="AJ60" i="22"/>
  <c r="AJ68" i="22"/>
  <c r="AJ76" i="22"/>
  <c r="AJ84" i="22"/>
  <c r="AJ92" i="22"/>
  <c r="AJ100" i="22"/>
  <c r="AJ108" i="22"/>
  <c r="AJ116" i="22"/>
  <c r="AJ124" i="22"/>
  <c r="AJ132" i="22"/>
  <c r="AJ140" i="22"/>
  <c r="AJ49" i="22"/>
  <c r="AJ81" i="22"/>
  <c r="AJ113" i="22"/>
  <c r="AJ25" i="22"/>
  <c r="AJ57" i="22"/>
  <c r="AJ89" i="22"/>
  <c r="AJ121" i="22"/>
  <c r="AJ41" i="22"/>
  <c r="AJ73" i="22"/>
  <c r="AJ105" i="22"/>
  <c r="AJ137" i="22"/>
  <c r="AJ65" i="22"/>
  <c r="AJ97" i="22"/>
  <c r="AJ129" i="22"/>
  <c r="AJ33" i="22"/>
  <c r="AN28" i="22"/>
  <c r="AN32" i="22"/>
  <c r="AN36" i="22"/>
  <c r="AN40" i="22"/>
  <c r="AN44" i="22"/>
  <c r="AN48" i="22"/>
  <c r="AN52" i="22"/>
  <c r="AN56" i="22"/>
  <c r="AN60" i="22"/>
  <c r="AN64" i="22"/>
  <c r="AN68" i="22"/>
  <c r="AN72" i="22"/>
  <c r="AN76" i="22"/>
  <c r="AN80" i="22"/>
  <c r="AN84" i="22"/>
  <c r="AN88" i="22"/>
  <c r="AN92" i="22"/>
  <c r="AN96" i="22"/>
  <c r="AN100" i="22"/>
  <c r="AN104" i="22"/>
  <c r="AN108" i="22"/>
  <c r="AN112" i="22"/>
  <c r="AN116" i="22"/>
  <c r="AN120" i="22"/>
  <c r="AN124" i="22"/>
  <c r="AN128" i="22"/>
  <c r="AN132" i="22"/>
  <c r="AN136" i="22"/>
  <c r="AN140" i="22"/>
  <c r="AN144" i="22"/>
  <c r="AN29" i="22"/>
  <c r="AN33" i="22"/>
  <c r="AN37" i="22"/>
  <c r="AN41" i="22"/>
  <c r="AN45" i="22"/>
  <c r="AN49" i="22"/>
  <c r="AN53" i="22"/>
  <c r="AN57" i="22"/>
  <c r="AN61" i="22"/>
  <c r="AN65" i="22"/>
  <c r="AN69" i="22"/>
  <c r="AN73" i="22"/>
  <c r="AN77" i="22"/>
  <c r="AN81" i="22"/>
  <c r="AN85" i="22"/>
  <c r="AN89" i="22"/>
  <c r="AN93" i="22"/>
  <c r="AN97" i="22"/>
  <c r="AN101" i="22"/>
  <c r="AN105" i="22"/>
  <c r="AN109" i="22"/>
  <c r="AN113" i="22"/>
  <c r="AN117" i="22"/>
  <c r="AN121" i="22"/>
  <c r="AN125" i="22"/>
  <c r="AN129" i="22"/>
  <c r="AN133" i="22"/>
  <c r="AN137" i="22"/>
  <c r="AN141" i="22"/>
  <c r="AN145" i="22"/>
  <c r="AN31" i="22"/>
  <c r="AN35" i="22"/>
  <c r="AN39" i="22"/>
  <c r="AN43" i="22"/>
  <c r="AN47" i="22"/>
  <c r="AN51" i="22"/>
  <c r="AN55" i="22"/>
  <c r="AN59" i="22"/>
  <c r="AN63" i="22"/>
  <c r="AN67" i="22"/>
  <c r="AN71" i="22"/>
  <c r="AN75" i="22"/>
  <c r="AN79" i="22"/>
  <c r="AN83" i="22"/>
  <c r="AN87" i="22"/>
  <c r="AN91" i="22"/>
  <c r="AN95" i="22"/>
  <c r="AN99" i="22"/>
  <c r="AN103" i="22"/>
  <c r="AN107" i="22"/>
  <c r="AN111" i="22"/>
  <c r="AN115" i="22"/>
  <c r="AN119" i="22"/>
  <c r="AN123" i="22"/>
  <c r="AN127" i="22"/>
  <c r="AN131" i="22"/>
  <c r="AN135" i="22"/>
  <c r="AN139" i="22"/>
  <c r="AN143" i="22"/>
  <c r="AN27" i="22"/>
  <c r="AN38" i="22"/>
  <c r="AN54" i="22"/>
  <c r="AN70" i="22"/>
  <c r="AN86" i="22"/>
  <c r="AN102" i="22"/>
  <c r="AN118" i="22"/>
  <c r="AN134" i="22"/>
  <c r="AN42" i="22"/>
  <c r="AN58" i="22"/>
  <c r="AN74" i="22"/>
  <c r="AN90" i="22"/>
  <c r="AN106" i="22"/>
  <c r="AN122" i="22"/>
  <c r="AN138" i="22"/>
  <c r="AN34" i="22"/>
  <c r="AN50" i="22"/>
  <c r="AN66" i="22"/>
  <c r="AN82" i="22"/>
  <c r="AN98" i="22"/>
  <c r="AN114" i="22"/>
  <c r="AN130" i="22"/>
  <c r="AN146" i="22"/>
  <c r="AN46" i="22"/>
  <c r="AN110" i="22"/>
  <c r="AN62" i="22"/>
  <c r="AN126" i="22"/>
  <c r="AN30" i="22"/>
  <c r="AN94" i="22"/>
  <c r="AN142" i="22"/>
  <c r="AN78" i="22"/>
  <c r="AF20" i="22"/>
  <c r="AF24" i="22"/>
  <c r="AF28" i="22"/>
  <c r="AF32" i="22"/>
  <c r="AF36" i="22"/>
  <c r="AF40" i="22"/>
  <c r="AF44" i="22"/>
  <c r="AF48" i="22"/>
  <c r="AF52" i="22"/>
  <c r="AF56" i="22"/>
  <c r="AF60" i="22"/>
  <c r="AF64" i="22"/>
  <c r="AF68" i="22"/>
  <c r="AF72" i="22"/>
  <c r="AF76" i="22"/>
  <c r="AF80" i="22"/>
  <c r="AF84" i="22"/>
  <c r="AF88" i="22"/>
  <c r="AF92" i="22"/>
  <c r="AF96" i="22"/>
  <c r="AF100" i="22"/>
  <c r="AF104" i="22"/>
  <c r="AF108" i="22"/>
  <c r="AF112" i="22"/>
  <c r="AF116" i="22"/>
  <c r="AF120" i="22"/>
  <c r="AF124" i="22"/>
  <c r="AF128" i="22"/>
  <c r="AF132" i="22"/>
  <c r="AF136" i="22"/>
  <c r="AF21" i="22"/>
  <c r="AF25" i="22"/>
  <c r="AF29" i="22"/>
  <c r="AF33" i="22"/>
  <c r="AF37" i="22"/>
  <c r="AF41" i="22"/>
  <c r="AF45" i="22"/>
  <c r="AF49" i="22"/>
  <c r="AF53" i="22"/>
  <c r="AF57" i="22"/>
  <c r="AF61" i="22"/>
  <c r="AF65" i="22"/>
  <c r="AF69" i="22"/>
  <c r="AF73" i="22"/>
  <c r="AF77" i="22"/>
  <c r="AF81" i="22"/>
  <c r="AF85" i="22"/>
  <c r="AF89" i="22"/>
  <c r="AF93" i="22"/>
  <c r="AF97" i="22"/>
  <c r="AF101" i="22"/>
  <c r="AF105" i="22"/>
  <c r="AF109" i="22"/>
  <c r="AF113" i="22"/>
  <c r="AF117" i="22"/>
  <c r="AF121" i="22"/>
  <c r="AF125" i="22"/>
  <c r="AF129" i="22"/>
  <c r="AF133" i="22"/>
  <c r="AF137" i="22"/>
  <c r="AF23" i="22"/>
  <c r="AF27" i="22"/>
  <c r="AF31" i="22"/>
  <c r="AF35" i="22"/>
  <c r="AF39" i="22"/>
  <c r="AF43" i="22"/>
  <c r="AF47" i="22"/>
  <c r="AF51" i="22"/>
  <c r="AF55" i="22"/>
  <c r="AF59" i="22"/>
  <c r="AF63" i="22"/>
  <c r="AF67" i="22"/>
  <c r="AF71" i="22"/>
  <c r="AF75" i="22"/>
  <c r="AF79" i="22"/>
  <c r="AF83" i="22"/>
  <c r="AF87" i="22"/>
  <c r="AF91" i="22"/>
  <c r="AF95" i="22"/>
  <c r="AF99" i="22"/>
  <c r="AF103" i="22"/>
  <c r="AF107" i="22"/>
  <c r="AF111" i="22"/>
  <c r="AF115" i="22"/>
  <c r="AF119" i="22"/>
  <c r="AF123" i="22"/>
  <c r="AF127" i="22"/>
  <c r="AF131" i="22"/>
  <c r="AF135" i="22"/>
  <c r="AF19" i="22"/>
  <c r="AF34" i="22"/>
  <c r="AF50" i="22"/>
  <c r="AF66" i="22"/>
  <c r="AF82" i="22"/>
  <c r="AF98" i="22"/>
  <c r="AF114" i="22"/>
  <c r="AF130" i="22"/>
  <c r="AF22" i="22"/>
  <c r="AF38" i="22"/>
  <c r="AF54" i="22"/>
  <c r="AF70" i="22"/>
  <c r="AF86" i="22"/>
  <c r="AF102" i="22"/>
  <c r="AF118" i="22"/>
  <c r="AF134" i="22"/>
  <c r="AF30" i="22"/>
  <c r="AF46" i="22"/>
  <c r="AF62" i="22"/>
  <c r="AF78" i="22"/>
  <c r="AF94" i="22"/>
  <c r="AF110" i="22"/>
  <c r="AF126" i="22"/>
  <c r="AF58" i="22"/>
  <c r="AF122" i="22"/>
  <c r="AF90" i="22"/>
  <c r="AF74" i="22"/>
  <c r="AF138" i="22"/>
  <c r="AF42" i="22"/>
  <c r="AF106" i="22"/>
  <c r="AF26" i="22"/>
  <c r="F7" i="24"/>
  <c r="K6" i="24"/>
  <c r="I37" i="24"/>
  <c r="I15" i="24"/>
  <c r="I40" i="24"/>
  <c r="I13" i="24"/>
  <c r="I33" i="24"/>
  <c r="I21" i="24"/>
  <c r="I20" i="24"/>
  <c r="I25" i="24"/>
  <c r="I18" i="24"/>
  <c r="I7" i="24"/>
  <c r="I31" i="24"/>
  <c r="I28" i="24"/>
  <c r="I27" i="24"/>
  <c r="I26" i="24"/>
  <c r="I12" i="24"/>
  <c r="I8" i="24"/>
  <c r="I9" i="24"/>
  <c r="I38" i="24"/>
  <c r="I23" i="24"/>
  <c r="B21" i="24"/>
  <c r="B33" i="24"/>
  <c r="B45" i="24" s="1"/>
  <c r="B57" i="24" s="1"/>
  <c r="B69" i="24" s="1"/>
  <c r="B81" i="24" s="1"/>
  <c r="B93" i="24" s="1"/>
  <c r="B10" i="24"/>
  <c r="I16" i="24"/>
  <c r="I32" i="24"/>
  <c r="I22" i="24"/>
  <c r="I30" i="24"/>
  <c r="I34" i="24"/>
  <c r="I14" i="24"/>
  <c r="I35" i="24"/>
  <c r="I11" i="24"/>
  <c r="I19" i="24"/>
  <c r="I17" i="24"/>
  <c r="I36" i="24"/>
  <c r="I24" i="24"/>
  <c r="I10" i="24"/>
  <c r="I39" i="24"/>
  <c r="I29" i="24"/>
  <c r="J28" i="22"/>
  <c r="J24" i="22"/>
  <c r="J20" i="22"/>
  <c r="J16" i="22"/>
  <c r="J12" i="22"/>
  <c r="J8" i="22"/>
  <c r="B7" i="22"/>
  <c r="B8" i="22" s="1"/>
  <c r="J25" i="22"/>
  <c r="AA77" i="25"/>
  <c r="AE54" i="25"/>
  <c r="CN25" i="25"/>
  <c r="CN29" i="25"/>
  <c r="CN33" i="25"/>
  <c r="CN26" i="25"/>
  <c r="CN30" i="25"/>
  <c r="CN22" i="25"/>
  <c r="CN24" i="25"/>
  <c r="CN32" i="25"/>
  <c r="CN27" i="25"/>
  <c r="AI33" i="25"/>
  <c r="CR29" i="25"/>
  <c r="CR33" i="25"/>
  <c r="CR37" i="25"/>
  <c r="CR30" i="25"/>
  <c r="CR34" i="25"/>
  <c r="CR26" i="25"/>
  <c r="CR28" i="25"/>
  <c r="CR36" i="25"/>
  <c r="CR31" i="25"/>
  <c r="AF63" i="25"/>
  <c r="AJ39" i="25"/>
  <c r="CN28" i="25"/>
  <c r="CR32" i="25"/>
  <c r="CP27" i="25"/>
  <c r="CP31" i="25"/>
  <c r="CP35" i="25"/>
  <c r="CP28" i="25"/>
  <c r="CP32" i="25"/>
  <c r="CP24" i="25"/>
  <c r="CP26" i="25"/>
  <c r="CP34" i="25"/>
  <c r="CP29" i="25"/>
  <c r="CT31" i="25"/>
  <c r="CT35" i="25"/>
  <c r="CT39" i="25"/>
  <c r="EA39" i="25"/>
  <c r="CT32" i="25"/>
  <c r="CT36" i="25"/>
  <c r="CT28" i="25"/>
  <c r="CT30" i="25"/>
  <c r="CT38" i="25"/>
  <c r="CT33" i="25"/>
  <c r="CP30" i="25"/>
  <c r="CT34" i="25"/>
  <c r="CT29" i="25"/>
  <c r="AF29" i="25"/>
  <c r="CO26" i="25"/>
  <c r="CO30" i="25"/>
  <c r="CO34" i="25"/>
  <c r="CO27" i="25"/>
  <c r="CO31" i="25"/>
  <c r="CO23" i="25"/>
  <c r="CO29" i="25"/>
  <c r="AF47" i="25"/>
  <c r="AF74" i="25"/>
  <c r="CO24" i="25"/>
  <c r="CO32" i="25"/>
  <c r="AF55" i="25"/>
  <c r="AJ29" i="25"/>
  <c r="CS30" i="25"/>
  <c r="CS34" i="25"/>
  <c r="CS38" i="25"/>
  <c r="CS31" i="25"/>
  <c r="CS35" i="25"/>
  <c r="CS27" i="25"/>
  <c r="CS33" i="25"/>
  <c r="AJ55" i="25"/>
  <c r="CS28" i="25"/>
  <c r="CS36" i="25"/>
  <c r="AJ31" i="25"/>
  <c r="AJ63" i="25"/>
  <c r="AF39" i="25"/>
  <c r="CN23" i="25"/>
  <c r="CP33" i="25"/>
  <c r="CR27" i="25"/>
  <c r="CT37" i="25"/>
  <c r="AH31" i="25"/>
  <c r="CQ28" i="25"/>
  <c r="CQ32" i="25"/>
  <c r="CQ36" i="25"/>
  <c r="CQ29" i="25"/>
  <c r="CQ33" i="25"/>
  <c r="CQ25" i="25"/>
  <c r="AH75" i="25"/>
  <c r="AH43" i="25"/>
  <c r="CQ34" i="25"/>
  <c r="CQ26" i="25"/>
  <c r="AH67" i="25"/>
  <c r="AH35" i="25"/>
  <c r="CQ31" i="25"/>
  <c r="N86" i="23"/>
  <c r="BN86" i="23"/>
  <c r="B7" i="23"/>
  <c r="J18" i="22"/>
  <c r="J14" i="22"/>
  <c r="J26" i="22"/>
  <c r="J22" i="22"/>
  <c r="J21" i="22"/>
  <c r="J17" i="22"/>
  <c r="J13" i="22"/>
  <c r="J6" i="22"/>
  <c r="J10" i="22"/>
  <c r="J5" i="22"/>
  <c r="J7" i="22"/>
  <c r="J9" i="22"/>
  <c r="AF72" i="25"/>
  <c r="AF59" i="25"/>
  <c r="AF43" i="25"/>
  <c r="AF27" i="25"/>
  <c r="AH71" i="25"/>
  <c r="AH55" i="25"/>
  <c r="AH39" i="25"/>
  <c r="AJ67" i="25"/>
  <c r="AJ51" i="25"/>
  <c r="AJ35" i="25"/>
  <c r="AF76" i="25"/>
  <c r="AF67" i="25"/>
  <c r="AF51" i="25"/>
  <c r="AF35" i="25"/>
  <c r="AH63" i="25"/>
  <c r="AH47" i="25"/>
  <c r="AJ75" i="25"/>
  <c r="AJ59" i="25"/>
  <c r="AJ43" i="25"/>
  <c r="AG24" i="25"/>
  <c r="AG26" i="25"/>
  <c r="AG30" i="25"/>
  <c r="AG34" i="25"/>
  <c r="AG38" i="25"/>
  <c r="AG42" i="25"/>
  <c r="AG46" i="25"/>
  <c r="AG50" i="25"/>
  <c r="AG54" i="25"/>
  <c r="AG58" i="25"/>
  <c r="AG62" i="25"/>
  <c r="AG66" i="25"/>
  <c r="AG70" i="25"/>
  <c r="AG74" i="25"/>
  <c r="AG28" i="25"/>
  <c r="AG32" i="25"/>
  <c r="AG36" i="25"/>
  <c r="AG40" i="25"/>
  <c r="AG44" i="25"/>
  <c r="AG48" i="25"/>
  <c r="AG52" i="25"/>
  <c r="AG56" i="25"/>
  <c r="AG60" i="25"/>
  <c r="AG64" i="25"/>
  <c r="AG68" i="25"/>
  <c r="AG72" i="25"/>
  <c r="AG76" i="25"/>
  <c r="AK28" i="25"/>
  <c r="AK30" i="25"/>
  <c r="AK34" i="25"/>
  <c r="AK38" i="25"/>
  <c r="AK42" i="25"/>
  <c r="AK46" i="25"/>
  <c r="AK50" i="25"/>
  <c r="AK54" i="25"/>
  <c r="AK58" i="25"/>
  <c r="AK62" i="25"/>
  <c r="AK66" i="25"/>
  <c r="AK70" i="25"/>
  <c r="AK74" i="25"/>
  <c r="AK32" i="25"/>
  <c r="AK36" i="25"/>
  <c r="AK40" i="25"/>
  <c r="AK44" i="25"/>
  <c r="AK48" i="25"/>
  <c r="AK52" i="25"/>
  <c r="AK56" i="25"/>
  <c r="AK60" i="25"/>
  <c r="AK64" i="25"/>
  <c r="AK68" i="25"/>
  <c r="AK72" i="25"/>
  <c r="AK76" i="25"/>
  <c r="AG75" i="25"/>
  <c r="AG67" i="25"/>
  <c r="AG59" i="25"/>
  <c r="AG51" i="25"/>
  <c r="AG43" i="25"/>
  <c r="AG35" i="25"/>
  <c r="AG27" i="25"/>
  <c r="AI75" i="25"/>
  <c r="AI67" i="25"/>
  <c r="AI59" i="25"/>
  <c r="AI51" i="25"/>
  <c r="AI43" i="25"/>
  <c r="AI35" i="25"/>
  <c r="AI27" i="25"/>
  <c r="AK75" i="25"/>
  <c r="AK67" i="25"/>
  <c r="AK59" i="25"/>
  <c r="AK51" i="25"/>
  <c r="AK43" i="25"/>
  <c r="AK35" i="25"/>
  <c r="AH25" i="25"/>
  <c r="AH26" i="25"/>
  <c r="AH30" i="25"/>
  <c r="AH34" i="25"/>
  <c r="AH38" i="25"/>
  <c r="AH42" i="25"/>
  <c r="AH46" i="25"/>
  <c r="AH50" i="25"/>
  <c r="AH54" i="25"/>
  <c r="AH58" i="25"/>
  <c r="AH62" i="25"/>
  <c r="AH66" i="25"/>
  <c r="AH70" i="25"/>
  <c r="AH74" i="25"/>
  <c r="AH28" i="25"/>
  <c r="AH32" i="25"/>
  <c r="AH36" i="25"/>
  <c r="AH40" i="25"/>
  <c r="AH44" i="25"/>
  <c r="AH48" i="25"/>
  <c r="AH52" i="25"/>
  <c r="AH56" i="25"/>
  <c r="AH60" i="25"/>
  <c r="AH64" i="25"/>
  <c r="AH68" i="25"/>
  <c r="AH72" i="25"/>
  <c r="AH76" i="25"/>
  <c r="AF73" i="25"/>
  <c r="AF69" i="25"/>
  <c r="AF61" i="25"/>
  <c r="AF53" i="25"/>
  <c r="AF45" i="25"/>
  <c r="AF37" i="25"/>
  <c r="AG73" i="25"/>
  <c r="AG65" i="25"/>
  <c r="AG57" i="25"/>
  <c r="AG49" i="25"/>
  <c r="AG41" i="25"/>
  <c r="AG33" i="25"/>
  <c r="AG25" i="25"/>
  <c r="AH69" i="25"/>
  <c r="AH61" i="25"/>
  <c r="AH53" i="25"/>
  <c r="AH45" i="25"/>
  <c r="AH37" i="25"/>
  <c r="AH29" i="25"/>
  <c r="AI73" i="25"/>
  <c r="AI65" i="25"/>
  <c r="AI57" i="25"/>
  <c r="AI49" i="25"/>
  <c r="AI41" i="25"/>
  <c r="AJ69" i="25"/>
  <c r="AJ61" i="25"/>
  <c r="AJ53" i="25"/>
  <c r="AJ45" i="25"/>
  <c r="AJ37" i="25"/>
  <c r="AK73" i="25"/>
  <c r="AK65" i="25"/>
  <c r="AK57" i="25"/>
  <c r="AK49" i="25"/>
  <c r="AK41" i="25"/>
  <c r="AK33" i="25"/>
  <c r="AI26" i="25"/>
  <c r="AI30" i="25"/>
  <c r="AI34" i="25"/>
  <c r="AI38" i="25"/>
  <c r="AI42" i="25"/>
  <c r="AI46" i="25"/>
  <c r="AI50" i="25"/>
  <c r="AI54" i="25"/>
  <c r="AI58" i="25"/>
  <c r="AI62" i="25"/>
  <c r="AI66" i="25"/>
  <c r="AI70" i="25"/>
  <c r="AI74" i="25"/>
  <c r="AI28" i="25"/>
  <c r="AI32" i="25"/>
  <c r="AI36" i="25"/>
  <c r="AI40" i="25"/>
  <c r="AI44" i="25"/>
  <c r="AI48" i="25"/>
  <c r="AI52" i="25"/>
  <c r="AI56" i="25"/>
  <c r="AI60" i="25"/>
  <c r="AI64" i="25"/>
  <c r="AI68" i="25"/>
  <c r="AI72" i="25"/>
  <c r="AI76" i="25"/>
  <c r="AG71" i="25"/>
  <c r="AG63" i="25"/>
  <c r="AG55" i="25"/>
  <c r="AG47" i="25"/>
  <c r="AG39" i="25"/>
  <c r="AG31" i="25"/>
  <c r="AI71" i="25"/>
  <c r="AI63" i="25"/>
  <c r="AI55" i="25"/>
  <c r="AI47" i="25"/>
  <c r="AI39" i="25"/>
  <c r="AI31" i="25"/>
  <c r="AK71" i="25"/>
  <c r="AK63" i="25"/>
  <c r="AK55" i="25"/>
  <c r="AK47" i="25"/>
  <c r="AK39" i="25"/>
  <c r="AK31" i="25"/>
  <c r="AF23" i="25"/>
  <c r="AF26" i="25"/>
  <c r="AF30" i="25"/>
  <c r="AF34" i="25"/>
  <c r="AF38" i="25"/>
  <c r="AF42" i="25"/>
  <c r="AF46" i="25"/>
  <c r="AF50" i="25"/>
  <c r="AF54" i="25"/>
  <c r="AF58" i="25"/>
  <c r="AF62" i="25"/>
  <c r="AF66" i="25"/>
  <c r="AF24" i="25"/>
  <c r="AF28" i="25"/>
  <c r="AF32" i="25"/>
  <c r="AF36" i="25"/>
  <c r="AF40" i="25"/>
  <c r="AF44" i="25"/>
  <c r="AF48" i="25"/>
  <c r="AF52" i="25"/>
  <c r="AF56" i="25"/>
  <c r="AF60" i="25"/>
  <c r="AF64" i="25"/>
  <c r="AF68" i="25"/>
  <c r="AJ27" i="25"/>
  <c r="AJ30" i="25"/>
  <c r="AJ34" i="25"/>
  <c r="AJ38" i="25"/>
  <c r="AJ42" i="25"/>
  <c r="AJ46" i="25"/>
  <c r="AJ50" i="25"/>
  <c r="AJ54" i="25"/>
  <c r="AJ58" i="25"/>
  <c r="AJ62" i="25"/>
  <c r="AJ66" i="25"/>
  <c r="AJ70" i="25"/>
  <c r="AJ74" i="25"/>
  <c r="AJ28" i="25"/>
  <c r="AJ32" i="25"/>
  <c r="AJ36" i="25"/>
  <c r="AJ40" i="25"/>
  <c r="AJ44" i="25"/>
  <c r="AJ48" i="25"/>
  <c r="AJ52" i="25"/>
  <c r="AJ56" i="25"/>
  <c r="AJ60" i="25"/>
  <c r="AJ64" i="25"/>
  <c r="AJ68" i="25"/>
  <c r="AJ72" i="25"/>
  <c r="AJ76" i="25"/>
  <c r="AF75" i="25"/>
  <c r="AF71" i="25"/>
  <c r="AF65" i="25"/>
  <c r="AF57" i="25"/>
  <c r="AF49" i="25"/>
  <c r="AF41" i="25"/>
  <c r="AF33" i="25"/>
  <c r="AF25" i="25"/>
  <c r="AG69" i="25"/>
  <c r="AG61" i="25"/>
  <c r="AG53" i="25"/>
  <c r="AG45" i="25"/>
  <c r="AG37" i="25"/>
  <c r="AG29" i="25"/>
  <c r="AH73" i="25"/>
  <c r="AH65" i="25"/>
  <c r="AH57" i="25"/>
  <c r="AH49" i="25"/>
  <c r="AH41" i="25"/>
  <c r="AH33" i="25"/>
  <c r="AI69" i="25"/>
  <c r="AI61" i="25"/>
  <c r="AI53" i="25"/>
  <c r="AI45" i="25"/>
  <c r="AI37" i="25"/>
  <c r="AI29" i="25"/>
  <c r="AJ73" i="25"/>
  <c r="AJ65" i="25"/>
  <c r="AJ57" i="25"/>
  <c r="AJ49" i="25"/>
  <c r="AJ41" i="25"/>
  <c r="AJ33" i="25"/>
  <c r="AK69" i="25"/>
  <c r="AK61" i="25"/>
  <c r="AK53" i="25"/>
  <c r="AK45" i="25"/>
  <c r="AK37" i="25"/>
  <c r="AK29" i="25"/>
  <c r="AE23" i="25"/>
  <c r="AE27" i="25"/>
  <c r="AE31" i="25"/>
  <c r="AE35" i="25"/>
  <c r="AE39" i="25"/>
  <c r="AE43" i="25"/>
  <c r="AE47" i="25"/>
  <c r="AE51" i="25"/>
  <c r="AE55" i="25"/>
  <c r="AE59" i="25"/>
  <c r="AE63" i="25"/>
  <c r="AE67" i="25"/>
  <c r="AE71" i="25"/>
  <c r="AE75" i="25"/>
  <c r="AE22" i="25"/>
  <c r="AE25" i="25"/>
  <c r="AE29" i="25"/>
  <c r="AE33" i="25"/>
  <c r="AE37" i="25"/>
  <c r="AE41" i="25"/>
  <c r="AE45" i="25"/>
  <c r="AE49" i="25"/>
  <c r="AE53" i="25"/>
  <c r="AE57" i="25"/>
  <c r="AE61" i="25"/>
  <c r="AE65" i="25"/>
  <c r="AE69" i="25"/>
  <c r="AE73" i="25"/>
  <c r="AE24" i="25"/>
  <c r="AE32" i="25"/>
  <c r="AE40" i="25"/>
  <c r="AE48" i="25"/>
  <c r="AE56" i="25"/>
  <c r="AE64" i="25"/>
  <c r="AE72" i="25"/>
  <c r="AE28" i="25"/>
  <c r="AE36" i="25"/>
  <c r="AE44" i="25"/>
  <c r="AE52" i="25"/>
  <c r="AE60" i="25"/>
  <c r="AE68" i="25"/>
  <c r="AE76" i="25"/>
  <c r="AE26" i="25"/>
  <c r="AE42" i="25"/>
  <c r="AE58" i="25"/>
  <c r="AE74" i="25"/>
  <c r="AE34" i="25"/>
  <c r="AE50" i="25"/>
  <c r="AE66" i="25"/>
  <c r="AE30" i="25"/>
  <c r="AE62" i="25"/>
  <c r="AE46" i="25"/>
  <c r="AE70" i="25"/>
  <c r="AE38" i="25"/>
  <c r="EA37" i="25"/>
  <c r="ED81" i="25"/>
  <c r="EE81" i="25" s="1"/>
  <c r="EF81" i="25" s="1"/>
  <c r="EA33" i="25"/>
  <c r="EA34" i="25"/>
  <c r="EC34" i="25" s="1"/>
  <c r="N87" i="23"/>
  <c r="BN87" i="23"/>
  <c r="L90" i="25"/>
  <c r="L89" i="25"/>
  <c r="L88" i="25"/>
  <c r="L77" i="25"/>
  <c r="L78" i="25"/>
  <c r="AB77" i="25"/>
  <c r="AB78" i="25"/>
  <c r="L84" i="25"/>
  <c r="L87" i="25"/>
  <c r="L82" i="25"/>
  <c r="L85" i="25"/>
  <c r="L83" i="25"/>
  <c r="AD79" i="25"/>
  <c r="AD80" i="25"/>
  <c r="BR80" i="25" s="1"/>
  <c r="BY195" i="5" s="1"/>
  <c r="AD77" i="25"/>
  <c r="AD78" i="25"/>
  <c r="L80" i="25"/>
  <c r="L81" i="25"/>
  <c r="L79" i="25"/>
  <c r="AC77" i="25"/>
  <c r="AC78" i="25"/>
  <c r="AC79" i="25"/>
  <c r="BR79" i="25"/>
  <c r="BY194" i="5" s="1"/>
  <c r="L86" i="25"/>
  <c r="AI25" i="22"/>
  <c r="AI29" i="22"/>
  <c r="AI33" i="22"/>
  <c r="AI37" i="22"/>
  <c r="AI41" i="22"/>
  <c r="AI45" i="22"/>
  <c r="AI49" i="22"/>
  <c r="AI53" i="22"/>
  <c r="AI57" i="22"/>
  <c r="AI61" i="22"/>
  <c r="AI65" i="22"/>
  <c r="AI69" i="22"/>
  <c r="AI73" i="22"/>
  <c r="AI77" i="22"/>
  <c r="AI81" i="22"/>
  <c r="AI85" i="22"/>
  <c r="AI89" i="22"/>
  <c r="AI93" i="22"/>
  <c r="AI97" i="22"/>
  <c r="AI101" i="22"/>
  <c r="AI105" i="22"/>
  <c r="AI109" i="22"/>
  <c r="AI113" i="22"/>
  <c r="AI117" i="22"/>
  <c r="AI121" i="22"/>
  <c r="AI125" i="22"/>
  <c r="AI129" i="22"/>
  <c r="AI133" i="22"/>
  <c r="AI26" i="22"/>
  <c r="AI30" i="22"/>
  <c r="AI34" i="22"/>
  <c r="AI38" i="22"/>
  <c r="AI42" i="22"/>
  <c r="AI46" i="22"/>
  <c r="AI50" i="22"/>
  <c r="AI54" i="22"/>
  <c r="AI58" i="22"/>
  <c r="AI62" i="22"/>
  <c r="AI66" i="22"/>
  <c r="AI70" i="22"/>
  <c r="AI74" i="22"/>
  <c r="AI78" i="22"/>
  <c r="AI82" i="22"/>
  <c r="AI86" i="22"/>
  <c r="AI90" i="22"/>
  <c r="AI94" i="22"/>
  <c r="AI98" i="22"/>
  <c r="AI102" i="22"/>
  <c r="AI106" i="22"/>
  <c r="AI110" i="22"/>
  <c r="AI114" i="22"/>
  <c r="AI118" i="22"/>
  <c r="AI122" i="22"/>
  <c r="AI28" i="22"/>
  <c r="AI36" i="22"/>
  <c r="AI44" i="22"/>
  <c r="AI52" i="22"/>
  <c r="AI60" i="22"/>
  <c r="AI68" i="22"/>
  <c r="AI76" i="22"/>
  <c r="AI84" i="22"/>
  <c r="AI92" i="22"/>
  <c r="AI100" i="22"/>
  <c r="AI108" i="22"/>
  <c r="AI116" i="22"/>
  <c r="AI124" i="22"/>
  <c r="AI130" i="22"/>
  <c r="AI135" i="22"/>
  <c r="AI139" i="22"/>
  <c r="AI23" i="22"/>
  <c r="AI31" i="22"/>
  <c r="AI39" i="22"/>
  <c r="AI47" i="22"/>
  <c r="AI55" i="22"/>
  <c r="AI63" i="22"/>
  <c r="AI71" i="22"/>
  <c r="AI79" i="22"/>
  <c r="AI87" i="22"/>
  <c r="AI95" i="22"/>
  <c r="AI103" i="22"/>
  <c r="AI111" i="22"/>
  <c r="AI119" i="22"/>
  <c r="AI126" i="22"/>
  <c r="AI131" i="22"/>
  <c r="AI136" i="22"/>
  <c r="AI140" i="22"/>
  <c r="AI27" i="22"/>
  <c r="AI35" i="22"/>
  <c r="AI43" i="22"/>
  <c r="AI51" i="22"/>
  <c r="AI59" i="22"/>
  <c r="AI67" i="22"/>
  <c r="AI75" i="22"/>
  <c r="AI83" i="22"/>
  <c r="AI91" i="22"/>
  <c r="AI99" i="22"/>
  <c r="AI107" i="22"/>
  <c r="AI115" i="22"/>
  <c r="AI123" i="22"/>
  <c r="AI128" i="22"/>
  <c r="AI134" i="22"/>
  <c r="AI138" i="22"/>
  <c r="AI22" i="22"/>
  <c r="AI24" i="22"/>
  <c r="AI56" i="22"/>
  <c r="AI88" i="22"/>
  <c r="AI120" i="22"/>
  <c r="AI141" i="22"/>
  <c r="AI32" i="22"/>
  <c r="AI64" i="22"/>
  <c r="AI96" i="22"/>
  <c r="AI127" i="22"/>
  <c r="AI48" i="22"/>
  <c r="AI80" i="22"/>
  <c r="AI112" i="22"/>
  <c r="AI137" i="22"/>
  <c r="AI72" i="22"/>
  <c r="AI104" i="22"/>
  <c r="AI40" i="22"/>
  <c r="AI132" i="22"/>
  <c r="V12" i="22"/>
  <c r="V16" i="22"/>
  <c r="V20" i="22"/>
  <c r="V24" i="22"/>
  <c r="V28" i="22"/>
  <c r="V32" i="22"/>
  <c r="V36" i="22"/>
  <c r="V40" i="22"/>
  <c r="V44" i="22"/>
  <c r="V48" i="22"/>
  <c r="V52" i="22"/>
  <c r="V56" i="22"/>
  <c r="V60" i="22"/>
  <c r="V64" i="22"/>
  <c r="V68" i="22"/>
  <c r="V72" i="22"/>
  <c r="V76" i="22"/>
  <c r="V80" i="22"/>
  <c r="V84" i="22"/>
  <c r="V88" i="22"/>
  <c r="V92" i="22"/>
  <c r="V96" i="22"/>
  <c r="V100" i="22"/>
  <c r="V104" i="22"/>
  <c r="V108" i="22"/>
  <c r="V112" i="22"/>
  <c r="V116" i="22"/>
  <c r="V120" i="22"/>
  <c r="V124" i="22"/>
  <c r="V128" i="22"/>
  <c r="V13" i="22"/>
  <c r="V17" i="22"/>
  <c r="V21" i="22"/>
  <c r="V25" i="22"/>
  <c r="V29" i="22"/>
  <c r="V33" i="22"/>
  <c r="V37" i="22"/>
  <c r="V41" i="22"/>
  <c r="V45" i="22"/>
  <c r="V49" i="22"/>
  <c r="V53" i="22"/>
  <c r="V57" i="22"/>
  <c r="V61" i="22"/>
  <c r="V65" i="22"/>
  <c r="V69" i="22"/>
  <c r="V73" i="22"/>
  <c r="V77" i="22"/>
  <c r="V81" i="22"/>
  <c r="V85" i="22"/>
  <c r="V89" i="22"/>
  <c r="V93" i="22"/>
  <c r="V97" i="22"/>
  <c r="V101" i="22"/>
  <c r="V105" i="22"/>
  <c r="V109" i="22"/>
  <c r="V113" i="22"/>
  <c r="V117" i="22"/>
  <c r="V121" i="22"/>
  <c r="V125" i="22"/>
  <c r="V9" i="22"/>
  <c r="V11" i="22"/>
  <c r="V15" i="22"/>
  <c r="V19" i="22"/>
  <c r="V23" i="22"/>
  <c r="V27" i="22"/>
  <c r="V31" i="22"/>
  <c r="V35" i="22"/>
  <c r="V39" i="22"/>
  <c r="V43" i="22"/>
  <c r="V47" i="22"/>
  <c r="V51" i="22"/>
  <c r="V55" i="22"/>
  <c r="V59" i="22"/>
  <c r="V63" i="22"/>
  <c r="V67" i="22"/>
  <c r="V71" i="22"/>
  <c r="V75" i="22"/>
  <c r="V79" i="22"/>
  <c r="V83" i="22"/>
  <c r="V87" i="22"/>
  <c r="V91" i="22"/>
  <c r="V95" i="22"/>
  <c r="V99" i="22"/>
  <c r="V103" i="22"/>
  <c r="V107" i="22"/>
  <c r="V111" i="22"/>
  <c r="V115" i="22"/>
  <c r="V119" i="22"/>
  <c r="V123" i="22"/>
  <c r="V127" i="22"/>
  <c r="V18" i="22"/>
  <c r="V34" i="22"/>
  <c r="V50" i="22"/>
  <c r="V66" i="22"/>
  <c r="V82" i="22"/>
  <c r="V98" i="22"/>
  <c r="V114" i="22"/>
  <c r="V54" i="22"/>
  <c r="V102" i="22"/>
  <c r="V26" i="22"/>
  <c r="V74" i="22"/>
  <c r="V106" i="22"/>
  <c r="V14" i="22"/>
  <c r="V30" i="22"/>
  <c r="V46" i="22"/>
  <c r="V62" i="22"/>
  <c r="V78" i="22"/>
  <c r="V94" i="22"/>
  <c r="V110" i="22"/>
  <c r="V126" i="22"/>
  <c r="V22" i="22"/>
  <c r="V38" i="22"/>
  <c r="V70" i="22"/>
  <c r="V86" i="22"/>
  <c r="V118" i="22"/>
  <c r="V10" i="22"/>
  <c r="V42" i="22"/>
  <c r="V58" i="22"/>
  <c r="V90" i="22"/>
  <c r="V122" i="22"/>
  <c r="W13" i="22"/>
  <c r="W17" i="22"/>
  <c r="W21" i="22"/>
  <c r="W25" i="22"/>
  <c r="W29" i="22"/>
  <c r="W33" i="22"/>
  <c r="W37" i="22"/>
  <c r="W41" i="22"/>
  <c r="W45" i="22"/>
  <c r="W49" i="22"/>
  <c r="W53" i="22"/>
  <c r="W57" i="22"/>
  <c r="W61" i="22"/>
  <c r="W65" i="22"/>
  <c r="W69" i="22"/>
  <c r="W73" i="22"/>
  <c r="W77" i="22"/>
  <c r="W81" i="22"/>
  <c r="W85" i="22"/>
  <c r="W89" i="22"/>
  <c r="W93" i="22"/>
  <c r="W97" i="22"/>
  <c r="W101" i="22"/>
  <c r="W105" i="22"/>
  <c r="W109" i="22"/>
  <c r="W113" i="22"/>
  <c r="W117" i="22"/>
  <c r="W121" i="22"/>
  <c r="W125" i="22"/>
  <c r="W129" i="22"/>
  <c r="W14" i="22"/>
  <c r="W18" i="22"/>
  <c r="W22" i="22"/>
  <c r="W26" i="22"/>
  <c r="W30" i="22"/>
  <c r="W34" i="22"/>
  <c r="W38" i="22"/>
  <c r="W42" i="22"/>
  <c r="W46" i="22"/>
  <c r="W50" i="22"/>
  <c r="W54" i="22"/>
  <c r="W58" i="22"/>
  <c r="W62" i="22"/>
  <c r="W66" i="22"/>
  <c r="W70" i="22"/>
  <c r="W74" i="22"/>
  <c r="W78" i="22"/>
  <c r="W82" i="22"/>
  <c r="W86" i="22"/>
  <c r="W90" i="22"/>
  <c r="W94" i="22"/>
  <c r="W98" i="22"/>
  <c r="W102" i="22"/>
  <c r="W106" i="22"/>
  <c r="W110" i="22"/>
  <c r="W114" i="22"/>
  <c r="W118" i="22"/>
  <c r="W122" i="22"/>
  <c r="W126" i="22"/>
  <c r="W10" i="22"/>
  <c r="W12" i="22"/>
  <c r="W16" i="22"/>
  <c r="W20" i="22"/>
  <c r="W24" i="22"/>
  <c r="W28" i="22"/>
  <c r="W32" i="22"/>
  <c r="W36" i="22"/>
  <c r="W40" i="22"/>
  <c r="W44" i="22"/>
  <c r="W48" i="22"/>
  <c r="W52" i="22"/>
  <c r="W56" i="22"/>
  <c r="W60" i="22"/>
  <c r="W64" i="22"/>
  <c r="W68" i="22"/>
  <c r="W72" i="22"/>
  <c r="W76" i="22"/>
  <c r="W80" i="22"/>
  <c r="W84" i="22"/>
  <c r="W88" i="22"/>
  <c r="W92" i="22"/>
  <c r="W96" i="22"/>
  <c r="W100" i="22"/>
  <c r="W104" i="22"/>
  <c r="W108" i="22"/>
  <c r="W112" i="22"/>
  <c r="W116" i="22"/>
  <c r="W120" i="22"/>
  <c r="W124" i="22"/>
  <c r="W128" i="22"/>
  <c r="W11" i="22"/>
  <c r="W27" i="22"/>
  <c r="W43" i="22"/>
  <c r="W59" i="22"/>
  <c r="W75" i="22"/>
  <c r="W91" i="22"/>
  <c r="W107" i="22"/>
  <c r="W123" i="22"/>
  <c r="W31" i="22"/>
  <c r="W63" i="22"/>
  <c r="W95" i="22"/>
  <c r="W127" i="22"/>
  <c r="W35" i="22"/>
  <c r="W83" i="22"/>
  <c r="W115" i="22"/>
  <c r="W23" i="22"/>
  <c r="W39" i="22"/>
  <c r="W55" i="22"/>
  <c r="W71" i="22"/>
  <c r="W87" i="22"/>
  <c r="W103" i="22"/>
  <c r="W119" i="22"/>
  <c r="W15" i="22"/>
  <c r="W47" i="22"/>
  <c r="W79" i="22"/>
  <c r="W111" i="22"/>
  <c r="W19" i="22"/>
  <c r="W51" i="22"/>
  <c r="W67" i="22"/>
  <c r="W99" i="22"/>
  <c r="AH22" i="22"/>
  <c r="AH26" i="22"/>
  <c r="AH30" i="22"/>
  <c r="AH34" i="22"/>
  <c r="AH38" i="22"/>
  <c r="AH42" i="22"/>
  <c r="AH46" i="22"/>
  <c r="AH50" i="22"/>
  <c r="AH54" i="22"/>
  <c r="AH58" i="22"/>
  <c r="AH62" i="22"/>
  <c r="AH66" i="22"/>
  <c r="AH70" i="22"/>
  <c r="AH74" i="22"/>
  <c r="AH78" i="22"/>
  <c r="AH82" i="22"/>
  <c r="AH86" i="22"/>
  <c r="AH90" i="22"/>
  <c r="AH94" i="22"/>
  <c r="AH98" i="22"/>
  <c r="AH102" i="22"/>
  <c r="AH106" i="22"/>
  <c r="AH110" i="22"/>
  <c r="AH114" i="22"/>
  <c r="AH118" i="22"/>
  <c r="AH122" i="22"/>
  <c r="AH126" i="22"/>
  <c r="AH130" i="22"/>
  <c r="AH134" i="22"/>
  <c r="AH138" i="22"/>
  <c r="AH23" i="22"/>
  <c r="AH27" i="22"/>
  <c r="AH31" i="22"/>
  <c r="AH35" i="22"/>
  <c r="AH39" i="22"/>
  <c r="AH43" i="22"/>
  <c r="AH47" i="22"/>
  <c r="AH51" i="22"/>
  <c r="AH55" i="22"/>
  <c r="AH59" i="22"/>
  <c r="AH63" i="22"/>
  <c r="AH67" i="22"/>
  <c r="AH71" i="22"/>
  <c r="AH75" i="22"/>
  <c r="AH79" i="22"/>
  <c r="AH83" i="22"/>
  <c r="AH87" i="22"/>
  <c r="AH91" i="22"/>
  <c r="AH95" i="22"/>
  <c r="AH99" i="22"/>
  <c r="AH103" i="22"/>
  <c r="AH107" i="22"/>
  <c r="AH111" i="22"/>
  <c r="AH115" i="22"/>
  <c r="AH119" i="22"/>
  <c r="AH123" i="22"/>
  <c r="AH127" i="22"/>
  <c r="AH131" i="22"/>
  <c r="AH135" i="22"/>
  <c r="AH139" i="22"/>
  <c r="AH25" i="22"/>
  <c r="AH29" i="22"/>
  <c r="AH33" i="22"/>
  <c r="AH37" i="22"/>
  <c r="AH41" i="22"/>
  <c r="AH45" i="22"/>
  <c r="AH49" i="22"/>
  <c r="AH53" i="22"/>
  <c r="AH57" i="22"/>
  <c r="AH61" i="22"/>
  <c r="AH65" i="22"/>
  <c r="AH69" i="22"/>
  <c r="AH73" i="22"/>
  <c r="AH77" i="22"/>
  <c r="AH81" i="22"/>
  <c r="AH85" i="22"/>
  <c r="AH89" i="22"/>
  <c r="AH93" i="22"/>
  <c r="AH97" i="22"/>
  <c r="AH101" i="22"/>
  <c r="AH105" i="22"/>
  <c r="AH109" i="22"/>
  <c r="AH113" i="22"/>
  <c r="AH117" i="22"/>
  <c r="AH121" i="22"/>
  <c r="AH125" i="22"/>
  <c r="AH129" i="22"/>
  <c r="AH133" i="22"/>
  <c r="AH137" i="22"/>
  <c r="AH21" i="22"/>
  <c r="AH36" i="22"/>
  <c r="AH52" i="22"/>
  <c r="AH68" i="22"/>
  <c r="AH84" i="22"/>
  <c r="AH100" i="22"/>
  <c r="AH116" i="22"/>
  <c r="AH132" i="22"/>
  <c r="AH24" i="22"/>
  <c r="AH40" i="22"/>
  <c r="AH56" i="22"/>
  <c r="AH72" i="22"/>
  <c r="AH88" i="22"/>
  <c r="AH104" i="22"/>
  <c r="AH120" i="22"/>
  <c r="AH136" i="22"/>
  <c r="AH32" i="22"/>
  <c r="AH48" i="22"/>
  <c r="AH64" i="22"/>
  <c r="AH80" i="22"/>
  <c r="AH96" i="22"/>
  <c r="AH112" i="22"/>
  <c r="AH128" i="22"/>
  <c r="AH44" i="22"/>
  <c r="AH108" i="22"/>
  <c r="AH76" i="22"/>
  <c r="AH60" i="22"/>
  <c r="AH124" i="22"/>
  <c r="AH28" i="22"/>
  <c r="AH92" i="22"/>
  <c r="AH140" i="22"/>
  <c r="AE19" i="22"/>
  <c r="AE23" i="22"/>
  <c r="AE27" i="22"/>
  <c r="AE31" i="22"/>
  <c r="AE35" i="22"/>
  <c r="AE39" i="22"/>
  <c r="AE43" i="22"/>
  <c r="AE20" i="22"/>
  <c r="AE24" i="22"/>
  <c r="AE28" i="22"/>
  <c r="AE32" i="22"/>
  <c r="AE36" i="22"/>
  <c r="AE40" i="22"/>
  <c r="AE44" i="22"/>
  <c r="AE22" i="22"/>
  <c r="AE26" i="22"/>
  <c r="AE30" i="22"/>
  <c r="AE34" i="22"/>
  <c r="AE38" i="22"/>
  <c r="AE42" i="22"/>
  <c r="AE46" i="22"/>
  <c r="AE50" i="22"/>
  <c r="AE54" i="22"/>
  <c r="AE58" i="22"/>
  <c r="AE62" i="22"/>
  <c r="AE66" i="22"/>
  <c r="AE70" i="22"/>
  <c r="AE74" i="22"/>
  <c r="AE78" i="22"/>
  <c r="AE82" i="22"/>
  <c r="AE86" i="22"/>
  <c r="AE90" i="22"/>
  <c r="AE94" i="22"/>
  <c r="AE98" i="22"/>
  <c r="AE102" i="22"/>
  <c r="AE106" i="22"/>
  <c r="AE110" i="22"/>
  <c r="AE114" i="22"/>
  <c r="AE118" i="22"/>
  <c r="AE122" i="22"/>
  <c r="AE126" i="22"/>
  <c r="AE130" i="22"/>
  <c r="AE134" i="22"/>
  <c r="AE18" i="22"/>
  <c r="AE25" i="22"/>
  <c r="AE41" i="22"/>
  <c r="AE49" i="22"/>
  <c r="AE55" i="22"/>
  <c r="AE60" i="22"/>
  <c r="AE65" i="22"/>
  <c r="AE71" i="22"/>
  <c r="AE76" i="22"/>
  <c r="AE81" i="22"/>
  <c r="AE87" i="22"/>
  <c r="AE92" i="22"/>
  <c r="AE97" i="22"/>
  <c r="AE103" i="22"/>
  <c r="AE108" i="22"/>
  <c r="AE113" i="22"/>
  <c r="AE119" i="22"/>
  <c r="AE124" i="22"/>
  <c r="AE129" i="22"/>
  <c r="AE135" i="22"/>
  <c r="AE29" i="22"/>
  <c r="AE45" i="22"/>
  <c r="AE51" i="22"/>
  <c r="AE56" i="22"/>
  <c r="AE61" i="22"/>
  <c r="AE67" i="22"/>
  <c r="AE72" i="22"/>
  <c r="AE77" i="22"/>
  <c r="AE83" i="22"/>
  <c r="AE88" i="22"/>
  <c r="AE93" i="22"/>
  <c r="AE99" i="22"/>
  <c r="AE104" i="22"/>
  <c r="AE109" i="22"/>
  <c r="AE115" i="22"/>
  <c r="AE120" i="22"/>
  <c r="AE125" i="22"/>
  <c r="AE131" i="22"/>
  <c r="AE136" i="22"/>
  <c r="AE21" i="22"/>
  <c r="AE37" i="22"/>
  <c r="AE48" i="22"/>
  <c r="AE53" i="22"/>
  <c r="AE59" i="22"/>
  <c r="AE64" i="22"/>
  <c r="AE69" i="22"/>
  <c r="AE75" i="22"/>
  <c r="AE80" i="22"/>
  <c r="AE85" i="22"/>
  <c r="AE91" i="22"/>
  <c r="AE96" i="22"/>
  <c r="AE101" i="22"/>
  <c r="AE107" i="22"/>
  <c r="AE112" i="22"/>
  <c r="AE117" i="22"/>
  <c r="AE123" i="22"/>
  <c r="AE128" i="22"/>
  <c r="AE133" i="22"/>
  <c r="AE52" i="22"/>
  <c r="AE73" i="22"/>
  <c r="AE95" i="22"/>
  <c r="AE116" i="22"/>
  <c r="AE137" i="22"/>
  <c r="AE105" i="22"/>
  <c r="AE57" i="22"/>
  <c r="AE79" i="22"/>
  <c r="AE100" i="22"/>
  <c r="AE121" i="22"/>
  <c r="AE63" i="22"/>
  <c r="AE47" i="22"/>
  <c r="AE68" i="22"/>
  <c r="AE89" i="22"/>
  <c r="AE111" i="22"/>
  <c r="AE132" i="22"/>
  <c r="AE33" i="22"/>
  <c r="AE84" i="22"/>
  <c r="AE127" i="22"/>
  <c r="AL29" i="22"/>
  <c r="AL33" i="22"/>
  <c r="AL37" i="22"/>
  <c r="AL41" i="22"/>
  <c r="AL45" i="22"/>
  <c r="AL49" i="22"/>
  <c r="AL53" i="22"/>
  <c r="AL57" i="22"/>
  <c r="AL61" i="22"/>
  <c r="AL65" i="22"/>
  <c r="AL69" i="22"/>
  <c r="AL73" i="22"/>
  <c r="AL77" i="22"/>
  <c r="AL81" i="22"/>
  <c r="AL85" i="22"/>
  <c r="AL89" i="22"/>
  <c r="AL93" i="22"/>
  <c r="AL97" i="22"/>
  <c r="AL101" i="22"/>
  <c r="AL105" i="22"/>
  <c r="AL109" i="22"/>
  <c r="AL113" i="22"/>
  <c r="AL117" i="22"/>
  <c r="AL121" i="22"/>
  <c r="AL125" i="22"/>
  <c r="AL129" i="22"/>
  <c r="AL133" i="22"/>
  <c r="AL137" i="22"/>
  <c r="AL141" i="22"/>
  <c r="AL25" i="22"/>
  <c r="AL26" i="22"/>
  <c r="AL30" i="22"/>
  <c r="AL34" i="22"/>
  <c r="AL38" i="22"/>
  <c r="AL42" i="22"/>
  <c r="AL46" i="22"/>
  <c r="AL50" i="22"/>
  <c r="AL54" i="22"/>
  <c r="AL58" i="22"/>
  <c r="AL62" i="22"/>
  <c r="AL66" i="22"/>
  <c r="AL70" i="22"/>
  <c r="AL74" i="22"/>
  <c r="AL78" i="22"/>
  <c r="AL82" i="22"/>
  <c r="AL86" i="22"/>
  <c r="AL90" i="22"/>
  <c r="AL94" i="22"/>
  <c r="AL98" i="22"/>
  <c r="AL102" i="22"/>
  <c r="AL106" i="22"/>
  <c r="AL110" i="22"/>
  <c r="AL114" i="22"/>
  <c r="AL118" i="22"/>
  <c r="AL122" i="22"/>
  <c r="AL126" i="22"/>
  <c r="AL130" i="22"/>
  <c r="AL134" i="22"/>
  <c r="AL138" i="22"/>
  <c r="AL142" i="22"/>
  <c r="AL28" i="22"/>
  <c r="AL32" i="22"/>
  <c r="AL36" i="22"/>
  <c r="AL40" i="22"/>
  <c r="AL44" i="22"/>
  <c r="AL48" i="22"/>
  <c r="AL52" i="22"/>
  <c r="AL56" i="22"/>
  <c r="AL60" i="22"/>
  <c r="AL64" i="22"/>
  <c r="AL68" i="22"/>
  <c r="AL72" i="22"/>
  <c r="AL76" i="22"/>
  <c r="AL80" i="22"/>
  <c r="AL84" i="22"/>
  <c r="AL88" i="22"/>
  <c r="AL92" i="22"/>
  <c r="AL96" i="22"/>
  <c r="AL100" i="22"/>
  <c r="AL104" i="22"/>
  <c r="AL108" i="22"/>
  <c r="AL112" i="22"/>
  <c r="AL116" i="22"/>
  <c r="AL120" i="22"/>
  <c r="AL124" i="22"/>
  <c r="AL128" i="22"/>
  <c r="AL132" i="22"/>
  <c r="AL136" i="22"/>
  <c r="AL140" i="22"/>
  <c r="AL144" i="22"/>
  <c r="AL35" i="22"/>
  <c r="AL51" i="22"/>
  <c r="AL67" i="22"/>
  <c r="AL83" i="22"/>
  <c r="AL99" i="22"/>
  <c r="AL115" i="22"/>
  <c r="AL131" i="22"/>
  <c r="AL39" i="22"/>
  <c r="AL55" i="22"/>
  <c r="AL71" i="22"/>
  <c r="AL87" i="22"/>
  <c r="AL103" i="22"/>
  <c r="AL119" i="22"/>
  <c r="AL135" i="22"/>
  <c r="AL31" i="22"/>
  <c r="AL63" i="22"/>
  <c r="AL95" i="22"/>
  <c r="AL127" i="22"/>
  <c r="AL43" i="22"/>
  <c r="AL75" i="22"/>
  <c r="AL107" i="22"/>
  <c r="AL139" i="22"/>
  <c r="AL27" i="22"/>
  <c r="AL59" i="22"/>
  <c r="AL91" i="22"/>
  <c r="AL123" i="22"/>
  <c r="AL111" i="22"/>
  <c r="AL143" i="22"/>
  <c r="AL79" i="22"/>
  <c r="AL47" i="22"/>
  <c r="AC19" i="22"/>
  <c r="AC23" i="22"/>
  <c r="AC27" i="22"/>
  <c r="AC31" i="22"/>
  <c r="AC35" i="22"/>
  <c r="AC39" i="22"/>
  <c r="AC43" i="22"/>
  <c r="AC47" i="22"/>
  <c r="AC51" i="22"/>
  <c r="AC55" i="22"/>
  <c r="AC59" i="22"/>
  <c r="AC63" i="22"/>
  <c r="AC67" i="22"/>
  <c r="AC71" i="22"/>
  <c r="AC75" i="22"/>
  <c r="AC79" i="22"/>
  <c r="AC83" i="22"/>
  <c r="AC87" i="22"/>
  <c r="AC91" i="22"/>
  <c r="AC95" i="22"/>
  <c r="AC99" i="22"/>
  <c r="AC103" i="22"/>
  <c r="AC107" i="22"/>
  <c r="AC111" i="22"/>
  <c r="AC115" i="22"/>
  <c r="AC119" i="22"/>
  <c r="AC123" i="22"/>
  <c r="AC127" i="22"/>
  <c r="AC131" i="22"/>
  <c r="AC135" i="22"/>
  <c r="AC20" i="22"/>
  <c r="AC24" i="22"/>
  <c r="AC28" i="22"/>
  <c r="AC32" i="22"/>
  <c r="AC36" i="22"/>
  <c r="AC40" i="22"/>
  <c r="AC44" i="22"/>
  <c r="AC48" i="22"/>
  <c r="AC52" i="22"/>
  <c r="AC56" i="22"/>
  <c r="AC60" i="22"/>
  <c r="AC64" i="22"/>
  <c r="AC68" i="22"/>
  <c r="AC72" i="22"/>
  <c r="AC76" i="22"/>
  <c r="AC80" i="22"/>
  <c r="AC84" i="22"/>
  <c r="AC88" i="22"/>
  <c r="AC92" i="22"/>
  <c r="AC96" i="22"/>
  <c r="AC100" i="22"/>
  <c r="AC104" i="22"/>
  <c r="AC108" i="22"/>
  <c r="AC112" i="22"/>
  <c r="AC116" i="22"/>
  <c r="AC120" i="22"/>
  <c r="AC124" i="22"/>
  <c r="AC128" i="22"/>
  <c r="AC132" i="22"/>
  <c r="AC16" i="22"/>
  <c r="AC18" i="22"/>
  <c r="AC22" i="22"/>
  <c r="AC26" i="22"/>
  <c r="AC30" i="22"/>
  <c r="AC34" i="22"/>
  <c r="AC38" i="22"/>
  <c r="AC42" i="22"/>
  <c r="AC46" i="22"/>
  <c r="AC50" i="22"/>
  <c r="AC54" i="22"/>
  <c r="AC58" i="22"/>
  <c r="AC62" i="22"/>
  <c r="AC66" i="22"/>
  <c r="AC70" i="22"/>
  <c r="AC74" i="22"/>
  <c r="AC78" i="22"/>
  <c r="AC82" i="22"/>
  <c r="AC86" i="22"/>
  <c r="AC90" i="22"/>
  <c r="AC94" i="22"/>
  <c r="AC98" i="22"/>
  <c r="AC102" i="22"/>
  <c r="AC106" i="22"/>
  <c r="AC110" i="22"/>
  <c r="AC114" i="22"/>
  <c r="AC118" i="22"/>
  <c r="AC122" i="22"/>
  <c r="AC126" i="22"/>
  <c r="AC130" i="22"/>
  <c r="AC134" i="22"/>
  <c r="AC29" i="22"/>
  <c r="AC45" i="22"/>
  <c r="AC61" i="22"/>
  <c r="AC77" i="22"/>
  <c r="AC93" i="22"/>
  <c r="AC109" i="22"/>
  <c r="AC125" i="22"/>
  <c r="AC53" i="22"/>
  <c r="AC117" i="22"/>
  <c r="AC17" i="22"/>
  <c r="AC33" i="22"/>
  <c r="AC49" i="22"/>
  <c r="AC65" i="22"/>
  <c r="AC81" i="22"/>
  <c r="AC97" i="22"/>
  <c r="AC113" i="22"/>
  <c r="AC129" i="22"/>
  <c r="AC37" i="22"/>
  <c r="AC101" i="22"/>
  <c r="AC25" i="22"/>
  <c r="AC41" i="22"/>
  <c r="AC57" i="22"/>
  <c r="AC73" i="22"/>
  <c r="AC89" i="22"/>
  <c r="AC105" i="22"/>
  <c r="AC121" i="22"/>
  <c r="AC21" i="22"/>
  <c r="AC69" i="22"/>
  <c r="AC85" i="22"/>
  <c r="AC133" i="22"/>
  <c r="AG21" i="22"/>
  <c r="AG25" i="22"/>
  <c r="AG29" i="22"/>
  <c r="AG33" i="22"/>
  <c r="AG37" i="22"/>
  <c r="AG41" i="22"/>
  <c r="AG45" i="22"/>
  <c r="AG49" i="22"/>
  <c r="AG53" i="22"/>
  <c r="AG57" i="22"/>
  <c r="AG61" i="22"/>
  <c r="AG65" i="22"/>
  <c r="AG69" i="22"/>
  <c r="AG73" i="22"/>
  <c r="AG77" i="22"/>
  <c r="AG81" i="22"/>
  <c r="AG85" i="22"/>
  <c r="AG89" i="22"/>
  <c r="AG93" i="22"/>
  <c r="AG97" i="22"/>
  <c r="AG101" i="22"/>
  <c r="AG105" i="22"/>
  <c r="AG109" i="22"/>
  <c r="AG113" i="22"/>
  <c r="AG117" i="22"/>
  <c r="AG121" i="22"/>
  <c r="AG125" i="22"/>
  <c r="AG129" i="22"/>
  <c r="AG133" i="22"/>
  <c r="AG137" i="22"/>
  <c r="AG22" i="22"/>
  <c r="AG26" i="22"/>
  <c r="AG30" i="22"/>
  <c r="AG34" i="22"/>
  <c r="AG38" i="22"/>
  <c r="AG42" i="22"/>
  <c r="AG46" i="22"/>
  <c r="AG50" i="22"/>
  <c r="AG54" i="22"/>
  <c r="AG58" i="22"/>
  <c r="AG62" i="22"/>
  <c r="AG66" i="22"/>
  <c r="AG70" i="22"/>
  <c r="AG74" i="22"/>
  <c r="AG78" i="22"/>
  <c r="AG82" i="22"/>
  <c r="AG86" i="22"/>
  <c r="AG90" i="22"/>
  <c r="AG94" i="22"/>
  <c r="AG98" i="22"/>
  <c r="AG102" i="22"/>
  <c r="AG106" i="22"/>
  <c r="AG110" i="22"/>
  <c r="AG114" i="22"/>
  <c r="AG118" i="22"/>
  <c r="AG122" i="22"/>
  <c r="AG126" i="22"/>
  <c r="AG130" i="22"/>
  <c r="AG134" i="22"/>
  <c r="AG138" i="22"/>
  <c r="AG24" i="22"/>
  <c r="AG28" i="22"/>
  <c r="AG32" i="22"/>
  <c r="AG36" i="22"/>
  <c r="AG40" i="22"/>
  <c r="AG44" i="22"/>
  <c r="AG48" i="22"/>
  <c r="AG52" i="22"/>
  <c r="AG56" i="22"/>
  <c r="AG60" i="22"/>
  <c r="AG64" i="22"/>
  <c r="AG68" i="22"/>
  <c r="AG72" i="22"/>
  <c r="AG76" i="22"/>
  <c r="AG80" i="22"/>
  <c r="AG84" i="22"/>
  <c r="AG88" i="22"/>
  <c r="AG92" i="22"/>
  <c r="AG96" i="22"/>
  <c r="AG100" i="22"/>
  <c r="AG104" i="22"/>
  <c r="AG108" i="22"/>
  <c r="AG112" i="22"/>
  <c r="AG116" i="22"/>
  <c r="AG120" i="22"/>
  <c r="AG124" i="22"/>
  <c r="AG128" i="22"/>
  <c r="AG132" i="22"/>
  <c r="AG136" i="22"/>
  <c r="AG20" i="22"/>
  <c r="AG27" i="22"/>
  <c r="AG43" i="22"/>
  <c r="AG59" i="22"/>
  <c r="AG75" i="22"/>
  <c r="AG91" i="22"/>
  <c r="AG107" i="22"/>
  <c r="AG123" i="22"/>
  <c r="AG139" i="22"/>
  <c r="AG31" i="22"/>
  <c r="AG47" i="22"/>
  <c r="AG63" i="22"/>
  <c r="AG79" i="22"/>
  <c r="AG95" i="22"/>
  <c r="AG111" i="22"/>
  <c r="AG127" i="22"/>
  <c r="AG23" i="22"/>
  <c r="AG39" i="22"/>
  <c r="AG55" i="22"/>
  <c r="AG71" i="22"/>
  <c r="AG87" i="22"/>
  <c r="AG103" i="22"/>
  <c r="AG119" i="22"/>
  <c r="AG135" i="22"/>
  <c r="AG51" i="22"/>
  <c r="AG115" i="22"/>
  <c r="AG67" i="22"/>
  <c r="AG131" i="22"/>
  <c r="AG83" i="22"/>
  <c r="AG35" i="22"/>
  <c r="AG99" i="22"/>
  <c r="T10" i="22"/>
  <c r="T14" i="22"/>
  <c r="T18" i="22"/>
  <c r="T22" i="22"/>
  <c r="T26" i="22"/>
  <c r="T30" i="22"/>
  <c r="T34" i="22"/>
  <c r="T38" i="22"/>
  <c r="T42" i="22"/>
  <c r="T46" i="22"/>
  <c r="T50" i="22"/>
  <c r="T54" i="22"/>
  <c r="T58" i="22"/>
  <c r="T62" i="22"/>
  <c r="T66" i="22"/>
  <c r="T70" i="22"/>
  <c r="T74" i="22"/>
  <c r="T78" i="22"/>
  <c r="T82" i="22"/>
  <c r="T86" i="22"/>
  <c r="T90" i="22"/>
  <c r="T94" i="22"/>
  <c r="T98" i="22"/>
  <c r="T102" i="22"/>
  <c r="T106" i="22"/>
  <c r="T110" i="22"/>
  <c r="T114" i="22"/>
  <c r="T118" i="22"/>
  <c r="T122" i="22"/>
  <c r="T126" i="22"/>
  <c r="T11" i="22"/>
  <c r="T15" i="22"/>
  <c r="T19" i="22"/>
  <c r="T23" i="22"/>
  <c r="T27" i="22"/>
  <c r="T31" i="22"/>
  <c r="T35" i="22"/>
  <c r="T39" i="22"/>
  <c r="T43" i="22"/>
  <c r="T47" i="22"/>
  <c r="T51" i="22"/>
  <c r="T55" i="22"/>
  <c r="T59" i="22"/>
  <c r="T63" i="22"/>
  <c r="T67" i="22"/>
  <c r="T71" i="22"/>
  <c r="T75" i="22"/>
  <c r="T79" i="22"/>
  <c r="T83" i="22"/>
  <c r="T87" i="22"/>
  <c r="T91" i="22"/>
  <c r="T95" i="22"/>
  <c r="T99" i="22"/>
  <c r="T103" i="22"/>
  <c r="T107" i="22"/>
  <c r="T111" i="22"/>
  <c r="T115" i="22"/>
  <c r="T119" i="22"/>
  <c r="T123" i="22"/>
  <c r="T7" i="22"/>
  <c r="T9" i="22"/>
  <c r="T13" i="22"/>
  <c r="T17" i="22"/>
  <c r="T21" i="22"/>
  <c r="T25" i="22"/>
  <c r="T29" i="22"/>
  <c r="T33" i="22"/>
  <c r="T37" i="22"/>
  <c r="T41" i="22"/>
  <c r="T45" i="22"/>
  <c r="T49" i="22"/>
  <c r="T53" i="22"/>
  <c r="T57" i="22"/>
  <c r="T61" i="22"/>
  <c r="T65" i="22"/>
  <c r="T69" i="22"/>
  <c r="T73" i="22"/>
  <c r="T77" i="22"/>
  <c r="T81" i="22"/>
  <c r="T85" i="22"/>
  <c r="T89" i="22"/>
  <c r="T93" i="22"/>
  <c r="T97" i="22"/>
  <c r="T101" i="22"/>
  <c r="T105" i="22"/>
  <c r="T109" i="22"/>
  <c r="T113" i="22"/>
  <c r="T117" i="22"/>
  <c r="T121" i="22"/>
  <c r="T125" i="22"/>
  <c r="T16" i="22"/>
  <c r="T32" i="22"/>
  <c r="T48" i="22"/>
  <c r="T64" i="22"/>
  <c r="T80" i="22"/>
  <c r="T96" i="22"/>
  <c r="T112" i="22"/>
  <c r="T36" i="22"/>
  <c r="T84" i="22"/>
  <c r="T116" i="22"/>
  <c r="T40" i="22"/>
  <c r="T72" i="22"/>
  <c r="T104" i="22"/>
  <c r="T12" i="22"/>
  <c r="T28" i="22"/>
  <c r="T44" i="22"/>
  <c r="T60" i="22"/>
  <c r="T76" i="22"/>
  <c r="T92" i="22"/>
  <c r="T108" i="22"/>
  <c r="T124" i="22"/>
  <c r="T20" i="22"/>
  <c r="T52" i="22"/>
  <c r="T68" i="22"/>
  <c r="T100" i="22"/>
  <c r="T8" i="22"/>
  <c r="T24" i="22"/>
  <c r="T56" i="22"/>
  <c r="T88" i="22"/>
  <c r="T120" i="22"/>
  <c r="Z15" i="22"/>
  <c r="Z19" i="22"/>
  <c r="Z23" i="22"/>
  <c r="Z27" i="22"/>
  <c r="Z31" i="22"/>
  <c r="Z35" i="22"/>
  <c r="Z39" i="22"/>
  <c r="Z43" i="22"/>
  <c r="Z47" i="22"/>
  <c r="Z51" i="22"/>
  <c r="Z55" i="22"/>
  <c r="Z59" i="22"/>
  <c r="Z63" i="22"/>
  <c r="Z67" i="22"/>
  <c r="Z71" i="22"/>
  <c r="Z75" i="22"/>
  <c r="Z79" i="22"/>
  <c r="Z83" i="22"/>
  <c r="Z87" i="22"/>
  <c r="Z91" i="22"/>
  <c r="Z95" i="22"/>
  <c r="Z99" i="22"/>
  <c r="Z103" i="22"/>
  <c r="Z107" i="22"/>
  <c r="Z111" i="22"/>
  <c r="Z115" i="22"/>
  <c r="Z119" i="22"/>
  <c r="Z123" i="22"/>
  <c r="Z127" i="22"/>
  <c r="Z131" i="22"/>
  <c r="Z16" i="22"/>
  <c r="Z21" i="22"/>
  <c r="Z26" i="22"/>
  <c r="Z32" i="22"/>
  <c r="Z37" i="22"/>
  <c r="Z42" i="22"/>
  <c r="Z48" i="22"/>
  <c r="Z53" i="22"/>
  <c r="Z58" i="22"/>
  <c r="Z64" i="22"/>
  <c r="Z69" i="22"/>
  <c r="Z74" i="22"/>
  <c r="Z80" i="22"/>
  <c r="Z85" i="22"/>
  <c r="Z90" i="22"/>
  <c r="Z96" i="22"/>
  <c r="Z101" i="22"/>
  <c r="Z106" i="22"/>
  <c r="Z112" i="22"/>
  <c r="Z117" i="22"/>
  <c r="Z122" i="22"/>
  <c r="Z128" i="22"/>
  <c r="Z13" i="22"/>
  <c r="Z40" i="22"/>
  <c r="Z56" i="22"/>
  <c r="Z88" i="22"/>
  <c r="Z109" i="22"/>
  <c r="Z130" i="22"/>
  <c r="Z17" i="22"/>
  <c r="Z22" i="22"/>
  <c r="Z28" i="22"/>
  <c r="Z33" i="22"/>
  <c r="Z38" i="22"/>
  <c r="Z44" i="22"/>
  <c r="Z49" i="22"/>
  <c r="Z54" i="22"/>
  <c r="Z60" i="22"/>
  <c r="Z65" i="22"/>
  <c r="Z70" i="22"/>
  <c r="Z76" i="22"/>
  <c r="Z81" i="22"/>
  <c r="Z86" i="22"/>
  <c r="Z92" i="22"/>
  <c r="Z97" i="22"/>
  <c r="Z102" i="22"/>
  <c r="Z108" i="22"/>
  <c r="Z113" i="22"/>
  <c r="Z118" i="22"/>
  <c r="Z124" i="22"/>
  <c r="Z129" i="22"/>
  <c r="Z18" i="22"/>
  <c r="Z34" i="22"/>
  <c r="Z61" i="22"/>
  <c r="Z77" i="22"/>
  <c r="Z98" i="22"/>
  <c r="Z120" i="22"/>
  <c r="Z14" i="22"/>
  <c r="Z20" i="22"/>
  <c r="Z25" i="22"/>
  <c r="Z30" i="22"/>
  <c r="Z36" i="22"/>
  <c r="Z41" i="22"/>
  <c r="Z46" i="22"/>
  <c r="Z52" i="22"/>
  <c r="Z57" i="22"/>
  <c r="Z62" i="22"/>
  <c r="Z68" i="22"/>
  <c r="Z73" i="22"/>
  <c r="Z78" i="22"/>
  <c r="Z84" i="22"/>
  <c r="Z89" i="22"/>
  <c r="Z94" i="22"/>
  <c r="Z100" i="22"/>
  <c r="Z105" i="22"/>
  <c r="Z110" i="22"/>
  <c r="Z116" i="22"/>
  <c r="Z121" i="22"/>
  <c r="Z126" i="22"/>
  <c r="Z132" i="22"/>
  <c r="Z24" i="22"/>
  <c r="Z29" i="22"/>
  <c r="Z45" i="22"/>
  <c r="Z50" i="22"/>
  <c r="Z66" i="22"/>
  <c r="Z72" i="22"/>
  <c r="Z82" i="22"/>
  <c r="Z93" i="22"/>
  <c r="Z104" i="22"/>
  <c r="Z114" i="22"/>
  <c r="Z125" i="22"/>
  <c r="AM27" i="22"/>
  <c r="AM31" i="22"/>
  <c r="AM35" i="22"/>
  <c r="AM39" i="22"/>
  <c r="AM43" i="22"/>
  <c r="AM47" i="22"/>
  <c r="AM51" i="22"/>
  <c r="AM55" i="22"/>
  <c r="AM59" i="22"/>
  <c r="AM63" i="22"/>
  <c r="AM67" i="22"/>
  <c r="AM71" i="22"/>
  <c r="AM75" i="22"/>
  <c r="AM79" i="22"/>
  <c r="AM83" i="22"/>
  <c r="AM87" i="22"/>
  <c r="AM91" i="22"/>
  <c r="AM95" i="22"/>
  <c r="AM99" i="22"/>
  <c r="AM103" i="22"/>
  <c r="AM107" i="22"/>
  <c r="AM111" i="22"/>
  <c r="AM115" i="22"/>
  <c r="AM119" i="22"/>
  <c r="AM123" i="22"/>
  <c r="AM28" i="22"/>
  <c r="AM32" i="22"/>
  <c r="AM36" i="22"/>
  <c r="AM40" i="22"/>
  <c r="AM44" i="22"/>
  <c r="AM48" i="22"/>
  <c r="AM52" i="22"/>
  <c r="AM56" i="22"/>
  <c r="AM60" i="22"/>
  <c r="AM64" i="22"/>
  <c r="AM68" i="22"/>
  <c r="AM72" i="22"/>
  <c r="AM76" i="22"/>
  <c r="AM80" i="22"/>
  <c r="AM84" i="22"/>
  <c r="AM88" i="22"/>
  <c r="AM92" i="22"/>
  <c r="AM96" i="22"/>
  <c r="AM100" i="22"/>
  <c r="AM104" i="22"/>
  <c r="AM108" i="22"/>
  <c r="AM112" i="22"/>
  <c r="AM116" i="22"/>
  <c r="AM120" i="22"/>
  <c r="AM124" i="22"/>
  <c r="AM30" i="22"/>
  <c r="AM34" i="22"/>
  <c r="AM38" i="22"/>
  <c r="AM42" i="22"/>
  <c r="AM46" i="22"/>
  <c r="AM50" i="22"/>
  <c r="AM54" i="22"/>
  <c r="AM58" i="22"/>
  <c r="AM62" i="22"/>
  <c r="AM66" i="22"/>
  <c r="AM70" i="22"/>
  <c r="AM74" i="22"/>
  <c r="AM78" i="22"/>
  <c r="AM82" i="22"/>
  <c r="AM86" i="22"/>
  <c r="AM90" i="22"/>
  <c r="AM94" i="22"/>
  <c r="AM98" i="22"/>
  <c r="AM102" i="22"/>
  <c r="AM106" i="22"/>
  <c r="AM110" i="22"/>
  <c r="AM114" i="22"/>
  <c r="AM118" i="22"/>
  <c r="AM122" i="22"/>
  <c r="AM126" i="22"/>
  <c r="AM29" i="22"/>
  <c r="AM45" i="22"/>
  <c r="AM61" i="22"/>
  <c r="AM77" i="22"/>
  <c r="AM93" i="22"/>
  <c r="AM109" i="22"/>
  <c r="AM125" i="22"/>
  <c r="AM130" i="22"/>
  <c r="AM134" i="22"/>
  <c r="AM138" i="22"/>
  <c r="AM142" i="22"/>
  <c r="AM26" i="22"/>
  <c r="AM33" i="22"/>
  <c r="AM49" i="22"/>
  <c r="AM65" i="22"/>
  <c r="AM81" i="22"/>
  <c r="AM97" i="22"/>
  <c r="AM113" i="22"/>
  <c r="AM127" i="22"/>
  <c r="AM131" i="22"/>
  <c r="AM135" i="22"/>
  <c r="AM139" i="22"/>
  <c r="AM143" i="22"/>
  <c r="AM41" i="22"/>
  <c r="AM57" i="22"/>
  <c r="AM73" i="22"/>
  <c r="AM89" i="22"/>
  <c r="AM105" i="22"/>
  <c r="AM121" i="22"/>
  <c r="AM129" i="22"/>
  <c r="AM133" i="22"/>
  <c r="AM137" i="22"/>
  <c r="AM141" i="22"/>
  <c r="AM145" i="22"/>
  <c r="AM53" i="22"/>
  <c r="AM117" i="22"/>
  <c r="AM140" i="22"/>
  <c r="AM69" i="22"/>
  <c r="AM128" i="22"/>
  <c r="AM144" i="22"/>
  <c r="AM37" i="22"/>
  <c r="AM101" i="22"/>
  <c r="AM85" i="22"/>
  <c r="AM132" i="22"/>
  <c r="AM136" i="22"/>
  <c r="U11" i="22"/>
  <c r="U15" i="22"/>
  <c r="U19" i="22"/>
  <c r="U23" i="22"/>
  <c r="U27" i="22"/>
  <c r="U31" i="22"/>
  <c r="U35" i="22"/>
  <c r="U39" i="22"/>
  <c r="U43" i="22"/>
  <c r="U47" i="22"/>
  <c r="U51" i="22"/>
  <c r="U55" i="22"/>
  <c r="U59" i="22"/>
  <c r="U63" i="22"/>
  <c r="U67" i="22"/>
  <c r="U71" i="22"/>
  <c r="U75" i="22"/>
  <c r="U79" i="22"/>
  <c r="U83" i="22"/>
  <c r="U87" i="22"/>
  <c r="U91" i="22"/>
  <c r="U95" i="22"/>
  <c r="U99" i="22"/>
  <c r="U103" i="22"/>
  <c r="U107" i="22"/>
  <c r="U111" i="22"/>
  <c r="U115" i="22"/>
  <c r="U119" i="22"/>
  <c r="U123" i="22"/>
  <c r="U127" i="22"/>
  <c r="U12" i="22"/>
  <c r="U16" i="22"/>
  <c r="U20" i="22"/>
  <c r="U24" i="22"/>
  <c r="U28" i="22"/>
  <c r="U32" i="22"/>
  <c r="U36" i="22"/>
  <c r="U40" i="22"/>
  <c r="U44" i="22"/>
  <c r="U48" i="22"/>
  <c r="U52" i="22"/>
  <c r="U56" i="22"/>
  <c r="U60" i="22"/>
  <c r="U64" i="22"/>
  <c r="U68" i="22"/>
  <c r="U72" i="22"/>
  <c r="U76" i="22"/>
  <c r="U80" i="22"/>
  <c r="U84" i="22"/>
  <c r="U88" i="22"/>
  <c r="U92" i="22"/>
  <c r="U96" i="22"/>
  <c r="U100" i="22"/>
  <c r="U104" i="22"/>
  <c r="U108" i="22"/>
  <c r="U112" i="22"/>
  <c r="U116" i="22"/>
  <c r="U120" i="22"/>
  <c r="U124" i="22"/>
  <c r="U8" i="22"/>
  <c r="U10" i="22"/>
  <c r="U14" i="22"/>
  <c r="U18" i="22"/>
  <c r="U22" i="22"/>
  <c r="U26" i="22"/>
  <c r="U30" i="22"/>
  <c r="U34" i="22"/>
  <c r="U38" i="22"/>
  <c r="U42" i="22"/>
  <c r="U46" i="22"/>
  <c r="U50" i="22"/>
  <c r="U54" i="22"/>
  <c r="U58" i="22"/>
  <c r="U62" i="22"/>
  <c r="U66" i="22"/>
  <c r="U70" i="22"/>
  <c r="U74" i="22"/>
  <c r="U78" i="22"/>
  <c r="U82" i="22"/>
  <c r="U86" i="22"/>
  <c r="U90" i="22"/>
  <c r="U94" i="22"/>
  <c r="U98" i="22"/>
  <c r="U102" i="22"/>
  <c r="U106" i="22"/>
  <c r="U110" i="22"/>
  <c r="U114" i="22"/>
  <c r="U118" i="22"/>
  <c r="U122" i="22"/>
  <c r="U126" i="22"/>
  <c r="U9" i="22"/>
  <c r="U25" i="22"/>
  <c r="U41" i="22"/>
  <c r="U57" i="22"/>
  <c r="U73" i="22"/>
  <c r="U89" i="22"/>
  <c r="U105" i="22"/>
  <c r="U121" i="22"/>
  <c r="U29" i="22"/>
  <c r="U61" i="22"/>
  <c r="U109" i="22"/>
  <c r="U17" i="22"/>
  <c r="U65" i="22"/>
  <c r="U113" i="22"/>
  <c r="U21" i="22"/>
  <c r="U37" i="22"/>
  <c r="U53" i="22"/>
  <c r="U69" i="22"/>
  <c r="U85" i="22"/>
  <c r="U101" i="22"/>
  <c r="U117" i="22"/>
  <c r="U13" i="22"/>
  <c r="U45" i="22"/>
  <c r="U77" i="22"/>
  <c r="U93" i="22"/>
  <c r="U125" i="22"/>
  <c r="U33" i="22"/>
  <c r="U49" i="22"/>
  <c r="U81" i="22"/>
  <c r="U97" i="22"/>
  <c r="AK28" i="22"/>
  <c r="AK32" i="22"/>
  <c r="AK36" i="22"/>
  <c r="AK40" i="22"/>
  <c r="AK44" i="22"/>
  <c r="AK48" i="22"/>
  <c r="AK52" i="22"/>
  <c r="AK56" i="22"/>
  <c r="AK60" i="22"/>
  <c r="AK64" i="22"/>
  <c r="AK68" i="22"/>
  <c r="AK72" i="22"/>
  <c r="AK76" i="22"/>
  <c r="AK80" i="22"/>
  <c r="AK84" i="22"/>
  <c r="AK88" i="22"/>
  <c r="AK92" i="22"/>
  <c r="AK96" i="22"/>
  <c r="AK100" i="22"/>
  <c r="AK104" i="22"/>
  <c r="AK108" i="22"/>
  <c r="AK112" i="22"/>
  <c r="AK116" i="22"/>
  <c r="AK120" i="22"/>
  <c r="AK124" i="22"/>
  <c r="AK128" i="22"/>
  <c r="AK132" i="22"/>
  <c r="AK136" i="22"/>
  <c r="AK140" i="22"/>
  <c r="AK27" i="22"/>
  <c r="AK31" i="22"/>
  <c r="AK35" i="22"/>
  <c r="AK39" i="22"/>
  <c r="AK43" i="22"/>
  <c r="AK47" i="22"/>
  <c r="AK51" i="22"/>
  <c r="AK55" i="22"/>
  <c r="AK59" i="22"/>
  <c r="AK63" i="22"/>
  <c r="AK67" i="22"/>
  <c r="AK71" i="22"/>
  <c r="AK75" i="22"/>
  <c r="AK79" i="22"/>
  <c r="AK83" i="22"/>
  <c r="AK87" i="22"/>
  <c r="AK91" i="22"/>
  <c r="AK95" i="22"/>
  <c r="AK99" i="22"/>
  <c r="AK103" i="22"/>
  <c r="AK107" i="22"/>
  <c r="AK111" i="22"/>
  <c r="AK115" i="22"/>
  <c r="AK119" i="22"/>
  <c r="AK123" i="22"/>
  <c r="AK127" i="22"/>
  <c r="AK131" i="22"/>
  <c r="AK135" i="22"/>
  <c r="AK139" i="22"/>
  <c r="AK25" i="22"/>
  <c r="AK33" i="22"/>
  <c r="AK41" i="22"/>
  <c r="AK49" i="22"/>
  <c r="AK57" i="22"/>
  <c r="AK65" i="22"/>
  <c r="AK73" i="22"/>
  <c r="AK81" i="22"/>
  <c r="AK89" i="22"/>
  <c r="AK97" i="22"/>
  <c r="AK105" i="22"/>
  <c r="AK113" i="22"/>
  <c r="AK121" i="22"/>
  <c r="AK129" i="22"/>
  <c r="AK137" i="22"/>
  <c r="AK143" i="22"/>
  <c r="AK26" i="22"/>
  <c r="AK34" i="22"/>
  <c r="AK42" i="22"/>
  <c r="AK50" i="22"/>
  <c r="AK58" i="22"/>
  <c r="AK66" i="22"/>
  <c r="AK74" i="22"/>
  <c r="AK82" i="22"/>
  <c r="AK90" i="22"/>
  <c r="AK98" i="22"/>
  <c r="AK106" i="22"/>
  <c r="AK114" i="22"/>
  <c r="AK122" i="22"/>
  <c r="AK130" i="22"/>
  <c r="AK138" i="22"/>
  <c r="AK24" i="22"/>
  <c r="AK30" i="22"/>
  <c r="AK46" i="22"/>
  <c r="AK62" i="22"/>
  <c r="AK78" i="22"/>
  <c r="AK94" i="22"/>
  <c r="AK110" i="22"/>
  <c r="AK126" i="22"/>
  <c r="AK142" i="22"/>
  <c r="AK37" i="22"/>
  <c r="AK53" i="22"/>
  <c r="AK69" i="22"/>
  <c r="AK85" i="22"/>
  <c r="AK101" i="22"/>
  <c r="AK117" i="22"/>
  <c r="AK133" i="22"/>
  <c r="AK29" i="22"/>
  <c r="AK45" i="22"/>
  <c r="AK61" i="22"/>
  <c r="AK77" i="22"/>
  <c r="AK93" i="22"/>
  <c r="AK109" i="22"/>
  <c r="AK125" i="22"/>
  <c r="AK141" i="22"/>
  <c r="AK70" i="22"/>
  <c r="AK134" i="22"/>
  <c r="AK86" i="22"/>
  <c r="AK54" i="22"/>
  <c r="AK118" i="22"/>
  <c r="AK38" i="22"/>
  <c r="AK102" i="22"/>
  <c r="S9" i="22"/>
  <c r="S13" i="22"/>
  <c r="S17" i="22"/>
  <c r="S21" i="22"/>
  <c r="S25" i="22"/>
  <c r="S29" i="22"/>
  <c r="S33" i="22"/>
  <c r="S37" i="22"/>
  <c r="S41" i="22"/>
  <c r="S45" i="22"/>
  <c r="S49" i="22"/>
  <c r="S53" i="22"/>
  <c r="S57" i="22"/>
  <c r="S61" i="22"/>
  <c r="S65" i="22"/>
  <c r="S69" i="22"/>
  <c r="S73" i="22"/>
  <c r="S77" i="22"/>
  <c r="S81" i="22"/>
  <c r="S85" i="22"/>
  <c r="S89" i="22"/>
  <c r="S93" i="22"/>
  <c r="S97" i="22"/>
  <c r="S101" i="22"/>
  <c r="S105" i="22"/>
  <c r="S109" i="22"/>
  <c r="S113" i="22"/>
  <c r="S117" i="22"/>
  <c r="S121" i="22"/>
  <c r="S125" i="22"/>
  <c r="S10" i="22"/>
  <c r="S14" i="22"/>
  <c r="S18" i="22"/>
  <c r="S22" i="22"/>
  <c r="S26" i="22"/>
  <c r="S30" i="22"/>
  <c r="S34" i="22"/>
  <c r="S38" i="22"/>
  <c r="S42" i="22"/>
  <c r="S46" i="22"/>
  <c r="S50" i="22"/>
  <c r="S54" i="22"/>
  <c r="S58" i="22"/>
  <c r="S62" i="22"/>
  <c r="S66" i="22"/>
  <c r="S70" i="22"/>
  <c r="S74" i="22"/>
  <c r="S78" i="22"/>
  <c r="S82" i="22"/>
  <c r="S86" i="22"/>
  <c r="S90" i="22"/>
  <c r="S94" i="22"/>
  <c r="S98" i="22"/>
  <c r="S102" i="22"/>
  <c r="S106" i="22"/>
  <c r="S110" i="22"/>
  <c r="S114" i="22"/>
  <c r="S118" i="22"/>
  <c r="S122" i="22"/>
  <c r="S6" i="22"/>
  <c r="S8" i="22"/>
  <c r="S12" i="22"/>
  <c r="S16" i="22"/>
  <c r="S20" i="22"/>
  <c r="S24" i="22"/>
  <c r="S28" i="22"/>
  <c r="S32" i="22"/>
  <c r="S36" i="22"/>
  <c r="S40" i="22"/>
  <c r="S44" i="22"/>
  <c r="S48" i="22"/>
  <c r="S52" i="22"/>
  <c r="S56" i="22"/>
  <c r="S60" i="22"/>
  <c r="S64" i="22"/>
  <c r="S68" i="22"/>
  <c r="S72" i="22"/>
  <c r="S76" i="22"/>
  <c r="S80" i="22"/>
  <c r="S84" i="22"/>
  <c r="S88" i="22"/>
  <c r="S92" i="22"/>
  <c r="S96" i="22"/>
  <c r="S100" i="22"/>
  <c r="S104" i="22"/>
  <c r="S108" i="22"/>
  <c r="S112" i="22"/>
  <c r="S116" i="22"/>
  <c r="S120" i="22"/>
  <c r="S124" i="22"/>
  <c r="S7" i="22"/>
  <c r="S23" i="22"/>
  <c r="S39" i="22"/>
  <c r="S55" i="22"/>
  <c r="S71" i="22"/>
  <c r="S87" i="22"/>
  <c r="S103" i="22"/>
  <c r="S119" i="22"/>
  <c r="S43" i="22"/>
  <c r="S91" i="22"/>
  <c r="S31" i="22"/>
  <c r="S63" i="22"/>
  <c r="S111" i="22"/>
  <c r="S19" i="22"/>
  <c r="S35" i="22"/>
  <c r="S51" i="22"/>
  <c r="S67" i="22"/>
  <c r="S83" i="22"/>
  <c r="S99" i="22"/>
  <c r="S115" i="22"/>
  <c r="S11" i="22"/>
  <c r="S27" i="22"/>
  <c r="S59" i="22"/>
  <c r="S75" i="22"/>
  <c r="S107" i="22"/>
  <c r="S123" i="22"/>
  <c r="S15" i="22"/>
  <c r="S47" i="22"/>
  <c r="S79" i="22"/>
  <c r="S95" i="22"/>
  <c r="R8" i="22"/>
  <c r="R12" i="22"/>
  <c r="R16" i="22"/>
  <c r="R20" i="22"/>
  <c r="R24" i="22"/>
  <c r="R28" i="22"/>
  <c r="R32" i="22"/>
  <c r="R36" i="22"/>
  <c r="R40" i="22"/>
  <c r="R44" i="22"/>
  <c r="R48" i="22"/>
  <c r="R52" i="22"/>
  <c r="R56" i="22"/>
  <c r="R60" i="22"/>
  <c r="R64" i="22"/>
  <c r="R68" i="22"/>
  <c r="R72" i="22"/>
  <c r="R76" i="22"/>
  <c r="R80" i="22"/>
  <c r="R84" i="22"/>
  <c r="R88" i="22"/>
  <c r="R92" i="22"/>
  <c r="R96" i="22"/>
  <c r="R100" i="22"/>
  <c r="R104" i="22"/>
  <c r="R108" i="22"/>
  <c r="R112" i="22"/>
  <c r="R116" i="22"/>
  <c r="R120" i="22"/>
  <c r="R124" i="22"/>
  <c r="K5" i="22"/>
  <c r="K6" i="22" s="1"/>
  <c r="K7" i="22" s="1"/>
  <c r="R9" i="22"/>
  <c r="R13" i="22"/>
  <c r="R17" i="22"/>
  <c r="R21" i="22"/>
  <c r="R25" i="22"/>
  <c r="R29" i="22"/>
  <c r="R33" i="22"/>
  <c r="R37" i="22"/>
  <c r="R41" i="22"/>
  <c r="R45" i="22"/>
  <c r="R49" i="22"/>
  <c r="R53" i="22"/>
  <c r="R57" i="22"/>
  <c r="R61" i="22"/>
  <c r="R65" i="22"/>
  <c r="R69" i="22"/>
  <c r="R73" i="22"/>
  <c r="R77" i="22"/>
  <c r="R81" i="22"/>
  <c r="R85" i="22"/>
  <c r="R89" i="22"/>
  <c r="R93" i="22"/>
  <c r="R97" i="22"/>
  <c r="R101" i="22"/>
  <c r="R105" i="22"/>
  <c r="R109" i="22"/>
  <c r="R113" i="22"/>
  <c r="R117" i="22"/>
  <c r="R121" i="22"/>
  <c r="R5" i="22"/>
  <c r="BQ5" i="22" s="1"/>
  <c r="R7" i="22"/>
  <c r="R11" i="22"/>
  <c r="R15" i="22"/>
  <c r="R19" i="22"/>
  <c r="R23" i="22"/>
  <c r="R27" i="22"/>
  <c r="R31" i="22"/>
  <c r="R35" i="22"/>
  <c r="R39" i="22"/>
  <c r="R43" i="22"/>
  <c r="R47" i="22"/>
  <c r="R51" i="22"/>
  <c r="R55" i="22"/>
  <c r="R59" i="22"/>
  <c r="R63" i="22"/>
  <c r="R67" i="22"/>
  <c r="R71" i="22"/>
  <c r="R75" i="22"/>
  <c r="R79" i="22"/>
  <c r="R83" i="22"/>
  <c r="R87" i="22"/>
  <c r="R91" i="22"/>
  <c r="R95" i="22"/>
  <c r="R99" i="22"/>
  <c r="R103" i="22"/>
  <c r="R107" i="22"/>
  <c r="R111" i="22"/>
  <c r="R115" i="22"/>
  <c r="R119" i="22"/>
  <c r="R123" i="22"/>
  <c r="R14" i="22"/>
  <c r="R30" i="22"/>
  <c r="R46" i="22"/>
  <c r="R62" i="22"/>
  <c r="R78" i="22"/>
  <c r="R94" i="22"/>
  <c r="R110" i="22"/>
  <c r="R18" i="22"/>
  <c r="R66" i="22"/>
  <c r="R98" i="22"/>
  <c r="R38" i="22"/>
  <c r="R70" i="22"/>
  <c r="R102" i="22"/>
  <c r="R10" i="22"/>
  <c r="R26" i="22"/>
  <c r="R42" i="22"/>
  <c r="R58" i="22"/>
  <c r="R74" i="22"/>
  <c r="R90" i="22"/>
  <c r="R106" i="22"/>
  <c r="R122" i="22"/>
  <c r="R34" i="22"/>
  <c r="R50" i="22"/>
  <c r="R82" i="22"/>
  <c r="R114" i="22"/>
  <c r="R6" i="22"/>
  <c r="BQ6" i="22"/>
  <c r="R22" i="22"/>
  <c r="R54" i="22"/>
  <c r="R86" i="22"/>
  <c r="R118" i="22"/>
  <c r="AD21" i="22"/>
  <c r="AD25" i="22"/>
  <c r="AD29" i="22"/>
  <c r="AD33" i="22"/>
  <c r="AD37" i="22"/>
  <c r="AD19" i="22"/>
  <c r="AD24" i="22"/>
  <c r="AD30" i="22"/>
  <c r="AD35" i="22"/>
  <c r="AD40" i="22"/>
  <c r="AD44" i="22"/>
  <c r="AD48" i="22"/>
  <c r="AD52" i="22"/>
  <c r="AD56" i="22"/>
  <c r="AD60" i="22"/>
  <c r="AD64" i="22"/>
  <c r="AD68" i="22"/>
  <c r="AD72" i="22"/>
  <c r="AD76" i="22"/>
  <c r="AD80" i="22"/>
  <c r="AD84" i="22"/>
  <c r="AD88" i="22"/>
  <c r="AD92" i="22"/>
  <c r="AD96" i="22"/>
  <c r="AD100" i="22"/>
  <c r="AD104" i="22"/>
  <c r="AD108" i="22"/>
  <c r="AD112" i="22"/>
  <c r="AD116" i="22"/>
  <c r="AD120" i="22"/>
  <c r="AD124" i="22"/>
  <c r="AD128" i="22"/>
  <c r="AD132" i="22"/>
  <c r="AD136" i="22"/>
  <c r="AD20" i="22"/>
  <c r="AD26" i="22"/>
  <c r="AD31" i="22"/>
  <c r="AD36" i="22"/>
  <c r="AD41" i="22"/>
  <c r="AD45" i="22"/>
  <c r="AD49" i="22"/>
  <c r="AD53" i="22"/>
  <c r="AD57" i="22"/>
  <c r="AD61" i="22"/>
  <c r="AD65" i="22"/>
  <c r="AD69" i="22"/>
  <c r="AD73" i="22"/>
  <c r="AD77" i="22"/>
  <c r="AD81" i="22"/>
  <c r="AD85" i="22"/>
  <c r="AD89" i="22"/>
  <c r="AD93" i="22"/>
  <c r="AD97" i="22"/>
  <c r="AD101" i="22"/>
  <c r="AD105" i="22"/>
  <c r="AD109" i="22"/>
  <c r="AD113" i="22"/>
  <c r="AD117" i="22"/>
  <c r="AD121" i="22"/>
  <c r="AD125" i="22"/>
  <c r="AD129" i="22"/>
  <c r="AD133" i="22"/>
  <c r="AD17" i="22"/>
  <c r="AD18" i="22"/>
  <c r="AD23" i="22"/>
  <c r="AD28" i="22"/>
  <c r="AD34" i="22"/>
  <c r="AD39" i="22"/>
  <c r="AD43" i="22"/>
  <c r="AD47" i="22"/>
  <c r="AD51" i="22"/>
  <c r="AD55" i="22"/>
  <c r="AD59" i="22"/>
  <c r="AD63" i="22"/>
  <c r="AD67" i="22"/>
  <c r="AD71" i="22"/>
  <c r="AD75" i="22"/>
  <c r="AD79" i="22"/>
  <c r="AD83" i="22"/>
  <c r="AD87" i="22"/>
  <c r="AD91" i="22"/>
  <c r="AD95" i="22"/>
  <c r="AD99" i="22"/>
  <c r="AD103" i="22"/>
  <c r="AD107" i="22"/>
  <c r="AD111" i="22"/>
  <c r="AD115" i="22"/>
  <c r="AD119" i="22"/>
  <c r="AD123" i="22"/>
  <c r="AD127" i="22"/>
  <c r="AD131" i="22"/>
  <c r="AD135" i="22"/>
  <c r="AD38" i="22"/>
  <c r="AD54" i="22"/>
  <c r="AD70" i="22"/>
  <c r="AD86" i="22"/>
  <c r="AD102" i="22"/>
  <c r="AD118" i="22"/>
  <c r="AD134" i="22"/>
  <c r="AD62" i="22"/>
  <c r="AD126" i="22"/>
  <c r="AD22" i="22"/>
  <c r="AD42" i="22"/>
  <c r="AD58" i="22"/>
  <c r="AD74" i="22"/>
  <c r="AD90" i="22"/>
  <c r="AD106" i="22"/>
  <c r="AD122" i="22"/>
  <c r="AD27" i="22"/>
  <c r="AD94" i="22"/>
  <c r="AD32" i="22"/>
  <c r="AD50" i="22"/>
  <c r="AD66" i="22"/>
  <c r="AD82" i="22"/>
  <c r="AD98" i="22"/>
  <c r="AD114" i="22"/>
  <c r="AD130" i="22"/>
  <c r="AD46" i="22"/>
  <c r="AD78" i="22"/>
  <c r="AD110" i="22"/>
  <c r="AA17" i="22"/>
  <c r="AA21" i="22"/>
  <c r="AA25" i="22"/>
  <c r="AA29" i="22"/>
  <c r="AA33" i="22"/>
  <c r="AA37" i="22"/>
  <c r="AA41" i="22"/>
  <c r="AA45" i="22"/>
  <c r="AA49" i="22"/>
  <c r="AA53" i="22"/>
  <c r="AA57" i="22"/>
  <c r="AA61" i="22"/>
  <c r="AA65" i="22"/>
  <c r="AA69" i="22"/>
  <c r="AA73" i="22"/>
  <c r="AA77" i="22"/>
  <c r="AA81" i="22"/>
  <c r="AA85" i="22"/>
  <c r="AA89" i="22"/>
  <c r="AA93" i="22"/>
  <c r="AA97" i="22"/>
  <c r="AA101" i="22"/>
  <c r="AA105" i="22"/>
  <c r="AA109" i="22"/>
  <c r="AA113" i="22"/>
  <c r="AA117" i="22"/>
  <c r="AA121" i="22"/>
  <c r="AA125" i="22"/>
  <c r="AA18" i="22"/>
  <c r="AA22" i="22"/>
  <c r="AA26" i="22"/>
  <c r="AA30" i="22"/>
  <c r="AA34" i="22"/>
  <c r="AA38" i="22"/>
  <c r="AA42" i="22"/>
  <c r="AA46" i="22"/>
  <c r="AA50" i="22"/>
  <c r="AA54" i="22"/>
  <c r="AA58" i="22"/>
  <c r="AA62" i="22"/>
  <c r="AA66" i="22"/>
  <c r="AA70" i="22"/>
  <c r="AA74" i="22"/>
  <c r="AA78" i="22"/>
  <c r="AA82" i="22"/>
  <c r="AA86" i="22"/>
  <c r="AA90" i="22"/>
  <c r="AA94" i="22"/>
  <c r="AA98" i="22"/>
  <c r="AA102" i="22"/>
  <c r="AA106" i="22"/>
  <c r="AA110" i="22"/>
  <c r="AA114" i="22"/>
  <c r="AA118" i="22"/>
  <c r="AA122" i="22"/>
  <c r="AA126" i="22"/>
  <c r="AA16" i="22"/>
  <c r="AA20" i="22"/>
  <c r="AA24" i="22"/>
  <c r="AA28" i="22"/>
  <c r="AA32" i="22"/>
  <c r="AA36" i="22"/>
  <c r="AA40" i="22"/>
  <c r="AA44" i="22"/>
  <c r="AA48" i="22"/>
  <c r="AA52" i="22"/>
  <c r="AA56" i="22"/>
  <c r="AA60" i="22"/>
  <c r="AA64" i="22"/>
  <c r="AA68" i="22"/>
  <c r="AA72" i="22"/>
  <c r="AA76" i="22"/>
  <c r="AA80" i="22"/>
  <c r="AA84" i="22"/>
  <c r="AA88" i="22"/>
  <c r="AA92" i="22"/>
  <c r="AA96" i="22"/>
  <c r="AA100" i="22"/>
  <c r="AA104" i="22"/>
  <c r="AA108" i="22"/>
  <c r="AA112" i="22"/>
  <c r="AA116" i="22"/>
  <c r="AA120" i="22"/>
  <c r="AA124" i="22"/>
  <c r="AA128" i="22"/>
  <c r="AA132" i="22"/>
  <c r="AA27" i="22"/>
  <c r="AA43" i="22"/>
  <c r="AA59" i="22"/>
  <c r="AA75" i="22"/>
  <c r="AA91" i="22"/>
  <c r="AA107" i="22"/>
  <c r="AA123" i="22"/>
  <c r="AA131" i="22"/>
  <c r="AA35" i="22"/>
  <c r="AA83" i="22"/>
  <c r="AA14" i="22"/>
  <c r="AA15" i="22"/>
  <c r="AA31" i="22"/>
  <c r="AA47" i="22"/>
  <c r="AA63" i="22"/>
  <c r="AA79" i="22"/>
  <c r="AA95" i="22"/>
  <c r="AA111" i="22"/>
  <c r="AA127" i="22"/>
  <c r="AA133" i="22"/>
  <c r="AA51" i="22"/>
  <c r="AA115" i="22"/>
  <c r="AA23" i="22"/>
  <c r="AA39" i="22"/>
  <c r="AA55" i="22"/>
  <c r="AA71" i="22"/>
  <c r="AA87" i="22"/>
  <c r="AA103" i="22"/>
  <c r="AA119" i="22"/>
  <c r="AA130" i="22"/>
  <c r="AA19" i="22"/>
  <c r="AA67" i="22"/>
  <c r="AA99" i="22"/>
  <c r="AA129" i="22"/>
  <c r="Y14" i="22"/>
  <c r="Y18" i="22"/>
  <c r="Y22" i="22"/>
  <c r="Y26" i="22"/>
  <c r="Y30" i="22"/>
  <c r="Y34" i="22"/>
  <c r="Y38" i="22"/>
  <c r="Y42" i="22"/>
  <c r="Y46" i="22"/>
  <c r="Y50" i="22"/>
  <c r="Y54" i="22"/>
  <c r="Y17" i="22"/>
  <c r="Y23" i="22"/>
  <c r="Y28" i="22"/>
  <c r="Y33" i="22"/>
  <c r="Y39" i="22"/>
  <c r="Y44" i="22"/>
  <c r="Y49" i="22"/>
  <c r="Y55" i="22"/>
  <c r="Y59" i="22"/>
  <c r="Y63" i="22"/>
  <c r="Y67" i="22"/>
  <c r="Y71" i="22"/>
  <c r="Y75" i="22"/>
  <c r="Y79" i="22"/>
  <c r="Y83" i="22"/>
  <c r="Y87" i="22"/>
  <c r="Y91" i="22"/>
  <c r="Y95" i="22"/>
  <c r="Y99" i="22"/>
  <c r="Y103" i="22"/>
  <c r="Y107" i="22"/>
  <c r="Y111" i="22"/>
  <c r="Y115" i="22"/>
  <c r="Y119" i="22"/>
  <c r="Y123" i="22"/>
  <c r="Y127" i="22"/>
  <c r="Y131" i="22"/>
  <c r="Y31" i="22"/>
  <c r="Y52" i="22"/>
  <c r="Y13" i="22"/>
  <c r="Y19" i="22"/>
  <c r="Y24" i="22"/>
  <c r="Y29" i="22"/>
  <c r="Y35" i="22"/>
  <c r="Y40" i="22"/>
  <c r="Y45" i="22"/>
  <c r="Y51" i="22"/>
  <c r="Y56" i="22"/>
  <c r="Y60" i="22"/>
  <c r="Y64" i="22"/>
  <c r="Y68" i="22"/>
  <c r="Y72" i="22"/>
  <c r="Y76" i="22"/>
  <c r="Y80" i="22"/>
  <c r="Y84" i="22"/>
  <c r="Y88" i="22"/>
  <c r="Y92" i="22"/>
  <c r="Y96" i="22"/>
  <c r="Y100" i="22"/>
  <c r="Y104" i="22"/>
  <c r="Y108" i="22"/>
  <c r="Y112" i="22"/>
  <c r="Y116" i="22"/>
  <c r="Y120" i="22"/>
  <c r="Y124" i="22"/>
  <c r="Y128" i="22"/>
  <c r="Y12" i="22"/>
  <c r="Y20" i="22"/>
  <c r="Y47" i="22"/>
  <c r="Y16" i="22"/>
  <c r="Y21" i="22"/>
  <c r="Y27" i="22"/>
  <c r="Y32" i="22"/>
  <c r="Y37" i="22"/>
  <c r="Y43" i="22"/>
  <c r="Y48" i="22"/>
  <c r="Y53" i="22"/>
  <c r="Y58" i="22"/>
  <c r="Y62" i="22"/>
  <c r="Y66" i="22"/>
  <c r="Y70" i="22"/>
  <c r="Y74" i="22"/>
  <c r="Y78" i="22"/>
  <c r="Y82" i="22"/>
  <c r="Y86" i="22"/>
  <c r="Y90" i="22"/>
  <c r="Y94" i="22"/>
  <c r="Y98" i="22"/>
  <c r="Y102" i="22"/>
  <c r="Y106" i="22"/>
  <c r="Y110" i="22"/>
  <c r="Y114" i="22"/>
  <c r="Y118" i="22"/>
  <c r="Y122" i="22"/>
  <c r="Y126" i="22"/>
  <c r="Y130" i="22"/>
  <c r="Y15" i="22"/>
  <c r="Y25" i="22"/>
  <c r="Y36" i="22"/>
  <c r="Y41" i="22"/>
  <c r="Y57" i="22"/>
  <c r="Y61" i="22"/>
  <c r="Y77" i="22"/>
  <c r="Y93" i="22"/>
  <c r="Y109" i="22"/>
  <c r="Y125" i="22"/>
  <c r="Y81" i="22"/>
  <c r="Y113" i="22"/>
  <c r="Y85" i="22"/>
  <c r="Y73" i="22"/>
  <c r="Y89" i="22"/>
  <c r="Y105" i="22"/>
  <c r="Y121" i="22"/>
  <c r="Y65" i="22"/>
  <c r="Y97" i="22"/>
  <c r="Y129" i="22"/>
  <c r="Y69" i="22"/>
  <c r="Y101" i="22"/>
  <c r="Y117" i="22"/>
  <c r="AO29" i="22"/>
  <c r="AO33" i="22"/>
  <c r="AO37" i="22"/>
  <c r="AO41" i="22"/>
  <c r="AO45" i="22"/>
  <c r="AO49" i="22"/>
  <c r="AO53" i="22"/>
  <c r="AO57" i="22"/>
  <c r="AO61" i="22"/>
  <c r="AO65" i="22"/>
  <c r="AO69" i="22"/>
  <c r="AO73" i="22"/>
  <c r="AO77" i="22"/>
  <c r="AO81" i="22"/>
  <c r="AO85" i="22"/>
  <c r="AO89" i="22"/>
  <c r="AO93" i="22"/>
  <c r="AO97" i="22"/>
  <c r="AO101" i="22"/>
  <c r="AO105" i="22"/>
  <c r="AO109" i="22"/>
  <c r="AO113" i="22"/>
  <c r="AO117" i="22"/>
  <c r="AO121" i="22"/>
  <c r="AO125" i="22"/>
  <c r="AO129" i="22"/>
  <c r="AO133" i="22"/>
  <c r="AO137" i="22"/>
  <c r="AO141" i="22"/>
  <c r="AO145" i="22"/>
  <c r="AO30" i="22"/>
  <c r="AO34" i="22"/>
  <c r="AO38" i="22"/>
  <c r="AO42" i="22"/>
  <c r="AO46" i="22"/>
  <c r="AO50" i="22"/>
  <c r="AO54" i="22"/>
  <c r="AO58" i="22"/>
  <c r="AO62" i="22"/>
  <c r="AO66" i="22"/>
  <c r="AO70" i="22"/>
  <c r="AO74" i="22"/>
  <c r="AO78" i="22"/>
  <c r="AO82" i="22"/>
  <c r="AO86" i="22"/>
  <c r="AO90" i="22"/>
  <c r="AO94" i="22"/>
  <c r="AO98" i="22"/>
  <c r="AO102" i="22"/>
  <c r="AO106" i="22"/>
  <c r="AO110" i="22"/>
  <c r="AO114" i="22"/>
  <c r="AO118" i="22"/>
  <c r="AO122" i="22"/>
  <c r="AO126" i="22"/>
  <c r="AO130" i="22"/>
  <c r="AO134" i="22"/>
  <c r="AO138" i="22"/>
  <c r="AO142" i="22"/>
  <c r="AO146" i="22"/>
  <c r="AO32" i="22"/>
  <c r="AO36" i="22"/>
  <c r="AO40" i="22"/>
  <c r="AO44" i="22"/>
  <c r="AO48" i="22"/>
  <c r="AO52" i="22"/>
  <c r="AO56" i="22"/>
  <c r="AO60" i="22"/>
  <c r="AO64" i="22"/>
  <c r="AO68" i="22"/>
  <c r="AO72" i="22"/>
  <c r="AO76" i="22"/>
  <c r="AO80" i="22"/>
  <c r="AO84" i="22"/>
  <c r="AO88" i="22"/>
  <c r="AO92" i="22"/>
  <c r="AO96" i="22"/>
  <c r="AO100" i="22"/>
  <c r="AO104" i="22"/>
  <c r="AO108" i="22"/>
  <c r="AO112" i="22"/>
  <c r="AO116" i="22"/>
  <c r="AO120" i="22"/>
  <c r="AO124" i="22"/>
  <c r="AO128" i="22"/>
  <c r="AO132" i="22"/>
  <c r="AO136" i="22"/>
  <c r="AO140" i="22"/>
  <c r="AO144" i="22"/>
  <c r="AO28" i="22"/>
  <c r="AO31" i="22"/>
  <c r="AO47" i="22"/>
  <c r="AO63" i="22"/>
  <c r="AO79" i="22"/>
  <c r="AO95" i="22"/>
  <c r="AO111" i="22"/>
  <c r="AO127" i="22"/>
  <c r="AO143" i="22"/>
  <c r="AO35" i="22"/>
  <c r="AO51" i="22"/>
  <c r="AO67" i="22"/>
  <c r="AO83" i="22"/>
  <c r="AO99" i="22"/>
  <c r="AO115" i="22"/>
  <c r="AO131" i="22"/>
  <c r="AO147" i="22"/>
  <c r="BQ147" i="22"/>
  <c r="AO43" i="22"/>
  <c r="AO59" i="22"/>
  <c r="AO75" i="22"/>
  <c r="AO91" i="22"/>
  <c r="AO107" i="22"/>
  <c r="AO123" i="22"/>
  <c r="AO139" i="22"/>
  <c r="AO39" i="22"/>
  <c r="AO103" i="22"/>
  <c r="AO55" i="22"/>
  <c r="AO119" i="22"/>
  <c r="AO87" i="22"/>
  <c r="AO71" i="22"/>
  <c r="AO135" i="22"/>
  <c r="F8" i="24"/>
  <c r="K7" i="24"/>
  <c r="B11" i="24"/>
  <c r="B22" i="24"/>
  <c r="B34" i="24"/>
  <c r="B46" i="24"/>
  <c r="B58" i="24" s="1"/>
  <c r="B70" i="24" s="1"/>
  <c r="B82" i="24" s="1"/>
  <c r="B19" i="22"/>
  <c r="B31" i="22" s="1"/>
  <c r="B43" i="22" s="1"/>
  <c r="B55" i="22" s="1"/>
  <c r="B67" i="22" s="1"/>
  <c r="B79" i="22" s="1"/>
  <c r="B91" i="22" s="1"/>
  <c r="B103" i="22" s="1"/>
  <c r="B115" i="22" s="1"/>
  <c r="B127" i="22" s="1"/>
  <c r="B139" i="22" s="1"/>
  <c r="B151" i="22" s="1"/>
  <c r="B163" i="22" s="1"/>
  <c r="BX9" i="25"/>
  <c r="BX10" i="25"/>
  <c r="BX8" i="25"/>
  <c r="BX14" i="25"/>
  <c r="BX6" i="25"/>
  <c r="BX11" i="25"/>
  <c r="BX15" i="25"/>
  <c r="BX7" i="25"/>
  <c r="BX17" i="25"/>
  <c r="BX12" i="25"/>
  <c r="BX13" i="25"/>
  <c r="BX16" i="25"/>
  <c r="Q8" i="25"/>
  <c r="BZ11" i="25"/>
  <c r="BZ15" i="25"/>
  <c r="BZ19" i="25"/>
  <c r="BZ12" i="25"/>
  <c r="BZ16" i="25"/>
  <c r="BZ8" i="25"/>
  <c r="BZ10" i="25"/>
  <c r="BZ18" i="25"/>
  <c r="Q11" i="25"/>
  <c r="Q15" i="25"/>
  <c r="Q19" i="25"/>
  <c r="Q23" i="25"/>
  <c r="Q27" i="25"/>
  <c r="Q31" i="25"/>
  <c r="Q35" i="25"/>
  <c r="Q39" i="25"/>
  <c r="Q43" i="25"/>
  <c r="Q47" i="25"/>
  <c r="Q51" i="25"/>
  <c r="Q55" i="25"/>
  <c r="Q59" i="25"/>
  <c r="Q63" i="25"/>
  <c r="Q67" i="25"/>
  <c r="BZ13" i="25"/>
  <c r="Q12" i="25"/>
  <c r="Q16" i="25"/>
  <c r="Q20" i="25"/>
  <c r="Q24" i="25"/>
  <c r="Q28" i="25"/>
  <c r="Q32" i="25"/>
  <c r="Q36" i="25"/>
  <c r="Q40" i="25"/>
  <c r="Q44" i="25"/>
  <c r="Q48" i="25"/>
  <c r="Q52" i="25"/>
  <c r="Q56" i="25"/>
  <c r="Q60" i="25"/>
  <c r="Q64" i="25"/>
  <c r="BZ17" i="25"/>
  <c r="Q10" i="25"/>
  <c r="Q18" i="25"/>
  <c r="Q26" i="25"/>
  <c r="Q34" i="25"/>
  <c r="Q42" i="25"/>
  <c r="Q50" i="25"/>
  <c r="Q58" i="25"/>
  <c r="Q66" i="25"/>
  <c r="Q22" i="25"/>
  <c r="Q38" i="25"/>
  <c r="Q54" i="25"/>
  <c r="Q17" i="25"/>
  <c r="Q33" i="25"/>
  <c r="Q49" i="25"/>
  <c r="Q65" i="25"/>
  <c r="Q13" i="25"/>
  <c r="Q21" i="25"/>
  <c r="Q29" i="25"/>
  <c r="Q37" i="25"/>
  <c r="Q45" i="25"/>
  <c r="Q53" i="25"/>
  <c r="Q61" i="25"/>
  <c r="BZ9" i="25"/>
  <c r="Q14" i="25"/>
  <c r="Q30" i="25"/>
  <c r="Q46" i="25"/>
  <c r="Q62" i="25"/>
  <c r="BZ14" i="25"/>
  <c r="Q9" i="25"/>
  <c r="Q25" i="25"/>
  <c r="Q41" i="25"/>
  <c r="Q57" i="25"/>
  <c r="CL23" i="25"/>
  <c r="CL27" i="25"/>
  <c r="CL31" i="25"/>
  <c r="CL24" i="25"/>
  <c r="CL28" i="25"/>
  <c r="CL20" i="25"/>
  <c r="CL22" i="25"/>
  <c r="CL30" i="25"/>
  <c r="CL25" i="25"/>
  <c r="CL29" i="25"/>
  <c r="CL21" i="25"/>
  <c r="CL26" i="25"/>
  <c r="T11" i="25"/>
  <c r="CC14" i="25"/>
  <c r="CC18" i="25"/>
  <c r="CC22" i="25"/>
  <c r="CC15" i="25"/>
  <c r="CC19" i="25"/>
  <c r="CC11" i="25"/>
  <c r="CC17" i="25"/>
  <c r="T13" i="25"/>
  <c r="T17" i="25"/>
  <c r="T21" i="25"/>
  <c r="T25" i="25"/>
  <c r="T29" i="25"/>
  <c r="T33" i="25"/>
  <c r="T37" i="25"/>
  <c r="T41" i="25"/>
  <c r="T45" i="25"/>
  <c r="T49" i="25"/>
  <c r="T53" i="25"/>
  <c r="T57" i="25"/>
  <c r="T61" i="25"/>
  <c r="T65" i="25"/>
  <c r="T69" i="25"/>
  <c r="CC12" i="25"/>
  <c r="CC20" i="25"/>
  <c r="T14" i="25"/>
  <c r="T18" i="25"/>
  <c r="T22" i="25"/>
  <c r="T26" i="25"/>
  <c r="T30" i="25"/>
  <c r="T34" i="25"/>
  <c r="T38" i="25"/>
  <c r="T42" i="25"/>
  <c r="T46" i="25"/>
  <c r="T50" i="25"/>
  <c r="T54" i="25"/>
  <c r="T58" i="25"/>
  <c r="T62" i="25"/>
  <c r="T66" i="25"/>
  <c r="T70" i="25"/>
  <c r="T16" i="25"/>
  <c r="T24" i="25"/>
  <c r="T32" i="25"/>
  <c r="T40" i="25"/>
  <c r="T48" i="25"/>
  <c r="T56" i="25"/>
  <c r="T64" i="25"/>
  <c r="T12" i="25"/>
  <c r="T28" i="25"/>
  <c r="T44" i="25"/>
  <c r="T60" i="25"/>
  <c r="T68" i="25"/>
  <c r="T15" i="25"/>
  <c r="T31" i="25"/>
  <c r="T47" i="25"/>
  <c r="T63" i="25"/>
  <c r="CC13" i="25"/>
  <c r="T19" i="25"/>
  <c r="T27" i="25"/>
  <c r="T35" i="25"/>
  <c r="T43" i="25"/>
  <c r="T51" i="25"/>
  <c r="T59" i="25"/>
  <c r="T67" i="25"/>
  <c r="CC16" i="25"/>
  <c r="T20" i="25"/>
  <c r="T36" i="25"/>
  <c r="T52" i="25"/>
  <c r="CC21" i="25"/>
  <c r="T23" i="25"/>
  <c r="T39" i="25"/>
  <c r="T55" i="25"/>
  <c r="CJ21" i="25"/>
  <c r="CJ25" i="25"/>
  <c r="CJ29" i="25"/>
  <c r="CJ22" i="25"/>
  <c r="CJ26" i="25"/>
  <c r="CJ18" i="25"/>
  <c r="CJ20" i="25"/>
  <c r="CJ28" i="25"/>
  <c r="CJ23" i="25"/>
  <c r="CJ19" i="25"/>
  <c r="CJ27" i="25"/>
  <c r="CJ24" i="25"/>
  <c r="CI20" i="25"/>
  <c r="CI24" i="25"/>
  <c r="CI28" i="25"/>
  <c r="CI21" i="25"/>
  <c r="CI25" i="25"/>
  <c r="CI17" i="25"/>
  <c r="CI23" i="25"/>
  <c r="CI18" i="25"/>
  <c r="CI26" i="25"/>
  <c r="CI22" i="25"/>
  <c r="CI19" i="25"/>
  <c r="CI27" i="25"/>
  <c r="CE16" i="25"/>
  <c r="CE20" i="25"/>
  <c r="CE24" i="25"/>
  <c r="CE17" i="25"/>
  <c r="CE21" i="25"/>
  <c r="CE13" i="25"/>
  <c r="CE19" i="25"/>
  <c r="CE14" i="25"/>
  <c r="CE22" i="25"/>
  <c r="CE18" i="25"/>
  <c r="CE23" i="25"/>
  <c r="CE15" i="25"/>
  <c r="BY10" i="25"/>
  <c r="BY14" i="25"/>
  <c r="BY18" i="25"/>
  <c r="BY11" i="25"/>
  <c r="BY15" i="25"/>
  <c r="BY7" i="25"/>
  <c r="BY13" i="25"/>
  <c r="BY8" i="25"/>
  <c r="BY16" i="25"/>
  <c r="BY12" i="25"/>
  <c r="BY17" i="25"/>
  <c r="BY9" i="25"/>
  <c r="CF17" i="25"/>
  <c r="CF21" i="25"/>
  <c r="CF25" i="25"/>
  <c r="CF18" i="25"/>
  <c r="CF22" i="25"/>
  <c r="CF14" i="25"/>
  <c r="CF16" i="25"/>
  <c r="CF24" i="25"/>
  <c r="CF19" i="25"/>
  <c r="CF15" i="25"/>
  <c r="CF20" i="25"/>
  <c r="CF23" i="25"/>
  <c r="CK22" i="25"/>
  <c r="CK26" i="25"/>
  <c r="CK30" i="25"/>
  <c r="CK23" i="25"/>
  <c r="CK27" i="25"/>
  <c r="CK19" i="25"/>
  <c r="CK25" i="25"/>
  <c r="CK20" i="25"/>
  <c r="CK28" i="25"/>
  <c r="CK29" i="25"/>
  <c r="EA29" i="25" s="1"/>
  <c r="CK21" i="25"/>
  <c r="CK24" i="25"/>
  <c r="CB13" i="25"/>
  <c r="CB17" i="25"/>
  <c r="CB21" i="25"/>
  <c r="CB14" i="25"/>
  <c r="CB18" i="25"/>
  <c r="CB10" i="25"/>
  <c r="CB12" i="25"/>
  <c r="CB20" i="25"/>
  <c r="CB15" i="25"/>
  <c r="CB11" i="25"/>
  <c r="CB19" i="25"/>
  <c r="CB16" i="25"/>
  <c r="CM24" i="25"/>
  <c r="CM28" i="25"/>
  <c r="CM32" i="25"/>
  <c r="EA32" i="25" s="1"/>
  <c r="CM25" i="25"/>
  <c r="CM29" i="25"/>
  <c r="CM21" i="25"/>
  <c r="CM27" i="25"/>
  <c r="CM22" i="25"/>
  <c r="CM30" i="25"/>
  <c r="EA30" i="25" s="1"/>
  <c r="CM26" i="25"/>
  <c r="CM23" i="25"/>
  <c r="CM31" i="25"/>
  <c r="CG18" i="25"/>
  <c r="CG22" i="25"/>
  <c r="CG26" i="25"/>
  <c r="CG19" i="25"/>
  <c r="CG23" i="25"/>
  <c r="CG15" i="25"/>
  <c r="CG21" i="25"/>
  <c r="CG16" i="25"/>
  <c r="CG24" i="25"/>
  <c r="CG20" i="25"/>
  <c r="CG25" i="25"/>
  <c r="CG17" i="25"/>
  <c r="CD15" i="25"/>
  <c r="CD19" i="25"/>
  <c r="CD23" i="25"/>
  <c r="CD16" i="25"/>
  <c r="CD20" i="25"/>
  <c r="CD12" i="25"/>
  <c r="CD14" i="25"/>
  <c r="CD22" i="25"/>
  <c r="CD17" i="25"/>
  <c r="CD21" i="25"/>
  <c r="CD13" i="25"/>
  <c r="CD18" i="25"/>
  <c r="CH19" i="25"/>
  <c r="CH23" i="25"/>
  <c r="CH27" i="25"/>
  <c r="CH20" i="25"/>
  <c r="CH24" i="25"/>
  <c r="CH16" i="25"/>
  <c r="CH18" i="25"/>
  <c r="CH26" i="25"/>
  <c r="CH21" i="25"/>
  <c r="CH25" i="25"/>
  <c r="CH17" i="25"/>
  <c r="CH22" i="25"/>
  <c r="CA12" i="25"/>
  <c r="CA16" i="25"/>
  <c r="CA20" i="25"/>
  <c r="CA13" i="25"/>
  <c r="CA17" i="25"/>
  <c r="CA9" i="25"/>
  <c r="CA15" i="25"/>
  <c r="CA10" i="25"/>
  <c r="CA18" i="25"/>
  <c r="CA14" i="25"/>
  <c r="CA11" i="25"/>
  <c r="CA19" i="25"/>
  <c r="B19" i="23"/>
  <c r="B31" i="23" s="1"/>
  <c r="B43" i="23" s="1"/>
  <c r="B55" i="23" s="1"/>
  <c r="B67" i="23" s="1"/>
  <c r="B79" i="23" s="1"/>
  <c r="B91" i="23" s="1"/>
  <c r="B103" i="23" s="1"/>
  <c r="B8" i="23"/>
  <c r="EC39" i="25"/>
  <c r="BW6" i="25"/>
  <c r="EA6" i="25"/>
  <c r="BW10" i="25"/>
  <c r="BW14" i="25"/>
  <c r="BW7" i="25"/>
  <c r="BW11" i="25"/>
  <c r="BW15" i="25"/>
  <c r="BW12" i="25"/>
  <c r="BW8" i="25"/>
  <c r="EA8" i="25"/>
  <c r="BW16" i="25"/>
  <c r="BW13" i="25"/>
  <c r="BW5" i="25"/>
  <c r="EA5" i="25"/>
  <c r="BW9" i="25"/>
  <c r="P8" i="25"/>
  <c r="P12" i="25"/>
  <c r="P16" i="25"/>
  <c r="P20" i="25"/>
  <c r="P24" i="25"/>
  <c r="P28" i="25"/>
  <c r="P32" i="25"/>
  <c r="P36" i="25"/>
  <c r="P40" i="25"/>
  <c r="P44" i="25"/>
  <c r="P48" i="25"/>
  <c r="P52" i="25"/>
  <c r="P56" i="25"/>
  <c r="P60" i="25"/>
  <c r="P64" i="25"/>
  <c r="P13" i="25"/>
  <c r="P18" i="25"/>
  <c r="P23" i="25"/>
  <c r="P29" i="25"/>
  <c r="P34" i="25"/>
  <c r="P39" i="25"/>
  <c r="P45" i="25"/>
  <c r="P50" i="25"/>
  <c r="P55" i="25"/>
  <c r="P61" i="25"/>
  <c r="P66" i="25"/>
  <c r="P10" i="25"/>
  <c r="P15" i="25"/>
  <c r="P21" i="25"/>
  <c r="P26" i="25"/>
  <c r="P31" i="25"/>
  <c r="P37" i="25"/>
  <c r="P42" i="25"/>
  <c r="P47" i="25"/>
  <c r="P53" i="25"/>
  <c r="P58" i="25"/>
  <c r="P63" i="25"/>
  <c r="P14" i="25"/>
  <c r="P25" i="25"/>
  <c r="P35" i="25"/>
  <c r="P46" i="25"/>
  <c r="P57" i="25"/>
  <c r="P7" i="25"/>
  <c r="P17" i="25"/>
  <c r="P27" i="25"/>
  <c r="P38" i="25"/>
  <c r="P49" i="25"/>
  <c r="P59" i="25"/>
  <c r="P9" i="25"/>
  <c r="P19" i="25"/>
  <c r="P30" i="25"/>
  <c r="P41" i="25"/>
  <c r="P51" i="25"/>
  <c r="P62" i="25"/>
  <c r="P11" i="25"/>
  <c r="P22" i="25"/>
  <c r="P33" i="25"/>
  <c r="P43" i="25"/>
  <c r="P54" i="25"/>
  <c r="P65" i="25"/>
  <c r="S13" i="25"/>
  <c r="S17" i="25"/>
  <c r="S21" i="25"/>
  <c r="S25" i="25"/>
  <c r="S29" i="25"/>
  <c r="S33" i="25"/>
  <c r="S37" i="25"/>
  <c r="S41" i="25"/>
  <c r="S45" i="25"/>
  <c r="S49" i="25"/>
  <c r="S53" i="25"/>
  <c r="S57" i="25"/>
  <c r="S61" i="25"/>
  <c r="S65" i="25"/>
  <c r="S69" i="25"/>
  <c r="S12" i="25"/>
  <c r="S18" i="25"/>
  <c r="S23" i="25"/>
  <c r="S28" i="25"/>
  <c r="S34" i="25"/>
  <c r="S39" i="25"/>
  <c r="S44" i="25"/>
  <c r="S50" i="25"/>
  <c r="S55" i="25"/>
  <c r="S60" i="25"/>
  <c r="S66" i="25"/>
  <c r="S16" i="25"/>
  <c r="S24" i="25"/>
  <c r="S31" i="25"/>
  <c r="S38" i="25"/>
  <c r="S46" i="25"/>
  <c r="S52" i="25"/>
  <c r="S59" i="25"/>
  <c r="S67" i="25"/>
  <c r="S14" i="25"/>
  <c r="S20" i="25"/>
  <c r="S27" i="25"/>
  <c r="S35" i="25"/>
  <c r="S42" i="25"/>
  <c r="S48" i="25"/>
  <c r="S56" i="25"/>
  <c r="S63" i="25"/>
  <c r="S10" i="25"/>
  <c r="S19" i="25"/>
  <c r="S32" i="25"/>
  <c r="S47" i="25"/>
  <c r="S62" i="25"/>
  <c r="S22" i="25"/>
  <c r="S36" i="25"/>
  <c r="S51" i="25"/>
  <c r="S64" i="25"/>
  <c r="S11" i="25"/>
  <c r="S26" i="25"/>
  <c r="S40" i="25"/>
  <c r="S54" i="25"/>
  <c r="S68" i="25"/>
  <c r="S15" i="25"/>
  <c r="S30" i="25"/>
  <c r="S43" i="25"/>
  <c r="S58" i="25"/>
  <c r="AC23" i="25"/>
  <c r="AC27" i="25"/>
  <c r="AC31" i="25"/>
  <c r="AC35" i="25"/>
  <c r="AC39" i="25"/>
  <c r="AC43" i="25"/>
  <c r="AC47" i="25"/>
  <c r="AC51" i="25"/>
  <c r="AC55" i="25"/>
  <c r="AC59" i="25"/>
  <c r="AC63" i="25"/>
  <c r="AC67" i="25"/>
  <c r="AC71" i="25"/>
  <c r="AC75" i="25"/>
  <c r="AC21" i="25"/>
  <c r="AC25" i="25"/>
  <c r="AC29" i="25"/>
  <c r="AC33" i="25"/>
  <c r="AC37" i="25"/>
  <c r="AC41" i="25"/>
  <c r="AC45" i="25"/>
  <c r="AC49" i="25"/>
  <c r="AC53" i="25"/>
  <c r="AC57" i="25"/>
  <c r="AC61" i="25"/>
  <c r="AC65" i="25"/>
  <c r="AC69" i="25"/>
  <c r="AC73" i="25"/>
  <c r="AC24" i="25"/>
  <c r="AC32" i="25"/>
  <c r="AC40" i="25"/>
  <c r="AC48" i="25"/>
  <c r="AC56" i="25"/>
  <c r="AC64" i="25"/>
  <c r="AC72" i="25"/>
  <c r="AC28" i="25"/>
  <c r="AC36" i="25"/>
  <c r="AC44" i="25"/>
  <c r="AC52" i="25"/>
  <c r="AC60" i="25"/>
  <c r="AC68" i="25"/>
  <c r="AC76" i="25"/>
  <c r="AC20" i="25"/>
  <c r="AC34" i="25"/>
  <c r="AC50" i="25"/>
  <c r="AC66" i="25"/>
  <c r="AC26" i="25"/>
  <c r="AC46" i="25"/>
  <c r="AC70" i="25"/>
  <c r="AC38" i="25"/>
  <c r="AC58" i="25"/>
  <c r="AC30" i="25"/>
  <c r="AC74" i="25"/>
  <c r="AC42" i="25"/>
  <c r="AC54" i="25"/>
  <c r="AC22" i="25"/>
  <c r="AC62" i="25"/>
  <c r="Y18" i="25"/>
  <c r="Y22" i="25"/>
  <c r="Y26" i="25"/>
  <c r="Y30" i="25"/>
  <c r="Y34" i="25"/>
  <c r="Y38" i="25"/>
  <c r="Y42" i="25"/>
  <c r="Y46" i="25"/>
  <c r="Y50" i="25"/>
  <c r="Y54" i="25"/>
  <c r="Y58" i="25"/>
  <c r="Y62" i="25"/>
  <c r="Y66" i="25"/>
  <c r="Y70" i="25"/>
  <c r="Y74" i="25"/>
  <c r="Y20" i="25"/>
  <c r="Y24" i="25"/>
  <c r="Y28" i="25"/>
  <c r="Y32" i="25"/>
  <c r="Y36" i="25"/>
  <c r="Y40" i="25"/>
  <c r="Y44" i="25"/>
  <c r="Y48" i="25"/>
  <c r="Y52" i="25"/>
  <c r="Y56" i="25"/>
  <c r="Y60" i="25"/>
  <c r="Y64" i="25"/>
  <c r="Y68" i="25"/>
  <c r="Y72" i="25"/>
  <c r="Y16" i="25"/>
  <c r="Y23" i="25"/>
  <c r="Y31" i="25"/>
  <c r="Y39" i="25"/>
  <c r="Y47" i="25"/>
  <c r="Y55" i="25"/>
  <c r="Y63" i="25"/>
  <c r="Y71" i="25"/>
  <c r="Y17" i="25"/>
  <c r="Y27" i="25"/>
  <c r="Y37" i="25"/>
  <c r="Y49" i="25"/>
  <c r="Y59" i="25"/>
  <c r="Y69" i="25"/>
  <c r="Y21" i="25"/>
  <c r="Y33" i="25"/>
  <c r="Y43" i="25"/>
  <c r="Y53" i="25"/>
  <c r="Y65" i="25"/>
  <c r="Y75" i="25"/>
  <c r="Y19" i="25"/>
  <c r="Y41" i="25"/>
  <c r="Y61" i="25"/>
  <c r="Y25" i="25"/>
  <c r="Y45" i="25"/>
  <c r="Y67" i="25"/>
  <c r="Y29" i="25"/>
  <c r="Y51" i="25"/>
  <c r="Y73" i="25"/>
  <c r="Y35" i="25"/>
  <c r="Y57" i="25"/>
  <c r="R12" i="25"/>
  <c r="R16" i="25"/>
  <c r="R20" i="25"/>
  <c r="R24" i="25"/>
  <c r="R28" i="25"/>
  <c r="R32" i="25"/>
  <c r="R36" i="25"/>
  <c r="R40" i="25"/>
  <c r="R44" i="25"/>
  <c r="R48" i="25"/>
  <c r="R52" i="25"/>
  <c r="R56" i="25"/>
  <c r="R60" i="25"/>
  <c r="R64" i="25"/>
  <c r="R68" i="25"/>
  <c r="R10" i="25"/>
  <c r="R15" i="25"/>
  <c r="R21" i="25"/>
  <c r="R26" i="25"/>
  <c r="R31" i="25"/>
  <c r="R37" i="25"/>
  <c r="R42" i="25"/>
  <c r="R47" i="25"/>
  <c r="R53" i="25"/>
  <c r="R58" i="25"/>
  <c r="R63" i="25"/>
  <c r="R9" i="25"/>
  <c r="R13" i="25"/>
  <c r="R19" i="25"/>
  <c r="R27" i="25"/>
  <c r="R34" i="25"/>
  <c r="R41" i="25"/>
  <c r="R49" i="25"/>
  <c r="R55" i="25"/>
  <c r="R62" i="25"/>
  <c r="R17" i="25"/>
  <c r="R23" i="25"/>
  <c r="R30" i="25"/>
  <c r="R38" i="25"/>
  <c r="R45" i="25"/>
  <c r="R51" i="25"/>
  <c r="R59" i="25"/>
  <c r="R66" i="25"/>
  <c r="R14" i="25"/>
  <c r="R29" i="25"/>
  <c r="R43" i="25"/>
  <c r="R57" i="25"/>
  <c r="R18" i="25"/>
  <c r="R33" i="25"/>
  <c r="R46" i="25"/>
  <c r="R61" i="25"/>
  <c r="R22" i="25"/>
  <c r="R35" i="25"/>
  <c r="R50" i="25"/>
  <c r="R65" i="25"/>
  <c r="R11" i="25"/>
  <c r="R25" i="25"/>
  <c r="R39" i="25"/>
  <c r="R54" i="25"/>
  <c r="R67" i="25"/>
  <c r="AA19" i="25"/>
  <c r="AA21" i="25"/>
  <c r="AA25" i="25"/>
  <c r="AA29" i="25"/>
  <c r="AA33" i="25"/>
  <c r="AA37" i="25"/>
  <c r="AA41" i="25"/>
  <c r="AA45" i="25"/>
  <c r="AA49" i="25"/>
  <c r="AA53" i="25"/>
  <c r="AA57" i="25"/>
  <c r="AA61" i="25"/>
  <c r="AA65" i="25"/>
  <c r="AA69" i="25"/>
  <c r="AA73" i="25"/>
  <c r="AA23" i="25"/>
  <c r="AA28" i="25"/>
  <c r="AA34" i="25"/>
  <c r="AA39" i="25"/>
  <c r="AA44" i="25"/>
  <c r="AA50" i="25"/>
  <c r="AA55" i="25"/>
  <c r="AA60" i="25"/>
  <c r="AA66" i="25"/>
  <c r="AA71" i="25"/>
  <c r="AA76" i="25"/>
  <c r="AA18" i="25"/>
  <c r="AA20" i="25"/>
  <c r="AA26" i="25"/>
  <c r="AA31" i="25"/>
  <c r="AA36" i="25"/>
  <c r="AA42" i="25"/>
  <c r="AA47" i="25"/>
  <c r="AA52" i="25"/>
  <c r="AA58" i="25"/>
  <c r="AA63" i="25"/>
  <c r="AA68" i="25"/>
  <c r="AA74" i="25"/>
  <c r="AA24" i="25"/>
  <c r="AA35" i="25"/>
  <c r="AA46" i="25"/>
  <c r="AA56" i="25"/>
  <c r="AA67" i="25"/>
  <c r="AA30" i="25"/>
  <c r="AA43" i="25"/>
  <c r="AA59" i="25"/>
  <c r="AA72" i="25"/>
  <c r="AA22" i="25"/>
  <c r="AA38" i="25"/>
  <c r="AA51" i="25"/>
  <c r="AA64" i="25"/>
  <c r="AA32" i="25"/>
  <c r="AA62" i="25"/>
  <c r="AA40" i="25"/>
  <c r="AA70" i="25"/>
  <c r="AA48" i="25"/>
  <c r="AA75" i="25"/>
  <c r="AA27" i="25"/>
  <c r="AA54" i="25"/>
  <c r="W15" i="25"/>
  <c r="W19" i="25"/>
  <c r="W23" i="25"/>
  <c r="W27" i="25"/>
  <c r="W31" i="25"/>
  <c r="W35" i="25"/>
  <c r="W39" i="25"/>
  <c r="W43" i="25"/>
  <c r="W47" i="25"/>
  <c r="W51" i="25"/>
  <c r="W55" i="25"/>
  <c r="W59" i="25"/>
  <c r="W63" i="25"/>
  <c r="W67" i="25"/>
  <c r="W71" i="25"/>
  <c r="W17" i="25"/>
  <c r="W22" i="25"/>
  <c r="W28" i="25"/>
  <c r="W33" i="25"/>
  <c r="W38" i="25"/>
  <c r="W44" i="25"/>
  <c r="W49" i="25"/>
  <c r="W54" i="25"/>
  <c r="W60" i="25"/>
  <c r="W65" i="25"/>
  <c r="W70" i="25"/>
  <c r="W14" i="25"/>
  <c r="W18" i="25"/>
  <c r="W25" i="25"/>
  <c r="W32" i="25"/>
  <c r="W40" i="25"/>
  <c r="W46" i="25"/>
  <c r="W53" i="25"/>
  <c r="W61" i="25"/>
  <c r="W68" i="25"/>
  <c r="W21" i="25"/>
  <c r="W29" i="25"/>
  <c r="W36" i="25"/>
  <c r="W42" i="25"/>
  <c r="W50" i="25"/>
  <c r="W57" i="25"/>
  <c r="W64" i="25"/>
  <c r="W72" i="25"/>
  <c r="W20" i="25"/>
  <c r="W34" i="25"/>
  <c r="W48" i="25"/>
  <c r="W62" i="25"/>
  <c r="W24" i="25"/>
  <c r="W37" i="25"/>
  <c r="W52" i="25"/>
  <c r="W66" i="25"/>
  <c r="W26" i="25"/>
  <c r="W41" i="25"/>
  <c r="W56" i="25"/>
  <c r="W69" i="25"/>
  <c r="W16" i="25"/>
  <c r="W30" i="25"/>
  <c r="W45" i="25"/>
  <c r="W58" i="25"/>
  <c r="W73" i="25"/>
  <c r="X17" i="25"/>
  <c r="X21" i="25"/>
  <c r="X25" i="25"/>
  <c r="X29" i="25"/>
  <c r="X33" i="25"/>
  <c r="X37" i="25"/>
  <c r="X41" i="25"/>
  <c r="X45" i="25"/>
  <c r="X49" i="25"/>
  <c r="X53" i="25"/>
  <c r="X57" i="25"/>
  <c r="X61" i="25"/>
  <c r="X65" i="25"/>
  <c r="X69" i="25"/>
  <c r="X73" i="25"/>
  <c r="X19" i="25"/>
  <c r="X23" i="25"/>
  <c r="X27" i="25"/>
  <c r="X31" i="25"/>
  <c r="X35" i="25"/>
  <c r="X39" i="25"/>
  <c r="X43" i="25"/>
  <c r="X47" i="25"/>
  <c r="X51" i="25"/>
  <c r="X55" i="25"/>
  <c r="X59" i="25"/>
  <c r="X63" i="25"/>
  <c r="X67" i="25"/>
  <c r="X71" i="25"/>
  <c r="X22" i="25"/>
  <c r="X30" i="25"/>
  <c r="X38" i="25"/>
  <c r="X46" i="25"/>
  <c r="X54" i="25"/>
  <c r="X62" i="25"/>
  <c r="X70" i="25"/>
  <c r="X16" i="25"/>
  <c r="X26" i="25"/>
  <c r="X36" i="25"/>
  <c r="X48" i="25"/>
  <c r="X58" i="25"/>
  <c r="X68" i="25"/>
  <c r="X20" i="25"/>
  <c r="X32" i="25"/>
  <c r="X42" i="25"/>
  <c r="X52" i="25"/>
  <c r="X64" i="25"/>
  <c r="X74" i="25"/>
  <c r="X15" i="25"/>
  <c r="X18" i="25"/>
  <c r="X40" i="25"/>
  <c r="X60" i="25"/>
  <c r="X24" i="25"/>
  <c r="X44" i="25"/>
  <c r="X66" i="25"/>
  <c r="X28" i="25"/>
  <c r="X50" i="25"/>
  <c r="X72" i="25"/>
  <c r="X34" i="25"/>
  <c r="X56" i="25"/>
  <c r="N9" i="25"/>
  <c r="N13" i="25"/>
  <c r="N17" i="25"/>
  <c r="N21" i="25"/>
  <c r="N25" i="25"/>
  <c r="N29" i="25"/>
  <c r="N33" i="25"/>
  <c r="N37" i="25"/>
  <c r="N41" i="25"/>
  <c r="N45" i="25"/>
  <c r="N49" i="25"/>
  <c r="N53" i="25"/>
  <c r="N57" i="25"/>
  <c r="N61" i="25"/>
  <c r="N5" i="25"/>
  <c r="BR5" i="25"/>
  <c r="N10" i="25"/>
  <c r="N15" i="25"/>
  <c r="N20" i="25"/>
  <c r="N26" i="25"/>
  <c r="N31" i="25"/>
  <c r="N36" i="25"/>
  <c r="N42" i="25"/>
  <c r="N47" i="25"/>
  <c r="N52" i="25"/>
  <c r="N58" i="25"/>
  <c r="N63" i="25"/>
  <c r="N6" i="25"/>
  <c r="N11" i="25"/>
  <c r="N16" i="25"/>
  <c r="N22" i="25"/>
  <c r="N27" i="25"/>
  <c r="N32" i="25"/>
  <c r="N38" i="25"/>
  <c r="N43" i="25"/>
  <c r="N48" i="25"/>
  <c r="N54" i="25"/>
  <c r="N59" i="25"/>
  <c r="N64" i="25"/>
  <c r="N7" i="25"/>
  <c r="N12" i="25"/>
  <c r="N18" i="25"/>
  <c r="N23" i="25"/>
  <c r="N28" i="25"/>
  <c r="N34" i="25"/>
  <c r="N39" i="25"/>
  <c r="N44" i="25"/>
  <c r="N50" i="25"/>
  <c r="N55" i="25"/>
  <c r="N60" i="25"/>
  <c r="N8" i="25"/>
  <c r="N14" i="25"/>
  <c r="N19" i="25"/>
  <c r="N24" i="25"/>
  <c r="N30" i="25"/>
  <c r="N35" i="25"/>
  <c r="N40" i="25"/>
  <c r="N46" i="25"/>
  <c r="N51" i="25"/>
  <c r="N56" i="25"/>
  <c r="N62" i="25"/>
  <c r="AD23" i="25"/>
  <c r="AD27" i="25"/>
  <c r="AD31" i="25"/>
  <c r="AD35" i="25"/>
  <c r="AD39" i="25"/>
  <c r="AD43" i="25"/>
  <c r="AD47" i="25"/>
  <c r="AD51" i="25"/>
  <c r="AD55" i="25"/>
  <c r="AD59" i="25"/>
  <c r="AD63" i="25"/>
  <c r="AD67" i="25"/>
  <c r="AD71" i="25"/>
  <c r="AD75" i="25"/>
  <c r="AD25" i="25"/>
  <c r="AD29" i="25"/>
  <c r="AD33" i="25"/>
  <c r="AD37" i="25"/>
  <c r="AD41" i="25"/>
  <c r="AD45" i="25"/>
  <c r="AD49" i="25"/>
  <c r="AD53" i="25"/>
  <c r="AD57" i="25"/>
  <c r="AD61" i="25"/>
  <c r="AD65" i="25"/>
  <c r="AD69" i="25"/>
  <c r="AD73" i="25"/>
  <c r="AD28" i="25"/>
  <c r="AD36" i="25"/>
  <c r="AD44" i="25"/>
  <c r="AD52" i="25"/>
  <c r="AD60" i="25"/>
  <c r="AD68" i="25"/>
  <c r="AD76" i="25"/>
  <c r="AD24" i="25"/>
  <c r="AD32" i="25"/>
  <c r="AD40" i="25"/>
  <c r="AD48" i="25"/>
  <c r="AD56" i="25"/>
  <c r="AD64" i="25"/>
  <c r="AD72" i="25"/>
  <c r="AD21" i="25"/>
  <c r="AD30" i="25"/>
  <c r="AD46" i="25"/>
  <c r="AD62" i="25"/>
  <c r="AD22" i="25"/>
  <c r="AD38" i="25"/>
  <c r="AD54" i="25"/>
  <c r="AD70" i="25"/>
  <c r="AD34" i="25"/>
  <c r="AD66" i="25"/>
  <c r="AD50" i="25"/>
  <c r="AD42" i="25"/>
  <c r="AD58" i="25"/>
  <c r="AD74" i="25"/>
  <c r="AD26" i="25"/>
  <c r="AB23" i="25"/>
  <c r="AB27" i="25"/>
  <c r="AB31" i="25"/>
  <c r="AB35" i="25"/>
  <c r="AB39" i="25"/>
  <c r="AB43" i="25"/>
  <c r="AB47" i="25"/>
  <c r="AB51" i="25"/>
  <c r="AB55" i="25"/>
  <c r="AB59" i="25"/>
  <c r="AB63" i="25"/>
  <c r="AB67" i="25"/>
  <c r="AB71" i="25"/>
  <c r="AB75" i="25"/>
  <c r="AB21" i="25"/>
  <c r="AB25" i="25"/>
  <c r="AB29" i="25"/>
  <c r="AB33" i="25"/>
  <c r="AB37" i="25"/>
  <c r="AB41" i="25"/>
  <c r="AB45" i="25"/>
  <c r="AB49" i="25"/>
  <c r="AB53" i="25"/>
  <c r="AB57" i="25"/>
  <c r="AB61" i="25"/>
  <c r="AB65" i="25"/>
  <c r="AB69" i="25"/>
  <c r="AB73" i="25"/>
  <c r="AB20" i="25"/>
  <c r="AB28" i="25"/>
  <c r="AB36" i="25"/>
  <c r="AB44" i="25"/>
  <c r="AB52" i="25"/>
  <c r="AB60" i="25"/>
  <c r="AB68" i="25"/>
  <c r="AB76" i="25"/>
  <c r="AB24" i="25"/>
  <c r="AB32" i="25"/>
  <c r="AB40" i="25"/>
  <c r="AB48" i="25"/>
  <c r="AB56" i="25"/>
  <c r="AB64" i="25"/>
  <c r="AB72" i="25"/>
  <c r="AB22" i="25"/>
  <c r="AB38" i="25"/>
  <c r="AB54" i="25"/>
  <c r="AB70" i="25"/>
  <c r="AB30" i="25"/>
  <c r="AB50" i="25"/>
  <c r="AB74" i="25"/>
  <c r="AB42" i="25"/>
  <c r="AB62" i="25"/>
  <c r="AB58" i="25"/>
  <c r="AB26" i="25"/>
  <c r="AB66" i="25"/>
  <c r="AB34" i="25"/>
  <c r="AB46" i="25"/>
  <c r="AB19" i="25"/>
  <c r="O10" i="25"/>
  <c r="O14" i="25"/>
  <c r="O18" i="25"/>
  <c r="O22" i="25"/>
  <c r="O26" i="25"/>
  <c r="O30" i="25"/>
  <c r="O34" i="25"/>
  <c r="O38" i="25"/>
  <c r="O42" i="25"/>
  <c r="O46" i="25"/>
  <c r="O50" i="25"/>
  <c r="O54" i="25"/>
  <c r="O58" i="25"/>
  <c r="O62" i="25"/>
  <c r="O6" i="25"/>
  <c r="O7" i="25"/>
  <c r="O12" i="25"/>
  <c r="O17" i="25"/>
  <c r="O23" i="25"/>
  <c r="O28" i="25"/>
  <c r="O33" i="25"/>
  <c r="O39" i="25"/>
  <c r="O44" i="25"/>
  <c r="O49" i="25"/>
  <c r="O55" i="25"/>
  <c r="O60" i="25"/>
  <c r="O65" i="25"/>
  <c r="O8" i="25"/>
  <c r="O13" i="25"/>
  <c r="O19" i="25"/>
  <c r="O24" i="25"/>
  <c r="O29" i="25"/>
  <c r="O35" i="25"/>
  <c r="O40" i="25"/>
  <c r="O45" i="25"/>
  <c r="O51" i="25"/>
  <c r="O56" i="25"/>
  <c r="O61" i="25"/>
  <c r="O9" i="25"/>
  <c r="O15" i="25"/>
  <c r="O20" i="25"/>
  <c r="O25" i="25"/>
  <c r="O31" i="25"/>
  <c r="O36" i="25"/>
  <c r="O41" i="25"/>
  <c r="O47" i="25"/>
  <c r="O52" i="25"/>
  <c r="O57" i="25"/>
  <c r="O63" i="25"/>
  <c r="O11" i="25"/>
  <c r="O16" i="25"/>
  <c r="O21" i="25"/>
  <c r="O27" i="25"/>
  <c r="O32" i="25"/>
  <c r="O37" i="25"/>
  <c r="O43" i="25"/>
  <c r="O48" i="25"/>
  <c r="O53" i="25"/>
  <c r="O59" i="25"/>
  <c r="O64" i="25"/>
  <c r="U15" i="25"/>
  <c r="U19" i="25"/>
  <c r="U23" i="25"/>
  <c r="U27" i="25"/>
  <c r="U31" i="25"/>
  <c r="U35" i="25"/>
  <c r="U39" i="25"/>
  <c r="U43" i="25"/>
  <c r="U47" i="25"/>
  <c r="U51" i="25"/>
  <c r="U55" i="25"/>
  <c r="U59" i="25"/>
  <c r="U63" i="25"/>
  <c r="U67" i="25"/>
  <c r="U71" i="25"/>
  <c r="U12" i="25"/>
  <c r="U14" i="25"/>
  <c r="U20" i="25"/>
  <c r="U25" i="25"/>
  <c r="U30" i="25"/>
  <c r="U36" i="25"/>
  <c r="U41" i="25"/>
  <c r="U46" i="25"/>
  <c r="U52" i="25"/>
  <c r="U57" i="25"/>
  <c r="U62" i="25"/>
  <c r="U68" i="25"/>
  <c r="U18" i="25"/>
  <c r="U26" i="25"/>
  <c r="U33" i="25"/>
  <c r="U40" i="25"/>
  <c r="U48" i="25"/>
  <c r="U54" i="25"/>
  <c r="U61" i="25"/>
  <c r="U69" i="25"/>
  <c r="U16" i="25"/>
  <c r="U22" i="25"/>
  <c r="U29" i="25"/>
  <c r="U37" i="25"/>
  <c r="U44" i="25"/>
  <c r="U50" i="25"/>
  <c r="U58" i="25"/>
  <c r="U65" i="25"/>
  <c r="U13" i="25"/>
  <c r="U28" i="25"/>
  <c r="U42" i="25"/>
  <c r="U56" i="25"/>
  <c r="U70" i="25"/>
  <c r="U17" i="25"/>
  <c r="U32" i="25"/>
  <c r="U45" i="25"/>
  <c r="U60" i="25"/>
  <c r="U21" i="25"/>
  <c r="U34" i="25"/>
  <c r="U49" i="25"/>
  <c r="U64" i="25"/>
  <c r="U24" i="25"/>
  <c r="U38" i="25"/>
  <c r="U53" i="25"/>
  <c r="U66" i="25"/>
  <c r="Z21" i="25"/>
  <c r="Z25" i="25"/>
  <c r="Z29" i="25"/>
  <c r="Z33" i="25"/>
  <c r="Z37" i="25"/>
  <c r="Z41" i="25"/>
  <c r="Z45" i="25"/>
  <c r="Z49" i="25"/>
  <c r="Z53" i="25"/>
  <c r="Z22" i="25"/>
  <c r="Z27" i="25"/>
  <c r="Z32" i="25"/>
  <c r="Z38" i="25"/>
  <c r="Z43" i="25"/>
  <c r="Z48" i="25"/>
  <c r="Z54" i="25"/>
  <c r="Z58" i="25"/>
  <c r="Z62" i="25"/>
  <c r="Z66" i="25"/>
  <c r="Z70" i="25"/>
  <c r="Z74" i="25"/>
  <c r="Z19" i="25"/>
  <c r="Z24" i="25"/>
  <c r="Z30" i="25"/>
  <c r="Z35" i="25"/>
  <c r="Z40" i="25"/>
  <c r="Z46" i="25"/>
  <c r="Z51" i="25"/>
  <c r="Z56" i="25"/>
  <c r="Z60" i="25"/>
  <c r="Z64" i="25"/>
  <c r="Z68" i="25"/>
  <c r="Z72" i="25"/>
  <c r="Z76" i="25"/>
  <c r="BR76" i="25" s="1"/>
  <c r="BY188" i="5" s="1"/>
  <c r="Z18" i="25"/>
  <c r="Z28" i="25"/>
  <c r="Z39" i="25"/>
  <c r="Z50" i="25"/>
  <c r="Z59" i="25"/>
  <c r="Z67" i="25"/>
  <c r="Z75" i="25"/>
  <c r="Z17" i="25"/>
  <c r="Z26" i="25"/>
  <c r="Z42" i="25"/>
  <c r="Z55" i="25"/>
  <c r="Z65" i="25"/>
  <c r="Z20" i="25"/>
  <c r="Z34" i="25"/>
  <c r="Z47" i="25"/>
  <c r="Z61" i="25"/>
  <c r="Z71" i="25"/>
  <c r="Z31" i="25"/>
  <c r="Z57" i="25"/>
  <c r="Z36" i="25"/>
  <c r="Z63" i="25"/>
  <c r="Z44" i="25"/>
  <c r="Z69" i="25"/>
  <c r="Z23" i="25"/>
  <c r="Z52" i="25"/>
  <c r="Z73" i="25"/>
  <c r="V15" i="25"/>
  <c r="V19" i="25"/>
  <c r="V23" i="25"/>
  <c r="V27" i="25"/>
  <c r="V31" i="25"/>
  <c r="V35" i="25"/>
  <c r="V39" i="25"/>
  <c r="V43" i="25"/>
  <c r="V47" i="25"/>
  <c r="V51" i="25"/>
  <c r="V55" i="25"/>
  <c r="V59" i="25"/>
  <c r="V63" i="25"/>
  <c r="V67" i="25"/>
  <c r="V71" i="25"/>
  <c r="V16" i="25"/>
  <c r="V21" i="25"/>
  <c r="V26" i="25"/>
  <c r="V32" i="25"/>
  <c r="V37" i="25"/>
  <c r="V42" i="25"/>
  <c r="V48" i="25"/>
  <c r="V53" i="25"/>
  <c r="V58" i="25"/>
  <c r="V64" i="25"/>
  <c r="V69" i="25"/>
  <c r="V14" i="25"/>
  <c r="V22" i="25"/>
  <c r="V29" i="25"/>
  <c r="V36" i="25"/>
  <c r="V44" i="25"/>
  <c r="V50" i="25"/>
  <c r="V57" i="25"/>
  <c r="V65" i="25"/>
  <c r="V72" i="25"/>
  <c r="V18" i="25"/>
  <c r="V25" i="25"/>
  <c r="V33" i="25"/>
  <c r="V40" i="25"/>
  <c r="V46" i="25"/>
  <c r="V54" i="25"/>
  <c r="V61" i="25"/>
  <c r="V68" i="25"/>
  <c r="V17" i="25"/>
  <c r="V30" i="25"/>
  <c r="V45" i="25"/>
  <c r="V60" i="25"/>
  <c r="V20" i="25"/>
  <c r="V34" i="25"/>
  <c r="V49" i="25"/>
  <c r="V62" i="25"/>
  <c r="V13" i="25"/>
  <c r="V24" i="25"/>
  <c r="V38" i="25"/>
  <c r="V52" i="25"/>
  <c r="V66" i="25"/>
  <c r="V28" i="25"/>
  <c r="V41" i="25"/>
  <c r="V56" i="25"/>
  <c r="V70" i="25"/>
  <c r="L71" i="25"/>
  <c r="L70" i="25"/>
  <c r="L74" i="25"/>
  <c r="L73" i="25"/>
  <c r="L64" i="25"/>
  <c r="L76" i="25"/>
  <c r="L68" i="25"/>
  <c r="L65" i="25"/>
  <c r="L75" i="25"/>
  <c r="L67" i="25"/>
  <c r="L60" i="25"/>
  <c r="L57" i="25"/>
  <c r="L54" i="25"/>
  <c r="L72" i="25"/>
  <c r="L69" i="25"/>
  <c r="L61" i="25"/>
  <c r="L53" i="25"/>
  <c r="L63" i="25"/>
  <c r="L51" i="25"/>
  <c r="L48" i="25"/>
  <c r="L47" i="25"/>
  <c r="L40" i="25"/>
  <c r="L32" i="25"/>
  <c r="L31" i="25"/>
  <c r="L50" i="25"/>
  <c r="L44" i="25"/>
  <c r="L43" i="25"/>
  <c r="L52" i="25"/>
  <c r="L41" i="25"/>
  <c r="L66" i="25"/>
  <c r="L34" i="25"/>
  <c r="L29" i="25"/>
  <c r="L26" i="25"/>
  <c r="L21" i="25"/>
  <c r="L20" i="25"/>
  <c r="L13" i="25"/>
  <c r="L12" i="25"/>
  <c r="L59" i="25"/>
  <c r="L58" i="25"/>
  <c r="L49" i="25"/>
  <c r="L37" i="25"/>
  <c r="L28" i="25"/>
  <c r="L42" i="25"/>
  <c r="L38" i="25"/>
  <c r="L35" i="25"/>
  <c r="L22" i="25"/>
  <c r="L19" i="25"/>
  <c r="L18" i="25"/>
  <c r="L15" i="25"/>
  <c r="L55" i="25"/>
  <c r="L46" i="25"/>
  <c r="L36" i="25"/>
  <c r="L25" i="25"/>
  <c r="L24" i="25"/>
  <c r="L9" i="25"/>
  <c r="L6" i="25"/>
  <c r="L62" i="25"/>
  <c r="L30" i="25"/>
  <c r="L16" i="25"/>
  <c r="L14" i="25"/>
  <c r="L11" i="25"/>
  <c r="L8" i="25"/>
  <c r="L7" i="25"/>
  <c r="L56" i="25"/>
  <c r="L45" i="25"/>
  <c r="L27" i="25"/>
  <c r="L33" i="25"/>
  <c r="L23" i="25"/>
  <c r="L17" i="25"/>
  <c r="L10" i="25"/>
  <c r="L5" i="25"/>
  <c r="BU5" i="25" s="1"/>
  <c r="BQ133" i="22"/>
  <c r="BR48" i="25"/>
  <c r="EA14" i="25"/>
  <c r="BQ136" i="22"/>
  <c r="BQ16" i="22"/>
  <c r="BR49" i="25"/>
  <c r="BQ142" i="22"/>
  <c r="BQ134" i="22"/>
  <c r="BR6" i="25"/>
  <c r="BR9" i="25"/>
  <c r="EA16" i="25"/>
  <c r="BQ118" i="22"/>
  <c r="BQ10" i="22"/>
  <c r="BQ13" i="22"/>
  <c r="BQ104" i="22"/>
  <c r="BQ72" i="22"/>
  <c r="BQ40" i="22"/>
  <c r="BQ8" i="22"/>
  <c r="BQ138" i="22"/>
  <c r="BR7" i="25"/>
  <c r="BR77" i="25"/>
  <c r="BY189" i="5" s="1"/>
  <c r="BR56" i="25"/>
  <c r="BR28" i="25"/>
  <c r="BR26" i="25"/>
  <c r="BR17" i="25"/>
  <c r="BQ42" i="22"/>
  <c r="BQ18" i="22"/>
  <c r="BQ123" i="22"/>
  <c r="BQ91" i="22"/>
  <c r="BQ59" i="22"/>
  <c r="BQ27" i="22"/>
  <c r="BQ117" i="22"/>
  <c r="BQ85" i="22"/>
  <c r="BQ53" i="22"/>
  <c r="BQ21" i="22"/>
  <c r="BR51" i="25"/>
  <c r="BR8" i="25"/>
  <c r="BY105" i="5" s="1"/>
  <c r="BR23" i="25"/>
  <c r="BR43" i="25"/>
  <c r="BR20" i="25"/>
  <c r="BR13" i="25"/>
  <c r="EA13" i="25"/>
  <c r="EA10" i="25"/>
  <c r="EA17" i="25"/>
  <c r="BQ26" i="22"/>
  <c r="BQ110" i="22"/>
  <c r="BQ23" i="22"/>
  <c r="BQ113" i="22"/>
  <c r="BQ81" i="22"/>
  <c r="BQ49" i="22"/>
  <c r="BQ17" i="22"/>
  <c r="BQ108" i="22"/>
  <c r="BQ76" i="22"/>
  <c r="BQ44" i="22"/>
  <c r="BQ12" i="22"/>
  <c r="BQ143" i="22"/>
  <c r="BQ139" i="22"/>
  <c r="BQ137" i="22"/>
  <c r="BQ111" i="22"/>
  <c r="BQ105" i="22"/>
  <c r="BQ41" i="22"/>
  <c r="BQ36" i="22"/>
  <c r="BQ140" i="22"/>
  <c r="BR78" i="25"/>
  <c r="BY190" i="5" s="1"/>
  <c r="BR14" i="25"/>
  <c r="BR58" i="25"/>
  <c r="BQ94" i="22"/>
  <c r="BQ19" i="22"/>
  <c r="BR12" i="25"/>
  <c r="EA28" i="25"/>
  <c r="EA31" i="25"/>
  <c r="BQ86" i="22"/>
  <c r="BQ102" i="22"/>
  <c r="BQ78" i="22"/>
  <c r="BQ47" i="22"/>
  <c r="BQ9" i="22"/>
  <c r="BR35" i="25"/>
  <c r="BR50" i="25"/>
  <c r="BY156" i="5"/>
  <c r="BR27" i="25"/>
  <c r="EA12" i="25"/>
  <c r="BQ131" i="22"/>
  <c r="BQ54" i="22"/>
  <c r="BQ106" i="22"/>
  <c r="BQ70" i="22"/>
  <c r="BQ62" i="22"/>
  <c r="BQ107" i="22"/>
  <c r="BQ75" i="22"/>
  <c r="BQ43" i="22"/>
  <c r="BQ11" i="22"/>
  <c r="BQ101" i="22"/>
  <c r="BQ69" i="22"/>
  <c r="BQ37" i="22"/>
  <c r="BR18" i="25"/>
  <c r="BR41" i="25"/>
  <c r="BQ83" i="22"/>
  <c r="BR10" i="25"/>
  <c r="BY107" i="5"/>
  <c r="BR68" i="25"/>
  <c r="BY180" i="5" s="1"/>
  <c r="EA20" i="25"/>
  <c r="EA18" i="25"/>
  <c r="BQ122" i="22"/>
  <c r="BQ79" i="22"/>
  <c r="BQ15" i="22"/>
  <c r="BQ73" i="22"/>
  <c r="BQ100" i="22"/>
  <c r="BQ68" i="22"/>
  <c r="BR30" i="25"/>
  <c r="BR44" i="25"/>
  <c r="BY150" i="5" s="1"/>
  <c r="BR22" i="25"/>
  <c r="BR42" i="25"/>
  <c r="BR29" i="25"/>
  <c r="BY129" i="5"/>
  <c r="EA15" i="25"/>
  <c r="BQ22" i="22"/>
  <c r="BQ90" i="22"/>
  <c r="BQ38" i="22"/>
  <c r="BQ46" i="22"/>
  <c r="BQ7" i="22"/>
  <c r="BQ97" i="22"/>
  <c r="BQ65" i="22"/>
  <c r="BQ33" i="22"/>
  <c r="BQ124" i="22"/>
  <c r="BQ92" i="22"/>
  <c r="BQ60" i="22"/>
  <c r="BQ28" i="22"/>
  <c r="BQ127" i="22"/>
  <c r="BQ126" i="22"/>
  <c r="BQ129" i="22"/>
  <c r="BR38" i="25"/>
  <c r="EA19" i="25"/>
  <c r="BQ51" i="22"/>
  <c r="BQ45" i="22"/>
  <c r="BR40" i="25"/>
  <c r="BR32" i="25"/>
  <c r="BY135" i="5"/>
  <c r="BR24" i="25"/>
  <c r="BY124" i="5"/>
  <c r="BR39" i="25"/>
  <c r="BR59" i="25"/>
  <c r="BR16" i="25"/>
  <c r="BR36" i="25"/>
  <c r="BR57" i="25"/>
  <c r="BR25" i="25"/>
  <c r="BY125" i="5" s="1"/>
  <c r="EA11" i="25"/>
  <c r="EA22" i="25"/>
  <c r="BR67" i="25"/>
  <c r="BY179" i="5" s="1"/>
  <c r="BQ74" i="22"/>
  <c r="BQ30" i="22"/>
  <c r="BQ99" i="22"/>
  <c r="BQ67" i="22"/>
  <c r="BQ35" i="22"/>
  <c r="BQ29" i="22"/>
  <c r="BQ120" i="22"/>
  <c r="BQ88" i="22"/>
  <c r="BQ56" i="22"/>
  <c r="BQ24" i="22"/>
  <c r="BQ145" i="22"/>
  <c r="BQ132" i="22"/>
  <c r="BR71" i="25"/>
  <c r="BY183" i="5"/>
  <c r="BR60" i="25"/>
  <c r="BR15" i="25"/>
  <c r="BY112" i="5" s="1"/>
  <c r="BR70" i="25"/>
  <c r="BY182" i="5"/>
  <c r="BQ115" i="22"/>
  <c r="BR55" i="25"/>
  <c r="EA23" i="25"/>
  <c r="BR62" i="25"/>
  <c r="BY171" i="5"/>
  <c r="BR19" i="25"/>
  <c r="BY119" i="5" s="1"/>
  <c r="BR54" i="25"/>
  <c r="BY160" i="5" s="1"/>
  <c r="BR11" i="25"/>
  <c r="BY108" i="5"/>
  <c r="BR53" i="25"/>
  <c r="BY159" i="5" s="1"/>
  <c r="BR21" i="25"/>
  <c r="BY121" i="5"/>
  <c r="EA9" i="25"/>
  <c r="EA7" i="25"/>
  <c r="EA27" i="25"/>
  <c r="EA26" i="25"/>
  <c r="EA21" i="25"/>
  <c r="EA25" i="25"/>
  <c r="EA24" i="25"/>
  <c r="BQ58" i="22"/>
  <c r="BQ14" i="22"/>
  <c r="BQ95" i="22"/>
  <c r="BQ63" i="22"/>
  <c r="BQ31" i="22"/>
  <c r="BQ121" i="22"/>
  <c r="BQ89" i="22"/>
  <c r="BQ57" i="22"/>
  <c r="BQ25" i="22"/>
  <c r="BQ116" i="22"/>
  <c r="BQ84" i="22"/>
  <c r="BQ52" i="22"/>
  <c r="BQ20" i="22"/>
  <c r="BY168" i="5"/>
  <c r="BY167" i="5"/>
  <c r="BY143" i="5"/>
  <c r="BY164" i="5"/>
  <c r="BY142" i="5"/>
  <c r="BY141" i="5"/>
  <c r="BY165" i="5"/>
  <c r="BY138" i="5"/>
  <c r="BY104" i="5"/>
  <c r="BY154" i="5"/>
  <c r="BY155" i="5"/>
  <c r="BY114" i="5"/>
  <c r="BY169" i="5"/>
  <c r="BY115" i="5"/>
  <c r="BY157" i="5"/>
  <c r="BY149" i="5"/>
  <c r="BY145" i="5"/>
  <c r="BY120" i="5"/>
  <c r="BY110" i="5"/>
  <c r="EC30" i="25"/>
  <c r="ED79" i="25"/>
  <c r="EE79" i="25"/>
  <c r="EF79" i="25" s="1"/>
  <c r="N88" i="23"/>
  <c r="BN88" i="23"/>
  <c r="ED77" i="25"/>
  <c r="EE77" i="25" s="1"/>
  <c r="EF77" i="25" s="1"/>
  <c r="BY109" i="5"/>
  <c r="BY111" i="5"/>
  <c r="BY128" i="5"/>
  <c r="BY127" i="5"/>
  <c r="BY100" i="5"/>
  <c r="BY126" i="5"/>
  <c r="BY130" i="5"/>
  <c r="BY123" i="5"/>
  <c r="BY122" i="5"/>
  <c r="BY113" i="5"/>
  <c r="BY139" i="5"/>
  <c r="BY166" i="5"/>
  <c r="BY144" i="5"/>
  <c r="BY106" i="5"/>
  <c r="EC32" i="25"/>
  <c r="EC31" i="25"/>
  <c r="ED80" i="25"/>
  <c r="EE80" i="25" s="1"/>
  <c r="EF80" i="25" s="1"/>
  <c r="K8" i="22"/>
  <c r="K9" i="22" s="1"/>
  <c r="BY99" i="5"/>
  <c r="BS5" i="25"/>
  <c r="F9" i="24"/>
  <c r="K8" i="24"/>
  <c r="B23" i="24"/>
  <c r="B35" i="24" s="1"/>
  <c r="B47" i="24" s="1"/>
  <c r="B59" i="24" s="1"/>
  <c r="B71" i="24" s="1"/>
  <c r="B83" i="24" s="1"/>
  <c r="B12" i="24"/>
  <c r="B20" i="23"/>
  <c r="B32" i="23" s="1"/>
  <c r="B44" i="23" s="1"/>
  <c r="B56" i="23" s="1"/>
  <c r="B68" i="23" s="1"/>
  <c r="B80" i="23" s="1"/>
  <c r="B92" i="23" s="1"/>
  <c r="B104" i="23" s="1"/>
  <c r="B9" i="23"/>
  <c r="B10" i="23" s="1"/>
  <c r="I5" i="23"/>
  <c r="K5" i="23" s="1"/>
  <c r="N5" i="22"/>
  <c r="P5" i="22"/>
  <c r="CD99" i="5" s="1"/>
  <c r="CD101" i="5" s="1"/>
  <c r="EC37" i="25"/>
  <c r="EC33" i="25"/>
  <c r="ED78" i="25"/>
  <c r="EE78" i="25"/>
  <c r="EF78" i="25" s="1"/>
  <c r="N89" i="23"/>
  <c r="BN89" i="23" s="1"/>
  <c r="BY131" i="5"/>
  <c r="BS6" i="25"/>
  <c r="BY116" i="5"/>
  <c r="BY101" i="5"/>
  <c r="N6" i="22"/>
  <c r="I6" i="23"/>
  <c r="K6" i="23"/>
  <c r="F10" i="24"/>
  <c r="K9" i="24"/>
  <c r="B13" i="24"/>
  <c r="B24" i="24"/>
  <c r="B36" i="24" s="1"/>
  <c r="B48" i="24" s="1"/>
  <c r="B60" i="24" s="1"/>
  <c r="B72" i="24" s="1"/>
  <c r="B84" i="24" s="1"/>
  <c r="B21" i="23"/>
  <c r="B33" i="23"/>
  <c r="B45" i="23" s="1"/>
  <c r="B57" i="23" s="1"/>
  <c r="B69" i="23" s="1"/>
  <c r="B81" i="23" s="1"/>
  <c r="B93" i="23" s="1"/>
  <c r="B105" i="23" s="1"/>
  <c r="EC28" i="25"/>
  <c r="EC29" i="25"/>
  <c r="EC27" i="25"/>
  <c r="ED76" i="25"/>
  <c r="EE76" i="25"/>
  <c r="EF76" i="25" s="1"/>
  <c r="EC8" i="25"/>
  <c r="EC18" i="25"/>
  <c r="N90" i="23"/>
  <c r="BN90" i="23" s="1"/>
  <c r="N7" i="22"/>
  <c r="P7" i="22" s="1"/>
  <c r="P6" i="22"/>
  <c r="BS7" i="25"/>
  <c r="BS8" i="25" s="1"/>
  <c r="BU7" i="25"/>
  <c r="F11" i="24"/>
  <c r="K10" i="24"/>
  <c r="B14" i="24"/>
  <c r="B25" i="24"/>
  <c r="B37" i="24" s="1"/>
  <c r="B49" i="24" s="1"/>
  <c r="B61" i="24" s="1"/>
  <c r="B73" i="24" s="1"/>
  <c r="B85" i="24" s="1"/>
  <c r="I7" i="23"/>
  <c r="K7" i="23" s="1"/>
  <c r="ED40" i="25"/>
  <c r="EE40" i="25" s="1"/>
  <c r="EF40" i="25" s="1"/>
  <c r="ED35" i="25"/>
  <c r="ED36" i="25"/>
  <c r="ED42" i="25"/>
  <c r="EE42" i="25"/>
  <c r="EF42" i="25" s="1"/>
  <c r="ED53" i="25"/>
  <c r="EE53" i="25"/>
  <c r="EF53" i="25"/>
  <c r="ED38" i="25"/>
  <c r="EC14" i="25"/>
  <c r="ED43" i="25"/>
  <c r="ED55" i="25"/>
  <c r="EE55" i="25" s="1"/>
  <c r="EF55" i="25" s="1"/>
  <c r="ED54" i="25"/>
  <c r="ED56" i="25"/>
  <c r="EE56" i="25"/>
  <c r="EF56" i="25"/>
  <c r="ED44" i="25"/>
  <c r="EE44" i="25" s="1"/>
  <c r="EF44" i="25" s="1"/>
  <c r="EC19" i="25"/>
  <c r="ED62" i="25"/>
  <c r="EE62" i="25" s="1"/>
  <c r="EF62" i="25" s="1"/>
  <c r="ED39" i="25"/>
  <c r="EE39" i="25" s="1"/>
  <c r="EF39" i="25" s="1"/>
  <c r="EC15" i="25"/>
  <c r="EC9" i="25"/>
  <c r="ED41" i="25"/>
  <c r="EE41" i="25" s="1"/>
  <c r="EF41" i="25" s="1"/>
  <c r="CE100" i="5"/>
  <c r="CD100" i="5"/>
  <c r="N8" i="22"/>
  <c r="P8" i="22" s="1"/>
  <c r="F12" i="24"/>
  <c r="K12" i="24" s="1"/>
  <c r="K11" i="24"/>
  <c r="B15" i="24"/>
  <c r="B26" i="24"/>
  <c r="B38" i="24" s="1"/>
  <c r="B50" i="24" s="1"/>
  <c r="B62" i="24" s="1"/>
  <c r="B74" i="24" s="1"/>
  <c r="B86" i="24" s="1"/>
  <c r="I8" i="23"/>
  <c r="K8" i="23" s="1"/>
  <c r="EC17" i="25"/>
  <c r="EC16" i="25"/>
  <c r="ED57" i="25"/>
  <c r="EE57" i="25" s="1"/>
  <c r="EF57" i="25" s="1"/>
  <c r="EC10" i="25"/>
  <c r="EC20" i="25"/>
  <c r="I9" i="23"/>
  <c r="K9" i="23"/>
  <c r="F13" i="24"/>
  <c r="B27" i="24"/>
  <c r="B39" i="24"/>
  <c r="B51" i="24" s="1"/>
  <c r="B63" i="24" s="1"/>
  <c r="B75" i="24" s="1"/>
  <c r="B87" i="24" s="1"/>
  <c r="B16" i="24"/>
  <c r="B28" i="24" s="1"/>
  <c r="B40" i="24" s="1"/>
  <c r="B52" i="24" s="1"/>
  <c r="B64" i="24" s="1"/>
  <c r="B76" i="24" s="1"/>
  <c r="B88" i="24" s="1"/>
  <c r="EC21" i="25"/>
  <c r="EC11" i="25"/>
  <c r="ED58" i="25"/>
  <c r="F14" i="24"/>
  <c r="F15" i="24" s="1"/>
  <c r="K13" i="24"/>
  <c r="I10" i="23"/>
  <c r="K10" i="23"/>
  <c r="I11" i="23"/>
  <c r="K11" i="23" s="1"/>
  <c r="EC12" i="25"/>
  <c r="ED48" i="25"/>
  <c r="EE48" i="25" s="1"/>
  <c r="EF48" i="25" s="1"/>
  <c r="ED59" i="25"/>
  <c r="EC22" i="25"/>
  <c r="K14" i="24"/>
  <c r="EC13" i="25"/>
  <c r="ED60" i="25"/>
  <c r="ED49" i="25"/>
  <c r="EE49" i="25"/>
  <c r="EF49" i="25" s="1"/>
  <c r="EC23" i="25"/>
  <c r="I12" i="23"/>
  <c r="K12" i="23"/>
  <c r="I13" i="23"/>
  <c r="K13" i="23"/>
  <c r="ED67" i="25"/>
  <c r="EC24" i="25"/>
  <c r="ED50" i="25"/>
  <c r="EE50" i="25" s="1"/>
  <c r="EF50" i="25" s="1"/>
  <c r="EC25" i="25"/>
  <c r="I14" i="23"/>
  <c r="K14" i="23" s="1"/>
  <c r="ED51" i="25"/>
  <c r="EC5" i="25"/>
  <c r="ED68" i="25"/>
  <c r="EE68" i="25" s="1"/>
  <c r="EF68" i="25" s="1"/>
  <c r="I15" i="23"/>
  <c r="K15" i="23"/>
  <c r="EC26" i="25"/>
  <c r="EC6" i="25"/>
  <c r="I16" i="23"/>
  <c r="K16" i="23" s="1"/>
  <c r="EC7" i="25"/>
  <c r="ED70" i="25"/>
  <c r="EE70" i="25"/>
  <c r="EF70" i="25"/>
  <c r="I17" i="23"/>
  <c r="K17" i="23" s="1"/>
  <c r="I18" i="23"/>
  <c r="K18" i="23" s="1"/>
  <c r="ED71" i="25"/>
  <c r="EE71" i="25" s="1"/>
  <c r="EF71" i="25" s="1"/>
  <c r="I19" i="23"/>
  <c r="K19" i="23" s="1"/>
  <c r="I20" i="23"/>
  <c r="K20" i="23" s="1"/>
  <c r="I21" i="23"/>
  <c r="K21" i="23" s="1"/>
  <c r="I22" i="23"/>
  <c r="K22" i="23" s="1"/>
  <c r="I23" i="23"/>
  <c r="K23" i="23"/>
  <c r="I24" i="23"/>
  <c r="K24" i="23" s="1"/>
  <c r="I25" i="23"/>
  <c r="K25" i="23" s="1"/>
  <c r="I26" i="23"/>
  <c r="K26" i="23" s="1"/>
  <c r="I27" i="23"/>
  <c r="K27" i="23"/>
  <c r="I28" i="23"/>
  <c r="K28" i="23" s="1"/>
  <c r="I29" i="23"/>
  <c r="K29" i="23" s="1"/>
  <c r="I30" i="23"/>
  <c r="K30" i="23" s="1"/>
  <c r="I31" i="23"/>
  <c r="K31" i="23"/>
  <c r="I32" i="23"/>
  <c r="K32" i="23" s="1"/>
  <c r="I33" i="23"/>
  <c r="K33" i="23" s="1"/>
  <c r="I34" i="23"/>
  <c r="K34" i="23" s="1"/>
  <c r="I35" i="23"/>
  <c r="K35" i="23"/>
  <c r="I36" i="23"/>
  <c r="K36" i="23"/>
  <c r="I37" i="23"/>
  <c r="K37" i="23" s="1"/>
  <c r="I38" i="23"/>
  <c r="K38" i="23" s="1"/>
  <c r="ED5" i="25"/>
  <c r="EE5" i="25"/>
  <c r="BU6" i="25"/>
  <c r="EF5" i="25"/>
  <c r="EG5" i="25" s="1"/>
  <c r="I39" i="23"/>
  <c r="K39" i="23"/>
  <c r="ED6" i="25"/>
  <c r="EE6" i="25" s="1"/>
  <c r="EF6" i="25" s="1"/>
  <c r="BT5" i="25"/>
  <c r="V99" i="5"/>
  <c r="U99" i="5"/>
  <c r="I40" i="23"/>
  <c r="K40" i="23" s="1"/>
  <c r="BT6" i="25"/>
  <c r="V100" i="5" s="1"/>
  <c r="ED7" i="25"/>
  <c r="EE7" i="25" s="1"/>
  <c r="EF7" i="25" s="1"/>
  <c r="I41" i="23"/>
  <c r="K41" i="23"/>
  <c r="ED8" i="25"/>
  <c r="EE8" i="25" s="1"/>
  <c r="EF8" i="25" s="1"/>
  <c r="BT7" i="25"/>
  <c r="BU8" i="25"/>
  <c r="V104" i="5"/>
  <c r="U104" i="5"/>
  <c r="I42" i="23"/>
  <c r="K42" i="23" s="1"/>
  <c r="ED9" i="25"/>
  <c r="EE9" i="25" s="1"/>
  <c r="EF9" i="25" s="1"/>
  <c r="I43" i="23"/>
  <c r="K43" i="23" s="1"/>
  <c r="ED10" i="25"/>
  <c r="EE10" i="25" s="1"/>
  <c r="EF10" i="25" s="1"/>
  <c r="I44" i="23"/>
  <c r="K44" i="23" s="1"/>
  <c r="ED11" i="25"/>
  <c r="EE11" i="25" s="1"/>
  <c r="EF11" i="25" s="1"/>
  <c r="I45" i="23"/>
  <c r="K45" i="23" s="1"/>
  <c r="ED12" i="25"/>
  <c r="EE12" i="25" s="1"/>
  <c r="EF12" i="25" s="1"/>
  <c r="I46" i="23"/>
  <c r="K46" i="23" s="1"/>
  <c r="ED13" i="25"/>
  <c r="EE13" i="25" s="1"/>
  <c r="EF13" i="25" s="1"/>
  <c r="I47" i="23"/>
  <c r="K47" i="23" s="1"/>
  <c r="ED14" i="25"/>
  <c r="EE14" i="25"/>
  <c r="EF14" i="25"/>
  <c r="I48" i="23"/>
  <c r="K48" i="23"/>
  <c r="ED15" i="25"/>
  <c r="EE15" i="25" s="1"/>
  <c r="EF15" i="25" s="1"/>
  <c r="I49" i="23"/>
  <c r="K49" i="23"/>
  <c r="ED16" i="25"/>
  <c r="EE16" i="25"/>
  <c r="EF16" i="25" s="1"/>
  <c r="I50" i="23"/>
  <c r="K50" i="23" s="1"/>
  <c r="ED17" i="25"/>
  <c r="EE17" i="25" s="1"/>
  <c r="EF17" i="25" s="1"/>
  <c r="I51" i="23"/>
  <c r="K51" i="23" s="1"/>
  <c r="ED18" i="25"/>
  <c r="EE18" i="25"/>
  <c r="EF18" i="25"/>
  <c r="K52" i="23"/>
  <c r="ED19" i="25"/>
  <c r="EE19" i="25"/>
  <c r="EF19" i="25"/>
  <c r="I53" i="23"/>
  <c r="K53" i="23"/>
  <c r="ED20" i="25"/>
  <c r="EE20" i="25"/>
  <c r="EF20" i="25"/>
  <c r="I54" i="23"/>
  <c r="K54" i="23"/>
  <c r="ED21" i="25"/>
  <c r="EE21" i="25"/>
  <c r="I55" i="23"/>
  <c r="K55" i="23" s="1"/>
  <c r="EF21" i="25"/>
  <c r="ED22" i="25"/>
  <c r="EE22" i="25"/>
  <c r="EF22" i="25" s="1"/>
  <c r="I56" i="23"/>
  <c r="K56" i="23"/>
  <c r="ED23" i="25"/>
  <c r="EE23" i="25"/>
  <c r="EF23" i="25"/>
  <c r="I57" i="23"/>
  <c r="K57" i="23"/>
  <c r="ED24" i="25"/>
  <c r="EE24" i="25"/>
  <c r="EF24" i="25" s="1"/>
  <c r="I58" i="23"/>
  <c r="K58" i="23" s="1"/>
  <c r="ED25" i="25"/>
  <c r="EE25" i="25" s="1"/>
  <c r="EF25" i="25" s="1"/>
  <c r="I59" i="23"/>
  <c r="K59" i="23"/>
  <c r="ED26" i="25"/>
  <c r="EE26" i="25" s="1"/>
  <c r="EF26" i="25" s="1"/>
  <c r="I60" i="23"/>
  <c r="K60" i="23" s="1"/>
  <c r="ED27" i="25"/>
  <c r="EE27" i="25" s="1"/>
  <c r="EF27" i="25" s="1"/>
  <c r="I61" i="23"/>
  <c r="K61" i="23" s="1"/>
  <c r="ED28" i="25"/>
  <c r="EE28" i="25" s="1"/>
  <c r="EF28" i="25" s="1"/>
  <c r="I62" i="23"/>
  <c r="K62" i="23" s="1"/>
  <c r="ED29" i="25"/>
  <c r="EE29" i="25" s="1"/>
  <c r="EF29" i="25" s="1"/>
  <c r="I63" i="23"/>
  <c r="K63" i="23" s="1"/>
  <c r="ED30" i="25"/>
  <c r="EE30" i="25" s="1"/>
  <c r="EF30" i="25" s="1"/>
  <c r="I64" i="23"/>
  <c r="K64" i="23" s="1"/>
  <c r="I65" i="23"/>
  <c r="K65" i="23" s="1"/>
  <c r="ED32" i="25"/>
  <c r="EE32" i="25"/>
  <c r="EF32" i="25" s="1"/>
  <c r="I66" i="23"/>
  <c r="K66" i="23" s="1"/>
  <c r="I67" i="23"/>
  <c r="K67" i="23" s="1"/>
  <c r="I68" i="23"/>
  <c r="K68" i="23" s="1"/>
  <c r="W137" i="5"/>
  <c r="I69" i="23"/>
  <c r="K69" i="23" s="1"/>
  <c r="I70" i="23"/>
  <c r="K70" i="23"/>
  <c r="I71" i="23"/>
  <c r="K71" i="23" s="1"/>
  <c r="I72" i="23"/>
  <c r="K72" i="23"/>
  <c r="I73" i="23"/>
  <c r="K73" i="23" s="1"/>
  <c r="I74" i="23"/>
  <c r="K74" i="23"/>
  <c r="I75" i="23"/>
  <c r="K75" i="23"/>
  <c r="I76" i="23"/>
  <c r="K76" i="23" s="1"/>
  <c r="I77" i="23"/>
  <c r="K77" i="23" s="1"/>
  <c r="I78" i="23"/>
  <c r="K78" i="23" s="1"/>
  <c r="I79" i="23"/>
  <c r="K79" i="23" s="1"/>
  <c r="I80" i="23"/>
  <c r="K80" i="23" s="1"/>
  <c r="I81" i="23"/>
  <c r="K81" i="23"/>
  <c r="I82" i="23"/>
  <c r="K82" i="23" s="1"/>
  <c r="I83" i="23"/>
  <c r="K83" i="23"/>
  <c r="I84" i="23"/>
  <c r="K84" i="23" s="1"/>
  <c r="I85" i="23"/>
  <c r="K85" i="23" s="1"/>
  <c r="I86" i="23"/>
  <c r="K86" i="23" s="1"/>
  <c r="I87" i="23"/>
  <c r="K87" i="23" s="1"/>
  <c r="I88" i="23"/>
  <c r="K88" i="23" s="1"/>
  <c r="I89" i="23"/>
  <c r="K89" i="23" s="1"/>
  <c r="K117" i="23"/>
  <c r="K116" i="23"/>
  <c r="I90" i="23"/>
  <c r="K90" i="23" s="1"/>
  <c r="I93" i="23"/>
  <c r="K93" i="23" s="1"/>
  <c r="I96" i="23"/>
  <c r="K96" i="23" s="1"/>
  <c r="I95" i="23"/>
  <c r="K95" i="23" s="1"/>
  <c r="I98" i="23"/>
  <c r="K98" i="23" s="1"/>
  <c r="I99" i="23"/>
  <c r="K99" i="23" s="1"/>
  <c r="I100" i="23" s="1"/>
  <c r="K100" i="23" s="1"/>
  <c r="I91" i="23"/>
  <c r="K91" i="23" s="1"/>
  <c r="I92" i="23"/>
  <c r="K92" i="23" s="1"/>
  <c r="I94" i="23"/>
  <c r="K94" i="23" s="1"/>
  <c r="I97" i="23"/>
  <c r="K97" i="23" s="1"/>
  <c r="AB105" i="5"/>
  <c r="AD104" i="5"/>
  <c r="AD105" i="5"/>
  <c r="AD106" i="5"/>
  <c r="AD107" i="5"/>
  <c r="AD108" i="5"/>
  <c r="AD109" i="5"/>
  <c r="AD110" i="5"/>
  <c r="AD111" i="5"/>
  <c r="AB112" i="5"/>
  <c r="AB108" i="5"/>
  <c r="AB115" i="5"/>
  <c r="AB111" i="5"/>
  <c r="AB107" i="5"/>
  <c r="AB114" i="5"/>
  <c r="AB110" i="5"/>
  <c r="AB106" i="5"/>
  <c r="AB113" i="5"/>
  <c r="AB109" i="5"/>
  <c r="AB104" i="5"/>
  <c r="Z116" i="5"/>
  <c r="AD116" i="5"/>
  <c r="F116" i="5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U16" i="19" s="1"/>
  <c r="U17" i="19" s="1"/>
  <c r="U18" i="19" s="1"/>
  <c r="U19" i="19" s="1"/>
  <c r="U20" i="19" s="1"/>
  <c r="U21" i="19" s="1"/>
  <c r="U22" i="19" s="1"/>
  <c r="U23" i="19" s="1"/>
  <c r="U24" i="19" s="1"/>
  <c r="U25" i="19" s="1"/>
  <c r="U26" i="19" s="1"/>
  <c r="U27" i="19" s="1"/>
  <c r="U28" i="19" s="1"/>
  <c r="U29" i="19" s="1"/>
  <c r="U30" i="19" s="1"/>
  <c r="U31" i="19" s="1"/>
  <c r="U32" i="19" s="1"/>
  <c r="U33" i="19" s="1"/>
  <c r="U34" i="19" s="1"/>
  <c r="U35" i="19" s="1"/>
  <c r="U36" i="19" s="1"/>
  <c r="U37" i="19" s="1"/>
  <c r="U38" i="19" s="1"/>
  <c r="U39" i="19" s="1"/>
  <c r="U40" i="19" s="1"/>
  <c r="U41" i="19" s="1"/>
  <c r="U42" i="19" s="1"/>
  <c r="U43" i="19" s="1"/>
  <c r="U44" i="19" s="1"/>
  <c r="U45" i="19" s="1"/>
  <c r="U46" i="19" s="1"/>
  <c r="U47" i="19" s="1"/>
  <c r="U48" i="19" s="1"/>
  <c r="U49" i="19" s="1"/>
  <c r="U50" i="19" s="1"/>
  <c r="U51" i="19" s="1"/>
  <c r="U52" i="19" s="1"/>
  <c r="U53" i="19" s="1"/>
  <c r="U54" i="19" s="1"/>
  <c r="U55" i="19" s="1"/>
  <c r="U56" i="19" s="1"/>
  <c r="U57" i="19" s="1"/>
  <c r="U58" i="19" s="1"/>
  <c r="U59" i="19" s="1"/>
  <c r="U60" i="19" s="1"/>
  <c r="U61" i="19" s="1"/>
  <c r="U62" i="19" s="1"/>
  <c r="U63" i="19" s="1"/>
  <c r="U64" i="19" s="1"/>
  <c r="U65" i="19" s="1"/>
  <c r="U66" i="19" s="1"/>
  <c r="U67" i="19" s="1"/>
  <c r="G15" i="19"/>
  <c r="T15" i="19" s="1"/>
  <c r="G14" i="19"/>
  <c r="S14" i="19" s="1"/>
  <c r="G13" i="19"/>
  <c r="R13" i="19" s="1"/>
  <c r="G12" i="19"/>
  <c r="Q12" i="19" s="1"/>
  <c r="G11" i="19"/>
  <c r="P11" i="19" s="1"/>
  <c r="G10" i="19"/>
  <c r="O10" i="19" s="1"/>
  <c r="O11" i="19" s="1"/>
  <c r="O12" i="19" s="1"/>
  <c r="O13" i="19" s="1"/>
  <c r="O14" i="19" s="1"/>
  <c r="O15" i="19" s="1"/>
  <c r="O16" i="19" s="1"/>
  <c r="O17" i="19" s="1"/>
  <c r="O18" i="19" s="1"/>
  <c r="O19" i="19" s="1"/>
  <c r="O20" i="19" s="1"/>
  <c r="O21" i="19" s="1"/>
  <c r="O22" i="19" s="1"/>
  <c r="O23" i="19" s="1"/>
  <c r="O24" i="19" s="1"/>
  <c r="O25" i="19" s="1"/>
  <c r="O26" i="19" s="1"/>
  <c r="O27" i="19" s="1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67" i="19" s="1"/>
  <c r="G9" i="19"/>
  <c r="N9" i="19" s="1"/>
  <c r="G8" i="19"/>
  <c r="M8" i="19" s="1"/>
  <c r="M9" i="19" s="1"/>
  <c r="M10" i="19" s="1"/>
  <c r="M11" i="19" s="1"/>
  <c r="M12" i="19" s="1"/>
  <c r="M13" i="19" s="1"/>
  <c r="M14" i="19" s="1"/>
  <c r="M15" i="19" s="1"/>
  <c r="M16" i="19" s="1"/>
  <c r="M17" i="19" s="1"/>
  <c r="M18" i="19" s="1"/>
  <c r="M19" i="19" s="1"/>
  <c r="M20" i="19" s="1"/>
  <c r="M21" i="19" s="1"/>
  <c r="M22" i="19" s="1"/>
  <c r="M23" i="19" s="1"/>
  <c r="M24" i="19" s="1"/>
  <c r="M25" i="19" s="1"/>
  <c r="M26" i="19" s="1"/>
  <c r="M27" i="19" s="1"/>
  <c r="M28" i="19" s="1"/>
  <c r="M29" i="19" s="1"/>
  <c r="M30" i="19" s="1"/>
  <c r="M31" i="19" s="1"/>
  <c r="M32" i="19" s="1"/>
  <c r="M33" i="19" s="1"/>
  <c r="M34" i="19" s="1"/>
  <c r="M35" i="19" s="1"/>
  <c r="M36" i="19" s="1"/>
  <c r="M37" i="19" s="1"/>
  <c r="M38" i="19" s="1"/>
  <c r="M39" i="19" s="1"/>
  <c r="M40" i="19" s="1"/>
  <c r="M41" i="19" s="1"/>
  <c r="M42" i="19" s="1"/>
  <c r="M43" i="19" s="1"/>
  <c r="M44" i="19" s="1"/>
  <c r="M45" i="19" s="1"/>
  <c r="M46" i="19" s="1"/>
  <c r="M47" i="19" s="1"/>
  <c r="M48" i="19" s="1"/>
  <c r="M49" i="19" s="1"/>
  <c r="M50" i="19" s="1"/>
  <c r="M51" i="19" s="1"/>
  <c r="M52" i="19" s="1"/>
  <c r="M53" i="19" s="1"/>
  <c r="M54" i="19" s="1"/>
  <c r="M55" i="19" s="1"/>
  <c r="M56" i="19" s="1"/>
  <c r="M57" i="19" s="1"/>
  <c r="M58" i="19" s="1"/>
  <c r="M59" i="19" s="1"/>
  <c r="M60" i="19" s="1"/>
  <c r="M61" i="19" s="1"/>
  <c r="M62" i="19" s="1"/>
  <c r="M63" i="19" s="1"/>
  <c r="M64" i="19" s="1"/>
  <c r="M65" i="19" s="1"/>
  <c r="M66" i="19" s="1"/>
  <c r="M67" i="19" s="1"/>
  <c r="G7" i="19"/>
  <c r="L7" i="19" s="1"/>
  <c r="G6" i="19"/>
  <c r="K6" i="19" s="1"/>
  <c r="G5" i="19"/>
  <c r="J5" i="19" s="1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K2" i="19"/>
  <c r="L2" i="19" s="1"/>
  <c r="M2" i="19" s="1"/>
  <c r="N2" i="19" s="1"/>
  <c r="O2" i="19" s="1"/>
  <c r="P2" i="19" s="1"/>
  <c r="Q2" i="19" s="1"/>
  <c r="R2" i="19" s="1"/>
  <c r="S2" i="19" s="1"/>
  <c r="T2" i="19" s="1"/>
  <c r="U2" i="19" s="1"/>
  <c r="AR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AQ102" i="18"/>
  <c r="AP102" i="18"/>
  <c r="AO102" i="18"/>
  <c r="AN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AQ101" i="18"/>
  <c r="AP101" i="18"/>
  <c r="AO101" i="18"/>
  <c r="AN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AQ100" i="18"/>
  <c r="AP100" i="18"/>
  <c r="AO100" i="18"/>
  <c r="AN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AQ99" i="18"/>
  <c r="AP99" i="18"/>
  <c r="AO99" i="18"/>
  <c r="AN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AQ98" i="18"/>
  <c r="AP98" i="18"/>
  <c r="AO98" i="18"/>
  <c r="AN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AQ97" i="18"/>
  <c r="AP97" i="18"/>
  <c r="AO97" i="18"/>
  <c r="AO109" i="18" s="1"/>
  <c r="AN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W95" i="18"/>
  <c r="V95" i="18"/>
  <c r="AR84" i="18"/>
  <c r="AQ84" i="18"/>
  <c r="AP84" i="18"/>
  <c r="AO84" i="18"/>
  <c r="AN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AS83" i="18"/>
  <c r="AK83" i="18"/>
  <c r="AJ83" i="18"/>
  <c r="AI83" i="18"/>
  <c r="AH83" i="18"/>
  <c r="AG83" i="18"/>
  <c r="AF83" i="18"/>
  <c r="E46" i="14"/>
  <c r="AE83" i="18"/>
  <c r="D46" i="14" s="1"/>
  <c r="AD83" i="18"/>
  <c r="AC83" i="18"/>
  <c r="AB83" i="18"/>
  <c r="AA83" i="18"/>
  <c r="Z83" i="18"/>
  <c r="Y83" i="18"/>
  <c r="X83" i="18"/>
  <c r="W83" i="18"/>
  <c r="V83" i="18"/>
  <c r="I46" i="14"/>
  <c r="AS82" i="18"/>
  <c r="AK82" i="18"/>
  <c r="AJ82" i="18"/>
  <c r="AI82" i="18"/>
  <c r="AH82" i="18"/>
  <c r="AG82" i="18"/>
  <c r="AF82" i="18"/>
  <c r="E45" i="14"/>
  <c r="AE82" i="18"/>
  <c r="AD82" i="18"/>
  <c r="AC82" i="18"/>
  <c r="AB82" i="18"/>
  <c r="AA82" i="18"/>
  <c r="Z82" i="18"/>
  <c r="Y82" i="18"/>
  <c r="X82" i="18"/>
  <c r="W82" i="18"/>
  <c r="V82" i="18"/>
  <c r="I45" i="14" s="1"/>
  <c r="AS81" i="18"/>
  <c r="AK81" i="18"/>
  <c r="AJ81" i="18"/>
  <c r="AI81" i="18"/>
  <c r="AH81" i="18"/>
  <c r="AG81" i="18"/>
  <c r="AF81" i="18"/>
  <c r="E44" i="14" s="1"/>
  <c r="AE81" i="18"/>
  <c r="D44" i="14"/>
  <c r="AD81" i="18"/>
  <c r="AC81" i="18"/>
  <c r="AB81" i="18"/>
  <c r="AA81" i="18"/>
  <c r="Z81" i="18"/>
  <c r="Y81" i="18"/>
  <c r="X81" i="18"/>
  <c r="W81" i="18"/>
  <c r="V81" i="18"/>
  <c r="I44" i="14" s="1"/>
  <c r="AS80" i="18"/>
  <c r="AK80" i="18"/>
  <c r="AJ80" i="18"/>
  <c r="AI80" i="18"/>
  <c r="AH80" i="18"/>
  <c r="AG80" i="18"/>
  <c r="AF80" i="18"/>
  <c r="E43" i="14" s="1"/>
  <c r="AE80" i="18"/>
  <c r="D43" i="14"/>
  <c r="AD80" i="18"/>
  <c r="AC80" i="18"/>
  <c r="AB80" i="18"/>
  <c r="AA80" i="18"/>
  <c r="Z80" i="18"/>
  <c r="Y80" i="18"/>
  <c r="X80" i="18"/>
  <c r="W80" i="18"/>
  <c r="V80" i="18"/>
  <c r="I43" i="14"/>
  <c r="AS79" i="18"/>
  <c r="AK79" i="18"/>
  <c r="AJ79" i="18"/>
  <c r="AI79" i="18"/>
  <c r="AH79" i="18"/>
  <c r="AG79" i="18"/>
  <c r="AF79" i="18"/>
  <c r="AE79" i="18"/>
  <c r="D42" i="14"/>
  <c r="AD79" i="18"/>
  <c r="AC79" i="18"/>
  <c r="AB79" i="18"/>
  <c r="AA79" i="18"/>
  <c r="Z79" i="18"/>
  <c r="Y79" i="18"/>
  <c r="X79" i="18"/>
  <c r="W79" i="18"/>
  <c r="V79" i="18"/>
  <c r="I42" i="14" s="1"/>
  <c r="AS78" i="18"/>
  <c r="AK78" i="18"/>
  <c r="AJ78" i="18"/>
  <c r="AI78" i="18"/>
  <c r="AH78" i="18"/>
  <c r="AG78" i="18"/>
  <c r="AF78" i="18"/>
  <c r="E41" i="14" s="1"/>
  <c r="AE78" i="18"/>
  <c r="D41" i="14"/>
  <c r="AD78" i="18"/>
  <c r="AC78" i="18"/>
  <c r="AB78" i="18"/>
  <c r="AA78" i="18"/>
  <c r="Z78" i="18"/>
  <c r="Y78" i="18"/>
  <c r="X78" i="18"/>
  <c r="W78" i="18"/>
  <c r="V78" i="18"/>
  <c r="I41" i="14" s="1"/>
  <c r="AS77" i="18"/>
  <c r="AK77" i="18"/>
  <c r="AJ77" i="18"/>
  <c r="AI77" i="18"/>
  <c r="AH77" i="18"/>
  <c r="AG77" i="18"/>
  <c r="AF77" i="18"/>
  <c r="E40" i="14" s="1"/>
  <c r="AE77" i="18"/>
  <c r="D40" i="14" s="1"/>
  <c r="AD77" i="18"/>
  <c r="AC77" i="18"/>
  <c r="AB77" i="18"/>
  <c r="AA77" i="18"/>
  <c r="Z77" i="18"/>
  <c r="Y77" i="18"/>
  <c r="X77" i="18"/>
  <c r="W77" i="18"/>
  <c r="V77" i="18"/>
  <c r="AS76" i="18"/>
  <c r="AK76" i="18"/>
  <c r="AJ76" i="18"/>
  <c r="AI76" i="18"/>
  <c r="AH76" i="18"/>
  <c r="AG76" i="18"/>
  <c r="AF76" i="18"/>
  <c r="E39" i="14" s="1"/>
  <c r="AE76" i="18"/>
  <c r="D39" i="14"/>
  <c r="AD76" i="18"/>
  <c r="AC76" i="18"/>
  <c r="AB76" i="18"/>
  <c r="AA76" i="18"/>
  <c r="Z76" i="18"/>
  <c r="Y76" i="18"/>
  <c r="X76" i="18"/>
  <c r="W76" i="18"/>
  <c r="V76" i="18"/>
  <c r="I39" i="14" s="1"/>
  <c r="AS75" i="18"/>
  <c r="AK75" i="18"/>
  <c r="AJ75" i="18"/>
  <c r="AI75" i="18"/>
  <c r="AH75" i="18"/>
  <c r="AG75" i="18"/>
  <c r="AF75" i="18"/>
  <c r="AE75" i="18"/>
  <c r="D38" i="14"/>
  <c r="AD75" i="18"/>
  <c r="AC75" i="18"/>
  <c r="AB75" i="18"/>
  <c r="AA75" i="18"/>
  <c r="Z75" i="18"/>
  <c r="Y75" i="18"/>
  <c r="X75" i="18"/>
  <c r="W75" i="18"/>
  <c r="V75" i="18"/>
  <c r="I38" i="14" s="1"/>
  <c r="AS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AS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AS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W70" i="18"/>
  <c r="V70" i="18"/>
  <c r="AR62" i="18"/>
  <c r="AQ62" i="18"/>
  <c r="AP62" i="18"/>
  <c r="AO62" i="18"/>
  <c r="AN62" i="18"/>
  <c r="S62" i="18"/>
  <c r="R62" i="18"/>
  <c r="Q62" i="18"/>
  <c r="P62" i="18"/>
  <c r="O62" i="18"/>
  <c r="N62" i="18"/>
  <c r="M62" i="18"/>
  <c r="F62" i="18"/>
  <c r="E62" i="18"/>
  <c r="D62" i="18"/>
  <c r="C62" i="18"/>
  <c r="AS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AS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AS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AK55" i="18"/>
  <c r="AJ55" i="18"/>
  <c r="AI55" i="18"/>
  <c r="AH55" i="18"/>
  <c r="AG55" i="18"/>
  <c r="AF55" i="18"/>
  <c r="AE55" i="18"/>
  <c r="X55" i="18"/>
  <c r="W55" i="18"/>
  <c r="V55" i="18"/>
  <c r="L55" i="18"/>
  <c r="AD55" i="18"/>
  <c r="K55" i="18"/>
  <c r="AC55" i="18" s="1"/>
  <c r="J55" i="18"/>
  <c r="AB55" i="18"/>
  <c r="I55" i="18"/>
  <c r="AA55" i="18" s="1"/>
  <c r="H55" i="18"/>
  <c r="Z55" i="18"/>
  <c r="G55" i="18"/>
  <c r="Y55" i="18" s="1"/>
  <c r="AK54" i="18"/>
  <c r="AJ54" i="18"/>
  <c r="AI54" i="18"/>
  <c r="AH54" i="18"/>
  <c r="AG54" i="18"/>
  <c r="AF54" i="18"/>
  <c r="AE54" i="18"/>
  <c r="X54" i="18"/>
  <c r="W54" i="18"/>
  <c r="V54" i="18"/>
  <c r="L54" i="18"/>
  <c r="AD54" i="18" s="1"/>
  <c r="K54" i="18"/>
  <c r="AC54" i="18" s="1"/>
  <c r="J54" i="18"/>
  <c r="AB54" i="18" s="1"/>
  <c r="I54" i="18"/>
  <c r="AA54" i="18" s="1"/>
  <c r="H54" i="18"/>
  <c r="Z54" i="18" s="1"/>
  <c r="G54" i="18"/>
  <c r="Y54" i="18" s="1"/>
  <c r="AK53" i="18"/>
  <c r="AJ53" i="18"/>
  <c r="AI53" i="18"/>
  <c r="AH53" i="18"/>
  <c r="AG53" i="18"/>
  <c r="AF53" i="18"/>
  <c r="AE53" i="18"/>
  <c r="X53" i="18"/>
  <c r="W53" i="18"/>
  <c r="V53" i="18"/>
  <c r="L53" i="18"/>
  <c r="AD53" i="18" s="1"/>
  <c r="K53" i="18"/>
  <c r="AC53" i="18" s="1"/>
  <c r="J53" i="18"/>
  <c r="AB53" i="18" s="1"/>
  <c r="I53" i="18"/>
  <c r="AA53" i="18" s="1"/>
  <c r="H53" i="18"/>
  <c r="Z53" i="18" s="1"/>
  <c r="G53" i="18"/>
  <c r="Y53" i="18" s="1"/>
  <c r="AK52" i="18"/>
  <c r="AJ52" i="18"/>
  <c r="AI52" i="18"/>
  <c r="AH52" i="18"/>
  <c r="AG52" i="18"/>
  <c r="AF52" i="18"/>
  <c r="AE52" i="18"/>
  <c r="X52" i="18"/>
  <c r="W52" i="18"/>
  <c r="V52" i="18"/>
  <c r="L52" i="18"/>
  <c r="AD52" i="18" s="1"/>
  <c r="K52" i="18"/>
  <c r="AC52" i="18" s="1"/>
  <c r="J52" i="18"/>
  <c r="AB52" i="18" s="1"/>
  <c r="I52" i="18"/>
  <c r="AA52" i="18" s="1"/>
  <c r="H52" i="18"/>
  <c r="Z52" i="18" s="1"/>
  <c r="G52" i="18"/>
  <c r="Y52" i="18" s="1"/>
  <c r="AK51" i="18"/>
  <c r="AJ51" i="18"/>
  <c r="AI51" i="18"/>
  <c r="AH51" i="18"/>
  <c r="AG51" i="18"/>
  <c r="AF51" i="18"/>
  <c r="AE51" i="18"/>
  <c r="X51" i="18"/>
  <c r="W51" i="18"/>
  <c r="V51" i="18"/>
  <c r="L51" i="18"/>
  <c r="AD51" i="18"/>
  <c r="K51" i="18"/>
  <c r="AC51" i="18" s="1"/>
  <c r="J51" i="18"/>
  <c r="AB51" i="18"/>
  <c r="I51" i="18"/>
  <c r="AA51" i="18" s="1"/>
  <c r="H51" i="18"/>
  <c r="G51" i="18"/>
  <c r="Y51" i="18" s="1"/>
  <c r="AK50" i="18"/>
  <c r="AJ50" i="18"/>
  <c r="AI50" i="18"/>
  <c r="AH50" i="18"/>
  <c r="AG50" i="18"/>
  <c r="AF50" i="18"/>
  <c r="AE50" i="18"/>
  <c r="X50" i="18"/>
  <c r="W50" i="18"/>
  <c r="V50" i="18"/>
  <c r="L50" i="18"/>
  <c r="AD50" i="18" s="1"/>
  <c r="K50" i="18"/>
  <c r="J50" i="18"/>
  <c r="I50" i="18"/>
  <c r="H50" i="18"/>
  <c r="Z50" i="18" s="1"/>
  <c r="G50" i="18"/>
  <c r="Y50" i="18"/>
  <c r="W48" i="18"/>
  <c r="V48" i="18"/>
  <c r="S40" i="18"/>
  <c r="R40" i="18"/>
  <c r="Q40" i="18"/>
  <c r="P40" i="18"/>
  <c r="O40" i="18"/>
  <c r="N40" i="18"/>
  <c r="M40" i="18"/>
  <c r="F40" i="18"/>
  <c r="E40" i="18"/>
  <c r="D40" i="18"/>
  <c r="C40" i="18"/>
  <c r="AK39" i="18"/>
  <c r="AJ39" i="18"/>
  <c r="AI39" i="18"/>
  <c r="AH39" i="18"/>
  <c r="AG39" i="18"/>
  <c r="AF39" i="18"/>
  <c r="AE39" i="18"/>
  <c r="X39" i="18"/>
  <c r="W39" i="18"/>
  <c r="V39" i="18"/>
  <c r="L39" i="18"/>
  <c r="AD39" i="18" s="1"/>
  <c r="K39" i="18"/>
  <c r="AC39" i="18"/>
  <c r="J39" i="18"/>
  <c r="AB39" i="18" s="1"/>
  <c r="I39" i="18"/>
  <c r="AA39" i="18"/>
  <c r="H39" i="18"/>
  <c r="Z39" i="18" s="1"/>
  <c r="G39" i="18"/>
  <c r="Y39" i="18"/>
  <c r="AK38" i="18"/>
  <c r="AJ38" i="18"/>
  <c r="AI38" i="18"/>
  <c r="AH38" i="18"/>
  <c r="AG38" i="18"/>
  <c r="AF38" i="18"/>
  <c r="AE38" i="18"/>
  <c r="X38" i="18"/>
  <c r="W38" i="18"/>
  <c r="V38" i="18"/>
  <c r="L38" i="18"/>
  <c r="AD38" i="18"/>
  <c r="K38" i="18"/>
  <c r="AC38" i="18"/>
  <c r="J38" i="18"/>
  <c r="AB38" i="18"/>
  <c r="I38" i="18"/>
  <c r="AA38" i="18"/>
  <c r="H38" i="18"/>
  <c r="Z38" i="18"/>
  <c r="G38" i="18"/>
  <c r="Y38" i="18" s="1"/>
  <c r="AK37" i="18"/>
  <c r="AJ37" i="18"/>
  <c r="AI37" i="18"/>
  <c r="AH37" i="18"/>
  <c r="AG37" i="18"/>
  <c r="AF37" i="18"/>
  <c r="AE37" i="18"/>
  <c r="X37" i="18"/>
  <c r="W37" i="18"/>
  <c r="V37" i="18"/>
  <c r="L37" i="18"/>
  <c r="AD37" i="18" s="1"/>
  <c r="K37" i="18"/>
  <c r="AC37" i="18"/>
  <c r="J37" i="18"/>
  <c r="AB37" i="18" s="1"/>
  <c r="I37" i="18"/>
  <c r="AA37" i="18"/>
  <c r="H37" i="18"/>
  <c r="Z37" i="18" s="1"/>
  <c r="G37" i="18"/>
  <c r="Y37" i="18"/>
  <c r="AR36" i="18"/>
  <c r="AQ36" i="18"/>
  <c r="AO36" i="18"/>
  <c r="AN36" i="18"/>
  <c r="AK36" i="18"/>
  <c r="AJ36" i="18"/>
  <c r="AI36" i="18"/>
  <c r="AH36" i="18"/>
  <c r="AG36" i="18"/>
  <c r="AF36" i="18"/>
  <c r="AE36" i="18"/>
  <c r="X36" i="18"/>
  <c r="W36" i="18"/>
  <c r="V36" i="18"/>
  <c r="L36" i="18"/>
  <c r="AD36" i="18"/>
  <c r="K36" i="18"/>
  <c r="AC36" i="18" s="1"/>
  <c r="J36" i="18"/>
  <c r="AB36" i="18"/>
  <c r="I36" i="18"/>
  <c r="AA36" i="18" s="1"/>
  <c r="H36" i="18"/>
  <c r="Z36" i="18"/>
  <c r="G36" i="18"/>
  <c r="Y36" i="18" s="1"/>
  <c r="AR35" i="18"/>
  <c r="AQ35" i="18"/>
  <c r="AO35" i="18"/>
  <c r="AN35" i="18"/>
  <c r="AK35" i="18"/>
  <c r="AJ35" i="18"/>
  <c r="AI35" i="18"/>
  <c r="AH35" i="18"/>
  <c r="AG35" i="18"/>
  <c r="AF35" i="18"/>
  <c r="AE35" i="18"/>
  <c r="X35" i="18"/>
  <c r="W35" i="18"/>
  <c r="V35" i="18"/>
  <c r="L35" i="18"/>
  <c r="AD35" i="18"/>
  <c r="K35" i="18"/>
  <c r="AC35" i="18"/>
  <c r="J35" i="18"/>
  <c r="AB35" i="18"/>
  <c r="I35" i="18"/>
  <c r="AA35" i="18"/>
  <c r="H35" i="18"/>
  <c r="Z35" i="18"/>
  <c r="G35" i="18"/>
  <c r="Y35" i="18"/>
  <c r="AR34" i="18"/>
  <c r="AQ34" i="18"/>
  <c r="AO34" i="18"/>
  <c r="AN34" i="18"/>
  <c r="AK34" i="18"/>
  <c r="AJ34" i="18"/>
  <c r="AI34" i="18"/>
  <c r="AH34" i="18"/>
  <c r="AG34" i="18"/>
  <c r="AF34" i="18"/>
  <c r="AE34" i="18"/>
  <c r="X34" i="18"/>
  <c r="W34" i="18"/>
  <c r="V34" i="18"/>
  <c r="L34" i="18"/>
  <c r="AD34" i="18"/>
  <c r="K34" i="18"/>
  <c r="AC34" i="18"/>
  <c r="J34" i="18"/>
  <c r="AB34" i="18"/>
  <c r="I34" i="18"/>
  <c r="AA34" i="18"/>
  <c r="H34" i="18"/>
  <c r="Z34" i="18"/>
  <c r="G34" i="18"/>
  <c r="Y34" i="18"/>
  <c r="AR33" i="18"/>
  <c r="AQ33" i="18"/>
  <c r="AP33" i="18"/>
  <c r="AK33" i="18"/>
  <c r="AJ33" i="18"/>
  <c r="AI33" i="18"/>
  <c r="AH33" i="18"/>
  <c r="AG33" i="18"/>
  <c r="AF33" i="18"/>
  <c r="AE33" i="18"/>
  <c r="X33" i="18"/>
  <c r="W33" i="18"/>
  <c r="V33" i="18"/>
  <c r="L33" i="18"/>
  <c r="AD33" i="18"/>
  <c r="K33" i="18"/>
  <c r="AC33" i="18" s="1"/>
  <c r="J33" i="18"/>
  <c r="AB33" i="18" s="1"/>
  <c r="I33" i="18"/>
  <c r="AA33" i="18" s="1"/>
  <c r="H33" i="18"/>
  <c r="Z33" i="18"/>
  <c r="G33" i="18"/>
  <c r="Y33" i="18"/>
  <c r="AR32" i="18"/>
  <c r="AQ32" i="18"/>
  <c r="AP32" i="18"/>
  <c r="AK32" i="18"/>
  <c r="AJ32" i="18"/>
  <c r="AI32" i="18"/>
  <c r="AH32" i="18"/>
  <c r="AG32" i="18"/>
  <c r="AF32" i="18"/>
  <c r="AE32" i="18"/>
  <c r="X32" i="18"/>
  <c r="W32" i="18"/>
  <c r="V32" i="18"/>
  <c r="L32" i="18"/>
  <c r="AD32" i="18" s="1"/>
  <c r="K32" i="18"/>
  <c r="AC32" i="18" s="1"/>
  <c r="J32" i="18"/>
  <c r="AB32" i="18" s="1"/>
  <c r="I32" i="18"/>
  <c r="AA32" i="18" s="1"/>
  <c r="H32" i="18"/>
  <c r="Z32" i="18" s="1"/>
  <c r="G32" i="18"/>
  <c r="Y32" i="18" s="1"/>
  <c r="AR31" i="18"/>
  <c r="AQ31" i="18"/>
  <c r="AP31" i="18"/>
  <c r="AK31" i="18"/>
  <c r="AJ31" i="18"/>
  <c r="AI31" i="18"/>
  <c r="AH31" i="18"/>
  <c r="AG31" i="18"/>
  <c r="AF31" i="18"/>
  <c r="AE31" i="18"/>
  <c r="X31" i="18"/>
  <c r="W31" i="18"/>
  <c r="V31" i="18"/>
  <c r="L31" i="18"/>
  <c r="AD31" i="18"/>
  <c r="K31" i="18"/>
  <c r="J31" i="18"/>
  <c r="AB31" i="18" s="1"/>
  <c r="I31" i="18"/>
  <c r="AA31" i="18" s="1"/>
  <c r="H31" i="18"/>
  <c r="Z31" i="18" s="1"/>
  <c r="G31" i="18"/>
  <c r="Y31" i="18" s="1"/>
  <c r="AR30" i="18"/>
  <c r="AQ30" i="18"/>
  <c r="AP30" i="18"/>
  <c r="AK30" i="18"/>
  <c r="AJ30" i="18"/>
  <c r="AI30" i="18"/>
  <c r="AH30" i="18"/>
  <c r="AG30" i="18"/>
  <c r="AF30" i="18"/>
  <c r="AE30" i="18"/>
  <c r="X30" i="18"/>
  <c r="W30" i="18"/>
  <c r="V30" i="18"/>
  <c r="L30" i="18"/>
  <c r="AD30" i="18"/>
  <c r="K30" i="18"/>
  <c r="AC30" i="18"/>
  <c r="J30" i="18"/>
  <c r="AB30" i="18"/>
  <c r="I30" i="18"/>
  <c r="AA30" i="18"/>
  <c r="H30" i="18"/>
  <c r="Z30" i="18"/>
  <c r="G30" i="18"/>
  <c r="Y30" i="18"/>
  <c r="AR29" i="18"/>
  <c r="AQ29" i="18"/>
  <c r="AP29" i="18"/>
  <c r="AK29" i="18"/>
  <c r="AJ29" i="18"/>
  <c r="AI29" i="18"/>
  <c r="AH29" i="18"/>
  <c r="AG29" i="18"/>
  <c r="AF29" i="18"/>
  <c r="AE29" i="18"/>
  <c r="X29" i="18"/>
  <c r="W29" i="18"/>
  <c r="V29" i="18"/>
  <c r="L29" i="18"/>
  <c r="AD29" i="18" s="1"/>
  <c r="K29" i="18"/>
  <c r="AC29" i="18" s="1"/>
  <c r="J29" i="18"/>
  <c r="AB29" i="18" s="1"/>
  <c r="I29" i="18"/>
  <c r="AA29" i="18" s="1"/>
  <c r="H29" i="18"/>
  <c r="Z29" i="18" s="1"/>
  <c r="G29" i="18"/>
  <c r="Y29" i="18" s="1"/>
  <c r="AR28" i="18"/>
  <c r="AQ28" i="18"/>
  <c r="AP28" i="18"/>
  <c r="AK28" i="18"/>
  <c r="AJ28" i="18"/>
  <c r="AI28" i="18"/>
  <c r="AH28" i="18"/>
  <c r="AG28" i="18"/>
  <c r="AF28" i="18"/>
  <c r="AE28" i="18"/>
  <c r="X28" i="18"/>
  <c r="W28" i="18"/>
  <c r="V28" i="18"/>
  <c r="L28" i="18"/>
  <c r="AD28" i="18"/>
  <c r="K28" i="18"/>
  <c r="AC28" i="18"/>
  <c r="J28" i="18"/>
  <c r="AB28" i="18"/>
  <c r="I28" i="18"/>
  <c r="H28" i="18"/>
  <c r="Z28" i="18" s="1"/>
  <c r="G28" i="18"/>
  <c r="W26" i="18"/>
  <c r="V26" i="18"/>
  <c r="AO18" i="18"/>
  <c r="AN18" i="18"/>
  <c r="S18" i="18"/>
  <c r="R18" i="18"/>
  <c r="Q18" i="18"/>
  <c r="P18" i="18"/>
  <c r="O18" i="18"/>
  <c r="N18" i="18"/>
  <c r="M18" i="18"/>
  <c r="F18" i="18"/>
  <c r="E18" i="18"/>
  <c r="D18" i="18"/>
  <c r="C18" i="18"/>
  <c r="AR17" i="18"/>
  <c r="AQ17" i="18"/>
  <c r="AP17" i="18"/>
  <c r="AK17" i="18"/>
  <c r="AJ17" i="18"/>
  <c r="AI17" i="18"/>
  <c r="AH17" i="18"/>
  <c r="AG17" i="18"/>
  <c r="AF17" i="18"/>
  <c r="AE17" i="18"/>
  <c r="X17" i="18"/>
  <c r="W17" i="18"/>
  <c r="V17" i="18"/>
  <c r="L17" i="18"/>
  <c r="AD17" i="18"/>
  <c r="K17" i="18"/>
  <c r="AC17" i="18"/>
  <c r="J17" i="18"/>
  <c r="AB17" i="18"/>
  <c r="I17" i="18"/>
  <c r="AA17" i="18"/>
  <c r="H17" i="18"/>
  <c r="Z17" i="18"/>
  <c r="G17" i="18"/>
  <c r="Y17" i="18"/>
  <c r="AR16" i="18"/>
  <c r="AQ16" i="18"/>
  <c r="AP16" i="18"/>
  <c r="AK16" i="18"/>
  <c r="AJ16" i="18"/>
  <c r="AI16" i="18"/>
  <c r="AH16" i="18"/>
  <c r="AG16" i="18"/>
  <c r="AF16" i="18"/>
  <c r="AE16" i="18"/>
  <c r="X16" i="18"/>
  <c r="W16" i="18"/>
  <c r="V16" i="18"/>
  <c r="L16" i="18"/>
  <c r="AD16" i="18" s="1"/>
  <c r="K16" i="18"/>
  <c r="AC16" i="18" s="1"/>
  <c r="J16" i="18"/>
  <c r="AB16" i="18" s="1"/>
  <c r="I16" i="18"/>
  <c r="AA16" i="18" s="1"/>
  <c r="H16" i="18"/>
  <c r="Z16" i="18" s="1"/>
  <c r="G16" i="18"/>
  <c r="Y16" i="18" s="1"/>
  <c r="AR15" i="18"/>
  <c r="AQ15" i="18"/>
  <c r="AP15" i="18"/>
  <c r="AK15" i="18"/>
  <c r="AJ15" i="18"/>
  <c r="AI15" i="18"/>
  <c r="AH15" i="18"/>
  <c r="AG15" i="18"/>
  <c r="AF15" i="18"/>
  <c r="AE15" i="18"/>
  <c r="X15" i="18"/>
  <c r="W15" i="18"/>
  <c r="V15" i="18"/>
  <c r="L15" i="18"/>
  <c r="AD15" i="18"/>
  <c r="K15" i="18"/>
  <c r="AC15" i="18"/>
  <c r="J15" i="18"/>
  <c r="AB15" i="18"/>
  <c r="I15" i="18"/>
  <c r="AA15" i="18"/>
  <c r="H15" i="18"/>
  <c r="Z15" i="18"/>
  <c r="G15" i="18"/>
  <c r="Y15" i="18"/>
  <c r="AR14" i="18"/>
  <c r="AQ14" i="18"/>
  <c r="AP14" i="18"/>
  <c r="AP36" i="18"/>
  <c r="AK14" i="18"/>
  <c r="AJ14" i="18"/>
  <c r="AI14" i="18"/>
  <c r="AH14" i="18"/>
  <c r="AG14" i="18"/>
  <c r="AF14" i="18"/>
  <c r="AE14" i="18"/>
  <c r="X14" i="18"/>
  <c r="W14" i="18"/>
  <c r="V14" i="18"/>
  <c r="L14" i="18"/>
  <c r="AD14" i="18"/>
  <c r="K14" i="18"/>
  <c r="J14" i="18"/>
  <c r="AB14" i="18" s="1"/>
  <c r="I14" i="18"/>
  <c r="AA14" i="18" s="1"/>
  <c r="H14" i="18"/>
  <c r="Z14" i="18" s="1"/>
  <c r="G14" i="18"/>
  <c r="Y14" i="18" s="1"/>
  <c r="AR13" i="18"/>
  <c r="AQ13" i="18"/>
  <c r="AP13" i="18"/>
  <c r="AP35" i="18" s="1"/>
  <c r="AK13" i="18"/>
  <c r="AJ13" i="18"/>
  <c r="AI13" i="18"/>
  <c r="AH13" i="18"/>
  <c r="AG13" i="18"/>
  <c r="AF13" i="18"/>
  <c r="AE13" i="18"/>
  <c r="X13" i="18"/>
  <c r="W13" i="18"/>
  <c r="V13" i="18"/>
  <c r="L13" i="18"/>
  <c r="AD13" i="18" s="1"/>
  <c r="K13" i="18"/>
  <c r="AC13" i="18" s="1"/>
  <c r="J13" i="18"/>
  <c r="AB13" i="18" s="1"/>
  <c r="I13" i="18"/>
  <c r="AA13" i="18" s="1"/>
  <c r="H13" i="18"/>
  <c r="Z13" i="18" s="1"/>
  <c r="G13" i="18"/>
  <c r="Y13" i="18" s="1"/>
  <c r="AR12" i="18"/>
  <c r="AQ12" i="18"/>
  <c r="AP12" i="18"/>
  <c r="AP34" i="18" s="1"/>
  <c r="AK12" i="18"/>
  <c r="AJ12" i="18"/>
  <c r="AI12" i="18"/>
  <c r="AH12" i="18"/>
  <c r="AG12" i="18"/>
  <c r="AF12" i="18"/>
  <c r="AE12" i="18"/>
  <c r="X12" i="18"/>
  <c r="W12" i="18"/>
  <c r="V12" i="18"/>
  <c r="L12" i="18"/>
  <c r="AD12" i="18" s="1"/>
  <c r="K12" i="18"/>
  <c r="AC12" i="18"/>
  <c r="J12" i="18"/>
  <c r="AB12" i="18" s="1"/>
  <c r="I12" i="18"/>
  <c r="H12" i="18"/>
  <c r="Z12" i="18"/>
  <c r="G12" i="18"/>
  <c r="Y12" i="18"/>
  <c r="W4" i="18"/>
  <c r="V4" i="18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AC19" i="17" s="1"/>
  <c r="G18" i="17"/>
  <c r="AB18" i="17"/>
  <c r="G17" i="17"/>
  <c r="G16" i="17"/>
  <c r="Z16" i="17" s="1"/>
  <c r="G15" i="17"/>
  <c r="Y15" i="17"/>
  <c r="G14" i="17"/>
  <c r="X14" i="17"/>
  <c r="G13" i="17"/>
  <c r="W13" i="17"/>
  <c r="W14" i="17" s="1"/>
  <c r="W15" i="17" s="1"/>
  <c r="E12" i="17"/>
  <c r="G12" i="17"/>
  <c r="V12" i="17" s="1"/>
  <c r="G11" i="17"/>
  <c r="U11" i="17"/>
  <c r="G10" i="17"/>
  <c r="T10" i="17" s="1"/>
  <c r="G9" i="17"/>
  <c r="S9" i="17"/>
  <c r="S10" i="17"/>
  <c r="S11" i="17" s="1"/>
  <c r="S12" i="17" s="1"/>
  <c r="S13" i="17" s="1"/>
  <c r="S14" i="17" s="1"/>
  <c r="S15" i="17" s="1"/>
  <c r="S16" i="17" s="1"/>
  <c r="S17" i="17" s="1"/>
  <c r="S18" i="17" s="1"/>
  <c r="S19" i="17" s="1"/>
  <c r="S20" i="17" s="1"/>
  <c r="S21" i="17" s="1"/>
  <c r="S22" i="17" s="1"/>
  <c r="S23" i="17" s="1"/>
  <c r="S24" i="17" s="1"/>
  <c r="S25" i="17" s="1"/>
  <c r="S26" i="17" s="1"/>
  <c r="S27" i="17" s="1"/>
  <c r="S28" i="17" s="1"/>
  <c r="S29" i="17" s="1"/>
  <c r="S30" i="17" s="1"/>
  <c r="S31" i="17" s="1"/>
  <c r="S32" i="17" s="1"/>
  <c r="G8" i="17"/>
  <c r="R8" i="17"/>
  <c r="G7" i="17"/>
  <c r="Q7" i="17" s="1"/>
  <c r="G6" i="17"/>
  <c r="P6" i="17"/>
  <c r="G5" i="17"/>
  <c r="B23" i="17"/>
  <c r="B35" i="17"/>
  <c r="B47" i="17"/>
  <c r="P2" i="17"/>
  <c r="Q2" i="17" s="1"/>
  <c r="R2" i="17" s="1"/>
  <c r="S2" i="17" s="1"/>
  <c r="T2" i="17" s="1"/>
  <c r="U2" i="17" s="1"/>
  <c r="V2" i="17" s="1"/>
  <c r="W2" i="17" s="1"/>
  <c r="X2" i="17" s="1"/>
  <c r="Y2" i="17" s="1"/>
  <c r="Z2" i="17" s="1"/>
  <c r="AA2" i="17" s="1"/>
  <c r="AB2" i="17" s="1"/>
  <c r="AC2" i="17" s="1"/>
  <c r="AD2" i="17" s="1"/>
  <c r="AE2" i="17" s="1"/>
  <c r="AF2" i="17" s="1"/>
  <c r="AG2" i="17" s="1"/>
  <c r="AH2" i="17" s="1"/>
  <c r="F44" i="16"/>
  <c r="F43" i="16"/>
  <c r="F42" i="16"/>
  <c r="F41" i="16"/>
  <c r="F40" i="16"/>
  <c r="F39" i="16"/>
  <c r="F38" i="16"/>
  <c r="F37" i="16"/>
  <c r="F36" i="16"/>
  <c r="F35" i="16"/>
  <c r="AR35" i="16"/>
  <c r="AR36" i="16"/>
  <c r="AR37" i="16"/>
  <c r="AR38" i="16" s="1"/>
  <c r="AR39" i="16" s="1"/>
  <c r="AR40" i="16" s="1"/>
  <c r="AR41" i="16" s="1"/>
  <c r="AR42" i="16" s="1"/>
  <c r="AR43" i="16" s="1"/>
  <c r="AR44" i="16" s="1"/>
  <c r="AR45" i="16" s="1"/>
  <c r="AR46" i="16" s="1"/>
  <c r="AR47" i="16" s="1"/>
  <c r="AR48" i="16" s="1"/>
  <c r="AR49" i="16" s="1"/>
  <c r="AR50" i="16" s="1"/>
  <c r="AR51" i="16" s="1"/>
  <c r="AR52" i="16" s="1"/>
  <c r="AR53" i="16" s="1"/>
  <c r="AR54" i="16" s="1"/>
  <c r="AR55" i="16" s="1"/>
  <c r="AR56" i="16" s="1"/>
  <c r="AR57" i="16" s="1"/>
  <c r="AR58" i="16" s="1"/>
  <c r="AR59" i="16" s="1"/>
  <c r="AR60" i="16" s="1"/>
  <c r="AR61" i="16" s="1"/>
  <c r="AR62" i="16" s="1"/>
  <c r="AR63" i="16" s="1"/>
  <c r="AR64" i="16" s="1"/>
  <c r="AR65" i="16" s="1"/>
  <c r="F34" i="16"/>
  <c r="AQ34" i="16" s="1"/>
  <c r="AQ35" i="16" s="1"/>
  <c r="AQ36" i="16" s="1"/>
  <c r="AQ37" i="16" s="1"/>
  <c r="AQ38" i="16" s="1"/>
  <c r="AQ39" i="16" s="1"/>
  <c r="AQ40" i="16" s="1"/>
  <c r="AQ41" i="16" s="1"/>
  <c r="AQ42" i="16" s="1"/>
  <c r="AQ43" i="16" s="1"/>
  <c r="AQ44" i="16" s="1"/>
  <c r="AQ45" i="16" s="1"/>
  <c r="AQ46" i="16" s="1"/>
  <c r="AQ47" i="16" s="1"/>
  <c r="AQ48" i="16" s="1"/>
  <c r="AQ49" i="16" s="1"/>
  <c r="AQ50" i="16" s="1"/>
  <c r="AQ51" i="16" s="1"/>
  <c r="AQ52" i="16" s="1"/>
  <c r="AQ53" i="16" s="1"/>
  <c r="AQ54" i="16" s="1"/>
  <c r="AQ55" i="16" s="1"/>
  <c r="AQ56" i="16" s="1"/>
  <c r="AQ57" i="16" s="1"/>
  <c r="AQ58" i="16" s="1"/>
  <c r="AQ59" i="16" s="1"/>
  <c r="AQ60" i="16" s="1"/>
  <c r="AQ61" i="16" s="1"/>
  <c r="AQ62" i="16" s="1"/>
  <c r="AQ63" i="16" s="1"/>
  <c r="AQ64" i="16" s="1"/>
  <c r="AQ65" i="16" s="1"/>
  <c r="AQ66" i="16" s="1"/>
  <c r="AQ67" i="16" s="1"/>
  <c r="AQ68" i="16" s="1"/>
  <c r="AQ69" i="16" s="1"/>
  <c r="AQ70" i="16" s="1"/>
  <c r="AQ71" i="16" s="1"/>
  <c r="AQ72" i="16" s="1"/>
  <c r="AQ73" i="16" s="1"/>
  <c r="AQ74" i="16" s="1"/>
  <c r="AQ75" i="16" s="1"/>
  <c r="AQ76" i="16" s="1"/>
  <c r="AQ77" i="16" s="1"/>
  <c r="AQ78" i="16" s="1"/>
  <c r="AQ79" i="16" s="1"/>
  <c r="AQ80" i="16" s="1"/>
  <c r="AQ81" i="16" s="1"/>
  <c r="AQ82" i="16" s="1"/>
  <c r="AQ83" i="16" s="1"/>
  <c r="AQ84" i="16" s="1"/>
  <c r="AQ85" i="16" s="1"/>
  <c r="AQ86" i="16" s="1"/>
  <c r="AQ87" i="16" s="1"/>
  <c r="AQ88" i="16" s="1"/>
  <c r="AQ89" i="16" s="1"/>
  <c r="AQ90" i="16" s="1"/>
  <c r="AQ91" i="16" s="1"/>
  <c r="AQ92" i="16" s="1"/>
  <c r="AQ93" i="16" s="1"/>
  <c r="F33" i="16"/>
  <c r="F26" i="16"/>
  <c r="AI26" i="16"/>
  <c r="F25" i="16"/>
  <c r="AH25" i="16" s="1"/>
  <c r="F24" i="16"/>
  <c r="F23" i="16"/>
  <c r="AF23" i="16" s="1"/>
  <c r="AF24" i="16" s="1"/>
  <c r="F22" i="16"/>
  <c r="AE22" i="16"/>
  <c r="AE23" i="16" s="1"/>
  <c r="AE24" i="16" s="1"/>
  <c r="AE25" i="16" s="1"/>
  <c r="AE26" i="16" s="1"/>
  <c r="AE27" i="16" s="1"/>
  <c r="AE28" i="16" s="1"/>
  <c r="AE29" i="16" s="1"/>
  <c r="AE30" i="16" s="1"/>
  <c r="AE31" i="16" s="1"/>
  <c r="AE32" i="16" s="1"/>
  <c r="AE33" i="16" s="1"/>
  <c r="AE34" i="16" s="1"/>
  <c r="AE35" i="16" s="1"/>
  <c r="AE36" i="16" s="1"/>
  <c r="AE37" i="16" s="1"/>
  <c r="AE38" i="16" s="1"/>
  <c r="AE39" i="16" s="1"/>
  <c r="AE40" i="16" s="1"/>
  <c r="AE41" i="16" s="1"/>
  <c r="AE42" i="16" s="1"/>
  <c r="AE43" i="16" s="1"/>
  <c r="AE44" i="16" s="1"/>
  <c r="AE45" i="16" s="1"/>
  <c r="AE46" i="16" s="1"/>
  <c r="AE47" i="16" s="1"/>
  <c r="AE48" i="16" s="1"/>
  <c r="AE49" i="16" s="1"/>
  <c r="AE50" i="16" s="1"/>
  <c r="AE51" i="16" s="1"/>
  <c r="AE52" i="16" s="1"/>
  <c r="AE53" i="16" s="1"/>
  <c r="AE54" i="16" s="1"/>
  <c r="AE55" i="16" s="1"/>
  <c r="AE56" i="16" s="1"/>
  <c r="AE57" i="16" s="1"/>
  <c r="AE58" i="16" s="1"/>
  <c r="AE59" i="16" s="1"/>
  <c r="AE60" i="16" s="1"/>
  <c r="AE61" i="16" s="1"/>
  <c r="AE62" i="16" s="1"/>
  <c r="AE63" i="16" s="1"/>
  <c r="AE64" i="16" s="1"/>
  <c r="AE65" i="16" s="1"/>
  <c r="AE66" i="16" s="1"/>
  <c r="AE67" i="16" s="1"/>
  <c r="AE68" i="16" s="1"/>
  <c r="AE69" i="16" s="1"/>
  <c r="AE70" i="16" s="1"/>
  <c r="AE71" i="16" s="1"/>
  <c r="AE72" i="16" s="1"/>
  <c r="AE73" i="16" s="1"/>
  <c r="AE74" i="16" s="1"/>
  <c r="AE75" i="16" s="1"/>
  <c r="AE76" i="16" s="1"/>
  <c r="AE77" i="16" s="1"/>
  <c r="AE78" i="16" s="1"/>
  <c r="AE79" i="16" s="1"/>
  <c r="AE80" i="16" s="1"/>
  <c r="AE81" i="16" s="1"/>
  <c r="F21" i="16"/>
  <c r="AD21" i="16" s="1"/>
  <c r="F20" i="16"/>
  <c r="AC20" i="16"/>
  <c r="F19" i="16"/>
  <c r="AB19" i="16" s="1"/>
  <c r="AB20" i="16" s="1"/>
  <c r="F18" i="16"/>
  <c r="AA18" i="16"/>
  <c r="F17" i="16"/>
  <c r="Z17" i="16" s="1"/>
  <c r="F16" i="16"/>
  <c r="Y16" i="16"/>
  <c r="F15" i="16"/>
  <c r="X15" i="16" s="1"/>
  <c r="F14" i="16"/>
  <c r="W14" i="16"/>
  <c r="F13" i="16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V23" i="16" s="1"/>
  <c r="V24" i="16" s="1"/>
  <c r="V25" i="16" s="1"/>
  <c r="V26" i="16" s="1"/>
  <c r="V27" i="16" s="1"/>
  <c r="V28" i="16" s="1"/>
  <c r="V29" i="16" s="1"/>
  <c r="V30" i="16" s="1"/>
  <c r="V31" i="16" s="1"/>
  <c r="V32" i="16" s="1"/>
  <c r="V33" i="16" s="1"/>
  <c r="V34" i="16" s="1"/>
  <c r="V35" i="16" s="1"/>
  <c r="V36" i="16" s="1"/>
  <c r="V37" i="16" s="1"/>
  <c r="V38" i="16" s="1"/>
  <c r="V39" i="16" s="1"/>
  <c r="V40" i="16" s="1"/>
  <c r="V41" i="16" s="1"/>
  <c r="V42" i="16" s="1"/>
  <c r="V43" i="16" s="1"/>
  <c r="V44" i="16" s="1"/>
  <c r="V45" i="16" s="1"/>
  <c r="V46" i="16" s="1"/>
  <c r="V47" i="16" s="1"/>
  <c r="V48" i="16" s="1"/>
  <c r="V49" i="16" s="1"/>
  <c r="V50" i="16" s="1"/>
  <c r="V51" i="16" s="1"/>
  <c r="V52" i="16" s="1"/>
  <c r="V53" i="16" s="1"/>
  <c r="V54" i="16" s="1"/>
  <c r="V55" i="16" s="1"/>
  <c r="V56" i="16" s="1"/>
  <c r="V57" i="16" s="1"/>
  <c r="V58" i="16" s="1"/>
  <c r="V59" i="16" s="1"/>
  <c r="V60" i="16" s="1"/>
  <c r="V61" i="16" s="1"/>
  <c r="V62" i="16" s="1"/>
  <c r="V63" i="16" s="1"/>
  <c r="V64" i="16" s="1"/>
  <c r="V65" i="16" s="1"/>
  <c r="V66" i="16" s="1"/>
  <c r="V67" i="16" s="1"/>
  <c r="V68" i="16" s="1"/>
  <c r="V69" i="16" s="1"/>
  <c r="V70" i="16" s="1"/>
  <c r="V71" i="16" s="1"/>
  <c r="V72" i="16" s="1"/>
  <c r="F12" i="16"/>
  <c r="U12" i="16"/>
  <c r="F11" i="16"/>
  <c r="T11" i="16" s="1"/>
  <c r="T12" i="16" s="1"/>
  <c r="T13" i="16" s="1"/>
  <c r="T14" i="16" s="1"/>
  <c r="T15" i="16" s="1"/>
  <c r="T16" i="16" s="1"/>
  <c r="T17" i="16" s="1"/>
  <c r="T18" i="16" s="1"/>
  <c r="T19" i="16" s="1"/>
  <c r="T20" i="16" s="1"/>
  <c r="T21" i="16" s="1"/>
  <c r="T22" i="16" s="1"/>
  <c r="T23" i="16" s="1"/>
  <c r="T24" i="16" s="1"/>
  <c r="T25" i="16" s="1"/>
  <c r="T26" i="16" s="1"/>
  <c r="T27" i="16" s="1"/>
  <c r="T28" i="16" s="1"/>
  <c r="T29" i="16" s="1"/>
  <c r="T30" i="16" s="1"/>
  <c r="T31" i="16" s="1"/>
  <c r="T32" i="16" s="1"/>
  <c r="T33" i="16" s="1"/>
  <c r="T34" i="16" s="1"/>
  <c r="T35" i="16" s="1"/>
  <c r="T36" i="16" s="1"/>
  <c r="T37" i="16" s="1"/>
  <c r="T38" i="16" s="1"/>
  <c r="T39" i="16" s="1"/>
  <c r="T40" i="16" s="1"/>
  <c r="T41" i="16" s="1"/>
  <c r="T42" i="16" s="1"/>
  <c r="T43" i="16" s="1"/>
  <c r="T44" i="16" s="1"/>
  <c r="T45" i="16" s="1"/>
  <c r="T46" i="16" s="1"/>
  <c r="T47" i="16" s="1"/>
  <c r="T48" i="16" s="1"/>
  <c r="T49" i="16" s="1"/>
  <c r="T50" i="16" s="1"/>
  <c r="T51" i="16" s="1"/>
  <c r="T52" i="16" s="1"/>
  <c r="T53" i="16" s="1"/>
  <c r="T54" i="16" s="1"/>
  <c r="T55" i="16" s="1"/>
  <c r="T56" i="16" s="1"/>
  <c r="T57" i="16" s="1"/>
  <c r="T58" i="16" s="1"/>
  <c r="T59" i="16" s="1"/>
  <c r="T60" i="16" s="1"/>
  <c r="T61" i="16" s="1"/>
  <c r="T62" i="16" s="1"/>
  <c r="T63" i="16" s="1"/>
  <c r="T64" i="16" s="1"/>
  <c r="T65" i="16" s="1"/>
  <c r="T66" i="16" s="1"/>
  <c r="T67" i="16" s="1"/>
  <c r="T68" i="16" s="1"/>
  <c r="T69" i="16" s="1"/>
  <c r="T70" i="16" s="1"/>
  <c r="F10" i="16"/>
  <c r="S10" i="16"/>
  <c r="F9" i="16"/>
  <c r="R9" i="16"/>
  <c r="R10" i="16" s="1"/>
  <c r="R11" i="16" s="1"/>
  <c r="R12" i="16" s="1"/>
  <c r="R13" i="16" s="1"/>
  <c r="R14" i="16" s="1"/>
  <c r="R15" i="16" s="1"/>
  <c r="R16" i="16" s="1"/>
  <c r="R17" i="16" s="1"/>
  <c r="R18" i="16" s="1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R42" i="16" s="1"/>
  <c r="R43" i="16" s="1"/>
  <c r="R44" i="16" s="1"/>
  <c r="R45" i="16" s="1"/>
  <c r="R46" i="16" s="1"/>
  <c r="R47" i="16" s="1"/>
  <c r="R48" i="16" s="1"/>
  <c r="R49" i="16" s="1"/>
  <c r="R50" i="16" s="1"/>
  <c r="R51" i="16" s="1"/>
  <c r="R52" i="16" s="1"/>
  <c r="R53" i="16" s="1"/>
  <c r="R54" i="16" s="1"/>
  <c r="R55" i="16" s="1"/>
  <c r="R56" i="16" s="1"/>
  <c r="R57" i="16" s="1"/>
  <c r="R58" i="16" s="1"/>
  <c r="R59" i="16" s="1"/>
  <c r="R60" i="16" s="1"/>
  <c r="R61" i="16" s="1"/>
  <c r="R62" i="16" s="1"/>
  <c r="R63" i="16" s="1"/>
  <c r="R64" i="16" s="1"/>
  <c r="R65" i="16" s="1"/>
  <c r="R66" i="16" s="1"/>
  <c r="R67" i="16" s="1"/>
  <c r="R68" i="16" s="1"/>
  <c r="B21" i="16"/>
  <c r="B33" i="16" s="1"/>
  <c r="B45" i="16" s="1"/>
  <c r="B57" i="16" s="1"/>
  <c r="B69" i="16" s="1"/>
  <c r="B81" i="16" s="1"/>
  <c r="B93" i="16" s="1"/>
  <c r="F8" i="16"/>
  <c r="Q8" i="16"/>
  <c r="F7" i="16"/>
  <c r="P7" i="16" s="1"/>
  <c r="F6" i="16"/>
  <c r="O6" i="16"/>
  <c r="O7" i="16" s="1"/>
  <c r="O8" i="16" s="1"/>
  <c r="O9" i="16" s="1"/>
  <c r="O10" i="16" s="1"/>
  <c r="O11" i="16" s="1"/>
  <c r="O12" i="16" s="1"/>
  <c r="O13" i="16" s="1"/>
  <c r="O14" i="16" s="1"/>
  <c r="O15" i="16" s="1"/>
  <c r="O16" i="16" s="1"/>
  <c r="O17" i="16" s="1"/>
  <c r="O18" i="16" s="1"/>
  <c r="O19" i="16" s="1"/>
  <c r="O20" i="16" s="1"/>
  <c r="O21" i="16" s="1"/>
  <c r="O22" i="16" s="1"/>
  <c r="O23" i="16" s="1"/>
  <c r="O24" i="16" s="1"/>
  <c r="O25" i="16" s="1"/>
  <c r="O26" i="16" s="1"/>
  <c r="O27" i="16" s="1"/>
  <c r="O28" i="16" s="1"/>
  <c r="O29" i="16" s="1"/>
  <c r="O30" i="16" s="1"/>
  <c r="O31" i="16" s="1"/>
  <c r="O32" i="16" s="1"/>
  <c r="O33" i="16" s="1"/>
  <c r="O34" i="16" s="1"/>
  <c r="O35" i="16" s="1"/>
  <c r="O36" i="16" s="1"/>
  <c r="O37" i="16" s="1"/>
  <c r="O38" i="16" s="1"/>
  <c r="O39" i="16" s="1"/>
  <c r="O40" i="16" s="1"/>
  <c r="O41" i="16" s="1"/>
  <c r="O42" i="16" s="1"/>
  <c r="O43" i="16" s="1"/>
  <c r="O44" i="16" s="1"/>
  <c r="O45" i="16" s="1"/>
  <c r="O46" i="16" s="1"/>
  <c r="O47" i="16" s="1"/>
  <c r="O48" i="16" s="1"/>
  <c r="O49" i="16" s="1"/>
  <c r="O50" i="16" s="1"/>
  <c r="O51" i="16" s="1"/>
  <c r="O52" i="16" s="1"/>
  <c r="O53" i="16" s="1"/>
  <c r="O54" i="16" s="1"/>
  <c r="O55" i="16" s="1"/>
  <c r="O56" i="16" s="1"/>
  <c r="O57" i="16" s="1"/>
  <c r="O58" i="16" s="1"/>
  <c r="O59" i="16" s="1"/>
  <c r="O60" i="16" s="1"/>
  <c r="O61" i="16" s="1"/>
  <c r="O62" i="16" s="1"/>
  <c r="O63" i="16" s="1"/>
  <c r="O64" i="16" s="1"/>
  <c r="O65" i="16" s="1"/>
  <c r="F5" i="16"/>
  <c r="O2" i="16"/>
  <c r="P2" i="16" s="1"/>
  <c r="Q2" i="16" s="1"/>
  <c r="R2" i="16" s="1"/>
  <c r="S2" i="16" s="1"/>
  <c r="T2" i="16" s="1"/>
  <c r="U2" i="16" s="1"/>
  <c r="V2" i="16" s="1"/>
  <c r="W2" i="16" s="1"/>
  <c r="X2" i="16" s="1"/>
  <c r="Y2" i="16" s="1"/>
  <c r="Z2" i="16" s="1"/>
  <c r="AA2" i="16" s="1"/>
  <c r="AB2" i="16" s="1"/>
  <c r="AC2" i="16" s="1"/>
  <c r="AD2" i="16" s="1"/>
  <c r="AE2" i="16" s="1"/>
  <c r="AF2" i="16" s="1"/>
  <c r="AG2" i="16" s="1"/>
  <c r="AH2" i="16" s="1"/>
  <c r="AI2" i="16" s="1"/>
  <c r="AJ2" i="16" s="1"/>
  <c r="AK2" i="16" s="1"/>
  <c r="AL2" i="16" s="1"/>
  <c r="AM2" i="16" s="1"/>
  <c r="AN2" i="16" s="1"/>
  <c r="AO2" i="16" s="1"/>
  <c r="AP2" i="16" s="1"/>
  <c r="AQ2" i="16" s="1"/>
  <c r="AR2" i="16" s="1"/>
  <c r="AS2" i="16" s="1"/>
  <c r="AT2" i="16" s="1"/>
  <c r="AU2" i="16" s="1"/>
  <c r="G46" i="15"/>
  <c r="G45" i="15"/>
  <c r="G44" i="15"/>
  <c r="G43" i="15"/>
  <c r="G42" i="15"/>
  <c r="G41" i="15"/>
  <c r="G40" i="15"/>
  <c r="G39" i="15"/>
  <c r="G38" i="15"/>
  <c r="AV38" i="15"/>
  <c r="AV39" i="15"/>
  <c r="AV40" i="15" s="1"/>
  <c r="AV41" i="15" s="1"/>
  <c r="AV42" i="15" s="1"/>
  <c r="AV43" i="15" s="1"/>
  <c r="AV44" i="15" s="1"/>
  <c r="AV45" i="15" s="1"/>
  <c r="AV46" i="15" s="1"/>
  <c r="AV47" i="15" s="1"/>
  <c r="AV48" i="15" s="1"/>
  <c r="AV49" i="15" s="1"/>
  <c r="AV50" i="15" s="1"/>
  <c r="AV51" i="15" s="1"/>
  <c r="AV52" i="15" s="1"/>
  <c r="AV53" i="15" s="1"/>
  <c r="AV54" i="15" s="1"/>
  <c r="AV55" i="15" s="1"/>
  <c r="AV56" i="15" s="1"/>
  <c r="AV57" i="15" s="1"/>
  <c r="AV58" i="15" s="1"/>
  <c r="AV59" i="15" s="1"/>
  <c r="AV60" i="15" s="1"/>
  <c r="AV61" i="15" s="1"/>
  <c r="AV62" i="15" s="1"/>
  <c r="AV63" i="15" s="1"/>
  <c r="AV64" i="15" s="1"/>
  <c r="AV65" i="15" s="1"/>
  <c r="AV66" i="15" s="1"/>
  <c r="AV67" i="15" s="1"/>
  <c r="AV68" i="15" s="1"/>
  <c r="AV69" i="15" s="1"/>
  <c r="AV70" i="15" s="1"/>
  <c r="AV71" i="15" s="1"/>
  <c r="AV72" i="15" s="1"/>
  <c r="AV73" i="15" s="1"/>
  <c r="AV74" i="15" s="1"/>
  <c r="AV75" i="15" s="1"/>
  <c r="AV76" i="15" s="1"/>
  <c r="AV77" i="15" s="1"/>
  <c r="AV78" i="15" s="1"/>
  <c r="AV79" i="15" s="1"/>
  <c r="AV80" i="15" s="1"/>
  <c r="AV81" i="15" s="1"/>
  <c r="AV82" i="15" s="1"/>
  <c r="AV83" i="15" s="1"/>
  <c r="AV84" i="15" s="1"/>
  <c r="AV85" i="15" s="1"/>
  <c r="AV86" i="15" s="1"/>
  <c r="AV87" i="15" s="1"/>
  <c r="AV88" i="15" s="1"/>
  <c r="AV89" i="15" s="1"/>
  <c r="AV90" i="15" s="1"/>
  <c r="AV91" i="15" s="1"/>
  <c r="AV92" i="15" s="1"/>
  <c r="AV93" i="15" s="1"/>
  <c r="AV94" i="15" s="1"/>
  <c r="AV95" i="15" s="1"/>
  <c r="AV96" i="15" s="1"/>
  <c r="AV97" i="15" s="1"/>
  <c r="AV98" i="15" s="1"/>
  <c r="AV99" i="15" s="1"/>
  <c r="AV100" i="15" s="1"/>
  <c r="AV101" i="15" s="1"/>
  <c r="AV102" i="15" s="1"/>
  <c r="AV103" i="15" s="1"/>
  <c r="AV104" i="15" s="1"/>
  <c r="AV105" i="15" s="1"/>
  <c r="AV106" i="15" s="1"/>
  <c r="AV107" i="15" s="1"/>
  <c r="AV108" i="15" s="1"/>
  <c r="AV109" i="15" s="1"/>
  <c r="AV110" i="15" s="1"/>
  <c r="AV111" i="15" s="1"/>
  <c r="AV112" i="15" s="1"/>
  <c r="AV113" i="15" s="1"/>
  <c r="AV114" i="15" s="1"/>
  <c r="AV115" i="15" s="1"/>
  <c r="AV116" i="15" s="1"/>
  <c r="AV117" i="15" s="1"/>
  <c r="AV118" i="15" s="1"/>
  <c r="AV119" i="15" s="1"/>
  <c r="AV120" i="15" s="1"/>
  <c r="AV121" i="15" s="1"/>
  <c r="AV122" i="15" s="1"/>
  <c r="AV123" i="15" s="1"/>
  <c r="AV124" i="15" s="1"/>
  <c r="AV125" i="15" s="1"/>
  <c r="AV126" i="15" s="1"/>
  <c r="AV127" i="15" s="1"/>
  <c r="AV128" i="15" s="1"/>
  <c r="AV129" i="15" s="1"/>
  <c r="AV130" i="15" s="1"/>
  <c r="AV131" i="15" s="1"/>
  <c r="AV132" i="15" s="1"/>
  <c r="AV133" i="15" s="1"/>
  <c r="AV134" i="15" s="1"/>
  <c r="AV135" i="15" s="1"/>
  <c r="AV136" i="15" s="1"/>
  <c r="AV137" i="15" s="1"/>
  <c r="AV138" i="15" s="1"/>
  <c r="AV139" i="15" s="1"/>
  <c r="AV140" i="15" s="1"/>
  <c r="AV141" i="15" s="1"/>
  <c r="AV142" i="15" s="1"/>
  <c r="AV143" i="15" s="1"/>
  <c r="AV144" i="15" s="1"/>
  <c r="AV145" i="15" s="1"/>
  <c r="AV146" i="15" s="1"/>
  <c r="AV147" i="15" s="1"/>
  <c r="AV148" i="15" s="1"/>
  <c r="AV149" i="15" s="1"/>
  <c r="AV150" i="15" s="1"/>
  <c r="AV151" i="15" s="1"/>
  <c r="AV152" i="15" s="1"/>
  <c r="AV153" i="15" s="1"/>
  <c r="AV154" i="15" s="1"/>
  <c r="AV155" i="15" s="1"/>
  <c r="AV156" i="15" s="1"/>
  <c r="AV157" i="15" s="1"/>
  <c r="AX157" i="15" s="1"/>
  <c r="G37" i="15"/>
  <c r="AU37" i="15" s="1"/>
  <c r="AU38" i="15" s="1"/>
  <c r="AU39" i="15" s="1"/>
  <c r="AU40" i="15" s="1"/>
  <c r="AU41" i="15" s="1"/>
  <c r="AU42" i="15" s="1"/>
  <c r="AU43" i="15" s="1"/>
  <c r="AU44" i="15" s="1"/>
  <c r="AU45" i="15" s="1"/>
  <c r="AU46" i="15" s="1"/>
  <c r="AU47" i="15" s="1"/>
  <c r="AU48" i="15" s="1"/>
  <c r="AU49" i="15" s="1"/>
  <c r="AU50" i="15" s="1"/>
  <c r="AU51" i="15" s="1"/>
  <c r="AU52" i="15" s="1"/>
  <c r="AU53" i="15" s="1"/>
  <c r="AU54" i="15" s="1"/>
  <c r="AU55" i="15" s="1"/>
  <c r="AU56" i="15" s="1"/>
  <c r="AU57" i="15" s="1"/>
  <c r="AU58" i="15" s="1"/>
  <c r="AU59" i="15" s="1"/>
  <c r="AU60" i="15" s="1"/>
  <c r="AU61" i="15" s="1"/>
  <c r="AU62" i="15" s="1"/>
  <c r="AU63" i="15" s="1"/>
  <c r="AU64" i="15" s="1"/>
  <c r="AU65" i="15" s="1"/>
  <c r="AU66" i="15" s="1"/>
  <c r="AU67" i="15" s="1"/>
  <c r="AU68" i="15" s="1"/>
  <c r="AU69" i="15" s="1"/>
  <c r="AU70" i="15" s="1"/>
  <c r="AU71" i="15" s="1"/>
  <c r="AU72" i="15" s="1"/>
  <c r="AU73" i="15" s="1"/>
  <c r="AU74" i="15" s="1"/>
  <c r="AU75" i="15" s="1"/>
  <c r="AU76" i="15" s="1"/>
  <c r="AU77" i="15" s="1"/>
  <c r="AU78" i="15" s="1"/>
  <c r="AU79" i="15" s="1"/>
  <c r="AU80" i="15" s="1"/>
  <c r="AU81" i="15" s="1"/>
  <c r="AU82" i="15" s="1"/>
  <c r="AU83" i="15" s="1"/>
  <c r="AU84" i="15" s="1"/>
  <c r="AU85" i="15" s="1"/>
  <c r="AU86" i="15" s="1"/>
  <c r="AU87" i="15" s="1"/>
  <c r="AU88" i="15" s="1"/>
  <c r="AU89" i="15" s="1"/>
  <c r="AU90" i="15" s="1"/>
  <c r="AU91" i="15" s="1"/>
  <c r="AU92" i="15" s="1"/>
  <c r="AU93" i="15" s="1"/>
  <c r="AU94" i="15" s="1"/>
  <c r="AU95" i="15" s="1"/>
  <c r="AU96" i="15" s="1"/>
  <c r="AU97" i="15" s="1"/>
  <c r="AU98" i="15" s="1"/>
  <c r="AU99" i="15" s="1"/>
  <c r="AU100" i="15" s="1"/>
  <c r="AU101" i="15" s="1"/>
  <c r="AU102" i="15" s="1"/>
  <c r="AU103" i="15" s="1"/>
  <c r="AU104" i="15" s="1"/>
  <c r="AU105" i="15" s="1"/>
  <c r="AU106" i="15" s="1"/>
  <c r="AU107" i="15" s="1"/>
  <c r="AU108" i="15" s="1"/>
  <c r="AU109" i="15" s="1"/>
  <c r="AU110" i="15" s="1"/>
  <c r="AU111" i="15" s="1"/>
  <c r="AU112" i="15" s="1"/>
  <c r="AU113" i="15" s="1"/>
  <c r="AU114" i="15" s="1"/>
  <c r="AU115" i="15" s="1"/>
  <c r="AU116" i="15" s="1"/>
  <c r="AU117" i="15" s="1"/>
  <c r="AU118" i="15" s="1"/>
  <c r="AU119" i="15" s="1"/>
  <c r="AU120" i="15" s="1"/>
  <c r="AU121" i="15" s="1"/>
  <c r="AU122" i="15" s="1"/>
  <c r="AU123" i="15" s="1"/>
  <c r="AU124" i="15" s="1"/>
  <c r="AU125" i="15" s="1"/>
  <c r="AU126" i="15" s="1"/>
  <c r="AU127" i="15" s="1"/>
  <c r="AU128" i="15" s="1"/>
  <c r="AU129" i="15" s="1"/>
  <c r="AU130" i="15" s="1"/>
  <c r="AU131" i="15" s="1"/>
  <c r="AU132" i="15" s="1"/>
  <c r="AU133" i="15" s="1"/>
  <c r="AU134" i="15" s="1"/>
  <c r="AU135" i="15" s="1"/>
  <c r="AU136" i="15" s="1"/>
  <c r="AU137" i="15" s="1"/>
  <c r="AU138" i="15" s="1"/>
  <c r="AU139" i="15" s="1"/>
  <c r="AU140" i="15" s="1"/>
  <c r="AU141" i="15" s="1"/>
  <c r="AU142" i="15" s="1"/>
  <c r="AU143" i="15" s="1"/>
  <c r="AU144" i="15" s="1"/>
  <c r="AU145" i="15" s="1"/>
  <c r="AU146" i="15" s="1"/>
  <c r="AU147" i="15" s="1"/>
  <c r="AU148" i="15" s="1"/>
  <c r="AU149" i="15" s="1"/>
  <c r="AU150" i="15" s="1"/>
  <c r="AU151" i="15" s="1"/>
  <c r="AU152" i="15" s="1"/>
  <c r="AU153" i="15" s="1"/>
  <c r="AU154" i="15" s="1"/>
  <c r="AU155" i="15" s="1"/>
  <c r="AU156" i="15" s="1"/>
  <c r="G36" i="15"/>
  <c r="AT36" i="15" s="1"/>
  <c r="AT37" i="15" s="1"/>
  <c r="AT38" i="15" s="1"/>
  <c r="AT39" i="15" s="1"/>
  <c r="AT40" i="15" s="1"/>
  <c r="AT41" i="15" s="1"/>
  <c r="AT42" i="15" s="1"/>
  <c r="AT43" i="15" s="1"/>
  <c r="AT44" i="15" s="1"/>
  <c r="AT45" i="15" s="1"/>
  <c r="AT46" i="15" s="1"/>
  <c r="AT47" i="15" s="1"/>
  <c r="AT48" i="15" s="1"/>
  <c r="AT49" i="15" s="1"/>
  <c r="AT50" i="15" s="1"/>
  <c r="AT51" i="15" s="1"/>
  <c r="AT52" i="15" s="1"/>
  <c r="AT53" i="15" s="1"/>
  <c r="AT54" i="15" s="1"/>
  <c r="AT55" i="15" s="1"/>
  <c r="AT56" i="15" s="1"/>
  <c r="AT57" i="15" s="1"/>
  <c r="AT58" i="15" s="1"/>
  <c r="AT59" i="15" s="1"/>
  <c r="AT60" i="15" s="1"/>
  <c r="AT61" i="15" s="1"/>
  <c r="AT62" i="15" s="1"/>
  <c r="AT63" i="15" s="1"/>
  <c r="AT64" i="15" s="1"/>
  <c r="AT65" i="15" s="1"/>
  <c r="AT66" i="15" s="1"/>
  <c r="AT67" i="15" s="1"/>
  <c r="AT68" i="15" s="1"/>
  <c r="AT69" i="15" s="1"/>
  <c r="AT70" i="15" s="1"/>
  <c r="AT71" i="15" s="1"/>
  <c r="AT72" i="15" s="1"/>
  <c r="AT73" i="15" s="1"/>
  <c r="AT74" i="15" s="1"/>
  <c r="AT75" i="15" s="1"/>
  <c r="AT76" i="15" s="1"/>
  <c r="AT77" i="15" s="1"/>
  <c r="AT78" i="15" s="1"/>
  <c r="AT79" i="15" s="1"/>
  <c r="AT80" i="15" s="1"/>
  <c r="AT81" i="15" s="1"/>
  <c r="AT82" i="15" s="1"/>
  <c r="AT83" i="15" s="1"/>
  <c r="AT84" i="15" s="1"/>
  <c r="AT85" i="15" s="1"/>
  <c r="AT86" i="15" s="1"/>
  <c r="AT87" i="15" s="1"/>
  <c r="AT88" i="15" s="1"/>
  <c r="AT89" i="15" s="1"/>
  <c r="AT90" i="15" s="1"/>
  <c r="AT91" i="15" s="1"/>
  <c r="AT92" i="15" s="1"/>
  <c r="AT93" i="15" s="1"/>
  <c r="AT94" i="15" s="1"/>
  <c r="AT95" i="15" s="1"/>
  <c r="AT96" i="15" s="1"/>
  <c r="AT97" i="15" s="1"/>
  <c r="AT98" i="15" s="1"/>
  <c r="AT99" i="15" s="1"/>
  <c r="AT100" i="15" s="1"/>
  <c r="AT101" i="15" s="1"/>
  <c r="AT102" i="15" s="1"/>
  <c r="AT103" i="15" s="1"/>
  <c r="AT104" i="15" s="1"/>
  <c r="AT105" i="15" s="1"/>
  <c r="AT106" i="15" s="1"/>
  <c r="AT107" i="15" s="1"/>
  <c r="AT108" i="15" s="1"/>
  <c r="AT109" i="15" s="1"/>
  <c r="AT110" i="15" s="1"/>
  <c r="AT111" i="15" s="1"/>
  <c r="AT112" i="15" s="1"/>
  <c r="AT113" i="15" s="1"/>
  <c r="AT114" i="15" s="1"/>
  <c r="AT115" i="15" s="1"/>
  <c r="AT116" i="15" s="1"/>
  <c r="AT117" i="15" s="1"/>
  <c r="AT118" i="15" s="1"/>
  <c r="AT119" i="15" s="1"/>
  <c r="AT120" i="15" s="1"/>
  <c r="AT121" i="15" s="1"/>
  <c r="AT122" i="15" s="1"/>
  <c r="AT123" i="15" s="1"/>
  <c r="AT124" i="15" s="1"/>
  <c r="AT125" i="15" s="1"/>
  <c r="AT126" i="15" s="1"/>
  <c r="AT127" i="15" s="1"/>
  <c r="AT128" i="15" s="1"/>
  <c r="AT129" i="15" s="1"/>
  <c r="AT130" i="15" s="1"/>
  <c r="AT131" i="15" s="1"/>
  <c r="AT132" i="15" s="1"/>
  <c r="AT133" i="15" s="1"/>
  <c r="AT134" i="15" s="1"/>
  <c r="AT135" i="15" s="1"/>
  <c r="AT136" i="15" s="1"/>
  <c r="AT137" i="15" s="1"/>
  <c r="AT138" i="15" s="1"/>
  <c r="AT139" i="15" s="1"/>
  <c r="AT140" i="15" s="1"/>
  <c r="AT141" i="15" s="1"/>
  <c r="AT142" i="15" s="1"/>
  <c r="AT143" i="15" s="1"/>
  <c r="AT144" i="15" s="1"/>
  <c r="AT145" i="15" s="1"/>
  <c r="AT146" i="15" s="1"/>
  <c r="AT147" i="15" s="1"/>
  <c r="AT148" i="15" s="1"/>
  <c r="AT149" i="15" s="1"/>
  <c r="AT150" i="15" s="1"/>
  <c r="AT151" i="15" s="1"/>
  <c r="AT152" i="15" s="1"/>
  <c r="AT153" i="15" s="1"/>
  <c r="AT154" i="15" s="1"/>
  <c r="AT155" i="15" s="1"/>
  <c r="G35" i="15"/>
  <c r="AS35" i="15"/>
  <c r="AS36" i="15" s="1"/>
  <c r="AS37" i="15" s="1"/>
  <c r="AS38" i="15" s="1"/>
  <c r="AS39" i="15" s="1"/>
  <c r="AS40" i="15" s="1"/>
  <c r="AS41" i="15" s="1"/>
  <c r="AS42" i="15" s="1"/>
  <c r="AS43" i="15" s="1"/>
  <c r="AS44" i="15" s="1"/>
  <c r="AS45" i="15" s="1"/>
  <c r="AS46" i="15" s="1"/>
  <c r="AS47" i="15" s="1"/>
  <c r="AS48" i="15" s="1"/>
  <c r="AS49" i="15" s="1"/>
  <c r="AS50" i="15" s="1"/>
  <c r="AS51" i="15" s="1"/>
  <c r="AS52" i="15" s="1"/>
  <c r="AS53" i="15" s="1"/>
  <c r="AS54" i="15" s="1"/>
  <c r="AS55" i="15" s="1"/>
  <c r="AS56" i="15" s="1"/>
  <c r="AS57" i="15" s="1"/>
  <c r="AS58" i="15" s="1"/>
  <c r="AS59" i="15" s="1"/>
  <c r="AS60" i="15" s="1"/>
  <c r="AS61" i="15" s="1"/>
  <c r="AS62" i="15" s="1"/>
  <c r="AS63" i="15" s="1"/>
  <c r="AS64" i="15" s="1"/>
  <c r="AS65" i="15" s="1"/>
  <c r="AS66" i="15" s="1"/>
  <c r="AS67" i="15" s="1"/>
  <c r="AS68" i="15" s="1"/>
  <c r="AS69" i="15" s="1"/>
  <c r="AS70" i="15" s="1"/>
  <c r="AS71" i="15" s="1"/>
  <c r="AS72" i="15" s="1"/>
  <c r="AS73" i="15" s="1"/>
  <c r="AS74" i="15" s="1"/>
  <c r="AS75" i="15" s="1"/>
  <c r="AS76" i="15" s="1"/>
  <c r="AS77" i="15" s="1"/>
  <c r="AS78" i="15" s="1"/>
  <c r="AS79" i="15" s="1"/>
  <c r="AS80" i="15" s="1"/>
  <c r="AS81" i="15" s="1"/>
  <c r="AS82" i="15" s="1"/>
  <c r="AS83" i="15" s="1"/>
  <c r="AS84" i="15" s="1"/>
  <c r="AS85" i="15" s="1"/>
  <c r="AS86" i="15" s="1"/>
  <c r="AS87" i="15" s="1"/>
  <c r="AS88" i="15" s="1"/>
  <c r="AS89" i="15" s="1"/>
  <c r="AS90" i="15" s="1"/>
  <c r="AS91" i="15" s="1"/>
  <c r="AS92" i="15" s="1"/>
  <c r="AS93" i="15" s="1"/>
  <c r="AS94" i="15" s="1"/>
  <c r="AS95" i="15" s="1"/>
  <c r="AS96" i="15" s="1"/>
  <c r="AS97" i="15" s="1"/>
  <c r="AS98" i="15" s="1"/>
  <c r="AS99" i="15" s="1"/>
  <c r="AS100" i="15" s="1"/>
  <c r="AS101" i="15" s="1"/>
  <c r="AS102" i="15" s="1"/>
  <c r="AS103" i="15" s="1"/>
  <c r="AS104" i="15" s="1"/>
  <c r="AS105" i="15" s="1"/>
  <c r="AS106" i="15" s="1"/>
  <c r="AS107" i="15" s="1"/>
  <c r="AS108" i="15" s="1"/>
  <c r="AS109" i="15" s="1"/>
  <c r="AS110" i="15" s="1"/>
  <c r="AS111" i="15" s="1"/>
  <c r="AS112" i="15" s="1"/>
  <c r="AS113" i="15" s="1"/>
  <c r="AS114" i="15" s="1"/>
  <c r="AS115" i="15" s="1"/>
  <c r="AS116" i="15" s="1"/>
  <c r="AS117" i="15" s="1"/>
  <c r="AS118" i="15" s="1"/>
  <c r="AS119" i="15" s="1"/>
  <c r="AS120" i="15" s="1"/>
  <c r="AS121" i="15" s="1"/>
  <c r="AS122" i="15" s="1"/>
  <c r="AS123" i="15" s="1"/>
  <c r="AS124" i="15" s="1"/>
  <c r="AS125" i="15" s="1"/>
  <c r="AS126" i="15" s="1"/>
  <c r="AS127" i="15" s="1"/>
  <c r="AS128" i="15" s="1"/>
  <c r="AS129" i="15" s="1"/>
  <c r="AS130" i="15" s="1"/>
  <c r="AS131" i="15" s="1"/>
  <c r="AS132" i="15" s="1"/>
  <c r="AS133" i="15" s="1"/>
  <c r="AS134" i="15" s="1"/>
  <c r="AS135" i="15" s="1"/>
  <c r="AS136" i="15" s="1"/>
  <c r="AS137" i="15" s="1"/>
  <c r="AS138" i="15" s="1"/>
  <c r="AS139" i="15" s="1"/>
  <c r="AS140" i="15" s="1"/>
  <c r="AS141" i="15" s="1"/>
  <c r="AS142" i="15" s="1"/>
  <c r="AS143" i="15" s="1"/>
  <c r="AS144" i="15" s="1"/>
  <c r="AS145" i="15" s="1"/>
  <c r="AS146" i="15" s="1"/>
  <c r="AS147" i="15" s="1"/>
  <c r="AS148" i="15" s="1"/>
  <c r="AS149" i="15" s="1"/>
  <c r="AS150" i="15" s="1"/>
  <c r="AS151" i="15" s="1"/>
  <c r="AS152" i="15" s="1"/>
  <c r="AS153" i="15" s="1"/>
  <c r="AS154" i="15" s="1"/>
  <c r="G34" i="15"/>
  <c r="G33" i="15"/>
  <c r="AQ33" i="15" s="1"/>
  <c r="AQ34" i="15" s="1"/>
  <c r="AQ35" i="15" s="1"/>
  <c r="AQ36" i="15" s="1"/>
  <c r="AQ37" i="15" s="1"/>
  <c r="AQ38" i="15" s="1"/>
  <c r="AQ39" i="15" s="1"/>
  <c r="AQ40" i="15" s="1"/>
  <c r="AQ41" i="15" s="1"/>
  <c r="AQ42" i="15" s="1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AQ54" i="15" s="1"/>
  <c r="AQ55" i="15" s="1"/>
  <c r="AQ56" i="15" s="1"/>
  <c r="AQ57" i="15" s="1"/>
  <c r="AQ58" i="15" s="1"/>
  <c r="AQ59" i="15" s="1"/>
  <c r="AQ60" i="15" s="1"/>
  <c r="AQ61" i="15" s="1"/>
  <c r="AQ62" i="15" s="1"/>
  <c r="AQ63" i="15" s="1"/>
  <c r="AQ64" i="15" s="1"/>
  <c r="AQ65" i="15" s="1"/>
  <c r="AQ66" i="15" s="1"/>
  <c r="AQ67" i="15" s="1"/>
  <c r="AQ68" i="15" s="1"/>
  <c r="AQ69" i="15" s="1"/>
  <c r="AQ70" i="15" s="1"/>
  <c r="AQ71" i="15" s="1"/>
  <c r="AQ72" i="15" s="1"/>
  <c r="AQ73" i="15" s="1"/>
  <c r="AQ74" i="15" s="1"/>
  <c r="AQ75" i="15" s="1"/>
  <c r="AQ76" i="15" s="1"/>
  <c r="AQ77" i="15" s="1"/>
  <c r="AQ78" i="15" s="1"/>
  <c r="AQ79" i="15" s="1"/>
  <c r="AQ80" i="15" s="1"/>
  <c r="AQ81" i="15" s="1"/>
  <c r="AQ82" i="15" s="1"/>
  <c r="AQ83" i="15" s="1"/>
  <c r="AQ84" i="15" s="1"/>
  <c r="AQ85" i="15" s="1"/>
  <c r="AQ86" i="15" s="1"/>
  <c r="AQ87" i="15" s="1"/>
  <c r="AQ88" i="15" s="1"/>
  <c r="AQ89" i="15" s="1"/>
  <c r="AQ90" i="15" s="1"/>
  <c r="AQ91" i="15" s="1"/>
  <c r="AQ92" i="15" s="1"/>
  <c r="AQ93" i="15" s="1"/>
  <c r="AQ94" i="15" s="1"/>
  <c r="AQ95" i="15" s="1"/>
  <c r="AQ96" i="15" s="1"/>
  <c r="AQ97" i="15" s="1"/>
  <c r="AQ98" i="15" s="1"/>
  <c r="AQ99" i="15" s="1"/>
  <c r="AQ100" i="15" s="1"/>
  <c r="AQ101" i="15" s="1"/>
  <c r="AQ102" i="15" s="1"/>
  <c r="AQ103" i="15" s="1"/>
  <c r="AQ104" i="15" s="1"/>
  <c r="AQ105" i="15" s="1"/>
  <c r="AQ106" i="15" s="1"/>
  <c r="AQ107" i="15" s="1"/>
  <c r="AQ108" i="15" s="1"/>
  <c r="AQ109" i="15" s="1"/>
  <c r="AQ110" i="15" s="1"/>
  <c r="AQ111" i="15" s="1"/>
  <c r="AQ112" i="15" s="1"/>
  <c r="AQ113" i="15" s="1"/>
  <c r="AQ114" i="15" s="1"/>
  <c r="AQ115" i="15" s="1"/>
  <c r="AQ116" i="15" s="1"/>
  <c r="AQ117" i="15" s="1"/>
  <c r="AQ118" i="15" s="1"/>
  <c r="AQ119" i="15" s="1"/>
  <c r="AQ120" i="15" s="1"/>
  <c r="AQ121" i="15" s="1"/>
  <c r="AQ122" i="15" s="1"/>
  <c r="AQ123" i="15" s="1"/>
  <c r="AQ124" i="15" s="1"/>
  <c r="AQ125" i="15" s="1"/>
  <c r="AQ126" i="15" s="1"/>
  <c r="AQ127" i="15" s="1"/>
  <c r="AQ128" i="15" s="1"/>
  <c r="AQ129" i="15" s="1"/>
  <c r="AQ130" i="15" s="1"/>
  <c r="AQ131" i="15" s="1"/>
  <c r="AQ132" i="15" s="1"/>
  <c r="AQ133" i="15" s="1"/>
  <c r="AQ134" i="15" s="1"/>
  <c r="AQ135" i="15" s="1"/>
  <c r="AQ136" i="15" s="1"/>
  <c r="AQ137" i="15" s="1"/>
  <c r="AQ138" i="15" s="1"/>
  <c r="AQ139" i="15" s="1"/>
  <c r="AQ140" i="15" s="1"/>
  <c r="AQ141" i="15" s="1"/>
  <c r="AQ142" i="15" s="1"/>
  <c r="AQ143" i="15" s="1"/>
  <c r="AQ144" i="15" s="1"/>
  <c r="AQ145" i="15" s="1"/>
  <c r="AQ146" i="15" s="1"/>
  <c r="AQ147" i="15" s="1"/>
  <c r="AQ148" i="15" s="1"/>
  <c r="AQ149" i="15" s="1"/>
  <c r="AQ150" i="15" s="1"/>
  <c r="AQ151" i="15" s="1"/>
  <c r="AQ152" i="15" s="1"/>
  <c r="G32" i="15"/>
  <c r="AP32" i="15" s="1"/>
  <c r="AP33" i="15" s="1"/>
  <c r="AP34" i="15" s="1"/>
  <c r="AP35" i="15" s="1"/>
  <c r="AP36" i="15" s="1"/>
  <c r="AP37" i="15" s="1"/>
  <c r="AP38" i="15" s="1"/>
  <c r="AP39" i="15" s="1"/>
  <c r="AP40" i="15" s="1"/>
  <c r="AP41" i="15" s="1"/>
  <c r="AP42" i="15" s="1"/>
  <c r="AP43" i="15" s="1"/>
  <c r="AP44" i="15" s="1"/>
  <c r="AP45" i="15" s="1"/>
  <c r="AP46" i="15" s="1"/>
  <c r="AP47" i="15" s="1"/>
  <c r="AP48" i="15" s="1"/>
  <c r="AP49" i="15" s="1"/>
  <c r="AP50" i="15" s="1"/>
  <c r="AP51" i="15" s="1"/>
  <c r="AP52" i="15" s="1"/>
  <c r="AP53" i="15" s="1"/>
  <c r="AP54" i="15" s="1"/>
  <c r="AP55" i="15" s="1"/>
  <c r="AP56" i="15" s="1"/>
  <c r="AP57" i="15" s="1"/>
  <c r="AP58" i="15" s="1"/>
  <c r="AP59" i="15" s="1"/>
  <c r="AP60" i="15" s="1"/>
  <c r="AP61" i="15" s="1"/>
  <c r="AP62" i="15" s="1"/>
  <c r="AP63" i="15" s="1"/>
  <c r="AP64" i="15" s="1"/>
  <c r="AP65" i="15" s="1"/>
  <c r="AP66" i="15" s="1"/>
  <c r="AP67" i="15" s="1"/>
  <c r="AP68" i="15" s="1"/>
  <c r="AP69" i="15" s="1"/>
  <c r="AP70" i="15" s="1"/>
  <c r="AP71" i="15" s="1"/>
  <c r="AP72" i="15" s="1"/>
  <c r="AP73" i="15" s="1"/>
  <c r="AP74" i="15" s="1"/>
  <c r="AP75" i="15" s="1"/>
  <c r="AP76" i="15" s="1"/>
  <c r="AP77" i="15" s="1"/>
  <c r="AP78" i="15" s="1"/>
  <c r="AP79" i="15" s="1"/>
  <c r="AP80" i="15" s="1"/>
  <c r="AP81" i="15" s="1"/>
  <c r="AP82" i="15" s="1"/>
  <c r="AP83" i="15" s="1"/>
  <c r="AP84" i="15" s="1"/>
  <c r="AP85" i="15" s="1"/>
  <c r="AP86" i="15" s="1"/>
  <c r="AP87" i="15" s="1"/>
  <c r="AP88" i="15" s="1"/>
  <c r="AP89" i="15" s="1"/>
  <c r="AP90" i="15" s="1"/>
  <c r="AP91" i="15" s="1"/>
  <c r="AP92" i="15" s="1"/>
  <c r="AP93" i="15" s="1"/>
  <c r="AP94" i="15" s="1"/>
  <c r="AP95" i="15" s="1"/>
  <c r="AP96" i="15" s="1"/>
  <c r="AP97" i="15" s="1"/>
  <c r="AP98" i="15" s="1"/>
  <c r="AP99" i="15" s="1"/>
  <c r="AP100" i="15" s="1"/>
  <c r="AP101" i="15" s="1"/>
  <c r="AP102" i="15" s="1"/>
  <c r="AP103" i="15" s="1"/>
  <c r="AP104" i="15" s="1"/>
  <c r="AP105" i="15" s="1"/>
  <c r="AP106" i="15" s="1"/>
  <c r="AP107" i="15" s="1"/>
  <c r="AP108" i="15" s="1"/>
  <c r="AP109" i="15" s="1"/>
  <c r="AP110" i="15" s="1"/>
  <c r="AP111" i="15" s="1"/>
  <c r="AP112" i="15" s="1"/>
  <c r="AP113" i="15" s="1"/>
  <c r="AP114" i="15" s="1"/>
  <c r="AP115" i="15" s="1"/>
  <c r="AP116" i="15" s="1"/>
  <c r="AP117" i="15" s="1"/>
  <c r="AP118" i="15" s="1"/>
  <c r="AP119" i="15" s="1"/>
  <c r="AP120" i="15" s="1"/>
  <c r="AP121" i="15" s="1"/>
  <c r="AP122" i="15" s="1"/>
  <c r="AP123" i="15" s="1"/>
  <c r="AP124" i="15" s="1"/>
  <c r="AP125" i="15" s="1"/>
  <c r="AP126" i="15" s="1"/>
  <c r="AP127" i="15" s="1"/>
  <c r="AP128" i="15" s="1"/>
  <c r="AP129" i="15" s="1"/>
  <c r="AP130" i="15" s="1"/>
  <c r="AP131" i="15" s="1"/>
  <c r="AP132" i="15" s="1"/>
  <c r="AP133" i="15" s="1"/>
  <c r="AP134" i="15" s="1"/>
  <c r="AP135" i="15" s="1"/>
  <c r="AP136" i="15" s="1"/>
  <c r="AP137" i="15" s="1"/>
  <c r="AP138" i="15" s="1"/>
  <c r="AP139" i="15" s="1"/>
  <c r="AP140" i="15" s="1"/>
  <c r="AP141" i="15" s="1"/>
  <c r="AP142" i="15" s="1"/>
  <c r="AP143" i="15" s="1"/>
  <c r="AP144" i="15" s="1"/>
  <c r="AP145" i="15" s="1"/>
  <c r="AP146" i="15" s="1"/>
  <c r="AP147" i="15" s="1"/>
  <c r="AP148" i="15" s="1"/>
  <c r="AP149" i="15" s="1"/>
  <c r="AP150" i="15" s="1"/>
  <c r="AP151" i="15" s="1"/>
  <c r="G31" i="15"/>
  <c r="AO31" i="15" s="1"/>
  <c r="G30" i="15"/>
  <c r="AN30" i="15" s="1"/>
  <c r="G29" i="15"/>
  <c r="G28" i="15"/>
  <c r="AL28" i="15"/>
  <c r="G27" i="15"/>
  <c r="AK27" i="15" s="1"/>
  <c r="AK28" i="15" s="1"/>
  <c r="AK29" i="15" s="1"/>
  <c r="AK30" i="15" s="1"/>
  <c r="AK31" i="15" s="1"/>
  <c r="AK32" i="15" s="1"/>
  <c r="AK33" i="15" s="1"/>
  <c r="AK34" i="15" s="1"/>
  <c r="AK35" i="15" s="1"/>
  <c r="AK36" i="15" s="1"/>
  <c r="AK37" i="15" s="1"/>
  <c r="AK38" i="15" s="1"/>
  <c r="AK39" i="15" s="1"/>
  <c r="AK40" i="15" s="1"/>
  <c r="AK41" i="15" s="1"/>
  <c r="AK42" i="15" s="1"/>
  <c r="AK43" i="15" s="1"/>
  <c r="AK44" i="15" s="1"/>
  <c r="AK45" i="15" s="1"/>
  <c r="AK46" i="15" s="1"/>
  <c r="AK47" i="15" s="1"/>
  <c r="AK48" i="15" s="1"/>
  <c r="AK49" i="15" s="1"/>
  <c r="AK50" i="15" s="1"/>
  <c r="AK51" i="15" s="1"/>
  <c r="AK52" i="15" s="1"/>
  <c r="AK53" i="15" s="1"/>
  <c r="AK54" i="15" s="1"/>
  <c r="AK55" i="15" s="1"/>
  <c r="AK56" i="15" s="1"/>
  <c r="AK57" i="15" s="1"/>
  <c r="AK58" i="15" s="1"/>
  <c r="AK59" i="15" s="1"/>
  <c r="AK60" i="15" s="1"/>
  <c r="AK61" i="15" s="1"/>
  <c r="AK62" i="15" s="1"/>
  <c r="AK63" i="15" s="1"/>
  <c r="AK64" i="15" s="1"/>
  <c r="AK65" i="15" s="1"/>
  <c r="AK66" i="15" s="1"/>
  <c r="AK67" i="15" s="1"/>
  <c r="AK68" i="15" s="1"/>
  <c r="AK69" i="15" s="1"/>
  <c r="AK70" i="15" s="1"/>
  <c r="AK71" i="15" s="1"/>
  <c r="AK72" i="15" s="1"/>
  <c r="AK73" i="15" s="1"/>
  <c r="AK74" i="15" s="1"/>
  <c r="AK75" i="15" s="1"/>
  <c r="AK76" i="15" s="1"/>
  <c r="AK77" i="15" s="1"/>
  <c r="AK78" i="15" s="1"/>
  <c r="AK79" i="15" s="1"/>
  <c r="AK80" i="15" s="1"/>
  <c r="AK81" i="15" s="1"/>
  <c r="AK82" i="15" s="1"/>
  <c r="AK83" i="15" s="1"/>
  <c r="AK84" i="15" s="1"/>
  <c r="AK85" i="15" s="1"/>
  <c r="AK86" i="15" s="1"/>
  <c r="AK87" i="15" s="1"/>
  <c r="AK88" i="15" s="1"/>
  <c r="AK89" i="15" s="1"/>
  <c r="AK90" i="15" s="1"/>
  <c r="AK91" i="15" s="1"/>
  <c r="AK92" i="15" s="1"/>
  <c r="AK93" i="15" s="1"/>
  <c r="AK94" i="15" s="1"/>
  <c r="AK95" i="15" s="1"/>
  <c r="AK96" i="15" s="1"/>
  <c r="AK97" i="15" s="1"/>
  <c r="AK98" i="15" s="1"/>
  <c r="AK99" i="15" s="1"/>
  <c r="AK100" i="15" s="1"/>
  <c r="AK101" i="15" s="1"/>
  <c r="AK102" i="15" s="1"/>
  <c r="AK103" i="15" s="1"/>
  <c r="AK104" i="15" s="1"/>
  <c r="AK105" i="15" s="1"/>
  <c r="AK106" i="15" s="1"/>
  <c r="AK107" i="15" s="1"/>
  <c r="AK108" i="15" s="1"/>
  <c r="AK109" i="15" s="1"/>
  <c r="AK110" i="15" s="1"/>
  <c r="AK111" i="15" s="1"/>
  <c r="AK112" i="15" s="1"/>
  <c r="AK113" i="15" s="1"/>
  <c r="AK114" i="15" s="1"/>
  <c r="AK115" i="15" s="1"/>
  <c r="AK116" i="15" s="1"/>
  <c r="AK117" i="15" s="1"/>
  <c r="AK118" i="15" s="1"/>
  <c r="AK119" i="15" s="1"/>
  <c r="AK120" i="15" s="1"/>
  <c r="AK121" i="15" s="1"/>
  <c r="AK122" i="15" s="1"/>
  <c r="AK123" i="15" s="1"/>
  <c r="AK124" i="15" s="1"/>
  <c r="AK125" i="15" s="1"/>
  <c r="AK126" i="15" s="1"/>
  <c r="AK127" i="15" s="1"/>
  <c r="AK128" i="15" s="1"/>
  <c r="AK129" i="15" s="1"/>
  <c r="AK130" i="15" s="1"/>
  <c r="AK131" i="15" s="1"/>
  <c r="AK132" i="15" s="1"/>
  <c r="AK133" i="15" s="1"/>
  <c r="AK134" i="15" s="1"/>
  <c r="AK135" i="15" s="1"/>
  <c r="AK136" i="15" s="1"/>
  <c r="AK137" i="15" s="1"/>
  <c r="AK138" i="15" s="1"/>
  <c r="AK139" i="15" s="1"/>
  <c r="AK140" i="15" s="1"/>
  <c r="AK141" i="15" s="1"/>
  <c r="AK142" i="15" s="1"/>
  <c r="AK143" i="15" s="1"/>
  <c r="AK144" i="15" s="1"/>
  <c r="AK145" i="15" s="1"/>
  <c r="AK146" i="15" s="1"/>
  <c r="G26" i="15"/>
  <c r="AJ26" i="15" s="1"/>
  <c r="G25" i="15"/>
  <c r="AI25" i="15"/>
  <c r="G24" i="15"/>
  <c r="AH24" i="15" s="1"/>
  <c r="G23" i="15"/>
  <c r="AG23" i="15"/>
  <c r="G22" i="15"/>
  <c r="AF22" i="15" s="1"/>
  <c r="G21" i="15"/>
  <c r="AE21" i="15"/>
  <c r="G20" i="15"/>
  <c r="AD20" i="15" s="1"/>
  <c r="AD21" i="15" s="1"/>
  <c r="AD22" i="15" s="1"/>
  <c r="AD23" i="15" s="1"/>
  <c r="AD24" i="15" s="1"/>
  <c r="AD25" i="15" s="1"/>
  <c r="AD26" i="15" s="1"/>
  <c r="AD27" i="15" s="1"/>
  <c r="AD28" i="15" s="1"/>
  <c r="AD29" i="15" s="1"/>
  <c r="AD30" i="15" s="1"/>
  <c r="AD31" i="15" s="1"/>
  <c r="AD32" i="15" s="1"/>
  <c r="AD33" i="15" s="1"/>
  <c r="AD34" i="15" s="1"/>
  <c r="AD35" i="15" s="1"/>
  <c r="AD36" i="15" s="1"/>
  <c r="AD37" i="15" s="1"/>
  <c r="AD38" i="15" s="1"/>
  <c r="AD39" i="15" s="1"/>
  <c r="AD40" i="15" s="1"/>
  <c r="AD41" i="15" s="1"/>
  <c r="AD42" i="15" s="1"/>
  <c r="AD43" i="15" s="1"/>
  <c r="AD44" i="15" s="1"/>
  <c r="AD45" i="15" s="1"/>
  <c r="AD46" i="15" s="1"/>
  <c r="AD47" i="15" s="1"/>
  <c r="AD48" i="15" s="1"/>
  <c r="AD49" i="15" s="1"/>
  <c r="AD50" i="15" s="1"/>
  <c r="AD51" i="15" s="1"/>
  <c r="AD52" i="15" s="1"/>
  <c r="AD53" i="15" s="1"/>
  <c r="AD54" i="15" s="1"/>
  <c r="AD55" i="15" s="1"/>
  <c r="AD56" i="15" s="1"/>
  <c r="AD57" i="15" s="1"/>
  <c r="AD58" i="15" s="1"/>
  <c r="AD59" i="15" s="1"/>
  <c r="AD60" i="15" s="1"/>
  <c r="AD61" i="15" s="1"/>
  <c r="AD62" i="15" s="1"/>
  <c r="AD63" i="15" s="1"/>
  <c r="AD64" i="15" s="1"/>
  <c r="AD65" i="15" s="1"/>
  <c r="AD66" i="15" s="1"/>
  <c r="AD67" i="15" s="1"/>
  <c r="AD68" i="15" s="1"/>
  <c r="AD69" i="15" s="1"/>
  <c r="AD70" i="15" s="1"/>
  <c r="AD71" i="15" s="1"/>
  <c r="AD72" i="15" s="1"/>
  <c r="AD73" i="15" s="1"/>
  <c r="AD74" i="15" s="1"/>
  <c r="AD75" i="15" s="1"/>
  <c r="AD76" i="15" s="1"/>
  <c r="AD77" i="15" s="1"/>
  <c r="AD78" i="15" s="1"/>
  <c r="AD79" i="15" s="1"/>
  <c r="AD80" i="15" s="1"/>
  <c r="AD81" i="15" s="1"/>
  <c r="AD82" i="15" s="1"/>
  <c r="AD83" i="15" s="1"/>
  <c r="AD84" i="15" s="1"/>
  <c r="AD85" i="15" s="1"/>
  <c r="AD86" i="15" s="1"/>
  <c r="AD87" i="15" s="1"/>
  <c r="AD88" i="15" s="1"/>
  <c r="AD89" i="15" s="1"/>
  <c r="AD90" i="15" s="1"/>
  <c r="AD91" i="15" s="1"/>
  <c r="AD92" i="15" s="1"/>
  <c r="AD93" i="15" s="1"/>
  <c r="AD94" i="15" s="1"/>
  <c r="AD95" i="15" s="1"/>
  <c r="AD96" i="15" s="1"/>
  <c r="AD97" i="15" s="1"/>
  <c r="AD98" i="15" s="1"/>
  <c r="AD99" i="15" s="1"/>
  <c r="AD100" i="15" s="1"/>
  <c r="AD101" i="15" s="1"/>
  <c r="AD102" i="15" s="1"/>
  <c r="AD103" i="15" s="1"/>
  <c r="AD104" i="15" s="1"/>
  <c r="AD105" i="15" s="1"/>
  <c r="AD106" i="15" s="1"/>
  <c r="AD107" i="15" s="1"/>
  <c r="AD108" i="15" s="1"/>
  <c r="AD109" i="15" s="1"/>
  <c r="AD110" i="15" s="1"/>
  <c r="AD111" i="15" s="1"/>
  <c r="AD112" i="15" s="1"/>
  <c r="AD113" i="15" s="1"/>
  <c r="AD114" i="15" s="1"/>
  <c r="AD115" i="15" s="1"/>
  <c r="AD116" i="15" s="1"/>
  <c r="AD117" i="15" s="1"/>
  <c r="AD118" i="15" s="1"/>
  <c r="AD119" i="15" s="1"/>
  <c r="AD120" i="15" s="1"/>
  <c r="AD121" i="15" s="1"/>
  <c r="AD122" i="15" s="1"/>
  <c r="AD123" i="15" s="1"/>
  <c r="AD124" i="15" s="1"/>
  <c r="AD125" i="15" s="1"/>
  <c r="AD126" i="15" s="1"/>
  <c r="AD127" i="15" s="1"/>
  <c r="AD128" i="15" s="1"/>
  <c r="AD129" i="15" s="1"/>
  <c r="AD130" i="15" s="1"/>
  <c r="AD131" i="15" s="1"/>
  <c r="AD132" i="15" s="1"/>
  <c r="AD133" i="15" s="1"/>
  <c r="AD134" i="15" s="1"/>
  <c r="AD135" i="15" s="1"/>
  <c r="AD136" i="15" s="1"/>
  <c r="AD137" i="15" s="1"/>
  <c r="AD138" i="15" s="1"/>
  <c r="AD139" i="15" s="1"/>
  <c r="G19" i="15"/>
  <c r="AC19" i="15" s="1"/>
  <c r="G18" i="15"/>
  <c r="AB18" i="15"/>
  <c r="G17" i="15"/>
  <c r="AA17" i="15" s="1"/>
  <c r="G16" i="15"/>
  <c r="Z16" i="15"/>
  <c r="G15" i="15"/>
  <c r="Y15" i="15" s="1"/>
  <c r="Y16" i="15" s="1"/>
  <c r="Y17" i="15" s="1"/>
  <c r="Y18" i="15" s="1"/>
  <c r="Y19" i="15" s="1"/>
  <c r="Y20" i="15" s="1"/>
  <c r="Y21" i="15" s="1"/>
  <c r="Y22" i="15" s="1"/>
  <c r="Y23" i="15" s="1"/>
  <c r="Y24" i="15" s="1"/>
  <c r="Y25" i="15" s="1"/>
  <c r="Y26" i="15" s="1"/>
  <c r="Y27" i="15" s="1"/>
  <c r="Y28" i="15" s="1"/>
  <c r="Y29" i="15" s="1"/>
  <c r="Y30" i="15" s="1"/>
  <c r="Y31" i="15" s="1"/>
  <c r="Y32" i="15" s="1"/>
  <c r="Y33" i="15" s="1"/>
  <c r="Y34" i="15" s="1"/>
  <c r="Y35" i="15" s="1"/>
  <c r="Y36" i="15" s="1"/>
  <c r="Y37" i="15" s="1"/>
  <c r="Y38" i="15" s="1"/>
  <c r="Y39" i="15" s="1"/>
  <c r="Y40" i="15" s="1"/>
  <c r="Y41" i="15" s="1"/>
  <c r="Y42" i="15" s="1"/>
  <c r="Y43" i="15" s="1"/>
  <c r="Y44" i="15" s="1"/>
  <c r="Y45" i="15" s="1"/>
  <c r="Y46" i="15" s="1"/>
  <c r="Y47" i="15" s="1"/>
  <c r="Y48" i="15" s="1"/>
  <c r="Y49" i="15" s="1"/>
  <c r="Y50" i="15" s="1"/>
  <c r="Y51" i="15" s="1"/>
  <c r="Y52" i="15" s="1"/>
  <c r="Y53" i="15" s="1"/>
  <c r="Y54" i="15" s="1"/>
  <c r="Y55" i="15" s="1"/>
  <c r="Y56" i="15" s="1"/>
  <c r="Y57" i="15" s="1"/>
  <c r="Y58" i="15" s="1"/>
  <c r="Y59" i="15" s="1"/>
  <c r="Y60" i="15" s="1"/>
  <c r="Y61" i="15" s="1"/>
  <c r="Y62" i="15" s="1"/>
  <c r="Y63" i="15" s="1"/>
  <c r="Y64" i="15" s="1"/>
  <c r="Y65" i="15" s="1"/>
  <c r="Y66" i="15" s="1"/>
  <c r="Y67" i="15" s="1"/>
  <c r="Y68" i="15" s="1"/>
  <c r="Y69" i="15" s="1"/>
  <c r="Y70" i="15" s="1"/>
  <c r="Y71" i="15" s="1"/>
  <c r="Y72" i="15" s="1"/>
  <c r="Y73" i="15" s="1"/>
  <c r="Y74" i="15" s="1"/>
  <c r="Y75" i="15" s="1"/>
  <c r="Y76" i="15" s="1"/>
  <c r="Y77" i="15" s="1"/>
  <c r="Y78" i="15" s="1"/>
  <c r="Y79" i="15" s="1"/>
  <c r="Y80" i="15" s="1"/>
  <c r="Y81" i="15" s="1"/>
  <c r="Y82" i="15" s="1"/>
  <c r="Y83" i="15" s="1"/>
  <c r="Y84" i="15" s="1"/>
  <c r="Y85" i="15" s="1"/>
  <c r="Y86" i="15" s="1"/>
  <c r="Y87" i="15" s="1"/>
  <c r="Y88" i="15" s="1"/>
  <c r="Y89" i="15" s="1"/>
  <c r="Y90" i="15" s="1"/>
  <c r="Y91" i="15" s="1"/>
  <c r="Y92" i="15" s="1"/>
  <c r="Y93" i="15" s="1"/>
  <c r="Y94" i="15" s="1"/>
  <c r="Y95" i="15" s="1"/>
  <c r="Y96" i="15" s="1"/>
  <c r="Y97" i="15" s="1"/>
  <c r="Y98" i="15" s="1"/>
  <c r="Y99" i="15" s="1"/>
  <c r="Y100" i="15" s="1"/>
  <c r="Y101" i="15" s="1"/>
  <c r="Y102" i="15" s="1"/>
  <c r="Y103" i="15" s="1"/>
  <c r="Y104" i="15" s="1"/>
  <c r="Y105" i="15" s="1"/>
  <c r="Y106" i="15" s="1"/>
  <c r="Y107" i="15" s="1"/>
  <c r="Y108" i="15" s="1"/>
  <c r="Y109" i="15" s="1"/>
  <c r="Y110" i="15" s="1"/>
  <c r="Y111" i="15" s="1"/>
  <c r="Y112" i="15" s="1"/>
  <c r="Y113" i="15" s="1"/>
  <c r="Y114" i="15" s="1"/>
  <c r="Y115" i="15" s="1"/>
  <c r="Y116" i="15" s="1"/>
  <c r="Y117" i="15" s="1"/>
  <c r="Y118" i="15" s="1"/>
  <c r="Y119" i="15" s="1"/>
  <c r="Y120" i="15" s="1"/>
  <c r="Y121" i="15" s="1"/>
  <c r="Y122" i="15" s="1"/>
  <c r="Y123" i="15" s="1"/>
  <c r="Y124" i="15" s="1"/>
  <c r="Y125" i="15" s="1"/>
  <c r="Y126" i="15" s="1"/>
  <c r="Y127" i="15" s="1"/>
  <c r="Y128" i="15" s="1"/>
  <c r="Y129" i="15" s="1"/>
  <c r="Y130" i="15" s="1"/>
  <c r="Y131" i="15" s="1"/>
  <c r="Y132" i="15" s="1"/>
  <c r="Y133" i="15" s="1"/>
  <c r="Y134" i="15" s="1"/>
  <c r="G14" i="15"/>
  <c r="X14" i="15"/>
  <c r="G13" i="15"/>
  <c r="W13" i="15" s="1"/>
  <c r="W14" i="15" s="1"/>
  <c r="W15" i="15" s="1"/>
  <c r="W16" i="15" s="1"/>
  <c r="W17" i="15" s="1"/>
  <c r="W18" i="15" s="1"/>
  <c r="W19" i="15" s="1"/>
  <c r="W20" i="15" s="1"/>
  <c r="W21" i="15" s="1"/>
  <c r="W22" i="15" s="1"/>
  <c r="W23" i="15" s="1"/>
  <c r="W24" i="15" s="1"/>
  <c r="W25" i="15" s="1"/>
  <c r="W26" i="15" s="1"/>
  <c r="W27" i="15" s="1"/>
  <c r="W28" i="15" s="1"/>
  <c r="W29" i="15" s="1"/>
  <c r="W30" i="15" s="1"/>
  <c r="W31" i="15" s="1"/>
  <c r="W32" i="15" s="1"/>
  <c r="W33" i="15" s="1"/>
  <c r="W34" i="15" s="1"/>
  <c r="W35" i="15" s="1"/>
  <c r="W36" i="15" s="1"/>
  <c r="W37" i="15" s="1"/>
  <c r="W38" i="15" s="1"/>
  <c r="W39" i="15" s="1"/>
  <c r="W40" i="15" s="1"/>
  <c r="W41" i="15" s="1"/>
  <c r="W42" i="15" s="1"/>
  <c r="W43" i="15" s="1"/>
  <c r="W44" i="15" s="1"/>
  <c r="W45" i="15" s="1"/>
  <c r="W46" i="15" s="1"/>
  <c r="W47" i="15" s="1"/>
  <c r="W48" i="15" s="1"/>
  <c r="W49" i="15" s="1"/>
  <c r="W50" i="15" s="1"/>
  <c r="W51" i="15" s="1"/>
  <c r="W52" i="15" s="1"/>
  <c r="W53" i="15" s="1"/>
  <c r="W54" i="15" s="1"/>
  <c r="W55" i="15" s="1"/>
  <c r="W56" i="15" s="1"/>
  <c r="W57" i="15" s="1"/>
  <c r="W58" i="15" s="1"/>
  <c r="W59" i="15" s="1"/>
  <c r="W60" i="15" s="1"/>
  <c r="W61" i="15" s="1"/>
  <c r="W62" i="15" s="1"/>
  <c r="W63" i="15" s="1"/>
  <c r="W64" i="15" s="1"/>
  <c r="W65" i="15" s="1"/>
  <c r="W66" i="15" s="1"/>
  <c r="W67" i="15" s="1"/>
  <c r="W68" i="15" s="1"/>
  <c r="W69" i="15" s="1"/>
  <c r="W70" i="15" s="1"/>
  <c r="W71" i="15" s="1"/>
  <c r="W72" i="15" s="1"/>
  <c r="W73" i="15" s="1"/>
  <c r="W74" i="15" s="1"/>
  <c r="W75" i="15" s="1"/>
  <c r="W76" i="15" s="1"/>
  <c r="W77" i="15" s="1"/>
  <c r="W78" i="15" s="1"/>
  <c r="W79" i="15" s="1"/>
  <c r="W80" i="15" s="1"/>
  <c r="W81" i="15" s="1"/>
  <c r="W82" i="15" s="1"/>
  <c r="W83" i="15" s="1"/>
  <c r="W84" i="15" s="1"/>
  <c r="W85" i="15" s="1"/>
  <c r="W86" i="15" s="1"/>
  <c r="W87" i="15" s="1"/>
  <c r="W88" i="15" s="1"/>
  <c r="W89" i="15" s="1"/>
  <c r="W90" i="15" s="1"/>
  <c r="W91" i="15" s="1"/>
  <c r="W92" i="15" s="1"/>
  <c r="W93" i="15" s="1"/>
  <c r="W94" i="15" s="1"/>
  <c r="W95" i="15" s="1"/>
  <c r="W96" i="15" s="1"/>
  <c r="W97" i="15" s="1"/>
  <c r="W98" i="15" s="1"/>
  <c r="W99" i="15" s="1"/>
  <c r="W100" i="15" s="1"/>
  <c r="W101" i="15" s="1"/>
  <c r="W102" i="15" s="1"/>
  <c r="W103" i="15" s="1"/>
  <c r="W104" i="15" s="1"/>
  <c r="W105" i="15" s="1"/>
  <c r="W106" i="15" s="1"/>
  <c r="W107" i="15" s="1"/>
  <c r="W108" i="15" s="1"/>
  <c r="W109" i="15" s="1"/>
  <c r="W110" i="15" s="1"/>
  <c r="W111" i="15" s="1"/>
  <c r="W112" i="15" s="1"/>
  <c r="W113" i="15" s="1"/>
  <c r="W114" i="15" s="1"/>
  <c r="W115" i="15" s="1"/>
  <c r="W116" i="15" s="1"/>
  <c r="W117" i="15" s="1"/>
  <c r="W118" i="15" s="1"/>
  <c r="W119" i="15" s="1"/>
  <c r="W120" i="15" s="1"/>
  <c r="W121" i="15" s="1"/>
  <c r="W122" i="15" s="1"/>
  <c r="W123" i="15" s="1"/>
  <c r="W124" i="15" s="1"/>
  <c r="W125" i="15" s="1"/>
  <c r="W126" i="15" s="1"/>
  <c r="W127" i="15" s="1"/>
  <c r="W128" i="15" s="1"/>
  <c r="W129" i="15" s="1"/>
  <c r="W130" i="15" s="1"/>
  <c r="W131" i="15" s="1"/>
  <c r="W132" i="15" s="1"/>
  <c r="G12" i="15"/>
  <c r="V12" i="15" s="1"/>
  <c r="G11" i="15"/>
  <c r="U11" i="15"/>
  <c r="B23" i="15"/>
  <c r="B35" i="15" s="1"/>
  <c r="B47" i="15" s="1"/>
  <c r="B59" i="15" s="1"/>
  <c r="B71" i="15" s="1"/>
  <c r="B83" i="15" s="1"/>
  <c r="B95" i="15" s="1"/>
  <c r="B107" i="15" s="1"/>
  <c r="B119" i="15" s="1"/>
  <c r="B131" i="15" s="1"/>
  <c r="B143" i="15" s="1"/>
  <c r="B155" i="15" s="1"/>
  <c r="G10" i="15"/>
  <c r="T10" i="15" s="1"/>
  <c r="T11" i="15" s="1"/>
  <c r="T12" i="15" s="1"/>
  <c r="T13" i="15" s="1"/>
  <c r="T14" i="15" s="1"/>
  <c r="T15" i="15" s="1"/>
  <c r="T16" i="15" s="1"/>
  <c r="T17" i="15" s="1"/>
  <c r="T18" i="15" s="1"/>
  <c r="T19" i="15" s="1"/>
  <c r="T20" i="15" s="1"/>
  <c r="T21" i="15" s="1"/>
  <c r="T22" i="15" s="1"/>
  <c r="T23" i="15" s="1"/>
  <c r="T24" i="15" s="1"/>
  <c r="T25" i="15" s="1"/>
  <c r="T26" i="15" s="1"/>
  <c r="T27" i="15" s="1"/>
  <c r="T28" i="15" s="1"/>
  <c r="T29" i="15" s="1"/>
  <c r="T30" i="15" s="1"/>
  <c r="T31" i="15" s="1"/>
  <c r="T32" i="15" s="1"/>
  <c r="T33" i="15" s="1"/>
  <c r="T34" i="15" s="1"/>
  <c r="T35" i="15" s="1"/>
  <c r="T36" i="15" s="1"/>
  <c r="T37" i="15" s="1"/>
  <c r="T38" i="15" s="1"/>
  <c r="T39" i="15" s="1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T54" i="15" s="1"/>
  <c r="T55" i="15" s="1"/>
  <c r="T56" i="15" s="1"/>
  <c r="T57" i="15" s="1"/>
  <c r="T58" i="15" s="1"/>
  <c r="T59" i="15" s="1"/>
  <c r="T60" i="15" s="1"/>
  <c r="T61" i="15" s="1"/>
  <c r="T62" i="15" s="1"/>
  <c r="T63" i="15" s="1"/>
  <c r="T64" i="15" s="1"/>
  <c r="T65" i="15" s="1"/>
  <c r="T66" i="15" s="1"/>
  <c r="T67" i="15" s="1"/>
  <c r="T68" i="15" s="1"/>
  <c r="T69" i="15" s="1"/>
  <c r="T70" i="15" s="1"/>
  <c r="T71" i="15" s="1"/>
  <c r="T72" i="15" s="1"/>
  <c r="T73" i="15" s="1"/>
  <c r="T74" i="15" s="1"/>
  <c r="T75" i="15" s="1"/>
  <c r="T76" i="15" s="1"/>
  <c r="T77" i="15" s="1"/>
  <c r="T78" i="15" s="1"/>
  <c r="T79" i="15" s="1"/>
  <c r="T80" i="15" s="1"/>
  <c r="T81" i="15" s="1"/>
  <c r="T82" i="15" s="1"/>
  <c r="T83" i="15" s="1"/>
  <c r="T84" i="15" s="1"/>
  <c r="T85" i="15" s="1"/>
  <c r="T86" i="15" s="1"/>
  <c r="T87" i="15" s="1"/>
  <c r="T88" i="15" s="1"/>
  <c r="T89" i="15" s="1"/>
  <c r="T90" i="15" s="1"/>
  <c r="T91" i="15" s="1"/>
  <c r="T92" i="15" s="1"/>
  <c r="T93" i="15" s="1"/>
  <c r="T94" i="15" s="1"/>
  <c r="T95" i="15" s="1"/>
  <c r="T96" i="15" s="1"/>
  <c r="T97" i="15" s="1"/>
  <c r="T98" i="15" s="1"/>
  <c r="T99" i="15" s="1"/>
  <c r="T100" i="15" s="1"/>
  <c r="T101" i="15" s="1"/>
  <c r="T102" i="15" s="1"/>
  <c r="T103" i="15" s="1"/>
  <c r="T104" i="15" s="1"/>
  <c r="T105" i="15" s="1"/>
  <c r="T106" i="15" s="1"/>
  <c r="T107" i="15" s="1"/>
  <c r="T108" i="15" s="1"/>
  <c r="T109" i="15" s="1"/>
  <c r="T110" i="15" s="1"/>
  <c r="T111" i="15" s="1"/>
  <c r="T112" i="15" s="1"/>
  <c r="T113" i="15" s="1"/>
  <c r="T114" i="15" s="1"/>
  <c r="T115" i="15" s="1"/>
  <c r="T116" i="15" s="1"/>
  <c r="T117" i="15" s="1"/>
  <c r="T118" i="15" s="1"/>
  <c r="T119" i="15" s="1"/>
  <c r="T120" i="15" s="1"/>
  <c r="T121" i="15" s="1"/>
  <c r="T122" i="15" s="1"/>
  <c r="T123" i="15" s="1"/>
  <c r="T124" i="15" s="1"/>
  <c r="T125" i="15" s="1"/>
  <c r="T126" i="15" s="1"/>
  <c r="T127" i="15" s="1"/>
  <c r="T128" i="15" s="1"/>
  <c r="T129" i="15" s="1"/>
  <c r="G9" i="15"/>
  <c r="S9" i="15"/>
  <c r="S10" i="15"/>
  <c r="S11" i="15" s="1"/>
  <c r="S12" i="15" s="1"/>
  <c r="S13" i="15" s="1"/>
  <c r="S14" i="15" s="1"/>
  <c r="S15" i="15" s="1"/>
  <c r="S16" i="15" s="1"/>
  <c r="S17" i="15" s="1"/>
  <c r="S18" i="15" s="1"/>
  <c r="S19" i="15" s="1"/>
  <c r="S20" i="15" s="1"/>
  <c r="S21" i="15" s="1"/>
  <c r="S22" i="15" s="1"/>
  <c r="S23" i="15" s="1"/>
  <c r="S24" i="15" s="1"/>
  <c r="S25" i="15" s="1"/>
  <c r="S26" i="15" s="1"/>
  <c r="S27" i="15" s="1"/>
  <c r="S28" i="15" s="1"/>
  <c r="S29" i="15" s="1"/>
  <c r="S30" i="15" s="1"/>
  <c r="S31" i="15" s="1"/>
  <c r="S32" i="15" s="1"/>
  <c r="S33" i="15" s="1"/>
  <c r="S34" i="15" s="1"/>
  <c r="S35" i="15" s="1"/>
  <c r="S36" i="15" s="1"/>
  <c r="S37" i="15" s="1"/>
  <c r="S38" i="15" s="1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S54" i="15" s="1"/>
  <c r="S55" i="15" s="1"/>
  <c r="S56" i="15" s="1"/>
  <c r="S57" i="15" s="1"/>
  <c r="S58" i="15" s="1"/>
  <c r="S59" i="15" s="1"/>
  <c r="S60" i="15" s="1"/>
  <c r="S61" i="15" s="1"/>
  <c r="S62" i="15" s="1"/>
  <c r="S63" i="15" s="1"/>
  <c r="S64" i="15" s="1"/>
  <c r="S65" i="15" s="1"/>
  <c r="S66" i="15" s="1"/>
  <c r="S67" i="15" s="1"/>
  <c r="S68" i="15" s="1"/>
  <c r="S69" i="15" s="1"/>
  <c r="S70" i="15" s="1"/>
  <c r="S71" i="15" s="1"/>
  <c r="S72" i="15" s="1"/>
  <c r="S73" i="15" s="1"/>
  <c r="S74" i="15" s="1"/>
  <c r="S75" i="15" s="1"/>
  <c r="S76" i="15" s="1"/>
  <c r="S77" i="15" s="1"/>
  <c r="S78" i="15" s="1"/>
  <c r="S79" i="15" s="1"/>
  <c r="S80" i="15" s="1"/>
  <c r="S81" i="15" s="1"/>
  <c r="S82" i="15" s="1"/>
  <c r="S83" i="15" s="1"/>
  <c r="S84" i="15" s="1"/>
  <c r="S85" i="15" s="1"/>
  <c r="S86" i="15" s="1"/>
  <c r="S87" i="15" s="1"/>
  <c r="S88" i="15" s="1"/>
  <c r="S89" i="15" s="1"/>
  <c r="S90" i="15" s="1"/>
  <c r="S91" i="15" s="1"/>
  <c r="S92" i="15" s="1"/>
  <c r="S93" i="15" s="1"/>
  <c r="S94" i="15" s="1"/>
  <c r="S95" i="15" s="1"/>
  <c r="S96" i="15" s="1"/>
  <c r="S97" i="15" s="1"/>
  <c r="S98" i="15" s="1"/>
  <c r="S99" i="15" s="1"/>
  <c r="S100" i="15" s="1"/>
  <c r="S101" i="15" s="1"/>
  <c r="S102" i="15" s="1"/>
  <c r="S103" i="15" s="1"/>
  <c r="S104" i="15" s="1"/>
  <c r="S105" i="15" s="1"/>
  <c r="S106" i="15" s="1"/>
  <c r="S107" i="15" s="1"/>
  <c r="S108" i="15" s="1"/>
  <c r="S109" i="15" s="1"/>
  <c r="S110" i="15" s="1"/>
  <c r="S111" i="15" s="1"/>
  <c r="S112" i="15" s="1"/>
  <c r="S113" i="15" s="1"/>
  <c r="S114" i="15" s="1"/>
  <c r="S115" i="15" s="1"/>
  <c r="S116" i="15" s="1"/>
  <c r="S117" i="15" s="1"/>
  <c r="S118" i="15" s="1"/>
  <c r="S119" i="15" s="1"/>
  <c r="S120" i="15" s="1"/>
  <c r="S121" i="15" s="1"/>
  <c r="S122" i="15" s="1"/>
  <c r="S123" i="15" s="1"/>
  <c r="S124" i="15" s="1"/>
  <c r="S125" i="15" s="1"/>
  <c r="S126" i="15" s="1"/>
  <c r="S127" i="15" s="1"/>
  <c r="S128" i="15" s="1"/>
  <c r="G8" i="15"/>
  <c r="R8" i="15"/>
  <c r="G7" i="15"/>
  <c r="G6" i="15"/>
  <c r="G5" i="15"/>
  <c r="B24" i="15"/>
  <c r="B36" i="15" s="1"/>
  <c r="B48" i="15" s="1"/>
  <c r="B60" i="15" s="1"/>
  <c r="B72" i="15" s="1"/>
  <c r="B84" i="15" s="1"/>
  <c r="B96" i="15" s="1"/>
  <c r="B108" i="15" s="1"/>
  <c r="B120" i="15" s="1"/>
  <c r="B132" i="15" s="1"/>
  <c r="B144" i="15" s="1"/>
  <c r="B156" i="15" s="1"/>
  <c r="P2" i="15"/>
  <c r="Q2" i="15" s="1"/>
  <c r="R2" i="15" s="1"/>
  <c r="S2" i="15" s="1"/>
  <c r="T2" i="15" s="1"/>
  <c r="U2" i="15" s="1"/>
  <c r="V2" i="15" s="1"/>
  <c r="W2" i="15" s="1"/>
  <c r="X2" i="15" s="1"/>
  <c r="Y2" i="15" s="1"/>
  <c r="Z2" i="15" s="1"/>
  <c r="AA2" i="15" s="1"/>
  <c r="AB2" i="15" s="1"/>
  <c r="AC2" i="15" s="1"/>
  <c r="AD2" i="15" s="1"/>
  <c r="AE2" i="15" s="1"/>
  <c r="AF2" i="15" s="1"/>
  <c r="AG2" i="15" s="1"/>
  <c r="AH2" i="15" s="1"/>
  <c r="AI2" i="15" s="1"/>
  <c r="AJ2" i="15" s="1"/>
  <c r="AK2" i="15" s="1"/>
  <c r="AL2" i="15" s="1"/>
  <c r="AM2" i="15" s="1"/>
  <c r="AN2" i="15" s="1"/>
  <c r="AO2" i="15" s="1"/>
  <c r="AP2" i="15" s="1"/>
  <c r="AQ2" i="15" s="1"/>
  <c r="AR2" i="15" s="1"/>
  <c r="AS2" i="15" s="1"/>
  <c r="AT2" i="15" s="1"/>
  <c r="AU2" i="15" s="1"/>
  <c r="AV2" i="15" s="1"/>
  <c r="CM87" i="14"/>
  <c r="K87" i="14"/>
  <c r="CK86" i="14"/>
  <c r="CM86" i="14"/>
  <c r="K86" i="14"/>
  <c r="CK85" i="14"/>
  <c r="CM85" i="14"/>
  <c r="K85" i="14"/>
  <c r="CK84" i="14"/>
  <c r="CM84" i="14"/>
  <c r="K84" i="14"/>
  <c r="CK83" i="14"/>
  <c r="CM83" i="14" s="1"/>
  <c r="K83" i="14"/>
  <c r="CK82" i="14"/>
  <c r="CM82" i="14"/>
  <c r="G82" i="14"/>
  <c r="K82" i="14"/>
  <c r="CK81" i="14"/>
  <c r="CM81" i="14"/>
  <c r="G81" i="14"/>
  <c r="K81" i="14"/>
  <c r="CK80" i="14"/>
  <c r="CM80" i="14"/>
  <c r="G80" i="14"/>
  <c r="K80" i="14" s="1"/>
  <c r="CK79" i="14"/>
  <c r="CM79" i="14"/>
  <c r="G79" i="14"/>
  <c r="K79" i="14" s="1"/>
  <c r="CK78" i="14"/>
  <c r="CM78" i="14"/>
  <c r="G78" i="14"/>
  <c r="K78" i="14" s="1"/>
  <c r="CK77" i="14"/>
  <c r="CM77" i="14"/>
  <c r="G77" i="14"/>
  <c r="K77" i="14" s="1"/>
  <c r="CK76" i="14"/>
  <c r="CM76" i="14"/>
  <c r="G76" i="14"/>
  <c r="K76" i="14" s="1"/>
  <c r="CK75" i="14"/>
  <c r="CM75" i="14"/>
  <c r="G75" i="14"/>
  <c r="K75" i="14" s="1"/>
  <c r="CK74" i="14"/>
  <c r="CM74" i="14"/>
  <c r="G74" i="14"/>
  <c r="K74" i="14" s="1"/>
  <c r="CK73" i="14"/>
  <c r="CM73" i="14"/>
  <c r="G73" i="14"/>
  <c r="K73" i="14" s="1"/>
  <c r="CK72" i="14"/>
  <c r="CM72" i="14"/>
  <c r="G72" i="14"/>
  <c r="K72" i="14" s="1"/>
  <c r="CK71" i="14"/>
  <c r="CM71" i="14"/>
  <c r="G71" i="14"/>
  <c r="K71" i="14" s="1"/>
  <c r="CK70" i="14"/>
  <c r="CM70" i="14"/>
  <c r="G70" i="14"/>
  <c r="K70" i="14" s="1"/>
  <c r="CK69" i="14"/>
  <c r="CM69" i="14"/>
  <c r="G69" i="14"/>
  <c r="K69" i="14" s="1"/>
  <c r="CK68" i="14"/>
  <c r="CM68" i="14"/>
  <c r="G68" i="14"/>
  <c r="K68" i="14" s="1"/>
  <c r="CK67" i="14"/>
  <c r="CM67" i="14"/>
  <c r="G67" i="14"/>
  <c r="K67" i="14" s="1"/>
  <c r="CK66" i="14"/>
  <c r="CM66" i="14"/>
  <c r="G66" i="14"/>
  <c r="K66" i="14" s="1"/>
  <c r="CK65" i="14"/>
  <c r="CM65" i="14"/>
  <c r="G65" i="14"/>
  <c r="K65" i="14"/>
  <c r="CK64" i="14"/>
  <c r="CM64" i="14"/>
  <c r="G64" i="14"/>
  <c r="K64" i="14" s="1"/>
  <c r="CK63" i="14"/>
  <c r="CM63" i="14"/>
  <c r="G63" i="14"/>
  <c r="K63" i="14" s="1"/>
  <c r="CK62" i="14"/>
  <c r="CM62" i="14"/>
  <c r="G62" i="14"/>
  <c r="K62" i="14" s="1"/>
  <c r="CK61" i="14"/>
  <c r="CM61" i="14"/>
  <c r="G61" i="14"/>
  <c r="K61" i="14" s="1"/>
  <c r="CK60" i="14"/>
  <c r="CM60" i="14"/>
  <c r="G60" i="14"/>
  <c r="K60" i="14" s="1"/>
  <c r="CK59" i="14"/>
  <c r="CM59" i="14"/>
  <c r="G59" i="14"/>
  <c r="K59" i="14" s="1"/>
  <c r="CK58" i="14"/>
  <c r="CM58" i="14"/>
  <c r="G58" i="14"/>
  <c r="K58" i="14" s="1"/>
  <c r="G57" i="14"/>
  <c r="K57" i="14"/>
  <c r="G56" i="14"/>
  <c r="K56" i="14" s="1"/>
  <c r="G55" i="14"/>
  <c r="K55" i="14"/>
  <c r="G54" i="14"/>
  <c r="K54" i="14" s="1"/>
  <c r="G53" i="14"/>
  <c r="K53" i="14"/>
  <c r="G52" i="14"/>
  <c r="K52" i="14"/>
  <c r="G51" i="14"/>
  <c r="K51" i="14"/>
  <c r="G50" i="14"/>
  <c r="K50" i="14" s="1"/>
  <c r="G49" i="14"/>
  <c r="K49" i="14"/>
  <c r="G48" i="14"/>
  <c r="K48" i="14" s="1"/>
  <c r="G47" i="14"/>
  <c r="K47" i="14"/>
  <c r="D45" i="14"/>
  <c r="E42" i="14"/>
  <c r="I40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I5" i="14"/>
  <c r="G5" i="14"/>
  <c r="B6" i="14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C2" i="14"/>
  <c r="BD2" i="14" s="1"/>
  <c r="BE2" i="14" s="1"/>
  <c r="BF2" i="14" s="1"/>
  <c r="BG2" i="14" s="1"/>
  <c r="BH2" i="14" s="1"/>
  <c r="BI2" i="14" s="1"/>
  <c r="BJ2" i="14" s="1"/>
  <c r="BK2" i="14" s="1"/>
  <c r="BL2" i="14" s="1"/>
  <c r="BM2" i="14" s="1"/>
  <c r="BN2" i="14" s="1"/>
  <c r="BO2" i="14" s="1"/>
  <c r="BP2" i="14" s="1"/>
  <c r="BQ2" i="14" s="1"/>
  <c r="BR2" i="14" s="1"/>
  <c r="BS2" i="14" s="1"/>
  <c r="BT2" i="14" s="1"/>
  <c r="BU2" i="14" s="1"/>
  <c r="BV2" i="14" s="1"/>
  <c r="BW2" i="14" s="1"/>
  <c r="BX2" i="14" s="1"/>
  <c r="BY2" i="14" s="1"/>
  <c r="BZ2" i="14" s="1"/>
  <c r="CA2" i="14" s="1"/>
  <c r="CB2" i="14" s="1"/>
  <c r="CC2" i="14" s="1"/>
  <c r="CD2" i="14" s="1"/>
  <c r="CE2" i="14" s="1"/>
  <c r="CF2" i="14" s="1"/>
  <c r="CG2" i="14" s="1"/>
  <c r="CH2" i="14" s="1"/>
  <c r="CI2" i="14" s="1"/>
  <c r="O2" i="14"/>
  <c r="P2" i="14" s="1"/>
  <c r="Q2" i="14" s="1"/>
  <c r="R2" i="14" s="1"/>
  <c r="S2" i="14" s="1"/>
  <c r="T2" i="14" s="1"/>
  <c r="U2" i="14" s="1"/>
  <c r="V2" i="14" s="1"/>
  <c r="W2" i="14" s="1"/>
  <c r="X2" i="14" s="1"/>
  <c r="Y2" i="14" s="1"/>
  <c r="Z2" i="14" s="1"/>
  <c r="AA2" i="14" s="1"/>
  <c r="AB2" i="14" s="1"/>
  <c r="AC2" i="14" s="1"/>
  <c r="AD2" i="14" s="1"/>
  <c r="AE2" i="14" s="1"/>
  <c r="AF2" i="14" s="1"/>
  <c r="AG2" i="14" s="1"/>
  <c r="AH2" i="14" s="1"/>
  <c r="AI2" i="14" s="1"/>
  <c r="AJ2" i="14" s="1"/>
  <c r="AK2" i="14" s="1"/>
  <c r="AL2" i="14" s="1"/>
  <c r="AM2" i="14" s="1"/>
  <c r="AN2" i="14" s="1"/>
  <c r="AO2" i="14" s="1"/>
  <c r="AP2" i="14" s="1"/>
  <c r="AQ2" i="14" s="1"/>
  <c r="AR2" i="14" s="1"/>
  <c r="AS2" i="14" s="1"/>
  <c r="AT2" i="14" s="1"/>
  <c r="AU2" i="14" s="1"/>
  <c r="E42" i="13"/>
  <c r="E44" i="13"/>
  <c r="J32" i="13"/>
  <c r="J28" i="13"/>
  <c r="J30" i="13"/>
  <c r="E28" i="13"/>
  <c r="E30" i="13"/>
  <c r="J21" i="13"/>
  <c r="J19" i="13"/>
  <c r="C19" i="13"/>
  <c r="H17" i="13"/>
  <c r="H21" i="13" s="1"/>
  <c r="D21" i="11"/>
  <c r="D20" i="11"/>
  <c r="D19" i="11"/>
  <c r="D18" i="11"/>
  <c r="D17" i="11"/>
  <c r="D15" i="11"/>
  <c r="D12" i="11"/>
  <c r="D11" i="11"/>
  <c r="D9" i="11"/>
  <c r="D8" i="11"/>
  <c r="E6" i="11"/>
  <c r="E7" i="11" s="1"/>
  <c r="G5" i="11"/>
  <c r="B17" i="11"/>
  <c r="B29" i="11"/>
  <c r="B41" i="11" s="1"/>
  <c r="B53" i="11" s="1"/>
  <c r="B65" i="11" s="1"/>
  <c r="B77" i="11" s="1"/>
  <c r="B89" i="11" s="1"/>
  <c r="B101" i="11" s="1"/>
  <c r="B113" i="11" s="1"/>
  <c r="B125" i="11" s="1"/>
  <c r="B137" i="11" s="1"/>
  <c r="B18" i="11"/>
  <c r="B30" i="11"/>
  <c r="B42" i="11"/>
  <c r="B54" i="11" s="1"/>
  <c r="B66" i="11" s="1"/>
  <c r="B78" i="11" s="1"/>
  <c r="B90" i="11" s="1"/>
  <c r="B102" i="11" s="1"/>
  <c r="B114" i="11" s="1"/>
  <c r="B126" i="11" s="1"/>
  <c r="B138" i="11" s="1"/>
  <c r="O2" i="11"/>
  <c r="P2" i="11" s="1"/>
  <c r="Q2" i="11" s="1"/>
  <c r="R2" i="11" s="1"/>
  <c r="S2" i="11" s="1"/>
  <c r="T2" i="11" s="1"/>
  <c r="U2" i="11" s="1"/>
  <c r="V2" i="11" s="1"/>
  <c r="W2" i="11" s="1"/>
  <c r="X2" i="11" s="1"/>
  <c r="Y2" i="11" s="1"/>
  <c r="Z2" i="11" s="1"/>
  <c r="AA2" i="11" s="1"/>
  <c r="AB2" i="11" s="1"/>
  <c r="AC2" i="11" s="1"/>
  <c r="G82" i="10"/>
  <c r="K82" i="10" s="1"/>
  <c r="G81" i="10"/>
  <c r="K81" i="10" s="1"/>
  <c r="BE80" i="10"/>
  <c r="BG80" i="10" s="1"/>
  <c r="G80" i="10"/>
  <c r="K80" i="10" s="1"/>
  <c r="BE79" i="10"/>
  <c r="BG79" i="10" s="1"/>
  <c r="G79" i="10"/>
  <c r="K79" i="10" s="1"/>
  <c r="BE78" i="10"/>
  <c r="BG78" i="10" s="1"/>
  <c r="G78" i="10"/>
  <c r="K78" i="10"/>
  <c r="BE77" i="10"/>
  <c r="BG77" i="10" s="1"/>
  <c r="G77" i="10"/>
  <c r="K77" i="10"/>
  <c r="BE76" i="10"/>
  <c r="BG76" i="10" s="1"/>
  <c r="G76" i="10"/>
  <c r="K76" i="10"/>
  <c r="BE75" i="10"/>
  <c r="BG75" i="10" s="1"/>
  <c r="G75" i="10"/>
  <c r="K75" i="10" s="1"/>
  <c r="BE74" i="10"/>
  <c r="BG74" i="10" s="1"/>
  <c r="G74" i="10"/>
  <c r="K74" i="10" s="1"/>
  <c r="BE73" i="10"/>
  <c r="BG73" i="10" s="1"/>
  <c r="G73" i="10"/>
  <c r="K73" i="10" s="1"/>
  <c r="BE72" i="10"/>
  <c r="BG72" i="10" s="1"/>
  <c r="G72" i="10"/>
  <c r="K72" i="10"/>
  <c r="BE71" i="10"/>
  <c r="BG71" i="10" s="1"/>
  <c r="G71" i="10"/>
  <c r="K71" i="10"/>
  <c r="BE70" i="10"/>
  <c r="BG70" i="10" s="1"/>
  <c r="G70" i="10"/>
  <c r="K70" i="10"/>
  <c r="BE69" i="10"/>
  <c r="BG69" i="10" s="1"/>
  <c r="G69" i="10"/>
  <c r="K69" i="10"/>
  <c r="BE68" i="10"/>
  <c r="BG68" i="10" s="1"/>
  <c r="G68" i="10"/>
  <c r="K68" i="10"/>
  <c r="BE67" i="10"/>
  <c r="BG67" i="10" s="1"/>
  <c r="G67" i="10"/>
  <c r="K67" i="10"/>
  <c r="BE66" i="10"/>
  <c r="BG66" i="10" s="1"/>
  <c r="G66" i="10"/>
  <c r="K66" i="10"/>
  <c r="BE65" i="10"/>
  <c r="BG65" i="10" s="1"/>
  <c r="G65" i="10"/>
  <c r="K65" i="10"/>
  <c r="BE64" i="10"/>
  <c r="BG64" i="10" s="1"/>
  <c r="G64" i="10"/>
  <c r="K64" i="10"/>
  <c r="BE63" i="10"/>
  <c r="BG63" i="10" s="1"/>
  <c r="G63" i="10"/>
  <c r="K63" i="10"/>
  <c r="BE62" i="10"/>
  <c r="BG62" i="10" s="1"/>
  <c r="G62" i="10"/>
  <c r="K62" i="10"/>
  <c r="BE61" i="10"/>
  <c r="BG61" i="10" s="1"/>
  <c r="G61" i="10"/>
  <c r="K61" i="10"/>
  <c r="BE60" i="10"/>
  <c r="BG60" i="10" s="1"/>
  <c r="G60" i="10"/>
  <c r="K60" i="10"/>
  <c r="BE59" i="10"/>
  <c r="BG59" i="10" s="1"/>
  <c r="G59" i="10"/>
  <c r="K59" i="10"/>
  <c r="BE58" i="10"/>
  <c r="BG58" i="10" s="1"/>
  <c r="G58" i="10"/>
  <c r="K58" i="10"/>
  <c r="BE57" i="10"/>
  <c r="BG57" i="10" s="1"/>
  <c r="G57" i="10"/>
  <c r="K57" i="10"/>
  <c r="BE56" i="10"/>
  <c r="BG56" i="10" s="1"/>
  <c r="G56" i="10"/>
  <c r="K56" i="10"/>
  <c r="BE55" i="10"/>
  <c r="BG55" i="10" s="1"/>
  <c r="G55" i="10"/>
  <c r="K55" i="10"/>
  <c r="BE54" i="10"/>
  <c r="BG54" i="10" s="1"/>
  <c r="G54" i="10"/>
  <c r="K54" i="10" s="1"/>
  <c r="BE53" i="10"/>
  <c r="BG53" i="10" s="1"/>
  <c r="G53" i="10"/>
  <c r="K53" i="10" s="1"/>
  <c r="BE52" i="10"/>
  <c r="BG52" i="10" s="1"/>
  <c r="G52" i="10"/>
  <c r="K52" i="10" s="1"/>
  <c r="BE51" i="10"/>
  <c r="BG51" i="10" s="1"/>
  <c r="G51" i="10"/>
  <c r="K51" i="10" s="1"/>
  <c r="BE50" i="10"/>
  <c r="BG50" i="10" s="1"/>
  <c r="G50" i="10"/>
  <c r="K50" i="10"/>
  <c r="BE49" i="10"/>
  <c r="BG49" i="10" s="1"/>
  <c r="G49" i="10"/>
  <c r="K49" i="10"/>
  <c r="BE48" i="10"/>
  <c r="BG48" i="10" s="1"/>
  <c r="G48" i="10"/>
  <c r="K48" i="10"/>
  <c r="BE47" i="10"/>
  <c r="BG47" i="10" s="1"/>
  <c r="G47" i="10"/>
  <c r="K47" i="10"/>
  <c r="BE46" i="10"/>
  <c r="BG46" i="10" s="1"/>
  <c r="G46" i="10"/>
  <c r="K46" i="10"/>
  <c r="BE45" i="10"/>
  <c r="BG45" i="10" s="1"/>
  <c r="G45" i="10"/>
  <c r="K45" i="10"/>
  <c r="BE44" i="10"/>
  <c r="BG44" i="10" s="1"/>
  <c r="G44" i="10"/>
  <c r="K44" i="10"/>
  <c r="BE43" i="10"/>
  <c r="BG43" i="10" s="1"/>
  <c r="G43" i="10"/>
  <c r="K43" i="10"/>
  <c r="BE42" i="10"/>
  <c r="BG42" i="10" s="1"/>
  <c r="G42" i="10"/>
  <c r="K42" i="10"/>
  <c r="BE41" i="10"/>
  <c r="BG41" i="10" s="1"/>
  <c r="G41" i="10"/>
  <c r="K41" i="10"/>
  <c r="BE40" i="10"/>
  <c r="BG40" i="10" s="1"/>
  <c r="G40" i="10"/>
  <c r="K40" i="10"/>
  <c r="BE39" i="10"/>
  <c r="BG39" i="10" s="1"/>
  <c r="G39" i="10"/>
  <c r="K39" i="10"/>
  <c r="BE38" i="10"/>
  <c r="BG38" i="10" s="1"/>
  <c r="G38" i="10"/>
  <c r="K38" i="10"/>
  <c r="BE37" i="10"/>
  <c r="BG37" i="10" s="1"/>
  <c r="G37" i="10"/>
  <c r="K37" i="10"/>
  <c r="BE36" i="10"/>
  <c r="BG36" i="10" s="1"/>
  <c r="G36" i="10"/>
  <c r="K36" i="10"/>
  <c r="BE35" i="10"/>
  <c r="BG35" i="10" s="1"/>
  <c r="G35" i="10"/>
  <c r="K35" i="10"/>
  <c r="G34" i="10"/>
  <c r="K34" i="10" s="1"/>
  <c r="G33" i="10"/>
  <c r="K33" i="10"/>
  <c r="G32" i="10"/>
  <c r="K32" i="10" s="1"/>
  <c r="G31" i="10"/>
  <c r="K31" i="10"/>
  <c r="G30" i="10"/>
  <c r="K30" i="10" s="1"/>
  <c r="G29" i="10"/>
  <c r="K29" i="10" s="1"/>
  <c r="G28" i="10"/>
  <c r="K28" i="10" s="1"/>
  <c r="G27" i="10"/>
  <c r="K27" i="10" s="1"/>
  <c r="G26" i="10"/>
  <c r="K26" i="10" s="1"/>
  <c r="G25" i="10"/>
  <c r="K25" i="10" s="1"/>
  <c r="G24" i="10"/>
  <c r="K24" i="10" s="1"/>
  <c r="G23" i="10"/>
  <c r="K23" i="10" s="1"/>
  <c r="BD23" i="10" s="1"/>
  <c r="BD24" i="10" s="1"/>
  <c r="BD25" i="10" s="1"/>
  <c r="BD26" i="10" s="1"/>
  <c r="BD27" i="10" s="1"/>
  <c r="BD28" i="10" s="1"/>
  <c r="BD29" i="10" s="1"/>
  <c r="BD30" i="10" s="1"/>
  <c r="BD31" i="10" s="1"/>
  <c r="BD32" i="10" s="1"/>
  <c r="BD33" i="10" s="1"/>
  <c r="BD34" i="10" s="1"/>
  <c r="BE34" i="10" s="1"/>
  <c r="BG34" i="10" s="1"/>
  <c r="G22" i="10"/>
  <c r="K22" i="10" s="1"/>
  <c r="G21" i="10"/>
  <c r="K21" i="10" s="1"/>
  <c r="G20" i="10"/>
  <c r="K20" i="10" s="1"/>
  <c r="G19" i="10"/>
  <c r="K19" i="10" s="1"/>
  <c r="G18" i="10"/>
  <c r="K18" i="10"/>
  <c r="G17" i="10"/>
  <c r="K17" i="10" s="1"/>
  <c r="G16" i="10"/>
  <c r="K16" i="10" s="1"/>
  <c r="G15" i="10"/>
  <c r="K15" i="10" s="1"/>
  <c r="G14" i="10"/>
  <c r="K14" i="10" s="1"/>
  <c r="G13" i="10"/>
  <c r="K13" i="10" s="1"/>
  <c r="G12" i="10"/>
  <c r="K12" i="10" s="1"/>
  <c r="G11" i="10"/>
  <c r="K11" i="10" s="1"/>
  <c r="G10" i="10"/>
  <c r="K10" i="10" s="1"/>
  <c r="AQ10" i="10" s="1"/>
  <c r="G9" i="10"/>
  <c r="K9" i="10" s="1"/>
  <c r="G8" i="10"/>
  <c r="K8" i="10"/>
  <c r="G7" i="10"/>
  <c r="K7" i="10" s="1"/>
  <c r="G6" i="10"/>
  <c r="K6" i="10"/>
  <c r="G5" i="10"/>
  <c r="K5" i="10" s="1"/>
  <c r="AL5" i="10" s="1"/>
  <c r="B6" i="10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AM2" i="10"/>
  <c r="AN2" i="10" s="1"/>
  <c r="AO2" i="10" s="1"/>
  <c r="AP2" i="10" s="1"/>
  <c r="AQ2" i="10" s="1"/>
  <c r="AR2" i="10" s="1"/>
  <c r="AS2" i="10" s="1"/>
  <c r="AT2" i="10" s="1"/>
  <c r="AU2" i="10" s="1"/>
  <c r="AV2" i="10" s="1"/>
  <c r="AW2" i="10" s="1"/>
  <c r="AX2" i="10" s="1"/>
  <c r="AY2" i="10" s="1"/>
  <c r="AZ2" i="10" s="1"/>
  <c r="BA2" i="10" s="1"/>
  <c r="BB2" i="10" s="1"/>
  <c r="BC2" i="10" s="1"/>
  <c r="BD2" i="10" s="1"/>
  <c r="O2" i="10"/>
  <c r="P2" i="10"/>
  <c r="Q2" i="10" s="1"/>
  <c r="R2" i="10" s="1"/>
  <c r="S2" i="10" s="1"/>
  <c r="T2" i="10" s="1"/>
  <c r="U2" i="10" s="1"/>
  <c r="V2" i="10" s="1"/>
  <c r="W2" i="10" s="1"/>
  <c r="X2" i="10" s="1"/>
  <c r="Y2" i="10" s="1"/>
  <c r="Z2" i="10" s="1"/>
  <c r="AA2" i="10" s="1"/>
  <c r="AB2" i="10" s="1"/>
  <c r="AC2" i="10" s="1"/>
  <c r="AD2" i="10" s="1"/>
  <c r="AE2" i="10" s="1"/>
  <c r="AF2" i="10" s="1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G24" i="9"/>
  <c r="H56" i="9"/>
  <c r="J56" i="9" s="1"/>
  <c r="E24" i="9"/>
  <c r="H23" i="9"/>
  <c r="E23" i="9"/>
  <c r="H22" i="9"/>
  <c r="E22" i="9"/>
  <c r="H21" i="9"/>
  <c r="E21" i="9"/>
  <c r="AA20" i="9"/>
  <c r="H20" i="9"/>
  <c r="E20" i="9"/>
  <c r="Z19" i="9"/>
  <c r="Z20" i="9" s="1"/>
  <c r="Z21" i="9" s="1"/>
  <c r="Z22" i="9" s="1"/>
  <c r="Z23" i="9" s="1"/>
  <c r="Z24" i="9" s="1"/>
  <c r="Z25" i="9" s="1"/>
  <c r="Z26" i="9" s="1"/>
  <c r="H19" i="9"/>
  <c r="E19" i="9"/>
  <c r="Y18" i="9"/>
  <c r="Y19" i="9" s="1"/>
  <c r="Y20" i="9" s="1"/>
  <c r="Y21" i="9" s="1"/>
  <c r="Y22" i="9" s="1"/>
  <c r="Y23" i="9" s="1"/>
  <c r="Y24" i="9" s="1"/>
  <c r="Y25" i="9" s="1"/>
  <c r="Y26" i="9" s="1"/>
  <c r="Y27" i="9" s="1"/>
  <c r="Y28" i="9" s="1"/>
  <c r="Y29" i="9" s="1"/>
  <c r="Y30" i="9" s="1"/>
  <c r="Y31" i="9" s="1"/>
  <c r="Y32" i="9" s="1"/>
  <c r="Y33" i="9" s="1"/>
  <c r="Y34" i="9" s="1"/>
  <c r="Y35" i="9" s="1"/>
  <c r="Y36" i="9" s="1"/>
  <c r="Y37" i="9" s="1"/>
  <c r="Y38" i="9" s="1"/>
  <c r="Y39" i="9" s="1"/>
  <c r="Y40" i="9" s="1"/>
  <c r="Y41" i="9" s="1"/>
  <c r="Y42" i="9" s="1"/>
  <c r="Y43" i="9" s="1"/>
  <c r="Y44" i="9" s="1"/>
  <c r="Y45" i="9" s="1"/>
  <c r="Y46" i="9" s="1"/>
  <c r="Y47" i="9" s="1"/>
  <c r="Y48" i="9" s="1"/>
  <c r="Y49" i="9" s="1"/>
  <c r="Y50" i="9" s="1"/>
  <c r="Y51" i="9" s="1"/>
  <c r="Y52" i="9" s="1"/>
  <c r="Y53" i="9" s="1"/>
  <c r="Y54" i="9" s="1"/>
  <c r="Y55" i="9" s="1"/>
  <c r="Y56" i="9" s="1"/>
  <c r="Y57" i="9" s="1"/>
  <c r="Y58" i="9" s="1"/>
  <c r="Y59" i="9" s="1"/>
  <c r="Y60" i="9" s="1"/>
  <c r="Y61" i="9" s="1"/>
  <c r="Y62" i="9" s="1"/>
  <c r="Y63" i="9" s="1"/>
  <c r="Y64" i="9" s="1"/>
  <c r="Y65" i="9" s="1"/>
  <c r="Y66" i="9" s="1"/>
  <c r="Y67" i="9" s="1"/>
  <c r="Y68" i="9" s="1"/>
  <c r="Y69" i="9" s="1"/>
  <c r="Y70" i="9" s="1"/>
  <c r="Y71" i="9" s="1"/>
  <c r="Y72" i="9" s="1"/>
  <c r="Y73" i="9" s="1"/>
  <c r="Y74" i="9" s="1"/>
  <c r="Y75" i="9" s="1"/>
  <c r="Y76" i="9" s="1"/>
  <c r="Y77" i="9" s="1"/>
  <c r="Y78" i="9" s="1"/>
  <c r="Y79" i="9" s="1"/>
  <c r="Y80" i="9" s="1"/>
  <c r="Y81" i="9" s="1"/>
  <c r="Y82" i="9" s="1"/>
  <c r="Y83" i="9" s="1"/>
  <c r="Y84" i="9" s="1"/>
  <c r="Y85" i="9" s="1"/>
  <c r="Y86" i="9" s="1"/>
  <c r="Y87" i="9" s="1"/>
  <c r="Y88" i="9" s="1"/>
  <c r="Y89" i="9" s="1"/>
  <c r="Y90" i="9" s="1"/>
  <c r="Y91" i="9" s="1"/>
  <c r="Y92" i="9" s="1"/>
  <c r="Y93" i="9" s="1"/>
  <c r="Y94" i="9" s="1"/>
  <c r="Y95" i="9" s="1"/>
  <c r="Y96" i="9" s="1"/>
  <c r="Y97" i="9" s="1"/>
  <c r="Y98" i="9" s="1"/>
  <c r="Y99" i="9" s="1"/>
  <c r="Y100" i="9" s="1"/>
  <c r="Y101" i="9" s="1"/>
  <c r="Y102" i="9" s="1"/>
  <c r="Y103" i="9" s="1"/>
  <c r="Y104" i="9" s="1"/>
  <c r="Y105" i="9" s="1"/>
  <c r="Y106" i="9" s="1"/>
  <c r="Y107" i="9" s="1"/>
  <c r="Y108" i="9" s="1"/>
  <c r="Y109" i="9" s="1"/>
  <c r="Y110" i="9" s="1"/>
  <c r="Y111" i="9" s="1"/>
  <c r="Y112" i="9" s="1"/>
  <c r="Y113" i="9" s="1"/>
  <c r="Y114" i="9" s="1"/>
  <c r="Y115" i="9" s="1"/>
  <c r="Y116" i="9" s="1"/>
  <c r="Y117" i="9" s="1"/>
  <c r="Y118" i="9" s="1"/>
  <c r="Y119" i="9" s="1"/>
  <c r="Y120" i="9" s="1"/>
  <c r="Y121" i="9" s="1"/>
  <c r="Y122" i="9" s="1"/>
  <c r="Y123" i="9" s="1"/>
  <c r="Y124" i="9" s="1"/>
  <c r="Y125" i="9" s="1"/>
  <c r="Y126" i="9" s="1"/>
  <c r="Y127" i="9" s="1"/>
  <c r="Y128" i="9" s="1"/>
  <c r="Y129" i="9" s="1"/>
  <c r="Y130" i="9" s="1"/>
  <c r="Y131" i="9" s="1"/>
  <c r="Y132" i="9" s="1"/>
  <c r="Y133" i="9" s="1"/>
  <c r="Y134" i="9" s="1"/>
  <c r="Y135" i="9" s="1"/>
  <c r="Y136" i="9" s="1"/>
  <c r="H18" i="9"/>
  <c r="E18" i="9"/>
  <c r="X17" i="9"/>
  <c r="H17" i="9"/>
  <c r="E17" i="9"/>
  <c r="B17" i="9"/>
  <c r="B29" i="9" s="1"/>
  <c r="B41" i="9" s="1"/>
  <c r="B53" i="9" s="1"/>
  <c r="B65" i="9" s="1"/>
  <c r="B77" i="9" s="1"/>
  <c r="B89" i="9" s="1"/>
  <c r="B101" i="9" s="1"/>
  <c r="B113" i="9" s="1"/>
  <c r="B125" i="9" s="1"/>
  <c r="B137" i="9" s="1"/>
  <c r="W16" i="9"/>
  <c r="W17" i="9" s="1"/>
  <c r="W18" i="9" s="1"/>
  <c r="W19" i="9" s="1"/>
  <c r="W20" i="9" s="1"/>
  <c r="W21" i="9" s="1"/>
  <c r="W22" i="9" s="1"/>
  <c r="W23" i="9" s="1"/>
  <c r="W24" i="9" s="1"/>
  <c r="W25" i="9" s="1"/>
  <c r="W26" i="9" s="1"/>
  <c r="W27" i="9" s="1"/>
  <c r="W28" i="9" s="1"/>
  <c r="W29" i="9" s="1"/>
  <c r="W30" i="9" s="1"/>
  <c r="W31" i="9" s="1"/>
  <c r="W32" i="9" s="1"/>
  <c r="W33" i="9" s="1"/>
  <c r="W34" i="9" s="1"/>
  <c r="W35" i="9" s="1"/>
  <c r="W36" i="9" s="1"/>
  <c r="W37" i="9" s="1"/>
  <c r="W38" i="9" s="1"/>
  <c r="W39" i="9" s="1"/>
  <c r="W40" i="9" s="1"/>
  <c r="W41" i="9" s="1"/>
  <c r="W42" i="9" s="1"/>
  <c r="W43" i="9" s="1"/>
  <c r="W44" i="9" s="1"/>
  <c r="W45" i="9" s="1"/>
  <c r="W46" i="9" s="1"/>
  <c r="W47" i="9" s="1"/>
  <c r="W48" i="9" s="1"/>
  <c r="W49" i="9" s="1"/>
  <c r="W50" i="9" s="1"/>
  <c r="W51" i="9" s="1"/>
  <c r="W52" i="9" s="1"/>
  <c r="W53" i="9" s="1"/>
  <c r="W54" i="9" s="1"/>
  <c r="W55" i="9" s="1"/>
  <c r="W56" i="9" s="1"/>
  <c r="W57" i="9" s="1"/>
  <c r="W58" i="9" s="1"/>
  <c r="W59" i="9" s="1"/>
  <c r="W60" i="9" s="1"/>
  <c r="W61" i="9" s="1"/>
  <c r="W62" i="9" s="1"/>
  <c r="W63" i="9" s="1"/>
  <c r="W64" i="9" s="1"/>
  <c r="W65" i="9" s="1"/>
  <c r="W66" i="9" s="1"/>
  <c r="W67" i="9" s="1"/>
  <c r="W68" i="9" s="1"/>
  <c r="W69" i="9" s="1"/>
  <c r="W70" i="9" s="1"/>
  <c r="W71" i="9" s="1"/>
  <c r="W72" i="9" s="1"/>
  <c r="W73" i="9" s="1"/>
  <c r="W74" i="9" s="1"/>
  <c r="W75" i="9" s="1"/>
  <c r="W76" i="9" s="1"/>
  <c r="W77" i="9" s="1"/>
  <c r="W78" i="9" s="1"/>
  <c r="W79" i="9" s="1"/>
  <c r="W80" i="9" s="1"/>
  <c r="W81" i="9" s="1"/>
  <c r="W82" i="9" s="1"/>
  <c r="W83" i="9" s="1"/>
  <c r="W84" i="9" s="1"/>
  <c r="W85" i="9" s="1"/>
  <c r="W86" i="9" s="1"/>
  <c r="W87" i="9" s="1"/>
  <c r="W88" i="9" s="1"/>
  <c r="W89" i="9" s="1"/>
  <c r="W90" i="9" s="1"/>
  <c r="W91" i="9" s="1"/>
  <c r="W92" i="9" s="1"/>
  <c r="W93" i="9" s="1"/>
  <c r="W94" i="9" s="1"/>
  <c r="W95" i="9" s="1"/>
  <c r="W96" i="9" s="1"/>
  <c r="W97" i="9" s="1"/>
  <c r="W98" i="9" s="1"/>
  <c r="W99" i="9" s="1"/>
  <c r="W100" i="9" s="1"/>
  <c r="W101" i="9" s="1"/>
  <c r="W102" i="9" s="1"/>
  <c r="W103" i="9" s="1"/>
  <c r="W104" i="9" s="1"/>
  <c r="W105" i="9" s="1"/>
  <c r="W106" i="9" s="1"/>
  <c r="W107" i="9" s="1"/>
  <c r="W108" i="9" s="1"/>
  <c r="W109" i="9" s="1"/>
  <c r="W110" i="9" s="1"/>
  <c r="W111" i="9" s="1"/>
  <c r="W112" i="9" s="1"/>
  <c r="W113" i="9" s="1"/>
  <c r="W114" i="9" s="1"/>
  <c r="W115" i="9" s="1"/>
  <c r="W116" i="9" s="1"/>
  <c r="W117" i="9" s="1"/>
  <c r="W118" i="9" s="1"/>
  <c r="W119" i="9" s="1"/>
  <c r="W120" i="9" s="1"/>
  <c r="W121" i="9" s="1"/>
  <c r="W122" i="9" s="1"/>
  <c r="W123" i="9" s="1"/>
  <c r="W124" i="9" s="1"/>
  <c r="W125" i="9" s="1"/>
  <c r="W126" i="9" s="1"/>
  <c r="W127" i="9" s="1"/>
  <c r="W128" i="9" s="1"/>
  <c r="W129" i="9" s="1"/>
  <c r="W130" i="9" s="1"/>
  <c r="W131" i="9" s="1"/>
  <c r="W132" i="9" s="1"/>
  <c r="W133" i="9" s="1"/>
  <c r="W134" i="9" s="1"/>
  <c r="W135" i="9" s="1"/>
  <c r="H16" i="9"/>
  <c r="E16" i="9"/>
  <c r="V15" i="9"/>
  <c r="H15" i="9"/>
  <c r="E15" i="9"/>
  <c r="U14" i="9"/>
  <c r="U15" i="9"/>
  <c r="U16" i="9" s="1"/>
  <c r="U17" i="9" s="1"/>
  <c r="U18" i="9" s="1"/>
  <c r="U19" i="9" s="1"/>
  <c r="U20" i="9" s="1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U32" i="9" s="1"/>
  <c r="U33" i="9" s="1"/>
  <c r="U34" i="9" s="1"/>
  <c r="U35" i="9" s="1"/>
  <c r="U36" i="9" s="1"/>
  <c r="U37" i="9" s="1"/>
  <c r="U38" i="9" s="1"/>
  <c r="U39" i="9" s="1"/>
  <c r="U40" i="9" s="1"/>
  <c r="U41" i="9" s="1"/>
  <c r="U42" i="9" s="1"/>
  <c r="U43" i="9" s="1"/>
  <c r="U44" i="9" s="1"/>
  <c r="U45" i="9" s="1"/>
  <c r="U46" i="9" s="1"/>
  <c r="U47" i="9" s="1"/>
  <c r="U48" i="9" s="1"/>
  <c r="U49" i="9" s="1"/>
  <c r="U50" i="9" s="1"/>
  <c r="U51" i="9" s="1"/>
  <c r="U52" i="9" s="1"/>
  <c r="U53" i="9" s="1"/>
  <c r="U54" i="9" s="1"/>
  <c r="U55" i="9" s="1"/>
  <c r="U56" i="9" s="1"/>
  <c r="U57" i="9" s="1"/>
  <c r="U58" i="9" s="1"/>
  <c r="U59" i="9" s="1"/>
  <c r="U60" i="9" s="1"/>
  <c r="U61" i="9" s="1"/>
  <c r="U62" i="9" s="1"/>
  <c r="U63" i="9" s="1"/>
  <c r="U64" i="9" s="1"/>
  <c r="U65" i="9" s="1"/>
  <c r="U66" i="9" s="1"/>
  <c r="U67" i="9" s="1"/>
  <c r="U68" i="9" s="1"/>
  <c r="U69" i="9" s="1"/>
  <c r="U70" i="9" s="1"/>
  <c r="U71" i="9" s="1"/>
  <c r="U72" i="9" s="1"/>
  <c r="U73" i="9" s="1"/>
  <c r="U74" i="9" s="1"/>
  <c r="U75" i="9" s="1"/>
  <c r="U76" i="9" s="1"/>
  <c r="U77" i="9" s="1"/>
  <c r="U78" i="9" s="1"/>
  <c r="U79" i="9" s="1"/>
  <c r="U80" i="9" s="1"/>
  <c r="U81" i="9" s="1"/>
  <c r="U82" i="9" s="1"/>
  <c r="U83" i="9" s="1"/>
  <c r="U84" i="9" s="1"/>
  <c r="U85" i="9" s="1"/>
  <c r="U86" i="9" s="1"/>
  <c r="U87" i="9" s="1"/>
  <c r="U88" i="9" s="1"/>
  <c r="U89" i="9" s="1"/>
  <c r="U90" i="9" s="1"/>
  <c r="U91" i="9" s="1"/>
  <c r="U92" i="9" s="1"/>
  <c r="U93" i="9" s="1"/>
  <c r="U94" i="9" s="1"/>
  <c r="U95" i="9" s="1"/>
  <c r="U96" i="9" s="1"/>
  <c r="U97" i="9" s="1"/>
  <c r="U98" i="9" s="1"/>
  <c r="U99" i="9" s="1"/>
  <c r="U100" i="9" s="1"/>
  <c r="U101" i="9" s="1"/>
  <c r="U102" i="9" s="1"/>
  <c r="U103" i="9" s="1"/>
  <c r="U104" i="9" s="1"/>
  <c r="U105" i="9" s="1"/>
  <c r="U106" i="9" s="1"/>
  <c r="U107" i="9" s="1"/>
  <c r="U108" i="9" s="1"/>
  <c r="U109" i="9" s="1"/>
  <c r="U110" i="9" s="1"/>
  <c r="U111" i="9" s="1"/>
  <c r="U112" i="9" s="1"/>
  <c r="U113" i="9" s="1"/>
  <c r="U114" i="9" s="1"/>
  <c r="U115" i="9" s="1"/>
  <c r="U116" i="9" s="1"/>
  <c r="U117" i="9" s="1"/>
  <c r="U118" i="9" s="1"/>
  <c r="U119" i="9" s="1"/>
  <c r="U120" i="9" s="1"/>
  <c r="U121" i="9" s="1"/>
  <c r="U122" i="9" s="1"/>
  <c r="U123" i="9" s="1"/>
  <c r="U124" i="9" s="1"/>
  <c r="U125" i="9" s="1"/>
  <c r="U126" i="9" s="1"/>
  <c r="U127" i="9" s="1"/>
  <c r="U128" i="9" s="1"/>
  <c r="U129" i="9" s="1"/>
  <c r="U130" i="9" s="1"/>
  <c r="U131" i="9" s="1"/>
  <c r="U132" i="9" s="1"/>
  <c r="U133" i="9" s="1"/>
  <c r="H14" i="9"/>
  <c r="E14" i="9"/>
  <c r="T13" i="9"/>
  <c r="T14" i="9" s="1"/>
  <c r="T15" i="9" s="1"/>
  <c r="T16" i="9" s="1"/>
  <c r="T17" i="9" s="1"/>
  <c r="T18" i="9" s="1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T33" i="9" s="1"/>
  <c r="T34" i="9" s="1"/>
  <c r="T35" i="9" s="1"/>
  <c r="T36" i="9" s="1"/>
  <c r="T37" i="9" s="1"/>
  <c r="T38" i="9" s="1"/>
  <c r="T39" i="9" s="1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T56" i="9" s="1"/>
  <c r="T57" i="9" s="1"/>
  <c r="T58" i="9" s="1"/>
  <c r="T59" i="9" s="1"/>
  <c r="T60" i="9" s="1"/>
  <c r="T61" i="9" s="1"/>
  <c r="T62" i="9" s="1"/>
  <c r="T63" i="9" s="1"/>
  <c r="T64" i="9" s="1"/>
  <c r="T65" i="9" s="1"/>
  <c r="T66" i="9" s="1"/>
  <c r="T67" i="9" s="1"/>
  <c r="T68" i="9" s="1"/>
  <c r="T69" i="9" s="1"/>
  <c r="T70" i="9" s="1"/>
  <c r="T71" i="9" s="1"/>
  <c r="T72" i="9" s="1"/>
  <c r="T73" i="9" s="1"/>
  <c r="T74" i="9" s="1"/>
  <c r="T75" i="9" s="1"/>
  <c r="T76" i="9" s="1"/>
  <c r="T77" i="9" s="1"/>
  <c r="T78" i="9" s="1"/>
  <c r="T79" i="9" s="1"/>
  <c r="T80" i="9" s="1"/>
  <c r="T81" i="9" s="1"/>
  <c r="T82" i="9" s="1"/>
  <c r="T83" i="9" s="1"/>
  <c r="T84" i="9" s="1"/>
  <c r="T85" i="9" s="1"/>
  <c r="T86" i="9" s="1"/>
  <c r="T87" i="9" s="1"/>
  <c r="T88" i="9" s="1"/>
  <c r="T89" i="9" s="1"/>
  <c r="T90" i="9" s="1"/>
  <c r="T91" i="9" s="1"/>
  <c r="T92" i="9" s="1"/>
  <c r="T93" i="9" s="1"/>
  <c r="T94" i="9" s="1"/>
  <c r="T95" i="9" s="1"/>
  <c r="T96" i="9" s="1"/>
  <c r="T97" i="9" s="1"/>
  <c r="T98" i="9" s="1"/>
  <c r="T99" i="9" s="1"/>
  <c r="T100" i="9" s="1"/>
  <c r="T101" i="9" s="1"/>
  <c r="T102" i="9" s="1"/>
  <c r="T103" i="9" s="1"/>
  <c r="T104" i="9" s="1"/>
  <c r="T105" i="9" s="1"/>
  <c r="T106" i="9" s="1"/>
  <c r="T107" i="9" s="1"/>
  <c r="T108" i="9" s="1"/>
  <c r="T109" i="9" s="1"/>
  <c r="T110" i="9" s="1"/>
  <c r="T111" i="9" s="1"/>
  <c r="T112" i="9" s="1"/>
  <c r="T113" i="9" s="1"/>
  <c r="T114" i="9" s="1"/>
  <c r="T115" i="9" s="1"/>
  <c r="T116" i="9" s="1"/>
  <c r="T117" i="9" s="1"/>
  <c r="T118" i="9" s="1"/>
  <c r="T119" i="9" s="1"/>
  <c r="T120" i="9" s="1"/>
  <c r="T121" i="9" s="1"/>
  <c r="T122" i="9" s="1"/>
  <c r="T123" i="9" s="1"/>
  <c r="T124" i="9" s="1"/>
  <c r="T125" i="9" s="1"/>
  <c r="T126" i="9" s="1"/>
  <c r="T127" i="9" s="1"/>
  <c r="T128" i="9" s="1"/>
  <c r="T129" i="9" s="1"/>
  <c r="T130" i="9" s="1"/>
  <c r="T131" i="9" s="1"/>
  <c r="T132" i="9" s="1"/>
  <c r="H13" i="9"/>
  <c r="E13" i="9"/>
  <c r="S12" i="9"/>
  <c r="H12" i="9"/>
  <c r="E12" i="9"/>
  <c r="R11" i="9"/>
  <c r="R12" i="9" s="1"/>
  <c r="R13" i="9" s="1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2" i="9" s="1"/>
  <c r="R33" i="9" s="1"/>
  <c r="R34" i="9" s="1"/>
  <c r="R35" i="9" s="1"/>
  <c r="R36" i="9" s="1"/>
  <c r="R37" i="9" s="1"/>
  <c r="R38" i="9" s="1"/>
  <c r="R39" i="9" s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R55" i="9" s="1"/>
  <c r="R56" i="9" s="1"/>
  <c r="R57" i="9" s="1"/>
  <c r="R58" i="9" s="1"/>
  <c r="R59" i="9" s="1"/>
  <c r="R60" i="9" s="1"/>
  <c r="R61" i="9" s="1"/>
  <c r="R62" i="9" s="1"/>
  <c r="R63" i="9" s="1"/>
  <c r="R64" i="9" s="1"/>
  <c r="R65" i="9" s="1"/>
  <c r="R66" i="9" s="1"/>
  <c r="R67" i="9" s="1"/>
  <c r="R68" i="9" s="1"/>
  <c r="R69" i="9" s="1"/>
  <c r="R70" i="9" s="1"/>
  <c r="R71" i="9" s="1"/>
  <c r="R72" i="9" s="1"/>
  <c r="R73" i="9" s="1"/>
  <c r="R74" i="9" s="1"/>
  <c r="R75" i="9" s="1"/>
  <c r="R76" i="9" s="1"/>
  <c r="R77" i="9" s="1"/>
  <c r="R78" i="9" s="1"/>
  <c r="R79" i="9" s="1"/>
  <c r="R80" i="9" s="1"/>
  <c r="R81" i="9" s="1"/>
  <c r="R82" i="9" s="1"/>
  <c r="R83" i="9" s="1"/>
  <c r="R84" i="9" s="1"/>
  <c r="R85" i="9" s="1"/>
  <c r="R86" i="9" s="1"/>
  <c r="R87" i="9" s="1"/>
  <c r="R88" i="9" s="1"/>
  <c r="R89" i="9" s="1"/>
  <c r="R90" i="9" s="1"/>
  <c r="R91" i="9" s="1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R107" i="9" s="1"/>
  <c r="R108" i="9" s="1"/>
  <c r="R109" i="9" s="1"/>
  <c r="R110" i="9" s="1"/>
  <c r="R111" i="9" s="1"/>
  <c r="R112" i="9" s="1"/>
  <c r="R113" i="9" s="1"/>
  <c r="R114" i="9" s="1"/>
  <c r="R115" i="9" s="1"/>
  <c r="R116" i="9" s="1"/>
  <c r="R117" i="9" s="1"/>
  <c r="R118" i="9" s="1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R129" i="9" s="1"/>
  <c r="R130" i="9" s="1"/>
  <c r="H11" i="9"/>
  <c r="E11" i="9"/>
  <c r="Q10" i="9"/>
  <c r="H10" i="9"/>
  <c r="E10" i="9"/>
  <c r="P9" i="9"/>
  <c r="H9" i="9"/>
  <c r="E9" i="9"/>
  <c r="O8" i="9"/>
  <c r="H8" i="9"/>
  <c r="E8" i="9"/>
  <c r="N7" i="9"/>
  <c r="H7" i="9"/>
  <c r="E7" i="9"/>
  <c r="M6" i="9"/>
  <c r="M7" i="9" s="1"/>
  <c r="M8" i="9" s="1"/>
  <c r="M9" i="9" s="1"/>
  <c r="M10" i="9" s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6" i="9" s="1"/>
  <c r="M57" i="9" s="1"/>
  <c r="M58" i="9" s="1"/>
  <c r="M59" i="9" s="1"/>
  <c r="M60" i="9" s="1"/>
  <c r="M61" i="9" s="1"/>
  <c r="M62" i="9" s="1"/>
  <c r="M63" i="9" s="1"/>
  <c r="M64" i="9" s="1"/>
  <c r="M65" i="9" s="1"/>
  <c r="M66" i="9" s="1"/>
  <c r="M67" i="9" s="1"/>
  <c r="M68" i="9" s="1"/>
  <c r="M69" i="9" s="1"/>
  <c r="M70" i="9" s="1"/>
  <c r="M71" i="9" s="1"/>
  <c r="M72" i="9" s="1"/>
  <c r="M73" i="9" s="1"/>
  <c r="M74" i="9" s="1"/>
  <c r="M75" i="9" s="1"/>
  <c r="M76" i="9" s="1"/>
  <c r="M77" i="9" s="1"/>
  <c r="M78" i="9" s="1"/>
  <c r="M79" i="9" s="1"/>
  <c r="M80" i="9" s="1"/>
  <c r="M81" i="9" s="1"/>
  <c r="M82" i="9" s="1"/>
  <c r="M83" i="9" s="1"/>
  <c r="M84" i="9" s="1"/>
  <c r="M85" i="9" s="1"/>
  <c r="M86" i="9" s="1"/>
  <c r="M87" i="9" s="1"/>
  <c r="M88" i="9" s="1"/>
  <c r="M89" i="9" s="1"/>
  <c r="M90" i="9" s="1"/>
  <c r="M91" i="9" s="1"/>
  <c r="M92" i="9" s="1"/>
  <c r="M93" i="9" s="1"/>
  <c r="M94" i="9" s="1"/>
  <c r="M95" i="9" s="1"/>
  <c r="M96" i="9" s="1"/>
  <c r="M97" i="9" s="1"/>
  <c r="M98" i="9" s="1"/>
  <c r="M99" i="9" s="1"/>
  <c r="M100" i="9" s="1"/>
  <c r="M101" i="9" s="1"/>
  <c r="M102" i="9" s="1"/>
  <c r="M103" i="9" s="1"/>
  <c r="M104" i="9" s="1"/>
  <c r="M105" i="9" s="1"/>
  <c r="M106" i="9" s="1"/>
  <c r="M107" i="9" s="1"/>
  <c r="M108" i="9" s="1"/>
  <c r="M109" i="9" s="1"/>
  <c r="M110" i="9" s="1"/>
  <c r="M111" i="9" s="1"/>
  <c r="M112" i="9" s="1"/>
  <c r="M113" i="9" s="1"/>
  <c r="M114" i="9" s="1"/>
  <c r="M115" i="9" s="1"/>
  <c r="M116" i="9" s="1"/>
  <c r="M117" i="9" s="1"/>
  <c r="M118" i="9" s="1"/>
  <c r="M119" i="9" s="1"/>
  <c r="M120" i="9" s="1"/>
  <c r="M121" i="9" s="1"/>
  <c r="M122" i="9" s="1"/>
  <c r="M123" i="9" s="1"/>
  <c r="M124" i="9" s="1"/>
  <c r="M125" i="9" s="1"/>
  <c r="H6" i="9"/>
  <c r="E6" i="9"/>
  <c r="B6" i="9"/>
  <c r="L5" i="9"/>
  <c r="AB5" i="9" s="1"/>
  <c r="H5" i="9"/>
  <c r="E5" i="9"/>
  <c r="M2" i="9"/>
  <c r="N2" i="9" s="1"/>
  <c r="O2" i="9" s="1"/>
  <c r="P2" i="9" s="1"/>
  <c r="Q2" i="9" s="1"/>
  <c r="R2" i="9" s="1"/>
  <c r="S2" i="9" s="1"/>
  <c r="T2" i="9" s="1"/>
  <c r="U2" i="9" s="1"/>
  <c r="V2" i="9" s="1"/>
  <c r="W2" i="9" s="1"/>
  <c r="X2" i="9" s="1"/>
  <c r="Y2" i="9" s="1"/>
  <c r="Z2" i="9" s="1"/>
  <c r="AA2" i="9" s="1"/>
  <c r="BF82" i="8"/>
  <c r="BH82" i="8" s="1"/>
  <c r="G82" i="8"/>
  <c r="K82" i="8" s="1"/>
  <c r="BF81" i="8"/>
  <c r="BH81" i="8" s="1"/>
  <c r="G81" i="8"/>
  <c r="K81" i="8"/>
  <c r="BF80" i="8"/>
  <c r="BH80" i="8" s="1"/>
  <c r="G80" i="8"/>
  <c r="K80" i="8" s="1"/>
  <c r="BF79" i="8"/>
  <c r="BH79" i="8" s="1"/>
  <c r="G79" i="8"/>
  <c r="K79" i="8" s="1"/>
  <c r="BF78" i="8"/>
  <c r="BH78" i="8" s="1"/>
  <c r="G78" i="8"/>
  <c r="K78" i="8" s="1"/>
  <c r="BF77" i="8"/>
  <c r="BH77" i="8" s="1"/>
  <c r="G77" i="8"/>
  <c r="K77" i="8" s="1"/>
  <c r="BF76" i="8"/>
  <c r="BH76" i="8" s="1"/>
  <c r="G76" i="8"/>
  <c r="K76" i="8" s="1"/>
  <c r="BF75" i="8"/>
  <c r="BH75" i="8" s="1"/>
  <c r="G75" i="8"/>
  <c r="K75" i="8" s="1"/>
  <c r="BF74" i="8"/>
  <c r="BH74" i="8" s="1"/>
  <c r="G74" i="8"/>
  <c r="K74" i="8" s="1"/>
  <c r="BF73" i="8"/>
  <c r="BH73" i="8" s="1"/>
  <c r="G73" i="8"/>
  <c r="K73" i="8" s="1"/>
  <c r="BF72" i="8"/>
  <c r="BH72" i="8" s="1"/>
  <c r="G72" i="8"/>
  <c r="K72" i="8" s="1"/>
  <c r="BF71" i="8"/>
  <c r="BH71" i="8" s="1"/>
  <c r="G71" i="8"/>
  <c r="K71" i="8" s="1"/>
  <c r="BF70" i="8"/>
  <c r="BH70" i="8" s="1"/>
  <c r="G70" i="8"/>
  <c r="K70" i="8" s="1"/>
  <c r="BF69" i="8"/>
  <c r="BH69" i="8" s="1"/>
  <c r="G69" i="8"/>
  <c r="K69" i="8" s="1"/>
  <c r="BF68" i="8"/>
  <c r="BH68" i="8" s="1"/>
  <c r="BF67" i="8"/>
  <c r="BH67" i="8" s="1"/>
  <c r="G67" i="8"/>
  <c r="K67" i="8" s="1"/>
  <c r="BF66" i="8"/>
  <c r="BH66" i="8" s="1"/>
  <c r="G66" i="8"/>
  <c r="K66" i="8" s="1"/>
  <c r="BF65" i="8"/>
  <c r="BH65" i="8" s="1"/>
  <c r="G65" i="8"/>
  <c r="K65" i="8" s="1"/>
  <c r="BF64" i="8"/>
  <c r="BH64" i="8" s="1"/>
  <c r="G64" i="8"/>
  <c r="K64" i="8" s="1"/>
  <c r="BF63" i="8"/>
  <c r="BH63" i="8" s="1"/>
  <c r="G63" i="8"/>
  <c r="K63" i="8"/>
  <c r="BF62" i="8"/>
  <c r="BH62" i="8" s="1"/>
  <c r="G62" i="8"/>
  <c r="K62" i="8"/>
  <c r="BF61" i="8"/>
  <c r="BH61" i="8" s="1"/>
  <c r="G61" i="8"/>
  <c r="K61" i="8" s="1"/>
  <c r="BF60" i="8"/>
  <c r="BH60" i="8" s="1"/>
  <c r="G60" i="8"/>
  <c r="K60" i="8" s="1"/>
  <c r="BF59" i="8"/>
  <c r="BH59" i="8" s="1"/>
  <c r="G59" i="8"/>
  <c r="K59" i="8" s="1"/>
  <c r="BF58" i="8"/>
  <c r="BH58" i="8" s="1"/>
  <c r="G58" i="8"/>
  <c r="K58" i="8" s="1"/>
  <c r="BF57" i="8"/>
  <c r="BH57" i="8" s="1"/>
  <c r="G57" i="8"/>
  <c r="K57" i="8" s="1"/>
  <c r="BF56" i="8"/>
  <c r="BH56" i="8" s="1"/>
  <c r="G56" i="8"/>
  <c r="K56" i="8" s="1"/>
  <c r="BF55" i="8"/>
  <c r="BH55" i="8" s="1"/>
  <c r="G55" i="8"/>
  <c r="K55" i="8" s="1"/>
  <c r="BF54" i="8"/>
  <c r="BH54" i="8" s="1"/>
  <c r="G54" i="8"/>
  <c r="K54" i="8" s="1"/>
  <c r="BF53" i="8"/>
  <c r="BH53" i="8" s="1"/>
  <c r="G53" i="8"/>
  <c r="K53" i="8"/>
  <c r="BF52" i="8"/>
  <c r="BH52" i="8" s="1"/>
  <c r="G52" i="8"/>
  <c r="K52" i="8"/>
  <c r="BF51" i="8"/>
  <c r="BH51" i="8" s="1"/>
  <c r="G51" i="8"/>
  <c r="K51" i="8"/>
  <c r="BF50" i="8"/>
  <c r="BH50" i="8" s="1"/>
  <c r="G50" i="8"/>
  <c r="K50" i="8"/>
  <c r="BF49" i="8"/>
  <c r="BH49" i="8" s="1"/>
  <c r="G49" i="8"/>
  <c r="K49" i="8"/>
  <c r="BF48" i="8"/>
  <c r="BH48" i="8"/>
  <c r="G48" i="8"/>
  <c r="K48" i="8"/>
  <c r="BF47" i="8"/>
  <c r="BH47" i="8" s="1"/>
  <c r="G47" i="8"/>
  <c r="K47" i="8"/>
  <c r="BF46" i="8"/>
  <c r="BH46" i="8" s="1"/>
  <c r="G46" i="8"/>
  <c r="K46" i="8"/>
  <c r="BF45" i="8"/>
  <c r="BH45" i="8" s="1"/>
  <c r="G45" i="8"/>
  <c r="K45" i="8"/>
  <c r="BF44" i="8"/>
  <c r="BH44" i="8" s="1"/>
  <c r="G44" i="8"/>
  <c r="K44" i="8"/>
  <c r="BF43" i="8"/>
  <c r="BH43" i="8" s="1"/>
  <c r="G43" i="8"/>
  <c r="K43" i="8"/>
  <c r="BF42" i="8"/>
  <c r="BH42" i="8" s="1"/>
  <c r="G42" i="8"/>
  <c r="K42" i="8"/>
  <c r="BF41" i="8"/>
  <c r="BH41" i="8" s="1"/>
  <c r="G41" i="8"/>
  <c r="K41" i="8"/>
  <c r="BF40" i="8"/>
  <c r="BH40" i="8" s="1"/>
  <c r="G40" i="8"/>
  <c r="K40" i="8"/>
  <c r="BF39" i="8"/>
  <c r="BH39" i="8" s="1"/>
  <c r="G39" i="8"/>
  <c r="K39" i="8"/>
  <c r="BF38" i="8"/>
  <c r="BH38" i="8" s="1"/>
  <c r="G38" i="8"/>
  <c r="K38" i="8"/>
  <c r="BF37" i="8"/>
  <c r="BH37" i="8" s="1"/>
  <c r="G37" i="8"/>
  <c r="K37" i="8"/>
  <c r="BF36" i="8"/>
  <c r="BH36" i="8" s="1"/>
  <c r="G36" i="8"/>
  <c r="K36" i="8"/>
  <c r="G35" i="8"/>
  <c r="K35" i="8" s="1"/>
  <c r="G34" i="8"/>
  <c r="K34" i="8"/>
  <c r="G33" i="8"/>
  <c r="K33" i="8" s="1"/>
  <c r="G32" i="8"/>
  <c r="K32" i="8"/>
  <c r="G31" i="8"/>
  <c r="K31" i="8" s="1"/>
  <c r="G30" i="8"/>
  <c r="K30" i="8"/>
  <c r="G29" i="8"/>
  <c r="K29" i="8" s="1"/>
  <c r="G28" i="8"/>
  <c r="K28" i="8"/>
  <c r="G27" i="8"/>
  <c r="K27" i="8" s="1"/>
  <c r="G26" i="8"/>
  <c r="K26" i="8"/>
  <c r="G25" i="8"/>
  <c r="K25" i="8" s="1"/>
  <c r="G24" i="8"/>
  <c r="K24" i="8"/>
  <c r="G23" i="8"/>
  <c r="K23" i="8" s="1"/>
  <c r="BD23" i="8" s="1"/>
  <c r="G22" i="8"/>
  <c r="K22" i="8" s="1"/>
  <c r="G21" i="8"/>
  <c r="K21" i="8"/>
  <c r="G20" i="8"/>
  <c r="K20" i="8" s="1"/>
  <c r="G19" i="8"/>
  <c r="K19" i="8"/>
  <c r="G18" i="8"/>
  <c r="G17" i="8"/>
  <c r="K17" i="8" s="1"/>
  <c r="Z17" i="8" s="1"/>
  <c r="G16" i="8"/>
  <c r="K16" i="8" s="1"/>
  <c r="AW16" i="8" s="1"/>
  <c r="G15" i="8"/>
  <c r="K15" i="8"/>
  <c r="G14" i="8"/>
  <c r="K14" i="8" s="1"/>
  <c r="AU14" i="8" s="1"/>
  <c r="G13" i="8"/>
  <c r="K13" i="8" s="1"/>
  <c r="AT13" i="8" s="1"/>
  <c r="AT14" i="8" s="1"/>
  <c r="AT15" i="8" s="1"/>
  <c r="AT16" i="8" s="1"/>
  <c r="AT17" i="8" s="1"/>
  <c r="AT18" i="8" s="1"/>
  <c r="AT19" i="8" s="1"/>
  <c r="AT20" i="8" s="1"/>
  <c r="AT21" i="8" s="1"/>
  <c r="AT22" i="8" s="1"/>
  <c r="AT23" i="8" s="1"/>
  <c r="AT24" i="8" s="1"/>
  <c r="G12" i="8"/>
  <c r="K12" i="8"/>
  <c r="G11" i="8"/>
  <c r="K11" i="8" s="1"/>
  <c r="G10" i="8"/>
  <c r="K10" i="8" s="1"/>
  <c r="AQ10" i="8" s="1"/>
  <c r="G9" i="8"/>
  <c r="K9" i="8" s="1"/>
  <c r="R9" i="8" s="1"/>
  <c r="G8" i="8"/>
  <c r="K8" i="8" s="1"/>
  <c r="AO8" i="8" s="1"/>
  <c r="AO9" i="8" s="1"/>
  <c r="AO10" i="8" s="1"/>
  <c r="AO11" i="8" s="1"/>
  <c r="AO12" i="8" s="1"/>
  <c r="AO13" i="8" s="1"/>
  <c r="AO14" i="8" s="1"/>
  <c r="AO15" i="8" s="1"/>
  <c r="AO16" i="8" s="1"/>
  <c r="AO17" i="8" s="1"/>
  <c r="AO18" i="8" s="1"/>
  <c r="AO19" i="8" s="1"/>
  <c r="G7" i="8"/>
  <c r="K7" i="8" s="1"/>
  <c r="G6" i="8"/>
  <c r="B6" i="8"/>
  <c r="B7" i="8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G5" i="8"/>
  <c r="K5" i="8"/>
  <c r="AM2" i="8"/>
  <c r="AN2" i="8" s="1"/>
  <c r="AO2" i="8" s="1"/>
  <c r="AP2" i="8" s="1"/>
  <c r="AQ2" i="8" s="1"/>
  <c r="AR2" i="8" s="1"/>
  <c r="AS2" i="8" s="1"/>
  <c r="AT2" i="8" s="1"/>
  <c r="AU2" i="8" s="1"/>
  <c r="AV2" i="8" s="1"/>
  <c r="AW2" i="8" s="1"/>
  <c r="AX2" i="8" s="1"/>
  <c r="AY2" i="8" s="1"/>
  <c r="AZ2" i="8" s="1"/>
  <c r="BA2" i="8" s="1"/>
  <c r="BB2" i="8" s="1"/>
  <c r="BC2" i="8" s="1"/>
  <c r="BD2" i="8" s="1"/>
  <c r="BE2" i="8" s="1"/>
  <c r="O2" i="8"/>
  <c r="P2" i="8" s="1"/>
  <c r="Q2" i="8" s="1"/>
  <c r="R2" i="8" s="1"/>
  <c r="S2" i="8" s="1"/>
  <c r="T2" i="8" s="1"/>
  <c r="U2" i="8" s="1"/>
  <c r="V2" i="8" s="1"/>
  <c r="W2" i="8" s="1"/>
  <c r="X2" i="8" s="1"/>
  <c r="Y2" i="8" s="1"/>
  <c r="Z2" i="8" s="1"/>
  <c r="AA2" i="8" s="1"/>
  <c r="AB2" i="8" s="1"/>
  <c r="AC2" i="8" s="1"/>
  <c r="AD2" i="8" s="1"/>
  <c r="AE2" i="8" s="1"/>
  <c r="AF2" i="8" s="1"/>
  <c r="J87" i="7"/>
  <c r="I87" i="7"/>
  <c r="F87" i="7"/>
  <c r="E87" i="7"/>
  <c r="D87" i="7"/>
  <c r="J86" i="7"/>
  <c r="I86" i="7"/>
  <c r="F86" i="7"/>
  <c r="E86" i="7"/>
  <c r="D86" i="7"/>
  <c r="J85" i="7"/>
  <c r="I85" i="7"/>
  <c r="F85" i="7"/>
  <c r="E85" i="7"/>
  <c r="D85" i="7"/>
  <c r="J84" i="7"/>
  <c r="I84" i="7"/>
  <c r="F84" i="7"/>
  <c r="E84" i="7"/>
  <c r="D84" i="7"/>
  <c r="D83" i="7"/>
  <c r="J82" i="7"/>
  <c r="I82" i="7"/>
  <c r="D82" i="7"/>
  <c r="J81" i="7"/>
  <c r="I81" i="7"/>
  <c r="F81" i="7"/>
  <c r="E81" i="7"/>
  <c r="D81" i="7"/>
  <c r="D76" i="7"/>
  <c r="BN71" i="7"/>
  <c r="BP71" i="7" s="1"/>
  <c r="G71" i="7"/>
  <c r="L71" i="7"/>
  <c r="BN70" i="7"/>
  <c r="BP70" i="7" s="1"/>
  <c r="G70" i="7"/>
  <c r="L70" i="7"/>
  <c r="BN69" i="7"/>
  <c r="BP69" i="7" s="1"/>
  <c r="G69" i="7"/>
  <c r="L69" i="7"/>
  <c r="BN68" i="7"/>
  <c r="BP68" i="7" s="1"/>
  <c r="G68" i="7"/>
  <c r="L68" i="7"/>
  <c r="BN67" i="7"/>
  <c r="BP67" i="7" s="1"/>
  <c r="G67" i="7"/>
  <c r="BN66" i="7"/>
  <c r="BP66" i="7" s="1"/>
  <c r="G66" i="7"/>
  <c r="L66" i="7" s="1"/>
  <c r="BN65" i="7"/>
  <c r="BP65" i="7" s="1"/>
  <c r="G65" i="7"/>
  <c r="L65" i="7" s="1"/>
  <c r="BN64" i="7"/>
  <c r="BP64" i="7" s="1"/>
  <c r="G64" i="7"/>
  <c r="L64" i="7" s="1"/>
  <c r="BN63" i="7"/>
  <c r="BP63" i="7" s="1"/>
  <c r="G63" i="7"/>
  <c r="L63" i="7"/>
  <c r="BN62" i="7"/>
  <c r="BP62" i="7" s="1"/>
  <c r="G62" i="7"/>
  <c r="L62" i="7"/>
  <c r="BN61" i="7"/>
  <c r="BP61" i="7" s="1"/>
  <c r="G61" i="7"/>
  <c r="L61" i="7"/>
  <c r="BN60" i="7"/>
  <c r="BP60" i="7" s="1"/>
  <c r="G60" i="7"/>
  <c r="L60" i="7"/>
  <c r="BN59" i="7"/>
  <c r="BP59" i="7" s="1"/>
  <c r="G59" i="7"/>
  <c r="L59" i="7"/>
  <c r="BN58" i="7"/>
  <c r="BP58" i="7" s="1"/>
  <c r="G58" i="7"/>
  <c r="L58" i="7"/>
  <c r="BN57" i="7"/>
  <c r="BP57" i="7" s="1"/>
  <c r="G57" i="7"/>
  <c r="L57" i="7"/>
  <c r="BN56" i="7"/>
  <c r="BP56" i="7" s="1"/>
  <c r="G56" i="7"/>
  <c r="L56" i="7"/>
  <c r="BN55" i="7"/>
  <c r="BP55" i="7" s="1"/>
  <c r="G55" i="7"/>
  <c r="L55" i="7"/>
  <c r="BN54" i="7"/>
  <c r="BP54" i="7" s="1"/>
  <c r="G54" i="7"/>
  <c r="L54" i="7"/>
  <c r="BN53" i="7"/>
  <c r="BP53" i="7" s="1"/>
  <c r="G53" i="7"/>
  <c r="L53" i="7"/>
  <c r="BN52" i="7"/>
  <c r="BP52" i="7" s="1"/>
  <c r="G52" i="7"/>
  <c r="L52" i="7"/>
  <c r="BN51" i="7"/>
  <c r="BP51" i="7" s="1"/>
  <c r="G51" i="7"/>
  <c r="L51" i="7"/>
  <c r="BN50" i="7"/>
  <c r="BP50" i="7" s="1"/>
  <c r="G50" i="7"/>
  <c r="L50" i="7"/>
  <c r="BN49" i="7"/>
  <c r="BP49" i="7" s="1"/>
  <c r="G49" i="7"/>
  <c r="L49" i="7"/>
  <c r="BN48" i="7"/>
  <c r="BP48" i="7" s="1"/>
  <c r="G48" i="7"/>
  <c r="L48" i="7"/>
  <c r="BN47" i="7"/>
  <c r="BP47" i="7" s="1"/>
  <c r="G47" i="7"/>
  <c r="L47" i="7"/>
  <c r="BN46" i="7"/>
  <c r="BP46" i="7" s="1"/>
  <c r="G46" i="7"/>
  <c r="L46" i="7"/>
  <c r="BN45" i="7"/>
  <c r="BP45" i="7" s="1"/>
  <c r="G45" i="7"/>
  <c r="L45" i="7"/>
  <c r="BN44" i="7"/>
  <c r="BP44" i="7" s="1"/>
  <c r="G44" i="7"/>
  <c r="L44" i="7" s="1"/>
  <c r="BN43" i="7"/>
  <c r="BP43" i="7" s="1"/>
  <c r="G43" i="7"/>
  <c r="BN42" i="7"/>
  <c r="BP42" i="7"/>
  <c r="G42" i="7"/>
  <c r="L42" i="7" s="1"/>
  <c r="BN41" i="7"/>
  <c r="BP41" i="7"/>
  <c r="G41" i="7"/>
  <c r="L41" i="7" s="1"/>
  <c r="BN40" i="7"/>
  <c r="BP40" i="7" s="1"/>
  <c r="G40" i="7"/>
  <c r="L40" i="7" s="1"/>
  <c r="BN39" i="7"/>
  <c r="BP39" i="7" s="1"/>
  <c r="G39" i="7"/>
  <c r="L39" i="7" s="1"/>
  <c r="G38" i="7"/>
  <c r="L38" i="7"/>
  <c r="G37" i="7"/>
  <c r="L37" i="7" s="1"/>
  <c r="G36" i="7"/>
  <c r="L36" i="7"/>
  <c r="G35" i="7"/>
  <c r="L35" i="7" s="1"/>
  <c r="G34" i="7"/>
  <c r="L34" i="7" s="1"/>
  <c r="G33" i="7"/>
  <c r="L33" i="7" s="1"/>
  <c r="G32" i="7"/>
  <c r="L32" i="7" s="1"/>
  <c r="G31" i="7"/>
  <c r="L31" i="7" s="1"/>
  <c r="G30" i="7"/>
  <c r="L30" i="7"/>
  <c r="G29" i="7"/>
  <c r="L29" i="7" s="1"/>
  <c r="G28" i="7"/>
  <c r="L28" i="7" s="1"/>
  <c r="J27" i="7"/>
  <c r="F27" i="7"/>
  <c r="E27" i="6"/>
  <c r="G27" i="6"/>
  <c r="E27" i="7"/>
  <c r="J26" i="7"/>
  <c r="F26" i="7"/>
  <c r="E26" i="6"/>
  <c r="G26" i="6" s="1"/>
  <c r="E26" i="7"/>
  <c r="F25" i="7"/>
  <c r="G25" i="7"/>
  <c r="L25" i="7" s="1"/>
  <c r="I24" i="7"/>
  <c r="F24" i="7"/>
  <c r="E24" i="6"/>
  <c r="G24" i="6" s="1"/>
  <c r="E24" i="7"/>
  <c r="I23" i="7"/>
  <c r="F23" i="7"/>
  <c r="E23" i="6" s="1"/>
  <c r="G23" i="6" s="1"/>
  <c r="E23" i="7"/>
  <c r="G22" i="7"/>
  <c r="L22" i="7" s="1"/>
  <c r="F21" i="7"/>
  <c r="E21" i="6"/>
  <c r="G21" i="6"/>
  <c r="E21" i="7"/>
  <c r="F20" i="7"/>
  <c r="E20" i="6"/>
  <c r="G20" i="6"/>
  <c r="E20" i="7"/>
  <c r="F19" i="7"/>
  <c r="G19" i="7"/>
  <c r="F18" i="7"/>
  <c r="E18" i="6" s="1"/>
  <c r="G18" i="6" s="1"/>
  <c r="E18" i="7"/>
  <c r="E82" i="7"/>
  <c r="F17" i="7"/>
  <c r="G17" i="7" s="1"/>
  <c r="L17" i="7" s="1"/>
  <c r="F16" i="7"/>
  <c r="G16" i="7" s="1"/>
  <c r="L16" i="7" s="1"/>
  <c r="F15" i="7"/>
  <c r="F14" i="7"/>
  <c r="G14" i="7" s="1"/>
  <c r="L14" i="7" s="1"/>
  <c r="AZ14" i="7" s="1"/>
  <c r="F13" i="7"/>
  <c r="F12" i="7"/>
  <c r="G12" i="7" s="1"/>
  <c r="L12" i="7" s="1"/>
  <c r="AX12" i="7" s="1"/>
  <c r="G11" i="7"/>
  <c r="L11" i="7" s="1"/>
  <c r="G10" i="7"/>
  <c r="L10" i="7" s="1"/>
  <c r="T10" i="7" s="1"/>
  <c r="G9" i="7"/>
  <c r="L9" i="7" s="1"/>
  <c r="AU9" i="7" s="1"/>
  <c r="AU10" i="7" s="1"/>
  <c r="AU11" i="7" s="1"/>
  <c r="AU12" i="7" s="1"/>
  <c r="AU13" i="7" s="1"/>
  <c r="AU14" i="7" s="1"/>
  <c r="AU15" i="7" s="1"/>
  <c r="AU16" i="7" s="1"/>
  <c r="AU17" i="7" s="1"/>
  <c r="AU18" i="7" s="1"/>
  <c r="AU19" i="7" s="1"/>
  <c r="AU20" i="7" s="1"/>
  <c r="G8" i="7"/>
  <c r="L8" i="7"/>
  <c r="G7" i="7"/>
  <c r="L7" i="7" s="1"/>
  <c r="AS7" i="7" s="1"/>
  <c r="G6" i="7"/>
  <c r="L6" i="7" s="1"/>
  <c r="B6" i="7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G5" i="7"/>
  <c r="AR2" i="7"/>
  <c r="AS2" i="7" s="1"/>
  <c r="AT2" i="7" s="1"/>
  <c r="AU2" i="7" s="1"/>
  <c r="AV2" i="7" s="1"/>
  <c r="AW2" i="7" s="1"/>
  <c r="AX2" i="7" s="1"/>
  <c r="AY2" i="7" s="1"/>
  <c r="AZ2" i="7" s="1"/>
  <c r="BA2" i="7" s="1"/>
  <c r="BB2" i="7" s="1"/>
  <c r="BC2" i="7" s="1"/>
  <c r="BD2" i="7" s="1"/>
  <c r="BE2" i="7" s="1"/>
  <c r="BF2" i="7" s="1"/>
  <c r="BG2" i="7" s="1"/>
  <c r="BH2" i="7" s="1"/>
  <c r="BI2" i="7" s="1"/>
  <c r="BJ2" i="7" s="1"/>
  <c r="BK2" i="7" s="1"/>
  <c r="BL2" i="7" s="1"/>
  <c r="BM2" i="7" s="1"/>
  <c r="P2" i="7"/>
  <c r="Q2" i="7" s="1"/>
  <c r="R2" i="7" s="1"/>
  <c r="S2" i="7" s="1"/>
  <c r="T2" i="7" s="1"/>
  <c r="U2" i="7" s="1"/>
  <c r="V2" i="7" s="1"/>
  <c r="W2" i="7" s="1"/>
  <c r="X2" i="7" s="1"/>
  <c r="Y2" i="7" s="1"/>
  <c r="Z2" i="7" s="1"/>
  <c r="AA2" i="7" s="1"/>
  <c r="AB2" i="7" s="1"/>
  <c r="AC2" i="7" s="1"/>
  <c r="AD2" i="7" s="1"/>
  <c r="AE2" i="7" s="1"/>
  <c r="AF2" i="7" s="1"/>
  <c r="AG2" i="7" s="1"/>
  <c r="AH2" i="7" s="1"/>
  <c r="AI2" i="7" s="1"/>
  <c r="AJ2" i="7" s="1"/>
  <c r="AK2" i="7" s="1"/>
  <c r="M82" i="6"/>
  <c r="D82" i="6"/>
  <c r="M81" i="6"/>
  <c r="D81" i="6"/>
  <c r="M80" i="6"/>
  <c r="D80" i="6"/>
  <c r="M79" i="6"/>
  <c r="D79" i="6"/>
  <c r="D78" i="6"/>
  <c r="M77" i="6"/>
  <c r="D77" i="6"/>
  <c r="M76" i="6"/>
  <c r="D76" i="6"/>
  <c r="D71" i="6"/>
  <c r="Y68" i="6"/>
  <c r="N68" i="6"/>
  <c r="P68" i="6"/>
  <c r="E68" i="6"/>
  <c r="G68" i="6" s="1"/>
  <c r="Y67" i="6"/>
  <c r="N67" i="6"/>
  <c r="P67" i="6" s="1"/>
  <c r="E67" i="6"/>
  <c r="Y66" i="6"/>
  <c r="N66" i="6"/>
  <c r="P66" i="6" s="1"/>
  <c r="E66" i="6"/>
  <c r="G66" i="6" s="1"/>
  <c r="Y65" i="6"/>
  <c r="N65" i="6"/>
  <c r="P65" i="6"/>
  <c r="E65" i="6"/>
  <c r="G65" i="6"/>
  <c r="Y64" i="6"/>
  <c r="N64" i="6"/>
  <c r="P64" i="6" s="1"/>
  <c r="E64" i="6"/>
  <c r="G64" i="6" s="1"/>
  <c r="Y63" i="6"/>
  <c r="N63" i="6"/>
  <c r="P63" i="6"/>
  <c r="E63" i="6"/>
  <c r="G63" i="6"/>
  <c r="Y62" i="6"/>
  <c r="N62" i="6"/>
  <c r="P62" i="6" s="1"/>
  <c r="E62" i="6"/>
  <c r="G62" i="6" s="1"/>
  <c r="Y61" i="6"/>
  <c r="N61" i="6"/>
  <c r="P61" i="6"/>
  <c r="E61" i="6"/>
  <c r="G61" i="6"/>
  <c r="Y60" i="6"/>
  <c r="N60" i="6"/>
  <c r="P60" i="6" s="1"/>
  <c r="E60" i="6"/>
  <c r="G60" i="6" s="1"/>
  <c r="Y59" i="6"/>
  <c r="N59" i="6"/>
  <c r="P59" i="6"/>
  <c r="E59" i="6"/>
  <c r="G59" i="6"/>
  <c r="Y58" i="6"/>
  <c r="N58" i="6"/>
  <c r="P58" i="6" s="1"/>
  <c r="E58" i="6"/>
  <c r="G58" i="6" s="1"/>
  <c r="Y57" i="6"/>
  <c r="N57" i="6"/>
  <c r="P57" i="6"/>
  <c r="E57" i="6"/>
  <c r="G57" i="6"/>
  <c r="Y56" i="6"/>
  <c r="N56" i="6"/>
  <c r="P56" i="6" s="1"/>
  <c r="E56" i="6"/>
  <c r="G56" i="6" s="1"/>
  <c r="Y55" i="6"/>
  <c r="N55" i="6"/>
  <c r="P55" i="6"/>
  <c r="E55" i="6"/>
  <c r="Y54" i="6"/>
  <c r="N54" i="6"/>
  <c r="P54" i="6"/>
  <c r="E54" i="6"/>
  <c r="G54" i="6"/>
  <c r="Y53" i="6"/>
  <c r="N53" i="6"/>
  <c r="P53" i="6" s="1"/>
  <c r="E53" i="6"/>
  <c r="G53" i="6" s="1"/>
  <c r="Y52" i="6"/>
  <c r="E52" i="6"/>
  <c r="G52" i="6"/>
  <c r="Y51" i="6"/>
  <c r="E51" i="6"/>
  <c r="G51" i="6" s="1"/>
  <c r="Y50" i="6"/>
  <c r="E50" i="6"/>
  <c r="G50" i="6"/>
  <c r="Y49" i="6"/>
  <c r="E49" i="6"/>
  <c r="G49" i="6" s="1"/>
  <c r="Y48" i="6"/>
  <c r="E48" i="6"/>
  <c r="G48" i="6"/>
  <c r="Y47" i="6"/>
  <c r="E47" i="6"/>
  <c r="G47" i="6" s="1"/>
  <c r="Y46" i="6"/>
  <c r="E46" i="6"/>
  <c r="G46" i="6"/>
  <c r="Y45" i="6"/>
  <c r="E45" i="6"/>
  <c r="G45" i="6" s="1"/>
  <c r="Y44" i="6"/>
  <c r="E44" i="6"/>
  <c r="G44" i="6" s="1"/>
  <c r="Y43" i="6"/>
  <c r="E43" i="6"/>
  <c r="Y42" i="6"/>
  <c r="E42" i="6"/>
  <c r="G42" i="6"/>
  <c r="Y41" i="6"/>
  <c r="E41" i="6"/>
  <c r="G41" i="6" s="1"/>
  <c r="Y40" i="6"/>
  <c r="E40" i="6"/>
  <c r="G40" i="6" s="1"/>
  <c r="Y39" i="6"/>
  <c r="E39" i="6"/>
  <c r="G39" i="6"/>
  <c r="Y38" i="6"/>
  <c r="E38" i="6"/>
  <c r="G38" i="6" s="1"/>
  <c r="Y37" i="6"/>
  <c r="E37" i="6"/>
  <c r="G37" i="6" s="1"/>
  <c r="Y36" i="6"/>
  <c r="E36" i="6"/>
  <c r="G36" i="6" s="1"/>
  <c r="Y35" i="6"/>
  <c r="E35" i="6"/>
  <c r="G35" i="6"/>
  <c r="Y34" i="6"/>
  <c r="E34" i="6"/>
  <c r="G34" i="6"/>
  <c r="Y33" i="6"/>
  <c r="E33" i="6"/>
  <c r="G33" i="6" s="1"/>
  <c r="Y32" i="6"/>
  <c r="E32" i="6"/>
  <c r="G32" i="6" s="1"/>
  <c r="Y31" i="6"/>
  <c r="E31" i="6"/>
  <c r="G31" i="6"/>
  <c r="Y30" i="6"/>
  <c r="E30" i="6"/>
  <c r="G30" i="6"/>
  <c r="Y29" i="6"/>
  <c r="E29" i="6"/>
  <c r="G29" i="6" s="1"/>
  <c r="E28" i="6"/>
  <c r="G28" i="6"/>
  <c r="AA27" i="6"/>
  <c r="Y27" i="6"/>
  <c r="Y26" i="6"/>
  <c r="Y25" i="6"/>
  <c r="N25" i="6"/>
  <c r="P25" i="6" s="1"/>
  <c r="Y24" i="6"/>
  <c r="Y23" i="6"/>
  <c r="N23" i="6"/>
  <c r="P23" i="6" s="1"/>
  <c r="Y22" i="6"/>
  <c r="P22" i="6"/>
  <c r="E22" i="6"/>
  <c r="G22" i="6" s="1"/>
  <c r="Y21" i="6"/>
  <c r="N21" i="6"/>
  <c r="P21" i="6" s="1"/>
  <c r="Y20" i="6"/>
  <c r="N20" i="6"/>
  <c r="P20" i="6"/>
  <c r="Y19" i="6"/>
  <c r="P19" i="6"/>
  <c r="Y18" i="6"/>
  <c r="Y17" i="6"/>
  <c r="N17" i="6"/>
  <c r="P17" i="6" s="1"/>
  <c r="Y16" i="6"/>
  <c r="P16" i="6"/>
  <c r="Y15" i="6"/>
  <c r="Y14" i="6"/>
  <c r="Y13" i="6"/>
  <c r="W12" i="6"/>
  <c r="Y12" i="6"/>
  <c r="W11" i="6"/>
  <c r="Y11" i="6" s="1"/>
  <c r="E11" i="6"/>
  <c r="G11" i="6"/>
  <c r="W10" i="6"/>
  <c r="Y10" i="6" s="1"/>
  <c r="E10" i="6"/>
  <c r="G10" i="6" s="1"/>
  <c r="W9" i="6"/>
  <c r="Y9" i="6"/>
  <c r="E9" i="6"/>
  <c r="Y8" i="6"/>
  <c r="P8" i="6"/>
  <c r="G8" i="6"/>
  <c r="W7" i="6"/>
  <c r="E7" i="6"/>
  <c r="W6" i="6"/>
  <c r="Y6" i="6" s="1"/>
  <c r="T6" i="6"/>
  <c r="T7" i="6" s="1"/>
  <c r="T8" i="6" s="1"/>
  <c r="T9" i="6" s="1"/>
  <c r="T10" i="6" s="1"/>
  <c r="T11" i="6" s="1"/>
  <c r="T12" i="6" s="1"/>
  <c r="T13" i="6" s="1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T32" i="6" s="1"/>
  <c r="T33" i="6" s="1"/>
  <c r="T34" i="6" s="1"/>
  <c r="T35" i="6" s="1"/>
  <c r="T36" i="6" s="1"/>
  <c r="T37" i="6" s="1"/>
  <c r="T38" i="6" s="1"/>
  <c r="T39" i="6" s="1"/>
  <c r="T40" i="6" s="1"/>
  <c r="T41" i="6" s="1"/>
  <c r="T42" i="6" s="1"/>
  <c r="T43" i="6" s="1"/>
  <c r="T44" i="6" s="1"/>
  <c r="T45" i="6" s="1"/>
  <c r="T46" i="6" s="1"/>
  <c r="T47" i="6" s="1"/>
  <c r="T48" i="6" s="1"/>
  <c r="T49" i="6" s="1"/>
  <c r="T50" i="6" s="1"/>
  <c r="T51" i="6" s="1"/>
  <c r="T52" i="6" s="1"/>
  <c r="T53" i="6" s="1"/>
  <c r="T54" i="6" s="1"/>
  <c r="T55" i="6" s="1"/>
  <c r="T56" i="6" s="1"/>
  <c r="T57" i="6" s="1"/>
  <c r="T58" i="6" s="1"/>
  <c r="T59" i="6" s="1"/>
  <c r="T60" i="6" s="1"/>
  <c r="T61" i="6" s="1"/>
  <c r="T62" i="6" s="1"/>
  <c r="T63" i="6" s="1"/>
  <c r="T64" i="6" s="1"/>
  <c r="T65" i="6" s="1"/>
  <c r="T66" i="6" s="1"/>
  <c r="T67" i="6" s="1"/>
  <c r="T68" i="6" s="1"/>
  <c r="K6" i="6"/>
  <c r="K7" i="6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E6" i="6"/>
  <c r="B6" i="6"/>
  <c r="B7" i="6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Y5" i="6"/>
  <c r="P5" i="6"/>
  <c r="G5" i="6"/>
  <c r="H5" i="6" s="1"/>
  <c r="D9" i="5" s="1"/>
  <c r="AB100" i="5"/>
  <c r="AB99" i="5"/>
  <c r="AB98" i="5"/>
  <c r="AB97" i="5"/>
  <c r="AB96" i="5"/>
  <c r="AB95" i="5"/>
  <c r="AB94" i="5"/>
  <c r="AB93" i="5"/>
  <c r="AB92" i="5"/>
  <c r="AB91" i="5"/>
  <c r="AB101" i="5" s="1"/>
  <c r="AB90" i="5"/>
  <c r="AB89" i="5"/>
  <c r="BJ86" i="5"/>
  <c r="AX86" i="5"/>
  <c r="AL86" i="5"/>
  <c r="AK86" i="5"/>
  <c r="Z86" i="5"/>
  <c r="BV85" i="5"/>
  <c r="BV84" i="5"/>
  <c r="BV83" i="5"/>
  <c r="BV82" i="5"/>
  <c r="BV81" i="5"/>
  <c r="BV80" i="5"/>
  <c r="BV79" i="5"/>
  <c r="BV78" i="5"/>
  <c r="BV77" i="5"/>
  <c r="BV76" i="5"/>
  <c r="BV75" i="5"/>
  <c r="B75" i="5"/>
  <c r="B76" i="5"/>
  <c r="B77" i="5" s="1"/>
  <c r="B78" i="5" s="1"/>
  <c r="B79" i="5" s="1"/>
  <c r="B80" i="5" s="1"/>
  <c r="B81" i="5" s="1"/>
  <c r="B82" i="5" s="1"/>
  <c r="B83" i="5" s="1"/>
  <c r="B84" i="5" s="1"/>
  <c r="B85" i="5" s="1"/>
  <c r="BV74" i="5"/>
  <c r="AX71" i="5"/>
  <c r="AL71" i="5"/>
  <c r="AK71" i="5"/>
  <c r="Z71" i="5"/>
  <c r="BV70" i="5"/>
  <c r="BV69" i="5"/>
  <c r="AA69" i="5"/>
  <c r="AA70" i="5" s="1"/>
  <c r="BV68" i="5"/>
  <c r="AB68" i="5"/>
  <c r="BJ67" i="5"/>
  <c r="BJ66" i="5"/>
  <c r="BJ65" i="5"/>
  <c r="BJ64" i="5"/>
  <c r="BJ63" i="5"/>
  <c r="BJ62" i="5"/>
  <c r="BJ61" i="5"/>
  <c r="BJ60" i="5"/>
  <c r="B60" i="5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J59" i="5"/>
  <c r="AL56" i="5"/>
  <c r="AK56" i="5"/>
  <c r="Z56" i="5"/>
  <c r="BJ55" i="5"/>
  <c r="BJ54" i="5"/>
  <c r="BJ53" i="5"/>
  <c r="BJ52" i="5"/>
  <c r="BJ51" i="5"/>
  <c r="BJ50" i="5"/>
  <c r="BJ49" i="5"/>
  <c r="AX49" i="5"/>
  <c r="AX48" i="5"/>
  <c r="B45" i="5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AX41" i="5"/>
  <c r="Z41" i="5"/>
  <c r="AK37" i="5"/>
  <c r="AK38" i="5" s="1"/>
  <c r="AL36" i="5"/>
  <c r="AL37" i="5" s="1"/>
  <c r="AL34" i="5"/>
  <c r="AL33" i="5"/>
  <c r="AK33" i="5"/>
  <c r="AL32" i="5"/>
  <c r="AV31" i="5"/>
  <c r="AY31" i="5" s="1"/>
  <c r="AL31" i="5"/>
  <c r="AV30" i="5"/>
  <c r="AY30" i="5" s="1"/>
  <c r="AL30" i="5"/>
  <c r="AV29" i="5"/>
  <c r="AY29" i="5" s="1"/>
  <c r="AL29" i="5"/>
  <c r="AX26" i="5"/>
  <c r="AS26" i="5"/>
  <c r="AR26" i="5"/>
  <c r="AQ26" i="5"/>
  <c r="AO26" i="5"/>
  <c r="Z26" i="5"/>
  <c r="AV25" i="5"/>
  <c r="AY25" i="5" s="1"/>
  <c r="AL25" i="5"/>
  <c r="AV24" i="5"/>
  <c r="AY24" i="5" s="1"/>
  <c r="AL24" i="5"/>
  <c r="AK24" i="5"/>
  <c r="AV23" i="5"/>
  <c r="AY23" i="5" s="1"/>
  <c r="AL23" i="5"/>
  <c r="AV22" i="5"/>
  <c r="AY22" i="5" s="1"/>
  <c r="AL22" i="5"/>
  <c r="AV21" i="5"/>
  <c r="AY21" i="5"/>
  <c r="AL21" i="5"/>
  <c r="AV20" i="5"/>
  <c r="AY20" i="5"/>
  <c r="AL20" i="5"/>
  <c r="AV19" i="5"/>
  <c r="AY19" i="5" s="1"/>
  <c r="AV18" i="5"/>
  <c r="AY18" i="5" s="1"/>
  <c r="AL18" i="5"/>
  <c r="AV17" i="5"/>
  <c r="AY17" i="5" s="1"/>
  <c r="AL17" i="5"/>
  <c r="AV16" i="5"/>
  <c r="AY16" i="5" s="1"/>
  <c r="AL16" i="5"/>
  <c r="AK16" i="5"/>
  <c r="AK26" i="5" s="1"/>
  <c r="AV15" i="5"/>
  <c r="AY15" i="5" s="1"/>
  <c r="AL15" i="5"/>
  <c r="AV14" i="5"/>
  <c r="AY14" i="5" s="1"/>
  <c r="AL14" i="5"/>
  <c r="AX11" i="5"/>
  <c r="AS11" i="5"/>
  <c r="AR11" i="5"/>
  <c r="AQ11" i="5"/>
  <c r="AV10" i="5"/>
  <c r="AY10" i="5" s="1"/>
  <c r="AL10" i="5"/>
  <c r="AK10" i="5"/>
  <c r="AA10" i="5"/>
  <c r="AA14" i="5" s="1"/>
  <c r="AB14" i="5" s="1"/>
  <c r="Z10" i="5"/>
  <c r="B10" i="5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AV9" i="5"/>
  <c r="AY9" i="5" s="1"/>
  <c r="AL9" i="5"/>
  <c r="AK9" i="5"/>
  <c r="Z9" i="5"/>
  <c r="S9" i="5"/>
  <c r="AR34" i="15"/>
  <c r="AR35" i="15" s="1"/>
  <c r="AR36" i="15" s="1"/>
  <c r="AR37" i="15" s="1"/>
  <c r="AR38" i="15" s="1"/>
  <c r="AR39" i="15" s="1"/>
  <c r="AR40" i="15" s="1"/>
  <c r="AR41" i="15" s="1"/>
  <c r="AR42" i="15" s="1"/>
  <c r="AR43" i="15" s="1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AR54" i="15" s="1"/>
  <c r="AR55" i="15" s="1"/>
  <c r="AR56" i="15" s="1"/>
  <c r="AR57" i="15" s="1"/>
  <c r="AR58" i="15" s="1"/>
  <c r="AR59" i="15" s="1"/>
  <c r="AR60" i="15" s="1"/>
  <c r="AR61" i="15" s="1"/>
  <c r="AR62" i="15" s="1"/>
  <c r="AR63" i="15" s="1"/>
  <c r="AR64" i="15" s="1"/>
  <c r="AR65" i="15" s="1"/>
  <c r="AR66" i="15" s="1"/>
  <c r="AR67" i="15" s="1"/>
  <c r="AR68" i="15" s="1"/>
  <c r="AR69" i="15" s="1"/>
  <c r="AR70" i="15" s="1"/>
  <c r="AR71" i="15" s="1"/>
  <c r="AR72" i="15" s="1"/>
  <c r="AR73" i="15" s="1"/>
  <c r="AR74" i="15" s="1"/>
  <c r="AR75" i="15" s="1"/>
  <c r="AR76" i="15" s="1"/>
  <c r="AR77" i="15" s="1"/>
  <c r="AR78" i="15" s="1"/>
  <c r="AR79" i="15" s="1"/>
  <c r="AR80" i="15" s="1"/>
  <c r="AR81" i="15" s="1"/>
  <c r="AR82" i="15" s="1"/>
  <c r="AR83" i="15" s="1"/>
  <c r="AR84" i="15" s="1"/>
  <c r="AR85" i="15" s="1"/>
  <c r="AR86" i="15" s="1"/>
  <c r="AR87" i="15" s="1"/>
  <c r="AR88" i="15" s="1"/>
  <c r="AR89" i="15" s="1"/>
  <c r="AR90" i="15" s="1"/>
  <c r="AR91" i="15" s="1"/>
  <c r="AR92" i="15" s="1"/>
  <c r="AR93" i="15" s="1"/>
  <c r="AR94" i="15" s="1"/>
  <c r="AR95" i="15" s="1"/>
  <c r="AR96" i="15" s="1"/>
  <c r="AR97" i="15" s="1"/>
  <c r="AR98" i="15" s="1"/>
  <c r="AR99" i="15" s="1"/>
  <c r="AR100" i="15" s="1"/>
  <c r="AR101" i="15" s="1"/>
  <c r="AR102" i="15" s="1"/>
  <c r="AR103" i="15" s="1"/>
  <c r="AR104" i="15" s="1"/>
  <c r="AR105" i="15" s="1"/>
  <c r="AR106" i="15" s="1"/>
  <c r="AR107" i="15" s="1"/>
  <c r="AR108" i="15" s="1"/>
  <c r="AR109" i="15" s="1"/>
  <c r="AR110" i="15" s="1"/>
  <c r="AR111" i="15" s="1"/>
  <c r="AR112" i="15" s="1"/>
  <c r="AR113" i="15" s="1"/>
  <c r="AR114" i="15" s="1"/>
  <c r="AR115" i="15" s="1"/>
  <c r="AR116" i="15" s="1"/>
  <c r="AR117" i="15" s="1"/>
  <c r="AR118" i="15" s="1"/>
  <c r="AR119" i="15" s="1"/>
  <c r="AR120" i="15" s="1"/>
  <c r="AR121" i="15" s="1"/>
  <c r="AR122" i="15" s="1"/>
  <c r="AR123" i="15" s="1"/>
  <c r="AR124" i="15" s="1"/>
  <c r="AR125" i="15" s="1"/>
  <c r="AR126" i="15" s="1"/>
  <c r="AR127" i="15" s="1"/>
  <c r="AR128" i="15" s="1"/>
  <c r="AR129" i="15" s="1"/>
  <c r="AR130" i="15" s="1"/>
  <c r="AR131" i="15" s="1"/>
  <c r="AR132" i="15" s="1"/>
  <c r="AR133" i="15" s="1"/>
  <c r="AR134" i="15" s="1"/>
  <c r="AR135" i="15" s="1"/>
  <c r="AR136" i="15" s="1"/>
  <c r="AR137" i="15" s="1"/>
  <c r="AR138" i="15" s="1"/>
  <c r="AR139" i="15" s="1"/>
  <c r="AR140" i="15" s="1"/>
  <c r="AR141" i="15" s="1"/>
  <c r="AR142" i="15" s="1"/>
  <c r="AR143" i="15" s="1"/>
  <c r="AR144" i="15" s="1"/>
  <c r="AR145" i="15" s="1"/>
  <c r="AR146" i="15" s="1"/>
  <c r="AR147" i="15" s="1"/>
  <c r="AR148" i="15" s="1"/>
  <c r="AR149" i="15" s="1"/>
  <c r="AR150" i="15" s="1"/>
  <c r="AR151" i="15" s="1"/>
  <c r="AR152" i="15" s="1"/>
  <c r="AR153" i="15" s="1"/>
  <c r="G87" i="7"/>
  <c r="AC109" i="18"/>
  <c r="AC112" i="18" s="1"/>
  <c r="AK109" i="18"/>
  <c r="AK111" i="18"/>
  <c r="AS12" i="18"/>
  <c r="BC204" i="5"/>
  <c r="BC202" i="5"/>
  <c r="BC200" i="5"/>
  <c r="BC198" i="5"/>
  <c r="BC196" i="5"/>
  <c r="BC205" i="5"/>
  <c r="BC201" i="5"/>
  <c r="BC195" i="5"/>
  <c r="BC203" i="5"/>
  <c r="BC197" i="5"/>
  <c r="BC194" i="5"/>
  <c r="BC199" i="5"/>
  <c r="BC186" i="5"/>
  <c r="BC180" i="5"/>
  <c r="BC182" i="5"/>
  <c r="BC190" i="5"/>
  <c r="BC187" i="5"/>
  <c r="BC185" i="5"/>
  <c r="BC181" i="5"/>
  <c r="BC184" i="5"/>
  <c r="BC183" i="5"/>
  <c r="BC188" i="5"/>
  <c r="BC189" i="5"/>
  <c r="BC179" i="5"/>
  <c r="AQ109" i="18"/>
  <c r="BO201" i="5"/>
  <c r="BO203" i="5"/>
  <c r="BO204" i="5"/>
  <c r="BO202" i="5"/>
  <c r="BO200" i="5"/>
  <c r="BO198" i="5"/>
  <c r="BO196" i="5"/>
  <c r="BO194" i="5"/>
  <c r="BO195" i="5"/>
  <c r="BO205" i="5"/>
  <c r="BO199" i="5"/>
  <c r="BO197" i="5"/>
  <c r="BO189" i="5"/>
  <c r="BO186" i="5"/>
  <c r="BO187" i="5"/>
  <c r="BO188" i="5"/>
  <c r="BO190" i="5"/>
  <c r="AD109" i="18"/>
  <c r="AD112" i="18" s="1"/>
  <c r="L8" i="19"/>
  <c r="L9" i="19"/>
  <c r="L10" i="19"/>
  <c r="L11" i="19" s="1"/>
  <c r="L12" i="19" s="1"/>
  <c r="L13" i="19" s="1"/>
  <c r="L14" i="19" s="1"/>
  <c r="L15" i="19" s="1"/>
  <c r="L16" i="19" s="1"/>
  <c r="L17" i="19" s="1"/>
  <c r="L18" i="19" s="1"/>
  <c r="L19" i="19" s="1"/>
  <c r="L20" i="19" s="1"/>
  <c r="L21" i="19" s="1"/>
  <c r="L22" i="19" s="1"/>
  <c r="L23" i="19" s="1"/>
  <c r="L24" i="19" s="1"/>
  <c r="L25" i="19" s="1"/>
  <c r="L26" i="19" s="1"/>
  <c r="L27" i="19" s="1"/>
  <c r="L28" i="19" s="1"/>
  <c r="L29" i="19" s="1"/>
  <c r="L30" i="19" s="1"/>
  <c r="L31" i="19" s="1"/>
  <c r="L32" i="19" s="1"/>
  <c r="L33" i="19" s="1"/>
  <c r="L34" i="19" s="1"/>
  <c r="L35" i="19" s="1"/>
  <c r="L36" i="19" s="1"/>
  <c r="L37" i="19" s="1"/>
  <c r="L38" i="19" s="1"/>
  <c r="L39" i="19" s="1"/>
  <c r="L40" i="19" s="1"/>
  <c r="L41" i="19" s="1"/>
  <c r="L42" i="19" s="1"/>
  <c r="L43" i="19" s="1"/>
  <c r="L44" i="19" s="1"/>
  <c r="L45" i="19" s="1"/>
  <c r="L46" i="19" s="1"/>
  <c r="L47" i="19" s="1"/>
  <c r="L48" i="19" s="1"/>
  <c r="L49" i="19" s="1"/>
  <c r="L50" i="19" s="1"/>
  <c r="L51" i="19" s="1"/>
  <c r="L52" i="19" s="1"/>
  <c r="L53" i="19" s="1"/>
  <c r="L54" i="19" s="1"/>
  <c r="L55" i="19" s="1"/>
  <c r="L56" i="19" s="1"/>
  <c r="L57" i="19" s="1"/>
  <c r="L58" i="19" s="1"/>
  <c r="L59" i="19" s="1"/>
  <c r="L60" i="19" s="1"/>
  <c r="L61" i="19" s="1"/>
  <c r="L62" i="19" s="1"/>
  <c r="L63" i="19" s="1"/>
  <c r="L64" i="19" s="1"/>
  <c r="L65" i="19" s="1"/>
  <c r="L66" i="19" s="1"/>
  <c r="AS37" i="16"/>
  <c r="AS39" i="16"/>
  <c r="AS41" i="16"/>
  <c r="AS43" i="16"/>
  <c r="AS45" i="16"/>
  <c r="AS47" i="16"/>
  <c r="AS49" i="16"/>
  <c r="AS51" i="16"/>
  <c r="AS53" i="16"/>
  <c r="AS55" i="16"/>
  <c r="AS57" i="16"/>
  <c r="AS59" i="16"/>
  <c r="AS61" i="16"/>
  <c r="AS63" i="16"/>
  <c r="AS65" i="16"/>
  <c r="AS67" i="16"/>
  <c r="AS69" i="16"/>
  <c r="AS71" i="16"/>
  <c r="AS73" i="16"/>
  <c r="AS75" i="16"/>
  <c r="AS77" i="16"/>
  <c r="AS79" i="16"/>
  <c r="AS81" i="16"/>
  <c r="AS83" i="16"/>
  <c r="AS85" i="16"/>
  <c r="AS87" i="16"/>
  <c r="AS89" i="16"/>
  <c r="AS91" i="16"/>
  <c r="AS93" i="16"/>
  <c r="AS95" i="16"/>
  <c r="AS38" i="16"/>
  <c r="AS40" i="16"/>
  <c r="AS42" i="16"/>
  <c r="AS44" i="16"/>
  <c r="AS46" i="16"/>
  <c r="AS48" i="16"/>
  <c r="AS50" i="16"/>
  <c r="AS52" i="16"/>
  <c r="AS54" i="16"/>
  <c r="AS56" i="16"/>
  <c r="AS58" i="16"/>
  <c r="AS60" i="16"/>
  <c r="AS62" i="16"/>
  <c r="AS64" i="16"/>
  <c r="AS66" i="16"/>
  <c r="AS68" i="16"/>
  <c r="AS70" i="16"/>
  <c r="AS72" i="16"/>
  <c r="AS74" i="16"/>
  <c r="AS76" i="16"/>
  <c r="AS78" i="16"/>
  <c r="AS80" i="16"/>
  <c r="AS82" i="16"/>
  <c r="AS84" i="16"/>
  <c r="AS86" i="16"/>
  <c r="AS88" i="16"/>
  <c r="AS90" i="16"/>
  <c r="AS92" i="16"/>
  <c r="AS94" i="16"/>
  <c r="AS36" i="16"/>
  <c r="E12" i="6"/>
  <c r="G12" i="6"/>
  <c r="N18" i="6"/>
  <c r="P18" i="6"/>
  <c r="G24" i="7"/>
  <c r="L24" i="7"/>
  <c r="BJ24" i="7"/>
  <c r="G26" i="7"/>
  <c r="L26" i="7" s="1"/>
  <c r="BL26" i="7" s="1"/>
  <c r="BL27" i="7" s="1"/>
  <c r="BL28" i="7" s="1"/>
  <c r="BL29" i="7" s="1"/>
  <c r="BL30" i="7" s="1"/>
  <c r="BL31" i="7" s="1"/>
  <c r="BL32" i="7" s="1"/>
  <c r="BL33" i="7" s="1"/>
  <c r="BL34" i="7" s="1"/>
  <c r="BL35" i="7" s="1"/>
  <c r="BL36" i="7" s="1"/>
  <c r="BL37" i="7" s="1"/>
  <c r="BC45" i="5"/>
  <c r="BC159" i="5"/>
  <c r="BC155" i="5"/>
  <c r="BC151" i="5"/>
  <c r="BC174" i="5"/>
  <c r="BC170" i="5"/>
  <c r="BC166" i="5"/>
  <c r="BC173" i="5"/>
  <c r="BC169" i="5"/>
  <c r="BC165" i="5"/>
  <c r="BC158" i="5"/>
  <c r="BC150" i="5"/>
  <c r="BC171" i="5"/>
  <c r="BC153" i="5"/>
  <c r="BC168" i="5"/>
  <c r="BC149" i="5"/>
  <c r="BC164" i="5"/>
  <c r="BC160" i="5"/>
  <c r="BC156" i="5"/>
  <c r="BC152" i="5"/>
  <c r="BC154" i="5"/>
  <c r="BC175" i="5"/>
  <c r="BC167" i="5"/>
  <c r="BC172" i="5"/>
  <c r="BC157" i="5"/>
  <c r="BC143" i="5"/>
  <c r="BC145" i="5"/>
  <c r="BC144" i="5"/>
  <c r="AS15" i="18"/>
  <c r="AS32" i="18"/>
  <c r="AT40" i="16"/>
  <c r="AT44" i="16"/>
  <c r="AT48" i="16"/>
  <c r="AT52" i="16"/>
  <c r="AT56" i="16"/>
  <c r="AT60" i="16"/>
  <c r="AT64" i="16"/>
  <c r="AT68" i="16"/>
  <c r="AT72" i="16"/>
  <c r="AT76" i="16"/>
  <c r="AT80" i="16"/>
  <c r="AT84" i="16"/>
  <c r="AT88" i="16"/>
  <c r="AT92" i="16"/>
  <c r="AT37" i="16"/>
  <c r="AT41" i="16"/>
  <c r="AT45" i="16"/>
  <c r="AT49" i="16"/>
  <c r="AT53" i="16"/>
  <c r="AT57" i="16"/>
  <c r="AT61" i="16"/>
  <c r="AT65" i="16"/>
  <c r="AT69" i="16"/>
  <c r="AT73" i="16"/>
  <c r="AT77" i="16"/>
  <c r="AT81" i="16"/>
  <c r="AT85" i="16"/>
  <c r="AT93" i="16"/>
  <c r="AT96" i="16"/>
  <c r="AT38" i="16"/>
  <c r="AT42" i="16"/>
  <c r="AT46" i="16"/>
  <c r="AT50" i="16"/>
  <c r="AT54" i="16"/>
  <c r="AT58" i="16"/>
  <c r="AT62" i="16"/>
  <c r="AT66" i="16"/>
  <c r="AT70" i="16"/>
  <c r="AT74" i="16"/>
  <c r="AT78" i="16"/>
  <c r="AT82" i="16"/>
  <c r="AT86" i="16"/>
  <c r="AT90" i="16"/>
  <c r="AT94" i="16"/>
  <c r="AT39" i="16"/>
  <c r="AT43" i="16"/>
  <c r="AT47" i="16"/>
  <c r="AT51" i="16"/>
  <c r="AT55" i="16"/>
  <c r="AT59" i="16"/>
  <c r="AT63" i="16"/>
  <c r="AT67" i="16"/>
  <c r="AT71" i="16"/>
  <c r="AT75" i="16"/>
  <c r="AT79" i="16"/>
  <c r="AT83" i="16"/>
  <c r="AT87" i="16"/>
  <c r="AT91" i="16"/>
  <c r="AT95" i="16"/>
  <c r="AT89" i="16"/>
  <c r="AP33" i="16"/>
  <c r="AP34" i="16"/>
  <c r="AP35" i="16" s="1"/>
  <c r="AP36" i="16" s="1"/>
  <c r="AP37" i="16" s="1"/>
  <c r="AP38" i="16" s="1"/>
  <c r="AP39" i="16" s="1"/>
  <c r="AP40" i="16" s="1"/>
  <c r="AP41" i="16" s="1"/>
  <c r="AP42" i="16" s="1"/>
  <c r="AP43" i="16" s="1"/>
  <c r="AP44" i="16" s="1"/>
  <c r="AP45" i="16" s="1"/>
  <c r="AP46" i="16" s="1"/>
  <c r="AP47" i="16" s="1"/>
  <c r="AP48" i="16" s="1"/>
  <c r="AP49" i="16" s="1"/>
  <c r="AP50" i="16" s="1"/>
  <c r="AP51" i="16" s="1"/>
  <c r="AP52" i="16" s="1"/>
  <c r="AP53" i="16" s="1"/>
  <c r="AP54" i="16" s="1"/>
  <c r="AP55" i="16" s="1"/>
  <c r="AP56" i="16" s="1"/>
  <c r="AP57" i="16" s="1"/>
  <c r="AP58" i="16" s="1"/>
  <c r="AP59" i="16" s="1"/>
  <c r="AP60" i="16" s="1"/>
  <c r="AP61" i="16" s="1"/>
  <c r="AP62" i="16" s="1"/>
  <c r="AP63" i="16" s="1"/>
  <c r="AP64" i="16" s="1"/>
  <c r="AP65" i="16" s="1"/>
  <c r="AP66" i="16" s="1"/>
  <c r="AP67" i="16" s="1"/>
  <c r="AP68" i="16" s="1"/>
  <c r="AP69" i="16" s="1"/>
  <c r="AP70" i="16" s="1"/>
  <c r="AP71" i="16" s="1"/>
  <c r="AP72" i="16" s="1"/>
  <c r="AP73" i="16" s="1"/>
  <c r="AP74" i="16" s="1"/>
  <c r="AP75" i="16" s="1"/>
  <c r="AP76" i="16" s="1"/>
  <c r="AP77" i="16" s="1"/>
  <c r="AP78" i="16" s="1"/>
  <c r="AP79" i="16" s="1"/>
  <c r="AP80" i="16" s="1"/>
  <c r="AP81" i="16" s="1"/>
  <c r="AP82" i="16" s="1"/>
  <c r="AP83" i="16" s="1"/>
  <c r="AP84" i="16" s="1"/>
  <c r="AP85" i="16" s="1"/>
  <c r="AP86" i="16" s="1"/>
  <c r="AP87" i="16" s="1"/>
  <c r="AP88" i="16" s="1"/>
  <c r="AP89" i="16" s="1"/>
  <c r="AP90" i="16" s="1"/>
  <c r="AP91" i="16" s="1"/>
  <c r="AP92" i="16" s="1"/>
  <c r="J7" i="9"/>
  <c r="J20" i="9"/>
  <c r="AM29" i="15"/>
  <c r="AM30" i="15"/>
  <c r="AM31" i="15" s="1"/>
  <c r="AM32" i="15" s="1"/>
  <c r="AM33" i="15" s="1"/>
  <c r="AM34" i="15" s="1"/>
  <c r="AM35" i="15" s="1"/>
  <c r="AM36" i="15" s="1"/>
  <c r="AM37" i="15" s="1"/>
  <c r="AM38" i="15" s="1"/>
  <c r="AM39" i="15" s="1"/>
  <c r="AM40" i="15" s="1"/>
  <c r="AM41" i="15" s="1"/>
  <c r="AM42" i="15" s="1"/>
  <c r="AM43" i="15" s="1"/>
  <c r="AM44" i="15" s="1"/>
  <c r="AM45" i="15" s="1"/>
  <c r="AM46" i="15" s="1"/>
  <c r="AM47" i="15" s="1"/>
  <c r="AM48" i="15" s="1"/>
  <c r="AM49" i="15" s="1"/>
  <c r="AM50" i="15" s="1"/>
  <c r="AM51" i="15" s="1"/>
  <c r="AM52" i="15" s="1"/>
  <c r="AM53" i="15" s="1"/>
  <c r="AM54" i="15" s="1"/>
  <c r="AM55" i="15" s="1"/>
  <c r="AM56" i="15" s="1"/>
  <c r="AM57" i="15" s="1"/>
  <c r="AM58" i="15" s="1"/>
  <c r="AM59" i="15" s="1"/>
  <c r="AM60" i="15" s="1"/>
  <c r="AM61" i="15" s="1"/>
  <c r="AM62" i="15" s="1"/>
  <c r="AM63" i="15" s="1"/>
  <c r="AM64" i="15" s="1"/>
  <c r="AM65" i="15" s="1"/>
  <c r="AM66" i="15" s="1"/>
  <c r="AM67" i="15" s="1"/>
  <c r="AM68" i="15" s="1"/>
  <c r="AM69" i="15" s="1"/>
  <c r="AM70" i="15" s="1"/>
  <c r="AM71" i="15" s="1"/>
  <c r="AM72" i="15" s="1"/>
  <c r="AM73" i="15" s="1"/>
  <c r="AM74" i="15" s="1"/>
  <c r="AM75" i="15" s="1"/>
  <c r="AM76" i="15" s="1"/>
  <c r="AM77" i="15" s="1"/>
  <c r="AM78" i="15" s="1"/>
  <c r="AM79" i="15" s="1"/>
  <c r="AM80" i="15" s="1"/>
  <c r="AM81" i="15" s="1"/>
  <c r="AM82" i="15" s="1"/>
  <c r="AM83" i="15" s="1"/>
  <c r="AM84" i="15" s="1"/>
  <c r="AM85" i="15" s="1"/>
  <c r="AM86" i="15" s="1"/>
  <c r="AM87" i="15" s="1"/>
  <c r="AM88" i="15" s="1"/>
  <c r="AM89" i="15" s="1"/>
  <c r="AM90" i="15" s="1"/>
  <c r="AM91" i="15" s="1"/>
  <c r="AM92" i="15" s="1"/>
  <c r="AM93" i="15" s="1"/>
  <c r="AM94" i="15" s="1"/>
  <c r="AM95" i="15" s="1"/>
  <c r="AM96" i="15" s="1"/>
  <c r="AM97" i="15" s="1"/>
  <c r="AM98" i="15" s="1"/>
  <c r="AM99" i="15" s="1"/>
  <c r="AM100" i="15" s="1"/>
  <c r="AM101" i="15" s="1"/>
  <c r="AM102" i="15" s="1"/>
  <c r="AM103" i="15" s="1"/>
  <c r="AM104" i="15" s="1"/>
  <c r="AM105" i="15" s="1"/>
  <c r="AM106" i="15" s="1"/>
  <c r="AM107" i="15" s="1"/>
  <c r="AM108" i="15" s="1"/>
  <c r="AM109" i="15" s="1"/>
  <c r="AM110" i="15" s="1"/>
  <c r="AM111" i="15" s="1"/>
  <c r="AM112" i="15" s="1"/>
  <c r="AM113" i="15" s="1"/>
  <c r="AM114" i="15" s="1"/>
  <c r="AM115" i="15" s="1"/>
  <c r="AM116" i="15" s="1"/>
  <c r="AM117" i="15" s="1"/>
  <c r="AM118" i="15" s="1"/>
  <c r="AM119" i="15" s="1"/>
  <c r="AM120" i="15" s="1"/>
  <c r="AM121" i="15" s="1"/>
  <c r="AM122" i="15" s="1"/>
  <c r="AM123" i="15" s="1"/>
  <c r="AM124" i="15" s="1"/>
  <c r="AM125" i="15" s="1"/>
  <c r="AM126" i="15" s="1"/>
  <c r="AM127" i="15" s="1"/>
  <c r="AM128" i="15" s="1"/>
  <c r="AM129" i="15" s="1"/>
  <c r="AM130" i="15" s="1"/>
  <c r="AM131" i="15" s="1"/>
  <c r="AM132" i="15" s="1"/>
  <c r="AM133" i="15" s="1"/>
  <c r="AM134" i="15" s="1"/>
  <c r="AM135" i="15" s="1"/>
  <c r="AM136" i="15" s="1"/>
  <c r="AM137" i="15" s="1"/>
  <c r="AM138" i="15" s="1"/>
  <c r="AM139" i="15" s="1"/>
  <c r="AM140" i="15" s="1"/>
  <c r="AM141" i="15" s="1"/>
  <c r="AM142" i="15" s="1"/>
  <c r="AM143" i="15" s="1"/>
  <c r="AM144" i="15" s="1"/>
  <c r="AM145" i="15" s="1"/>
  <c r="AM146" i="15" s="1"/>
  <c r="AM147" i="15" s="1"/>
  <c r="AM148" i="15" s="1"/>
  <c r="AA17" i="17"/>
  <c r="AA18" i="17"/>
  <c r="J13" i="9"/>
  <c r="H38" i="9"/>
  <c r="J38" i="9" s="1"/>
  <c r="AG25" i="17"/>
  <c r="AG29" i="17"/>
  <c r="AG33" i="17"/>
  <c r="AG37" i="17"/>
  <c r="AG41" i="17"/>
  <c r="AG45" i="17"/>
  <c r="AG26" i="17"/>
  <c r="AG30" i="17"/>
  <c r="AG34" i="17"/>
  <c r="AG38" i="17"/>
  <c r="AG42" i="17"/>
  <c r="AG46" i="17"/>
  <c r="AG27" i="17"/>
  <c r="AG31" i="17"/>
  <c r="AG35" i="17"/>
  <c r="AG39" i="17"/>
  <c r="AG43" i="17"/>
  <c r="AG23" i="17"/>
  <c r="AG36" i="17"/>
  <c r="AG24" i="17"/>
  <c r="AG40" i="17"/>
  <c r="AG28" i="17"/>
  <c r="AG44" i="17"/>
  <c r="AG32" i="17"/>
  <c r="AE23" i="17"/>
  <c r="AE27" i="17"/>
  <c r="AE31" i="17"/>
  <c r="AE35" i="17"/>
  <c r="AE39" i="17"/>
  <c r="AE43" i="17"/>
  <c r="AE24" i="17"/>
  <c r="AE28" i="17"/>
  <c r="AE32" i="17"/>
  <c r="AE36" i="17"/>
  <c r="AE40" i="17"/>
  <c r="AE44" i="17"/>
  <c r="AE25" i="17"/>
  <c r="AE29" i="17"/>
  <c r="AE33" i="17"/>
  <c r="AE37" i="17"/>
  <c r="AE41" i="17"/>
  <c r="AE34" i="17"/>
  <c r="AE22" i="17"/>
  <c r="AE38" i="17"/>
  <c r="AE26" i="17"/>
  <c r="AE42" i="17"/>
  <c r="AE30" i="17"/>
  <c r="AE21" i="17"/>
  <c r="AF24" i="17"/>
  <c r="AF28" i="17"/>
  <c r="AF32" i="17"/>
  <c r="AF36" i="17"/>
  <c r="AF40" i="17"/>
  <c r="AF44" i="17"/>
  <c r="AF25" i="17"/>
  <c r="AF29" i="17"/>
  <c r="AF33" i="17"/>
  <c r="AF37" i="17"/>
  <c r="AF41" i="17"/>
  <c r="AF45" i="17"/>
  <c r="AF26" i="17"/>
  <c r="AF30" i="17"/>
  <c r="AF34" i="17"/>
  <c r="AF38" i="17"/>
  <c r="AF42" i="17"/>
  <c r="AF22" i="17"/>
  <c r="AF27" i="17"/>
  <c r="AF43" i="17"/>
  <c r="AF31" i="17"/>
  <c r="AF35" i="17"/>
  <c r="AF23" i="17"/>
  <c r="AF39" i="17"/>
  <c r="AD22" i="17"/>
  <c r="AD26" i="17"/>
  <c r="AD30" i="17"/>
  <c r="AD34" i="17"/>
  <c r="AD38" i="17"/>
  <c r="AD42" i="17"/>
  <c r="AD23" i="17"/>
  <c r="AD27" i="17"/>
  <c r="AD31" i="17"/>
  <c r="AD35" i="17"/>
  <c r="AD39" i="17"/>
  <c r="AD43" i="17"/>
  <c r="AD21" i="17"/>
  <c r="AD29" i="17"/>
  <c r="AD37" i="17"/>
  <c r="AD24" i="17"/>
  <c r="AD32" i="17"/>
  <c r="AD40" i="17"/>
  <c r="AD25" i="17"/>
  <c r="AD33" i="17"/>
  <c r="AD41" i="17"/>
  <c r="AD28" i="17"/>
  <c r="AD36" i="17"/>
  <c r="AD20" i="17"/>
  <c r="AH26" i="17"/>
  <c r="AH30" i="17"/>
  <c r="AH34" i="17"/>
  <c r="AH38" i="17"/>
  <c r="AH42" i="17"/>
  <c r="AH46" i="17"/>
  <c r="AH27" i="17"/>
  <c r="AH31" i="17"/>
  <c r="AH35" i="17"/>
  <c r="AH39" i="17"/>
  <c r="AH43" i="17"/>
  <c r="AH47" i="17"/>
  <c r="AJ47" i="17"/>
  <c r="AH28" i="17"/>
  <c r="AH32" i="17"/>
  <c r="AH36" i="17"/>
  <c r="AH40" i="17"/>
  <c r="AH44" i="17"/>
  <c r="AH24" i="17"/>
  <c r="AH29" i="17"/>
  <c r="AH45" i="17"/>
  <c r="AH33" i="17"/>
  <c r="AH37" i="17"/>
  <c r="AH25" i="17"/>
  <c r="AH41" i="17"/>
  <c r="N5" i="16"/>
  <c r="N6" i="16"/>
  <c r="N7" i="16"/>
  <c r="N8" i="16"/>
  <c r="N9" i="16" s="1"/>
  <c r="N10" i="16" s="1"/>
  <c r="N11" i="16" s="1"/>
  <c r="N12" i="16" s="1"/>
  <c r="N13" i="16" s="1"/>
  <c r="N14" i="16" s="1"/>
  <c r="N15" i="16" s="1"/>
  <c r="N16" i="16" s="1"/>
  <c r="N17" i="16" s="1"/>
  <c r="N18" i="16" s="1"/>
  <c r="N19" i="16" s="1"/>
  <c r="N20" i="16" s="1"/>
  <c r="N21" i="16" s="1"/>
  <c r="N22" i="16" s="1"/>
  <c r="N23" i="16" s="1"/>
  <c r="N24" i="16" s="1"/>
  <c r="N25" i="16" s="1"/>
  <c r="N26" i="16" s="1"/>
  <c r="N27" i="16" s="1"/>
  <c r="N28" i="16" s="1"/>
  <c r="N29" i="16" s="1"/>
  <c r="N30" i="16" s="1"/>
  <c r="N31" i="16" s="1"/>
  <c r="N32" i="16" s="1"/>
  <c r="N33" i="16" s="1"/>
  <c r="N34" i="16" s="1"/>
  <c r="N35" i="16" s="1"/>
  <c r="N36" i="16" s="1"/>
  <c r="N37" i="16" s="1"/>
  <c r="N38" i="16" s="1"/>
  <c r="N39" i="16" s="1"/>
  <c r="N40" i="16" s="1"/>
  <c r="N41" i="16" s="1"/>
  <c r="N42" i="16" s="1"/>
  <c r="N43" i="16" s="1"/>
  <c r="N44" i="16" s="1"/>
  <c r="N45" i="16" s="1"/>
  <c r="N46" i="16" s="1"/>
  <c r="N47" i="16" s="1"/>
  <c r="N48" i="16" s="1"/>
  <c r="N49" i="16" s="1"/>
  <c r="N50" i="16" s="1"/>
  <c r="N51" i="16" s="1"/>
  <c r="N52" i="16" s="1"/>
  <c r="N53" i="16" s="1"/>
  <c r="N54" i="16" s="1"/>
  <c r="N55" i="16" s="1"/>
  <c r="N56" i="16" s="1"/>
  <c r="N57" i="16" s="1"/>
  <c r="N58" i="16" s="1"/>
  <c r="N59" i="16" s="1"/>
  <c r="N60" i="16" s="1"/>
  <c r="N61" i="16" s="1"/>
  <c r="N62" i="16" s="1"/>
  <c r="N63" i="16" s="1"/>
  <c r="N64" i="16" s="1"/>
  <c r="B77" i="8"/>
  <c r="B78" i="8"/>
  <c r="B79" i="8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AB19" i="17"/>
  <c r="AB20" i="17"/>
  <c r="AB21" i="17"/>
  <c r="AB22" i="17"/>
  <c r="AB23" i="17" s="1"/>
  <c r="AB24" i="17" s="1"/>
  <c r="AB25" i="17" s="1"/>
  <c r="AB26" i="17" s="1"/>
  <c r="AB27" i="17" s="1"/>
  <c r="AB28" i="17" s="1"/>
  <c r="AB29" i="17" s="1"/>
  <c r="AB30" i="17" s="1"/>
  <c r="AB31" i="17" s="1"/>
  <c r="AB32" i="17" s="1"/>
  <c r="AB33" i="17" s="1"/>
  <c r="AB34" i="17" s="1"/>
  <c r="AB35" i="17" s="1"/>
  <c r="AB36" i="17" s="1"/>
  <c r="AB37" i="17" s="1"/>
  <c r="AB38" i="17" s="1"/>
  <c r="AB39" i="17" s="1"/>
  <c r="AB40" i="17" s="1"/>
  <c r="AB41" i="17" s="1"/>
  <c r="G6" i="16"/>
  <c r="F45" i="16"/>
  <c r="F46" i="16"/>
  <c r="G32" i="14"/>
  <c r="K32" i="14"/>
  <c r="G44" i="14"/>
  <c r="K44" i="14"/>
  <c r="K30" i="14"/>
  <c r="AM30" i="14"/>
  <c r="K23" i="14"/>
  <c r="BT23" i="14"/>
  <c r="G41" i="14"/>
  <c r="K41" i="14"/>
  <c r="K29" i="14"/>
  <c r="BZ29" i="14"/>
  <c r="K15" i="14"/>
  <c r="BL15" i="14"/>
  <c r="BL16" i="14" s="1"/>
  <c r="BL17" i="14" s="1"/>
  <c r="BL18" i="14" s="1"/>
  <c r="BL19" i="14" s="1"/>
  <c r="BL20" i="14" s="1"/>
  <c r="BL21" i="14" s="1"/>
  <c r="BL22" i="14" s="1"/>
  <c r="BL23" i="14" s="1"/>
  <c r="BL24" i="14" s="1"/>
  <c r="BL25" i="14" s="1"/>
  <c r="BL26" i="14" s="1"/>
  <c r="K26" i="14"/>
  <c r="BW26" i="14" s="1"/>
  <c r="BC44" i="5"/>
  <c r="H26" i="9"/>
  <c r="J26" i="9"/>
  <c r="H51" i="9"/>
  <c r="J51" i="9"/>
  <c r="J8" i="9"/>
  <c r="J12" i="9"/>
  <c r="H24" i="9"/>
  <c r="H30" i="9"/>
  <c r="J30" i="9" s="1"/>
  <c r="K18" i="8"/>
  <c r="AY18" i="8" s="1"/>
  <c r="W14" i="8"/>
  <c r="W15" i="8" s="1"/>
  <c r="W16" i="8" s="1"/>
  <c r="W17" i="8" s="1"/>
  <c r="W18" i="8" s="1"/>
  <c r="W19" i="8" s="1"/>
  <c r="W20" i="8" s="1"/>
  <c r="W21" i="8" s="1"/>
  <c r="W22" i="8" s="1"/>
  <c r="W23" i="8" s="1"/>
  <c r="W24" i="8" s="1"/>
  <c r="W25" i="8" s="1"/>
  <c r="W26" i="8" s="1"/>
  <c r="W27" i="8" s="1"/>
  <c r="W28" i="8" s="1"/>
  <c r="W29" i="8" s="1"/>
  <c r="W30" i="8" s="1"/>
  <c r="W31" i="8" s="1"/>
  <c r="W32" i="8" s="1"/>
  <c r="W33" i="8" s="1"/>
  <c r="W34" i="8" s="1"/>
  <c r="W35" i="8" s="1"/>
  <c r="W36" i="8" s="1"/>
  <c r="W37" i="8" s="1"/>
  <c r="W38" i="8" s="1"/>
  <c r="W39" i="8" s="1"/>
  <c r="W40" i="8" s="1"/>
  <c r="W41" i="8" s="1"/>
  <c r="W42" i="8" s="1"/>
  <c r="W43" i="8" s="1"/>
  <c r="W44" i="8" s="1"/>
  <c r="W45" i="8" s="1"/>
  <c r="W46" i="8" s="1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S10" i="8"/>
  <c r="S11" i="8" s="1"/>
  <c r="S12" i="8" s="1"/>
  <c r="S13" i="8" s="1"/>
  <c r="S14" i="8" s="1"/>
  <c r="S15" i="8" s="1"/>
  <c r="S16" i="8" s="1"/>
  <c r="S17" i="8" s="1"/>
  <c r="S18" i="8" s="1"/>
  <c r="S19" i="8" s="1"/>
  <c r="S20" i="8" s="1"/>
  <c r="S21" i="8" s="1"/>
  <c r="S22" i="8" s="1"/>
  <c r="S23" i="8" s="1"/>
  <c r="S24" i="8" s="1"/>
  <c r="S25" i="8" s="1"/>
  <c r="S26" i="8" s="1"/>
  <c r="S27" i="8" s="1"/>
  <c r="S28" i="8" s="1"/>
  <c r="S29" i="8" s="1"/>
  <c r="S30" i="8" s="1"/>
  <c r="S31" i="8" s="1"/>
  <c r="S32" i="8" s="1"/>
  <c r="S33" i="8" s="1"/>
  <c r="S34" i="8" s="1"/>
  <c r="S35" i="8" s="1"/>
  <c r="S36" i="8" s="1"/>
  <c r="S37" i="8" s="1"/>
  <c r="S38" i="8" s="1"/>
  <c r="S39" i="8" s="1"/>
  <c r="S40" i="8" s="1"/>
  <c r="S41" i="8" s="1"/>
  <c r="S42" i="8" s="1"/>
  <c r="S43" i="8" s="1"/>
  <c r="S44" i="8" s="1"/>
  <c r="S45" i="8" s="1"/>
  <c r="S46" i="8" s="1"/>
  <c r="S47" i="8" s="1"/>
  <c r="S48" i="8" s="1"/>
  <c r="S49" i="8" s="1"/>
  <c r="S50" i="8" s="1"/>
  <c r="S51" i="8" s="1"/>
  <c r="S52" i="8" s="1"/>
  <c r="S53" i="8" s="1"/>
  <c r="S54" i="8" s="1"/>
  <c r="S55" i="8" s="1"/>
  <c r="S56" i="8" s="1"/>
  <c r="S57" i="8" s="1"/>
  <c r="S58" i="8" s="1"/>
  <c r="S59" i="8" s="1"/>
  <c r="S60" i="8" s="1"/>
  <c r="S61" i="8" s="1"/>
  <c r="S62" i="8" s="1"/>
  <c r="S63" i="8" s="1"/>
  <c r="S64" i="8" s="1"/>
  <c r="S65" i="8" s="1"/>
  <c r="S66" i="8" s="1"/>
  <c r="S67" i="8" s="1"/>
  <c r="H32" i="15"/>
  <c r="H36" i="15"/>
  <c r="H40" i="15"/>
  <c r="H44" i="15"/>
  <c r="H34" i="15"/>
  <c r="H38" i="15"/>
  <c r="H42" i="15"/>
  <c r="H46" i="15"/>
  <c r="H35" i="15"/>
  <c r="H43" i="15"/>
  <c r="H37" i="15"/>
  <c r="H45" i="15"/>
  <c r="H39" i="15"/>
  <c r="H33" i="15"/>
  <c r="H41" i="15"/>
  <c r="H5" i="15"/>
  <c r="L67" i="7"/>
  <c r="L87" i="7" s="1"/>
  <c r="V13" i="8"/>
  <c r="V14" i="8" s="1"/>
  <c r="X84" i="18"/>
  <c r="X86" i="18" s="1"/>
  <c r="G40" i="14"/>
  <c r="K40" i="14" s="1"/>
  <c r="AB10" i="5"/>
  <c r="AB11" i="5" s="1"/>
  <c r="E16" i="6"/>
  <c r="G16" i="6"/>
  <c r="N24" i="6"/>
  <c r="P24" i="6"/>
  <c r="G18" i="7"/>
  <c r="L18" i="7"/>
  <c r="BD18" i="7" s="1"/>
  <c r="BD19" i="7" s="1"/>
  <c r="G21" i="7"/>
  <c r="L21" i="7"/>
  <c r="BG21" i="7" s="1"/>
  <c r="BG22" i="7" s="1"/>
  <c r="BG23" i="7" s="1"/>
  <c r="BG24" i="7" s="1"/>
  <c r="BG25" i="7" s="1"/>
  <c r="BG26" i="7" s="1"/>
  <c r="BG27" i="7" s="1"/>
  <c r="BG28" i="7" s="1"/>
  <c r="BG29" i="7" s="1"/>
  <c r="BG30" i="7" s="1"/>
  <c r="BG31" i="7" s="1"/>
  <c r="BG32" i="7" s="1"/>
  <c r="AP9" i="8"/>
  <c r="Y137" i="9"/>
  <c r="AR18" i="18"/>
  <c r="AS16" i="18"/>
  <c r="K27" i="14"/>
  <c r="AJ27" i="14" s="1"/>
  <c r="J23" i="9"/>
  <c r="H34" i="9"/>
  <c r="J34" i="9"/>
  <c r="S10" i="10"/>
  <c r="G33" i="14"/>
  <c r="K33" i="14"/>
  <c r="AG18" i="18"/>
  <c r="AG20" i="18" s="1"/>
  <c r="AL99" i="18"/>
  <c r="AS100" i="18"/>
  <c r="J16" i="9"/>
  <c r="J17" i="9"/>
  <c r="J24" i="9"/>
  <c r="G45" i="14"/>
  <c r="K45" i="14"/>
  <c r="AS14" i="18"/>
  <c r="AL73" i="18"/>
  <c r="AB69" i="5"/>
  <c r="F76" i="7"/>
  <c r="E15" i="6"/>
  <c r="G15" i="6"/>
  <c r="AS12" i="8"/>
  <c r="AS13" i="8"/>
  <c r="AS14" i="8" s="1"/>
  <c r="AS15" i="8" s="1"/>
  <c r="AS16" i="8" s="1"/>
  <c r="AS17" i="8" s="1"/>
  <c r="AS18" i="8" s="1"/>
  <c r="AS19" i="8" s="1"/>
  <c r="AS20" i="8" s="1"/>
  <c r="AS21" i="8" s="1"/>
  <c r="AS22" i="8" s="1"/>
  <c r="AS23" i="8" s="1"/>
  <c r="U12" i="8"/>
  <c r="U13" i="8"/>
  <c r="AC20" i="10"/>
  <c r="AC21" i="10"/>
  <c r="AC22" i="10" s="1"/>
  <c r="AC23" i="10" s="1"/>
  <c r="AC24" i="10" s="1"/>
  <c r="AC25" i="10" s="1"/>
  <c r="AC26" i="10" s="1"/>
  <c r="AC27" i="10" s="1"/>
  <c r="AC28" i="10" s="1"/>
  <c r="AC29" i="10" s="1"/>
  <c r="AC30" i="10" s="1"/>
  <c r="AC31" i="10" s="1"/>
  <c r="AC32" i="10" s="1"/>
  <c r="AC33" i="10" s="1"/>
  <c r="AC34" i="10" s="1"/>
  <c r="AC35" i="10" s="1"/>
  <c r="AC36" i="10" s="1"/>
  <c r="AC37" i="10" s="1"/>
  <c r="AC38" i="10" s="1"/>
  <c r="AC39" i="10" s="1"/>
  <c r="AC40" i="10" s="1"/>
  <c r="AC41" i="10" s="1"/>
  <c r="AC42" i="10" s="1"/>
  <c r="AC43" i="10" s="1"/>
  <c r="AC44" i="10" s="1"/>
  <c r="AC45" i="10" s="1"/>
  <c r="AC46" i="10" s="1"/>
  <c r="AC47" i="10" s="1"/>
  <c r="AC48" i="10" s="1"/>
  <c r="AC49" i="10" s="1"/>
  <c r="AC50" i="10" s="1"/>
  <c r="AC51" i="10" s="1"/>
  <c r="AC52" i="10" s="1"/>
  <c r="AC53" i="10" s="1"/>
  <c r="AC54" i="10" s="1"/>
  <c r="AC55" i="10" s="1"/>
  <c r="AC56" i="10" s="1"/>
  <c r="AC57" i="10" s="1"/>
  <c r="AC58" i="10" s="1"/>
  <c r="AC59" i="10" s="1"/>
  <c r="AC60" i="10" s="1"/>
  <c r="AC61" i="10" s="1"/>
  <c r="AC62" i="10" s="1"/>
  <c r="AC63" i="10" s="1"/>
  <c r="AC64" i="10" s="1"/>
  <c r="AC65" i="10" s="1"/>
  <c r="AC66" i="10" s="1"/>
  <c r="AC67" i="10" s="1"/>
  <c r="AC68" i="10" s="1"/>
  <c r="AC69" i="10" s="1"/>
  <c r="AC70" i="10" s="1"/>
  <c r="AC71" i="10" s="1"/>
  <c r="AC72" i="10" s="1"/>
  <c r="AC73" i="10" s="1"/>
  <c r="AC74" i="10" s="1"/>
  <c r="AC75" i="10" s="1"/>
  <c r="AC76" i="10" s="1"/>
  <c r="AC77" i="10" s="1"/>
  <c r="AC78" i="10" s="1"/>
  <c r="AC79" i="10" s="1"/>
  <c r="BA20" i="10"/>
  <c r="BA21" i="10"/>
  <c r="BA22" i="10" s="1"/>
  <c r="BA23" i="10" s="1"/>
  <c r="BA24" i="10" s="1"/>
  <c r="BA25" i="10" s="1"/>
  <c r="BA26" i="10" s="1"/>
  <c r="BA27" i="10" s="1"/>
  <c r="BA28" i="10" s="1"/>
  <c r="BA29" i="10" s="1"/>
  <c r="BA30" i="10" s="1"/>
  <c r="BA31" i="10" s="1"/>
  <c r="D19" i="13"/>
  <c r="D18" i="13"/>
  <c r="F18" i="13" s="1"/>
  <c r="D15" i="13"/>
  <c r="F15" i="13" s="1"/>
  <c r="D17" i="13"/>
  <c r="F17" i="13" s="1"/>
  <c r="D16" i="13"/>
  <c r="F16" i="13" s="1"/>
  <c r="G44" i="16"/>
  <c r="G35" i="14"/>
  <c r="AL41" i="5"/>
  <c r="G13" i="7"/>
  <c r="L13" i="7"/>
  <c r="E13" i="6"/>
  <c r="G13" i="6"/>
  <c r="G15" i="7"/>
  <c r="L15" i="7"/>
  <c r="BA15" i="7" s="1"/>
  <c r="J6" i="9"/>
  <c r="J9" i="9"/>
  <c r="J14" i="9"/>
  <c r="J15" i="9"/>
  <c r="J19" i="9"/>
  <c r="H45" i="9"/>
  <c r="J45" i="9"/>
  <c r="H43" i="9"/>
  <c r="J43" i="9"/>
  <c r="H41" i="9"/>
  <c r="J41" i="9"/>
  <c r="H42" i="9"/>
  <c r="J42" i="9"/>
  <c r="H40" i="9"/>
  <c r="J40" i="9"/>
  <c r="H57" i="9"/>
  <c r="J57" i="9"/>
  <c r="H52" i="9"/>
  <c r="J52" i="9"/>
  <c r="H50" i="9"/>
  <c r="J50" i="9"/>
  <c r="H46" i="9"/>
  <c r="J46" i="9"/>
  <c r="H44" i="9"/>
  <c r="J44" i="9"/>
  <c r="H37" i="9"/>
  <c r="J37" i="9"/>
  <c r="H35" i="9"/>
  <c r="J35" i="9"/>
  <c r="H33" i="9"/>
  <c r="J33" i="9"/>
  <c r="H29" i="9"/>
  <c r="J29" i="9"/>
  <c r="H27" i="9"/>
  <c r="J27" i="9"/>
  <c r="H54" i="9"/>
  <c r="J54" i="9"/>
  <c r="H25" i="9"/>
  <c r="J25" i="9"/>
  <c r="H32" i="9"/>
  <c r="J32" i="9"/>
  <c r="H49" i="9"/>
  <c r="J49" i="9"/>
  <c r="H58" i="9"/>
  <c r="J58" i="9"/>
  <c r="K11" i="14"/>
  <c r="BH11" i="14"/>
  <c r="AS36" i="18"/>
  <c r="E76" i="6"/>
  <c r="G6" i="6"/>
  <c r="H6" i="6"/>
  <c r="E17" i="6"/>
  <c r="G17" i="6"/>
  <c r="N82" i="6"/>
  <c r="K24" i="14"/>
  <c r="AH62" i="18"/>
  <c r="AH64" i="18"/>
  <c r="AK11" i="5"/>
  <c r="BJ56" i="5"/>
  <c r="E14" i="6"/>
  <c r="G14" i="6"/>
  <c r="S9" i="7"/>
  <c r="S10" i="7"/>
  <c r="S11" i="7"/>
  <c r="S12" i="7"/>
  <c r="S13" i="7" s="1"/>
  <c r="S14" i="7" s="1"/>
  <c r="S15" i="7" s="1"/>
  <c r="S16" i="7" s="1"/>
  <c r="S17" i="7" s="1"/>
  <c r="S18" i="7" s="1"/>
  <c r="S19" i="7" s="1"/>
  <c r="S20" i="7" s="1"/>
  <c r="S21" i="7" s="1"/>
  <c r="S22" i="7" s="1"/>
  <c r="S23" i="7" s="1"/>
  <c r="S24" i="7" s="1"/>
  <c r="S25" i="7" s="1"/>
  <c r="S26" i="7" s="1"/>
  <c r="S27" i="7" s="1"/>
  <c r="S28" i="7" s="1"/>
  <c r="S29" i="7" s="1"/>
  <c r="S30" i="7" s="1"/>
  <c r="S31" i="7" s="1"/>
  <c r="S32" i="7" s="1"/>
  <c r="S33" i="7" s="1"/>
  <c r="S34" i="7" s="1"/>
  <c r="S35" i="7" s="1"/>
  <c r="S36" i="7" s="1"/>
  <c r="S37" i="7" s="1"/>
  <c r="S38" i="7" s="1"/>
  <c r="S39" i="7" s="1"/>
  <c r="S40" i="7" s="1"/>
  <c r="S41" i="7" s="1"/>
  <c r="S42" i="7" s="1"/>
  <c r="S43" i="7" s="1"/>
  <c r="S44" i="7" s="1"/>
  <c r="S45" i="7" s="1"/>
  <c r="S46" i="7" s="1"/>
  <c r="S47" i="7" s="1"/>
  <c r="S48" i="7" s="1"/>
  <c r="S49" i="7" s="1"/>
  <c r="S50" i="7" s="1"/>
  <c r="S51" i="7" s="1"/>
  <c r="S52" i="7" s="1"/>
  <c r="S53" i="7" s="1"/>
  <c r="S54" i="7" s="1"/>
  <c r="S55" i="7" s="1"/>
  <c r="S56" i="7" s="1"/>
  <c r="X14" i="7"/>
  <c r="I76" i="7"/>
  <c r="Q8" i="8"/>
  <c r="Q9" i="8"/>
  <c r="Q10" i="8" s="1"/>
  <c r="Q11" i="8" s="1"/>
  <c r="Q12" i="8" s="1"/>
  <c r="Q13" i="8" s="1"/>
  <c r="Q14" i="8" s="1"/>
  <c r="Q15" i="8" s="1"/>
  <c r="Q16" i="8" s="1"/>
  <c r="Q17" i="8" s="1"/>
  <c r="Q18" i="8" s="1"/>
  <c r="Q19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AX17" i="8"/>
  <c r="AX18" i="8"/>
  <c r="AX19" i="8" s="1"/>
  <c r="AX20" i="8" s="1"/>
  <c r="AX21" i="8" s="1"/>
  <c r="AX22" i="8" s="1"/>
  <c r="AX23" i="8" s="1"/>
  <c r="AX24" i="8" s="1"/>
  <c r="AX25" i="8" s="1"/>
  <c r="AX26" i="8" s="1"/>
  <c r="AX27" i="8" s="1"/>
  <c r="AX28" i="8" s="1"/>
  <c r="J11" i="9"/>
  <c r="H28" i="9"/>
  <c r="J28" i="9" s="1"/>
  <c r="H36" i="9"/>
  <c r="J36" i="9"/>
  <c r="H48" i="9"/>
  <c r="J48" i="9" s="1"/>
  <c r="K31" i="14"/>
  <c r="AN31" i="14"/>
  <c r="H9" i="17"/>
  <c r="G35" i="17"/>
  <c r="X62" i="18"/>
  <c r="X64" i="18" s="1"/>
  <c r="K5" i="14"/>
  <c r="G46" i="14"/>
  <c r="K46" i="14"/>
  <c r="K12" i="14"/>
  <c r="AL52" i="18"/>
  <c r="AF84" i="18"/>
  <c r="AF86" i="18"/>
  <c r="G43" i="14"/>
  <c r="K43" i="14"/>
  <c r="V84" i="18"/>
  <c r="V86" i="18"/>
  <c r="AS101" i="18"/>
  <c r="J22" i="9"/>
  <c r="K8" i="14"/>
  <c r="Q8" i="14"/>
  <c r="K9" i="14"/>
  <c r="R9" i="14"/>
  <c r="K19" i="14"/>
  <c r="K25" i="14"/>
  <c r="G39" i="14"/>
  <c r="K39" i="14"/>
  <c r="AO32" i="15"/>
  <c r="B22" i="16"/>
  <c r="B34" i="16"/>
  <c r="B46" i="16"/>
  <c r="B58" i="16" s="1"/>
  <c r="B70" i="16" s="1"/>
  <c r="B82" i="16" s="1"/>
  <c r="B94" i="16" s="1"/>
  <c r="B23" i="16"/>
  <c r="B35" i="16"/>
  <c r="B47" i="16"/>
  <c r="B59" i="16"/>
  <c r="B71" i="16" s="1"/>
  <c r="B83" i="16" s="1"/>
  <c r="B95" i="16" s="1"/>
  <c r="G23" i="16"/>
  <c r="AS29" i="18"/>
  <c r="AL30" i="18"/>
  <c r="K18" i="14"/>
  <c r="BO18" i="14"/>
  <c r="AL53" i="18"/>
  <c r="G62" i="18"/>
  <c r="AS97" i="18"/>
  <c r="AN109" i="18"/>
  <c r="V109" i="18"/>
  <c r="V111" i="18"/>
  <c r="Z109" i="18"/>
  <c r="Z112" i="18"/>
  <c r="AH109" i="18"/>
  <c r="AH111" i="18"/>
  <c r="H7" i="19"/>
  <c r="AA15" i="5"/>
  <c r="AA16" i="5" s="1"/>
  <c r="AX56" i="5"/>
  <c r="W71" i="6"/>
  <c r="G23" i="7"/>
  <c r="L23" i="7"/>
  <c r="BI23" i="7"/>
  <c r="L6" i="9"/>
  <c r="J18" i="9"/>
  <c r="K16" i="14"/>
  <c r="BM16" i="14"/>
  <c r="AI27" i="16"/>
  <c r="AI28" i="16" s="1"/>
  <c r="AI29" i="16" s="1"/>
  <c r="AI30" i="16" s="1"/>
  <c r="AI31" i="16" s="1"/>
  <c r="AI32" i="16" s="1"/>
  <c r="AI33" i="16" s="1"/>
  <c r="AI34" i="16" s="1"/>
  <c r="AI35" i="16" s="1"/>
  <c r="AI36" i="16" s="1"/>
  <c r="AI37" i="16" s="1"/>
  <c r="AI38" i="16" s="1"/>
  <c r="AI39" i="16" s="1"/>
  <c r="AI40" i="16" s="1"/>
  <c r="AI41" i="16" s="1"/>
  <c r="AI42" i="16" s="1"/>
  <c r="AI43" i="16" s="1"/>
  <c r="AI44" i="16" s="1"/>
  <c r="AI45" i="16" s="1"/>
  <c r="AI46" i="16" s="1"/>
  <c r="AI47" i="16" s="1"/>
  <c r="AI48" i="16" s="1"/>
  <c r="AI49" i="16" s="1"/>
  <c r="AI50" i="16" s="1"/>
  <c r="AI51" i="16" s="1"/>
  <c r="AI52" i="16" s="1"/>
  <c r="AI53" i="16" s="1"/>
  <c r="AI54" i="16" s="1"/>
  <c r="AI55" i="16" s="1"/>
  <c r="AI56" i="16" s="1"/>
  <c r="AI57" i="16" s="1"/>
  <c r="AI58" i="16" s="1"/>
  <c r="AI59" i="16" s="1"/>
  <c r="AI60" i="16" s="1"/>
  <c r="AI61" i="16" s="1"/>
  <c r="AI62" i="16" s="1"/>
  <c r="AI63" i="16" s="1"/>
  <c r="AI64" i="16" s="1"/>
  <c r="AI65" i="16" s="1"/>
  <c r="AI66" i="16" s="1"/>
  <c r="AI67" i="16" s="1"/>
  <c r="AI68" i="16" s="1"/>
  <c r="AI69" i="16" s="1"/>
  <c r="AI70" i="16" s="1"/>
  <c r="AI71" i="16" s="1"/>
  <c r="AI72" i="16" s="1"/>
  <c r="AI73" i="16" s="1"/>
  <c r="AI74" i="16" s="1"/>
  <c r="AI75" i="16" s="1"/>
  <c r="AI76" i="16" s="1"/>
  <c r="AI77" i="16" s="1"/>
  <c r="AI78" i="16" s="1"/>
  <c r="AI79" i="16" s="1"/>
  <c r="AI80" i="16" s="1"/>
  <c r="AI81" i="16" s="1"/>
  <c r="AI82" i="16" s="1"/>
  <c r="AI83" i="16" s="1"/>
  <c r="AI84" i="16" s="1"/>
  <c r="AI85" i="16" s="1"/>
  <c r="AS34" i="18"/>
  <c r="X40" i="18"/>
  <c r="X42" i="18" s="1"/>
  <c r="AS31" i="18"/>
  <c r="AL32" i="18"/>
  <c r="AO40" i="18"/>
  <c r="AO64" i="18" s="1"/>
  <c r="K22" i="14"/>
  <c r="AK40" i="18"/>
  <c r="AK42" i="18"/>
  <c r="I62" i="18"/>
  <c r="AK62" i="18"/>
  <c r="AK64" i="18"/>
  <c r="AL57" i="18"/>
  <c r="AL58" i="18"/>
  <c r="AL59" i="18"/>
  <c r="AS62" i="18"/>
  <c r="AJ84" i="18"/>
  <c r="AJ86" i="18" s="1"/>
  <c r="AL79" i="18"/>
  <c r="Z84" i="18"/>
  <c r="Z87" i="18"/>
  <c r="AS102" i="18"/>
  <c r="H31" i="19"/>
  <c r="K7" i="14"/>
  <c r="K21" i="14"/>
  <c r="BR21" i="14" s="1"/>
  <c r="K28" i="14"/>
  <c r="AC20" i="17"/>
  <c r="AC21" i="17"/>
  <c r="AC22" i="17" s="1"/>
  <c r="AC23" i="17" s="1"/>
  <c r="AC24" i="17" s="1"/>
  <c r="AC25" i="17" s="1"/>
  <c r="AC26" i="17" s="1"/>
  <c r="AC27" i="17" s="1"/>
  <c r="AC28" i="17" s="1"/>
  <c r="AC29" i="17" s="1"/>
  <c r="AC30" i="17" s="1"/>
  <c r="AC31" i="17" s="1"/>
  <c r="AC32" i="17" s="1"/>
  <c r="AC33" i="17" s="1"/>
  <c r="AC34" i="17" s="1"/>
  <c r="AC35" i="17" s="1"/>
  <c r="AC36" i="17" s="1"/>
  <c r="AC37" i="17" s="1"/>
  <c r="AC38" i="17" s="1"/>
  <c r="AC39" i="17" s="1"/>
  <c r="AC40" i="17" s="1"/>
  <c r="AC41" i="17" s="1"/>
  <c r="AC42" i="17" s="1"/>
  <c r="AL33" i="18"/>
  <c r="AS33" i="18"/>
  <c r="AS98" i="18"/>
  <c r="X109" i="18"/>
  <c r="X111" i="18"/>
  <c r="AF109" i="18"/>
  <c r="AF111" i="18"/>
  <c r="AJ18" i="18"/>
  <c r="AJ20" i="18"/>
  <c r="AS17" i="18"/>
  <c r="AI40" i="18"/>
  <c r="AI43" i="18" s="1"/>
  <c r="AR40" i="18"/>
  <c r="AR64" i="18" s="1"/>
  <c r="AG62" i="18"/>
  <c r="AG64" i="18" s="1"/>
  <c r="AL54" i="18"/>
  <c r="AL60" i="18"/>
  <c r="AL72" i="18"/>
  <c r="AL76" i="18"/>
  <c r="AK84" i="18"/>
  <c r="AK86" i="18" s="1"/>
  <c r="AL80" i="18"/>
  <c r="AB84" i="18"/>
  <c r="AB87" i="18"/>
  <c r="W109" i="18"/>
  <c r="W111" i="18"/>
  <c r="AA109" i="18"/>
  <c r="AA112" i="18"/>
  <c r="AE109" i="18"/>
  <c r="AE111" i="18"/>
  <c r="AI109" i="18"/>
  <c r="AI112" i="18"/>
  <c r="AS99" i="18"/>
  <c r="AL102" i="18"/>
  <c r="AZ15" i="7"/>
  <c r="AZ16" i="7"/>
  <c r="AZ17" i="7" s="1"/>
  <c r="AZ18" i="7" s="1"/>
  <c r="AZ19" i="7" s="1"/>
  <c r="AZ20" i="7" s="1"/>
  <c r="AZ21" i="7" s="1"/>
  <c r="AZ22" i="7" s="1"/>
  <c r="AZ23" i="7" s="1"/>
  <c r="AZ24" i="7" s="1"/>
  <c r="AZ25" i="7" s="1"/>
  <c r="BD24" i="8"/>
  <c r="P81" i="6"/>
  <c r="AS8" i="7"/>
  <c r="AS9" i="7" s="1"/>
  <c r="AS10" i="7" s="1"/>
  <c r="AS11" i="7" s="1"/>
  <c r="AS12" i="7" s="1"/>
  <c r="AS13" i="7" s="1"/>
  <c r="AS14" i="7" s="1"/>
  <c r="AS15" i="7" s="1"/>
  <c r="AS16" i="7" s="1"/>
  <c r="AS17" i="7" s="1"/>
  <c r="AS18" i="7" s="1"/>
  <c r="BK25" i="7"/>
  <c r="BK26" i="7"/>
  <c r="BK27" i="7" s="1"/>
  <c r="BK28" i="7" s="1"/>
  <c r="BK29" i="7" s="1"/>
  <c r="BK30" i="7" s="1"/>
  <c r="BK31" i="7" s="1"/>
  <c r="BK32" i="7" s="1"/>
  <c r="BK33" i="7" s="1"/>
  <c r="BK34" i="7" s="1"/>
  <c r="BK35" i="7" s="1"/>
  <c r="BK36" i="7" s="1"/>
  <c r="AI25" i="7"/>
  <c r="Y15" i="7"/>
  <c r="BH22" i="7"/>
  <c r="AF22" i="7"/>
  <c r="AW11" i="7"/>
  <c r="U11" i="7"/>
  <c r="G79" i="6"/>
  <c r="Z27" i="9"/>
  <c r="Z28" i="9" s="1"/>
  <c r="Z29" i="9" s="1"/>
  <c r="Z30" i="9" s="1"/>
  <c r="Z31" i="9" s="1"/>
  <c r="Z32" i="9" s="1"/>
  <c r="Z33" i="9" s="1"/>
  <c r="Z34" i="9" s="1"/>
  <c r="Z35" i="9" s="1"/>
  <c r="Z36" i="9" s="1"/>
  <c r="Z37" i="9" s="1"/>
  <c r="Z38" i="9" s="1"/>
  <c r="Z39" i="9" s="1"/>
  <c r="Z40" i="9" s="1"/>
  <c r="Z41" i="9" s="1"/>
  <c r="Z42" i="9" s="1"/>
  <c r="Z43" i="9" s="1"/>
  <c r="Z44" i="9" s="1"/>
  <c r="Z45" i="9" s="1"/>
  <c r="Z46" i="9" s="1"/>
  <c r="Z47" i="9" s="1"/>
  <c r="Z48" i="9" s="1"/>
  <c r="Z49" i="9" s="1"/>
  <c r="Z50" i="9" s="1"/>
  <c r="Z51" i="9" s="1"/>
  <c r="Z52" i="9" s="1"/>
  <c r="Z53" i="9" s="1"/>
  <c r="Z54" i="9" s="1"/>
  <c r="Z55" i="9" s="1"/>
  <c r="Z56" i="9" s="1"/>
  <c r="Z57" i="9" s="1"/>
  <c r="Z58" i="9" s="1"/>
  <c r="Z59" i="9" s="1"/>
  <c r="Z60" i="9" s="1"/>
  <c r="Z61" i="9" s="1"/>
  <c r="Z62" i="9" s="1"/>
  <c r="Z63" i="9" s="1"/>
  <c r="Z64" i="9" s="1"/>
  <c r="Z65" i="9" s="1"/>
  <c r="Z66" i="9" s="1"/>
  <c r="Z67" i="9" s="1"/>
  <c r="Z68" i="9" s="1"/>
  <c r="Z69" i="9" s="1"/>
  <c r="Z70" i="9" s="1"/>
  <c r="Z71" i="9" s="1"/>
  <c r="Z72" i="9" s="1"/>
  <c r="Z73" i="9" s="1"/>
  <c r="Z74" i="9" s="1"/>
  <c r="Z75" i="9" s="1"/>
  <c r="Z76" i="9" s="1"/>
  <c r="Z77" i="9" s="1"/>
  <c r="Z78" i="9" s="1"/>
  <c r="Z79" i="9" s="1"/>
  <c r="Z80" i="9" s="1"/>
  <c r="Z81" i="9" s="1"/>
  <c r="Z82" i="9" s="1"/>
  <c r="Z83" i="9" s="1"/>
  <c r="Z84" i="9" s="1"/>
  <c r="Z85" i="9" s="1"/>
  <c r="Z86" i="9" s="1"/>
  <c r="Z87" i="9" s="1"/>
  <c r="Z88" i="9" s="1"/>
  <c r="Z89" i="9" s="1"/>
  <c r="Z90" i="9" s="1"/>
  <c r="Z91" i="9" s="1"/>
  <c r="Z92" i="9" s="1"/>
  <c r="Z93" i="9" s="1"/>
  <c r="Z94" i="9" s="1"/>
  <c r="Z95" i="9" s="1"/>
  <c r="Z96" i="9" s="1"/>
  <c r="Z97" i="9" s="1"/>
  <c r="Z98" i="9" s="1"/>
  <c r="Z99" i="9" s="1"/>
  <c r="Z100" i="9" s="1"/>
  <c r="Z101" i="9" s="1"/>
  <c r="Z102" i="9" s="1"/>
  <c r="Z103" i="9" s="1"/>
  <c r="Z104" i="9" s="1"/>
  <c r="Z105" i="9" s="1"/>
  <c r="Z106" i="9" s="1"/>
  <c r="Z107" i="9" s="1"/>
  <c r="Z108" i="9" s="1"/>
  <c r="Z109" i="9" s="1"/>
  <c r="Z110" i="9" s="1"/>
  <c r="Z111" i="9" s="1"/>
  <c r="Z112" i="9" s="1"/>
  <c r="Z113" i="9" s="1"/>
  <c r="Z114" i="9" s="1"/>
  <c r="Z115" i="9" s="1"/>
  <c r="Z116" i="9" s="1"/>
  <c r="Z117" i="9" s="1"/>
  <c r="Z118" i="9" s="1"/>
  <c r="Z119" i="9" s="1"/>
  <c r="Z120" i="9" s="1"/>
  <c r="Z121" i="9" s="1"/>
  <c r="Z122" i="9" s="1"/>
  <c r="Z123" i="9" s="1"/>
  <c r="Z124" i="9" s="1"/>
  <c r="Z125" i="9" s="1"/>
  <c r="Z126" i="9" s="1"/>
  <c r="Z127" i="9" s="1"/>
  <c r="Z128" i="9" s="1"/>
  <c r="Z129" i="9" s="1"/>
  <c r="Z130" i="9" s="1"/>
  <c r="Z131" i="9" s="1"/>
  <c r="Z132" i="9" s="1"/>
  <c r="Z133" i="9" s="1"/>
  <c r="Z134" i="9" s="1"/>
  <c r="Z135" i="9" s="1"/>
  <c r="Z136" i="9" s="1"/>
  <c r="X15" i="8"/>
  <c r="AV15" i="8"/>
  <c r="BV101" i="5"/>
  <c r="AX13" i="7"/>
  <c r="AX14" i="7"/>
  <c r="AX15" i="7" s="1"/>
  <c r="AX16" i="7" s="1"/>
  <c r="AX17" i="7" s="1"/>
  <c r="AX18" i="7" s="1"/>
  <c r="AX19" i="7" s="1"/>
  <c r="AX20" i="7" s="1"/>
  <c r="AX21" i="7" s="1"/>
  <c r="AX22" i="7" s="1"/>
  <c r="AX23" i="7" s="1"/>
  <c r="AL26" i="5"/>
  <c r="K6" i="8"/>
  <c r="L14" i="8" s="1"/>
  <c r="BC22" i="8"/>
  <c r="AE22" i="8"/>
  <c r="BE24" i="8"/>
  <c r="AS12" i="10"/>
  <c r="U12" i="10"/>
  <c r="AL11" i="5"/>
  <c r="AV26" i="5"/>
  <c r="Q5" i="6"/>
  <c r="E81" i="6"/>
  <c r="G55" i="6"/>
  <c r="G81" i="6"/>
  <c r="AR6" i="7"/>
  <c r="P6" i="7"/>
  <c r="AU76" i="7"/>
  <c r="F82" i="7"/>
  <c r="BB16" i="7"/>
  <c r="Z16" i="7"/>
  <c r="L19" i="7"/>
  <c r="R10" i="8"/>
  <c r="AF23" i="8"/>
  <c r="Q11" i="9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AN7" i="10"/>
  <c r="P7" i="10"/>
  <c r="G43" i="6"/>
  <c r="G80" i="6"/>
  <c r="E80" i="6"/>
  <c r="Z6" i="6"/>
  <c r="AA21" i="9"/>
  <c r="AA22" i="9"/>
  <c r="AA23" i="9"/>
  <c r="AA24" i="9"/>
  <c r="AA25" i="9" s="1"/>
  <c r="AA26" i="9" s="1"/>
  <c r="AA27" i="9" s="1"/>
  <c r="AA28" i="9" s="1"/>
  <c r="AA29" i="9" s="1"/>
  <c r="AA30" i="9" s="1"/>
  <c r="AA31" i="9" s="1"/>
  <c r="AA32" i="9" s="1"/>
  <c r="AA33" i="9" s="1"/>
  <c r="AA34" i="9" s="1"/>
  <c r="AA35" i="9" s="1"/>
  <c r="AA36" i="9" s="1"/>
  <c r="AA37" i="9" s="1"/>
  <c r="AA38" i="9" s="1"/>
  <c r="AA39" i="9" s="1"/>
  <c r="AA40" i="9" s="1"/>
  <c r="AA41" i="9" s="1"/>
  <c r="AA42" i="9" s="1"/>
  <c r="AA43" i="9" s="1"/>
  <c r="AA44" i="9" s="1"/>
  <c r="AA45" i="9" s="1"/>
  <c r="AA46" i="9" s="1"/>
  <c r="AA47" i="9" s="1"/>
  <c r="AA48" i="9" s="1"/>
  <c r="AA49" i="9" s="1"/>
  <c r="AA50" i="9" s="1"/>
  <c r="AA51" i="9" s="1"/>
  <c r="AA52" i="9" s="1"/>
  <c r="AA53" i="9" s="1"/>
  <c r="AA54" i="9" s="1"/>
  <c r="AA55" i="9" s="1"/>
  <c r="AA56" i="9" s="1"/>
  <c r="AA57" i="9" s="1"/>
  <c r="AA58" i="9" s="1"/>
  <c r="AA59" i="9" s="1"/>
  <c r="AA60" i="9" s="1"/>
  <c r="AA61" i="9" s="1"/>
  <c r="AA62" i="9" s="1"/>
  <c r="AA63" i="9" s="1"/>
  <c r="AA64" i="9" s="1"/>
  <c r="AA65" i="9" s="1"/>
  <c r="AA66" i="9" s="1"/>
  <c r="AA67" i="9" s="1"/>
  <c r="AA68" i="9" s="1"/>
  <c r="AA69" i="9" s="1"/>
  <c r="AA70" i="9" s="1"/>
  <c r="AA71" i="9" s="1"/>
  <c r="AA72" i="9" s="1"/>
  <c r="AA73" i="9" s="1"/>
  <c r="AA74" i="9" s="1"/>
  <c r="AA75" i="9" s="1"/>
  <c r="AA76" i="9" s="1"/>
  <c r="AA77" i="9" s="1"/>
  <c r="AA78" i="9" s="1"/>
  <c r="AA79" i="9" s="1"/>
  <c r="AA80" i="9" s="1"/>
  <c r="AA81" i="9" s="1"/>
  <c r="AA82" i="9" s="1"/>
  <c r="AA83" i="9" s="1"/>
  <c r="AA84" i="9" s="1"/>
  <c r="AA85" i="9" s="1"/>
  <c r="AA86" i="9" s="1"/>
  <c r="AA87" i="9" s="1"/>
  <c r="AA88" i="9" s="1"/>
  <c r="AA89" i="9" s="1"/>
  <c r="AA90" i="9" s="1"/>
  <c r="AA91" i="9" s="1"/>
  <c r="AA92" i="9" s="1"/>
  <c r="AA93" i="9" s="1"/>
  <c r="AA94" i="9" s="1"/>
  <c r="AA95" i="9" s="1"/>
  <c r="AA96" i="9" s="1"/>
  <c r="AA97" i="9" s="1"/>
  <c r="AA98" i="9" s="1"/>
  <c r="AA99" i="9" s="1"/>
  <c r="AA100" i="9" s="1"/>
  <c r="AA101" i="9" s="1"/>
  <c r="AA102" i="9" s="1"/>
  <c r="AA103" i="9" s="1"/>
  <c r="AA104" i="9" s="1"/>
  <c r="AA105" i="9" s="1"/>
  <c r="AA106" i="9" s="1"/>
  <c r="AA107" i="9" s="1"/>
  <c r="AA108" i="9" s="1"/>
  <c r="AA109" i="9" s="1"/>
  <c r="AA110" i="9" s="1"/>
  <c r="AA111" i="9" s="1"/>
  <c r="AA112" i="9" s="1"/>
  <c r="AA113" i="9" s="1"/>
  <c r="AA114" i="9" s="1"/>
  <c r="AA115" i="9" s="1"/>
  <c r="AA116" i="9" s="1"/>
  <c r="AA117" i="9" s="1"/>
  <c r="AA118" i="9" s="1"/>
  <c r="AA119" i="9" s="1"/>
  <c r="AA120" i="9" s="1"/>
  <c r="AA121" i="9" s="1"/>
  <c r="AA122" i="9" s="1"/>
  <c r="AA123" i="9" s="1"/>
  <c r="AA124" i="9" s="1"/>
  <c r="AA125" i="9" s="1"/>
  <c r="AA126" i="9" s="1"/>
  <c r="AA127" i="9" s="1"/>
  <c r="AA128" i="9" s="1"/>
  <c r="AA129" i="9" s="1"/>
  <c r="AA130" i="9" s="1"/>
  <c r="AA131" i="9" s="1"/>
  <c r="AA132" i="9" s="1"/>
  <c r="AA133" i="9" s="1"/>
  <c r="AA134" i="9" s="1"/>
  <c r="AA135" i="9" s="1"/>
  <c r="AA136" i="9" s="1"/>
  <c r="BC22" i="10"/>
  <c r="AE22" i="10"/>
  <c r="L84" i="7"/>
  <c r="AL5" i="8"/>
  <c r="N5" i="8"/>
  <c r="BB21" i="10"/>
  <c r="AD21" i="10"/>
  <c r="Z11" i="5"/>
  <c r="E19" i="6"/>
  <c r="E25" i="6"/>
  <c r="G25" i="6" s="1"/>
  <c r="N26" i="6"/>
  <c r="P26" i="6" s="1"/>
  <c r="E83" i="7"/>
  <c r="F83" i="7"/>
  <c r="L5" i="8"/>
  <c r="P7" i="8"/>
  <c r="AN7" i="8"/>
  <c r="AW17" i="8"/>
  <c r="AW18" i="8"/>
  <c r="AW19" i="8" s="1"/>
  <c r="AW20" i="8" s="1"/>
  <c r="AW21" i="8" s="1"/>
  <c r="AW22" i="8" s="1"/>
  <c r="AW23" i="8" s="1"/>
  <c r="AW24" i="8" s="1"/>
  <c r="AW25" i="8" s="1"/>
  <c r="AW26" i="8" s="1"/>
  <c r="AW27" i="8" s="1"/>
  <c r="BB21" i="8"/>
  <c r="AD21" i="8"/>
  <c r="J5" i="9"/>
  <c r="P10" i="9"/>
  <c r="P11" i="9"/>
  <c r="P12" i="9" s="1"/>
  <c r="P13" i="9" s="1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P32" i="9" s="1"/>
  <c r="P33" i="9" s="1"/>
  <c r="P34" i="9" s="1"/>
  <c r="P35" i="9" s="1"/>
  <c r="P36" i="9" s="1"/>
  <c r="P37" i="9" s="1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S13" i="9"/>
  <c r="S14" i="9" s="1"/>
  <c r="S15" i="9" s="1"/>
  <c r="S16" i="9" s="1"/>
  <c r="S17" i="9" s="1"/>
  <c r="S18" i="9" s="1"/>
  <c r="S19" i="9" s="1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S32" i="9" s="1"/>
  <c r="S33" i="9" s="1"/>
  <c r="S34" i="9" s="1"/>
  <c r="S35" i="9" s="1"/>
  <c r="S36" i="9" s="1"/>
  <c r="S37" i="9" s="1"/>
  <c r="S38" i="9" s="1"/>
  <c r="S39" i="9" s="1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S55" i="9" s="1"/>
  <c r="S56" i="9" s="1"/>
  <c r="S57" i="9" s="1"/>
  <c r="S58" i="9" s="1"/>
  <c r="S59" i="9" s="1"/>
  <c r="S60" i="9" s="1"/>
  <c r="S61" i="9" s="1"/>
  <c r="S62" i="9" s="1"/>
  <c r="S63" i="9" s="1"/>
  <c r="S64" i="9" s="1"/>
  <c r="S65" i="9" s="1"/>
  <c r="S66" i="9" s="1"/>
  <c r="S67" i="9" s="1"/>
  <c r="S68" i="9" s="1"/>
  <c r="S69" i="9" s="1"/>
  <c r="S70" i="9" s="1"/>
  <c r="S71" i="9" s="1"/>
  <c r="S72" i="9" s="1"/>
  <c r="S73" i="9" s="1"/>
  <c r="S74" i="9" s="1"/>
  <c r="S75" i="9" s="1"/>
  <c r="S76" i="9" s="1"/>
  <c r="S77" i="9" s="1"/>
  <c r="S78" i="9" s="1"/>
  <c r="S79" i="9" s="1"/>
  <c r="S80" i="9" s="1"/>
  <c r="S81" i="9" s="1"/>
  <c r="S82" i="9" s="1"/>
  <c r="S83" i="9" s="1"/>
  <c r="S84" i="9" s="1"/>
  <c r="S85" i="9" s="1"/>
  <c r="S86" i="9" s="1"/>
  <c r="S87" i="9" s="1"/>
  <c r="S88" i="9" s="1"/>
  <c r="S89" i="9" s="1"/>
  <c r="S90" i="9" s="1"/>
  <c r="S91" i="9" s="1"/>
  <c r="S92" i="9" s="1"/>
  <c r="S93" i="9" s="1"/>
  <c r="S94" i="9" s="1"/>
  <c r="S95" i="9" s="1"/>
  <c r="S96" i="9" s="1"/>
  <c r="S97" i="9" s="1"/>
  <c r="S98" i="9" s="1"/>
  <c r="S99" i="9" s="1"/>
  <c r="S100" i="9" s="1"/>
  <c r="S101" i="9" s="1"/>
  <c r="S102" i="9" s="1"/>
  <c r="S103" i="9" s="1"/>
  <c r="S104" i="9" s="1"/>
  <c r="S105" i="9" s="1"/>
  <c r="S106" i="9" s="1"/>
  <c r="S107" i="9" s="1"/>
  <c r="S108" i="9" s="1"/>
  <c r="S109" i="9" s="1"/>
  <c r="S110" i="9" s="1"/>
  <c r="S111" i="9" s="1"/>
  <c r="S112" i="9" s="1"/>
  <c r="S113" i="9" s="1"/>
  <c r="S114" i="9" s="1"/>
  <c r="S115" i="9" s="1"/>
  <c r="S116" i="9" s="1"/>
  <c r="S117" i="9" s="1"/>
  <c r="S118" i="9" s="1"/>
  <c r="S119" i="9" s="1"/>
  <c r="S120" i="9" s="1"/>
  <c r="S121" i="9" s="1"/>
  <c r="S122" i="9" s="1"/>
  <c r="S123" i="9" s="1"/>
  <c r="S124" i="9" s="1"/>
  <c r="S125" i="9" s="1"/>
  <c r="S126" i="9" s="1"/>
  <c r="S127" i="9" s="1"/>
  <c r="S128" i="9" s="1"/>
  <c r="S129" i="9" s="1"/>
  <c r="S130" i="9" s="1"/>
  <c r="S131" i="9" s="1"/>
  <c r="AX17" i="10"/>
  <c r="Z17" i="10"/>
  <c r="G85" i="7"/>
  <c r="L43" i="7"/>
  <c r="L85" i="7"/>
  <c r="AR11" i="10"/>
  <c r="T11" i="10"/>
  <c r="G84" i="7"/>
  <c r="N81" i="6"/>
  <c r="AV15" i="10"/>
  <c r="X15" i="10"/>
  <c r="AB9" i="5"/>
  <c r="E82" i="6"/>
  <c r="G67" i="6"/>
  <c r="G82" i="6" s="1"/>
  <c r="Q7" i="7"/>
  <c r="AT8" i="7"/>
  <c r="R8" i="7"/>
  <c r="BC17" i="7"/>
  <c r="AA17" i="7"/>
  <c r="L86" i="7"/>
  <c r="X18" i="9"/>
  <c r="X19" i="9" s="1"/>
  <c r="X20" i="9" s="1"/>
  <c r="X21" i="9" s="1"/>
  <c r="X22" i="9" s="1"/>
  <c r="X23" i="9" s="1"/>
  <c r="X24" i="9" s="1"/>
  <c r="X25" i="9" s="1"/>
  <c r="X26" i="9" s="1"/>
  <c r="X27" i="9" s="1"/>
  <c r="X28" i="9" s="1"/>
  <c r="X29" i="9" s="1"/>
  <c r="X30" i="9" s="1"/>
  <c r="X31" i="9" s="1"/>
  <c r="X32" i="9" s="1"/>
  <c r="X33" i="9" s="1"/>
  <c r="X34" i="9" s="1"/>
  <c r="X35" i="9" s="1"/>
  <c r="X36" i="9" s="1"/>
  <c r="X37" i="9" s="1"/>
  <c r="X38" i="9" s="1"/>
  <c r="X39" i="9" s="1"/>
  <c r="X40" i="9" s="1"/>
  <c r="X41" i="9" s="1"/>
  <c r="X42" i="9" s="1"/>
  <c r="X43" i="9" s="1"/>
  <c r="X44" i="9" s="1"/>
  <c r="X45" i="9" s="1"/>
  <c r="X46" i="9" s="1"/>
  <c r="X47" i="9" s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X58" i="9" s="1"/>
  <c r="X59" i="9" s="1"/>
  <c r="X60" i="9" s="1"/>
  <c r="X61" i="9" s="1"/>
  <c r="X62" i="9" s="1"/>
  <c r="X63" i="9" s="1"/>
  <c r="X64" i="9" s="1"/>
  <c r="X65" i="9" s="1"/>
  <c r="X66" i="9" s="1"/>
  <c r="X67" i="9" s="1"/>
  <c r="X68" i="9" s="1"/>
  <c r="X69" i="9" s="1"/>
  <c r="X70" i="9" s="1"/>
  <c r="X71" i="9" s="1"/>
  <c r="X72" i="9" s="1"/>
  <c r="X73" i="9" s="1"/>
  <c r="X74" i="9" s="1"/>
  <c r="X75" i="9" s="1"/>
  <c r="X76" i="9" s="1"/>
  <c r="X77" i="9" s="1"/>
  <c r="X78" i="9" s="1"/>
  <c r="X79" i="9" s="1"/>
  <c r="X80" i="9" s="1"/>
  <c r="X81" i="9" s="1"/>
  <c r="X82" i="9" s="1"/>
  <c r="X83" i="9" s="1"/>
  <c r="X84" i="9" s="1"/>
  <c r="X85" i="9" s="1"/>
  <c r="X86" i="9" s="1"/>
  <c r="X87" i="9" s="1"/>
  <c r="X88" i="9" s="1"/>
  <c r="X89" i="9" s="1"/>
  <c r="X90" i="9" s="1"/>
  <c r="X91" i="9" s="1"/>
  <c r="X92" i="9" s="1"/>
  <c r="X93" i="9" s="1"/>
  <c r="X94" i="9" s="1"/>
  <c r="X95" i="9" s="1"/>
  <c r="X96" i="9" s="1"/>
  <c r="X97" i="9" s="1"/>
  <c r="X98" i="9" s="1"/>
  <c r="X99" i="9" s="1"/>
  <c r="X100" i="9" s="1"/>
  <c r="X101" i="9" s="1"/>
  <c r="X102" i="9" s="1"/>
  <c r="X103" i="9" s="1"/>
  <c r="X104" i="9" s="1"/>
  <c r="X105" i="9" s="1"/>
  <c r="X106" i="9" s="1"/>
  <c r="X107" i="9" s="1"/>
  <c r="X108" i="9" s="1"/>
  <c r="X109" i="9" s="1"/>
  <c r="X110" i="9" s="1"/>
  <c r="X111" i="9" s="1"/>
  <c r="X112" i="9" s="1"/>
  <c r="X113" i="9" s="1"/>
  <c r="X114" i="9" s="1"/>
  <c r="X115" i="9" s="1"/>
  <c r="X116" i="9" s="1"/>
  <c r="X117" i="9" s="1"/>
  <c r="X118" i="9" s="1"/>
  <c r="X119" i="9" s="1"/>
  <c r="X120" i="9" s="1"/>
  <c r="X121" i="9" s="1"/>
  <c r="X122" i="9" s="1"/>
  <c r="X123" i="9" s="1"/>
  <c r="X124" i="9" s="1"/>
  <c r="X125" i="9" s="1"/>
  <c r="X126" i="9" s="1"/>
  <c r="X127" i="9" s="1"/>
  <c r="X128" i="9" s="1"/>
  <c r="X129" i="9" s="1"/>
  <c r="X130" i="9" s="1"/>
  <c r="X131" i="9" s="1"/>
  <c r="X132" i="9" s="1"/>
  <c r="X133" i="9" s="1"/>
  <c r="X134" i="9" s="1"/>
  <c r="X135" i="9" s="1"/>
  <c r="X136" i="9" s="1"/>
  <c r="AU14" i="10"/>
  <c r="W14" i="10"/>
  <c r="E79" i="6"/>
  <c r="AE22" i="15"/>
  <c r="AE23" i="15" s="1"/>
  <c r="AE24" i="15" s="1"/>
  <c r="AE25" i="15" s="1"/>
  <c r="AE26" i="15" s="1"/>
  <c r="AE27" i="15" s="1"/>
  <c r="AE28" i="15" s="1"/>
  <c r="AE29" i="15" s="1"/>
  <c r="AE30" i="15" s="1"/>
  <c r="AE31" i="15" s="1"/>
  <c r="AE32" i="15" s="1"/>
  <c r="AE33" i="15" s="1"/>
  <c r="AE34" i="15" s="1"/>
  <c r="AE35" i="15" s="1"/>
  <c r="AE36" i="15" s="1"/>
  <c r="AE37" i="15" s="1"/>
  <c r="AE38" i="15" s="1"/>
  <c r="AE39" i="15" s="1"/>
  <c r="AE40" i="15" s="1"/>
  <c r="AE41" i="15" s="1"/>
  <c r="AE42" i="15" s="1"/>
  <c r="AE43" i="15" s="1"/>
  <c r="AE44" i="15" s="1"/>
  <c r="AE45" i="15" s="1"/>
  <c r="AE46" i="15" s="1"/>
  <c r="AE47" i="15" s="1"/>
  <c r="AE48" i="15" s="1"/>
  <c r="AE49" i="15" s="1"/>
  <c r="AE50" i="15" s="1"/>
  <c r="AE51" i="15" s="1"/>
  <c r="AE52" i="15" s="1"/>
  <c r="AE53" i="15" s="1"/>
  <c r="AE54" i="15" s="1"/>
  <c r="AE55" i="15" s="1"/>
  <c r="AE56" i="15" s="1"/>
  <c r="AE57" i="15" s="1"/>
  <c r="AE58" i="15" s="1"/>
  <c r="AE59" i="15" s="1"/>
  <c r="AE60" i="15" s="1"/>
  <c r="AE61" i="15" s="1"/>
  <c r="AE62" i="15" s="1"/>
  <c r="AE63" i="15" s="1"/>
  <c r="AE64" i="15" s="1"/>
  <c r="AE65" i="15" s="1"/>
  <c r="AE66" i="15" s="1"/>
  <c r="AE67" i="15" s="1"/>
  <c r="AE68" i="15" s="1"/>
  <c r="AE69" i="15" s="1"/>
  <c r="AE70" i="15" s="1"/>
  <c r="AE71" i="15" s="1"/>
  <c r="AE72" i="15" s="1"/>
  <c r="AE73" i="15" s="1"/>
  <c r="AE74" i="15" s="1"/>
  <c r="AE75" i="15" s="1"/>
  <c r="AE76" i="15" s="1"/>
  <c r="AE77" i="15" s="1"/>
  <c r="AE78" i="15" s="1"/>
  <c r="AE79" i="15" s="1"/>
  <c r="AE80" i="15" s="1"/>
  <c r="AE81" i="15" s="1"/>
  <c r="AE82" i="15" s="1"/>
  <c r="AE83" i="15" s="1"/>
  <c r="AE84" i="15" s="1"/>
  <c r="AE85" i="15" s="1"/>
  <c r="AE86" i="15" s="1"/>
  <c r="AE87" i="15" s="1"/>
  <c r="AE88" i="15" s="1"/>
  <c r="AE89" i="15" s="1"/>
  <c r="AE90" i="15" s="1"/>
  <c r="AE91" i="15" s="1"/>
  <c r="AE92" i="15" s="1"/>
  <c r="AE93" i="15" s="1"/>
  <c r="AE94" i="15" s="1"/>
  <c r="AE95" i="15" s="1"/>
  <c r="AE96" i="15" s="1"/>
  <c r="AE97" i="15" s="1"/>
  <c r="AE98" i="15" s="1"/>
  <c r="AE99" i="15" s="1"/>
  <c r="AE100" i="15" s="1"/>
  <c r="AE101" i="15" s="1"/>
  <c r="AE102" i="15" s="1"/>
  <c r="AE103" i="15" s="1"/>
  <c r="AE104" i="15" s="1"/>
  <c r="AE105" i="15" s="1"/>
  <c r="AE106" i="15" s="1"/>
  <c r="AE107" i="15" s="1"/>
  <c r="AE108" i="15" s="1"/>
  <c r="AE109" i="15" s="1"/>
  <c r="AE110" i="15" s="1"/>
  <c r="AE111" i="15" s="1"/>
  <c r="AE112" i="15" s="1"/>
  <c r="AE113" i="15" s="1"/>
  <c r="AE114" i="15" s="1"/>
  <c r="AE115" i="15" s="1"/>
  <c r="AE116" i="15" s="1"/>
  <c r="AE117" i="15" s="1"/>
  <c r="AE118" i="15" s="1"/>
  <c r="AE119" i="15" s="1"/>
  <c r="AE120" i="15" s="1"/>
  <c r="AE121" i="15" s="1"/>
  <c r="AE122" i="15" s="1"/>
  <c r="AE123" i="15" s="1"/>
  <c r="AE124" i="15" s="1"/>
  <c r="AE125" i="15" s="1"/>
  <c r="AE126" i="15" s="1"/>
  <c r="AE127" i="15" s="1"/>
  <c r="AE128" i="15" s="1"/>
  <c r="AE129" i="15" s="1"/>
  <c r="AE130" i="15" s="1"/>
  <c r="AE131" i="15" s="1"/>
  <c r="AE132" i="15" s="1"/>
  <c r="AE133" i="15" s="1"/>
  <c r="AE134" i="15" s="1"/>
  <c r="AE135" i="15" s="1"/>
  <c r="AE136" i="15" s="1"/>
  <c r="AE137" i="15" s="1"/>
  <c r="AE138" i="15" s="1"/>
  <c r="AE139" i="15" s="1"/>
  <c r="AE140" i="15" s="1"/>
  <c r="G9" i="6"/>
  <c r="AM6" i="10"/>
  <c r="O6" i="10"/>
  <c r="BJ71" i="5"/>
  <c r="AP9" i="10"/>
  <c r="R9" i="10"/>
  <c r="BV86" i="5"/>
  <c r="P82" i="6"/>
  <c r="AV10" i="7"/>
  <c r="T11" i="7"/>
  <c r="T12" i="7"/>
  <c r="T13" i="7" s="1"/>
  <c r="T14" i="7" s="1"/>
  <c r="T15" i="7" s="1"/>
  <c r="T16" i="7" s="1"/>
  <c r="T17" i="7" s="1"/>
  <c r="T18" i="7" s="1"/>
  <c r="T19" i="7" s="1"/>
  <c r="T20" i="7" s="1"/>
  <c r="T21" i="7" s="1"/>
  <c r="T22" i="7" s="1"/>
  <c r="T23" i="7" s="1"/>
  <c r="T24" i="7" s="1"/>
  <c r="T25" i="7" s="1"/>
  <c r="T26" i="7" s="1"/>
  <c r="T27" i="7" s="1"/>
  <c r="T28" i="7" s="1"/>
  <c r="T29" i="7" s="1"/>
  <c r="T30" i="7" s="1"/>
  <c r="T31" i="7" s="1"/>
  <c r="T32" i="7" s="1"/>
  <c r="T33" i="7" s="1"/>
  <c r="T34" i="7" s="1"/>
  <c r="T35" i="7" s="1"/>
  <c r="T36" i="7" s="1"/>
  <c r="T37" i="7" s="1"/>
  <c r="T38" i="7" s="1"/>
  <c r="T39" i="7" s="1"/>
  <c r="T40" i="7" s="1"/>
  <c r="T41" i="7" s="1"/>
  <c r="T42" i="7" s="1"/>
  <c r="T43" i="7" s="1"/>
  <c r="T44" i="7" s="1"/>
  <c r="T45" i="7" s="1"/>
  <c r="T46" i="7" s="1"/>
  <c r="T47" i="7" s="1"/>
  <c r="T48" i="7" s="1"/>
  <c r="T49" i="7" s="1"/>
  <c r="T50" i="7" s="1"/>
  <c r="T51" i="7" s="1"/>
  <c r="T52" i="7" s="1"/>
  <c r="T53" i="7" s="1"/>
  <c r="T54" i="7" s="1"/>
  <c r="T55" i="7" s="1"/>
  <c r="T56" i="7" s="1"/>
  <c r="T57" i="7" s="1"/>
  <c r="V12" i="7"/>
  <c r="G20" i="7"/>
  <c r="L20" i="7"/>
  <c r="J83" i="7"/>
  <c r="J76" i="7"/>
  <c r="N27" i="6"/>
  <c r="P27" i="6"/>
  <c r="G27" i="7"/>
  <c r="L27" i="7"/>
  <c r="I83" i="7"/>
  <c r="G86" i="7"/>
  <c r="T11" i="8"/>
  <c r="AR11" i="8"/>
  <c r="Z18" i="8"/>
  <c r="Z19" i="8"/>
  <c r="Z20" i="8" s="1"/>
  <c r="Z21" i="8" s="1"/>
  <c r="Z22" i="8" s="1"/>
  <c r="Z23" i="8" s="1"/>
  <c r="Z24" i="8" s="1"/>
  <c r="Z25" i="8" s="1"/>
  <c r="Z26" i="8" s="1"/>
  <c r="Z27" i="8" s="1"/>
  <c r="Z28" i="8" s="1"/>
  <c r="Z29" i="8" s="1"/>
  <c r="Z30" i="8" s="1"/>
  <c r="Z31" i="8" s="1"/>
  <c r="Z32" i="8" s="1"/>
  <c r="Z33" i="8" s="1"/>
  <c r="Z34" i="8" s="1"/>
  <c r="Z35" i="8" s="1"/>
  <c r="Z36" i="8" s="1"/>
  <c r="Z37" i="8" s="1"/>
  <c r="Z38" i="8" s="1"/>
  <c r="Z39" i="8" s="1"/>
  <c r="Z40" i="8" s="1"/>
  <c r="Z41" i="8" s="1"/>
  <c r="Z42" i="8" s="1"/>
  <c r="Z43" i="8" s="1"/>
  <c r="Z44" i="8" s="1"/>
  <c r="Z45" i="8" s="1"/>
  <c r="Z46" i="8" s="1"/>
  <c r="Z47" i="8" s="1"/>
  <c r="Z48" i="8" s="1"/>
  <c r="Z49" i="8" s="1"/>
  <c r="Z50" i="8" s="1"/>
  <c r="Z51" i="8" s="1"/>
  <c r="Z52" i="8" s="1"/>
  <c r="Z53" i="8" s="1"/>
  <c r="Z54" i="8" s="1"/>
  <c r="Z55" i="8" s="1"/>
  <c r="Z56" i="8" s="1"/>
  <c r="Z57" i="8" s="1"/>
  <c r="Z58" i="8" s="1"/>
  <c r="Z59" i="8" s="1"/>
  <c r="Z60" i="8" s="1"/>
  <c r="Z61" i="8" s="1"/>
  <c r="Z62" i="8" s="1"/>
  <c r="Z63" i="8" s="1"/>
  <c r="Z64" i="8" s="1"/>
  <c r="Z65" i="8" s="1"/>
  <c r="Z66" i="8" s="1"/>
  <c r="Z67" i="8" s="1"/>
  <c r="Z68" i="8" s="1"/>
  <c r="Z69" i="8" s="1"/>
  <c r="Z70" i="8" s="1"/>
  <c r="Z71" i="8" s="1"/>
  <c r="Z72" i="8" s="1"/>
  <c r="Z73" i="8" s="1"/>
  <c r="Z74" i="8" s="1"/>
  <c r="Z75" i="8" s="1"/>
  <c r="Z76" i="8" s="1"/>
  <c r="AO8" i="10"/>
  <c r="Q8" i="10"/>
  <c r="AF23" i="10"/>
  <c r="BV71" i="5"/>
  <c r="AZ19" i="8"/>
  <c r="AB19" i="8"/>
  <c r="AY18" i="10"/>
  <c r="AA18" i="10"/>
  <c r="Y16" i="8"/>
  <c r="B7" i="9"/>
  <c r="B18" i="9"/>
  <c r="B30" i="9" s="1"/>
  <c r="B42" i="9" s="1"/>
  <c r="B54" i="9" s="1"/>
  <c r="B66" i="9" s="1"/>
  <c r="B78" i="9" s="1"/>
  <c r="B90" i="9" s="1"/>
  <c r="B102" i="9" s="1"/>
  <c r="B114" i="9" s="1"/>
  <c r="B126" i="9" s="1"/>
  <c r="B138" i="9" s="1"/>
  <c r="N5" i="10"/>
  <c r="AQ11" i="10"/>
  <c r="AQ12" i="10" s="1"/>
  <c r="AQ13" i="10" s="1"/>
  <c r="AQ14" i="10" s="1"/>
  <c r="AQ15" i="10" s="1"/>
  <c r="AQ16" i="10" s="1"/>
  <c r="AQ17" i="10" s="1"/>
  <c r="AQ18" i="10" s="1"/>
  <c r="AQ19" i="10" s="1"/>
  <c r="AQ20" i="10" s="1"/>
  <c r="AQ21" i="10" s="1"/>
  <c r="Q7" i="15"/>
  <c r="H31" i="15"/>
  <c r="H10" i="15"/>
  <c r="H7" i="15"/>
  <c r="H24" i="15"/>
  <c r="H21" i="15"/>
  <c r="H12" i="15"/>
  <c r="H8" i="15"/>
  <c r="H23" i="15"/>
  <c r="H25" i="15"/>
  <c r="G7" i="6"/>
  <c r="Y7" i="6"/>
  <c r="Z12" i="6"/>
  <c r="G81" i="7"/>
  <c r="E76" i="7"/>
  <c r="AU15" i="8"/>
  <c r="BA20" i="8"/>
  <c r="AC20" i="8"/>
  <c r="J10" i="9"/>
  <c r="J21" i="9"/>
  <c r="AZ19" i="10"/>
  <c r="AB19" i="10"/>
  <c r="Z5" i="6"/>
  <c r="L5" i="7"/>
  <c r="AQ11" i="8"/>
  <c r="AT13" i="10"/>
  <c r="V13" i="10"/>
  <c r="V16" i="9"/>
  <c r="V17" i="9"/>
  <c r="V18" i="9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V41" i="9" s="1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1" i="9" s="1"/>
  <c r="V62" i="9" s="1"/>
  <c r="V63" i="9" s="1"/>
  <c r="V64" i="9" s="1"/>
  <c r="V65" i="9" s="1"/>
  <c r="V66" i="9" s="1"/>
  <c r="V67" i="9" s="1"/>
  <c r="V68" i="9" s="1"/>
  <c r="V69" i="9" s="1"/>
  <c r="V70" i="9" s="1"/>
  <c r="V71" i="9" s="1"/>
  <c r="V72" i="9" s="1"/>
  <c r="V73" i="9" s="1"/>
  <c r="V74" i="9" s="1"/>
  <c r="V75" i="9" s="1"/>
  <c r="V76" i="9" s="1"/>
  <c r="V77" i="9" s="1"/>
  <c r="V78" i="9" s="1"/>
  <c r="V79" i="9" s="1"/>
  <c r="V80" i="9" s="1"/>
  <c r="V81" i="9" s="1"/>
  <c r="V82" i="9" s="1"/>
  <c r="V83" i="9" s="1"/>
  <c r="V84" i="9" s="1"/>
  <c r="V85" i="9" s="1"/>
  <c r="V86" i="9" s="1"/>
  <c r="V87" i="9" s="1"/>
  <c r="V88" i="9" s="1"/>
  <c r="V89" i="9" s="1"/>
  <c r="V90" i="9" s="1"/>
  <c r="V91" i="9" s="1"/>
  <c r="V92" i="9" s="1"/>
  <c r="V93" i="9" s="1"/>
  <c r="V94" i="9" s="1"/>
  <c r="V95" i="9" s="1"/>
  <c r="V96" i="9" s="1"/>
  <c r="V97" i="9" s="1"/>
  <c r="V98" i="9" s="1"/>
  <c r="V99" i="9" s="1"/>
  <c r="V100" i="9" s="1"/>
  <c r="V101" i="9" s="1"/>
  <c r="V102" i="9" s="1"/>
  <c r="V103" i="9" s="1"/>
  <c r="V104" i="9" s="1"/>
  <c r="V105" i="9" s="1"/>
  <c r="V106" i="9" s="1"/>
  <c r="V107" i="9" s="1"/>
  <c r="V108" i="9" s="1"/>
  <c r="V109" i="9" s="1"/>
  <c r="V110" i="9" s="1"/>
  <c r="V111" i="9" s="1"/>
  <c r="V112" i="9" s="1"/>
  <c r="V113" i="9" s="1"/>
  <c r="V114" i="9" s="1"/>
  <c r="V115" i="9" s="1"/>
  <c r="V116" i="9" s="1"/>
  <c r="V117" i="9" s="1"/>
  <c r="V118" i="9" s="1"/>
  <c r="V119" i="9" s="1"/>
  <c r="V120" i="9" s="1"/>
  <c r="V121" i="9" s="1"/>
  <c r="V122" i="9" s="1"/>
  <c r="V123" i="9" s="1"/>
  <c r="V124" i="9" s="1"/>
  <c r="V125" i="9" s="1"/>
  <c r="V126" i="9" s="1"/>
  <c r="V127" i="9" s="1"/>
  <c r="V128" i="9" s="1"/>
  <c r="V129" i="9" s="1"/>
  <c r="V130" i="9" s="1"/>
  <c r="V131" i="9" s="1"/>
  <c r="V132" i="9" s="1"/>
  <c r="H31" i="9"/>
  <c r="H39" i="9"/>
  <c r="J39" i="9" s="1"/>
  <c r="H47" i="9"/>
  <c r="J47" i="9"/>
  <c r="H55" i="9"/>
  <c r="J55" i="9" s="1"/>
  <c r="N8" i="9"/>
  <c r="N9" i="9"/>
  <c r="N10" i="9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N51" i="9" s="1"/>
  <c r="N52" i="9" s="1"/>
  <c r="N53" i="9" s="1"/>
  <c r="N54" i="9" s="1"/>
  <c r="N55" i="9" s="1"/>
  <c r="N56" i="9" s="1"/>
  <c r="N57" i="9" s="1"/>
  <c r="N58" i="9" s="1"/>
  <c r="N59" i="9" s="1"/>
  <c r="N60" i="9" s="1"/>
  <c r="N61" i="9" s="1"/>
  <c r="N62" i="9" s="1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AW16" i="10"/>
  <c r="Y16" i="10"/>
  <c r="O9" i="9"/>
  <c r="O10" i="9"/>
  <c r="O11" i="9" s="1"/>
  <c r="O12" i="9" s="1"/>
  <c r="O13" i="9" s="1"/>
  <c r="O14" i="9" s="1"/>
  <c r="O15" i="9" s="1"/>
  <c r="O16" i="9" s="1"/>
  <c r="O17" i="9" s="1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O32" i="9" s="1"/>
  <c r="O33" i="9" s="1"/>
  <c r="O34" i="9" s="1"/>
  <c r="O35" i="9" s="1"/>
  <c r="O36" i="9" s="1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O55" i="9" s="1"/>
  <c r="O56" i="9" s="1"/>
  <c r="O57" i="9" s="1"/>
  <c r="O58" i="9" s="1"/>
  <c r="O59" i="9" s="1"/>
  <c r="O60" i="9" s="1"/>
  <c r="O61" i="9" s="1"/>
  <c r="O62" i="9" s="1"/>
  <c r="O63" i="9" s="1"/>
  <c r="O64" i="9" s="1"/>
  <c r="O65" i="9" s="1"/>
  <c r="O66" i="9" s="1"/>
  <c r="O67" i="9" s="1"/>
  <c r="O68" i="9" s="1"/>
  <c r="O69" i="9" s="1"/>
  <c r="O70" i="9" s="1"/>
  <c r="O71" i="9" s="1"/>
  <c r="O72" i="9" s="1"/>
  <c r="O73" i="9" s="1"/>
  <c r="O74" i="9" s="1"/>
  <c r="O75" i="9" s="1"/>
  <c r="O76" i="9" s="1"/>
  <c r="O77" i="9" s="1"/>
  <c r="O78" i="9" s="1"/>
  <c r="O79" i="9" s="1"/>
  <c r="O80" i="9" s="1"/>
  <c r="O81" i="9" s="1"/>
  <c r="O82" i="9" s="1"/>
  <c r="O83" i="9" s="1"/>
  <c r="O84" i="9" s="1"/>
  <c r="O85" i="9" s="1"/>
  <c r="O86" i="9" s="1"/>
  <c r="O87" i="9" s="1"/>
  <c r="O88" i="9" s="1"/>
  <c r="O89" i="9" s="1"/>
  <c r="O90" i="9" s="1"/>
  <c r="O91" i="9" s="1"/>
  <c r="O92" i="9" s="1"/>
  <c r="O93" i="9" s="1"/>
  <c r="O94" i="9" s="1"/>
  <c r="O95" i="9" s="1"/>
  <c r="O96" i="9" s="1"/>
  <c r="O97" i="9" s="1"/>
  <c r="O98" i="9" s="1"/>
  <c r="O99" i="9" s="1"/>
  <c r="O100" i="9" s="1"/>
  <c r="O101" i="9" s="1"/>
  <c r="O102" i="9" s="1"/>
  <c r="O103" i="9" s="1"/>
  <c r="O104" i="9" s="1"/>
  <c r="O105" i="9" s="1"/>
  <c r="O106" i="9" s="1"/>
  <c r="O107" i="9" s="1"/>
  <c r="O108" i="9" s="1"/>
  <c r="O109" i="9" s="1"/>
  <c r="O110" i="9" s="1"/>
  <c r="O111" i="9" s="1"/>
  <c r="O112" i="9" s="1"/>
  <c r="O113" i="9" s="1"/>
  <c r="O114" i="9" s="1"/>
  <c r="O115" i="9" s="1"/>
  <c r="O116" i="9" s="1"/>
  <c r="O117" i="9" s="1"/>
  <c r="O118" i="9" s="1"/>
  <c r="O119" i="9" s="1"/>
  <c r="O120" i="9" s="1"/>
  <c r="O121" i="9" s="1"/>
  <c r="O122" i="9" s="1"/>
  <c r="O123" i="9" s="1"/>
  <c r="O124" i="9" s="1"/>
  <c r="O125" i="9" s="1"/>
  <c r="O126" i="9" s="1"/>
  <c r="O127" i="9" s="1"/>
  <c r="H53" i="9"/>
  <c r="J53" i="9" s="1"/>
  <c r="E8" i="11"/>
  <c r="Z18" i="16"/>
  <c r="Z19" i="16"/>
  <c r="Z20" i="16" s="1"/>
  <c r="Z21" i="16" s="1"/>
  <c r="Z22" i="16" s="1"/>
  <c r="Z23" i="16" s="1"/>
  <c r="Z24" i="16" s="1"/>
  <c r="Z25" i="16" s="1"/>
  <c r="Z26" i="16" s="1"/>
  <c r="Z27" i="16" s="1"/>
  <c r="Z28" i="16" s="1"/>
  <c r="Z29" i="16" s="1"/>
  <c r="Z30" i="16" s="1"/>
  <c r="Z31" i="16" s="1"/>
  <c r="Z32" i="16" s="1"/>
  <c r="Z33" i="16" s="1"/>
  <c r="Z34" i="16" s="1"/>
  <c r="Z35" i="16" s="1"/>
  <c r="Z36" i="16" s="1"/>
  <c r="Z37" i="16" s="1"/>
  <c r="Z38" i="16" s="1"/>
  <c r="Z39" i="16" s="1"/>
  <c r="Z40" i="16" s="1"/>
  <c r="Z41" i="16" s="1"/>
  <c r="Z42" i="16" s="1"/>
  <c r="Z43" i="16" s="1"/>
  <c r="Z44" i="16" s="1"/>
  <c r="Z45" i="16" s="1"/>
  <c r="Z46" i="16" s="1"/>
  <c r="Z47" i="16" s="1"/>
  <c r="Z48" i="16" s="1"/>
  <c r="Z49" i="16" s="1"/>
  <c r="Z50" i="16" s="1"/>
  <c r="Z51" i="16" s="1"/>
  <c r="Z52" i="16" s="1"/>
  <c r="Z53" i="16" s="1"/>
  <c r="Z54" i="16" s="1"/>
  <c r="Z55" i="16" s="1"/>
  <c r="Z56" i="16" s="1"/>
  <c r="Z57" i="16" s="1"/>
  <c r="Z58" i="16" s="1"/>
  <c r="Z59" i="16" s="1"/>
  <c r="Z60" i="16" s="1"/>
  <c r="Z61" i="16" s="1"/>
  <c r="Z62" i="16" s="1"/>
  <c r="Z63" i="16" s="1"/>
  <c r="Z64" i="16" s="1"/>
  <c r="Z65" i="16" s="1"/>
  <c r="Z66" i="16" s="1"/>
  <c r="Z67" i="16" s="1"/>
  <c r="Z68" i="16" s="1"/>
  <c r="Z69" i="16" s="1"/>
  <c r="Z70" i="16" s="1"/>
  <c r="Z71" i="16" s="1"/>
  <c r="Z72" i="16" s="1"/>
  <c r="Z73" i="16" s="1"/>
  <c r="Z74" i="16" s="1"/>
  <c r="Z75" i="16" s="1"/>
  <c r="Z76" i="16" s="1"/>
  <c r="K14" i="14"/>
  <c r="AF23" i="15"/>
  <c r="AF24" i="15"/>
  <c r="AF25" i="15" s="1"/>
  <c r="AF26" i="15" s="1"/>
  <c r="AF27" i="15" s="1"/>
  <c r="AF28" i="15" s="1"/>
  <c r="AF29" i="15" s="1"/>
  <c r="AF30" i="15" s="1"/>
  <c r="AF31" i="15" s="1"/>
  <c r="AF32" i="15" s="1"/>
  <c r="AF33" i="15" s="1"/>
  <c r="AF34" i="15" s="1"/>
  <c r="AF35" i="15" s="1"/>
  <c r="AF36" i="15" s="1"/>
  <c r="AF37" i="15" s="1"/>
  <c r="AF38" i="15" s="1"/>
  <c r="AF39" i="15" s="1"/>
  <c r="AF40" i="15" s="1"/>
  <c r="AF41" i="15" s="1"/>
  <c r="AF42" i="15" s="1"/>
  <c r="AF43" i="15" s="1"/>
  <c r="AF44" i="15" s="1"/>
  <c r="AF45" i="15" s="1"/>
  <c r="AF46" i="15" s="1"/>
  <c r="AF47" i="15" s="1"/>
  <c r="AF48" i="15" s="1"/>
  <c r="AF49" i="15" s="1"/>
  <c r="AF50" i="15" s="1"/>
  <c r="AF51" i="15" s="1"/>
  <c r="AF52" i="15" s="1"/>
  <c r="AF53" i="15" s="1"/>
  <c r="AF54" i="15" s="1"/>
  <c r="AF55" i="15" s="1"/>
  <c r="AF56" i="15" s="1"/>
  <c r="AF57" i="15" s="1"/>
  <c r="AF58" i="15" s="1"/>
  <c r="AF59" i="15" s="1"/>
  <c r="AF60" i="15" s="1"/>
  <c r="AF61" i="15" s="1"/>
  <c r="AF62" i="15" s="1"/>
  <c r="AF63" i="15" s="1"/>
  <c r="AF64" i="15" s="1"/>
  <c r="AF65" i="15" s="1"/>
  <c r="AF66" i="15" s="1"/>
  <c r="AF67" i="15" s="1"/>
  <c r="AF68" i="15" s="1"/>
  <c r="AF69" i="15" s="1"/>
  <c r="AF70" i="15" s="1"/>
  <c r="AF71" i="15" s="1"/>
  <c r="AF72" i="15" s="1"/>
  <c r="AF73" i="15" s="1"/>
  <c r="AF74" i="15" s="1"/>
  <c r="AF75" i="15" s="1"/>
  <c r="AF76" i="15" s="1"/>
  <c r="AF77" i="15" s="1"/>
  <c r="AF78" i="15" s="1"/>
  <c r="AF79" i="15" s="1"/>
  <c r="AF80" i="15" s="1"/>
  <c r="AF81" i="15" s="1"/>
  <c r="AF82" i="15" s="1"/>
  <c r="AF83" i="15" s="1"/>
  <c r="AF84" i="15" s="1"/>
  <c r="AF85" i="15" s="1"/>
  <c r="AF86" i="15" s="1"/>
  <c r="AF87" i="15" s="1"/>
  <c r="AF88" i="15" s="1"/>
  <c r="AF89" i="15" s="1"/>
  <c r="AF90" i="15" s="1"/>
  <c r="AF91" i="15" s="1"/>
  <c r="AF92" i="15" s="1"/>
  <c r="AF93" i="15" s="1"/>
  <c r="AF94" i="15" s="1"/>
  <c r="AF95" i="15" s="1"/>
  <c r="AF96" i="15" s="1"/>
  <c r="AF97" i="15" s="1"/>
  <c r="AF98" i="15" s="1"/>
  <c r="AF99" i="15" s="1"/>
  <c r="AF100" i="15" s="1"/>
  <c r="AF101" i="15" s="1"/>
  <c r="AF102" i="15" s="1"/>
  <c r="AF103" i="15" s="1"/>
  <c r="AF104" i="15" s="1"/>
  <c r="AF105" i="15" s="1"/>
  <c r="AF106" i="15" s="1"/>
  <c r="AF107" i="15" s="1"/>
  <c r="AF108" i="15" s="1"/>
  <c r="AF109" i="15" s="1"/>
  <c r="AF110" i="15" s="1"/>
  <c r="AF111" i="15" s="1"/>
  <c r="AF112" i="15" s="1"/>
  <c r="AF113" i="15" s="1"/>
  <c r="AF114" i="15" s="1"/>
  <c r="AF115" i="15" s="1"/>
  <c r="AF116" i="15" s="1"/>
  <c r="AF117" i="15" s="1"/>
  <c r="AF118" i="15" s="1"/>
  <c r="AF119" i="15" s="1"/>
  <c r="AF120" i="15" s="1"/>
  <c r="AF121" i="15" s="1"/>
  <c r="AF122" i="15" s="1"/>
  <c r="AF123" i="15" s="1"/>
  <c r="AF124" i="15" s="1"/>
  <c r="AF125" i="15" s="1"/>
  <c r="AF126" i="15" s="1"/>
  <c r="AF127" i="15" s="1"/>
  <c r="AF128" i="15" s="1"/>
  <c r="AF129" i="15" s="1"/>
  <c r="AF130" i="15" s="1"/>
  <c r="AF131" i="15" s="1"/>
  <c r="AF132" i="15" s="1"/>
  <c r="AF133" i="15" s="1"/>
  <c r="AF134" i="15" s="1"/>
  <c r="AF135" i="15" s="1"/>
  <c r="AF136" i="15" s="1"/>
  <c r="AF137" i="15" s="1"/>
  <c r="AF138" i="15" s="1"/>
  <c r="AF139" i="15" s="1"/>
  <c r="AF140" i="15" s="1"/>
  <c r="AF141" i="15" s="1"/>
  <c r="AL29" i="15"/>
  <c r="AL30" i="15"/>
  <c r="AL31" i="15"/>
  <c r="AL32" i="15" s="1"/>
  <c r="AL33" i="15" s="1"/>
  <c r="AL34" i="15" s="1"/>
  <c r="AL35" i="15" s="1"/>
  <c r="AL36" i="15" s="1"/>
  <c r="AL37" i="15" s="1"/>
  <c r="AL38" i="15" s="1"/>
  <c r="AL39" i="15" s="1"/>
  <c r="AL40" i="15" s="1"/>
  <c r="AL41" i="15" s="1"/>
  <c r="AL42" i="15" s="1"/>
  <c r="AL43" i="15" s="1"/>
  <c r="AL44" i="15" s="1"/>
  <c r="AL45" i="15" s="1"/>
  <c r="AL46" i="15" s="1"/>
  <c r="AL47" i="15" s="1"/>
  <c r="AL48" i="15" s="1"/>
  <c r="AL49" i="15" s="1"/>
  <c r="AL50" i="15" s="1"/>
  <c r="AL51" i="15" s="1"/>
  <c r="AL52" i="15" s="1"/>
  <c r="AL53" i="15" s="1"/>
  <c r="AL54" i="15" s="1"/>
  <c r="AL55" i="15" s="1"/>
  <c r="AL56" i="15" s="1"/>
  <c r="AL57" i="15" s="1"/>
  <c r="AL58" i="15" s="1"/>
  <c r="AL59" i="15" s="1"/>
  <c r="AL60" i="15" s="1"/>
  <c r="AL61" i="15" s="1"/>
  <c r="AL62" i="15" s="1"/>
  <c r="AL63" i="15" s="1"/>
  <c r="AL64" i="15" s="1"/>
  <c r="AL65" i="15" s="1"/>
  <c r="AL66" i="15" s="1"/>
  <c r="AL67" i="15" s="1"/>
  <c r="AL68" i="15" s="1"/>
  <c r="AL69" i="15" s="1"/>
  <c r="AL70" i="15" s="1"/>
  <c r="AL71" i="15" s="1"/>
  <c r="AL72" i="15" s="1"/>
  <c r="AL73" i="15" s="1"/>
  <c r="AL74" i="15" s="1"/>
  <c r="AL75" i="15" s="1"/>
  <c r="AL76" i="15" s="1"/>
  <c r="AL77" i="15" s="1"/>
  <c r="AL78" i="15" s="1"/>
  <c r="AL79" i="15" s="1"/>
  <c r="AL80" i="15" s="1"/>
  <c r="AL81" i="15" s="1"/>
  <c r="AL82" i="15" s="1"/>
  <c r="AL83" i="15" s="1"/>
  <c r="AL84" i="15" s="1"/>
  <c r="AL85" i="15" s="1"/>
  <c r="AL86" i="15" s="1"/>
  <c r="AL87" i="15" s="1"/>
  <c r="AL88" i="15" s="1"/>
  <c r="AL89" i="15" s="1"/>
  <c r="AL90" i="15" s="1"/>
  <c r="AL91" i="15" s="1"/>
  <c r="AL92" i="15" s="1"/>
  <c r="AL93" i="15" s="1"/>
  <c r="AL94" i="15" s="1"/>
  <c r="AL95" i="15" s="1"/>
  <c r="AL96" i="15" s="1"/>
  <c r="AL97" i="15" s="1"/>
  <c r="AL98" i="15" s="1"/>
  <c r="AL99" i="15" s="1"/>
  <c r="AL100" i="15" s="1"/>
  <c r="AL101" i="15" s="1"/>
  <c r="AL102" i="15" s="1"/>
  <c r="AL103" i="15" s="1"/>
  <c r="AL104" i="15" s="1"/>
  <c r="AL105" i="15" s="1"/>
  <c r="AL106" i="15" s="1"/>
  <c r="AL107" i="15" s="1"/>
  <c r="AL108" i="15" s="1"/>
  <c r="AL109" i="15" s="1"/>
  <c r="AL110" i="15" s="1"/>
  <c r="AL111" i="15" s="1"/>
  <c r="AL112" i="15" s="1"/>
  <c r="AL113" i="15" s="1"/>
  <c r="AL114" i="15" s="1"/>
  <c r="AL115" i="15" s="1"/>
  <c r="AL116" i="15" s="1"/>
  <c r="AL117" i="15" s="1"/>
  <c r="AL118" i="15" s="1"/>
  <c r="AL119" i="15" s="1"/>
  <c r="AL120" i="15" s="1"/>
  <c r="AL121" i="15" s="1"/>
  <c r="AL122" i="15" s="1"/>
  <c r="AL123" i="15" s="1"/>
  <c r="AL124" i="15" s="1"/>
  <c r="AL125" i="15" s="1"/>
  <c r="AL126" i="15" s="1"/>
  <c r="AL127" i="15" s="1"/>
  <c r="AL128" i="15" s="1"/>
  <c r="AL129" i="15" s="1"/>
  <c r="AL130" i="15" s="1"/>
  <c r="AL131" i="15" s="1"/>
  <c r="AL132" i="15" s="1"/>
  <c r="AL133" i="15" s="1"/>
  <c r="AL134" i="15" s="1"/>
  <c r="AL135" i="15" s="1"/>
  <c r="AL136" i="15" s="1"/>
  <c r="AL137" i="15" s="1"/>
  <c r="AL138" i="15" s="1"/>
  <c r="AL139" i="15" s="1"/>
  <c r="AL140" i="15" s="1"/>
  <c r="AL141" i="15" s="1"/>
  <c r="AL142" i="15" s="1"/>
  <c r="AL143" i="15" s="1"/>
  <c r="AL144" i="15" s="1"/>
  <c r="AL145" i="15" s="1"/>
  <c r="AL146" i="15" s="1"/>
  <c r="AL147" i="15" s="1"/>
  <c r="K17" i="14"/>
  <c r="B25" i="15"/>
  <c r="B37" i="15" s="1"/>
  <c r="B49" i="15" s="1"/>
  <c r="B61" i="15" s="1"/>
  <c r="B73" i="15" s="1"/>
  <c r="B85" i="15" s="1"/>
  <c r="B97" i="15" s="1"/>
  <c r="B109" i="15" s="1"/>
  <c r="B121" i="15" s="1"/>
  <c r="B133" i="15" s="1"/>
  <c r="B145" i="15" s="1"/>
  <c r="B157" i="15" s="1"/>
  <c r="K10" i="14"/>
  <c r="K13" i="14"/>
  <c r="G38" i="14"/>
  <c r="K38" i="14" s="1"/>
  <c r="AA18" i="15"/>
  <c r="AA19" i="15" s="1"/>
  <c r="AA20" i="15"/>
  <c r="AA21" i="15" s="1"/>
  <c r="AA22" i="15" s="1"/>
  <c r="AA23" i="15" s="1"/>
  <c r="AA24" i="15" s="1"/>
  <c r="AA25" i="15" s="1"/>
  <c r="AA26" i="15" s="1"/>
  <c r="AA27" i="15" s="1"/>
  <c r="AA28" i="15" s="1"/>
  <c r="AA29" i="15" s="1"/>
  <c r="AA30" i="15" s="1"/>
  <c r="AA31" i="15" s="1"/>
  <c r="AA32" i="15" s="1"/>
  <c r="AA33" i="15" s="1"/>
  <c r="AA34" i="15" s="1"/>
  <c r="AA35" i="15" s="1"/>
  <c r="AA36" i="15" s="1"/>
  <c r="AA37" i="15" s="1"/>
  <c r="AA38" i="15" s="1"/>
  <c r="AA39" i="15" s="1"/>
  <c r="AA40" i="15" s="1"/>
  <c r="AA41" i="15" s="1"/>
  <c r="AA42" i="15" s="1"/>
  <c r="AA43" i="15" s="1"/>
  <c r="AA44" i="15" s="1"/>
  <c r="AA45" i="15" s="1"/>
  <c r="AA46" i="15" s="1"/>
  <c r="AA47" i="15" s="1"/>
  <c r="AA48" i="15" s="1"/>
  <c r="AA49" i="15" s="1"/>
  <c r="AA50" i="15" s="1"/>
  <c r="AA51" i="15" s="1"/>
  <c r="AA52" i="15" s="1"/>
  <c r="AA53" i="15" s="1"/>
  <c r="AA54" i="15" s="1"/>
  <c r="AA55" i="15" s="1"/>
  <c r="AA56" i="15" s="1"/>
  <c r="AA57" i="15" s="1"/>
  <c r="AA58" i="15" s="1"/>
  <c r="AA59" i="15" s="1"/>
  <c r="AA60" i="15" s="1"/>
  <c r="AA61" i="15" s="1"/>
  <c r="AA62" i="15" s="1"/>
  <c r="AA63" i="15" s="1"/>
  <c r="AA64" i="15" s="1"/>
  <c r="AA65" i="15" s="1"/>
  <c r="AA66" i="15" s="1"/>
  <c r="AA67" i="15" s="1"/>
  <c r="AA68" i="15" s="1"/>
  <c r="AA69" i="15" s="1"/>
  <c r="AA70" i="15" s="1"/>
  <c r="AA71" i="15" s="1"/>
  <c r="AA72" i="15" s="1"/>
  <c r="AA73" i="15" s="1"/>
  <c r="AA74" i="15" s="1"/>
  <c r="AA75" i="15" s="1"/>
  <c r="AA76" i="15" s="1"/>
  <c r="AA77" i="15" s="1"/>
  <c r="AA78" i="15" s="1"/>
  <c r="AA79" i="15" s="1"/>
  <c r="AA80" i="15" s="1"/>
  <c r="AA81" i="15" s="1"/>
  <c r="AA82" i="15" s="1"/>
  <c r="AA83" i="15" s="1"/>
  <c r="AA84" i="15" s="1"/>
  <c r="AA85" i="15" s="1"/>
  <c r="AA86" i="15" s="1"/>
  <c r="AA87" i="15" s="1"/>
  <c r="AA88" i="15" s="1"/>
  <c r="AA89" i="15" s="1"/>
  <c r="AA90" i="15" s="1"/>
  <c r="AA91" i="15" s="1"/>
  <c r="AA92" i="15" s="1"/>
  <c r="AA93" i="15" s="1"/>
  <c r="AA94" i="15" s="1"/>
  <c r="AA95" i="15" s="1"/>
  <c r="AA96" i="15" s="1"/>
  <c r="AA97" i="15" s="1"/>
  <c r="AA98" i="15" s="1"/>
  <c r="AA99" i="15" s="1"/>
  <c r="AA100" i="15" s="1"/>
  <c r="AA101" i="15" s="1"/>
  <c r="AA102" i="15" s="1"/>
  <c r="AA103" i="15" s="1"/>
  <c r="AA104" i="15" s="1"/>
  <c r="AA105" i="15" s="1"/>
  <c r="AA106" i="15" s="1"/>
  <c r="AA107" i="15" s="1"/>
  <c r="AA108" i="15" s="1"/>
  <c r="AA109" i="15" s="1"/>
  <c r="AA110" i="15" s="1"/>
  <c r="AA111" i="15" s="1"/>
  <c r="AA112" i="15" s="1"/>
  <c r="AA113" i="15" s="1"/>
  <c r="AA114" i="15" s="1"/>
  <c r="AA115" i="15" s="1"/>
  <c r="AA116" i="15" s="1"/>
  <c r="AA117" i="15" s="1"/>
  <c r="AA118" i="15" s="1"/>
  <c r="AA119" i="15" s="1"/>
  <c r="AA120" i="15" s="1"/>
  <c r="AA121" i="15" s="1"/>
  <c r="AA122" i="15" s="1"/>
  <c r="AA123" i="15" s="1"/>
  <c r="AA124" i="15" s="1"/>
  <c r="AA125" i="15" s="1"/>
  <c r="AA126" i="15" s="1"/>
  <c r="AA127" i="15" s="1"/>
  <c r="AA128" i="15" s="1"/>
  <c r="AA129" i="15" s="1"/>
  <c r="AA130" i="15" s="1"/>
  <c r="AA131" i="15" s="1"/>
  <c r="AA132" i="15" s="1"/>
  <c r="AA133" i="15" s="1"/>
  <c r="AA134" i="15" s="1"/>
  <c r="AA135" i="15" s="1"/>
  <c r="AA136" i="15" s="1"/>
  <c r="AK29" i="16"/>
  <c r="AK30" i="16" s="1"/>
  <c r="AK31" i="16" s="1"/>
  <c r="AK32" i="16" s="1"/>
  <c r="AK33" i="16" s="1"/>
  <c r="AK34" i="16" s="1"/>
  <c r="AK35" i="16" s="1"/>
  <c r="AK36" i="16" s="1"/>
  <c r="AK37" i="16" s="1"/>
  <c r="AK38" i="16" s="1"/>
  <c r="AK39" i="16" s="1"/>
  <c r="AK40" i="16" s="1"/>
  <c r="AK41" i="16" s="1"/>
  <c r="AK42" i="16" s="1"/>
  <c r="AK43" i="16" s="1"/>
  <c r="AK44" i="16" s="1"/>
  <c r="AK45" i="16" s="1"/>
  <c r="AK46" i="16" s="1"/>
  <c r="AK47" i="16" s="1"/>
  <c r="AK48" i="16" s="1"/>
  <c r="AK49" i="16" s="1"/>
  <c r="AK50" i="16" s="1"/>
  <c r="AK51" i="16" s="1"/>
  <c r="AK52" i="16" s="1"/>
  <c r="AK53" i="16" s="1"/>
  <c r="AK54" i="16" s="1"/>
  <c r="AK55" i="16" s="1"/>
  <c r="AK56" i="16" s="1"/>
  <c r="AK57" i="16" s="1"/>
  <c r="AK58" i="16" s="1"/>
  <c r="AK59" i="16" s="1"/>
  <c r="AK60" i="16" s="1"/>
  <c r="AK61" i="16" s="1"/>
  <c r="AK62" i="16" s="1"/>
  <c r="AK63" i="16" s="1"/>
  <c r="AK64" i="16" s="1"/>
  <c r="AK65" i="16" s="1"/>
  <c r="AK66" i="16" s="1"/>
  <c r="AK67" i="16" s="1"/>
  <c r="AK68" i="16" s="1"/>
  <c r="AK69" i="16" s="1"/>
  <c r="AK70" i="16" s="1"/>
  <c r="AK71" i="16" s="1"/>
  <c r="AK72" i="16" s="1"/>
  <c r="AK73" i="16" s="1"/>
  <c r="AK74" i="16" s="1"/>
  <c r="AK75" i="16" s="1"/>
  <c r="AK76" i="16" s="1"/>
  <c r="AK77" i="16" s="1"/>
  <c r="AK78" i="16" s="1"/>
  <c r="AK79" i="16" s="1"/>
  <c r="AK80" i="16" s="1"/>
  <c r="AK81" i="16" s="1"/>
  <c r="AK82" i="16" s="1"/>
  <c r="AK83" i="16" s="1"/>
  <c r="AK84" i="16" s="1"/>
  <c r="AK85" i="16" s="1"/>
  <c r="AK86" i="16" s="1"/>
  <c r="AK87" i="16" s="1"/>
  <c r="Z17" i="15"/>
  <c r="Z18" i="15" s="1"/>
  <c r="Z19" i="15" s="1"/>
  <c r="Z20" i="15" s="1"/>
  <c r="Z21" i="15"/>
  <c r="Z22" i="15" s="1"/>
  <c r="Z23" i="15" s="1"/>
  <c r="Z24" i="15" s="1"/>
  <c r="Z25" i="15" s="1"/>
  <c r="Z26" i="15" s="1"/>
  <c r="Z27" i="15" s="1"/>
  <c r="Z28" i="15" s="1"/>
  <c r="Z29" i="15" s="1"/>
  <c r="Z30" i="15" s="1"/>
  <c r="Z31" i="15" s="1"/>
  <c r="Z32" i="15" s="1"/>
  <c r="Z33" i="15" s="1"/>
  <c r="Z34" i="15" s="1"/>
  <c r="Z35" i="15" s="1"/>
  <c r="Z36" i="15" s="1"/>
  <c r="Z37" i="15" s="1"/>
  <c r="Z38" i="15" s="1"/>
  <c r="Z39" i="15" s="1"/>
  <c r="Z40" i="15" s="1"/>
  <c r="Z41" i="15" s="1"/>
  <c r="Z42" i="15" s="1"/>
  <c r="Z43" i="15" s="1"/>
  <c r="Z44" i="15" s="1"/>
  <c r="Z45" i="15" s="1"/>
  <c r="Z46" i="15" s="1"/>
  <c r="Z47" i="15" s="1"/>
  <c r="Z48" i="15" s="1"/>
  <c r="Z49" i="15" s="1"/>
  <c r="Z50" i="15" s="1"/>
  <c r="Z51" i="15" s="1"/>
  <c r="Z52" i="15" s="1"/>
  <c r="Z53" i="15" s="1"/>
  <c r="Z54" i="15" s="1"/>
  <c r="Z55" i="15" s="1"/>
  <c r="Z56" i="15" s="1"/>
  <c r="Z57" i="15" s="1"/>
  <c r="Z58" i="15" s="1"/>
  <c r="Z59" i="15" s="1"/>
  <c r="Z60" i="15" s="1"/>
  <c r="Z61" i="15" s="1"/>
  <c r="Z62" i="15" s="1"/>
  <c r="Z63" i="15" s="1"/>
  <c r="Z64" i="15" s="1"/>
  <c r="Z65" i="15" s="1"/>
  <c r="Z66" i="15" s="1"/>
  <c r="Z67" i="15" s="1"/>
  <c r="Z68" i="15" s="1"/>
  <c r="Z69" i="15" s="1"/>
  <c r="Z70" i="15" s="1"/>
  <c r="Z71" i="15" s="1"/>
  <c r="Z72" i="15" s="1"/>
  <c r="Z73" i="15" s="1"/>
  <c r="Z74" i="15" s="1"/>
  <c r="Z75" i="15" s="1"/>
  <c r="Z76" i="15" s="1"/>
  <c r="Z77" i="15" s="1"/>
  <c r="Z78" i="15" s="1"/>
  <c r="Z79" i="15" s="1"/>
  <c r="Z80" i="15" s="1"/>
  <c r="Z81" i="15" s="1"/>
  <c r="Z82" i="15" s="1"/>
  <c r="Z83" i="15" s="1"/>
  <c r="Z84" i="15" s="1"/>
  <c r="Z85" i="15" s="1"/>
  <c r="Z86" i="15" s="1"/>
  <c r="Z87" i="15" s="1"/>
  <c r="Z88" i="15" s="1"/>
  <c r="Z89" i="15" s="1"/>
  <c r="Z90" i="15" s="1"/>
  <c r="Z91" i="15" s="1"/>
  <c r="Z92" i="15" s="1"/>
  <c r="Z93" i="15" s="1"/>
  <c r="Z94" i="15" s="1"/>
  <c r="Z95" i="15" s="1"/>
  <c r="Z96" i="15" s="1"/>
  <c r="Z97" i="15" s="1"/>
  <c r="Z98" i="15" s="1"/>
  <c r="Z99" i="15" s="1"/>
  <c r="Z100" i="15" s="1"/>
  <c r="Z101" i="15" s="1"/>
  <c r="Z102" i="15" s="1"/>
  <c r="Z103" i="15" s="1"/>
  <c r="Z104" i="15" s="1"/>
  <c r="Z105" i="15" s="1"/>
  <c r="Z106" i="15" s="1"/>
  <c r="Z107" i="15" s="1"/>
  <c r="Z108" i="15" s="1"/>
  <c r="Z109" i="15" s="1"/>
  <c r="Z110" i="15" s="1"/>
  <c r="Z111" i="15" s="1"/>
  <c r="Z112" i="15" s="1"/>
  <c r="Z113" i="15" s="1"/>
  <c r="Z114" i="15" s="1"/>
  <c r="Z115" i="15" s="1"/>
  <c r="Z116" i="15" s="1"/>
  <c r="Z117" i="15" s="1"/>
  <c r="Z118" i="15" s="1"/>
  <c r="Z119" i="15" s="1"/>
  <c r="Z120" i="15" s="1"/>
  <c r="Z121" i="15" s="1"/>
  <c r="Z122" i="15" s="1"/>
  <c r="Z123" i="15" s="1"/>
  <c r="Z124" i="15" s="1"/>
  <c r="Z125" i="15" s="1"/>
  <c r="Z126" i="15" s="1"/>
  <c r="Z127" i="15" s="1"/>
  <c r="Z128" i="15" s="1"/>
  <c r="Z129" i="15" s="1"/>
  <c r="Z130" i="15" s="1"/>
  <c r="Z131" i="15" s="1"/>
  <c r="Z132" i="15" s="1"/>
  <c r="Z133" i="15" s="1"/>
  <c r="Z134" i="15" s="1"/>
  <c r="J34" i="13"/>
  <c r="K6" i="14"/>
  <c r="K20" i="14"/>
  <c r="U12" i="15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U28" i="15" s="1"/>
  <c r="U29" i="15" s="1"/>
  <c r="U30" i="15" s="1"/>
  <c r="U31" i="15" s="1"/>
  <c r="U32" i="15" s="1"/>
  <c r="U33" i="15" s="1"/>
  <c r="U34" i="15" s="1"/>
  <c r="U35" i="15" s="1"/>
  <c r="U36" i="15" s="1"/>
  <c r="U37" i="15" s="1"/>
  <c r="U38" i="15" s="1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U57" i="15" s="1"/>
  <c r="U58" i="15" s="1"/>
  <c r="U59" i="15" s="1"/>
  <c r="U60" i="15" s="1"/>
  <c r="U61" i="15" s="1"/>
  <c r="U62" i="15" s="1"/>
  <c r="U63" i="15" s="1"/>
  <c r="U64" i="15" s="1"/>
  <c r="U65" i="15" s="1"/>
  <c r="U66" i="15" s="1"/>
  <c r="U67" i="15" s="1"/>
  <c r="U68" i="15" s="1"/>
  <c r="U69" i="15" s="1"/>
  <c r="U70" i="15" s="1"/>
  <c r="U71" i="15" s="1"/>
  <c r="U72" i="15" s="1"/>
  <c r="U73" i="15" s="1"/>
  <c r="U74" i="15" s="1"/>
  <c r="U75" i="15" s="1"/>
  <c r="U76" i="15" s="1"/>
  <c r="U77" i="15" s="1"/>
  <c r="U78" i="15" s="1"/>
  <c r="U79" i="15" s="1"/>
  <c r="U80" i="15" s="1"/>
  <c r="U81" i="15" s="1"/>
  <c r="U82" i="15" s="1"/>
  <c r="U83" i="15" s="1"/>
  <c r="U84" i="15" s="1"/>
  <c r="U85" i="15" s="1"/>
  <c r="U86" i="15" s="1"/>
  <c r="U87" i="15" s="1"/>
  <c r="U88" i="15" s="1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103" i="15" s="1"/>
  <c r="U104" i="15" s="1"/>
  <c r="U105" i="15" s="1"/>
  <c r="U106" i="15" s="1"/>
  <c r="U107" i="15" s="1"/>
  <c r="U108" i="15" s="1"/>
  <c r="U109" i="15" s="1"/>
  <c r="U110" i="15" s="1"/>
  <c r="U111" i="15" s="1"/>
  <c r="U112" i="15" s="1"/>
  <c r="U113" i="15" s="1"/>
  <c r="U114" i="15" s="1"/>
  <c r="U115" i="15" s="1"/>
  <c r="U116" i="15" s="1"/>
  <c r="U117" i="15" s="1"/>
  <c r="U118" i="15" s="1"/>
  <c r="U119" i="15" s="1"/>
  <c r="U120" i="15" s="1"/>
  <c r="U121" i="15" s="1"/>
  <c r="U122" i="15" s="1"/>
  <c r="U123" i="15" s="1"/>
  <c r="U124" i="15" s="1"/>
  <c r="U125" i="15" s="1"/>
  <c r="U126" i="15" s="1"/>
  <c r="U127" i="15" s="1"/>
  <c r="U128" i="15" s="1"/>
  <c r="AI26" i="15"/>
  <c r="AI27" i="15"/>
  <c r="AI28" i="15" s="1"/>
  <c r="AI29" i="15" s="1"/>
  <c r="AI30" i="15" s="1"/>
  <c r="AI31" i="15" s="1"/>
  <c r="AI32" i="15" s="1"/>
  <c r="AI33" i="15" s="1"/>
  <c r="AI34" i="15" s="1"/>
  <c r="AI35" i="15" s="1"/>
  <c r="AI36" i="15" s="1"/>
  <c r="AI37" i="15" s="1"/>
  <c r="AI38" i="15" s="1"/>
  <c r="AI39" i="15" s="1"/>
  <c r="AI40" i="15" s="1"/>
  <c r="AI41" i="15" s="1"/>
  <c r="AI42" i="15" s="1"/>
  <c r="AI43" i="15" s="1"/>
  <c r="AI44" i="15" s="1"/>
  <c r="AI45" i="15" s="1"/>
  <c r="AI46" i="15" s="1"/>
  <c r="AI47" i="15" s="1"/>
  <c r="AI48" i="15" s="1"/>
  <c r="AI49" i="15" s="1"/>
  <c r="AI50" i="15" s="1"/>
  <c r="AI51" i="15" s="1"/>
  <c r="AI52" i="15" s="1"/>
  <c r="AI53" i="15" s="1"/>
  <c r="AI54" i="15" s="1"/>
  <c r="AI55" i="15" s="1"/>
  <c r="AI56" i="15" s="1"/>
  <c r="AI57" i="15" s="1"/>
  <c r="AI58" i="15" s="1"/>
  <c r="AI59" i="15" s="1"/>
  <c r="AI60" i="15" s="1"/>
  <c r="AI61" i="15" s="1"/>
  <c r="AI62" i="15" s="1"/>
  <c r="AI63" i="15" s="1"/>
  <c r="AI64" i="15" s="1"/>
  <c r="AI65" i="15" s="1"/>
  <c r="AI66" i="15" s="1"/>
  <c r="AI67" i="15" s="1"/>
  <c r="AI68" i="15" s="1"/>
  <c r="AI69" i="15" s="1"/>
  <c r="AI70" i="15" s="1"/>
  <c r="AI71" i="15" s="1"/>
  <c r="AI72" i="15" s="1"/>
  <c r="AI73" i="15" s="1"/>
  <c r="AI74" i="15" s="1"/>
  <c r="AI75" i="15" s="1"/>
  <c r="AI76" i="15" s="1"/>
  <c r="AI77" i="15" s="1"/>
  <c r="AI78" i="15" s="1"/>
  <c r="AI79" i="15" s="1"/>
  <c r="AI80" i="15" s="1"/>
  <c r="AI81" i="15" s="1"/>
  <c r="AI82" i="15" s="1"/>
  <c r="AI83" i="15" s="1"/>
  <c r="AI84" i="15" s="1"/>
  <c r="AI85" i="15" s="1"/>
  <c r="AI86" i="15" s="1"/>
  <c r="AI87" i="15" s="1"/>
  <c r="AI88" i="15" s="1"/>
  <c r="AI89" i="15" s="1"/>
  <c r="AI90" i="15" s="1"/>
  <c r="AI91" i="15" s="1"/>
  <c r="AI92" i="15" s="1"/>
  <c r="AI93" i="15" s="1"/>
  <c r="AI94" i="15" s="1"/>
  <c r="AI95" i="15" s="1"/>
  <c r="AI96" i="15" s="1"/>
  <c r="AI97" i="15" s="1"/>
  <c r="AI98" i="15" s="1"/>
  <c r="AI99" i="15" s="1"/>
  <c r="AI100" i="15" s="1"/>
  <c r="AI101" i="15" s="1"/>
  <c r="AI102" i="15" s="1"/>
  <c r="AI103" i="15" s="1"/>
  <c r="AI104" i="15" s="1"/>
  <c r="AI105" i="15" s="1"/>
  <c r="AI106" i="15" s="1"/>
  <c r="AI107" i="15" s="1"/>
  <c r="AI108" i="15" s="1"/>
  <c r="AI109" i="15" s="1"/>
  <c r="AI110" i="15" s="1"/>
  <c r="AI111" i="15" s="1"/>
  <c r="AI112" i="15" s="1"/>
  <c r="AI113" i="15" s="1"/>
  <c r="AI114" i="15" s="1"/>
  <c r="AI115" i="15" s="1"/>
  <c r="AI116" i="15" s="1"/>
  <c r="AI117" i="15" s="1"/>
  <c r="AI118" i="15" s="1"/>
  <c r="AI119" i="15" s="1"/>
  <c r="AI120" i="15" s="1"/>
  <c r="AI121" i="15" s="1"/>
  <c r="AI122" i="15" s="1"/>
  <c r="AI123" i="15" s="1"/>
  <c r="AI124" i="15" s="1"/>
  <c r="AI125" i="15" s="1"/>
  <c r="AI126" i="15" s="1"/>
  <c r="AI127" i="15" s="1"/>
  <c r="AI128" i="15" s="1"/>
  <c r="AI129" i="15" s="1"/>
  <c r="AI130" i="15" s="1"/>
  <c r="AI131" i="15" s="1"/>
  <c r="AI132" i="15" s="1"/>
  <c r="AI133" i="15" s="1"/>
  <c r="AI134" i="15" s="1"/>
  <c r="AI135" i="15" s="1"/>
  <c r="AI136" i="15" s="1"/>
  <c r="AI137" i="15" s="1"/>
  <c r="AI138" i="15" s="1"/>
  <c r="AI139" i="15" s="1"/>
  <c r="AI140" i="15" s="1"/>
  <c r="AI141" i="15" s="1"/>
  <c r="AI142" i="15" s="1"/>
  <c r="AI143" i="15" s="1"/>
  <c r="AI144" i="15" s="1"/>
  <c r="G42" i="14"/>
  <c r="K42" i="14" s="1"/>
  <c r="AB19" i="15"/>
  <c r="AB20" i="15" s="1"/>
  <c r="AB21" i="15" s="1"/>
  <c r="AB22" i="15" s="1"/>
  <c r="AB23" i="15" s="1"/>
  <c r="AB24" i="15" s="1"/>
  <c r="AB25" i="15" s="1"/>
  <c r="AB26" i="15" s="1"/>
  <c r="AB27" i="15" s="1"/>
  <c r="AB28" i="15" s="1"/>
  <c r="AB29" i="15" s="1"/>
  <c r="AB30" i="15" s="1"/>
  <c r="AB31" i="15" s="1"/>
  <c r="AB32" i="15" s="1"/>
  <c r="AB33" i="15" s="1"/>
  <c r="AB34" i="15" s="1"/>
  <c r="AB35" i="15" s="1"/>
  <c r="AB36" i="15" s="1"/>
  <c r="AB37" i="15" s="1"/>
  <c r="AB38" i="15" s="1"/>
  <c r="AB39" i="15" s="1"/>
  <c r="AB40" i="15" s="1"/>
  <c r="AB41" i="15" s="1"/>
  <c r="AB42" i="15" s="1"/>
  <c r="AB43" i="15" s="1"/>
  <c r="AB44" i="15" s="1"/>
  <c r="AB45" i="15" s="1"/>
  <c r="AB46" i="15" s="1"/>
  <c r="AB47" i="15" s="1"/>
  <c r="AB48" i="15" s="1"/>
  <c r="AB49" i="15" s="1"/>
  <c r="AB50" i="15" s="1"/>
  <c r="AB51" i="15" s="1"/>
  <c r="AB52" i="15" s="1"/>
  <c r="AB53" i="15" s="1"/>
  <c r="AB54" i="15" s="1"/>
  <c r="AB55" i="15" s="1"/>
  <c r="AB56" i="15" s="1"/>
  <c r="AB57" i="15" s="1"/>
  <c r="AB58" i="15" s="1"/>
  <c r="AB59" i="15" s="1"/>
  <c r="AB60" i="15" s="1"/>
  <c r="AB61" i="15" s="1"/>
  <c r="AB62" i="15" s="1"/>
  <c r="AB63" i="15" s="1"/>
  <c r="AB64" i="15" s="1"/>
  <c r="AB65" i="15" s="1"/>
  <c r="AB66" i="15" s="1"/>
  <c r="AB67" i="15" s="1"/>
  <c r="AB68" i="15" s="1"/>
  <c r="AB69" i="15" s="1"/>
  <c r="AB70" i="15" s="1"/>
  <c r="AB71" i="15" s="1"/>
  <c r="AB72" i="15" s="1"/>
  <c r="AB73" i="15" s="1"/>
  <c r="AB74" i="15" s="1"/>
  <c r="AB75" i="15" s="1"/>
  <c r="AB76" i="15" s="1"/>
  <c r="AB77" i="15" s="1"/>
  <c r="AB78" i="15" s="1"/>
  <c r="AB79" i="15" s="1"/>
  <c r="AB80" i="15" s="1"/>
  <c r="AB81" i="15" s="1"/>
  <c r="AB82" i="15" s="1"/>
  <c r="AB83" i="15" s="1"/>
  <c r="AB84" i="15" s="1"/>
  <c r="AB85" i="15" s="1"/>
  <c r="AB86" i="15" s="1"/>
  <c r="AB87" i="15" s="1"/>
  <c r="AB88" i="15" s="1"/>
  <c r="AB89" i="15" s="1"/>
  <c r="AB90" i="15" s="1"/>
  <c r="AB91" i="15" s="1"/>
  <c r="AB92" i="15" s="1"/>
  <c r="AB93" i="15" s="1"/>
  <c r="AB94" i="15" s="1"/>
  <c r="AB95" i="15" s="1"/>
  <c r="AB96" i="15" s="1"/>
  <c r="AB97" i="15" s="1"/>
  <c r="AB98" i="15" s="1"/>
  <c r="AB99" i="15" s="1"/>
  <c r="AB100" i="15" s="1"/>
  <c r="AB101" i="15" s="1"/>
  <c r="AB102" i="15" s="1"/>
  <c r="AB103" i="15" s="1"/>
  <c r="AB104" i="15" s="1"/>
  <c r="AB105" i="15" s="1"/>
  <c r="AB106" i="15" s="1"/>
  <c r="AB107" i="15" s="1"/>
  <c r="AB108" i="15" s="1"/>
  <c r="AB109" i="15" s="1"/>
  <c r="AB110" i="15" s="1"/>
  <c r="AB111" i="15" s="1"/>
  <c r="AB112" i="15" s="1"/>
  <c r="AB113" i="15" s="1"/>
  <c r="AB114" i="15" s="1"/>
  <c r="AB115" i="15" s="1"/>
  <c r="AB116" i="15" s="1"/>
  <c r="AB117" i="15" s="1"/>
  <c r="AB118" i="15" s="1"/>
  <c r="AB119" i="15" s="1"/>
  <c r="AB120" i="15" s="1"/>
  <c r="AB121" i="15" s="1"/>
  <c r="AB122" i="15" s="1"/>
  <c r="AB123" i="15" s="1"/>
  <c r="AB124" i="15" s="1"/>
  <c r="AB125" i="15" s="1"/>
  <c r="AB126" i="15" s="1"/>
  <c r="AB127" i="15" s="1"/>
  <c r="AB128" i="15" s="1"/>
  <c r="AB129" i="15" s="1"/>
  <c r="AB130" i="15" s="1"/>
  <c r="AB131" i="15" s="1"/>
  <c r="AB132" i="15" s="1"/>
  <c r="AB133" i="15" s="1"/>
  <c r="AB134" i="15" s="1"/>
  <c r="AB135" i="15" s="1"/>
  <c r="AB136" i="15" s="1"/>
  <c r="AB137" i="15" s="1"/>
  <c r="V13" i="15"/>
  <c r="G47" i="15"/>
  <c r="G48" i="15" s="1"/>
  <c r="AJ27" i="15"/>
  <c r="AJ28" i="15"/>
  <c r="AJ29" i="15" s="1"/>
  <c r="AJ30" i="15" s="1"/>
  <c r="AJ31" i="15" s="1"/>
  <c r="AJ32" i="15" s="1"/>
  <c r="AJ33" i="15" s="1"/>
  <c r="AJ34" i="15" s="1"/>
  <c r="AJ35" i="15" s="1"/>
  <c r="AJ36" i="15" s="1"/>
  <c r="AJ37" i="15" s="1"/>
  <c r="AJ38" i="15" s="1"/>
  <c r="AJ39" i="15" s="1"/>
  <c r="AJ40" i="15" s="1"/>
  <c r="AJ41" i="15" s="1"/>
  <c r="AJ42" i="15" s="1"/>
  <c r="AJ43" i="15" s="1"/>
  <c r="AJ44" i="15" s="1"/>
  <c r="AJ45" i="15" s="1"/>
  <c r="AJ46" i="15" s="1"/>
  <c r="AJ47" i="15" s="1"/>
  <c r="AJ48" i="15" s="1"/>
  <c r="AJ49" i="15" s="1"/>
  <c r="AJ50" i="15" s="1"/>
  <c r="AJ51" i="15" s="1"/>
  <c r="AJ52" i="15" s="1"/>
  <c r="AJ53" i="15" s="1"/>
  <c r="AJ54" i="15" s="1"/>
  <c r="AJ55" i="15" s="1"/>
  <c r="AJ56" i="15" s="1"/>
  <c r="AJ57" i="15" s="1"/>
  <c r="AJ58" i="15" s="1"/>
  <c r="AJ59" i="15" s="1"/>
  <c r="AJ60" i="15" s="1"/>
  <c r="AJ61" i="15" s="1"/>
  <c r="AJ62" i="15" s="1"/>
  <c r="AJ63" i="15" s="1"/>
  <c r="AJ64" i="15" s="1"/>
  <c r="AJ65" i="15" s="1"/>
  <c r="AJ66" i="15" s="1"/>
  <c r="AJ67" i="15" s="1"/>
  <c r="AJ68" i="15" s="1"/>
  <c r="AJ69" i="15" s="1"/>
  <c r="AJ70" i="15" s="1"/>
  <c r="AJ71" i="15" s="1"/>
  <c r="AJ72" i="15" s="1"/>
  <c r="AJ73" i="15" s="1"/>
  <c r="AJ74" i="15" s="1"/>
  <c r="AJ75" i="15" s="1"/>
  <c r="AJ76" i="15" s="1"/>
  <c r="AJ77" i="15" s="1"/>
  <c r="AJ78" i="15" s="1"/>
  <c r="AJ79" i="15" s="1"/>
  <c r="AJ80" i="15" s="1"/>
  <c r="AJ81" i="15" s="1"/>
  <c r="AJ82" i="15" s="1"/>
  <c r="AJ83" i="15" s="1"/>
  <c r="AJ84" i="15" s="1"/>
  <c r="AJ85" i="15" s="1"/>
  <c r="AJ86" i="15" s="1"/>
  <c r="AJ87" i="15" s="1"/>
  <c r="AJ88" i="15" s="1"/>
  <c r="AJ89" i="15" s="1"/>
  <c r="AJ90" i="15" s="1"/>
  <c r="AJ91" i="15" s="1"/>
  <c r="AJ92" i="15" s="1"/>
  <c r="AJ93" i="15" s="1"/>
  <c r="AJ94" i="15" s="1"/>
  <c r="AJ95" i="15" s="1"/>
  <c r="AJ96" i="15" s="1"/>
  <c r="AJ97" i="15" s="1"/>
  <c r="AJ98" i="15" s="1"/>
  <c r="AJ99" i="15" s="1"/>
  <c r="AJ100" i="15" s="1"/>
  <c r="AJ101" i="15" s="1"/>
  <c r="AJ102" i="15" s="1"/>
  <c r="AJ103" i="15" s="1"/>
  <c r="AJ104" i="15" s="1"/>
  <c r="AJ105" i="15" s="1"/>
  <c r="AJ106" i="15" s="1"/>
  <c r="AJ107" i="15" s="1"/>
  <c r="AJ108" i="15" s="1"/>
  <c r="AJ109" i="15" s="1"/>
  <c r="AJ110" i="15" s="1"/>
  <c r="AJ111" i="15" s="1"/>
  <c r="AJ112" i="15" s="1"/>
  <c r="AJ113" i="15" s="1"/>
  <c r="AJ114" i="15" s="1"/>
  <c r="AJ115" i="15" s="1"/>
  <c r="AJ116" i="15" s="1"/>
  <c r="AJ117" i="15" s="1"/>
  <c r="AJ118" i="15" s="1"/>
  <c r="AJ119" i="15" s="1"/>
  <c r="AJ120" i="15" s="1"/>
  <c r="AJ121" i="15" s="1"/>
  <c r="AJ122" i="15" s="1"/>
  <c r="AJ123" i="15" s="1"/>
  <c r="AJ124" i="15" s="1"/>
  <c r="AJ125" i="15" s="1"/>
  <c r="AJ126" i="15" s="1"/>
  <c r="AJ127" i="15" s="1"/>
  <c r="AJ128" i="15" s="1"/>
  <c r="AJ129" i="15" s="1"/>
  <c r="AJ130" i="15" s="1"/>
  <c r="AJ131" i="15" s="1"/>
  <c r="AJ132" i="15" s="1"/>
  <c r="AJ133" i="15" s="1"/>
  <c r="AJ134" i="15" s="1"/>
  <c r="AJ135" i="15" s="1"/>
  <c r="AJ136" i="15" s="1"/>
  <c r="AJ137" i="15" s="1"/>
  <c r="AJ138" i="15" s="1"/>
  <c r="AJ139" i="15" s="1"/>
  <c r="AJ140" i="15" s="1"/>
  <c r="AJ141" i="15" s="1"/>
  <c r="AJ142" i="15" s="1"/>
  <c r="AJ143" i="15" s="1"/>
  <c r="AJ144" i="15" s="1"/>
  <c r="AJ145" i="15" s="1"/>
  <c r="AG24" i="16"/>
  <c r="G31" i="16"/>
  <c r="G30" i="16"/>
  <c r="G35" i="16"/>
  <c r="G33" i="16"/>
  <c r="AC20" i="15"/>
  <c r="AC21" i="15"/>
  <c r="AC22" i="15" s="1"/>
  <c r="AC23" i="15" s="1"/>
  <c r="AC24" i="15" s="1"/>
  <c r="AC25" i="15" s="1"/>
  <c r="AC26" i="15" s="1"/>
  <c r="AC27" i="15" s="1"/>
  <c r="AC28" i="15" s="1"/>
  <c r="AC29" i="15" s="1"/>
  <c r="AC30" i="15" s="1"/>
  <c r="AC31" i="15" s="1"/>
  <c r="AC32" i="15" s="1"/>
  <c r="AC33" i="15" s="1"/>
  <c r="AC34" i="15" s="1"/>
  <c r="AC35" i="15" s="1"/>
  <c r="AC36" i="15" s="1"/>
  <c r="AC37" i="15" s="1"/>
  <c r="AC38" i="15" s="1"/>
  <c r="AC39" i="15" s="1"/>
  <c r="AC40" i="15" s="1"/>
  <c r="AC41" i="15" s="1"/>
  <c r="AC42" i="15" s="1"/>
  <c r="AC43" i="15" s="1"/>
  <c r="AC44" i="15" s="1"/>
  <c r="AC45" i="15" s="1"/>
  <c r="AC46" i="15" s="1"/>
  <c r="AC47" i="15" s="1"/>
  <c r="AC48" i="15" s="1"/>
  <c r="AC49" i="15" s="1"/>
  <c r="AC50" i="15" s="1"/>
  <c r="AC51" i="15" s="1"/>
  <c r="AC52" i="15" s="1"/>
  <c r="AC53" i="15" s="1"/>
  <c r="AC54" i="15" s="1"/>
  <c r="AC55" i="15" s="1"/>
  <c r="AC56" i="15" s="1"/>
  <c r="AC57" i="15" s="1"/>
  <c r="AC58" i="15" s="1"/>
  <c r="AC59" i="15" s="1"/>
  <c r="AC60" i="15" s="1"/>
  <c r="AC61" i="15" s="1"/>
  <c r="AC62" i="15" s="1"/>
  <c r="AC63" i="15" s="1"/>
  <c r="AC64" i="15" s="1"/>
  <c r="AC65" i="15" s="1"/>
  <c r="AC66" i="15" s="1"/>
  <c r="AC67" i="15" s="1"/>
  <c r="AC68" i="15" s="1"/>
  <c r="AC69" i="15" s="1"/>
  <c r="AC70" i="15" s="1"/>
  <c r="AC71" i="15" s="1"/>
  <c r="AC72" i="15" s="1"/>
  <c r="AC73" i="15" s="1"/>
  <c r="AC74" i="15" s="1"/>
  <c r="AC75" i="15" s="1"/>
  <c r="AC76" i="15" s="1"/>
  <c r="AC77" i="15" s="1"/>
  <c r="AC78" i="15" s="1"/>
  <c r="AC79" i="15" s="1"/>
  <c r="AC80" i="15" s="1"/>
  <c r="AC81" i="15" s="1"/>
  <c r="AC82" i="15" s="1"/>
  <c r="AC83" i="15" s="1"/>
  <c r="AC84" i="15" s="1"/>
  <c r="AC85" i="15" s="1"/>
  <c r="AC86" i="15" s="1"/>
  <c r="AC87" i="15" s="1"/>
  <c r="AC88" i="15" s="1"/>
  <c r="AC89" i="15" s="1"/>
  <c r="AC90" i="15" s="1"/>
  <c r="AC91" i="15" s="1"/>
  <c r="AC92" i="15" s="1"/>
  <c r="AC93" i="15" s="1"/>
  <c r="AC94" i="15" s="1"/>
  <c r="AC95" i="15" s="1"/>
  <c r="AC96" i="15" s="1"/>
  <c r="AC97" i="15" s="1"/>
  <c r="AC98" i="15" s="1"/>
  <c r="AC99" i="15" s="1"/>
  <c r="AC100" i="15" s="1"/>
  <c r="AC101" i="15" s="1"/>
  <c r="AC102" i="15" s="1"/>
  <c r="AC103" i="15" s="1"/>
  <c r="AC104" i="15" s="1"/>
  <c r="AC105" i="15" s="1"/>
  <c r="AC106" i="15" s="1"/>
  <c r="AC107" i="15" s="1"/>
  <c r="AC108" i="15" s="1"/>
  <c r="AC109" i="15" s="1"/>
  <c r="AC110" i="15" s="1"/>
  <c r="AC111" i="15" s="1"/>
  <c r="AC112" i="15" s="1"/>
  <c r="AC113" i="15" s="1"/>
  <c r="AC114" i="15" s="1"/>
  <c r="AC115" i="15" s="1"/>
  <c r="AC116" i="15" s="1"/>
  <c r="AC117" i="15" s="1"/>
  <c r="AC118" i="15" s="1"/>
  <c r="AC119" i="15" s="1"/>
  <c r="AC120" i="15" s="1"/>
  <c r="AC121" i="15" s="1"/>
  <c r="AC122" i="15" s="1"/>
  <c r="AC123" i="15" s="1"/>
  <c r="AC124" i="15" s="1"/>
  <c r="AC125" i="15" s="1"/>
  <c r="AC126" i="15" s="1"/>
  <c r="AC127" i="15" s="1"/>
  <c r="AC128" i="15" s="1"/>
  <c r="AC129" i="15" s="1"/>
  <c r="AC130" i="15" s="1"/>
  <c r="AC131" i="15" s="1"/>
  <c r="AC132" i="15" s="1"/>
  <c r="AC133" i="15" s="1"/>
  <c r="AC134" i="15" s="1"/>
  <c r="AC135" i="15" s="1"/>
  <c r="AC136" i="15" s="1"/>
  <c r="AC137" i="15" s="1"/>
  <c r="AC138" i="15" s="1"/>
  <c r="X15" i="15"/>
  <c r="X16" i="15" s="1"/>
  <c r="X17" i="15" s="1"/>
  <c r="X18" i="15" s="1"/>
  <c r="X19" i="15" s="1"/>
  <c r="X20" i="15" s="1"/>
  <c r="X21" i="15" s="1"/>
  <c r="X22" i="15" s="1"/>
  <c r="X23" i="15" s="1"/>
  <c r="X24" i="15" s="1"/>
  <c r="X25" i="15" s="1"/>
  <c r="X26" i="15" s="1"/>
  <c r="X27" i="15" s="1"/>
  <c r="X28" i="15" s="1"/>
  <c r="X29" i="15" s="1"/>
  <c r="X30" i="15" s="1"/>
  <c r="X31" i="15" s="1"/>
  <c r="X32" i="15" s="1"/>
  <c r="X33" i="15" s="1"/>
  <c r="X34" i="15" s="1"/>
  <c r="X35" i="15" s="1"/>
  <c r="X36" i="15" s="1"/>
  <c r="X37" i="15" s="1"/>
  <c r="X38" i="15" s="1"/>
  <c r="X39" i="15" s="1"/>
  <c r="X40" i="15" s="1"/>
  <c r="X41" i="15" s="1"/>
  <c r="X42" i="15" s="1"/>
  <c r="X43" i="15" s="1"/>
  <c r="X44" i="15" s="1"/>
  <c r="X45" i="15" s="1"/>
  <c r="X46" i="15" s="1"/>
  <c r="X47" i="15" s="1"/>
  <c r="X48" i="15" s="1"/>
  <c r="X49" i="15" s="1"/>
  <c r="X50" i="15" s="1"/>
  <c r="X51" i="15" s="1"/>
  <c r="X52" i="15" s="1"/>
  <c r="X53" i="15" s="1"/>
  <c r="X54" i="15" s="1"/>
  <c r="X55" i="15" s="1"/>
  <c r="X56" i="15" s="1"/>
  <c r="X57" i="15" s="1"/>
  <c r="X58" i="15" s="1"/>
  <c r="X59" i="15" s="1"/>
  <c r="X60" i="15" s="1"/>
  <c r="X61" i="15" s="1"/>
  <c r="X62" i="15" s="1"/>
  <c r="X63" i="15" s="1"/>
  <c r="X64" i="15" s="1"/>
  <c r="X65" i="15" s="1"/>
  <c r="X66" i="15" s="1"/>
  <c r="X67" i="15" s="1"/>
  <c r="X68" i="15" s="1"/>
  <c r="X69" i="15" s="1"/>
  <c r="X70" i="15" s="1"/>
  <c r="X71" i="15" s="1"/>
  <c r="X72" i="15" s="1"/>
  <c r="X73" i="15" s="1"/>
  <c r="X74" i="15" s="1"/>
  <c r="X75" i="15" s="1"/>
  <c r="X76" i="15" s="1"/>
  <c r="X77" i="15" s="1"/>
  <c r="X78" i="15" s="1"/>
  <c r="X79" i="15" s="1"/>
  <c r="X80" i="15" s="1"/>
  <c r="X81" i="15" s="1"/>
  <c r="X82" i="15" s="1"/>
  <c r="X83" i="15" s="1"/>
  <c r="X84" i="15" s="1"/>
  <c r="X85" i="15" s="1"/>
  <c r="X86" i="15" s="1"/>
  <c r="X87" i="15" s="1"/>
  <c r="X88" i="15" s="1"/>
  <c r="X89" i="15" s="1"/>
  <c r="X90" i="15" s="1"/>
  <c r="X91" i="15" s="1"/>
  <c r="X92" i="15" s="1"/>
  <c r="X93" i="15" s="1"/>
  <c r="X94" i="15" s="1"/>
  <c r="X95" i="15" s="1"/>
  <c r="X96" i="15" s="1"/>
  <c r="X97" i="15" s="1"/>
  <c r="X98" i="15" s="1"/>
  <c r="X99" i="15" s="1"/>
  <c r="X100" i="15" s="1"/>
  <c r="X101" i="15" s="1"/>
  <c r="X102" i="15" s="1"/>
  <c r="X103" i="15" s="1"/>
  <c r="X104" i="15" s="1"/>
  <c r="X105" i="15" s="1"/>
  <c r="X106" i="15" s="1"/>
  <c r="X107" i="15" s="1"/>
  <c r="X108" i="15" s="1"/>
  <c r="X109" i="15" s="1"/>
  <c r="X110" i="15" s="1"/>
  <c r="X111" i="15" s="1"/>
  <c r="X112" i="15" s="1"/>
  <c r="X113" i="15" s="1"/>
  <c r="X114" i="15" s="1"/>
  <c r="X115" i="15" s="1"/>
  <c r="X116" i="15" s="1"/>
  <c r="X117" i="15" s="1"/>
  <c r="X118" i="15" s="1"/>
  <c r="X119" i="15" s="1"/>
  <c r="X120" i="15" s="1"/>
  <c r="X121" i="15" s="1"/>
  <c r="X122" i="15" s="1"/>
  <c r="X123" i="15" s="1"/>
  <c r="X124" i="15" s="1"/>
  <c r="X125" i="15" s="1"/>
  <c r="X126" i="15" s="1"/>
  <c r="X127" i="15" s="1"/>
  <c r="X128" i="15" s="1"/>
  <c r="X129" i="15" s="1"/>
  <c r="X130" i="15" s="1"/>
  <c r="X131" i="15" s="1"/>
  <c r="X132" i="15" s="1"/>
  <c r="X133" i="15" s="1"/>
  <c r="AG24" i="15"/>
  <c r="AG25" i="15"/>
  <c r="AG26" i="15" s="1"/>
  <c r="AG27" i="15" s="1"/>
  <c r="AG28" i="15" s="1"/>
  <c r="AG29" i="15" s="1"/>
  <c r="AG30" i="15" s="1"/>
  <c r="AG31" i="15" s="1"/>
  <c r="AG32" i="15" s="1"/>
  <c r="AG33" i="15" s="1"/>
  <c r="AG34" i="15" s="1"/>
  <c r="AG35" i="15" s="1"/>
  <c r="AG36" i="15" s="1"/>
  <c r="AG37" i="15" s="1"/>
  <c r="AG38" i="15" s="1"/>
  <c r="AG39" i="15" s="1"/>
  <c r="AG40" i="15" s="1"/>
  <c r="AG41" i="15" s="1"/>
  <c r="AG42" i="15" s="1"/>
  <c r="AG43" i="15" s="1"/>
  <c r="AG44" i="15" s="1"/>
  <c r="AG45" i="15" s="1"/>
  <c r="AG46" i="15" s="1"/>
  <c r="AG47" i="15" s="1"/>
  <c r="AG48" i="15" s="1"/>
  <c r="AG49" i="15" s="1"/>
  <c r="AG50" i="15" s="1"/>
  <c r="AG51" i="15" s="1"/>
  <c r="AG52" i="15" s="1"/>
  <c r="AG53" i="15" s="1"/>
  <c r="AG54" i="15" s="1"/>
  <c r="AG55" i="15" s="1"/>
  <c r="AG56" i="15" s="1"/>
  <c r="AG57" i="15" s="1"/>
  <c r="AG58" i="15" s="1"/>
  <c r="AG59" i="15" s="1"/>
  <c r="AG60" i="15" s="1"/>
  <c r="AG61" i="15" s="1"/>
  <c r="AG62" i="15" s="1"/>
  <c r="AG63" i="15" s="1"/>
  <c r="AG64" i="15" s="1"/>
  <c r="AG65" i="15" s="1"/>
  <c r="AG66" i="15" s="1"/>
  <c r="AG67" i="15" s="1"/>
  <c r="AG68" i="15" s="1"/>
  <c r="AG69" i="15" s="1"/>
  <c r="AG70" i="15" s="1"/>
  <c r="AG71" i="15" s="1"/>
  <c r="AG72" i="15" s="1"/>
  <c r="AG73" i="15" s="1"/>
  <c r="AG74" i="15" s="1"/>
  <c r="AG75" i="15" s="1"/>
  <c r="AG76" i="15" s="1"/>
  <c r="AG77" i="15" s="1"/>
  <c r="AG78" i="15" s="1"/>
  <c r="AG79" i="15" s="1"/>
  <c r="AG80" i="15" s="1"/>
  <c r="AG81" i="15" s="1"/>
  <c r="AG82" i="15" s="1"/>
  <c r="AG83" i="15" s="1"/>
  <c r="AG84" i="15" s="1"/>
  <c r="AG85" i="15" s="1"/>
  <c r="AG86" i="15" s="1"/>
  <c r="AG87" i="15" s="1"/>
  <c r="AG88" i="15" s="1"/>
  <c r="AG89" i="15" s="1"/>
  <c r="AG90" i="15" s="1"/>
  <c r="AG91" i="15" s="1"/>
  <c r="AG92" i="15" s="1"/>
  <c r="AG93" i="15" s="1"/>
  <c r="AG94" i="15" s="1"/>
  <c r="AG95" i="15" s="1"/>
  <c r="AG96" i="15" s="1"/>
  <c r="AG97" i="15" s="1"/>
  <c r="AG98" i="15" s="1"/>
  <c r="AG99" i="15" s="1"/>
  <c r="AG100" i="15" s="1"/>
  <c r="AG101" i="15" s="1"/>
  <c r="AG102" i="15" s="1"/>
  <c r="AG103" i="15" s="1"/>
  <c r="AG104" i="15" s="1"/>
  <c r="AG105" i="15" s="1"/>
  <c r="AG106" i="15" s="1"/>
  <c r="AG107" i="15" s="1"/>
  <c r="AG108" i="15" s="1"/>
  <c r="AG109" i="15" s="1"/>
  <c r="AG110" i="15" s="1"/>
  <c r="AG111" i="15" s="1"/>
  <c r="AG112" i="15" s="1"/>
  <c r="AG113" i="15" s="1"/>
  <c r="AG114" i="15" s="1"/>
  <c r="AG115" i="15" s="1"/>
  <c r="AG116" i="15" s="1"/>
  <c r="AG117" i="15" s="1"/>
  <c r="AG118" i="15" s="1"/>
  <c r="AG119" i="15" s="1"/>
  <c r="AG120" i="15" s="1"/>
  <c r="AG121" i="15" s="1"/>
  <c r="AG122" i="15" s="1"/>
  <c r="AG123" i="15" s="1"/>
  <c r="AG124" i="15" s="1"/>
  <c r="AG125" i="15" s="1"/>
  <c r="AG126" i="15" s="1"/>
  <c r="AG127" i="15" s="1"/>
  <c r="AG128" i="15" s="1"/>
  <c r="AG129" i="15" s="1"/>
  <c r="AG130" i="15" s="1"/>
  <c r="AG131" i="15" s="1"/>
  <c r="AG132" i="15" s="1"/>
  <c r="AG133" i="15" s="1"/>
  <c r="AG134" i="15" s="1"/>
  <c r="AG135" i="15" s="1"/>
  <c r="AG136" i="15" s="1"/>
  <c r="AG137" i="15" s="1"/>
  <c r="AG138" i="15" s="1"/>
  <c r="AG139" i="15" s="1"/>
  <c r="AG140" i="15" s="1"/>
  <c r="AG141" i="15" s="1"/>
  <c r="AG142" i="15" s="1"/>
  <c r="H18" i="15"/>
  <c r="P6" i="15"/>
  <c r="H27" i="15"/>
  <c r="H17" i="15"/>
  <c r="H16" i="15"/>
  <c r="H29" i="15"/>
  <c r="H22" i="15"/>
  <c r="H11" i="15"/>
  <c r="H6" i="15"/>
  <c r="H9" i="15"/>
  <c r="H13" i="15"/>
  <c r="H20" i="15"/>
  <c r="H26" i="15"/>
  <c r="H30" i="15"/>
  <c r="O5" i="15"/>
  <c r="H14" i="15"/>
  <c r="H19" i="15"/>
  <c r="H28" i="15"/>
  <c r="Y17" i="16"/>
  <c r="Y18" i="16" s="1"/>
  <c r="Y19" i="16" s="1"/>
  <c r="Y20" i="16" s="1"/>
  <c r="Y21" i="16" s="1"/>
  <c r="Y22" i="16" s="1"/>
  <c r="Y23" i="16" s="1"/>
  <c r="Y24" i="16" s="1"/>
  <c r="Y25" i="16" s="1"/>
  <c r="Y26" i="16" s="1"/>
  <c r="Y27" i="16" s="1"/>
  <c r="Y28" i="16" s="1"/>
  <c r="Y29" i="16" s="1"/>
  <c r="Y30" i="16" s="1"/>
  <c r="Y31" i="16" s="1"/>
  <c r="Y32" i="16" s="1"/>
  <c r="Y33" i="16" s="1"/>
  <c r="Y34" i="16" s="1"/>
  <c r="Y35" i="16" s="1"/>
  <c r="Y36" i="16" s="1"/>
  <c r="Y37" i="16" s="1"/>
  <c r="Y38" i="16" s="1"/>
  <c r="Y39" i="16" s="1"/>
  <c r="Y40" i="16" s="1"/>
  <c r="Y41" i="16" s="1"/>
  <c r="Y42" i="16" s="1"/>
  <c r="Y43" i="16" s="1"/>
  <c r="Y44" i="16" s="1"/>
  <c r="Y45" i="16" s="1"/>
  <c r="Y46" i="16" s="1"/>
  <c r="Y47" i="16" s="1"/>
  <c r="Y48" i="16" s="1"/>
  <c r="Y49" i="16" s="1"/>
  <c r="Y50" i="16" s="1"/>
  <c r="Y51" i="16" s="1"/>
  <c r="Y52" i="16" s="1"/>
  <c r="Y53" i="16" s="1"/>
  <c r="Y54" i="16" s="1"/>
  <c r="Y55" i="16" s="1"/>
  <c r="Y56" i="16" s="1"/>
  <c r="Y57" i="16" s="1"/>
  <c r="Y58" i="16" s="1"/>
  <c r="Y59" i="16" s="1"/>
  <c r="Y60" i="16" s="1"/>
  <c r="Y61" i="16" s="1"/>
  <c r="Y62" i="16" s="1"/>
  <c r="Y63" i="16" s="1"/>
  <c r="Y64" i="16" s="1"/>
  <c r="Y65" i="16" s="1"/>
  <c r="Y66" i="16" s="1"/>
  <c r="Y67" i="16" s="1"/>
  <c r="Y68" i="16" s="1"/>
  <c r="Y69" i="16" s="1"/>
  <c r="Y70" i="16" s="1"/>
  <c r="Y71" i="16" s="1"/>
  <c r="Y72" i="16" s="1"/>
  <c r="Y73" i="16" s="1"/>
  <c r="Y74" i="16" s="1"/>
  <c r="Y75" i="16" s="1"/>
  <c r="AF25" i="16"/>
  <c r="AF26" i="16"/>
  <c r="AF27" i="16" s="1"/>
  <c r="AF28" i="16" s="1"/>
  <c r="AF29" i="16" s="1"/>
  <c r="AF30" i="16" s="1"/>
  <c r="AF31" i="16" s="1"/>
  <c r="AF32" i="16" s="1"/>
  <c r="AF33" i="16" s="1"/>
  <c r="AF34" i="16" s="1"/>
  <c r="AF35" i="16" s="1"/>
  <c r="AF36" i="16" s="1"/>
  <c r="AF37" i="16" s="1"/>
  <c r="AF38" i="16" s="1"/>
  <c r="AF39" i="16" s="1"/>
  <c r="AF40" i="16" s="1"/>
  <c r="AF41" i="16" s="1"/>
  <c r="AF42" i="16" s="1"/>
  <c r="AF43" i="16" s="1"/>
  <c r="AF44" i="16" s="1"/>
  <c r="AF45" i="16" s="1"/>
  <c r="AF46" i="16" s="1"/>
  <c r="AF47" i="16" s="1"/>
  <c r="AF48" i="16" s="1"/>
  <c r="AF49" i="16" s="1"/>
  <c r="AF50" i="16" s="1"/>
  <c r="AF51" i="16" s="1"/>
  <c r="AF52" i="16" s="1"/>
  <c r="AF53" i="16" s="1"/>
  <c r="AF54" i="16" s="1"/>
  <c r="AF55" i="16" s="1"/>
  <c r="AF56" i="16" s="1"/>
  <c r="AF57" i="16" s="1"/>
  <c r="AF58" i="16" s="1"/>
  <c r="AF59" i="16" s="1"/>
  <c r="AF60" i="16" s="1"/>
  <c r="AF61" i="16" s="1"/>
  <c r="AF62" i="16" s="1"/>
  <c r="AF63" i="16" s="1"/>
  <c r="AF64" i="16" s="1"/>
  <c r="AF65" i="16" s="1"/>
  <c r="AF66" i="16" s="1"/>
  <c r="AF67" i="16" s="1"/>
  <c r="AF68" i="16" s="1"/>
  <c r="AF69" i="16" s="1"/>
  <c r="AF70" i="16" s="1"/>
  <c r="AF71" i="16" s="1"/>
  <c r="AF72" i="16" s="1"/>
  <c r="AF73" i="16" s="1"/>
  <c r="AF74" i="16" s="1"/>
  <c r="AF75" i="16" s="1"/>
  <c r="AF76" i="16" s="1"/>
  <c r="AF77" i="16" s="1"/>
  <c r="AF78" i="16" s="1"/>
  <c r="AF79" i="16" s="1"/>
  <c r="AF80" i="16" s="1"/>
  <c r="AF81" i="16" s="1"/>
  <c r="AF82" i="16" s="1"/>
  <c r="AB21" i="16"/>
  <c r="R9" i="15"/>
  <c r="R10" i="15" s="1"/>
  <c r="R11" i="15" s="1"/>
  <c r="R12" i="15" s="1"/>
  <c r="R13" i="15" s="1"/>
  <c r="R14" i="15" s="1"/>
  <c r="R15" i="15" s="1"/>
  <c r="R16" i="15" s="1"/>
  <c r="R17" i="15" s="1"/>
  <c r="R18" i="15" s="1"/>
  <c r="R19" i="15" s="1"/>
  <c r="R20" i="15" s="1"/>
  <c r="R21" i="15" s="1"/>
  <c r="R22" i="15" s="1"/>
  <c r="R23" i="15" s="1"/>
  <c r="R24" i="15" s="1"/>
  <c r="R25" i="15" s="1"/>
  <c r="R26" i="15" s="1"/>
  <c r="R27" i="15" s="1"/>
  <c r="R28" i="15" s="1"/>
  <c r="R29" i="15" s="1"/>
  <c r="R30" i="15" s="1"/>
  <c r="R31" i="15" s="1"/>
  <c r="R32" i="15" s="1"/>
  <c r="R33" i="15" s="1"/>
  <c r="R34" i="15" s="1"/>
  <c r="R35" i="15" s="1"/>
  <c r="R36" i="15" s="1"/>
  <c r="R37" i="15" s="1"/>
  <c r="R38" i="15" s="1"/>
  <c r="R39" i="15" s="1"/>
  <c r="R40" i="15" s="1"/>
  <c r="R41" i="15" s="1"/>
  <c r="R42" i="15" s="1"/>
  <c r="R43" i="15" s="1"/>
  <c r="R44" i="15" s="1"/>
  <c r="R45" i="15" s="1"/>
  <c r="R46" i="15" s="1"/>
  <c r="R47" i="15" s="1"/>
  <c r="R48" i="15" s="1"/>
  <c r="R49" i="15" s="1"/>
  <c r="R50" i="15" s="1"/>
  <c r="R51" i="15" s="1"/>
  <c r="R52" i="15" s="1"/>
  <c r="R53" i="15" s="1"/>
  <c r="R54" i="15" s="1"/>
  <c r="R55" i="15" s="1"/>
  <c r="R56" i="15" s="1"/>
  <c r="R57" i="15" s="1"/>
  <c r="R58" i="15" s="1"/>
  <c r="R59" i="15" s="1"/>
  <c r="R60" i="15" s="1"/>
  <c r="R61" i="15" s="1"/>
  <c r="R62" i="15" s="1"/>
  <c r="R63" i="15" s="1"/>
  <c r="R64" i="15" s="1"/>
  <c r="R65" i="15" s="1"/>
  <c r="R66" i="15" s="1"/>
  <c r="R67" i="15" s="1"/>
  <c r="R68" i="15" s="1"/>
  <c r="R69" i="15" s="1"/>
  <c r="R70" i="15" s="1"/>
  <c r="R71" i="15" s="1"/>
  <c r="R72" i="15" s="1"/>
  <c r="R73" i="15" s="1"/>
  <c r="R74" i="15" s="1"/>
  <c r="R75" i="15" s="1"/>
  <c r="R76" i="15" s="1"/>
  <c r="R77" i="15" s="1"/>
  <c r="R78" i="15" s="1"/>
  <c r="R79" i="15" s="1"/>
  <c r="R80" i="15" s="1"/>
  <c r="R81" i="15" s="1"/>
  <c r="R82" i="15" s="1"/>
  <c r="R83" i="15" s="1"/>
  <c r="R84" i="15" s="1"/>
  <c r="R85" i="15" s="1"/>
  <c r="R86" i="15" s="1"/>
  <c r="R87" i="15" s="1"/>
  <c r="R88" i="15" s="1"/>
  <c r="R89" i="15" s="1"/>
  <c r="R90" i="15" s="1"/>
  <c r="R91" i="15" s="1"/>
  <c r="R92" i="15" s="1"/>
  <c r="R93" i="15" s="1"/>
  <c r="R94" i="15" s="1"/>
  <c r="R95" i="15" s="1"/>
  <c r="R96" i="15" s="1"/>
  <c r="R97" i="15" s="1"/>
  <c r="R98" i="15" s="1"/>
  <c r="R99" i="15" s="1"/>
  <c r="R100" i="15" s="1"/>
  <c r="R101" i="15" s="1"/>
  <c r="R102" i="15" s="1"/>
  <c r="R103" i="15" s="1"/>
  <c r="R104" i="15" s="1"/>
  <c r="R105" i="15" s="1"/>
  <c r="R106" i="15" s="1"/>
  <c r="R107" i="15" s="1"/>
  <c r="R108" i="15" s="1"/>
  <c r="R109" i="15" s="1"/>
  <c r="R110" i="15" s="1"/>
  <c r="R111" i="15" s="1"/>
  <c r="R112" i="15" s="1"/>
  <c r="R113" i="15" s="1"/>
  <c r="R114" i="15" s="1"/>
  <c r="R115" i="15" s="1"/>
  <c r="R116" i="15" s="1"/>
  <c r="R117" i="15" s="1"/>
  <c r="R118" i="15" s="1"/>
  <c r="R119" i="15" s="1"/>
  <c r="R120" i="15" s="1"/>
  <c r="R121" i="15" s="1"/>
  <c r="R122" i="15" s="1"/>
  <c r="R123" i="15" s="1"/>
  <c r="R124" i="15" s="1"/>
  <c r="R125" i="15" s="1"/>
  <c r="R126" i="15" s="1"/>
  <c r="R127" i="15" s="1"/>
  <c r="P8" i="16"/>
  <c r="P9" i="16"/>
  <c r="P10" i="16" s="1"/>
  <c r="P11" i="16" s="1"/>
  <c r="P12" i="16" s="1"/>
  <c r="P13" i="16" s="1"/>
  <c r="P14" i="16" s="1"/>
  <c r="P15" i="16" s="1"/>
  <c r="P16" i="16" s="1"/>
  <c r="P17" i="16" s="1"/>
  <c r="P18" i="16" s="1"/>
  <c r="P19" i="16" s="1"/>
  <c r="P20" i="16" s="1"/>
  <c r="P21" i="16" s="1"/>
  <c r="P22" i="16" s="1"/>
  <c r="P23" i="16" s="1"/>
  <c r="P24" i="16" s="1"/>
  <c r="P25" i="16" s="1"/>
  <c r="P26" i="16" s="1"/>
  <c r="P27" i="16" s="1"/>
  <c r="P28" i="16" s="1"/>
  <c r="P29" i="16" s="1"/>
  <c r="P30" i="16" s="1"/>
  <c r="P31" i="16" s="1"/>
  <c r="P32" i="16" s="1"/>
  <c r="P33" i="16" s="1"/>
  <c r="P34" i="16" s="1"/>
  <c r="P35" i="16" s="1"/>
  <c r="P36" i="16" s="1"/>
  <c r="P37" i="16" s="1"/>
  <c r="P38" i="16" s="1"/>
  <c r="P39" i="16" s="1"/>
  <c r="P40" i="16" s="1"/>
  <c r="P41" i="16" s="1"/>
  <c r="P42" i="16" s="1"/>
  <c r="P43" i="16" s="1"/>
  <c r="P44" i="16" s="1"/>
  <c r="P45" i="16" s="1"/>
  <c r="P46" i="16" s="1"/>
  <c r="P47" i="16" s="1"/>
  <c r="P48" i="16" s="1"/>
  <c r="P49" i="16" s="1"/>
  <c r="P50" i="16" s="1"/>
  <c r="P51" i="16" s="1"/>
  <c r="P52" i="16" s="1"/>
  <c r="P53" i="16" s="1"/>
  <c r="P54" i="16" s="1"/>
  <c r="P55" i="16" s="1"/>
  <c r="P56" i="16" s="1"/>
  <c r="P57" i="16" s="1"/>
  <c r="P58" i="16" s="1"/>
  <c r="P59" i="16" s="1"/>
  <c r="P60" i="16" s="1"/>
  <c r="P61" i="16" s="1"/>
  <c r="P62" i="16" s="1"/>
  <c r="P63" i="16" s="1"/>
  <c r="P64" i="16" s="1"/>
  <c r="P65" i="16" s="1"/>
  <c r="P66" i="16" s="1"/>
  <c r="B24" i="17"/>
  <c r="B36" i="17" s="1"/>
  <c r="B48" i="17" s="1"/>
  <c r="H15" i="15"/>
  <c r="AH25" i="15"/>
  <c r="AH26" i="15" s="1"/>
  <c r="AH27" i="15" s="1"/>
  <c r="AH28" i="15" s="1"/>
  <c r="AH29" i="15" s="1"/>
  <c r="AH30" i="15" s="1"/>
  <c r="AH31" i="15" s="1"/>
  <c r="AH32" i="15" s="1"/>
  <c r="AH33" i="15" s="1"/>
  <c r="AH34" i="15" s="1"/>
  <c r="AH35" i="15" s="1"/>
  <c r="AH36" i="15" s="1"/>
  <c r="AH37" i="15" s="1"/>
  <c r="AH38" i="15" s="1"/>
  <c r="AH39" i="15" s="1"/>
  <c r="AH40" i="15" s="1"/>
  <c r="AH41" i="15" s="1"/>
  <c r="AH42" i="15" s="1"/>
  <c r="AH43" i="15" s="1"/>
  <c r="AH44" i="15" s="1"/>
  <c r="AH45" i="15" s="1"/>
  <c r="AH46" i="15" s="1"/>
  <c r="AH47" i="15" s="1"/>
  <c r="AH48" i="15" s="1"/>
  <c r="AH49" i="15" s="1"/>
  <c r="AH50" i="15" s="1"/>
  <c r="AH51" i="15" s="1"/>
  <c r="AH52" i="15" s="1"/>
  <c r="AH53" i="15" s="1"/>
  <c r="AH54" i="15" s="1"/>
  <c r="AH55" i="15" s="1"/>
  <c r="AH56" i="15" s="1"/>
  <c r="AH57" i="15" s="1"/>
  <c r="AH58" i="15" s="1"/>
  <c r="AH59" i="15" s="1"/>
  <c r="AH60" i="15" s="1"/>
  <c r="AH61" i="15" s="1"/>
  <c r="AH62" i="15" s="1"/>
  <c r="AH63" i="15" s="1"/>
  <c r="AH64" i="15" s="1"/>
  <c r="AH65" i="15" s="1"/>
  <c r="AH66" i="15" s="1"/>
  <c r="AH67" i="15" s="1"/>
  <c r="AH68" i="15" s="1"/>
  <c r="AH69" i="15" s="1"/>
  <c r="AH70" i="15" s="1"/>
  <c r="AH71" i="15" s="1"/>
  <c r="AH72" i="15" s="1"/>
  <c r="AH73" i="15" s="1"/>
  <c r="AH74" i="15" s="1"/>
  <c r="AH75" i="15" s="1"/>
  <c r="AH76" i="15" s="1"/>
  <c r="AH77" i="15" s="1"/>
  <c r="AH78" i="15" s="1"/>
  <c r="AH79" i="15" s="1"/>
  <c r="AH80" i="15" s="1"/>
  <c r="AH81" i="15" s="1"/>
  <c r="AH82" i="15" s="1"/>
  <c r="AH83" i="15" s="1"/>
  <c r="AH84" i="15" s="1"/>
  <c r="AH85" i="15" s="1"/>
  <c r="AH86" i="15" s="1"/>
  <c r="AH87" i="15" s="1"/>
  <c r="AH88" i="15" s="1"/>
  <c r="AH89" i="15" s="1"/>
  <c r="AH90" i="15" s="1"/>
  <c r="AH91" i="15" s="1"/>
  <c r="AH92" i="15" s="1"/>
  <c r="AH93" i="15" s="1"/>
  <c r="AH94" i="15" s="1"/>
  <c r="AH95" i="15" s="1"/>
  <c r="AH96" i="15" s="1"/>
  <c r="AH97" i="15" s="1"/>
  <c r="AH98" i="15" s="1"/>
  <c r="AH99" i="15" s="1"/>
  <c r="AH100" i="15" s="1"/>
  <c r="AH101" i="15" s="1"/>
  <c r="AH102" i="15" s="1"/>
  <c r="AH103" i="15" s="1"/>
  <c r="AH104" i="15" s="1"/>
  <c r="AH105" i="15" s="1"/>
  <c r="AH106" i="15" s="1"/>
  <c r="AH107" i="15" s="1"/>
  <c r="AH108" i="15" s="1"/>
  <c r="AH109" i="15" s="1"/>
  <c r="AH110" i="15" s="1"/>
  <c r="AH111" i="15" s="1"/>
  <c r="AH112" i="15" s="1"/>
  <c r="AH113" i="15" s="1"/>
  <c r="AH114" i="15" s="1"/>
  <c r="AH115" i="15" s="1"/>
  <c r="AH116" i="15" s="1"/>
  <c r="AH117" i="15" s="1"/>
  <c r="AH118" i="15" s="1"/>
  <c r="AH119" i="15" s="1"/>
  <c r="AH120" i="15" s="1"/>
  <c r="AH121" i="15" s="1"/>
  <c r="AH122" i="15" s="1"/>
  <c r="AH123" i="15" s="1"/>
  <c r="AH124" i="15" s="1"/>
  <c r="AH125" i="15" s="1"/>
  <c r="AH126" i="15" s="1"/>
  <c r="AH127" i="15" s="1"/>
  <c r="AH128" i="15" s="1"/>
  <c r="AH129" i="15" s="1"/>
  <c r="AH130" i="15" s="1"/>
  <c r="AH131" i="15" s="1"/>
  <c r="AH132" i="15" s="1"/>
  <c r="AH133" i="15" s="1"/>
  <c r="AH134" i="15" s="1"/>
  <c r="AH135" i="15" s="1"/>
  <c r="AH136" i="15" s="1"/>
  <c r="AH137" i="15" s="1"/>
  <c r="AH138" i="15" s="1"/>
  <c r="AH139" i="15" s="1"/>
  <c r="AH140" i="15" s="1"/>
  <c r="AH141" i="15" s="1"/>
  <c r="AH142" i="15" s="1"/>
  <c r="AH143" i="15" s="1"/>
  <c r="G41" i="16"/>
  <c r="G36" i="16"/>
  <c r="G32" i="16"/>
  <c r="G29" i="16"/>
  <c r="G20" i="16"/>
  <c r="G34" i="16"/>
  <c r="G24" i="16"/>
  <c r="G16" i="16"/>
  <c r="G8" i="16"/>
  <c r="G5" i="16"/>
  <c r="G43" i="16"/>
  <c r="G42" i="16"/>
  <c r="G40" i="16"/>
  <c r="G15" i="16"/>
  <c r="G9" i="16"/>
  <c r="G25" i="16"/>
  <c r="G39" i="16"/>
  <c r="G26" i="16"/>
  <c r="G18" i="16"/>
  <c r="G27" i="16"/>
  <c r="G22" i="16"/>
  <c r="G11" i="16"/>
  <c r="G10" i="16"/>
  <c r="G14" i="16"/>
  <c r="G37" i="16"/>
  <c r="G19" i="16"/>
  <c r="G13" i="16"/>
  <c r="G21" i="16"/>
  <c r="G12" i="16"/>
  <c r="G38" i="16"/>
  <c r="G28" i="16"/>
  <c r="G7" i="16"/>
  <c r="Q9" i="16"/>
  <c r="Q10" i="16" s="1"/>
  <c r="Q11" i="16" s="1"/>
  <c r="Q12" i="16" s="1"/>
  <c r="Q13" i="16" s="1"/>
  <c r="Q14" i="16" s="1"/>
  <c r="Q15" i="16" s="1"/>
  <c r="Q16" i="16" s="1"/>
  <c r="Q17" i="16" s="1"/>
  <c r="Q18" i="16" s="1"/>
  <c r="Q19" i="16" s="1"/>
  <c r="Q20" i="16" s="1"/>
  <c r="Q21" i="16" s="1"/>
  <c r="Q22" i="16" s="1"/>
  <c r="Q23" i="16" s="1"/>
  <c r="Q24" i="16" s="1"/>
  <c r="Q25" i="16" s="1"/>
  <c r="Q26" i="16" s="1"/>
  <c r="Q27" i="16" s="1"/>
  <c r="Q28" i="16" s="1"/>
  <c r="Q29" i="16" s="1"/>
  <c r="Q30" i="16" s="1"/>
  <c r="Q31" i="16" s="1"/>
  <c r="Q32" i="16" s="1"/>
  <c r="Q33" i="16" s="1"/>
  <c r="Q34" i="16" s="1"/>
  <c r="Q35" i="16" s="1"/>
  <c r="Q36" i="16" s="1"/>
  <c r="Q37" i="16" s="1"/>
  <c r="Q38" i="16" s="1"/>
  <c r="Q39" i="16" s="1"/>
  <c r="Q40" i="16" s="1"/>
  <c r="Q41" i="16" s="1"/>
  <c r="Q42" i="16" s="1"/>
  <c r="Q43" i="16" s="1"/>
  <c r="Q44" i="16" s="1"/>
  <c r="Q45" i="16" s="1"/>
  <c r="Q46" i="16" s="1"/>
  <c r="Q47" i="16" s="1"/>
  <c r="Q48" i="16" s="1"/>
  <c r="Q49" i="16" s="1"/>
  <c r="Q50" i="16" s="1"/>
  <c r="Q51" i="16" s="1"/>
  <c r="Q52" i="16" s="1"/>
  <c r="Q53" i="16" s="1"/>
  <c r="Q54" i="16" s="1"/>
  <c r="Q55" i="16" s="1"/>
  <c r="Q56" i="16" s="1"/>
  <c r="Q57" i="16" s="1"/>
  <c r="Q58" i="16" s="1"/>
  <c r="Q59" i="16" s="1"/>
  <c r="Q60" i="16" s="1"/>
  <c r="Q61" i="16" s="1"/>
  <c r="Q62" i="16" s="1"/>
  <c r="Q63" i="16" s="1"/>
  <c r="Q64" i="16" s="1"/>
  <c r="Q65" i="16" s="1"/>
  <c r="Q66" i="16" s="1"/>
  <c r="Q67" i="16" s="1"/>
  <c r="G17" i="16"/>
  <c r="X16" i="16"/>
  <c r="X17" i="16" s="1"/>
  <c r="X18" i="16" s="1"/>
  <c r="X19" i="16" s="1"/>
  <c r="X20" i="16" s="1"/>
  <c r="X21" i="16" s="1"/>
  <c r="X22" i="16" s="1"/>
  <c r="X23" i="16" s="1"/>
  <c r="X24" i="16" s="1"/>
  <c r="X25" i="16" s="1"/>
  <c r="X26" i="16" s="1"/>
  <c r="X27" i="16" s="1"/>
  <c r="X28" i="16" s="1"/>
  <c r="X29" i="16" s="1"/>
  <c r="X30" i="16" s="1"/>
  <c r="X31" i="16" s="1"/>
  <c r="X32" i="16" s="1"/>
  <c r="X33" i="16" s="1"/>
  <c r="X34" i="16" s="1"/>
  <c r="X35" i="16" s="1"/>
  <c r="X36" i="16" s="1"/>
  <c r="X37" i="16" s="1"/>
  <c r="X38" i="16" s="1"/>
  <c r="X39" i="16" s="1"/>
  <c r="X40" i="16" s="1"/>
  <c r="X41" i="16" s="1"/>
  <c r="X42" i="16" s="1"/>
  <c r="X43" i="16" s="1"/>
  <c r="X44" i="16" s="1"/>
  <c r="X45" i="16" s="1"/>
  <c r="X46" i="16" s="1"/>
  <c r="X47" i="16" s="1"/>
  <c r="X48" i="16" s="1"/>
  <c r="X49" i="16" s="1"/>
  <c r="X50" i="16" s="1"/>
  <c r="X51" i="16" s="1"/>
  <c r="X52" i="16" s="1"/>
  <c r="X53" i="16" s="1"/>
  <c r="X54" i="16" s="1"/>
  <c r="X55" i="16" s="1"/>
  <c r="X56" i="16" s="1"/>
  <c r="X57" i="16" s="1"/>
  <c r="X58" i="16" s="1"/>
  <c r="X59" i="16" s="1"/>
  <c r="X60" i="16" s="1"/>
  <c r="X61" i="16" s="1"/>
  <c r="X62" i="16" s="1"/>
  <c r="X63" i="16" s="1"/>
  <c r="X64" i="16" s="1"/>
  <c r="X65" i="16" s="1"/>
  <c r="X66" i="16" s="1"/>
  <c r="X67" i="16" s="1"/>
  <c r="X68" i="16" s="1"/>
  <c r="X69" i="16" s="1"/>
  <c r="X70" i="16" s="1"/>
  <c r="X71" i="16" s="1"/>
  <c r="X72" i="16" s="1"/>
  <c r="X73" i="16" s="1"/>
  <c r="X74" i="16" s="1"/>
  <c r="U13" i="16"/>
  <c r="U14" i="16" s="1"/>
  <c r="U15" i="16" s="1"/>
  <c r="U16" i="16" s="1"/>
  <c r="U17" i="16" s="1"/>
  <c r="U18" i="16" s="1"/>
  <c r="U19" i="16" s="1"/>
  <c r="U20" i="16" s="1"/>
  <c r="U21" i="16" s="1"/>
  <c r="U22" i="16" s="1"/>
  <c r="U23" i="16" s="1"/>
  <c r="U24" i="16" s="1"/>
  <c r="U25" i="16" s="1"/>
  <c r="U26" i="16" s="1"/>
  <c r="U27" i="16" s="1"/>
  <c r="U28" i="16" s="1"/>
  <c r="U29" i="16" s="1"/>
  <c r="U30" i="16" s="1"/>
  <c r="U31" i="16" s="1"/>
  <c r="U32" i="16" s="1"/>
  <c r="U33" i="16" s="1"/>
  <c r="U34" i="16" s="1"/>
  <c r="U35" i="16" s="1"/>
  <c r="U36" i="16" s="1"/>
  <c r="U37" i="16" s="1"/>
  <c r="U38" i="16" s="1"/>
  <c r="U39" i="16" s="1"/>
  <c r="U40" i="16" s="1"/>
  <c r="U41" i="16" s="1"/>
  <c r="U42" i="16" s="1"/>
  <c r="U43" i="16" s="1"/>
  <c r="U44" i="16" s="1"/>
  <c r="U45" i="16" s="1"/>
  <c r="U46" i="16" s="1"/>
  <c r="U47" i="16" s="1"/>
  <c r="U48" i="16" s="1"/>
  <c r="U49" i="16" s="1"/>
  <c r="U50" i="16" s="1"/>
  <c r="U51" i="16" s="1"/>
  <c r="U52" i="16" s="1"/>
  <c r="U53" i="16" s="1"/>
  <c r="U54" i="16" s="1"/>
  <c r="U55" i="16" s="1"/>
  <c r="U56" i="16" s="1"/>
  <c r="U57" i="16" s="1"/>
  <c r="U58" i="16" s="1"/>
  <c r="U59" i="16" s="1"/>
  <c r="U60" i="16" s="1"/>
  <c r="U61" i="16" s="1"/>
  <c r="U62" i="16" s="1"/>
  <c r="U63" i="16" s="1"/>
  <c r="U64" i="16" s="1"/>
  <c r="U65" i="16" s="1"/>
  <c r="U66" i="16" s="1"/>
  <c r="U67" i="16" s="1"/>
  <c r="U68" i="16" s="1"/>
  <c r="U69" i="16" s="1"/>
  <c r="U70" i="16" s="1"/>
  <c r="U71" i="16" s="1"/>
  <c r="AA19" i="16"/>
  <c r="AA20" i="16"/>
  <c r="AA21" i="16" s="1"/>
  <c r="AA22" i="16" s="1"/>
  <c r="AA23" i="16" s="1"/>
  <c r="AA24" i="16" s="1"/>
  <c r="AA25" i="16" s="1"/>
  <c r="AA26" i="16" s="1"/>
  <c r="AA27" i="16" s="1"/>
  <c r="AA28" i="16" s="1"/>
  <c r="AA29" i="16" s="1"/>
  <c r="AA30" i="16" s="1"/>
  <c r="AA31" i="16" s="1"/>
  <c r="AA32" i="16" s="1"/>
  <c r="AA33" i="16" s="1"/>
  <c r="AA34" i="16" s="1"/>
  <c r="AA35" i="16" s="1"/>
  <c r="AA36" i="16" s="1"/>
  <c r="AA37" i="16" s="1"/>
  <c r="AA38" i="16" s="1"/>
  <c r="AA39" i="16" s="1"/>
  <c r="AA40" i="16" s="1"/>
  <c r="AA41" i="16" s="1"/>
  <c r="AA42" i="16" s="1"/>
  <c r="AA43" i="16" s="1"/>
  <c r="AA44" i="16" s="1"/>
  <c r="AA45" i="16" s="1"/>
  <c r="AA46" i="16" s="1"/>
  <c r="AA47" i="16" s="1"/>
  <c r="AA48" i="16" s="1"/>
  <c r="AA49" i="16" s="1"/>
  <c r="AA50" i="16" s="1"/>
  <c r="AA51" i="16" s="1"/>
  <c r="AA52" i="16" s="1"/>
  <c r="AA53" i="16" s="1"/>
  <c r="AA54" i="16" s="1"/>
  <c r="AA55" i="16" s="1"/>
  <c r="AA56" i="16" s="1"/>
  <c r="AA57" i="16" s="1"/>
  <c r="AA58" i="16" s="1"/>
  <c r="AA59" i="16" s="1"/>
  <c r="AA60" i="16" s="1"/>
  <c r="AA61" i="16" s="1"/>
  <c r="AA62" i="16" s="1"/>
  <c r="AA63" i="16" s="1"/>
  <c r="AA64" i="16" s="1"/>
  <c r="AA65" i="16" s="1"/>
  <c r="AA66" i="16" s="1"/>
  <c r="AA67" i="16" s="1"/>
  <c r="AA68" i="16" s="1"/>
  <c r="AA69" i="16" s="1"/>
  <c r="AA70" i="16" s="1"/>
  <c r="AA71" i="16" s="1"/>
  <c r="AA72" i="16" s="1"/>
  <c r="AA73" i="16" s="1"/>
  <c r="AA74" i="16" s="1"/>
  <c r="AA75" i="16" s="1"/>
  <c r="AA76" i="16" s="1"/>
  <c r="AA77" i="16" s="1"/>
  <c r="H6" i="17"/>
  <c r="Q8" i="17"/>
  <c r="S11" i="16"/>
  <c r="S12" i="16" s="1"/>
  <c r="S13" i="16" s="1"/>
  <c r="S14" i="16" s="1"/>
  <c r="S15" i="16" s="1"/>
  <c r="S16" i="16" s="1"/>
  <c r="S17" i="16" s="1"/>
  <c r="S18" i="16" s="1"/>
  <c r="S19" i="16" s="1"/>
  <c r="S20" i="16" s="1"/>
  <c r="S21" i="16" s="1"/>
  <c r="S22" i="16" s="1"/>
  <c r="S23" i="16" s="1"/>
  <c r="S24" i="16" s="1"/>
  <c r="S25" i="16" s="1"/>
  <c r="S26" i="16" s="1"/>
  <c r="S27" i="16" s="1"/>
  <c r="S28" i="16" s="1"/>
  <c r="S29" i="16" s="1"/>
  <c r="S30" i="16" s="1"/>
  <c r="S31" i="16" s="1"/>
  <c r="S32" i="16" s="1"/>
  <c r="S33" i="16" s="1"/>
  <c r="S34" i="16" s="1"/>
  <c r="S35" i="16" s="1"/>
  <c r="S36" i="16" s="1"/>
  <c r="S37" i="16" s="1"/>
  <c r="S38" i="16" s="1"/>
  <c r="S39" i="16" s="1"/>
  <c r="S40" i="16" s="1"/>
  <c r="S41" i="16" s="1"/>
  <c r="S42" i="16" s="1"/>
  <c r="S43" i="16" s="1"/>
  <c r="S44" i="16" s="1"/>
  <c r="S45" i="16" s="1"/>
  <c r="S46" i="16" s="1"/>
  <c r="S47" i="16" s="1"/>
  <c r="S48" i="16" s="1"/>
  <c r="S49" i="16" s="1"/>
  <c r="S50" i="16" s="1"/>
  <c r="S51" i="16" s="1"/>
  <c r="S52" i="16" s="1"/>
  <c r="S53" i="16" s="1"/>
  <c r="S54" i="16" s="1"/>
  <c r="S55" i="16" s="1"/>
  <c r="S56" i="16" s="1"/>
  <c r="S57" i="16" s="1"/>
  <c r="S58" i="16" s="1"/>
  <c r="S59" i="16" s="1"/>
  <c r="S60" i="16" s="1"/>
  <c r="S61" i="16" s="1"/>
  <c r="S62" i="16" s="1"/>
  <c r="S63" i="16" s="1"/>
  <c r="S64" i="16" s="1"/>
  <c r="S65" i="16" s="1"/>
  <c r="S66" i="16" s="1"/>
  <c r="S67" i="16" s="1"/>
  <c r="S68" i="16" s="1"/>
  <c r="S69" i="16" s="1"/>
  <c r="U12" i="17"/>
  <c r="U13" i="17"/>
  <c r="U14" i="17" s="1"/>
  <c r="U15" i="17" s="1"/>
  <c r="U16" i="17" s="1"/>
  <c r="U17" i="17" s="1"/>
  <c r="U18" i="17" s="1"/>
  <c r="U19" i="17" s="1"/>
  <c r="U20" i="17" s="1"/>
  <c r="U21" i="17" s="1"/>
  <c r="U22" i="17" s="1"/>
  <c r="U23" i="17" s="1"/>
  <c r="U24" i="17" s="1"/>
  <c r="U25" i="17" s="1"/>
  <c r="U26" i="17" s="1"/>
  <c r="U27" i="17" s="1"/>
  <c r="U28" i="17" s="1"/>
  <c r="U29" i="17" s="1"/>
  <c r="U30" i="17" s="1"/>
  <c r="U31" i="17" s="1"/>
  <c r="U32" i="17" s="1"/>
  <c r="U33" i="17" s="1"/>
  <c r="U34" i="17" s="1"/>
  <c r="AC14" i="18"/>
  <c r="AL14" i="18" s="1"/>
  <c r="K18" i="18"/>
  <c r="W18" i="18"/>
  <c r="W20" i="18" s="1"/>
  <c r="AL16" i="18"/>
  <c r="AC21" i="16"/>
  <c r="AJ28" i="16"/>
  <c r="AJ29" i="16" s="1"/>
  <c r="AJ30" i="16" s="1"/>
  <c r="AJ31" i="16" s="1"/>
  <c r="AJ32" i="16" s="1"/>
  <c r="AJ33" i="16" s="1"/>
  <c r="AJ34" i="16" s="1"/>
  <c r="AJ35" i="16" s="1"/>
  <c r="AJ36" i="16" s="1"/>
  <c r="AJ37" i="16" s="1"/>
  <c r="AJ38" i="16" s="1"/>
  <c r="AJ39" i="16" s="1"/>
  <c r="AJ40" i="16" s="1"/>
  <c r="AJ41" i="16" s="1"/>
  <c r="AJ42" i="16" s="1"/>
  <c r="AJ43" i="16" s="1"/>
  <c r="AJ44" i="16" s="1"/>
  <c r="AJ45" i="16" s="1"/>
  <c r="AJ46" i="16" s="1"/>
  <c r="AJ47" i="16" s="1"/>
  <c r="AJ48" i="16" s="1"/>
  <c r="AJ49" i="16" s="1"/>
  <c r="AJ50" i="16" s="1"/>
  <c r="AJ51" i="16" s="1"/>
  <c r="AJ52" i="16" s="1"/>
  <c r="AJ53" i="16" s="1"/>
  <c r="AJ54" i="16" s="1"/>
  <c r="AJ55" i="16" s="1"/>
  <c r="AJ56" i="16" s="1"/>
  <c r="AJ57" i="16" s="1"/>
  <c r="AJ58" i="16" s="1"/>
  <c r="AJ59" i="16" s="1"/>
  <c r="AJ60" i="16" s="1"/>
  <c r="AJ61" i="16" s="1"/>
  <c r="AJ62" i="16" s="1"/>
  <c r="AJ63" i="16" s="1"/>
  <c r="AJ64" i="16" s="1"/>
  <c r="AJ65" i="16" s="1"/>
  <c r="AJ66" i="16" s="1"/>
  <c r="AJ67" i="16" s="1"/>
  <c r="AJ68" i="16" s="1"/>
  <c r="AJ69" i="16" s="1"/>
  <c r="AJ70" i="16" s="1"/>
  <c r="AJ71" i="16" s="1"/>
  <c r="AJ72" i="16" s="1"/>
  <c r="AJ73" i="16" s="1"/>
  <c r="AJ74" i="16" s="1"/>
  <c r="AJ75" i="16" s="1"/>
  <c r="AJ76" i="16" s="1"/>
  <c r="AJ77" i="16" s="1"/>
  <c r="AJ78" i="16" s="1"/>
  <c r="AJ79" i="16" s="1"/>
  <c r="AJ80" i="16" s="1"/>
  <c r="AJ81" i="16" s="1"/>
  <c r="AJ82" i="16" s="1"/>
  <c r="AJ83" i="16" s="1"/>
  <c r="AJ84" i="16" s="1"/>
  <c r="AJ85" i="16" s="1"/>
  <c r="AJ86" i="16" s="1"/>
  <c r="W16" i="17"/>
  <c r="W17" i="17" s="1"/>
  <c r="W18" i="17" s="1"/>
  <c r="W19" i="17" s="1"/>
  <c r="W20" i="17" s="1"/>
  <c r="W21" i="17" s="1"/>
  <c r="W22" i="17" s="1"/>
  <c r="W23" i="17" s="1"/>
  <c r="W24" i="17" s="1"/>
  <c r="W25" i="17" s="1"/>
  <c r="W26" i="17" s="1"/>
  <c r="W27" i="17" s="1"/>
  <c r="W28" i="17" s="1"/>
  <c r="W29" i="17" s="1"/>
  <c r="W30" i="17" s="1"/>
  <c r="W31" i="17" s="1"/>
  <c r="W32" i="17" s="1"/>
  <c r="W33" i="17" s="1"/>
  <c r="W34" i="17" s="1"/>
  <c r="W35" i="17" s="1"/>
  <c r="W36" i="17" s="1"/>
  <c r="W15" i="16"/>
  <c r="W16" i="16" s="1"/>
  <c r="W17" i="16" s="1"/>
  <c r="W18" i="16" s="1"/>
  <c r="W19" i="16" s="1"/>
  <c r="W20" i="16" s="1"/>
  <c r="W21" i="16" s="1"/>
  <c r="W22" i="16" s="1"/>
  <c r="W23" i="16" s="1"/>
  <c r="W24" i="16" s="1"/>
  <c r="W25" i="16" s="1"/>
  <c r="W26" i="16" s="1"/>
  <c r="W27" i="16" s="1"/>
  <c r="W28" i="16" s="1"/>
  <c r="W29" i="16" s="1"/>
  <c r="W30" i="16" s="1"/>
  <c r="W31" i="16" s="1"/>
  <c r="W32" i="16" s="1"/>
  <c r="W33" i="16" s="1"/>
  <c r="W34" i="16" s="1"/>
  <c r="W35" i="16" s="1"/>
  <c r="W36" i="16" s="1"/>
  <c r="W37" i="16" s="1"/>
  <c r="W38" i="16" s="1"/>
  <c r="W39" i="16" s="1"/>
  <c r="W40" i="16" s="1"/>
  <c r="W41" i="16" s="1"/>
  <c r="W42" i="16" s="1"/>
  <c r="W43" i="16" s="1"/>
  <c r="W44" i="16" s="1"/>
  <c r="W45" i="16" s="1"/>
  <c r="W46" i="16" s="1"/>
  <c r="W47" i="16" s="1"/>
  <c r="W48" i="16" s="1"/>
  <c r="W49" i="16" s="1"/>
  <c r="W50" i="16" s="1"/>
  <c r="W51" i="16" s="1"/>
  <c r="W52" i="16" s="1"/>
  <c r="W53" i="16" s="1"/>
  <c r="W54" i="16" s="1"/>
  <c r="W55" i="16" s="1"/>
  <c r="W56" i="16" s="1"/>
  <c r="W57" i="16" s="1"/>
  <c r="W58" i="16" s="1"/>
  <c r="W59" i="16" s="1"/>
  <c r="W60" i="16" s="1"/>
  <c r="W61" i="16" s="1"/>
  <c r="W62" i="16" s="1"/>
  <c r="W63" i="16" s="1"/>
  <c r="W64" i="16" s="1"/>
  <c r="W65" i="16" s="1"/>
  <c r="W66" i="16" s="1"/>
  <c r="W67" i="16" s="1"/>
  <c r="W68" i="16" s="1"/>
  <c r="W69" i="16" s="1"/>
  <c r="W70" i="16" s="1"/>
  <c r="W71" i="16" s="1"/>
  <c r="W72" i="16" s="1"/>
  <c r="W73" i="16" s="1"/>
  <c r="AD22" i="16"/>
  <c r="AD23" i="16" s="1"/>
  <c r="AD24" i="16" s="1"/>
  <c r="AD25" i="16" s="1"/>
  <c r="AD26" i="16" s="1"/>
  <c r="AD27" i="16" s="1"/>
  <c r="AD28" i="16" s="1"/>
  <c r="AD29" i="16" s="1"/>
  <c r="AD30" i="16" s="1"/>
  <c r="AD31" i="16" s="1"/>
  <c r="AD32" i="16" s="1"/>
  <c r="AD33" i="16" s="1"/>
  <c r="AD34" i="16" s="1"/>
  <c r="AD35" i="16" s="1"/>
  <c r="AD36" i="16" s="1"/>
  <c r="AD37" i="16" s="1"/>
  <c r="AD38" i="16" s="1"/>
  <c r="AD39" i="16" s="1"/>
  <c r="AD40" i="16" s="1"/>
  <c r="AD41" i="16" s="1"/>
  <c r="AD42" i="16" s="1"/>
  <c r="AD43" i="16" s="1"/>
  <c r="AD44" i="16" s="1"/>
  <c r="AD45" i="16" s="1"/>
  <c r="AD46" i="16" s="1"/>
  <c r="AD47" i="16" s="1"/>
  <c r="AD48" i="16" s="1"/>
  <c r="AD49" i="16" s="1"/>
  <c r="AD50" i="16" s="1"/>
  <c r="AD51" i="16" s="1"/>
  <c r="AD52" i="16" s="1"/>
  <c r="AD53" i="16" s="1"/>
  <c r="AD54" i="16" s="1"/>
  <c r="AD55" i="16" s="1"/>
  <c r="AD56" i="16" s="1"/>
  <c r="AD57" i="16" s="1"/>
  <c r="AD58" i="16" s="1"/>
  <c r="AD59" i="16" s="1"/>
  <c r="AD60" i="16" s="1"/>
  <c r="AD61" i="16" s="1"/>
  <c r="AD62" i="16" s="1"/>
  <c r="AD63" i="16" s="1"/>
  <c r="AD64" i="16" s="1"/>
  <c r="AD65" i="16" s="1"/>
  <c r="AD66" i="16" s="1"/>
  <c r="AD67" i="16" s="1"/>
  <c r="AD68" i="16" s="1"/>
  <c r="AD69" i="16" s="1"/>
  <c r="AD70" i="16" s="1"/>
  <c r="AD71" i="16" s="1"/>
  <c r="AD72" i="16" s="1"/>
  <c r="AD73" i="16" s="1"/>
  <c r="AD74" i="16" s="1"/>
  <c r="AD75" i="16" s="1"/>
  <c r="AD76" i="16" s="1"/>
  <c r="AD77" i="16" s="1"/>
  <c r="AD78" i="16" s="1"/>
  <c r="AD79" i="16" s="1"/>
  <c r="AD80" i="16" s="1"/>
  <c r="AL55" i="18"/>
  <c r="AC31" i="18"/>
  <c r="AC40" i="18" s="1"/>
  <c r="AC43" i="18" s="1"/>
  <c r="K40" i="18"/>
  <c r="T11" i="17"/>
  <c r="T12" i="17" s="1"/>
  <c r="T13" i="17" s="1"/>
  <c r="T14" i="17" s="1"/>
  <c r="T15" i="17" s="1"/>
  <c r="T16" i="17" s="1"/>
  <c r="T17" i="17" s="1"/>
  <c r="T18" i="17" s="1"/>
  <c r="T19" i="17" s="1"/>
  <c r="T20" i="17" s="1"/>
  <c r="T21" i="17" s="1"/>
  <c r="T22" i="17" s="1"/>
  <c r="T23" i="17" s="1"/>
  <c r="T24" i="17" s="1"/>
  <c r="T25" i="17" s="1"/>
  <c r="T26" i="17" s="1"/>
  <c r="T27" i="17" s="1"/>
  <c r="T28" i="17" s="1"/>
  <c r="T29" i="17" s="1"/>
  <c r="T30" i="17" s="1"/>
  <c r="T31" i="17" s="1"/>
  <c r="T32" i="17" s="1"/>
  <c r="T33" i="17" s="1"/>
  <c r="H22" i="17"/>
  <c r="AB18" i="18"/>
  <c r="AB21" i="18" s="1"/>
  <c r="H10" i="17"/>
  <c r="H17" i="17"/>
  <c r="Y28" i="18"/>
  <c r="Y40" i="18" s="1"/>
  <c r="Y43" i="18" s="1"/>
  <c r="AL43" i="18" s="1"/>
  <c r="G40" i="18"/>
  <c r="AL38" i="18"/>
  <c r="H11" i="17"/>
  <c r="H16" i="17"/>
  <c r="J18" i="18"/>
  <c r="O5" i="17"/>
  <c r="H20" i="17"/>
  <c r="H32" i="17"/>
  <c r="H24" i="17"/>
  <c r="H14" i="17"/>
  <c r="H5" i="17"/>
  <c r="M5" i="17" s="1"/>
  <c r="H34" i="17"/>
  <c r="H33" i="17"/>
  <c r="H26" i="17"/>
  <c r="H25" i="17"/>
  <c r="H27" i="17"/>
  <c r="H31" i="17"/>
  <c r="H23" i="17"/>
  <c r="H18" i="17"/>
  <c r="H15" i="17"/>
  <c r="H12" i="17"/>
  <c r="H8" i="17"/>
  <c r="H7" i="17"/>
  <c r="H13" i="17"/>
  <c r="H30" i="17"/>
  <c r="H21" i="17"/>
  <c r="H19" i="17"/>
  <c r="H28" i="17"/>
  <c r="H29" i="17"/>
  <c r="V13" i="17"/>
  <c r="V14" i="17" s="1"/>
  <c r="V15" i="17" s="1"/>
  <c r="V16" i="17" s="1"/>
  <c r="V17" i="17" s="1"/>
  <c r="V18" i="17" s="1"/>
  <c r="V19" i="17" s="1"/>
  <c r="V20" i="17" s="1"/>
  <c r="V21" i="17" s="1"/>
  <c r="V22" i="17" s="1"/>
  <c r="V23" i="17" s="1"/>
  <c r="V24" i="17" s="1"/>
  <c r="V25" i="17" s="1"/>
  <c r="V26" i="17" s="1"/>
  <c r="V27" i="17" s="1"/>
  <c r="V28" i="17" s="1"/>
  <c r="V29" i="17" s="1"/>
  <c r="V30" i="17" s="1"/>
  <c r="V31" i="17" s="1"/>
  <c r="V32" i="17" s="1"/>
  <c r="V33" i="17" s="1"/>
  <c r="V34" i="17" s="1"/>
  <c r="V35" i="17" s="1"/>
  <c r="AD18" i="18"/>
  <c r="AD21" i="18" s="1"/>
  <c r="AL39" i="18"/>
  <c r="AP40" i="18"/>
  <c r="P7" i="17"/>
  <c r="P8" i="17" s="1"/>
  <c r="P9" i="17" s="1"/>
  <c r="P10" i="17" s="1"/>
  <c r="P11" i="17" s="1"/>
  <c r="P12" i="17" s="1"/>
  <c r="P13" i="17" s="1"/>
  <c r="P14" i="17" s="1"/>
  <c r="P15" i="17" s="1"/>
  <c r="P16" i="17" s="1"/>
  <c r="P17" i="17" s="1"/>
  <c r="P18" i="17" s="1"/>
  <c r="P19" i="17" s="1"/>
  <c r="P20" i="17" s="1"/>
  <c r="P21" i="17" s="1"/>
  <c r="P22" i="17" s="1"/>
  <c r="P23" i="17" s="1"/>
  <c r="P24" i="17" s="1"/>
  <c r="P25" i="17" s="1"/>
  <c r="P26" i="17" s="1"/>
  <c r="P27" i="17" s="1"/>
  <c r="P28" i="17" s="1"/>
  <c r="P29" i="17" s="1"/>
  <c r="V40" i="18"/>
  <c r="V42" i="18"/>
  <c r="Y18" i="18"/>
  <c r="Y21" i="18" s="1"/>
  <c r="AI18" i="18"/>
  <c r="AI21" i="18"/>
  <c r="AS13" i="18"/>
  <c r="AP18" i="18"/>
  <c r="AL34" i="18"/>
  <c r="AE62" i="18"/>
  <c r="AE64" i="18" s="1"/>
  <c r="Y16" i="17"/>
  <c r="Y17" i="17" s="1"/>
  <c r="Y18" i="17" s="1"/>
  <c r="Y19" i="17" s="1"/>
  <c r="Y20" i="17" s="1"/>
  <c r="Y21" i="17" s="1"/>
  <c r="Y22" i="17" s="1"/>
  <c r="Y23" i="17" s="1"/>
  <c r="Y24" i="17" s="1"/>
  <c r="Y25" i="17" s="1"/>
  <c r="Y26" i="17" s="1"/>
  <c r="Y27" i="17" s="1"/>
  <c r="Y28" i="17" s="1"/>
  <c r="Y29" i="17" s="1"/>
  <c r="Y30" i="17" s="1"/>
  <c r="Y31" i="17" s="1"/>
  <c r="Y32" i="17" s="1"/>
  <c r="Y33" i="17" s="1"/>
  <c r="Y34" i="17" s="1"/>
  <c r="Y35" i="17" s="1"/>
  <c r="Y36" i="17" s="1"/>
  <c r="Y37" i="17" s="1"/>
  <c r="Y38" i="17" s="1"/>
  <c r="AE18" i="18"/>
  <c r="AE20" i="18" s="1"/>
  <c r="W62" i="18"/>
  <c r="W64" i="18"/>
  <c r="R9" i="17"/>
  <c r="X15" i="17"/>
  <c r="X16" i="17" s="1"/>
  <c r="X17" i="17" s="1"/>
  <c r="X18" i="17" s="1"/>
  <c r="X19" i="17" s="1"/>
  <c r="X20" i="17" s="1"/>
  <c r="X21" i="17" s="1"/>
  <c r="X22" i="17" s="1"/>
  <c r="X23" i="17" s="1"/>
  <c r="X24" i="17" s="1"/>
  <c r="X25" i="17" s="1"/>
  <c r="X26" i="17" s="1"/>
  <c r="X27" i="17" s="1"/>
  <c r="X28" i="17" s="1"/>
  <c r="X29" i="17" s="1"/>
  <c r="X30" i="17" s="1"/>
  <c r="X31" i="17" s="1"/>
  <c r="X32" i="17" s="1"/>
  <c r="X33" i="17" s="1"/>
  <c r="X34" i="17" s="1"/>
  <c r="X35" i="17" s="1"/>
  <c r="X36" i="17" s="1"/>
  <c r="X37" i="17" s="1"/>
  <c r="Z17" i="17"/>
  <c r="Z18" i="17" s="1"/>
  <c r="Z19" i="17" s="1"/>
  <c r="Z20" i="17" s="1"/>
  <c r="Z21" i="17" s="1"/>
  <c r="Z22" i="17" s="1"/>
  <c r="Z23" i="17" s="1"/>
  <c r="Z24" i="17" s="1"/>
  <c r="Z25" i="17" s="1"/>
  <c r="Z26" i="17" s="1"/>
  <c r="Z27" i="17" s="1"/>
  <c r="Z28" i="17" s="1"/>
  <c r="Z29" i="17" s="1"/>
  <c r="Z30" i="17" s="1"/>
  <c r="Z31" i="17" s="1"/>
  <c r="Z32" i="17" s="1"/>
  <c r="Z33" i="17" s="1"/>
  <c r="Z34" i="17" s="1"/>
  <c r="Z35" i="17" s="1"/>
  <c r="Z36" i="17" s="1"/>
  <c r="Z37" i="17" s="1"/>
  <c r="Z38" i="17" s="1"/>
  <c r="Z39" i="17" s="1"/>
  <c r="I18" i="18"/>
  <c r="AA12" i="18"/>
  <c r="AA18" i="18" s="1"/>
  <c r="AA21" i="18" s="1"/>
  <c r="AK18" i="18"/>
  <c r="AK20" i="18" s="1"/>
  <c r="X18" i="18"/>
  <c r="X20" i="18" s="1"/>
  <c r="L40" i="18"/>
  <c r="AF40" i="18"/>
  <c r="AF42" i="18" s="1"/>
  <c r="AL42" i="18" s="1"/>
  <c r="AQ40" i="18"/>
  <c r="AS28" i="18"/>
  <c r="AG40" i="18"/>
  <c r="AG42" i="18" s="1"/>
  <c r="W84" i="18"/>
  <c r="W86" i="18"/>
  <c r="AE84" i="18"/>
  <c r="AE86" i="18" s="1"/>
  <c r="AS84" i="18"/>
  <c r="AL81" i="18"/>
  <c r="AJ40" i="18"/>
  <c r="AJ42" i="18" s="1"/>
  <c r="AS30" i="18"/>
  <c r="AL37" i="18"/>
  <c r="AI62" i="18"/>
  <c r="AI65" i="18" s="1"/>
  <c r="AA84" i="18"/>
  <c r="AA87" i="18"/>
  <c r="AI84" i="18"/>
  <c r="AI87" i="18" s="1"/>
  <c r="H33" i="19"/>
  <c r="P12" i="19"/>
  <c r="P13" i="19" s="1"/>
  <c r="P14" i="19" s="1"/>
  <c r="P15" i="19" s="1"/>
  <c r="P16" i="19" s="1"/>
  <c r="P17" i="19" s="1"/>
  <c r="P18" i="19" s="1"/>
  <c r="P19" i="19" s="1"/>
  <c r="P20" i="19" s="1"/>
  <c r="P21" i="19" s="1"/>
  <c r="P22" i="19" s="1"/>
  <c r="P23" i="19" s="1"/>
  <c r="P24" i="19" s="1"/>
  <c r="P25" i="19" s="1"/>
  <c r="P26" i="19" s="1"/>
  <c r="P27" i="19" s="1"/>
  <c r="P28" i="19" s="1"/>
  <c r="P29" i="19" s="1"/>
  <c r="P30" i="19" s="1"/>
  <c r="P31" i="19" s="1"/>
  <c r="P32" i="19" s="1"/>
  <c r="P33" i="19" s="1"/>
  <c r="P34" i="19" s="1"/>
  <c r="P35" i="19" s="1"/>
  <c r="P36" i="19" s="1"/>
  <c r="P37" i="19" s="1"/>
  <c r="P38" i="19" s="1"/>
  <c r="P39" i="19" s="1"/>
  <c r="P40" i="19" s="1"/>
  <c r="P41" i="19" s="1"/>
  <c r="P42" i="19" s="1"/>
  <c r="P43" i="19" s="1"/>
  <c r="P44" i="19" s="1"/>
  <c r="P45" i="19" s="1"/>
  <c r="P46" i="19" s="1"/>
  <c r="P47" i="19" s="1"/>
  <c r="P48" i="19" s="1"/>
  <c r="P49" i="19" s="1"/>
  <c r="P50" i="19" s="1"/>
  <c r="P51" i="19" s="1"/>
  <c r="P52" i="19" s="1"/>
  <c r="P53" i="19" s="1"/>
  <c r="P54" i="19" s="1"/>
  <c r="P55" i="19" s="1"/>
  <c r="P56" i="19" s="1"/>
  <c r="P57" i="19" s="1"/>
  <c r="P58" i="19" s="1"/>
  <c r="P59" i="19" s="1"/>
  <c r="P60" i="19" s="1"/>
  <c r="P61" i="19" s="1"/>
  <c r="P62" i="19" s="1"/>
  <c r="P63" i="19" s="1"/>
  <c r="P64" i="19" s="1"/>
  <c r="P65" i="19" s="1"/>
  <c r="P66" i="19" s="1"/>
  <c r="P67" i="19" s="1"/>
  <c r="AL13" i="18"/>
  <c r="AA28" i="18"/>
  <c r="AA40" i="18" s="1"/>
  <c r="AA43" i="18" s="1"/>
  <c r="I40" i="18"/>
  <c r="AB40" i="18"/>
  <c r="AB43" i="18" s="1"/>
  <c r="AL35" i="18"/>
  <c r="AA50" i="18"/>
  <c r="AA62" i="18" s="1"/>
  <c r="AA65" i="18" s="1"/>
  <c r="AJ62" i="18"/>
  <c r="AJ64" i="18"/>
  <c r="K7" i="19"/>
  <c r="K8" i="19" s="1"/>
  <c r="K9" i="19" s="1"/>
  <c r="K10" i="19" s="1"/>
  <c r="K11" i="19" s="1"/>
  <c r="K12" i="19" s="1"/>
  <c r="K13" i="19" s="1"/>
  <c r="K14" i="19" s="1"/>
  <c r="K15" i="19" s="1"/>
  <c r="K16" i="19" s="1"/>
  <c r="K17" i="19" s="1"/>
  <c r="K18" i="19" s="1"/>
  <c r="K19" i="19" s="1"/>
  <c r="K20" i="19" s="1"/>
  <c r="K21" i="19" s="1"/>
  <c r="K22" i="19" s="1"/>
  <c r="K23" i="19" s="1"/>
  <c r="K24" i="19" s="1"/>
  <c r="K25" i="19" s="1"/>
  <c r="K26" i="19" s="1"/>
  <c r="K27" i="19" s="1"/>
  <c r="K28" i="19" s="1"/>
  <c r="K29" i="19" s="1"/>
  <c r="K30" i="19" s="1"/>
  <c r="K31" i="19" s="1"/>
  <c r="K32" i="19" s="1"/>
  <c r="K33" i="19" s="1"/>
  <c r="K34" i="19" s="1"/>
  <c r="K35" i="19" s="1"/>
  <c r="K36" i="19" s="1"/>
  <c r="K37" i="19" s="1"/>
  <c r="K38" i="19" s="1"/>
  <c r="K39" i="19" s="1"/>
  <c r="K40" i="19" s="1"/>
  <c r="K41" i="19" s="1"/>
  <c r="K42" i="19" s="1"/>
  <c r="K43" i="19" s="1"/>
  <c r="K44" i="19" s="1"/>
  <c r="K45" i="19" s="1"/>
  <c r="K46" i="19" s="1"/>
  <c r="K47" i="19" s="1"/>
  <c r="K48" i="19" s="1"/>
  <c r="K49" i="19" s="1"/>
  <c r="K50" i="19" s="1"/>
  <c r="K51" i="19" s="1"/>
  <c r="K52" i="19" s="1"/>
  <c r="K53" i="19" s="1"/>
  <c r="K54" i="19" s="1"/>
  <c r="K55" i="19" s="1"/>
  <c r="K56" i="19" s="1"/>
  <c r="K57" i="19" s="1"/>
  <c r="K58" i="19" s="1"/>
  <c r="K59" i="19" s="1"/>
  <c r="K60" i="19" s="1"/>
  <c r="K61" i="19" s="1"/>
  <c r="K62" i="19" s="1"/>
  <c r="K63" i="19" s="1"/>
  <c r="K64" i="19" s="1"/>
  <c r="K65" i="19" s="1"/>
  <c r="H21" i="19"/>
  <c r="H30" i="19"/>
  <c r="V18" i="18"/>
  <c r="V20" i="18" s="1"/>
  <c r="G18" i="18"/>
  <c r="AD40" i="18"/>
  <c r="AD43" i="18" s="1"/>
  <c r="AE40" i="18"/>
  <c r="AE42" i="18"/>
  <c r="AL36" i="18"/>
  <c r="J40" i="18"/>
  <c r="J62" i="18"/>
  <c r="AB50" i="18"/>
  <c r="AB62" i="18" s="1"/>
  <c r="AB65" i="18" s="1"/>
  <c r="AC84" i="18"/>
  <c r="AC87" i="18"/>
  <c r="H16" i="19"/>
  <c r="H46" i="19"/>
  <c r="H18" i="18"/>
  <c r="Z18" i="18"/>
  <c r="Z21" i="18" s="1"/>
  <c r="AH18" i="18"/>
  <c r="AH20" i="18" s="1"/>
  <c r="AL15" i="18"/>
  <c r="AL17" i="18"/>
  <c r="L18" i="18"/>
  <c r="Y62" i="18"/>
  <c r="Y65" i="18"/>
  <c r="AH84" i="18"/>
  <c r="AH86" i="18" s="1"/>
  <c r="AL77" i="18"/>
  <c r="AL97" i="18"/>
  <c r="H8" i="19"/>
  <c r="N10" i="19"/>
  <c r="N11" i="19" s="1"/>
  <c r="N12" i="19" s="1"/>
  <c r="N13" i="19" s="1"/>
  <c r="N14" i="19" s="1"/>
  <c r="N15" i="19" s="1"/>
  <c r="N16" i="19" s="1"/>
  <c r="N17" i="19" s="1"/>
  <c r="N18" i="19" s="1"/>
  <c r="N19" i="19" s="1"/>
  <c r="N20" i="19" s="1"/>
  <c r="N21" i="19" s="1"/>
  <c r="N22" i="19" s="1"/>
  <c r="N23" i="19" s="1"/>
  <c r="N24" i="19" s="1"/>
  <c r="N25" i="19" s="1"/>
  <c r="N26" i="19" s="1"/>
  <c r="N27" i="19" s="1"/>
  <c r="N28" i="19" s="1"/>
  <c r="N29" i="19" s="1"/>
  <c r="N30" i="19" s="1"/>
  <c r="N31" i="19" s="1"/>
  <c r="N32" i="19" s="1"/>
  <c r="N33" i="19" s="1"/>
  <c r="N34" i="19" s="1"/>
  <c r="N35" i="19" s="1"/>
  <c r="N36" i="19" s="1"/>
  <c r="N37" i="19" s="1"/>
  <c r="N38" i="19" s="1"/>
  <c r="N39" i="19" s="1"/>
  <c r="N40" i="19" s="1"/>
  <c r="N41" i="19" s="1"/>
  <c r="N42" i="19" s="1"/>
  <c r="N43" i="19" s="1"/>
  <c r="N44" i="19" s="1"/>
  <c r="N45" i="19" s="1"/>
  <c r="N46" i="19" s="1"/>
  <c r="N47" i="19" s="1"/>
  <c r="N48" i="19" s="1"/>
  <c r="N49" i="19" s="1"/>
  <c r="N50" i="19" s="1"/>
  <c r="N51" i="19" s="1"/>
  <c r="N52" i="19" s="1"/>
  <c r="N53" i="19" s="1"/>
  <c r="N54" i="19" s="1"/>
  <c r="N55" i="19" s="1"/>
  <c r="N56" i="19" s="1"/>
  <c r="N57" i="19" s="1"/>
  <c r="N58" i="19" s="1"/>
  <c r="N59" i="19" s="1"/>
  <c r="N60" i="19" s="1"/>
  <c r="N61" i="19" s="1"/>
  <c r="N62" i="19" s="1"/>
  <c r="N63" i="19" s="1"/>
  <c r="N64" i="19" s="1"/>
  <c r="N65" i="19" s="1"/>
  <c r="N66" i="19" s="1"/>
  <c r="N67" i="19" s="1"/>
  <c r="AL29" i="18"/>
  <c r="K62" i="18"/>
  <c r="AC50" i="18"/>
  <c r="AC62" i="18" s="1"/>
  <c r="AC65" i="18" s="1"/>
  <c r="AL98" i="18"/>
  <c r="Q13" i="19"/>
  <c r="Q14" i="19" s="1"/>
  <c r="Q15" i="19" s="1"/>
  <c r="Q16" i="19" s="1"/>
  <c r="Q17" i="19" s="1"/>
  <c r="Q18" i="19" s="1"/>
  <c r="Q19" i="19" s="1"/>
  <c r="Q20" i="19" s="1"/>
  <c r="Q21" i="19" s="1"/>
  <c r="Q22" i="19" s="1"/>
  <c r="Q23" i="19" s="1"/>
  <c r="Q24" i="19" s="1"/>
  <c r="Q25" i="19" s="1"/>
  <c r="Q26" i="19" s="1"/>
  <c r="Q27" i="19" s="1"/>
  <c r="Q28" i="19" s="1"/>
  <c r="Q29" i="19" s="1"/>
  <c r="Q30" i="19" s="1"/>
  <c r="Q31" i="19" s="1"/>
  <c r="Q32" i="19" s="1"/>
  <c r="Q33" i="19" s="1"/>
  <c r="Q34" i="19" s="1"/>
  <c r="Q35" i="19" s="1"/>
  <c r="Q36" i="19" s="1"/>
  <c r="Q37" i="19" s="1"/>
  <c r="Q38" i="19" s="1"/>
  <c r="Q39" i="19" s="1"/>
  <c r="Q40" i="19" s="1"/>
  <c r="Q41" i="19" s="1"/>
  <c r="Q42" i="19" s="1"/>
  <c r="Q43" i="19" s="1"/>
  <c r="Q44" i="19" s="1"/>
  <c r="Q45" i="19" s="1"/>
  <c r="Q46" i="19" s="1"/>
  <c r="Q47" i="19" s="1"/>
  <c r="Q48" i="19" s="1"/>
  <c r="Q49" i="19" s="1"/>
  <c r="Q50" i="19" s="1"/>
  <c r="Q51" i="19" s="1"/>
  <c r="Q52" i="19" s="1"/>
  <c r="Q53" i="19" s="1"/>
  <c r="Q54" i="19" s="1"/>
  <c r="Q55" i="19" s="1"/>
  <c r="Q56" i="19" s="1"/>
  <c r="Q57" i="19" s="1"/>
  <c r="Q58" i="19" s="1"/>
  <c r="Q59" i="19" s="1"/>
  <c r="Q60" i="19" s="1"/>
  <c r="Q61" i="19" s="1"/>
  <c r="Q62" i="19" s="1"/>
  <c r="Q63" i="19" s="1"/>
  <c r="Q64" i="19" s="1"/>
  <c r="Q65" i="19" s="1"/>
  <c r="Q66" i="19" s="1"/>
  <c r="Q67" i="19" s="1"/>
  <c r="T16" i="19"/>
  <c r="T17" i="19" s="1"/>
  <c r="T18" i="19" s="1"/>
  <c r="T19" i="19" s="1"/>
  <c r="T20" i="19" s="1"/>
  <c r="T21" i="19" s="1"/>
  <c r="T22" i="19" s="1"/>
  <c r="T23" i="19" s="1"/>
  <c r="T24" i="19" s="1"/>
  <c r="T25" i="19" s="1"/>
  <c r="T26" i="19" s="1"/>
  <c r="T27" i="19" s="1"/>
  <c r="T28" i="19" s="1"/>
  <c r="T29" i="19" s="1"/>
  <c r="T30" i="19" s="1"/>
  <c r="T31" i="19" s="1"/>
  <c r="T32" i="19" s="1"/>
  <c r="T33" i="19" s="1"/>
  <c r="T34" i="19" s="1"/>
  <c r="T35" i="19" s="1"/>
  <c r="T36" i="19" s="1"/>
  <c r="T37" i="19" s="1"/>
  <c r="T38" i="19" s="1"/>
  <c r="T39" i="19" s="1"/>
  <c r="T40" i="19" s="1"/>
  <c r="T41" i="19" s="1"/>
  <c r="T42" i="19" s="1"/>
  <c r="T43" i="19" s="1"/>
  <c r="T44" i="19" s="1"/>
  <c r="T45" i="19" s="1"/>
  <c r="T46" i="19" s="1"/>
  <c r="T47" i="19" s="1"/>
  <c r="T48" i="19" s="1"/>
  <c r="T49" i="19" s="1"/>
  <c r="T50" i="19" s="1"/>
  <c r="T51" i="19" s="1"/>
  <c r="T52" i="19" s="1"/>
  <c r="T53" i="19" s="1"/>
  <c r="T54" i="19" s="1"/>
  <c r="T55" i="19" s="1"/>
  <c r="T56" i="19" s="1"/>
  <c r="T57" i="19" s="1"/>
  <c r="T58" i="19" s="1"/>
  <c r="T59" i="19" s="1"/>
  <c r="T60" i="19" s="1"/>
  <c r="T61" i="19" s="1"/>
  <c r="T62" i="19" s="1"/>
  <c r="T63" i="19" s="1"/>
  <c r="T64" i="19" s="1"/>
  <c r="T65" i="19" s="1"/>
  <c r="T66" i="19" s="1"/>
  <c r="T67" i="19" s="1"/>
  <c r="AH40" i="18"/>
  <c r="AH42" i="18" s="1"/>
  <c r="W40" i="18"/>
  <c r="W42" i="18"/>
  <c r="AN40" i="18"/>
  <c r="AN64" i="18" s="1"/>
  <c r="AP66" i="18" s="1"/>
  <c r="AS35" i="18"/>
  <c r="H62" i="18"/>
  <c r="Z51" i="18"/>
  <c r="Z62" i="18" s="1"/>
  <c r="Z65" i="18" s="1"/>
  <c r="Y84" i="18"/>
  <c r="Y87" i="18" s="1"/>
  <c r="AL87" i="18" s="1"/>
  <c r="AG84" i="18"/>
  <c r="AG86" i="18" s="1"/>
  <c r="AL75" i="18"/>
  <c r="S15" i="19"/>
  <c r="S16" i="19" s="1"/>
  <c r="S17" i="19" s="1"/>
  <c r="S18" i="19" s="1"/>
  <c r="S19" i="19" s="1"/>
  <c r="S20" i="19" s="1"/>
  <c r="S21" i="19" s="1"/>
  <c r="S22" i="19" s="1"/>
  <c r="S23" i="19" s="1"/>
  <c r="S24" i="19" s="1"/>
  <c r="S25" i="19" s="1"/>
  <c r="S26" i="19" s="1"/>
  <c r="S27" i="19" s="1"/>
  <c r="S28" i="19" s="1"/>
  <c r="S29" i="19" s="1"/>
  <c r="S30" i="19" s="1"/>
  <c r="S31" i="19" s="1"/>
  <c r="S32" i="19" s="1"/>
  <c r="S33" i="19" s="1"/>
  <c r="S34" i="19" s="1"/>
  <c r="S35" i="19" s="1"/>
  <c r="S36" i="19" s="1"/>
  <c r="S37" i="19" s="1"/>
  <c r="S38" i="19" s="1"/>
  <c r="S39" i="19" s="1"/>
  <c r="S40" i="19" s="1"/>
  <c r="S41" i="19" s="1"/>
  <c r="S42" i="19" s="1"/>
  <c r="S43" i="19" s="1"/>
  <c r="S44" i="19" s="1"/>
  <c r="S45" i="19" s="1"/>
  <c r="S46" i="19" s="1"/>
  <c r="S47" i="19" s="1"/>
  <c r="S48" i="19" s="1"/>
  <c r="S49" i="19" s="1"/>
  <c r="S50" i="19" s="1"/>
  <c r="S51" i="19" s="1"/>
  <c r="S52" i="19" s="1"/>
  <c r="S53" i="19" s="1"/>
  <c r="S54" i="19" s="1"/>
  <c r="S55" i="19" s="1"/>
  <c r="S56" i="19" s="1"/>
  <c r="S57" i="19" s="1"/>
  <c r="S58" i="19" s="1"/>
  <c r="S59" i="19" s="1"/>
  <c r="S60" i="19" s="1"/>
  <c r="S61" i="19" s="1"/>
  <c r="S62" i="19" s="1"/>
  <c r="S63" i="19" s="1"/>
  <c r="S64" i="19" s="1"/>
  <c r="S65" i="19" s="1"/>
  <c r="S66" i="19" s="1"/>
  <c r="S67" i="19" s="1"/>
  <c r="AF18" i="18"/>
  <c r="AF20" i="18" s="1"/>
  <c r="AQ18" i="18"/>
  <c r="H40" i="18"/>
  <c r="Z40" i="18"/>
  <c r="Z43" i="18" s="1"/>
  <c r="AF62" i="18"/>
  <c r="AF64" i="18" s="1"/>
  <c r="AL64" i="18" s="1"/>
  <c r="AL61" i="18"/>
  <c r="AD84" i="18"/>
  <c r="AD87" i="18"/>
  <c r="AB109" i="18"/>
  <c r="AB112" i="18" s="1"/>
  <c r="AL112" i="18" s="1"/>
  <c r="AJ109" i="18"/>
  <c r="AJ111" i="18"/>
  <c r="AL100" i="18"/>
  <c r="R14" i="19"/>
  <c r="R15" i="19" s="1"/>
  <c r="R16" i="19" s="1"/>
  <c r="R17" i="19" s="1"/>
  <c r="R18" i="19" s="1"/>
  <c r="R19" i="19" s="1"/>
  <c r="R20" i="19" s="1"/>
  <c r="R21" i="19" s="1"/>
  <c r="R22" i="19" s="1"/>
  <c r="R23" i="19" s="1"/>
  <c r="R24" i="19" s="1"/>
  <c r="R25" i="19" s="1"/>
  <c r="R26" i="19" s="1"/>
  <c r="R27" i="19" s="1"/>
  <c r="R28" i="19" s="1"/>
  <c r="R29" i="19" s="1"/>
  <c r="R30" i="19" s="1"/>
  <c r="R31" i="19" s="1"/>
  <c r="R32" i="19" s="1"/>
  <c r="R33" i="19" s="1"/>
  <c r="R34" i="19" s="1"/>
  <c r="R35" i="19" s="1"/>
  <c r="R36" i="19" s="1"/>
  <c r="R37" i="19" s="1"/>
  <c r="R38" i="19" s="1"/>
  <c r="R39" i="19" s="1"/>
  <c r="R40" i="19" s="1"/>
  <c r="R41" i="19" s="1"/>
  <c r="R42" i="19" s="1"/>
  <c r="R43" i="19" s="1"/>
  <c r="R44" i="19" s="1"/>
  <c r="R45" i="19" s="1"/>
  <c r="R46" i="19" s="1"/>
  <c r="R47" i="19" s="1"/>
  <c r="R48" i="19" s="1"/>
  <c r="R49" i="19" s="1"/>
  <c r="R50" i="19" s="1"/>
  <c r="R51" i="19" s="1"/>
  <c r="R52" i="19" s="1"/>
  <c r="R53" i="19" s="1"/>
  <c r="R54" i="19" s="1"/>
  <c r="R55" i="19" s="1"/>
  <c r="R56" i="19" s="1"/>
  <c r="R57" i="19" s="1"/>
  <c r="R58" i="19" s="1"/>
  <c r="R59" i="19" s="1"/>
  <c r="R60" i="19" s="1"/>
  <c r="R61" i="19" s="1"/>
  <c r="R62" i="19" s="1"/>
  <c r="R63" i="19" s="1"/>
  <c r="R64" i="19" s="1"/>
  <c r="R65" i="19" s="1"/>
  <c r="R66" i="19" s="1"/>
  <c r="R67" i="19" s="1"/>
  <c r="H15" i="19"/>
  <c r="AL56" i="18"/>
  <c r="AL74" i="18"/>
  <c r="AL101" i="18"/>
  <c r="H22" i="19"/>
  <c r="H27" i="19"/>
  <c r="H19" i="19"/>
  <c r="H6" i="19"/>
  <c r="H5" i="19"/>
  <c r="H18" i="19"/>
  <c r="H36" i="19"/>
  <c r="H37" i="19"/>
  <c r="H38" i="19"/>
  <c r="H39" i="19"/>
  <c r="H54" i="19"/>
  <c r="L62" i="18"/>
  <c r="AL82" i="18"/>
  <c r="AP109" i="18"/>
  <c r="H9" i="19"/>
  <c r="H12" i="19"/>
  <c r="H20" i="19"/>
  <c r="H28" i="19"/>
  <c r="V62" i="18"/>
  <c r="V64" i="18" s="1"/>
  <c r="AD62" i="18"/>
  <c r="AD65" i="18" s="1"/>
  <c r="AL83" i="18"/>
  <c r="Y109" i="18"/>
  <c r="Y112" i="18"/>
  <c r="AG109" i="18"/>
  <c r="AG111" i="18" s="1"/>
  <c r="AL111" i="18" s="1"/>
  <c r="J6" i="19"/>
  <c r="J7" i="19"/>
  <c r="J8" i="19" s="1"/>
  <c r="J9" i="19" s="1"/>
  <c r="J10" i="19" s="1"/>
  <c r="J11" i="19" s="1"/>
  <c r="J12" i="19" s="1"/>
  <c r="J13" i="19" s="1"/>
  <c r="J14" i="19" s="1"/>
  <c r="J15" i="19" s="1"/>
  <c r="J16" i="19" s="1"/>
  <c r="J17" i="19" s="1"/>
  <c r="J18" i="19" s="1"/>
  <c r="J19" i="19" s="1"/>
  <c r="J20" i="19" s="1"/>
  <c r="J21" i="19" s="1"/>
  <c r="J22" i="19" s="1"/>
  <c r="J23" i="19" s="1"/>
  <c r="J24" i="19" s="1"/>
  <c r="J25" i="19" s="1"/>
  <c r="J26" i="19" s="1"/>
  <c r="J27" i="19" s="1"/>
  <c r="J28" i="19" s="1"/>
  <c r="J29" i="19" s="1"/>
  <c r="J30" i="19" s="1"/>
  <c r="J31" i="19" s="1"/>
  <c r="J32" i="19" s="1"/>
  <c r="J33" i="19" s="1"/>
  <c r="J34" i="19" s="1"/>
  <c r="J35" i="19" s="1"/>
  <c r="J36" i="19" s="1"/>
  <c r="J37" i="19" s="1"/>
  <c r="J38" i="19" s="1"/>
  <c r="J39" i="19" s="1"/>
  <c r="J40" i="19" s="1"/>
  <c r="J41" i="19" s="1"/>
  <c r="J42" i="19" s="1"/>
  <c r="J43" i="19" s="1"/>
  <c r="J44" i="19" s="1"/>
  <c r="J45" i="19" s="1"/>
  <c r="J46" i="19" s="1"/>
  <c r="J47" i="19" s="1"/>
  <c r="J48" i="19" s="1"/>
  <c r="J49" i="19" s="1"/>
  <c r="J50" i="19" s="1"/>
  <c r="J51" i="19" s="1"/>
  <c r="J52" i="19" s="1"/>
  <c r="J53" i="19" s="1"/>
  <c r="J54" i="19"/>
  <c r="J55" i="19" s="1"/>
  <c r="J56" i="19" s="1"/>
  <c r="J57" i="19" s="1"/>
  <c r="J58" i="19"/>
  <c r="J59" i="19" s="1"/>
  <c r="J60" i="19" s="1"/>
  <c r="J61" i="19" s="1"/>
  <c r="J62" i="19" s="1"/>
  <c r="V62" i="19" s="1"/>
  <c r="AO158" i="5" s="1"/>
  <c r="H25" i="19"/>
  <c r="AL78" i="18"/>
  <c r="H11" i="19"/>
  <c r="H67" i="19"/>
  <c r="H66" i="19"/>
  <c r="H53" i="19"/>
  <c r="H45" i="19"/>
  <c r="H65" i="19"/>
  <c r="H62" i="19"/>
  <c r="H55" i="19"/>
  <c r="H63" i="19"/>
  <c r="H51" i="19"/>
  <c r="H43" i="19"/>
  <c r="H47" i="19"/>
  <c r="H41" i="19"/>
  <c r="H58" i="19"/>
  <c r="H57" i="19"/>
  <c r="H52" i="19"/>
  <c r="H50" i="19"/>
  <c r="H60" i="19"/>
  <c r="H56" i="19"/>
  <c r="H44" i="19"/>
  <c r="H40" i="19"/>
  <c r="H34" i="19"/>
  <c r="H26" i="19"/>
  <c r="H59" i="19"/>
  <c r="H48" i="19"/>
  <c r="H61" i="19"/>
  <c r="H42" i="19"/>
  <c r="H32" i="19"/>
  <c r="H24" i="19"/>
  <c r="H13" i="19"/>
  <c r="H14" i="19"/>
  <c r="H23" i="19"/>
  <c r="H35" i="19"/>
  <c r="H49" i="19"/>
  <c r="H64" i="19"/>
  <c r="H10" i="19"/>
  <c r="H17" i="19"/>
  <c r="H29" i="19"/>
  <c r="AB18" i="7"/>
  <c r="AS109" i="18"/>
  <c r="AJ26" i="7"/>
  <c r="AE21" i="7"/>
  <c r="AS187" i="5"/>
  <c r="AS182" i="5"/>
  <c r="AS189" i="5"/>
  <c r="AS186" i="5"/>
  <c r="AS184" i="5"/>
  <c r="AS180" i="5"/>
  <c r="AS185" i="5"/>
  <c r="AS181" i="5"/>
  <c r="AS190" i="5"/>
  <c r="AS179" i="5"/>
  <c r="AS188" i="5"/>
  <c r="AS183" i="5"/>
  <c r="BC206" i="5"/>
  <c r="BO206" i="5"/>
  <c r="BC191" i="5"/>
  <c r="L68" i="19"/>
  <c r="L12" i="8"/>
  <c r="L11" i="8"/>
  <c r="AL31" i="18"/>
  <c r="G76" i="6"/>
  <c r="AH24" i="7"/>
  <c r="AH25" i="7"/>
  <c r="AH26" i="7" s="1"/>
  <c r="AH27" i="7" s="1"/>
  <c r="AH28" i="7" s="1"/>
  <c r="AH29" i="7"/>
  <c r="AH30" i="7" s="1"/>
  <c r="AH31" i="7" s="1"/>
  <c r="AH32" i="7" s="1"/>
  <c r="AH33" i="7" s="1"/>
  <c r="AH34" i="7" s="1"/>
  <c r="AH35" i="7" s="1"/>
  <c r="AH36" i="7" s="1"/>
  <c r="AH37" i="7" s="1"/>
  <c r="AH38" i="7" s="1"/>
  <c r="AH39" i="7" s="1"/>
  <c r="AH40" i="7" s="1"/>
  <c r="AH41" i="7" s="1"/>
  <c r="AH42" i="7" s="1"/>
  <c r="AH43" i="7" s="1"/>
  <c r="AH44" i="7" s="1"/>
  <c r="AH45" i="7" s="1"/>
  <c r="AH46" i="7" s="1"/>
  <c r="AH47" i="7" s="1"/>
  <c r="AH48" i="7" s="1"/>
  <c r="AH49" i="7" s="1"/>
  <c r="AH50" i="7" s="1"/>
  <c r="AH51" i="7" s="1"/>
  <c r="AH52" i="7" s="1"/>
  <c r="AH53" i="7" s="1"/>
  <c r="AH54" i="7" s="1"/>
  <c r="AH55" i="7" s="1"/>
  <c r="AH56" i="7" s="1"/>
  <c r="AH57" i="7" s="1"/>
  <c r="AH58" i="7" s="1"/>
  <c r="AH59" i="7" s="1"/>
  <c r="AH60" i="7" s="1"/>
  <c r="AH61" i="7" s="1"/>
  <c r="AH62" i="7" s="1"/>
  <c r="AH63" i="7" s="1"/>
  <c r="AH64" i="7" s="1"/>
  <c r="AH65" i="7" s="1"/>
  <c r="AH66" i="7" s="1"/>
  <c r="AH67" i="7" s="1"/>
  <c r="AH68" i="7" s="1"/>
  <c r="AH69" i="7" s="1"/>
  <c r="AH70" i="7" s="1"/>
  <c r="AH71" i="7" s="1"/>
  <c r="AS18" i="18"/>
  <c r="BC176" i="5"/>
  <c r="AL51" i="18"/>
  <c r="Z20" i="6"/>
  <c r="AB22" i="6" s="1"/>
  <c r="S76" i="7"/>
  <c r="H18" i="13"/>
  <c r="AS164" i="5"/>
  <c r="AS150" i="5"/>
  <c r="AS175" i="5"/>
  <c r="AS167" i="5"/>
  <c r="AS158" i="5"/>
  <c r="AS159" i="5"/>
  <c r="AS151" i="5"/>
  <c r="AS173" i="5"/>
  <c r="AS169" i="5"/>
  <c r="AS157" i="5"/>
  <c r="AS168" i="5"/>
  <c r="AS153" i="5"/>
  <c r="AS174" i="5"/>
  <c r="AS170" i="5"/>
  <c r="AS166" i="5"/>
  <c r="AS160" i="5"/>
  <c r="AS156" i="5"/>
  <c r="AS152" i="5"/>
  <c r="AS154" i="5"/>
  <c r="AS171" i="5"/>
  <c r="AS155" i="5"/>
  <c r="AS165" i="5"/>
  <c r="AS172" i="5"/>
  <c r="AS149" i="5"/>
  <c r="AS139" i="5"/>
  <c r="AS134" i="5"/>
  <c r="AS142" i="5"/>
  <c r="AS138" i="5"/>
  <c r="AS145" i="5"/>
  <c r="AS141" i="5"/>
  <c r="AS137" i="5"/>
  <c r="AS143" i="5"/>
  <c r="AS144" i="5"/>
  <c r="AS140" i="5"/>
  <c r="AS136" i="5"/>
  <c r="AS135" i="5"/>
  <c r="AS130" i="5"/>
  <c r="AS128" i="5"/>
  <c r="AH126" i="5"/>
  <c r="AH125" i="5"/>
  <c r="AH124" i="5"/>
  <c r="AH123" i="5"/>
  <c r="AH122" i="5"/>
  <c r="AH121" i="5"/>
  <c r="AH120" i="5"/>
  <c r="AH119" i="5"/>
  <c r="AH131" i="5" s="1"/>
  <c r="AS129" i="5"/>
  <c r="BC161" i="5"/>
  <c r="AU38" i="14"/>
  <c r="AU39" i="14" s="1"/>
  <c r="AU40" i="14" s="1"/>
  <c r="AU41" i="14" s="1"/>
  <c r="AU42" i="14" s="1"/>
  <c r="AU43" i="14" s="1"/>
  <c r="AU44" i="14" s="1"/>
  <c r="AU45" i="14" s="1"/>
  <c r="AU46" i="14" s="1"/>
  <c r="AU47" i="14" s="1"/>
  <c r="AU48" i="14" s="1"/>
  <c r="AU49" i="14" s="1"/>
  <c r="AU50" i="14" s="1"/>
  <c r="AU51" i="14" s="1"/>
  <c r="AU52" i="14" s="1"/>
  <c r="AU53" i="14" s="1"/>
  <c r="AU54" i="14" s="1"/>
  <c r="AU55" i="14" s="1"/>
  <c r="AU56" i="14" s="1"/>
  <c r="AU57" i="14" s="1"/>
  <c r="AU58" i="14" s="1"/>
  <c r="AU59" i="14" s="1"/>
  <c r="AU60" i="14" s="1"/>
  <c r="AU61" i="14" s="1"/>
  <c r="AU62" i="14" s="1"/>
  <c r="AU63" i="14" s="1"/>
  <c r="AU64" i="14" s="1"/>
  <c r="AU65" i="14" s="1"/>
  <c r="AU66" i="14" s="1"/>
  <c r="AU67" i="14" s="1"/>
  <c r="AU68" i="14" s="1"/>
  <c r="AU69" i="14" s="1"/>
  <c r="AU70" i="14" s="1"/>
  <c r="AU71" i="14" s="1"/>
  <c r="AU72" i="14" s="1"/>
  <c r="AU73" i="14" s="1"/>
  <c r="AU74" i="14" s="1"/>
  <c r="AU75" i="14" s="1"/>
  <c r="AU76" i="14" s="1"/>
  <c r="AU77" i="14" s="1"/>
  <c r="AU78" i="14" s="1"/>
  <c r="AU79" i="14" s="1"/>
  <c r="AU80" i="14" s="1"/>
  <c r="AU81" i="14" s="1"/>
  <c r="AU82" i="14" s="1"/>
  <c r="AU83" i="14" s="1"/>
  <c r="AU84" i="14" s="1"/>
  <c r="AU85" i="14" s="1"/>
  <c r="AU86" i="14" s="1"/>
  <c r="AU87" i="14" s="1"/>
  <c r="AU88" i="14" s="1"/>
  <c r="AU89" i="14" s="1"/>
  <c r="AU90" i="14" s="1"/>
  <c r="AU91" i="14" s="1"/>
  <c r="AU92" i="14" s="1"/>
  <c r="AU93" i="14" s="1"/>
  <c r="AU94" i="14" s="1"/>
  <c r="AU95" i="14" s="1"/>
  <c r="AU96" i="14" s="1"/>
  <c r="AU97" i="14" s="1"/>
  <c r="AW97" i="14" s="1"/>
  <c r="CI38" i="14"/>
  <c r="CI39" i="14" s="1"/>
  <c r="CI40" i="14" s="1"/>
  <c r="CI41" i="14" s="1"/>
  <c r="CI42" i="14" s="1"/>
  <c r="CI43" i="14" s="1"/>
  <c r="CI44" i="14" s="1"/>
  <c r="CI45" i="14" s="1"/>
  <c r="CI46" i="14" s="1"/>
  <c r="CI47" i="14" s="1"/>
  <c r="CI48" i="14" s="1"/>
  <c r="CI49" i="14" s="1"/>
  <c r="L68" i="8"/>
  <c r="S68" i="8"/>
  <c r="S69" i="8"/>
  <c r="F47" i="16"/>
  <c r="G47" i="16" s="1"/>
  <c r="L55" i="8"/>
  <c r="L81" i="8"/>
  <c r="L19" i="8"/>
  <c r="L75" i="8"/>
  <c r="L16" i="8"/>
  <c r="L24" i="8"/>
  <c r="L28" i="8"/>
  <c r="L79" i="8"/>
  <c r="L70" i="8"/>
  <c r="L53" i="8"/>
  <c r="L50" i="8"/>
  <c r="AA18" i="8"/>
  <c r="AA19" i="8" s="1"/>
  <c r="AA20" i="8" s="1"/>
  <c r="AA21" i="8" s="1"/>
  <c r="AA22" i="8" s="1"/>
  <c r="AA23" i="8" s="1"/>
  <c r="AA24" i="8" s="1"/>
  <c r="AA25" i="8" s="1"/>
  <c r="AA26" i="8" s="1"/>
  <c r="AA27" i="8" s="1"/>
  <c r="AA28" i="8" s="1"/>
  <c r="AA29" i="8" s="1"/>
  <c r="AA30" i="8" s="1"/>
  <c r="AA31" i="8" s="1"/>
  <c r="AA32" i="8" s="1"/>
  <c r="AA33" i="8" s="1"/>
  <c r="AA34" i="8" s="1"/>
  <c r="AA35" i="8" s="1"/>
  <c r="AA36" i="8" s="1"/>
  <c r="AA37" i="8" s="1"/>
  <c r="AA38" i="8" s="1"/>
  <c r="AA39" i="8" s="1"/>
  <c r="AA40" i="8" s="1"/>
  <c r="AA41" i="8" s="1"/>
  <c r="AA42" i="8" s="1"/>
  <c r="AA43" i="8" s="1"/>
  <c r="AA44" i="8" s="1"/>
  <c r="AA45" i="8" s="1"/>
  <c r="AA46" i="8" s="1"/>
  <c r="AA47" i="8" s="1"/>
  <c r="AA48" i="8" s="1"/>
  <c r="AA49" i="8" s="1"/>
  <c r="AA50" i="8" s="1"/>
  <c r="AA51" i="8" s="1"/>
  <c r="AA52" i="8" s="1"/>
  <c r="AA53" i="8" s="1"/>
  <c r="AA54" i="8" s="1"/>
  <c r="AA55" i="8" s="1"/>
  <c r="AA56" i="8" s="1"/>
  <c r="AA57" i="8" s="1"/>
  <c r="AA58" i="8" s="1"/>
  <c r="AA59" i="8" s="1"/>
  <c r="AA60" i="8" s="1"/>
  <c r="AA61" i="8" s="1"/>
  <c r="AA62" i="8" s="1"/>
  <c r="AA63" i="8" s="1"/>
  <c r="AA64" i="8" s="1"/>
  <c r="AA65" i="8" s="1"/>
  <c r="AA66" i="8" s="1"/>
  <c r="AA67" i="8" s="1"/>
  <c r="AA68" i="8" s="1"/>
  <c r="AA69" i="8" s="1"/>
  <c r="AA70" i="8" s="1"/>
  <c r="AA71" i="8" s="1"/>
  <c r="AA72" i="8" s="1"/>
  <c r="AA73" i="8" s="1"/>
  <c r="AA74" i="8" s="1"/>
  <c r="AA75" i="8" s="1"/>
  <c r="AA76" i="8" s="1"/>
  <c r="L32" i="8"/>
  <c r="AP33" i="14"/>
  <c r="AP34" i="14" s="1"/>
  <c r="AP35" i="14" s="1"/>
  <c r="AP36" i="14"/>
  <c r="AP37" i="14" s="1"/>
  <c r="AP38" i="14" s="1"/>
  <c r="AP39" i="14" s="1"/>
  <c r="AP40" i="14" s="1"/>
  <c r="AP41" i="14" s="1"/>
  <c r="AP42" i="14" s="1"/>
  <c r="AP43" i="14" s="1"/>
  <c r="AP44" i="14" s="1"/>
  <c r="AP45" i="14" s="1"/>
  <c r="AP46" i="14" s="1"/>
  <c r="AP47" i="14" s="1"/>
  <c r="AP48" i="14" s="1"/>
  <c r="AP49" i="14" s="1"/>
  <c r="AP50" i="14" s="1"/>
  <c r="AP51" i="14" s="1"/>
  <c r="AP52" i="14" s="1"/>
  <c r="AP53" i="14" s="1"/>
  <c r="AP54" i="14" s="1"/>
  <c r="AP55" i="14" s="1"/>
  <c r="AP56" i="14" s="1"/>
  <c r="AP57" i="14" s="1"/>
  <c r="AP58" i="14" s="1"/>
  <c r="AP59" i="14" s="1"/>
  <c r="AP60" i="14" s="1"/>
  <c r="AP61" i="14" s="1"/>
  <c r="AP62" i="14" s="1"/>
  <c r="AP63" i="14" s="1"/>
  <c r="AP64" i="14" s="1"/>
  <c r="AP65" i="14" s="1"/>
  <c r="AP66" i="14" s="1"/>
  <c r="AP67" i="14" s="1"/>
  <c r="AP68" i="14" s="1"/>
  <c r="AP69" i="14" s="1"/>
  <c r="AP70" i="14" s="1"/>
  <c r="AP71" i="14" s="1"/>
  <c r="AP72" i="14" s="1"/>
  <c r="AP73" i="14" s="1"/>
  <c r="AP74" i="14" s="1"/>
  <c r="AP75" i="14" s="1"/>
  <c r="AP76" i="14" s="1"/>
  <c r="AP77" i="14" s="1"/>
  <c r="AP78" i="14" s="1"/>
  <c r="AP79" i="14" s="1"/>
  <c r="AP80" i="14" s="1"/>
  <c r="AP81" i="14" s="1"/>
  <c r="AP82" i="14" s="1"/>
  <c r="AP83" i="14" s="1"/>
  <c r="AP84" i="14" s="1"/>
  <c r="AP85" i="14" s="1"/>
  <c r="AP86" i="14" s="1"/>
  <c r="AP87" i="14" s="1"/>
  <c r="AP88" i="14" s="1"/>
  <c r="AP89" i="14" s="1"/>
  <c r="AP90" i="14" s="1"/>
  <c r="AP91" i="14" s="1"/>
  <c r="AP92" i="14" s="1"/>
  <c r="CD33" i="14"/>
  <c r="CD34" i="14" s="1"/>
  <c r="CD35" i="14" s="1"/>
  <c r="CD36" i="14" s="1"/>
  <c r="CD37" i="14" s="1"/>
  <c r="CD38" i="14" s="1"/>
  <c r="CD39" i="14" s="1"/>
  <c r="CD40" i="14" s="1"/>
  <c r="CD41" i="14" s="1"/>
  <c r="CD42" i="14" s="1"/>
  <c r="CD43" i="14" s="1"/>
  <c r="CD44" i="14" s="1"/>
  <c r="AO32" i="14"/>
  <c r="AO33" i="14" s="1"/>
  <c r="AO34" i="14" s="1"/>
  <c r="AO35" i="14"/>
  <c r="AO36" i="14" s="1"/>
  <c r="AO37" i="14" s="1"/>
  <c r="AO38" i="14" s="1"/>
  <c r="AO39" i="14" s="1"/>
  <c r="AO40" i="14" s="1"/>
  <c r="AO41" i="14" s="1"/>
  <c r="AO42" i="14" s="1"/>
  <c r="AO43" i="14" s="1"/>
  <c r="AO44" i="14" s="1"/>
  <c r="AO45" i="14" s="1"/>
  <c r="AO46" i="14" s="1"/>
  <c r="AO47" i="14" s="1"/>
  <c r="AO48" i="14" s="1"/>
  <c r="AO49" i="14" s="1"/>
  <c r="AO50" i="14" s="1"/>
  <c r="AO51" i="14" s="1"/>
  <c r="AO52" i="14" s="1"/>
  <c r="AO53" i="14" s="1"/>
  <c r="AO54" i="14" s="1"/>
  <c r="AO55" i="14" s="1"/>
  <c r="AO56" i="14" s="1"/>
  <c r="AO57" i="14" s="1"/>
  <c r="AO58" i="14" s="1"/>
  <c r="AO59" i="14" s="1"/>
  <c r="AO60" i="14" s="1"/>
  <c r="AO61" i="14" s="1"/>
  <c r="AO62" i="14" s="1"/>
  <c r="AO63" i="14" s="1"/>
  <c r="AO64" i="14" s="1"/>
  <c r="AO65" i="14" s="1"/>
  <c r="AO66" i="14" s="1"/>
  <c r="AO67" i="14" s="1"/>
  <c r="AO68" i="14" s="1"/>
  <c r="AO69" i="14" s="1"/>
  <c r="AO70" i="14" s="1"/>
  <c r="AO71" i="14" s="1"/>
  <c r="AO72" i="14" s="1"/>
  <c r="AO73" i="14" s="1"/>
  <c r="AO74" i="14" s="1"/>
  <c r="AO75" i="14" s="1"/>
  <c r="AO76" i="14" s="1"/>
  <c r="AO77" i="14" s="1"/>
  <c r="AO78" i="14" s="1"/>
  <c r="AO79" i="14" s="1"/>
  <c r="AO80" i="14" s="1"/>
  <c r="AO81" i="14" s="1"/>
  <c r="AO82" i="14" s="1"/>
  <c r="AO83" i="14" s="1"/>
  <c r="AO84" i="14" s="1"/>
  <c r="AO85" i="14" s="1"/>
  <c r="AO86" i="14" s="1"/>
  <c r="AO87" i="14" s="1"/>
  <c r="AO88" i="14" s="1"/>
  <c r="AO89" i="14" s="1"/>
  <c r="AO90" i="14" s="1"/>
  <c r="AO91" i="14" s="1"/>
  <c r="CC32" i="14"/>
  <c r="CC33" i="14" s="1"/>
  <c r="CC34" i="14" s="1"/>
  <c r="CC35" i="14" s="1"/>
  <c r="CC36" i="14" s="1"/>
  <c r="CC37" i="14" s="1"/>
  <c r="CC38" i="14" s="1"/>
  <c r="CC39" i="14" s="1"/>
  <c r="CC40" i="14" s="1"/>
  <c r="CC41" i="14" s="1"/>
  <c r="CC42" i="14" s="1"/>
  <c r="CC43" i="14" s="1"/>
  <c r="BB5" i="14"/>
  <c r="BB6" i="14" s="1"/>
  <c r="CA30" i="14"/>
  <c r="CA31" i="14" s="1"/>
  <c r="CA32" i="14" s="1"/>
  <c r="CA33" i="14" s="1"/>
  <c r="CA34" i="14" s="1"/>
  <c r="CA35" i="14" s="1"/>
  <c r="CA36" i="14" s="1"/>
  <c r="CA37" i="14" s="1"/>
  <c r="CA38" i="14"/>
  <c r="CA39" i="14" s="1"/>
  <c r="CA40" i="14" s="1"/>
  <c r="CA41" i="14" s="1"/>
  <c r="G45" i="16"/>
  <c r="G46" i="16"/>
  <c r="H47" i="15"/>
  <c r="CB31" i="14"/>
  <c r="CB32" i="14" s="1"/>
  <c r="CB33" i="14" s="1"/>
  <c r="CB34" i="14" s="1"/>
  <c r="CB35" i="14" s="1"/>
  <c r="CB36" i="14" s="1"/>
  <c r="CB37" i="14" s="1"/>
  <c r="CB38" i="14" s="1"/>
  <c r="CB39" i="14" s="1"/>
  <c r="CB40" i="14" s="1"/>
  <c r="CB41" i="14" s="1"/>
  <c r="CB42" i="14" s="1"/>
  <c r="AI26" i="14"/>
  <c r="AI27" i="14" s="1"/>
  <c r="K35" i="14"/>
  <c r="AF23" i="14"/>
  <c r="AF24" i="14" s="1"/>
  <c r="AF25" i="14" s="1"/>
  <c r="AF26" i="14" s="1"/>
  <c r="AF27" i="14" s="1"/>
  <c r="AF28" i="14" s="1"/>
  <c r="AF29" i="14" s="1"/>
  <c r="AF30" i="14" s="1"/>
  <c r="AF31" i="14" s="1"/>
  <c r="AF32" i="14" s="1"/>
  <c r="AF33" i="14" s="1"/>
  <c r="AF34" i="14" s="1"/>
  <c r="AF35" i="14" s="1"/>
  <c r="AF36" i="14" s="1"/>
  <c r="AF37" i="14" s="1"/>
  <c r="AF38" i="14" s="1"/>
  <c r="AF39" i="14" s="1"/>
  <c r="AF40" i="14" s="1"/>
  <c r="AF41" i="14" s="1"/>
  <c r="AF42" i="14" s="1"/>
  <c r="AF43" i="14" s="1"/>
  <c r="AF44" i="14" s="1"/>
  <c r="AF45" i="14" s="1"/>
  <c r="AF46" i="14" s="1"/>
  <c r="AF47" i="14" s="1"/>
  <c r="AF48" i="14" s="1"/>
  <c r="AF49" i="14" s="1"/>
  <c r="AF50" i="14" s="1"/>
  <c r="AF51" i="14" s="1"/>
  <c r="AF52" i="14" s="1"/>
  <c r="AF53" i="14" s="1"/>
  <c r="AF54" i="14" s="1"/>
  <c r="AF55" i="14" s="1"/>
  <c r="AF56" i="14" s="1"/>
  <c r="AF57" i="14" s="1"/>
  <c r="AF58" i="14" s="1"/>
  <c r="AF59" i="14" s="1"/>
  <c r="AF60" i="14" s="1"/>
  <c r="AF61" i="14" s="1"/>
  <c r="AF62" i="14" s="1"/>
  <c r="AF63" i="14" s="1"/>
  <c r="AF64" i="14" s="1"/>
  <c r="AF65" i="14" s="1"/>
  <c r="AF66" i="14" s="1"/>
  <c r="AF67" i="14" s="1"/>
  <c r="AF68" i="14" s="1"/>
  <c r="AF69" i="14" s="1"/>
  <c r="AF70" i="14" s="1"/>
  <c r="AF71" i="14" s="1"/>
  <c r="AF72" i="14" s="1"/>
  <c r="AF73" i="14" s="1"/>
  <c r="AF74" i="14" s="1"/>
  <c r="AF75" i="14" s="1"/>
  <c r="AF76" i="14" s="1"/>
  <c r="AF77" i="14" s="1"/>
  <c r="AF78" i="14" s="1"/>
  <c r="AF79" i="14" s="1"/>
  <c r="AF80" i="14" s="1"/>
  <c r="AF81" i="14" s="1"/>
  <c r="AF82" i="14" s="1"/>
  <c r="BX27" i="14"/>
  <c r="BX28" i="14"/>
  <c r="BX29" i="14" s="1"/>
  <c r="BX30" i="14" s="1"/>
  <c r="BX31" i="14" s="1"/>
  <c r="BX32" i="14" s="1"/>
  <c r="BX33" i="14" s="1"/>
  <c r="BX34" i="14" s="1"/>
  <c r="BX35" i="14" s="1"/>
  <c r="BX36" i="14"/>
  <c r="BX37" i="14" s="1"/>
  <c r="BX38" i="14" s="1"/>
  <c r="BF9" i="14"/>
  <c r="BF10" i="14" s="1"/>
  <c r="BF11" i="14" s="1"/>
  <c r="BF12" i="14" s="1"/>
  <c r="BF13" i="14" s="1"/>
  <c r="BF14" i="14" s="1"/>
  <c r="BF15" i="14" s="1"/>
  <c r="BF16" i="14" s="1"/>
  <c r="BF17" i="14" s="1"/>
  <c r="BF18" i="14" s="1"/>
  <c r="BF19" i="14" s="1"/>
  <c r="X15" i="14"/>
  <c r="X16" i="14"/>
  <c r="X17" i="14" s="1"/>
  <c r="X18" i="14" s="1"/>
  <c r="X19" i="14" s="1"/>
  <c r="X20" i="14" s="1"/>
  <c r="X21" i="14" s="1"/>
  <c r="X22" i="14" s="1"/>
  <c r="X23" i="14" s="1"/>
  <c r="X24" i="14"/>
  <c r="X25" i="14" s="1"/>
  <c r="X26" i="14" s="1"/>
  <c r="X27" i="14" s="1"/>
  <c r="X28" i="14" s="1"/>
  <c r="X29" i="14" s="1"/>
  <c r="X30" i="14" s="1"/>
  <c r="X31" i="14" s="1"/>
  <c r="X32" i="14" s="1"/>
  <c r="X33" i="14" s="1"/>
  <c r="X34" i="14" s="1"/>
  <c r="X35" i="14" s="1"/>
  <c r="X36" i="14" s="1"/>
  <c r="X37" i="14" s="1"/>
  <c r="X38" i="14" s="1"/>
  <c r="X39" i="14" s="1"/>
  <c r="X40" i="14" s="1"/>
  <c r="X41" i="14" s="1"/>
  <c r="X42" i="14" s="1"/>
  <c r="X43" i="14" s="1"/>
  <c r="X44" i="14" s="1"/>
  <c r="X45" i="14" s="1"/>
  <c r="X46" i="14" s="1"/>
  <c r="X47" i="14" s="1"/>
  <c r="X48" i="14" s="1"/>
  <c r="X49" i="14" s="1"/>
  <c r="X50" i="14" s="1"/>
  <c r="X51" i="14" s="1"/>
  <c r="X52" i="14" s="1"/>
  <c r="X53" i="14" s="1"/>
  <c r="X54" i="14" s="1"/>
  <c r="X55" i="14" s="1"/>
  <c r="X56" i="14" s="1"/>
  <c r="X57" i="14" s="1"/>
  <c r="X58" i="14" s="1"/>
  <c r="X59" i="14" s="1"/>
  <c r="X60" i="14" s="1"/>
  <c r="X61" i="14" s="1"/>
  <c r="X62" i="14" s="1"/>
  <c r="X63" i="14" s="1"/>
  <c r="X64" i="14" s="1"/>
  <c r="X65" i="14" s="1"/>
  <c r="X66" i="14" s="1"/>
  <c r="X67" i="14" s="1"/>
  <c r="X68" i="14" s="1"/>
  <c r="X69" i="14" s="1"/>
  <c r="X70" i="14" s="1"/>
  <c r="X71" i="14" s="1"/>
  <c r="X72" i="14" s="1"/>
  <c r="X73" i="14" s="1"/>
  <c r="X74" i="14" s="1"/>
  <c r="BE8" i="14"/>
  <c r="BE9" i="14"/>
  <c r="BE10" i="14" s="1"/>
  <c r="BE11" i="14" s="1"/>
  <c r="BE12" i="14" s="1"/>
  <c r="BE13" i="14"/>
  <c r="BE14" i="14" s="1"/>
  <c r="BE15" i="14" s="1"/>
  <c r="BE16" i="14" s="1"/>
  <c r="BE17" i="14"/>
  <c r="BE18" i="14" s="1"/>
  <c r="BE19" i="14" s="1"/>
  <c r="AA18" i="14"/>
  <c r="AA19" i="14"/>
  <c r="AA20" i="14" s="1"/>
  <c r="AA21" i="14" s="1"/>
  <c r="AA22" i="14" s="1"/>
  <c r="AA23" i="14"/>
  <c r="AA24" i="14" s="1"/>
  <c r="AA25" i="14" s="1"/>
  <c r="AA26" i="14" s="1"/>
  <c r="AA27" i="14"/>
  <c r="AA28" i="14" s="1"/>
  <c r="AA29" i="14" s="1"/>
  <c r="AA30" i="14" s="1"/>
  <c r="AA31" i="14" s="1"/>
  <c r="AA32" i="14" s="1"/>
  <c r="AA33" i="14" s="1"/>
  <c r="AA34" i="14" s="1"/>
  <c r="AA35" i="14" s="1"/>
  <c r="AA36" i="14" s="1"/>
  <c r="AA37" i="14" s="1"/>
  <c r="AA38" i="14" s="1"/>
  <c r="AA39" i="14" s="1"/>
  <c r="AA40" i="14" s="1"/>
  <c r="AA41" i="14" s="1"/>
  <c r="AA42" i="14" s="1"/>
  <c r="AA43" i="14" s="1"/>
  <c r="AA44" i="14" s="1"/>
  <c r="AA45" i="14" s="1"/>
  <c r="AA46" i="14" s="1"/>
  <c r="AA47" i="14" s="1"/>
  <c r="AA48" i="14" s="1"/>
  <c r="AA49" i="14" s="1"/>
  <c r="AA50" i="14" s="1"/>
  <c r="AA51" i="14" s="1"/>
  <c r="AA52" i="14" s="1"/>
  <c r="AA53" i="14" s="1"/>
  <c r="AA54" i="14" s="1"/>
  <c r="AA55" i="14" s="1"/>
  <c r="AA56" i="14" s="1"/>
  <c r="AA57" i="14" s="1"/>
  <c r="AA58" i="14" s="1"/>
  <c r="AA59" i="14" s="1"/>
  <c r="AA60" i="14" s="1"/>
  <c r="AA61" i="14" s="1"/>
  <c r="AA62" i="14" s="1"/>
  <c r="AA63" i="14" s="1"/>
  <c r="AA64" i="14" s="1"/>
  <c r="AA65" i="14" s="1"/>
  <c r="AA66" i="14" s="1"/>
  <c r="AA67" i="14" s="1"/>
  <c r="AA68" i="14" s="1"/>
  <c r="AA69" i="14" s="1"/>
  <c r="AA70" i="14" s="1"/>
  <c r="AA71" i="14" s="1"/>
  <c r="AA72" i="14" s="1"/>
  <c r="AA73" i="14" s="1"/>
  <c r="AA74" i="14" s="1"/>
  <c r="AA75" i="14" s="1"/>
  <c r="AA76" i="14" s="1"/>
  <c r="AA77" i="14" s="1"/>
  <c r="AD21" i="14"/>
  <c r="AD22" i="14"/>
  <c r="AD23" i="14" s="1"/>
  <c r="AD24" i="14" s="1"/>
  <c r="AD25" i="14" s="1"/>
  <c r="AD26" i="14"/>
  <c r="AD27" i="14" s="1"/>
  <c r="AD28" i="14" s="1"/>
  <c r="AD29" i="14" s="1"/>
  <c r="AD30" i="14"/>
  <c r="AD31" i="14" s="1"/>
  <c r="AD32" i="14" s="1"/>
  <c r="AD33" i="14" s="1"/>
  <c r="AD34" i="14" s="1"/>
  <c r="AD35" i="14" s="1"/>
  <c r="AD36" i="14" s="1"/>
  <c r="AD37" i="14" s="1"/>
  <c r="AD38" i="14" s="1"/>
  <c r="AD39" i="14" s="1"/>
  <c r="AD40" i="14" s="1"/>
  <c r="AD41" i="14" s="1"/>
  <c r="AD42" i="14" s="1"/>
  <c r="AD43" i="14" s="1"/>
  <c r="AD44" i="14" s="1"/>
  <c r="AD45" i="14" s="1"/>
  <c r="AD46" i="14" s="1"/>
  <c r="AD47" i="14" s="1"/>
  <c r="AD48" i="14" s="1"/>
  <c r="AD49" i="14" s="1"/>
  <c r="AD50" i="14" s="1"/>
  <c r="AD51" i="14" s="1"/>
  <c r="AD52" i="14" s="1"/>
  <c r="AD53" i="14" s="1"/>
  <c r="AD54" i="14" s="1"/>
  <c r="AD55" i="14" s="1"/>
  <c r="AD56" i="14" s="1"/>
  <c r="AD57" i="14" s="1"/>
  <c r="AD58" i="14" s="1"/>
  <c r="AD59" i="14" s="1"/>
  <c r="AD60" i="14" s="1"/>
  <c r="AD61" i="14" s="1"/>
  <c r="AD62" i="14" s="1"/>
  <c r="AD63" i="14" s="1"/>
  <c r="AD64" i="14" s="1"/>
  <c r="AD65" i="14" s="1"/>
  <c r="AD66" i="14" s="1"/>
  <c r="AD67" i="14" s="1"/>
  <c r="AD68" i="14" s="1"/>
  <c r="AD69" i="14" s="1"/>
  <c r="AD70" i="14" s="1"/>
  <c r="AD71" i="14" s="1"/>
  <c r="AD72" i="14" s="1"/>
  <c r="AD73" i="14" s="1"/>
  <c r="AD74" i="14" s="1"/>
  <c r="AD75" i="14" s="1"/>
  <c r="AD76" i="14" s="1"/>
  <c r="AD77" i="14" s="1"/>
  <c r="AD78" i="14" s="1"/>
  <c r="AD79" i="14" s="1"/>
  <c r="AD80" i="14" s="1"/>
  <c r="AL29" i="14"/>
  <c r="AL30" i="14"/>
  <c r="AL31" i="14" s="1"/>
  <c r="AL32" i="14" s="1"/>
  <c r="AL33" i="14" s="1"/>
  <c r="AL34" i="14"/>
  <c r="AL35" i="14" s="1"/>
  <c r="AL36" i="14" s="1"/>
  <c r="AL37" i="14" s="1"/>
  <c r="AL38" i="14"/>
  <c r="AL39" i="14" s="1"/>
  <c r="AL40" i="14" s="1"/>
  <c r="AL41" i="14" s="1"/>
  <c r="AL42" i="14" s="1"/>
  <c r="AL43" i="14" s="1"/>
  <c r="AL44" i="14" s="1"/>
  <c r="AL45" i="14" s="1"/>
  <c r="AL46" i="14" s="1"/>
  <c r="AL47" i="14" s="1"/>
  <c r="AL48" i="14" s="1"/>
  <c r="AL49" i="14" s="1"/>
  <c r="AL50" i="14" s="1"/>
  <c r="AL51" i="14" s="1"/>
  <c r="AL52" i="14" s="1"/>
  <c r="AL53" i="14" s="1"/>
  <c r="AL54" i="14" s="1"/>
  <c r="AL55" i="14" s="1"/>
  <c r="AL56" i="14" s="1"/>
  <c r="AL57" i="14" s="1"/>
  <c r="AL58" i="14" s="1"/>
  <c r="AL59" i="14" s="1"/>
  <c r="AL60" i="14" s="1"/>
  <c r="AL61" i="14" s="1"/>
  <c r="AL62" i="14" s="1"/>
  <c r="AL63" i="14" s="1"/>
  <c r="AL64" i="14" s="1"/>
  <c r="AL65" i="14" s="1"/>
  <c r="AL66" i="14" s="1"/>
  <c r="AL67" i="14" s="1"/>
  <c r="AL68" i="14" s="1"/>
  <c r="AL69" i="14" s="1"/>
  <c r="AL70" i="14" s="1"/>
  <c r="AL71" i="14" s="1"/>
  <c r="AL72" i="14" s="1"/>
  <c r="AL73" i="14" s="1"/>
  <c r="AL74" i="14" s="1"/>
  <c r="AL75" i="14" s="1"/>
  <c r="AL76" i="14" s="1"/>
  <c r="AL77" i="14" s="1"/>
  <c r="AL78" i="14" s="1"/>
  <c r="AL79" i="14" s="1"/>
  <c r="AL80" i="14" s="1"/>
  <c r="AL81" i="14" s="1"/>
  <c r="AL82" i="14" s="1"/>
  <c r="AL83" i="14" s="1"/>
  <c r="AL84" i="14" s="1"/>
  <c r="AL85" i="14" s="1"/>
  <c r="AL86" i="14" s="1"/>
  <c r="AL87" i="14" s="1"/>
  <c r="AL88" i="14" s="1"/>
  <c r="F19" i="13"/>
  <c r="AE23" i="10"/>
  <c r="AE24" i="10" s="1"/>
  <c r="AE25" i="10" s="1"/>
  <c r="AE26" i="10" s="1"/>
  <c r="AE27" i="10"/>
  <c r="AE28" i="10" s="1"/>
  <c r="AE29" i="10" s="1"/>
  <c r="AE30" i="10" s="1"/>
  <c r="AE31" i="10"/>
  <c r="AE32" i="10" s="1"/>
  <c r="AE33" i="10" s="1"/>
  <c r="AE34" i="10" s="1"/>
  <c r="AE35" i="10" s="1"/>
  <c r="AE36" i="10" s="1"/>
  <c r="AE37" i="10" s="1"/>
  <c r="AE38" i="10" s="1"/>
  <c r="AE39" i="10" s="1"/>
  <c r="AE40" i="10" s="1"/>
  <c r="AE41" i="10" s="1"/>
  <c r="AE42" i="10" s="1"/>
  <c r="AE43" i="10" s="1"/>
  <c r="AE44" i="10" s="1"/>
  <c r="AE45" i="10" s="1"/>
  <c r="AE46" i="10" s="1"/>
  <c r="AE47" i="10" s="1"/>
  <c r="AE48" i="10" s="1"/>
  <c r="AE49" i="10" s="1"/>
  <c r="AE50" i="10" s="1"/>
  <c r="AE51" i="10" s="1"/>
  <c r="AE52" i="10" s="1"/>
  <c r="AE53" i="10" s="1"/>
  <c r="AE54" i="10" s="1"/>
  <c r="AE55" i="10" s="1"/>
  <c r="AE56" i="10" s="1"/>
  <c r="AE57" i="10" s="1"/>
  <c r="AE58" i="10" s="1"/>
  <c r="AE59" i="10" s="1"/>
  <c r="AE60" i="10" s="1"/>
  <c r="AE61" i="10" s="1"/>
  <c r="AE62" i="10" s="1"/>
  <c r="AE63" i="10" s="1"/>
  <c r="AE64" i="10" s="1"/>
  <c r="AE65" i="10" s="1"/>
  <c r="AE66" i="10" s="1"/>
  <c r="AE67" i="10" s="1"/>
  <c r="AE68" i="10" s="1"/>
  <c r="AE69" i="10" s="1"/>
  <c r="AE70" i="10" s="1"/>
  <c r="AE71" i="10" s="1"/>
  <c r="AE72" i="10" s="1"/>
  <c r="AE73" i="10" s="1"/>
  <c r="AE74" i="10" s="1"/>
  <c r="AE75" i="10" s="1"/>
  <c r="AE76" i="10" s="1"/>
  <c r="AE77" i="10" s="1"/>
  <c r="AE78" i="10" s="1"/>
  <c r="AE79" i="10" s="1"/>
  <c r="AE80" i="10" s="1"/>
  <c r="AE81" i="10" s="1"/>
  <c r="AF24" i="10"/>
  <c r="AF25" i="10"/>
  <c r="AF26" i="10" s="1"/>
  <c r="AF27" i="10" s="1"/>
  <c r="AF28" i="10" s="1"/>
  <c r="AF29" i="10"/>
  <c r="AF30" i="10" s="1"/>
  <c r="AF31" i="10" s="1"/>
  <c r="AF32" i="10" s="1"/>
  <c r="AF33" i="10"/>
  <c r="AF34" i="10" s="1"/>
  <c r="AF35" i="10" s="1"/>
  <c r="AF36" i="10" s="1"/>
  <c r="AF37" i="10" s="1"/>
  <c r="AF38" i="10" s="1"/>
  <c r="AF39" i="10" s="1"/>
  <c r="AF40" i="10" s="1"/>
  <c r="AF41" i="10" s="1"/>
  <c r="AF42" i="10" s="1"/>
  <c r="AF43" i="10" s="1"/>
  <c r="AF44" i="10" s="1"/>
  <c r="AF45" i="10" s="1"/>
  <c r="AF46" i="10" s="1"/>
  <c r="AF47" i="10" s="1"/>
  <c r="AF48" i="10" s="1"/>
  <c r="AF49" i="10" s="1"/>
  <c r="AF50" i="10" s="1"/>
  <c r="AF51" i="10" s="1"/>
  <c r="AF52" i="10" s="1"/>
  <c r="AF53" i="10" s="1"/>
  <c r="AF54" i="10" s="1"/>
  <c r="AF55" i="10" s="1"/>
  <c r="AF56" i="10" s="1"/>
  <c r="AF57" i="10" s="1"/>
  <c r="AF58" i="10" s="1"/>
  <c r="AF59" i="10" s="1"/>
  <c r="AF60" i="10" s="1"/>
  <c r="AF61" i="10" s="1"/>
  <c r="AF62" i="10" s="1"/>
  <c r="AF63" i="10" s="1"/>
  <c r="AF64" i="10" s="1"/>
  <c r="AF65" i="10" s="1"/>
  <c r="AF66" i="10" s="1"/>
  <c r="AF67" i="10" s="1"/>
  <c r="AF68" i="10" s="1"/>
  <c r="AF69" i="10" s="1"/>
  <c r="AF70" i="10" s="1"/>
  <c r="AF71" i="10" s="1"/>
  <c r="AF72" i="10" s="1"/>
  <c r="AF73" i="10" s="1"/>
  <c r="AF74" i="10" s="1"/>
  <c r="AF75" i="10" s="1"/>
  <c r="AF76" i="10" s="1"/>
  <c r="AF77" i="10" s="1"/>
  <c r="AF78" i="10" s="1"/>
  <c r="AF79" i="10" s="1"/>
  <c r="AF80" i="10" s="1"/>
  <c r="AF81" i="10" s="1"/>
  <c r="AF82" i="10" s="1"/>
  <c r="AG82" i="10" s="1"/>
  <c r="L60" i="8"/>
  <c r="L35" i="8"/>
  <c r="L23" i="8"/>
  <c r="L34" i="8"/>
  <c r="L80" i="8"/>
  <c r="L43" i="8"/>
  <c r="L73" i="8"/>
  <c r="L41" i="8"/>
  <c r="L65" i="8"/>
  <c r="L17" i="8"/>
  <c r="L82" i="8"/>
  <c r="L42" i="8"/>
  <c r="L62" i="8"/>
  <c r="L25" i="8"/>
  <c r="L15" i="8"/>
  <c r="L7" i="8"/>
  <c r="L69" i="8"/>
  <c r="L21" i="8"/>
  <c r="L51" i="8"/>
  <c r="L76" i="8"/>
  <c r="L49" i="8"/>
  <c r="L18" i="8"/>
  <c r="L20" i="8"/>
  <c r="L46" i="8"/>
  <c r="L72" i="8"/>
  <c r="L64" i="8"/>
  <c r="L52" i="8"/>
  <c r="L56" i="8"/>
  <c r="L71" i="8"/>
  <c r="L27" i="8"/>
  <c r="L74" i="8"/>
  <c r="L39" i="8"/>
  <c r="L59" i="8"/>
  <c r="L37" i="8"/>
  <c r="L57" i="8"/>
  <c r="L9" i="8"/>
  <c r="L67" i="8"/>
  <c r="L33" i="8"/>
  <c r="L58" i="8"/>
  <c r="J36" i="13"/>
  <c r="G36" i="17"/>
  <c r="H35" i="17"/>
  <c r="X15" i="7"/>
  <c r="X16" i="7"/>
  <c r="AY13" i="7"/>
  <c r="W13" i="7"/>
  <c r="W14" i="7"/>
  <c r="W15" i="7" s="1"/>
  <c r="W16" i="7" s="1"/>
  <c r="W17" i="7" s="1"/>
  <c r="W18" i="7"/>
  <c r="W19" i="7" s="1"/>
  <c r="W20" i="7" s="1"/>
  <c r="W21" i="7" s="1"/>
  <c r="W22" i="7"/>
  <c r="W23" i="7" s="1"/>
  <c r="W24" i="7" s="1"/>
  <c r="W25" i="7" s="1"/>
  <c r="W26" i="7" s="1"/>
  <c r="BY28" i="14"/>
  <c r="BY29" i="14"/>
  <c r="BY30" i="14" s="1"/>
  <c r="BY31" i="14" s="1"/>
  <c r="BY32" i="14" s="1"/>
  <c r="BY33" i="14"/>
  <c r="BY34" i="14" s="1"/>
  <c r="BY35" i="14" s="1"/>
  <c r="BY36" i="14" s="1"/>
  <c r="BY37" i="14" s="1"/>
  <c r="BY38" i="14" s="1"/>
  <c r="BY39" i="14" s="1"/>
  <c r="U12" i="14"/>
  <c r="U13" i="14"/>
  <c r="U14" i="14" s="1"/>
  <c r="U15" i="14" s="1"/>
  <c r="U16" i="14" s="1"/>
  <c r="U17" i="14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U28" i="14" s="1"/>
  <c r="U29" i="14" s="1"/>
  <c r="U30" i="14" s="1"/>
  <c r="U31" i="14" s="1"/>
  <c r="U32" i="14" s="1"/>
  <c r="U33" i="14" s="1"/>
  <c r="U34" i="14" s="1"/>
  <c r="U35" i="14" s="1"/>
  <c r="U36" i="14" s="1"/>
  <c r="U37" i="14" s="1"/>
  <c r="U38" i="14" s="1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U54" i="14" s="1"/>
  <c r="U55" i="14" s="1"/>
  <c r="U56" i="14" s="1"/>
  <c r="U57" i="14" s="1"/>
  <c r="U58" i="14" s="1"/>
  <c r="U59" i="14" s="1"/>
  <c r="U60" i="14" s="1"/>
  <c r="U61" i="14" s="1"/>
  <c r="U62" i="14" s="1"/>
  <c r="U63" i="14" s="1"/>
  <c r="U64" i="14" s="1"/>
  <c r="U65" i="14" s="1"/>
  <c r="U66" i="14" s="1"/>
  <c r="U67" i="14" s="1"/>
  <c r="U68" i="14" s="1"/>
  <c r="U69" i="14" s="1"/>
  <c r="U70" i="14" s="1"/>
  <c r="U71" i="14" s="1"/>
  <c r="S11" i="10"/>
  <c r="S12" i="10"/>
  <c r="S13" i="10" s="1"/>
  <c r="S14" i="10" s="1"/>
  <c r="S15" i="10" s="1"/>
  <c r="S16" i="10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S40" i="10" s="1"/>
  <c r="S41" i="10" s="1"/>
  <c r="S42" i="10" s="1"/>
  <c r="S43" i="10" s="1"/>
  <c r="S44" i="10" s="1"/>
  <c r="S45" i="10" s="1"/>
  <c r="S46" i="10" s="1"/>
  <c r="S47" i="10" s="1"/>
  <c r="S48" i="10" s="1"/>
  <c r="S49" i="10" s="1"/>
  <c r="S50" i="10" s="1"/>
  <c r="S51" i="10" s="1"/>
  <c r="S52" i="10" s="1"/>
  <c r="S53" i="10" s="1"/>
  <c r="S54" i="10" s="1"/>
  <c r="S55" i="10" s="1"/>
  <c r="S56" i="10" s="1"/>
  <c r="S57" i="10" s="1"/>
  <c r="S58" i="10" s="1"/>
  <c r="S59" i="10" s="1"/>
  <c r="S60" i="10" s="1"/>
  <c r="S61" i="10" s="1"/>
  <c r="S62" i="10" s="1"/>
  <c r="S63" i="10" s="1"/>
  <c r="S64" i="10" s="1"/>
  <c r="S65" i="10" s="1"/>
  <c r="S66" i="10" s="1"/>
  <c r="S67" i="10" s="1"/>
  <c r="S68" i="10" s="1"/>
  <c r="S69" i="10" s="1"/>
  <c r="AP10" i="8"/>
  <c r="AP11" i="8" s="1"/>
  <c r="AP12" i="8"/>
  <c r="AP13" i="8" s="1"/>
  <c r="AP14" i="8" s="1"/>
  <c r="AP15" i="8" s="1"/>
  <c r="AP16" i="8"/>
  <c r="AP17" i="8" s="1"/>
  <c r="AP18" i="8" s="1"/>
  <c r="AP19" i="8" s="1"/>
  <c r="AP20" i="8" s="1"/>
  <c r="AK28" i="14"/>
  <c r="AK29" i="14" s="1"/>
  <c r="AK30" i="14" s="1"/>
  <c r="AK31" i="14"/>
  <c r="AK32" i="14" s="1"/>
  <c r="AK33" i="14" s="1"/>
  <c r="AK34" i="14" s="1"/>
  <c r="AK35" i="14"/>
  <c r="AK36" i="14" s="1"/>
  <c r="AK37" i="14" s="1"/>
  <c r="AK38" i="14" s="1"/>
  <c r="AK39" i="14" s="1"/>
  <c r="AK40" i="14" s="1"/>
  <c r="AK41" i="14" s="1"/>
  <c r="AK42" i="14" s="1"/>
  <c r="AK43" i="14" s="1"/>
  <c r="AK44" i="14" s="1"/>
  <c r="AK45" i="14" s="1"/>
  <c r="AK46" i="14" s="1"/>
  <c r="AK47" i="14" s="1"/>
  <c r="AK48" i="14" s="1"/>
  <c r="AK49" i="14" s="1"/>
  <c r="AK50" i="14" s="1"/>
  <c r="AK51" i="14" s="1"/>
  <c r="AK52" i="14" s="1"/>
  <c r="AK53" i="14" s="1"/>
  <c r="AK54" i="14" s="1"/>
  <c r="AK55" i="14" s="1"/>
  <c r="AK56" i="14" s="1"/>
  <c r="AK57" i="14" s="1"/>
  <c r="AK58" i="14" s="1"/>
  <c r="AK59" i="14" s="1"/>
  <c r="AK60" i="14" s="1"/>
  <c r="AK61" i="14" s="1"/>
  <c r="AK62" i="14" s="1"/>
  <c r="AK63" i="14" s="1"/>
  <c r="AK64" i="14" s="1"/>
  <c r="AK65" i="14" s="1"/>
  <c r="AK66" i="14" s="1"/>
  <c r="AK67" i="14" s="1"/>
  <c r="AK68" i="14" s="1"/>
  <c r="AK69" i="14" s="1"/>
  <c r="AK70" i="14" s="1"/>
  <c r="AK71" i="14" s="1"/>
  <c r="AK72" i="14" s="1"/>
  <c r="AK73" i="14" s="1"/>
  <c r="AK74" i="14" s="1"/>
  <c r="AK75" i="14" s="1"/>
  <c r="AK76" i="14" s="1"/>
  <c r="AK77" i="14" s="1"/>
  <c r="AK78" i="14" s="1"/>
  <c r="AK79" i="14" s="1"/>
  <c r="AK80" i="14" s="1"/>
  <c r="AK81" i="14" s="1"/>
  <c r="AK82" i="14" s="1"/>
  <c r="AK83" i="14" s="1"/>
  <c r="AK84" i="14" s="1"/>
  <c r="AK85" i="14" s="1"/>
  <c r="AK86" i="14" s="1"/>
  <c r="AK87" i="14" s="1"/>
  <c r="R10" i="17"/>
  <c r="R11" i="17"/>
  <c r="R12" i="17" s="1"/>
  <c r="R13" i="17"/>
  <c r="R14" i="17" s="1"/>
  <c r="R15" i="17" s="1"/>
  <c r="R16" i="17" s="1"/>
  <c r="R17" i="17" s="1"/>
  <c r="R18" i="17" s="1"/>
  <c r="R19" i="17" s="1"/>
  <c r="R20" i="17" s="1"/>
  <c r="R21" i="17" s="1"/>
  <c r="R22" i="17" s="1"/>
  <c r="R23" i="17" s="1"/>
  <c r="R24" i="17" s="1"/>
  <c r="R25" i="17" s="1"/>
  <c r="R26" i="17" s="1"/>
  <c r="R27" i="17" s="1"/>
  <c r="R28" i="17" s="1"/>
  <c r="R29" i="17" s="1"/>
  <c r="R30" i="17" s="1"/>
  <c r="R31" i="17" s="1"/>
  <c r="AJ31" i="17" s="1"/>
  <c r="AL84" i="18"/>
  <c r="AC22" i="16"/>
  <c r="AC23" i="16" s="1"/>
  <c r="AC24" i="16" s="1"/>
  <c r="AC25" i="16" s="1"/>
  <c r="AC26" i="16"/>
  <c r="AC27" i="16" s="1"/>
  <c r="AC28" i="16" s="1"/>
  <c r="AC29" i="16" s="1"/>
  <c r="AC30" i="16"/>
  <c r="AC31" i="16" s="1"/>
  <c r="AC32" i="16" s="1"/>
  <c r="AC33" i="16" s="1"/>
  <c r="AC34" i="16" s="1"/>
  <c r="AC35" i="16" s="1"/>
  <c r="AC36" i="16" s="1"/>
  <c r="AC37" i="16" s="1"/>
  <c r="AC38" i="16" s="1"/>
  <c r="AC39" i="16" s="1"/>
  <c r="AC40" i="16" s="1"/>
  <c r="AC41" i="16" s="1"/>
  <c r="AC42" i="16" s="1"/>
  <c r="AC43" i="16" s="1"/>
  <c r="AC44" i="16" s="1"/>
  <c r="AC45" i="16" s="1"/>
  <c r="AC46" i="16" s="1"/>
  <c r="AC47" i="16" s="1"/>
  <c r="AC48" i="16" s="1"/>
  <c r="AC49" i="16" s="1"/>
  <c r="AC50" i="16" s="1"/>
  <c r="AC51" i="16" s="1"/>
  <c r="AC52" i="16" s="1"/>
  <c r="AC53" i="16" s="1"/>
  <c r="AC54" i="16" s="1"/>
  <c r="AC55" i="16" s="1"/>
  <c r="AC56" i="16" s="1"/>
  <c r="AC57" i="16" s="1"/>
  <c r="AC58" i="16" s="1"/>
  <c r="AC59" i="16" s="1"/>
  <c r="AC60" i="16" s="1"/>
  <c r="AC61" i="16" s="1"/>
  <c r="AC62" i="16" s="1"/>
  <c r="AC63" i="16" s="1"/>
  <c r="AC64" i="16" s="1"/>
  <c r="AC65" i="16" s="1"/>
  <c r="AC66" i="16" s="1"/>
  <c r="AC67" i="16" s="1"/>
  <c r="AC68" i="16" s="1"/>
  <c r="AC69" i="16" s="1"/>
  <c r="AC70" i="16" s="1"/>
  <c r="AC71" i="16" s="1"/>
  <c r="AC72" i="16" s="1"/>
  <c r="AC73" i="16" s="1"/>
  <c r="AC74" i="16" s="1"/>
  <c r="AC75" i="16" s="1"/>
  <c r="AC76" i="16" s="1"/>
  <c r="AC77" i="16" s="1"/>
  <c r="AC78" i="16" s="1"/>
  <c r="AC79" i="16" s="1"/>
  <c r="H7" i="6"/>
  <c r="H16" i="6"/>
  <c r="E77" i="6"/>
  <c r="AH104" i="5"/>
  <c r="AH111" i="5"/>
  <c r="AH108" i="5"/>
  <c r="AH107" i="5"/>
  <c r="AH110" i="5"/>
  <c r="AH105" i="5"/>
  <c r="AH106" i="5"/>
  <c r="AH109" i="5"/>
  <c r="H48" i="15"/>
  <c r="L13" i="8"/>
  <c r="L78" i="8"/>
  <c r="L30" i="8"/>
  <c r="L26" i="8"/>
  <c r="L29" i="8"/>
  <c r="L47" i="8"/>
  <c r="L63" i="8"/>
  <c r="L45" i="8"/>
  <c r="L61" i="8"/>
  <c r="L10" i="8"/>
  <c r="L66" i="8"/>
  <c r="L38" i="8"/>
  <c r="L54" i="8"/>
  <c r="L77" i="8"/>
  <c r="L22" i="8"/>
  <c r="F21" i="13"/>
  <c r="AA137" i="9"/>
  <c r="AA138" i="9" s="1"/>
  <c r="Z137" i="9"/>
  <c r="Z138" i="9" s="1"/>
  <c r="L40" i="8"/>
  <c r="Q9" i="17"/>
  <c r="Q10" i="17" s="1"/>
  <c r="Q11" i="17" s="1"/>
  <c r="Q12" i="17" s="1"/>
  <c r="Q13" i="17" s="1"/>
  <c r="Q14" i="17" s="1"/>
  <c r="Q15" i="17" s="1"/>
  <c r="Q16" i="17" s="1"/>
  <c r="Q17" i="17" s="1"/>
  <c r="Q18" i="17" s="1"/>
  <c r="Q19" i="17" s="1"/>
  <c r="Q20" i="17" s="1"/>
  <c r="Q21" i="17" s="1"/>
  <c r="Q22" i="17" s="1"/>
  <c r="Q23" i="17" s="1"/>
  <c r="Q24" i="17" s="1"/>
  <c r="Q25" i="17" s="1"/>
  <c r="Q26" i="17" s="1"/>
  <c r="Q27" i="17" s="1"/>
  <c r="Q28" i="17" s="1"/>
  <c r="Q29" i="17" s="1"/>
  <c r="AB22" i="16"/>
  <c r="AB23" i="16" s="1"/>
  <c r="AB24" i="16"/>
  <c r="AB25" i="16" s="1"/>
  <c r="AB26" i="16" s="1"/>
  <c r="AB27" i="16" s="1"/>
  <c r="AB28" i="16"/>
  <c r="AB29" i="16" s="1"/>
  <c r="AB30" i="16" s="1"/>
  <c r="AB31" i="16" s="1"/>
  <c r="AB32" i="16" s="1"/>
  <c r="AB33" i="16" s="1"/>
  <c r="AB34" i="16" s="1"/>
  <c r="AB35" i="16" s="1"/>
  <c r="AB36" i="16" s="1"/>
  <c r="AB37" i="16" s="1"/>
  <c r="AB38" i="16" s="1"/>
  <c r="AB39" i="16" s="1"/>
  <c r="AB40" i="16" s="1"/>
  <c r="AB41" i="16" s="1"/>
  <c r="AB42" i="16" s="1"/>
  <c r="AB43" i="16" s="1"/>
  <c r="AB44" i="16" s="1"/>
  <c r="AB45" i="16" s="1"/>
  <c r="AB46" i="16" s="1"/>
  <c r="AB47" i="16" s="1"/>
  <c r="AB48" i="16" s="1"/>
  <c r="AB49" i="16" s="1"/>
  <c r="AB50" i="16" s="1"/>
  <c r="AB51" i="16" s="1"/>
  <c r="AB52" i="16" s="1"/>
  <c r="AB53" i="16" s="1"/>
  <c r="AB54" i="16" s="1"/>
  <c r="AB55" i="16" s="1"/>
  <c r="AB56" i="16" s="1"/>
  <c r="AB57" i="16" s="1"/>
  <c r="AG24" i="14"/>
  <c r="AG25" i="14" s="1"/>
  <c r="AG26" i="14" s="1"/>
  <c r="AG27" i="14" s="1"/>
  <c r="AG28" i="14" s="1"/>
  <c r="AG29" i="14" s="1"/>
  <c r="AG30" i="14" s="1"/>
  <c r="AG31" i="14" s="1"/>
  <c r="AG32" i="14" s="1"/>
  <c r="AG33" i="14" s="1"/>
  <c r="AG34" i="14" s="1"/>
  <c r="AG35" i="14" s="1"/>
  <c r="AG36" i="14" s="1"/>
  <c r="AG37" i="14" s="1"/>
  <c r="AG38" i="14" s="1"/>
  <c r="AG39" i="14" s="1"/>
  <c r="AG40" i="14" s="1"/>
  <c r="AG41" i="14" s="1"/>
  <c r="AG42" i="14" s="1"/>
  <c r="AG43" i="14" s="1"/>
  <c r="AG44" i="14" s="1"/>
  <c r="AG45" i="14" s="1"/>
  <c r="AG46" i="14" s="1"/>
  <c r="AG47" i="14" s="1"/>
  <c r="AG48" i="14" s="1"/>
  <c r="AG49" i="14" s="1"/>
  <c r="AG50" i="14" s="1"/>
  <c r="AG51" i="14" s="1"/>
  <c r="AG52" i="14" s="1"/>
  <c r="AG53" i="14" s="1"/>
  <c r="AG54" i="14" s="1"/>
  <c r="AG55" i="14" s="1"/>
  <c r="AG56" i="14" s="1"/>
  <c r="AG57" i="14" s="1"/>
  <c r="AG58" i="14" s="1"/>
  <c r="AG59" i="14" s="1"/>
  <c r="AG60" i="14" s="1"/>
  <c r="AG61" i="14" s="1"/>
  <c r="AG62" i="14" s="1"/>
  <c r="AG63" i="14" s="1"/>
  <c r="AG64" i="14" s="1"/>
  <c r="AG65" i="14" s="1"/>
  <c r="AG66" i="14" s="1"/>
  <c r="AG67" i="14" s="1"/>
  <c r="AG68" i="14" s="1"/>
  <c r="AG69" i="14" s="1"/>
  <c r="AG70" i="14" s="1"/>
  <c r="AG71" i="14" s="1"/>
  <c r="AG72" i="14" s="1"/>
  <c r="AG73" i="14" s="1"/>
  <c r="AG74" i="14" s="1"/>
  <c r="AG75" i="14" s="1"/>
  <c r="AG76" i="14" s="1"/>
  <c r="AG77" i="14" s="1"/>
  <c r="AG78" i="14" s="1"/>
  <c r="AG79" i="14" s="1"/>
  <c r="AG80" i="14" s="1"/>
  <c r="AG81" i="14" s="1"/>
  <c r="AG82" i="14" s="1"/>
  <c r="AG83" i="14" s="1"/>
  <c r="BU24" i="14"/>
  <c r="BU25" i="14" s="1"/>
  <c r="BU26" i="14" s="1"/>
  <c r="AA19" i="17"/>
  <c r="AA20" i="17"/>
  <c r="AA21" i="17" s="1"/>
  <c r="AA22" i="17"/>
  <c r="AA23" i="17" s="1"/>
  <c r="AA24" i="17" s="1"/>
  <c r="AA25" i="17" s="1"/>
  <c r="AA26" i="17"/>
  <c r="AA27" i="17" s="1"/>
  <c r="AA28" i="17" s="1"/>
  <c r="AA29" i="17" s="1"/>
  <c r="AA30" i="17" s="1"/>
  <c r="AA31" i="17" s="1"/>
  <c r="AA32" i="17" s="1"/>
  <c r="V14" i="15"/>
  <c r="V15" i="15"/>
  <c r="V16" i="15" s="1"/>
  <c r="V17" i="15" s="1"/>
  <c r="V18" i="15" s="1"/>
  <c r="V19" i="15" s="1"/>
  <c r="V20" i="15" s="1"/>
  <c r="V21" i="15" s="1"/>
  <c r="V22" i="15" s="1"/>
  <c r="V23" i="15" s="1"/>
  <c r="V24" i="15" s="1"/>
  <c r="V25" i="15" s="1"/>
  <c r="V26" i="15" s="1"/>
  <c r="V27" i="15" s="1"/>
  <c r="V28" i="15" s="1"/>
  <c r="V29" i="15" s="1"/>
  <c r="V30" i="15" s="1"/>
  <c r="V31" i="15" s="1"/>
  <c r="V32" i="15" s="1"/>
  <c r="V33" i="15" s="1"/>
  <c r="V34" i="15" s="1"/>
  <c r="V35" i="15" s="1"/>
  <c r="V36" i="15" s="1"/>
  <c r="V37" i="15" s="1"/>
  <c r="V38" i="15" s="1"/>
  <c r="V39" i="15" s="1"/>
  <c r="V40" i="15" s="1"/>
  <c r="V41" i="15" s="1"/>
  <c r="V42" i="15" s="1"/>
  <c r="V43" i="15" s="1"/>
  <c r="V44" i="15" s="1"/>
  <c r="V45" i="15" s="1"/>
  <c r="V46" i="15" s="1"/>
  <c r="V47" i="15" s="1"/>
  <c r="V48" i="15" s="1"/>
  <c r="V49" i="15" s="1"/>
  <c r="V50" i="15" s="1"/>
  <c r="V51" i="15" s="1"/>
  <c r="V52" i="15" s="1"/>
  <c r="V53" i="15" s="1"/>
  <c r="V54" i="15" s="1"/>
  <c r="V55" i="15" s="1"/>
  <c r="V56" i="15" s="1"/>
  <c r="V57" i="15" s="1"/>
  <c r="V58" i="15" s="1"/>
  <c r="V59" i="15" s="1"/>
  <c r="V60" i="15" s="1"/>
  <c r="V61" i="15" s="1"/>
  <c r="V62" i="15" s="1"/>
  <c r="V63" i="15" s="1"/>
  <c r="V64" i="15" s="1"/>
  <c r="V65" i="15" s="1"/>
  <c r="V66" i="15" s="1"/>
  <c r="V67" i="15" s="1"/>
  <c r="V68" i="15" s="1"/>
  <c r="V69" i="15" s="1"/>
  <c r="V70" i="15" s="1"/>
  <c r="V71" i="15" s="1"/>
  <c r="V72" i="15" s="1"/>
  <c r="V73" i="15" s="1"/>
  <c r="V74" i="15" s="1"/>
  <c r="V75" i="15" s="1"/>
  <c r="V76" i="15" s="1"/>
  <c r="V77" i="15" s="1"/>
  <c r="V78" i="15" s="1"/>
  <c r="V79" i="15" s="1"/>
  <c r="V80" i="15" s="1"/>
  <c r="V81" i="15" s="1"/>
  <c r="V82" i="15" s="1"/>
  <c r="V83" i="15" s="1"/>
  <c r="V84" i="15" s="1"/>
  <c r="V85" i="15" s="1"/>
  <c r="V86" i="15" s="1"/>
  <c r="V87" i="15" s="1"/>
  <c r="V88" i="15" s="1"/>
  <c r="V89" i="15" s="1"/>
  <c r="V90" i="15" s="1"/>
  <c r="V91" i="15" s="1"/>
  <c r="V92" i="15" s="1"/>
  <c r="V93" i="15" s="1"/>
  <c r="V94" i="15" s="1"/>
  <c r="V95" i="15" s="1"/>
  <c r="V96" i="15" s="1"/>
  <c r="V97" i="15" s="1"/>
  <c r="V98" i="15" s="1"/>
  <c r="V99" i="15" s="1"/>
  <c r="V100" i="15" s="1"/>
  <c r="V101" i="15" s="1"/>
  <c r="V102" i="15" s="1"/>
  <c r="V103" i="15" s="1"/>
  <c r="V104" i="15" s="1"/>
  <c r="V105" i="15" s="1"/>
  <c r="V106" i="15" s="1"/>
  <c r="V107" i="15" s="1"/>
  <c r="V108" i="15" s="1"/>
  <c r="V109" i="15" s="1"/>
  <c r="V110" i="15" s="1"/>
  <c r="V111" i="15" s="1"/>
  <c r="V112" i="15" s="1"/>
  <c r="V113" i="15" s="1"/>
  <c r="V114" i="15" s="1"/>
  <c r="V115" i="15" s="1"/>
  <c r="V116" i="15" s="1"/>
  <c r="V117" i="15" s="1"/>
  <c r="V118" i="15" s="1"/>
  <c r="V119" i="15" s="1"/>
  <c r="V120" i="15" s="1"/>
  <c r="V121" i="15" s="1"/>
  <c r="V122" i="15" s="1"/>
  <c r="V123" i="15" s="1"/>
  <c r="V124" i="15" s="1"/>
  <c r="V125" i="15" s="1"/>
  <c r="V126" i="15" s="1"/>
  <c r="V127" i="15" s="1"/>
  <c r="AO33" i="15"/>
  <c r="AO34" i="15"/>
  <c r="AO35" i="15" s="1"/>
  <c r="AO36" i="15" s="1"/>
  <c r="AO37" i="15" s="1"/>
  <c r="AO38" i="15" s="1"/>
  <c r="AO39" i="15" s="1"/>
  <c r="AO40" i="15" s="1"/>
  <c r="AO41" i="15" s="1"/>
  <c r="AO42" i="15" s="1"/>
  <c r="AO43" i="15" s="1"/>
  <c r="AO44" i="15" s="1"/>
  <c r="AO45" i="15" s="1"/>
  <c r="AO46" i="15" s="1"/>
  <c r="AO47" i="15" s="1"/>
  <c r="AO48" i="15" s="1"/>
  <c r="AO49" i="15" s="1"/>
  <c r="AO50" i="15" s="1"/>
  <c r="AO51" i="15" s="1"/>
  <c r="AO52" i="15" s="1"/>
  <c r="AO53" i="15" s="1"/>
  <c r="AO54" i="15" s="1"/>
  <c r="AO55" i="15" s="1"/>
  <c r="AO56" i="15" s="1"/>
  <c r="AO57" i="15" s="1"/>
  <c r="AO58" i="15" s="1"/>
  <c r="AO59" i="15" s="1"/>
  <c r="AO60" i="15" s="1"/>
  <c r="AO61" i="15" s="1"/>
  <c r="AO62" i="15" s="1"/>
  <c r="AO63" i="15" s="1"/>
  <c r="AO64" i="15" s="1"/>
  <c r="AO65" i="15" s="1"/>
  <c r="AO66" i="15" s="1"/>
  <c r="AO67" i="15" s="1"/>
  <c r="AO68" i="15" s="1"/>
  <c r="AO69" i="15" s="1"/>
  <c r="AO70" i="15" s="1"/>
  <c r="AO71" i="15" s="1"/>
  <c r="AO72" i="15" s="1"/>
  <c r="AO73" i="15" s="1"/>
  <c r="AO74" i="15" s="1"/>
  <c r="AO75" i="15" s="1"/>
  <c r="AO76" i="15" s="1"/>
  <c r="AO77" i="15" s="1"/>
  <c r="AO78" i="15" s="1"/>
  <c r="AO79" i="15" s="1"/>
  <c r="AO80" i="15" s="1"/>
  <c r="AO81" i="15" s="1"/>
  <c r="AO82" i="15" s="1"/>
  <c r="AO83" i="15" s="1"/>
  <c r="AO84" i="15" s="1"/>
  <c r="AO85" i="15" s="1"/>
  <c r="AO86" i="15" s="1"/>
  <c r="AO87" i="15" s="1"/>
  <c r="AO88" i="15" s="1"/>
  <c r="AO89" i="15" s="1"/>
  <c r="AO90" i="15" s="1"/>
  <c r="AO91" i="15" s="1"/>
  <c r="AO92" i="15" s="1"/>
  <c r="AO93" i="15" s="1"/>
  <c r="AO94" i="15" s="1"/>
  <c r="AO95" i="15" s="1"/>
  <c r="AO96" i="15" s="1"/>
  <c r="AO97" i="15" s="1"/>
  <c r="AO98" i="15" s="1"/>
  <c r="AO99" i="15" s="1"/>
  <c r="AO100" i="15" s="1"/>
  <c r="AO101" i="15" s="1"/>
  <c r="AO102" i="15" s="1"/>
  <c r="AO103" i="15" s="1"/>
  <c r="AO104" i="15" s="1"/>
  <c r="AO105" i="15" s="1"/>
  <c r="AO106" i="15" s="1"/>
  <c r="AO107" i="15" s="1"/>
  <c r="AO108" i="15" s="1"/>
  <c r="AO109" i="15" s="1"/>
  <c r="AO110" i="15" s="1"/>
  <c r="AO111" i="15" s="1"/>
  <c r="AO112" i="15" s="1"/>
  <c r="AO113" i="15" s="1"/>
  <c r="AO114" i="15" s="1"/>
  <c r="AO115" i="15" s="1"/>
  <c r="AO116" i="15" s="1"/>
  <c r="AO117" i="15" s="1"/>
  <c r="AO118" i="15" s="1"/>
  <c r="AO119" i="15" s="1"/>
  <c r="AO120" i="15" s="1"/>
  <c r="AO121" i="15" s="1"/>
  <c r="AO122" i="15" s="1"/>
  <c r="AO123" i="15" s="1"/>
  <c r="AO124" i="15" s="1"/>
  <c r="AO125" i="15" s="1"/>
  <c r="AO126" i="15" s="1"/>
  <c r="AO127" i="15" s="1"/>
  <c r="AO128" i="15" s="1"/>
  <c r="AO129" i="15" s="1"/>
  <c r="AO130" i="15" s="1"/>
  <c r="AO131" i="15" s="1"/>
  <c r="AO132" i="15" s="1"/>
  <c r="AO133" i="15" s="1"/>
  <c r="AO134" i="15" s="1"/>
  <c r="AO135" i="15" s="1"/>
  <c r="AO136" i="15" s="1"/>
  <c r="AO137" i="15" s="1"/>
  <c r="AO138" i="15" s="1"/>
  <c r="AO139" i="15" s="1"/>
  <c r="AO140" i="15" s="1"/>
  <c r="AO141" i="15" s="1"/>
  <c r="AO142" i="15" s="1"/>
  <c r="AO143" i="15" s="1"/>
  <c r="AO144" i="15" s="1"/>
  <c r="AO145" i="15" s="1"/>
  <c r="AO146" i="15" s="1"/>
  <c r="AO147" i="15" s="1"/>
  <c r="AO148" i="15" s="1"/>
  <c r="AO149" i="15" s="1"/>
  <c r="AO150" i="15" s="1"/>
  <c r="AX150" i="15" s="1"/>
  <c r="AB6" i="9"/>
  <c r="L7" i="9"/>
  <c r="L8" i="9" s="1"/>
  <c r="P7" i="14"/>
  <c r="P8" i="14"/>
  <c r="P9" i="14" s="1"/>
  <c r="P10" i="14" s="1"/>
  <c r="P11" i="14" s="1"/>
  <c r="P12" i="14" s="1"/>
  <c r="P13" i="14" s="1"/>
  <c r="P14" i="14" s="1"/>
  <c r="P15" i="14" s="1"/>
  <c r="P16" i="14" s="1"/>
  <c r="P17" i="14" s="1"/>
  <c r="P18" i="14" s="1"/>
  <c r="P19" i="14" s="1"/>
  <c r="P20" i="14" s="1"/>
  <c r="P21" i="14" s="1"/>
  <c r="P22" i="14" s="1"/>
  <c r="P23" i="14" s="1"/>
  <c r="P24" i="14" s="1"/>
  <c r="P25" i="14" s="1"/>
  <c r="P26" i="14" s="1"/>
  <c r="P27" i="14" s="1"/>
  <c r="P28" i="14" s="1"/>
  <c r="P29" i="14" s="1"/>
  <c r="P30" i="14" s="1"/>
  <c r="P31" i="14" s="1"/>
  <c r="P32" i="14" s="1"/>
  <c r="P33" i="14" s="1"/>
  <c r="P34" i="14" s="1"/>
  <c r="P35" i="14" s="1"/>
  <c r="P36" i="14" s="1"/>
  <c r="P37" i="14" s="1"/>
  <c r="P38" i="14" s="1"/>
  <c r="P39" i="14" s="1"/>
  <c r="P40" i="14" s="1"/>
  <c r="P41" i="14" s="1"/>
  <c r="P42" i="14" s="1"/>
  <c r="P43" i="14" s="1"/>
  <c r="P44" i="14" s="1"/>
  <c r="P45" i="14" s="1"/>
  <c r="P46" i="14" s="1"/>
  <c r="P47" i="14" s="1"/>
  <c r="P48" i="14" s="1"/>
  <c r="P49" i="14" s="1"/>
  <c r="P50" i="14" s="1"/>
  <c r="P51" i="14" s="1"/>
  <c r="P52" i="14" s="1"/>
  <c r="P53" i="14" s="1"/>
  <c r="P54" i="14" s="1"/>
  <c r="P55" i="14" s="1"/>
  <c r="P56" i="14" s="1"/>
  <c r="P57" i="14" s="1"/>
  <c r="P58" i="14" s="1"/>
  <c r="P59" i="14" s="1"/>
  <c r="P60" i="14" s="1"/>
  <c r="P61" i="14" s="1"/>
  <c r="P62" i="14" s="1"/>
  <c r="P63" i="14" s="1"/>
  <c r="P64" i="14" s="1"/>
  <c r="P65" i="14" s="1"/>
  <c r="P66" i="14" s="1"/>
  <c r="BG76" i="7"/>
  <c r="AX76" i="7"/>
  <c r="AB19" i="14"/>
  <c r="BP19" i="14"/>
  <c r="N5" i="14"/>
  <c r="N6" i="14" s="1"/>
  <c r="N7" i="14" s="1"/>
  <c r="N8" i="14" s="1"/>
  <c r="N9" i="14"/>
  <c r="N10" i="14" s="1"/>
  <c r="N11" i="14" s="1"/>
  <c r="N12" i="14" s="1"/>
  <c r="N13" i="14" s="1"/>
  <c r="N14" i="14" s="1"/>
  <c r="N15" i="14" s="1"/>
  <c r="N16" i="14" s="1"/>
  <c r="N17" i="14" s="1"/>
  <c r="N18" i="14" s="1"/>
  <c r="N19" i="14" s="1"/>
  <c r="N20" i="14" s="1"/>
  <c r="N21" i="14" s="1"/>
  <c r="N22" i="14" s="1"/>
  <c r="N23" i="14" s="1"/>
  <c r="N24" i="14" s="1"/>
  <c r="N25" i="14" s="1"/>
  <c r="N26" i="14" s="1"/>
  <c r="N27" i="14" s="1"/>
  <c r="N28" i="14" s="1"/>
  <c r="N29" i="14" s="1"/>
  <c r="N30" i="14" s="1"/>
  <c r="N31" i="14" s="1"/>
  <c r="N32" i="14" s="1"/>
  <c r="N33" i="14" s="1"/>
  <c r="N34" i="14" s="1"/>
  <c r="N35" i="14" s="1"/>
  <c r="N36" i="14" s="1"/>
  <c r="N37" i="14" s="1"/>
  <c r="N38" i="14" s="1"/>
  <c r="N39" i="14" s="1"/>
  <c r="N40" i="14" s="1"/>
  <c r="N41" i="14" s="1"/>
  <c r="N42" i="14" s="1"/>
  <c r="N43" i="14" s="1"/>
  <c r="N44" i="14" s="1"/>
  <c r="N45" i="14" s="1"/>
  <c r="N46" i="14" s="1"/>
  <c r="N47" i="14" s="1"/>
  <c r="N48" i="14" s="1"/>
  <c r="N49" i="14" s="1"/>
  <c r="N50" i="14" s="1"/>
  <c r="N51" i="14" s="1"/>
  <c r="N52" i="14" s="1"/>
  <c r="N53" i="14" s="1"/>
  <c r="N54" i="14" s="1"/>
  <c r="N55" i="14" s="1"/>
  <c r="N56" i="14" s="1"/>
  <c r="N57" i="14" s="1"/>
  <c r="N58" i="14" s="1"/>
  <c r="B19" i="11"/>
  <c r="B31" i="11" s="1"/>
  <c r="B43" i="11" s="1"/>
  <c r="B55" i="11" s="1"/>
  <c r="B67" i="11" s="1"/>
  <c r="B79" i="11" s="1"/>
  <c r="B91" i="11" s="1"/>
  <c r="B103" i="11" s="1"/>
  <c r="B115" i="11" s="1"/>
  <c r="B127" i="11" s="1"/>
  <c r="B139" i="11" s="1"/>
  <c r="AL20" i="18"/>
  <c r="AH25" i="14"/>
  <c r="AH26" i="14"/>
  <c r="AH27" i="14" s="1"/>
  <c r="AH28" i="14" s="1"/>
  <c r="AH29" i="14" s="1"/>
  <c r="AH30" i="14" s="1"/>
  <c r="AH31" i="14" s="1"/>
  <c r="AH32" i="14" s="1"/>
  <c r="AH33" i="14" s="1"/>
  <c r="AH34" i="14" s="1"/>
  <c r="AH35" i="14" s="1"/>
  <c r="AH36" i="14" s="1"/>
  <c r="AH37" i="14" s="1"/>
  <c r="AH38" i="14" s="1"/>
  <c r="AH39" i="14" s="1"/>
  <c r="AH40" i="14" s="1"/>
  <c r="AH41" i="14" s="1"/>
  <c r="AH42" i="14" s="1"/>
  <c r="AH43" i="14" s="1"/>
  <c r="AH44" i="14" s="1"/>
  <c r="AH45" i="14" s="1"/>
  <c r="AH46" i="14" s="1"/>
  <c r="AH47" i="14" s="1"/>
  <c r="AH48" i="14" s="1"/>
  <c r="AH49" i="14" s="1"/>
  <c r="AH50" i="14" s="1"/>
  <c r="AH51" i="14" s="1"/>
  <c r="AH52" i="14" s="1"/>
  <c r="AH53" i="14" s="1"/>
  <c r="AH54" i="14" s="1"/>
  <c r="AH55" i="14" s="1"/>
  <c r="AH56" i="14" s="1"/>
  <c r="AH57" i="14" s="1"/>
  <c r="AH58" i="14" s="1"/>
  <c r="AH59" i="14" s="1"/>
  <c r="AH60" i="14" s="1"/>
  <c r="AH61" i="14" s="1"/>
  <c r="AH62" i="14" s="1"/>
  <c r="AH63" i="14" s="1"/>
  <c r="AH64" i="14" s="1"/>
  <c r="AH65" i="14" s="1"/>
  <c r="AH66" i="14" s="1"/>
  <c r="AH67" i="14" s="1"/>
  <c r="AH68" i="14" s="1"/>
  <c r="AH69" i="14" s="1"/>
  <c r="AH70" i="14" s="1"/>
  <c r="AH71" i="14" s="1"/>
  <c r="AH72" i="14" s="1"/>
  <c r="AH73" i="14" s="1"/>
  <c r="AH74" i="14" s="1"/>
  <c r="AH75" i="14" s="1"/>
  <c r="AH76" i="14" s="1"/>
  <c r="AH77" i="14" s="1"/>
  <c r="AH78" i="14" s="1"/>
  <c r="AH79" i="14" s="1"/>
  <c r="AH80" i="14" s="1"/>
  <c r="AH81" i="14" s="1"/>
  <c r="AH82" i="14" s="1"/>
  <c r="AH83" i="14" s="1"/>
  <c r="AH84" i="14" s="1"/>
  <c r="BI12" i="14"/>
  <c r="BD7" i="14"/>
  <c r="BD8" i="14" s="1"/>
  <c r="BD9" i="14"/>
  <c r="BD10" i="14" s="1"/>
  <c r="BD11" i="14" s="1"/>
  <c r="BD12" i="14" s="1"/>
  <c r="BD13" i="14"/>
  <c r="BD14" i="14" s="1"/>
  <c r="BD15" i="14" s="1"/>
  <c r="BD16" i="14" s="1"/>
  <c r="BD17" i="14" s="1"/>
  <c r="BD18" i="14" s="1"/>
  <c r="CK57" i="14"/>
  <c r="CM57" i="14" s="1"/>
  <c r="Z21" i="6"/>
  <c r="Z24" i="6"/>
  <c r="L82" i="7"/>
  <c r="AE22" i="7"/>
  <c r="AE23" i="7"/>
  <c r="AE24" i="7" s="1"/>
  <c r="AE25" i="7" s="1"/>
  <c r="AE26" i="7" s="1"/>
  <c r="AE27" i="7"/>
  <c r="AE28" i="7" s="1"/>
  <c r="AE29" i="7" s="1"/>
  <c r="AE30" i="7" s="1"/>
  <c r="AE31" i="7" s="1"/>
  <c r="AG23" i="7"/>
  <c r="AG24" i="7" s="1"/>
  <c r="AG25" i="7"/>
  <c r="AG26" i="7" s="1"/>
  <c r="AG27" i="7" s="1"/>
  <c r="AG28" i="7" s="1"/>
  <c r="AG29" i="7" s="1"/>
  <c r="E71" i="6"/>
  <c r="G82" i="7"/>
  <c r="AL28" i="18"/>
  <c r="AL40" i="18" s="1"/>
  <c r="AP64" i="18"/>
  <c r="AL50" i="18"/>
  <c r="AL62" i="18"/>
  <c r="BV25" i="14"/>
  <c r="BV26" i="14"/>
  <c r="BV27" i="14" s="1"/>
  <c r="BV28" i="14" s="1"/>
  <c r="BV29" i="14" s="1"/>
  <c r="BV30" i="14" s="1"/>
  <c r="BV31" i="14" s="1"/>
  <c r="BV32" i="14" s="1"/>
  <c r="BV33" i="14" s="1"/>
  <c r="BV34" i="14" s="1"/>
  <c r="BV35" i="14" s="1"/>
  <c r="BV36" i="14" s="1"/>
  <c r="T11" i="14"/>
  <c r="T12" i="14"/>
  <c r="T13" i="14" s="1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T28" i="14" s="1"/>
  <c r="T29" i="14" s="1"/>
  <c r="T30" i="14" s="1"/>
  <c r="T31" i="14" s="1"/>
  <c r="T32" i="14" s="1"/>
  <c r="T33" i="14" s="1"/>
  <c r="T34" i="14" s="1"/>
  <c r="T35" i="14" s="1"/>
  <c r="T36" i="14" s="1"/>
  <c r="T37" i="14" s="1"/>
  <c r="T38" i="14" s="1"/>
  <c r="T39" i="14" s="1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T54" i="14" s="1"/>
  <c r="T55" i="14" s="1"/>
  <c r="T56" i="14" s="1"/>
  <c r="T57" i="14" s="1"/>
  <c r="T58" i="14" s="1"/>
  <c r="T59" i="14" s="1"/>
  <c r="T60" i="14" s="1"/>
  <c r="T61" i="14" s="1"/>
  <c r="T62" i="14" s="1"/>
  <c r="T63" i="14" s="1"/>
  <c r="T64" i="14" s="1"/>
  <c r="T65" i="14" s="1"/>
  <c r="T66" i="14" s="1"/>
  <c r="T67" i="14" s="1"/>
  <c r="T68" i="14" s="1"/>
  <c r="T69" i="14" s="1"/>
  <c r="T70" i="14" s="1"/>
  <c r="Y16" i="14"/>
  <c r="Y17" i="14"/>
  <c r="AB15" i="5"/>
  <c r="BS22" i="14"/>
  <c r="BS23" i="14" s="1"/>
  <c r="BS24" i="14"/>
  <c r="BS25" i="14" s="1"/>
  <c r="BS26" i="14" s="1"/>
  <c r="BS27" i="14" s="1"/>
  <c r="BS28" i="14"/>
  <c r="BS29" i="14" s="1"/>
  <c r="BS30" i="14" s="1"/>
  <c r="BS31" i="14" s="1"/>
  <c r="BS32" i="14" s="1"/>
  <c r="BS33" i="14" s="1"/>
  <c r="AE22" i="14"/>
  <c r="AE23" i="14" s="1"/>
  <c r="AE24" i="14"/>
  <c r="AE25" i="14" s="1"/>
  <c r="AE26" i="14" s="1"/>
  <c r="AE27" i="14" s="1"/>
  <c r="AE28" i="14"/>
  <c r="AE29" i="14" s="1"/>
  <c r="AE30" i="14" s="1"/>
  <c r="AE31" i="14" s="1"/>
  <c r="AE32" i="14" s="1"/>
  <c r="AE33" i="14" s="1"/>
  <c r="AE34" i="14" s="1"/>
  <c r="AE35" i="14" s="1"/>
  <c r="AE36" i="14" s="1"/>
  <c r="AE37" i="14" s="1"/>
  <c r="AE38" i="14" s="1"/>
  <c r="AE39" i="14" s="1"/>
  <c r="AE40" i="14" s="1"/>
  <c r="AE41" i="14" s="1"/>
  <c r="AE42" i="14" s="1"/>
  <c r="AE43" i="14" s="1"/>
  <c r="AE44" i="14" s="1"/>
  <c r="AE45" i="14" s="1"/>
  <c r="AE46" i="14" s="1"/>
  <c r="AE47" i="14" s="1"/>
  <c r="AE48" i="14" s="1"/>
  <c r="AE49" i="14" s="1"/>
  <c r="AE50" i="14" s="1"/>
  <c r="AE51" i="14" s="1"/>
  <c r="AE52" i="14" s="1"/>
  <c r="AE53" i="14" s="1"/>
  <c r="AE54" i="14" s="1"/>
  <c r="AE55" i="14" s="1"/>
  <c r="AE56" i="14" s="1"/>
  <c r="AE57" i="14" s="1"/>
  <c r="AE58" i="14" s="1"/>
  <c r="AE59" i="14" s="1"/>
  <c r="AE60" i="14" s="1"/>
  <c r="AE61" i="14" s="1"/>
  <c r="AE62" i="14" s="1"/>
  <c r="AE63" i="14" s="1"/>
  <c r="AE64" i="14" s="1"/>
  <c r="AE65" i="14" s="1"/>
  <c r="AE66" i="14" s="1"/>
  <c r="AE67" i="14" s="1"/>
  <c r="AE68" i="14" s="1"/>
  <c r="AE69" i="14" s="1"/>
  <c r="AE70" i="14" s="1"/>
  <c r="AE71" i="14" s="1"/>
  <c r="AE72" i="14" s="1"/>
  <c r="AE73" i="14" s="1"/>
  <c r="AE74" i="14" s="1"/>
  <c r="AE75" i="14" s="1"/>
  <c r="AE76" i="14" s="1"/>
  <c r="AE77" i="14" s="1"/>
  <c r="AE78" i="14" s="1"/>
  <c r="AE79" i="14" s="1"/>
  <c r="AE80" i="14" s="1"/>
  <c r="AE81" i="14" s="1"/>
  <c r="AQ64" i="18"/>
  <c r="AG25" i="16"/>
  <c r="AG26" i="16"/>
  <c r="AG27" i="16" s="1"/>
  <c r="AG28" i="16" s="1"/>
  <c r="AG29" i="16" s="1"/>
  <c r="AG30" i="16" s="1"/>
  <c r="AG31" i="16" s="1"/>
  <c r="AG32" i="16" s="1"/>
  <c r="AG33" i="16" s="1"/>
  <c r="AG34" i="16" s="1"/>
  <c r="AG35" i="16" s="1"/>
  <c r="AG36" i="16" s="1"/>
  <c r="AG37" i="16" s="1"/>
  <c r="AG38" i="16" s="1"/>
  <c r="AG39" i="16" s="1"/>
  <c r="AG40" i="16" s="1"/>
  <c r="AG41" i="16" s="1"/>
  <c r="AG42" i="16" s="1"/>
  <c r="AG43" i="16" s="1"/>
  <c r="AG44" i="16" s="1"/>
  <c r="AG45" i="16" s="1"/>
  <c r="AG46" i="16" s="1"/>
  <c r="AG47" i="16" s="1"/>
  <c r="AG48" i="16" s="1"/>
  <c r="AG49" i="16" s="1"/>
  <c r="AG50" i="16" s="1"/>
  <c r="AG51" i="16" s="1"/>
  <c r="AG52" i="16" s="1"/>
  <c r="AG53" i="16" s="1"/>
  <c r="AG54" i="16" s="1"/>
  <c r="AG55" i="16" s="1"/>
  <c r="AG56" i="16" s="1"/>
  <c r="AG57" i="16" s="1"/>
  <c r="AG58" i="16" s="1"/>
  <c r="AG59" i="16" s="1"/>
  <c r="AG60" i="16" s="1"/>
  <c r="AG61" i="16" s="1"/>
  <c r="AG62" i="16" s="1"/>
  <c r="AG63" i="16" s="1"/>
  <c r="V67" i="19"/>
  <c r="AO166" i="5" s="1"/>
  <c r="U129" i="15"/>
  <c r="Z135" i="15"/>
  <c r="B26" i="15"/>
  <c r="B38" i="15" s="1"/>
  <c r="B50" i="15" s="1"/>
  <c r="B62" i="15" s="1"/>
  <c r="B74" i="15" s="1"/>
  <c r="B86" i="15" s="1"/>
  <c r="B98" i="15" s="1"/>
  <c r="B110" i="15" s="1"/>
  <c r="B122" i="15" s="1"/>
  <c r="B134" i="15" s="1"/>
  <c r="B146" i="15" s="1"/>
  <c r="BN17" i="14"/>
  <c r="Z17" i="14"/>
  <c r="G6" i="11"/>
  <c r="AL6" i="10"/>
  <c r="AL7" i="10" s="1"/>
  <c r="AL8" i="10" s="1"/>
  <c r="AB20" i="8"/>
  <c r="AB21" i="8"/>
  <c r="AB22" i="8" s="1"/>
  <c r="AB23" i="8" s="1"/>
  <c r="AB24" i="8" s="1"/>
  <c r="AB25" i="8"/>
  <c r="AB26" i="8" s="1"/>
  <c r="AB27" i="8" s="1"/>
  <c r="AB28" i="8" s="1"/>
  <c r="AB29" i="8"/>
  <c r="AB30" i="8" s="1"/>
  <c r="AB31" i="8" s="1"/>
  <c r="AB32" i="8" s="1"/>
  <c r="AB33" i="8" s="1"/>
  <c r="AB34" i="8" s="1"/>
  <c r="AB35" i="8" s="1"/>
  <c r="AB36" i="8" s="1"/>
  <c r="AB37" i="8" s="1"/>
  <c r="AB38" i="8" s="1"/>
  <c r="AB39" i="8" s="1"/>
  <c r="AB40" i="8" s="1"/>
  <c r="AB41" i="8" s="1"/>
  <c r="AB42" i="8" s="1"/>
  <c r="AB43" i="8" s="1"/>
  <c r="AB44" i="8" s="1"/>
  <c r="AB45" i="8" s="1"/>
  <c r="AB46" i="8" s="1"/>
  <c r="AB47" i="8" s="1"/>
  <c r="AB48" i="8" s="1"/>
  <c r="AB49" i="8" s="1"/>
  <c r="AB50" i="8" s="1"/>
  <c r="AB51" i="8" s="1"/>
  <c r="AB52" i="8" s="1"/>
  <c r="AB53" i="8" s="1"/>
  <c r="AB54" i="8" s="1"/>
  <c r="AB55" i="8" s="1"/>
  <c r="AB56" i="8" s="1"/>
  <c r="AB57" i="8" s="1"/>
  <c r="AB58" i="8" s="1"/>
  <c r="AB59" i="8" s="1"/>
  <c r="AB60" i="8" s="1"/>
  <c r="AB61" i="8" s="1"/>
  <c r="AB62" i="8" s="1"/>
  <c r="AB63" i="8" s="1"/>
  <c r="AB64" i="8" s="1"/>
  <c r="AB65" i="8" s="1"/>
  <c r="AB66" i="8" s="1"/>
  <c r="AB67" i="8" s="1"/>
  <c r="AB68" i="8" s="1"/>
  <c r="AB69" i="8" s="1"/>
  <c r="AB70" i="8" s="1"/>
  <c r="AB71" i="8" s="1"/>
  <c r="AB72" i="8" s="1"/>
  <c r="AB73" i="8" s="1"/>
  <c r="AB74" i="8" s="1"/>
  <c r="AB75" i="8" s="1"/>
  <c r="AB76" i="8" s="1"/>
  <c r="AB77" i="8" s="1"/>
  <c r="AB78" i="8" s="1"/>
  <c r="BB22" i="8"/>
  <c r="BB23" i="8" s="1"/>
  <c r="BB24" i="8" s="1"/>
  <c r="BB25" i="8" s="1"/>
  <c r="BB26" i="8" s="1"/>
  <c r="BB27" i="8" s="1"/>
  <c r="BB28" i="8" s="1"/>
  <c r="BB29" i="8" s="1"/>
  <c r="BB30" i="8" s="1"/>
  <c r="BB31" i="8" s="1"/>
  <c r="BB32" i="8" s="1"/>
  <c r="BC23" i="8"/>
  <c r="BC24" i="8"/>
  <c r="BC25" i="8" s="1"/>
  <c r="BC26" i="8"/>
  <c r="BC27" i="8" s="1"/>
  <c r="BC28" i="8" s="1"/>
  <c r="BC29" i="8" s="1"/>
  <c r="BC30" i="8"/>
  <c r="BC31" i="8" s="1"/>
  <c r="BC32" i="8" s="1"/>
  <c r="BC33" i="8" s="1"/>
  <c r="Y16" i="7"/>
  <c r="BD20" i="7"/>
  <c r="BD21" i="7"/>
  <c r="BD22" i="7" s="1"/>
  <c r="BD23" i="7"/>
  <c r="BD24" i="7" s="1"/>
  <c r="BD25" i="7" s="1"/>
  <c r="BD26" i="7" s="1"/>
  <c r="BD27" i="7" s="1"/>
  <c r="AS40" i="18"/>
  <c r="AS64" i="18"/>
  <c r="O6" i="15"/>
  <c r="O7" i="15"/>
  <c r="O8" i="15" s="1"/>
  <c r="O9" i="15" s="1"/>
  <c r="O10" i="15" s="1"/>
  <c r="O11" i="15" s="1"/>
  <c r="O12" i="15" s="1"/>
  <c r="O13" i="15" s="1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BW27" i="14"/>
  <c r="BW28" i="14" s="1"/>
  <c r="BW29" i="14" s="1"/>
  <c r="BW30" i="14" s="1"/>
  <c r="BW31" i="14"/>
  <c r="BW32" i="14" s="1"/>
  <c r="BW33" i="14" s="1"/>
  <c r="BW34" i="14" s="1"/>
  <c r="BW35" i="14" s="1"/>
  <c r="BW36" i="14" s="1"/>
  <c r="BW37" i="14" s="1"/>
  <c r="Q9" i="14"/>
  <c r="Q10" i="14"/>
  <c r="Q11" i="14" s="1"/>
  <c r="Q12" i="14" s="1"/>
  <c r="Q13" i="14" s="1"/>
  <c r="Q14" i="14"/>
  <c r="Q15" i="14" s="1"/>
  <c r="Q16" i="14" s="1"/>
  <c r="Q17" i="14" s="1"/>
  <c r="Q18" i="14" s="1"/>
  <c r="Q19" i="14" s="1"/>
  <c r="Q20" i="14" s="1"/>
  <c r="Q21" i="14" s="1"/>
  <c r="Q22" i="14" s="1"/>
  <c r="Q23" i="14" s="1"/>
  <c r="Q24" i="14" s="1"/>
  <c r="Q25" i="14" s="1"/>
  <c r="Q26" i="14" s="1"/>
  <c r="Q27" i="14" s="1"/>
  <c r="Q28" i="14" s="1"/>
  <c r="Q29" i="14" s="1"/>
  <c r="Q30" i="14" s="1"/>
  <c r="Q31" i="14" s="1"/>
  <c r="Q32" i="14" s="1"/>
  <c r="Q33" i="14" s="1"/>
  <c r="Q34" i="14" s="1"/>
  <c r="Q35" i="14" s="1"/>
  <c r="Q36" i="14" s="1"/>
  <c r="Q37" i="14" s="1"/>
  <c r="Q38" i="14" s="1"/>
  <c r="Q39" i="14" s="1"/>
  <c r="Q40" i="14" s="1"/>
  <c r="Q41" i="14" s="1"/>
  <c r="Q42" i="14" s="1"/>
  <c r="Q43" i="14" s="1"/>
  <c r="Q44" i="14" s="1"/>
  <c r="Q45" i="14" s="1"/>
  <c r="Q46" i="14" s="1"/>
  <c r="Q47" i="14" s="1"/>
  <c r="Q48" i="14" s="1"/>
  <c r="Q49" i="14" s="1"/>
  <c r="Q50" i="14" s="1"/>
  <c r="Q51" i="14" s="1"/>
  <c r="Q52" i="14" s="1"/>
  <c r="Q53" i="14" s="1"/>
  <c r="Q54" i="14" s="1"/>
  <c r="Q55" i="14" s="1"/>
  <c r="Q56" i="14" s="1"/>
  <c r="Q57" i="14" s="1"/>
  <c r="Q58" i="14" s="1"/>
  <c r="Q59" i="14" s="1"/>
  <c r="Q60" i="14" s="1"/>
  <c r="Q61" i="14" s="1"/>
  <c r="Q62" i="14" s="1"/>
  <c r="Q63" i="14" s="1"/>
  <c r="Q64" i="14" s="1"/>
  <c r="Q65" i="14" s="1"/>
  <c r="Q66" i="14" s="1"/>
  <c r="Q67" i="14" s="1"/>
  <c r="Y17" i="10"/>
  <c r="V14" i="10"/>
  <c r="V15" i="10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Z7" i="6"/>
  <c r="BZ30" i="14"/>
  <c r="BZ31" i="14"/>
  <c r="BZ32" i="14" s="1"/>
  <c r="BZ33" i="14" s="1"/>
  <c r="BZ34" i="14" s="1"/>
  <c r="BZ35" i="14" s="1"/>
  <c r="BZ36" i="14" s="1"/>
  <c r="BZ37" i="14" s="1"/>
  <c r="BZ38" i="14" s="1"/>
  <c r="BZ39" i="14" s="1"/>
  <c r="BZ40" i="14" s="1"/>
  <c r="AJ28" i="14"/>
  <c r="AZ20" i="8"/>
  <c r="AZ21" i="8"/>
  <c r="AZ22" i="8" s="1"/>
  <c r="AZ23" i="8" s="1"/>
  <c r="AZ24" i="8" s="1"/>
  <c r="AZ25" i="8"/>
  <c r="AZ26" i="8" s="1"/>
  <c r="AZ27" i="8" s="1"/>
  <c r="AZ28" i="8" s="1"/>
  <c r="AZ29" i="8"/>
  <c r="AZ30" i="8" s="1"/>
  <c r="Z17" i="7"/>
  <c r="Z18" i="7"/>
  <c r="Z19" i="7" s="1"/>
  <c r="Z20" i="7" s="1"/>
  <c r="Z21" i="7" s="1"/>
  <c r="Z22" i="7"/>
  <c r="Z23" i="7" s="1"/>
  <c r="Z24" i="7" s="1"/>
  <c r="Z25" i="7" s="1"/>
  <c r="Z26" i="7"/>
  <c r="Z27" i="7" s="1"/>
  <c r="Z28" i="7" s="1"/>
  <c r="Z29" i="7" s="1"/>
  <c r="Z30" i="7" s="1"/>
  <c r="AS13" i="10"/>
  <c r="AS14" i="10" s="1"/>
  <c r="AS15" i="10"/>
  <c r="AS16" i="10" s="1"/>
  <c r="AS17" i="10" s="1"/>
  <c r="AS18" i="10" s="1"/>
  <c r="AS19" i="10"/>
  <c r="AS20" i="10" s="1"/>
  <c r="AS21" i="10" s="1"/>
  <c r="AS22" i="10" s="1"/>
  <c r="AS23" i="10" s="1"/>
  <c r="U14" i="8"/>
  <c r="BJ25" i="7"/>
  <c r="BJ26" i="7" s="1"/>
  <c r="BJ27" i="7"/>
  <c r="BJ28" i="7" s="1"/>
  <c r="BJ29" i="7" s="1"/>
  <c r="BJ30" i="7" s="1"/>
  <c r="BJ31" i="7" s="1"/>
  <c r="BB17" i="7"/>
  <c r="BB18" i="7"/>
  <c r="BB19" i="7" s="1"/>
  <c r="BB20" i="7" s="1"/>
  <c r="J63" i="19"/>
  <c r="AL12" i="18"/>
  <c r="AL18" i="18" s="1"/>
  <c r="BR22" i="14"/>
  <c r="G7" i="11"/>
  <c r="AL109" i="18"/>
  <c r="AC21" i="8"/>
  <c r="AC22" i="8"/>
  <c r="AC23" i="8" s="1"/>
  <c r="AC24" i="8" s="1"/>
  <c r="AC25" i="8" s="1"/>
  <c r="AC26" i="8" s="1"/>
  <c r="AC27" i="8" s="1"/>
  <c r="AC28" i="8" s="1"/>
  <c r="AC29" i="8" s="1"/>
  <c r="AC30" i="8" s="1"/>
  <c r="AC31" i="8" s="1"/>
  <c r="AC32" i="8" s="1"/>
  <c r="AC33" i="8" s="1"/>
  <c r="AC34" i="8" s="1"/>
  <c r="AC35" i="8" s="1"/>
  <c r="AC36" i="8" s="1"/>
  <c r="AC37" i="8" s="1"/>
  <c r="AC38" i="8" s="1"/>
  <c r="AC39" i="8" s="1"/>
  <c r="AC40" i="8" s="1"/>
  <c r="AC41" i="8" s="1"/>
  <c r="AC42" i="8" s="1"/>
  <c r="AC43" i="8" s="1"/>
  <c r="AC44" i="8" s="1"/>
  <c r="AC45" i="8" s="1"/>
  <c r="AC46" i="8" s="1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V61" i="19"/>
  <c r="AO157" i="5" s="1"/>
  <c r="AC18" i="18"/>
  <c r="AC21" i="18" s="1"/>
  <c r="AL21" i="18" s="1"/>
  <c r="O6" i="17"/>
  <c r="B24" i="16"/>
  <c r="B36" i="16"/>
  <c r="B48" i="16" s="1"/>
  <c r="B60" i="16" s="1"/>
  <c r="B72" i="16" s="1"/>
  <c r="B84" i="16" s="1"/>
  <c r="B96" i="16" s="1"/>
  <c r="BG10" i="14"/>
  <c r="S10" i="14"/>
  <c r="W14" i="14"/>
  <c r="BK14" i="14"/>
  <c r="AN31" i="15"/>
  <c r="AN32" i="15" s="1"/>
  <c r="AN33" i="15" s="1"/>
  <c r="AN34" i="15" s="1"/>
  <c r="AN35" i="15" s="1"/>
  <c r="AN36" i="15" s="1"/>
  <c r="AN37" i="15" s="1"/>
  <c r="AN38" i="15" s="1"/>
  <c r="AN39" i="15" s="1"/>
  <c r="AN40" i="15" s="1"/>
  <c r="AN41" i="15" s="1"/>
  <c r="AN42" i="15" s="1"/>
  <c r="AN43" i="15" s="1"/>
  <c r="AN44" i="15" s="1"/>
  <c r="AN45" i="15" s="1"/>
  <c r="AN46" i="15" s="1"/>
  <c r="AN47" i="15" s="1"/>
  <c r="AN48" i="15" s="1"/>
  <c r="AN49" i="15" s="1"/>
  <c r="AN50" i="15" s="1"/>
  <c r="AN51" i="15" s="1"/>
  <c r="AN52" i="15" s="1"/>
  <c r="AN53" i="15" s="1"/>
  <c r="AN54" i="15" s="1"/>
  <c r="AN55" i="15" s="1"/>
  <c r="AN56" i="15" s="1"/>
  <c r="AN57" i="15" s="1"/>
  <c r="AN58" i="15" s="1"/>
  <c r="AN59" i="15" s="1"/>
  <c r="AN60" i="15" s="1"/>
  <c r="AN61" i="15" s="1"/>
  <c r="AN62" i="15" s="1"/>
  <c r="AN63" i="15" s="1"/>
  <c r="AN64" i="15" s="1"/>
  <c r="AN65" i="15" s="1"/>
  <c r="AN66" i="15" s="1"/>
  <c r="AN67" i="15" s="1"/>
  <c r="AN68" i="15" s="1"/>
  <c r="AN69" i="15" s="1"/>
  <c r="AN70" i="15" s="1"/>
  <c r="AN71" i="15" s="1"/>
  <c r="AN72" i="15" s="1"/>
  <c r="AN73" i="15" s="1"/>
  <c r="AN74" i="15" s="1"/>
  <c r="AN75" i="15" s="1"/>
  <c r="AN76" i="15" s="1"/>
  <c r="AN77" i="15" s="1"/>
  <c r="AN78" i="15" s="1"/>
  <c r="AN79" i="15" s="1"/>
  <c r="AN80" i="15" s="1"/>
  <c r="AN81" i="15" s="1"/>
  <c r="AN82" i="15" s="1"/>
  <c r="AN83" i="15" s="1"/>
  <c r="AN84" i="15" s="1"/>
  <c r="AN85" i="15" s="1"/>
  <c r="AN86" i="15" s="1"/>
  <c r="AN87" i="15" s="1"/>
  <c r="AN88" i="15" s="1"/>
  <c r="AN89" i="15" s="1"/>
  <c r="AN90" i="15" s="1"/>
  <c r="AN91" i="15" s="1"/>
  <c r="AN92" i="15" s="1"/>
  <c r="AN93" i="15" s="1"/>
  <c r="AN94" i="15" s="1"/>
  <c r="AN95" i="15" s="1"/>
  <c r="AN96" i="15" s="1"/>
  <c r="AN97" i="15" s="1"/>
  <c r="AN98" i="15" s="1"/>
  <c r="AN99" i="15" s="1"/>
  <c r="AN100" i="15" s="1"/>
  <c r="AN101" i="15" s="1"/>
  <c r="AN102" i="15" s="1"/>
  <c r="AN103" i="15" s="1"/>
  <c r="AN104" i="15" s="1"/>
  <c r="AN105" i="15" s="1"/>
  <c r="AN106" i="15" s="1"/>
  <c r="AN107" i="15" s="1"/>
  <c r="AN108" i="15" s="1"/>
  <c r="AN109" i="15" s="1"/>
  <c r="AN110" i="15" s="1"/>
  <c r="AN111" i="15" s="1"/>
  <c r="AN112" i="15" s="1"/>
  <c r="AN113" i="15" s="1"/>
  <c r="AN114" i="15" s="1"/>
  <c r="AN115" i="15" s="1"/>
  <c r="AN116" i="15" s="1"/>
  <c r="AN117" i="15" s="1"/>
  <c r="AN118" i="15" s="1"/>
  <c r="AN119" i="15" s="1"/>
  <c r="AN120" i="15" s="1"/>
  <c r="AN121" i="15" s="1"/>
  <c r="AN122" i="15" s="1"/>
  <c r="AN123" i="15" s="1"/>
  <c r="AN124" i="15" s="1"/>
  <c r="AN125" i="15" s="1"/>
  <c r="AN126" i="15" s="1"/>
  <c r="AN127" i="15" s="1"/>
  <c r="AN128" i="15" s="1"/>
  <c r="AN129" i="15" s="1"/>
  <c r="AN130" i="15" s="1"/>
  <c r="AN131" i="15" s="1"/>
  <c r="AN132" i="15" s="1"/>
  <c r="AN133" i="15" s="1"/>
  <c r="AN134" i="15" s="1"/>
  <c r="AN135" i="15" s="1"/>
  <c r="AN136" i="15" s="1"/>
  <c r="AN137" i="15" s="1"/>
  <c r="AN138" i="15" s="1"/>
  <c r="AN139" i="15" s="1"/>
  <c r="AN140" i="15" s="1"/>
  <c r="AN141" i="15" s="1"/>
  <c r="AN142" i="15" s="1"/>
  <c r="AN143" i="15" s="1"/>
  <c r="AN144" i="15" s="1"/>
  <c r="AN145" i="15" s="1"/>
  <c r="AN146" i="15" s="1"/>
  <c r="AN147" i="15" s="1"/>
  <c r="AN148" i="15" s="1"/>
  <c r="AN149" i="15" s="1"/>
  <c r="AX149" i="15" s="1"/>
  <c r="BA21" i="8"/>
  <c r="BA22" i="8"/>
  <c r="BA23" i="8" s="1"/>
  <c r="BA24" i="8" s="1"/>
  <c r="BA25" i="8" s="1"/>
  <c r="BA26" i="8" s="1"/>
  <c r="BA27" i="8" s="1"/>
  <c r="BA28" i="8" s="1"/>
  <c r="BA29" i="8" s="1"/>
  <c r="BA30" i="8" s="1"/>
  <c r="B8" i="9"/>
  <c r="B19" i="9"/>
  <c r="B31" i="9"/>
  <c r="B43" i="9" s="1"/>
  <c r="B55" i="9" s="1"/>
  <c r="B67" i="9" s="1"/>
  <c r="B79" i="9" s="1"/>
  <c r="B91" i="9" s="1"/>
  <c r="B103" i="9" s="1"/>
  <c r="B115" i="9" s="1"/>
  <c r="B127" i="9" s="1"/>
  <c r="B139" i="9" s="1"/>
  <c r="AO9" i="10"/>
  <c r="H17" i="6"/>
  <c r="AA18" i="7"/>
  <c r="AA19" i="7" s="1"/>
  <c r="AA20" i="7"/>
  <c r="AA21" i="7" s="1"/>
  <c r="AA22" i="7" s="1"/>
  <c r="AA23" i="7" s="1"/>
  <c r="AA24" i="7"/>
  <c r="AA25" i="7" s="1"/>
  <c r="AA26" i="7" s="1"/>
  <c r="AA27" i="7" s="1"/>
  <c r="AA28" i="7" s="1"/>
  <c r="AA29" i="7" s="1"/>
  <c r="AA30" i="7" s="1"/>
  <c r="AA31" i="7" s="1"/>
  <c r="AA32" i="7" s="1"/>
  <c r="AA33" i="7" s="1"/>
  <c r="AA34" i="7" s="1"/>
  <c r="AA35" i="7" s="1"/>
  <c r="AA36" i="7" s="1"/>
  <c r="AA37" i="7" s="1"/>
  <c r="AA38" i="7" s="1"/>
  <c r="AA39" i="7" s="1"/>
  <c r="AA40" i="7" s="1"/>
  <c r="AA41" i="7" s="1"/>
  <c r="AA42" i="7" s="1"/>
  <c r="AA43" i="7" s="1"/>
  <c r="AA44" i="7" s="1"/>
  <c r="AA45" i="7" s="1"/>
  <c r="AA46" i="7" s="1"/>
  <c r="AA47" i="7" s="1"/>
  <c r="AA48" i="7" s="1"/>
  <c r="AA49" i="7" s="1"/>
  <c r="AA50" i="7" s="1"/>
  <c r="AA51" i="7" s="1"/>
  <c r="AA52" i="7" s="1"/>
  <c r="AA53" i="7" s="1"/>
  <c r="AA54" i="7" s="1"/>
  <c r="AA55" i="7" s="1"/>
  <c r="AA56" i="7" s="1"/>
  <c r="AA57" i="7" s="1"/>
  <c r="AA58" i="7" s="1"/>
  <c r="AA59" i="7" s="1"/>
  <c r="AA60" i="7" s="1"/>
  <c r="AA61" i="7" s="1"/>
  <c r="AA62" i="7" s="1"/>
  <c r="AA63" i="7" s="1"/>
  <c r="AA64" i="7" s="1"/>
  <c r="Z18" i="10"/>
  <c r="Z19" i="10"/>
  <c r="Z20" i="10" s="1"/>
  <c r="Z21" i="10" s="1"/>
  <c r="Z22" i="10" s="1"/>
  <c r="Z23" i="10" s="1"/>
  <c r="Z24" i="10" s="1"/>
  <c r="Z25" i="10" s="1"/>
  <c r="Z26" i="10" s="1"/>
  <c r="Z27" i="10" s="1"/>
  <c r="Z28" i="10" s="1"/>
  <c r="Z29" i="10" s="1"/>
  <c r="Z30" i="10" s="1"/>
  <c r="Z31" i="10" s="1"/>
  <c r="Z32" i="10" s="1"/>
  <c r="Z33" i="10" s="1"/>
  <c r="Z34" i="10" s="1"/>
  <c r="Z35" i="10" s="1"/>
  <c r="Z36" i="10" s="1"/>
  <c r="Z37" i="10" s="1"/>
  <c r="Z38" i="10" s="1"/>
  <c r="Z39" i="10" s="1"/>
  <c r="Z40" i="10" s="1"/>
  <c r="Z41" i="10" s="1"/>
  <c r="Z42" i="10" s="1"/>
  <c r="Z43" i="10" s="1"/>
  <c r="Z44" i="10" s="1"/>
  <c r="Z45" i="10" s="1"/>
  <c r="Z46" i="10" s="1"/>
  <c r="Z47" i="10" s="1"/>
  <c r="Z48" i="10" s="1"/>
  <c r="Z49" i="10" s="1"/>
  <c r="Z50" i="10" s="1"/>
  <c r="Z51" i="10" s="1"/>
  <c r="Z52" i="10" s="1"/>
  <c r="Z53" i="10" s="1"/>
  <c r="Z54" i="10" s="1"/>
  <c r="Z55" i="10" s="1"/>
  <c r="Z56" i="10" s="1"/>
  <c r="Z57" i="10" s="1"/>
  <c r="Z58" i="10" s="1"/>
  <c r="Z59" i="10" s="1"/>
  <c r="Z60" i="10" s="1"/>
  <c r="Z61" i="10" s="1"/>
  <c r="Z62" i="10" s="1"/>
  <c r="Z63" i="10" s="1"/>
  <c r="Z64" i="10" s="1"/>
  <c r="Z65" i="10" s="1"/>
  <c r="Z66" i="10" s="1"/>
  <c r="Z67" i="10" s="1"/>
  <c r="Z68" i="10" s="1"/>
  <c r="Z69" i="10" s="1"/>
  <c r="Z70" i="10" s="1"/>
  <c r="Z71" i="10" s="1"/>
  <c r="Z72" i="10" s="1"/>
  <c r="Z73" i="10" s="1"/>
  <c r="Z74" i="10" s="1"/>
  <c r="Z75" i="10" s="1"/>
  <c r="Z76" i="10" s="1"/>
  <c r="H8" i="6"/>
  <c r="AD22" i="10"/>
  <c r="AD23" i="10"/>
  <c r="AD24" i="10" s="1"/>
  <c r="AD25" i="10" s="1"/>
  <c r="AD26" i="10" s="1"/>
  <c r="AD27" i="10" s="1"/>
  <c r="AD28" i="10" s="1"/>
  <c r="AD29" i="10" s="1"/>
  <c r="AD30" i="10" s="1"/>
  <c r="AD31" i="10" s="1"/>
  <c r="AD32" i="10" s="1"/>
  <c r="AD33" i="10" s="1"/>
  <c r="AD34" i="10" s="1"/>
  <c r="AD35" i="10" s="1"/>
  <c r="AD36" i="10" s="1"/>
  <c r="AD37" i="10" s="1"/>
  <c r="AD38" i="10" s="1"/>
  <c r="AD39" i="10" s="1"/>
  <c r="AD40" i="10" s="1"/>
  <c r="AD41" i="10" s="1"/>
  <c r="AD42" i="10" s="1"/>
  <c r="AD43" i="10" s="1"/>
  <c r="AD44" i="10" s="1"/>
  <c r="AD45" i="10" s="1"/>
  <c r="AD46" i="10" s="1"/>
  <c r="AD47" i="10" s="1"/>
  <c r="AD48" i="10" s="1"/>
  <c r="AD49" i="10" s="1"/>
  <c r="AD50" i="10" s="1"/>
  <c r="AD51" i="10" s="1"/>
  <c r="AD52" i="10" s="1"/>
  <c r="AD53" i="10" s="1"/>
  <c r="AD54" i="10" s="1"/>
  <c r="AD55" i="10" s="1"/>
  <c r="AD56" i="10" s="1"/>
  <c r="AD57" i="10" s="1"/>
  <c r="AD58" i="10" s="1"/>
  <c r="AD59" i="10" s="1"/>
  <c r="AD60" i="10" s="1"/>
  <c r="AD61" i="10" s="1"/>
  <c r="AD62" i="10" s="1"/>
  <c r="AD63" i="10" s="1"/>
  <c r="AD64" i="10" s="1"/>
  <c r="AD65" i="10" s="1"/>
  <c r="AD66" i="10" s="1"/>
  <c r="AD67" i="10" s="1"/>
  <c r="AD68" i="10" s="1"/>
  <c r="AD69" i="10" s="1"/>
  <c r="AD70" i="10" s="1"/>
  <c r="AD71" i="10" s="1"/>
  <c r="AD72" i="10" s="1"/>
  <c r="AD73" i="10" s="1"/>
  <c r="AD74" i="10" s="1"/>
  <c r="AD75" i="10" s="1"/>
  <c r="AD76" i="10" s="1"/>
  <c r="AD77" i="10" s="1"/>
  <c r="AD78" i="10" s="1"/>
  <c r="AD79" i="10" s="1"/>
  <c r="AF24" i="8"/>
  <c r="P7" i="7"/>
  <c r="P8" i="7"/>
  <c r="P9" i="7" s="1"/>
  <c r="P10" i="7"/>
  <c r="P11" i="7" s="1"/>
  <c r="P12" i="7" s="1"/>
  <c r="P13" i="7" s="1"/>
  <c r="P14" i="7"/>
  <c r="P15" i="7" s="1"/>
  <c r="P16" i="7" s="1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P35" i="7" s="1"/>
  <c r="P36" i="7" s="1"/>
  <c r="P37" i="7" s="1"/>
  <c r="P38" i="7" s="1"/>
  <c r="P39" i="7" s="1"/>
  <c r="P40" i="7" s="1"/>
  <c r="P41" i="7" s="1"/>
  <c r="P42" i="7" s="1"/>
  <c r="P43" i="7" s="1"/>
  <c r="P44" i="7" s="1"/>
  <c r="P45" i="7" s="1"/>
  <c r="P46" i="7" s="1"/>
  <c r="P47" i="7" s="1"/>
  <c r="P48" i="7" s="1"/>
  <c r="P49" i="7" s="1"/>
  <c r="P50" i="7" s="1"/>
  <c r="P51" i="7" s="1"/>
  <c r="P52" i="7" s="1"/>
  <c r="P53" i="7" s="1"/>
  <c r="AS76" i="7"/>
  <c r="AT14" i="10"/>
  <c r="AT15" i="10" s="1"/>
  <c r="AT16" i="10"/>
  <c r="AT17" i="10" s="1"/>
  <c r="AT18" i="10" s="1"/>
  <c r="AT19" i="10" s="1"/>
  <c r="AT20" i="10" s="1"/>
  <c r="AT21" i="10" s="1"/>
  <c r="AT22" i="10" s="1"/>
  <c r="AT23" i="10" s="1"/>
  <c r="AT24" i="10" s="1"/>
  <c r="AU32" i="5"/>
  <c r="BQ20" i="14"/>
  <c r="AC20" i="14"/>
  <c r="AA19" i="10"/>
  <c r="AA20" i="10"/>
  <c r="AA21" i="10" s="1"/>
  <c r="AA22" i="10"/>
  <c r="AA23" i="10" s="1"/>
  <c r="AA24" i="10" s="1"/>
  <c r="AA25" i="10" s="1"/>
  <c r="AA26" i="10" s="1"/>
  <c r="AA27" i="10" s="1"/>
  <c r="AA28" i="10" s="1"/>
  <c r="AA29" i="10" s="1"/>
  <c r="AA30" i="10" s="1"/>
  <c r="AA31" i="10" s="1"/>
  <c r="AA32" i="10" s="1"/>
  <c r="AA33" i="10" s="1"/>
  <c r="AA34" i="10" s="1"/>
  <c r="AA35" i="10" s="1"/>
  <c r="AA36" i="10" s="1"/>
  <c r="AA37" i="10" s="1"/>
  <c r="AA38" i="10" s="1"/>
  <c r="AA39" i="10" s="1"/>
  <c r="AA40" i="10" s="1"/>
  <c r="AA41" i="10" s="1"/>
  <c r="AA42" i="10" s="1"/>
  <c r="AA43" i="10" s="1"/>
  <c r="AA44" i="10" s="1"/>
  <c r="AA45" i="10" s="1"/>
  <c r="AA46" i="10" s="1"/>
  <c r="AA47" i="10" s="1"/>
  <c r="AA48" i="10" s="1"/>
  <c r="AA49" i="10" s="1"/>
  <c r="AA50" i="10" s="1"/>
  <c r="AA51" i="10" s="1"/>
  <c r="AA52" i="10" s="1"/>
  <c r="AA53" i="10" s="1"/>
  <c r="AA54" i="10" s="1"/>
  <c r="AA55" i="10" s="1"/>
  <c r="AA56" i="10" s="1"/>
  <c r="AA57" i="10" s="1"/>
  <c r="AA58" i="10" s="1"/>
  <c r="AA59" i="10" s="1"/>
  <c r="AA60" i="10" s="1"/>
  <c r="AA61" i="10" s="1"/>
  <c r="AA62" i="10" s="1"/>
  <c r="AA63" i="10" s="1"/>
  <c r="AA64" i="10" s="1"/>
  <c r="AA65" i="10" s="1"/>
  <c r="AA66" i="10" s="1"/>
  <c r="AA67" i="10" s="1"/>
  <c r="AA68" i="10" s="1"/>
  <c r="AA69" i="10" s="1"/>
  <c r="AA70" i="10" s="1"/>
  <c r="AA71" i="10" s="1"/>
  <c r="AA72" i="10" s="1"/>
  <c r="AA73" i="10" s="1"/>
  <c r="AA74" i="10" s="1"/>
  <c r="AA75" i="10" s="1"/>
  <c r="AA76" i="10" s="1"/>
  <c r="AA77" i="10" s="1"/>
  <c r="AP10" i="10"/>
  <c r="AP11" i="10" s="1"/>
  <c r="AP12" i="10" s="1"/>
  <c r="AP13" i="10" s="1"/>
  <c r="AP14" i="10"/>
  <c r="AP15" i="10" s="1"/>
  <c r="AP16" i="10" s="1"/>
  <c r="AP17" i="10" s="1"/>
  <c r="AP18" i="10"/>
  <c r="AP19" i="10" s="1"/>
  <c r="AP20" i="10" s="1"/>
  <c r="BJ13" i="14"/>
  <c r="V13" i="14"/>
  <c r="AU60" i="5"/>
  <c r="AU76" i="5"/>
  <c r="AU62" i="5"/>
  <c r="AU40" i="5"/>
  <c r="AU38" i="5"/>
  <c r="AU47" i="5"/>
  <c r="AU50" i="5"/>
  <c r="AU55" i="5"/>
  <c r="AU48" i="5"/>
  <c r="AU61" i="5"/>
  <c r="AU65" i="5"/>
  <c r="AU66" i="5"/>
  <c r="AU74" i="5"/>
  <c r="AU54" i="5"/>
  <c r="AU44" i="5"/>
  <c r="Q9" i="10"/>
  <c r="Q10" i="10"/>
  <c r="Q11" i="10" s="1"/>
  <c r="Q12" i="10"/>
  <c r="Q13" i="10" s="1"/>
  <c r="Q14" i="10" s="1"/>
  <c r="Q15" i="10" s="1"/>
  <c r="Q16" i="10" s="1"/>
  <c r="Q17" i="10" s="1"/>
  <c r="Q18" i="10" s="1"/>
  <c r="Q19" i="10" s="1"/>
  <c r="Q20" i="10" s="1"/>
  <c r="Q21" i="10" s="1"/>
  <c r="Q22" i="10" s="1"/>
  <c r="Q23" i="10" s="1"/>
  <c r="Q24" i="10" s="1"/>
  <c r="Q25" i="10" s="1"/>
  <c r="Q26" i="10" s="1"/>
  <c r="Q27" i="10" s="1"/>
  <c r="Q28" i="10" s="1"/>
  <c r="Q29" i="10" s="1"/>
  <c r="Q30" i="10" s="1"/>
  <c r="Q31" i="10" s="1"/>
  <c r="Q32" i="10" s="1"/>
  <c r="Q33" i="10" s="1"/>
  <c r="Q34" i="10" s="1"/>
  <c r="Q35" i="10" s="1"/>
  <c r="Q36" i="10" s="1"/>
  <c r="Q37" i="10" s="1"/>
  <c r="Q38" i="10" s="1"/>
  <c r="Q39" i="10" s="1"/>
  <c r="Q40" i="10" s="1"/>
  <c r="Q41" i="10" s="1"/>
  <c r="Q42" i="10" s="1"/>
  <c r="Q43" i="10" s="1"/>
  <c r="Q44" i="10" s="1"/>
  <c r="Q45" i="10" s="1"/>
  <c r="Q46" i="10" s="1"/>
  <c r="Q47" i="10" s="1"/>
  <c r="Q48" i="10" s="1"/>
  <c r="Q49" i="10" s="1"/>
  <c r="Q50" i="10" s="1"/>
  <c r="Q51" i="10" s="1"/>
  <c r="Q52" i="10" s="1"/>
  <c r="Q53" i="10" s="1"/>
  <c r="Q54" i="10" s="1"/>
  <c r="Q55" i="10" s="1"/>
  <c r="Q56" i="10" s="1"/>
  <c r="Q57" i="10" s="1"/>
  <c r="Q58" i="10" s="1"/>
  <c r="Q59" i="10" s="1"/>
  <c r="Q60" i="10" s="1"/>
  <c r="Q61" i="10" s="1"/>
  <c r="Q62" i="10" s="1"/>
  <c r="Q63" i="10" s="1"/>
  <c r="Q64" i="10" s="1"/>
  <c r="Q65" i="10" s="1"/>
  <c r="Q66" i="10" s="1"/>
  <c r="Q67" i="10" s="1"/>
  <c r="V58" i="19"/>
  <c r="AO154" i="5" s="1"/>
  <c r="AH26" i="16"/>
  <c r="AH27" i="16" s="1"/>
  <c r="AH28" i="16" s="1"/>
  <c r="AH29" i="16" s="1"/>
  <c r="AH30" i="16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H47" i="16" s="1"/>
  <c r="AH48" i="16" s="1"/>
  <c r="AH49" i="16" s="1"/>
  <c r="AH50" i="16" s="1"/>
  <c r="AH51" i="16" s="1"/>
  <c r="AH52" i="16" s="1"/>
  <c r="AH53" i="16" s="1"/>
  <c r="AH54" i="16" s="1"/>
  <c r="AH55" i="16" s="1"/>
  <c r="AH56" i="16" s="1"/>
  <c r="AH57" i="16" s="1"/>
  <c r="AH58" i="16" s="1"/>
  <c r="AH59" i="16" s="1"/>
  <c r="AH60" i="16" s="1"/>
  <c r="AH61" i="16" s="1"/>
  <c r="AH62" i="16" s="1"/>
  <c r="AH63" i="16" s="1"/>
  <c r="AH64" i="16" s="1"/>
  <c r="AH65" i="16" s="1"/>
  <c r="AH66" i="16" s="1"/>
  <c r="AH67" i="16" s="1"/>
  <c r="AH68" i="16" s="1"/>
  <c r="AH69" i="16" s="1"/>
  <c r="AH70" i="16" s="1"/>
  <c r="AH71" i="16" s="1"/>
  <c r="AH72" i="16" s="1"/>
  <c r="AH73" i="16" s="1"/>
  <c r="AH74" i="16" s="1"/>
  <c r="AH75" i="16" s="1"/>
  <c r="AH76" i="16" s="1"/>
  <c r="AH77" i="16" s="1"/>
  <c r="AH78" i="16" s="1"/>
  <c r="AH79" i="16" s="1"/>
  <c r="AH80" i="16" s="1"/>
  <c r="AH81" i="16" s="1"/>
  <c r="AH82" i="16" s="1"/>
  <c r="AH83" i="16" s="1"/>
  <c r="AH84" i="16" s="1"/>
  <c r="BH12" i="14"/>
  <c r="BH13" i="14"/>
  <c r="BH14" i="14" s="1"/>
  <c r="BH15" i="14" s="1"/>
  <c r="BH16" i="14" s="1"/>
  <c r="BH17" i="14"/>
  <c r="BH18" i="14" s="1"/>
  <c r="BH19" i="14" s="1"/>
  <c r="BH20" i="14" s="1"/>
  <c r="BH21" i="14" s="1"/>
  <c r="BH22" i="14" s="1"/>
  <c r="BO19" i="14"/>
  <c r="BO20" i="14" s="1"/>
  <c r="BO21" i="14"/>
  <c r="BO22" i="14" s="1"/>
  <c r="BO23" i="14" s="1"/>
  <c r="BO24" i="14" s="1"/>
  <c r="BO25" i="14"/>
  <c r="BO26" i="14" s="1"/>
  <c r="BO27" i="14" s="1"/>
  <c r="BO28" i="14" s="1"/>
  <c r="BO29" i="14" s="1"/>
  <c r="AU16" i="8"/>
  <c r="AU17" i="8"/>
  <c r="AU18" i="8" s="1"/>
  <c r="AU19" i="8"/>
  <c r="AU20" i="8" s="1"/>
  <c r="AU21" i="8" s="1"/>
  <c r="AU22" i="8" s="1"/>
  <c r="AU23" i="8" s="1"/>
  <c r="Z9" i="6"/>
  <c r="Z8" i="6"/>
  <c r="Z22" i="6"/>
  <c r="Z19" i="6"/>
  <c r="Z26" i="6"/>
  <c r="Z14" i="6"/>
  <c r="Z27" i="6"/>
  <c r="V28" i="6" s="1"/>
  <c r="Y28" i="6" s="1"/>
  <c r="Z11" i="6"/>
  <c r="Z17" i="6"/>
  <c r="Z10" i="6"/>
  <c r="Z23" i="6"/>
  <c r="Z18" i="6"/>
  <c r="T12" i="8"/>
  <c r="T13" i="8"/>
  <c r="T14" i="8" s="1"/>
  <c r="T15" i="8"/>
  <c r="T16" i="8" s="1"/>
  <c r="T17" i="8" s="1"/>
  <c r="T18" i="8" s="1"/>
  <c r="T19" i="8" s="1"/>
  <c r="T20" i="8" s="1"/>
  <c r="T21" i="8" s="1"/>
  <c r="T22" i="8" s="1"/>
  <c r="T23" i="8" s="1"/>
  <c r="T24" i="8" s="1"/>
  <c r="T25" i="8" s="1"/>
  <c r="T26" i="8" s="1"/>
  <c r="T27" i="8" s="1"/>
  <c r="T28" i="8" s="1"/>
  <c r="T29" i="8" s="1"/>
  <c r="T30" i="8" s="1"/>
  <c r="T31" i="8" s="1"/>
  <c r="T32" i="8" s="1"/>
  <c r="T33" i="8" s="1"/>
  <c r="T34" i="8" s="1"/>
  <c r="T35" i="8" s="1"/>
  <c r="T36" i="8" s="1"/>
  <c r="T37" i="8" s="1"/>
  <c r="T38" i="8" s="1"/>
  <c r="T39" i="8" s="1"/>
  <c r="T40" i="8" s="1"/>
  <c r="T41" i="8" s="1"/>
  <c r="T42" i="8" s="1"/>
  <c r="T43" i="8" s="1"/>
  <c r="T44" i="8" s="1"/>
  <c r="T45" i="8" s="1"/>
  <c r="T46" i="8" s="1"/>
  <c r="T47" i="8" s="1"/>
  <c r="T48" i="8" s="1"/>
  <c r="T49" i="8" s="1"/>
  <c r="T50" i="8" s="1"/>
  <c r="T51" i="8" s="1"/>
  <c r="T52" i="8" s="1"/>
  <c r="T53" i="8" s="1"/>
  <c r="T54" i="8" s="1"/>
  <c r="T55" i="8" s="1"/>
  <c r="T56" i="8" s="1"/>
  <c r="T57" i="8" s="1"/>
  <c r="T58" i="8" s="1"/>
  <c r="T59" i="8" s="1"/>
  <c r="T60" i="8" s="1"/>
  <c r="T61" i="8" s="1"/>
  <c r="T62" i="8" s="1"/>
  <c r="T63" i="8" s="1"/>
  <c r="T64" i="8" s="1"/>
  <c r="T65" i="8" s="1"/>
  <c r="T66" i="8" s="1"/>
  <c r="T67" i="8" s="1"/>
  <c r="T68" i="8" s="1"/>
  <c r="T69" i="8" s="1"/>
  <c r="T70" i="8" s="1"/>
  <c r="V13" i="7"/>
  <c r="V14" i="7"/>
  <c r="V15" i="7" s="1"/>
  <c r="V16" i="7"/>
  <c r="V17" i="7" s="1"/>
  <c r="V18" i="7" s="1"/>
  <c r="V19" i="7" s="1"/>
  <c r="V20" i="7" s="1"/>
  <c r="V21" i="7" s="1"/>
  <c r="V22" i="7" s="1"/>
  <c r="V23" i="7" s="1"/>
  <c r="V24" i="7" s="1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V43" i="7" s="1"/>
  <c r="V44" i="7" s="1"/>
  <c r="V45" i="7" s="1"/>
  <c r="V46" i="7" s="1"/>
  <c r="V47" i="7" s="1"/>
  <c r="V48" i="7" s="1"/>
  <c r="V49" i="7" s="1"/>
  <c r="V50" i="7" s="1"/>
  <c r="V51" i="7" s="1"/>
  <c r="V52" i="7" s="1"/>
  <c r="V53" i="7" s="1"/>
  <c r="V54" i="7" s="1"/>
  <c r="V55" i="7" s="1"/>
  <c r="V56" i="7" s="1"/>
  <c r="V57" i="7" s="1"/>
  <c r="V58" i="7" s="1"/>
  <c r="V59" i="7" s="1"/>
  <c r="O7" i="10"/>
  <c r="O8" i="10" s="1"/>
  <c r="O9" i="10" s="1"/>
  <c r="O10" i="10" s="1"/>
  <c r="O11" i="10"/>
  <c r="O12" i="10" s="1"/>
  <c r="O13" i="10" s="1"/>
  <c r="O14" i="10" s="1"/>
  <c r="O15" i="10" s="1"/>
  <c r="O16" i="10" s="1"/>
  <c r="O17" i="10" s="1"/>
  <c r="O18" i="10" s="1"/>
  <c r="O19" i="10" s="1"/>
  <c r="O20" i="10" s="1"/>
  <c r="O21" i="10" s="1"/>
  <c r="O22" i="10" s="1"/>
  <c r="O23" i="10" s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BC18" i="7"/>
  <c r="BC19" i="7"/>
  <c r="BC20" i="7" s="1"/>
  <c r="BC21" i="7" s="1"/>
  <c r="BC22" i="7" s="1"/>
  <c r="BC23" i="7"/>
  <c r="BC24" i="7" s="1"/>
  <c r="BC25" i="7" s="1"/>
  <c r="BC26" i="7" s="1"/>
  <c r="BC27" i="7" s="1"/>
  <c r="Z16" i="6"/>
  <c r="AU33" i="5"/>
  <c r="Z25" i="6"/>
  <c r="BB22" i="10"/>
  <c r="BB23" i="10"/>
  <c r="BB24" i="10" s="1"/>
  <c r="BB25" i="10"/>
  <c r="BB26" i="10" s="1"/>
  <c r="BB27" i="10" s="1"/>
  <c r="BB28" i="10" s="1"/>
  <c r="BB29" i="10"/>
  <c r="BB30" i="10" s="1"/>
  <c r="BB31" i="10" s="1"/>
  <c r="BB32" i="10" s="1"/>
  <c r="Z13" i="6"/>
  <c r="AV16" i="8"/>
  <c r="AV17" i="8" s="1"/>
  <c r="AV18" i="8"/>
  <c r="AV19" i="8" s="1"/>
  <c r="AV20" i="8" s="1"/>
  <c r="AV21" i="8" s="1"/>
  <c r="AV22" i="8" s="1"/>
  <c r="AV23" i="8" s="1"/>
  <c r="AV24" i="8" s="1"/>
  <c r="AV25" i="8" s="1"/>
  <c r="AV26" i="8" s="1"/>
  <c r="AW12" i="7"/>
  <c r="AW13" i="7"/>
  <c r="AW14" i="7" s="1"/>
  <c r="AW15" i="7" s="1"/>
  <c r="AF23" i="7"/>
  <c r="AF24" i="7" s="1"/>
  <c r="AF25" i="7" s="1"/>
  <c r="AF26" i="7" s="1"/>
  <c r="AF27" i="7"/>
  <c r="AF28" i="7" s="1"/>
  <c r="AF29" i="7" s="1"/>
  <c r="AF30" i="7" s="1"/>
  <c r="AF31" i="7" s="1"/>
  <c r="AI26" i="7"/>
  <c r="AI27" i="7"/>
  <c r="AW17" i="10"/>
  <c r="AW18" i="10" s="1"/>
  <c r="AW19" i="10" s="1"/>
  <c r="AW20" i="10" s="1"/>
  <c r="AW21" i="10" s="1"/>
  <c r="AW22" i="10" s="1"/>
  <c r="AW23" i="10" s="1"/>
  <c r="AW24" i="10" s="1"/>
  <c r="AW25" i="10" s="1"/>
  <c r="AW26" i="10" s="1"/>
  <c r="AU75" i="5"/>
  <c r="BM17" i="14"/>
  <c r="BM18" i="14"/>
  <c r="BM19" i="14" s="1"/>
  <c r="BM20" i="14" s="1"/>
  <c r="BM21" i="14" s="1"/>
  <c r="BM22" i="14"/>
  <c r="BM23" i="14" s="1"/>
  <c r="BM24" i="14" s="1"/>
  <c r="BM25" i="14" s="1"/>
  <c r="BM26" i="14"/>
  <c r="BM27" i="14" s="1"/>
  <c r="V15" i="8"/>
  <c r="V16" i="8" s="1"/>
  <c r="V17" i="8" s="1"/>
  <c r="V18" i="8" s="1"/>
  <c r="V19" i="8" s="1"/>
  <c r="V20" i="8" s="1"/>
  <c r="V21" i="8" s="1"/>
  <c r="V22" i="8" s="1"/>
  <c r="V23" i="8" s="1"/>
  <c r="V24" i="8" s="1"/>
  <c r="V25" i="8" s="1"/>
  <c r="V26" i="8" s="1"/>
  <c r="V27" i="8" s="1"/>
  <c r="V28" i="8" s="1"/>
  <c r="V29" i="8" s="1"/>
  <c r="V30" i="8" s="1"/>
  <c r="V31" i="8" s="1"/>
  <c r="V32" i="8" s="1"/>
  <c r="V33" i="8" s="1"/>
  <c r="V34" i="8" s="1"/>
  <c r="V35" i="8" s="1"/>
  <c r="V36" i="8" s="1"/>
  <c r="V37" i="8" s="1"/>
  <c r="V38" i="8" s="1"/>
  <c r="V39" i="8" s="1"/>
  <c r="V40" i="8" s="1"/>
  <c r="V41" i="8" s="1"/>
  <c r="V42" i="8" s="1"/>
  <c r="V43" i="8" s="1"/>
  <c r="V44" i="8" s="1"/>
  <c r="V45" i="8" s="1"/>
  <c r="V46" i="8" s="1"/>
  <c r="V47" i="8" s="1"/>
  <c r="V48" i="8" s="1"/>
  <c r="V49" i="8" s="1"/>
  <c r="V50" i="8" s="1"/>
  <c r="V51" i="8" s="1"/>
  <c r="V52" i="8" s="1"/>
  <c r="V53" i="8" s="1"/>
  <c r="V54" i="8" s="1"/>
  <c r="V55" i="8" s="1"/>
  <c r="V56" i="8" s="1"/>
  <c r="V57" i="8" s="1"/>
  <c r="V58" i="8" s="1"/>
  <c r="V59" i="8" s="1"/>
  <c r="V60" i="8" s="1"/>
  <c r="V61" i="8" s="1"/>
  <c r="V62" i="8" s="1"/>
  <c r="V63" i="8" s="1"/>
  <c r="V64" i="8" s="1"/>
  <c r="V65" i="8" s="1"/>
  <c r="V66" i="8" s="1"/>
  <c r="V67" i="8" s="1"/>
  <c r="V68" i="8" s="1"/>
  <c r="V69" i="8" s="1"/>
  <c r="V70" i="8" s="1"/>
  <c r="V71" i="8" s="1"/>
  <c r="V72" i="8" s="1"/>
  <c r="R10" i="10"/>
  <c r="R11" i="10" s="1"/>
  <c r="R12" i="10" s="1"/>
  <c r="R13" i="10" s="1"/>
  <c r="R14" i="10" s="1"/>
  <c r="R15" i="10" s="1"/>
  <c r="R16" i="10" s="1"/>
  <c r="R17" i="10" s="1"/>
  <c r="R18" i="10" s="1"/>
  <c r="R19" i="10" s="1"/>
  <c r="R20" i="10" s="1"/>
  <c r="R21" i="10" s="1"/>
  <c r="R22" i="10" s="1"/>
  <c r="R23" i="10" s="1"/>
  <c r="R24" i="10" s="1"/>
  <c r="R25" i="10" s="1"/>
  <c r="R26" i="10" s="1"/>
  <c r="R27" i="10" s="1"/>
  <c r="R28" i="10" s="1"/>
  <c r="R29" i="10" s="1"/>
  <c r="R30" i="10" s="1"/>
  <c r="R31" i="10" s="1"/>
  <c r="R32" i="10" s="1"/>
  <c r="R33" i="10" s="1"/>
  <c r="R34" i="10" s="1"/>
  <c r="R35" i="10" s="1"/>
  <c r="R36" i="10" s="1"/>
  <c r="R37" i="10" s="1"/>
  <c r="R38" i="10" s="1"/>
  <c r="R39" i="10" s="1"/>
  <c r="R40" i="10" s="1"/>
  <c r="R41" i="10" s="1"/>
  <c r="R42" i="10" s="1"/>
  <c r="R43" i="10" s="1"/>
  <c r="R44" i="10" s="1"/>
  <c r="R45" i="10" s="1"/>
  <c r="R46" i="10" s="1"/>
  <c r="R47" i="10" s="1"/>
  <c r="R48" i="10" s="1"/>
  <c r="R49" i="10" s="1"/>
  <c r="R50" i="10" s="1"/>
  <c r="R51" i="10" s="1"/>
  <c r="R52" i="10" s="1"/>
  <c r="R53" i="10" s="1"/>
  <c r="R54" i="10" s="1"/>
  <c r="R55" i="10" s="1"/>
  <c r="R56" i="10" s="1"/>
  <c r="R57" i="10" s="1"/>
  <c r="R58" i="10" s="1"/>
  <c r="R59" i="10" s="1"/>
  <c r="R60" i="10" s="1"/>
  <c r="R61" i="10" s="1"/>
  <c r="R62" i="10" s="1"/>
  <c r="R63" i="10" s="1"/>
  <c r="R64" i="10" s="1"/>
  <c r="R65" i="10" s="1"/>
  <c r="R66" i="10" s="1"/>
  <c r="R67" i="10" s="1"/>
  <c r="R68" i="10" s="1"/>
  <c r="X16" i="10"/>
  <c r="X17" i="10"/>
  <c r="X18" i="10" s="1"/>
  <c r="X19" i="10" s="1"/>
  <c r="X20" i="10" s="1"/>
  <c r="X21" i="10" s="1"/>
  <c r="X22" i="10" s="1"/>
  <c r="X23" i="10" s="1"/>
  <c r="X24" i="10" s="1"/>
  <c r="X25" i="10" s="1"/>
  <c r="X26" i="10" s="1"/>
  <c r="X27" i="10" s="1"/>
  <c r="X28" i="10" s="1"/>
  <c r="X29" i="10" s="1"/>
  <c r="X30" i="10" s="1"/>
  <c r="X31" i="10" s="1"/>
  <c r="X32" i="10" s="1"/>
  <c r="X33" i="10" s="1"/>
  <c r="X34" i="10" s="1"/>
  <c r="X35" i="10" s="1"/>
  <c r="X36" i="10" s="1"/>
  <c r="X37" i="10" s="1"/>
  <c r="X38" i="10" s="1"/>
  <c r="X39" i="10" s="1"/>
  <c r="X40" i="10" s="1"/>
  <c r="X41" i="10" s="1"/>
  <c r="X42" i="10" s="1"/>
  <c r="X43" i="10" s="1"/>
  <c r="X44" i="10" s="1"/>
  <c r="X45" i="10" s="1"/>
  <c r="X46" i="10" s="1"/>
  <c r="X47" i="10" s="1"/>
  <c r="X48" i="10" s="1"/>
  <c r="X49" i="10" s="1"/>
  <c r="X50" i="10" s="1"/>
  <c r="X51" i="10" s="1"/>
  <c r="X52" i="10" s="1"/>
  <c r="X53" i="10" s="1"/>
  <c r="X54" i="10" s="1"/>
  <c r="X55" i="10" s="1"/>
  <c r="X56" i="10" s="1"/>
  <c r="X57" i="10" s="1"/>
  <c r="X58" i="10" s="1"/>
  <c r="X59" i="10" s="1"/>
  <c r="X60" i="10" s="1"/>
  <c r="X61" i="10" s="1"/>
  <c r="X62" i="10" s="1"/>
  <c r="X63" i="10" s="1"/>
  <c r="X64" i="10" s="1"/>
  <c r="X65" i="10" s="1"/>
  <c r="X66" i="10" s="1"/>
  <c r="X67" i="10" s="1"/>
  <c r="X68" i="10" s="1"/>
  <c r="X69" i="10" s="1"/>
  <c r="X70" i="10" s="1"/>
  <c r="X71" i="10" s="1"/>
  <c r="X72" i="10" s="1"/>
  <c r="X73" i="10" s="1"/>
  <c r="X74" i="10" s="1"/>
  <c r="AY19" i="8"/>
  <c r="AY20" i="8" s="1"/>
  <c r="AY21" i="8"/>
  <c r="AY22" i="8" s="1"/>
  <c r="AY23" i="8" s="1"/>
  <c r="AY24" i="8" s="1"/>
  <c r="AY25" i="8" s="1"/>
  <c r="AY26" i="8" s="1"/>
  <c r="AY27" i="8" s="1"/>
  <c r="AG5" i="8"/>
  <c r="AO32" i="5" s="1"/>
  <c r="N6" i="8"/>
  <c r="B25" i="17"/>
  <c r="B37" i="17"/>
  <c r="B49" i="17" s="1"/>
  <c r="E9" i="11"/>
  <c r="V133" i="9"/>
  <c r="AQ12" i="8"/>
  <c r="AQ13" i="8" s="1"/>
  <c r="AQ14" i="8" s="1"/>
  <c r="AQ15" i="8" s="1"/>
  <c r="AQ16" i="8" s="1"/>
  <c r="AQ17" i="8" s="1"/>
  <c r="AQ18" i="8" s="1"/>
  <c r="AQ19" i="8" s="1"/>
  <c r="AZ20" i="10"/>
  <c r="AZ21" i="10" s="1"/>
  <c r="AZ22" i="10" s="1"/>
  <c r="AZ23" i="10" s="1"/>
  <c r="AZ24" i="10"/>
  <c r="AZ25" i="10" s="1"/>
  <c r="AZ26" i="10" s="1"/>
  <c r="AZ27" i="10" s="1"/>
  <c r="AZ28" i="10"/>
  <c r="AZ29" i="10" s="1"/>
  <c r="AZ30" i="10" s="1"/>
  <c r="AV16" i="10"/>
  <c r="AV17" i="10"/>
  <c r="AV18" i="10" s="1"/>
  <c r="AV19" i="10" s="1"/>
  <c r="AV20" i="10" s="1"/>
  <c r="AV21" i="10"/>
  <c r="AV22" i="10" s="1"/>
  <c r="AV23" i="10" s="1"/>
  <c r="AV24" i="10" s="1"/>
  <c r="AV25" i="10"/>
  <c r="AV26" i="10" s="1"/>
  <c r="O6" i="14"/>
  <c r="BC6" i="14"/>
  <c r="AY19" i="10"/>
  <c r="AY20" i="10"/>
  <c r="AY21" i="10" s="1"/>
  <c r="AY22" i="10" s="1"/>
  <c r="AY23" i="10" s="1"/>
  <c r="AY24" i="10" s="1"/>
  <c r="AY25" i="10" s="1"/>
  <c r="AY26" i="10" s="1"/>
  <c r="AY27" i="10" s="1"/>
  <c r="AY28" i="10" s="1"/>
  <c r="AY29" i="10" s="1"/>
  <c r="AL65" i="18"/>
  <c r="AL86" i="18"/>
  <c r="P7" i="15"/>
  <c r="P8" i="15" s="1"/>
  <c r="P9" i="15" s="1"/>
  <c r="P10" i="15" s="1"/>
  <c r="P11" i="15" s="1"/>
  <c r="P12" i="15" s="1"/>
  <c r="P13" i="15" s="1"/>
  <c r="P14" i="15" s="1"/>
  <c r="P15" i="15" s="1"/>
  <c r="P16" i="15" s="1"/>
  <c r="P17" i="15" s="1"/>
  <c r="P18" i="15" s="1"/>
  <c r="P19" i="15" s="1"/>
  <c r="P20" i="15" s="1"/>
  <c r="P21" i="15" s="1"/>
  <c r="P22" i="15" s="1"/>
  <c r="P23" i="15" s="1"/>
  <c r="P24" i="15" s="1"/>
  <c r="P25" i="15" s="1"/>
  <c r="P26" i="15" s="1"/>
  <c r="P27" i="15" s="1"/>
  <c r="P28" i="15" s="1"/>
  <c r="P29" i="15" s="1"/>
  <c r="P30" i="15" s="1"/>
  <c r="P31" i="15" s="1"/>
  <c r="P32" i="15" s="1"/>
  <c r="P33" i="15" s="1"/>
  <c r="P34" i="15" s="1"/>
  <c r="P35" i="15" s="1"/>
  <c r="P36" i="15" s="1"/>
  <c r="P37" i="15" s="1"/>
  <c r="P38" i="15" s="1"/>
  <c r="P39" i="15" s="1"/>
  <c r="P40" i="15" s="1"/>
  <c r="P41" i="15" s="1"/>
  <c r="P42" i="15" s="1"/>
  <c r="P43" i="15" s="1"/>
  <c r="P44" i="15" s="1"/>
  <c r="P45" i="15" s="1"/>
  <c r="P46" i="15" s="1"/>
  <c r="P47" i="15" s="1"/>
  <c r="P48" i="15" s="1"/>
  <c r="P49" i="15" s="1"/>
  <c r="P50" i="15" s="1"/>
  <c r="P51" i="15" s="1"/>
  <c r="P52" i="15" s="1"/>
  <c r="P53" i="15" s="1"/>
  <c r="P54" i="15" s="1"/>
  <c r="P55" i="15" s="1"/>
  <c r="P56" i="15" s="1"/>
  <c r="P57" i="15" s="1"/>
  <c r="P58" i="15" s="1"/>
  <c r="P59" i="15" s="1"/>
  <c r="P60" i="15" s="1"/>
  <c r="P61" i="15" s="1"/>
  <c r="P62" i="15" s="1"/>
  <c r="P63" i="15" s="1"/>
  <c r="P64" i="15" s="1"/>
  <c r="P65" i="15" s="1"/>
  <c r="P66" i="15" s="1"/>
  <c r="P67" i="15" s="1"/>
  <c r="P68" i="15" s="1"/>
  <c r="P69" i="15" s="1"/>
  <c r="P70" i="15" s="1"/>
  <c r="P71" i="15" s="1"/>
  <c r="P72" i="15" s="1"/>
  <c r="P73" i="15" s="1"/>
  <c r="P74" i="15" s="1"/>
  <c r="P75" i="15" s="1"/>
  <c r="P76" i="15" s="1"/>
  <c r="P77" i="15" s="1"/>
  <c r="P78" i="15" s="1"/>
  <c r="P79" i="15" s="1"/>
  <c r="P80" i="15" s="1"/>
  <c r="P81" i="15" s="1"/>
  <c r="P82" i="15" s="1"/>
  <c r="P83" i="15" s="1"/>
  <c r="P84" i="15" s="1"/>
  <c r="P85" i="15" s="1"/>
  <c r="P86" i="15" s="1"/>
  <c r="P87" i="15" s="1"/>
  <c r="P88" i="15" s="1"/>
  <c r="P89" i="15" s="1"/>
  <c r="P90" i="15" s="1"/>
  <c r="P91" i="15" s="1"/>
  <c r="P92" i="15" s="1"/>
  <c r="P93" i="15" s="1"/>
  <c r="P94" i="15" s="1"/>
  <c r="P95" i="15" s="1"/>
  <c r="P96" i="15" s="1"/>
  <c r="P97" i="15" s="1"/>
  <c r="P98" i="15" s="1"/>
  <c r="P99" i="15" s="1"/>
  <c r="P100" i="15" s="1"/>
  <c r="P101" i="15" s="1"/>
  <c r="P102" i="15" s="1"/>
  <c r="P103" i="15" s="1"/>
  <c r="P104" i="15" s="1"/>
  <c r="P105" i="15" s="1"/>
  <c r="P106" i="15" s="1"/>
  <c r="P107" i="15" s="1"/>
  <c r="P108" i="15" s="1"/>
  <c r="P109" i="15" s="1"/>
  <c r="P110" i="15" s="1"/>
  <c r="P111" i="15" s="1"/>
  <c r="P112" i="15" s="1"/>
  <c r="P113" i="15" s="1"/>
  <c r="P114" i="15" s="1"/>
  <c r="P115" i="15" s="1"/>
  <c r="P116" i="15" s="1"/>
  <c r="P117" i="15" s="1"/>
  <c r="P118" i="15" s="1"/>
  <c r="P119" i="15" s="1"/>
  <c r="P120" i="15" s="1"/>
  <c r="P121" i="15" s="1"/>
  <c r="P122" i="15" s="1"/>
  <c r="P123" i="15" s="1"/>
  <c r="P124" i="15" s="1"/>
  <c r="P125" i="15" s="1"/>
  <c r="BT24" i="14"/>
  <c r="BT25" i="14"/>
  <c r="BT26" i="14" s="1"/>
  <c r="BT27" i="14" s="1"/>
  <c r="BT28" i="14" s="1"/>
  <c r="BT29" i="14" s="1"/>
  <c r="BT30" i="14" s="1"/>
  <c r="BT31" i="14" s="1"/>
  <c r="BT32" i="14" s="1"/>
  <c r="BT33" i="14" s="1"/>
  <c r="BT34" i="14" s="1"/>
  <c r="R10" i="14"/>
  <c r="R11" i="14" s="1"/>
  <c r="R12" i="14"/>
  <c r="R13" i="14" s="1"/>
  <c r="R14" i="14" s="1"/>
  <c r="R15" i="14" s="1"/>
  <c r="R16" i="14" s="1"/>
  <c r="R17" i="14" s="1"/>
  <c r="R18" i="14" s="1"/>
  <c r="R19" i="14" s="1"/>
  <c r="R20" i="14" s="1"/>
  <c r="R21" i="14" s="1"/>
  <c r="R22" i="14" s="1"/>
  <c r="R23" i="14" s="1"/>
  <c r="R24" i="14" s="1"/>
  <c r="R25" i="14" s="1"/>
  <c r="R26" i="14" s="1"/>
  <c r="R27" i="14" s="1"/>
  <c r="R28" i="14" s="1"/>
  <c r="R29" i="14" s="1"/>
  <c r="R30" i="14" s="1"/>
  <c r="R31" i="14" s="1"/>
  <c r="R32" i="14" s="1"/>
  <c r="R33" i="14" s="1"/>
  <c r="R34" i="14" s="1"/>
  <c r="R35" i="14" s="1"/>
  <c r="R36" i="14" s="1"/>
  <c r="R37" i="14" s="1"/>
  <c r="R38" i="14" s="1"/>
  <c r="R39" i="14" s="1"/>
  <c r="R40" i="14" s="1"/>
  <c r="R41" i="14" s="1"/>
  <c r="R42" i="14" s="1"/>
  <c r="R43" i="14" s="1"/>
  <c r="R44" i="14" s="1"/>
  <c r="R45" i="14" s="1"/>
  <c r="R46" i="14" s="1"/>
  <c r="R47" i="14" s="1"/>
  <c r="R48" i="14" s="1"/>
  <c r="R49" i="14" s="1"/>
  <c r="R50" i="14" s="1"/>
  <c r="R51" i="14" s="1"/>
  <c r="R52" i="14" s="1"/>
  <c r="R53" i="14" s="1"/>
  <c r="R54" i="14" s="1"/>
  <c r="R55" i="14" s="1"/>
  <c r="R56" i="14" s="1"/>
  <c r="R57" i="14" s="1"/>
  <c r="R58" i="14" s="1"/>
  <c r="R59" i="14" s="1"/>
  <c r="R60" i="14" s="1"/>
  <c r="R61" i="14" s="1"/>
  <c r="R62" i="14" s="1"/>
  <c r="R63" i="14" s="1"/>
  <c r="R64" i="14" s="1"/>
  <c r="R65" i="14" s="1"/>
  <c r="R66" i="14" s="1"/>
  <c r="R67" i="14" s="1"/>
  <c r="R68" i="14" s="1"/>
  <c r="AN32" i="14"/>
  <c r="AN33" i="14"/>
  <c r="AN34" i="14" s="1"/>
  <c r="AN35" i="14" s="1"/>
  <c r="AN36" i="14" s="1"/>
  <c r="AN37" i="14" s="1"/>
  <c r="AN38" i="14" s="1"/>
  <c r="AN39" i="14" s="1"/>
  <c r="AN40" i="14" s="1"/>
  <c r="AN41" i="14" s="1"/>
  <c r="AN42" i="14" s="1"/>
  <c r="AN43" i="14" s="1"/>
  <c r="AN44" i="14" s="1"/>
  <c r="AN45" i="14" s="1"/>
  <c r="AN46" i="14" s="1"/>
  <c r="AN47" i="14" s="1"/>
  <c r="AN48" i="14" s="1"/>
  <c r="AN49" i="14" s="1"/>
  <c r="AN50" i="14" s="1"/>
  <c r="AN51" i="14" s="1"/>
  <c r="AN52" i="14" s="1"/>
  <c r="AN53" i="14" s="1"/>
  <c r="AN54" i="14" s="1"/>
  <c r="AN55" i="14" s="1"/>
  <c r="AN56" i="14" s="1"/>
  <c r="AN57" i="14" s="1"/>
  <c r="AN58" i="14" s="1"/>
  <c r="AN59" i="14" s="1"/>
  <c r="AN60" i="14" s="1"/>
  <c r="AN61" i="14" s="1"/>
  <c r="AN62" i="14" s="1"/>
  <c r="AN63" i="14" s="1"/>
  <c r="AN64" i="14" s="1"/>
  <c r="AN65" i="14" s="1"/>
  <c r="AN66" i="14" s="1"/>
  <c r="AN67" i="14" s="1"/>
  <c r="AN68" i="14" s="1"/>
  <c r="AN69" i="14" s="1"/>
  <c r="AN70" i="14" s="1"/>
  <c r="AN71" i="14" s="1"/>
  <c r="AN72" i="14" s="1"/>
  <c r="AN73" i="14" s="1"/>
  <c r="AN74" i="14" s="1"/>
  <c r="AN75" i="14" s="1"/>
  <c r="AN76" i="14" s="1"/>
  <c r="AN77" i="14" s="1"/>
  <c r="AN78" i="14" s="1"/>
  <c r="AN79" i="14" s="1"/>
  <c r="AN80" i="14" s="1"/>
  <c r="AN81" i="14" s="1"/>
  <c r="AN82" i="14" s="1"/>
  <c r="AN83" i="14" s="1"/>
  <c r="AN84" i="14" s="1"/>
  <c r="AN85" i="14" s="1"/>
  <c r="AN86" i="14" s="1"/>
  <c r="AN87" i="14" s="1"/>
  <c r="AN88" i="14" s="1"/>
  <c r="AN89" i="14" s="1"/>
  <c r="AN90" i="14" s="1"/>
  <c r="H9" i="6"/>
  <c r="H11" i="6"/>
  <c r="H15" i="6"/>
  <c r="G77" i="6"/>
  <c r="H18" i="6"/>
  <c r="H13" i="6"/>
  <c r="H12" i="6"/>
  <c r="H10" i="6"/>
  <c r="H14" i="6"/>
  <c r="Z15" i="6"/>
  <c r="J31" i="9"/>
  <c r="AM7" i="10"/>
  <c r="AM8" i="10" s="1"/>
  <c r="AM9" i="10" s="1"/>
  <c r="AM10" i="10" s="1"/>
  <c r="AM11" i="10"/>
  <c r="AM12" i="10" s="1"/>
  <c r="AM13" i="10" s="1"/>
  <c r="AM14" i="10" s="1"/>
  <c r="AM15" i="10" s="1"/>
  <c r="AM16" i="10" s="1"/>
  <c r="AM17" i="10" s="1"/>
  <c r="R9" i="7"/>
  <c r="R10" i="7"/>
  <c r="R11" i="7" s="1"/>
  <c r="R12" i="7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R44" i="7" s="1"/>
  <c r="R45" i="7" s="1"/>
  <c r="R46" i="7" s="1"/>
  <c r="R47" i="7" s="1"/>
  <c r="R48" i="7" s="1"/>
  <c r="R49" i="7" s="1"/>
  <c r="R50" i="7" s="1"/>
  <c r="R51" i="7" s="1"/>
  <c r="R52" i="7" s="1"/>
  <c r="R53" i="7" s="1"/>
  <c r="R54" i="7" s="1"/>
  <c r="R55" i="7" s="1"/>
  <c r="T12" i="10"/>
  <c r="T13" i="10"/>
  <c r="T14" i="10" s="1"/>
  <c r="T15" i="10" s="1"/>
  <c r="T16" i="10" s="1"/>
  <c r="T17" i="10" s="1"/>
  <c r="T18" i="10" s="1"/>
  <c r="T19" i="10" s="1"/>
  <c r="T20" i="10" s="1"/>
  <c r="T21" i="10" s="1"/>
  <c r="T22" i="10" s="1"/>
  <c r="T23" i="10" s="1"/>
  <c r="T24" i="10" s="1"/>
  <c r="T25" i="10" s="1"/>
  <c r="T26" i="10" s="1"/>
  <c r="T27" i="10" s="1"/>
  <c r="T28" i="10" s="1"/>
  <c r="T29" i="10" s="1"/>
  <c r="T30" i="10" s="1"/>
  <c r="T31" i="10" s="1"/>
  <c r="T32" i="10" s="1"/>
  <c r="T33" i="10" s="1"/>
  <c r="T34" i="10" s="1"/>
  <c r="T35" i="10" s="1"/>
  <c r="T36" i="10" s="1"/>
  <c r="T37" i="10" s="1"/>
  <c r="T38" i="10" s="1"/>
  <c r="T39" i="10" s="1"/>
  <c r="T40" i="10" s="1"/>
  <c r="T41" i="10" s="1"/>
  <c r="T42" i="10" s="1"/>
  <c r="T43" i="10" s="1"/>
  <c r="T44" i="10" s="1"/>
  <c r="T45" i="10" s="1"/>
  <c r="T46" i="10" s="1"/>
  <c r="T47" i="10" s="1"/>
  <c r="T48" i="10" s="1"/>
  <c r="T49" i="10" s="1"/>
  <c r="T50" i="10" s="1"/>
  <c r="T51" i="10" s="1"/>
  <c r="T52" i="10" s="1"/>
  <c r="T53" i="10" s="1"/>
  <c r="T54" i="10" s="1"/>
  <c r="T55" i="10" s="1"/>
  <c r="T56" i="10" s="1"/>
  <c r="T57" i="10" s="1"/>
  <c r="T58" i="10" s="1"/>
  <c r="T59" i="10" s="1"/>
  <c r="T60" i="10" s="1"/>
  <c r="T61" i="10" s="1"/>
  <c r="T62" i="10" s="1"/>
  <c r="T63" i="10" s="1"/>
  <c r="T64" i="10" s="1"/>
  <c r="T65" i="10" s="1"/>
  <c r="T66" i="10" s="1"/>
  <c r="T67" i="10" s="1"/>
  <c r="T68" i="10" s="1"/>
  <c r="T69" i="10" s="1"/>
  <c r="T70" i="10" s="1"/>
  <c r="AD22" i="8"/>
  <c r="AD23" i="8" s="1"/>
  <c r="AD24" i="8" s="1"/>
  <c r="AD25" i="8" s="1"/>
  <c r="AD26" i="8" s="1"/>
  <c r="AD27" i="8" s="1"/>
  <c r="AD28" i="8" s="1"/>
  <c r="AD29" i="8" s="1"/>
  <c r="AD30" i="8" s="1"/>
  <c r="AD31" i="8" s="1"/>
  <c r="AD32" i="8" s="1"/>
  <c r="AD33" i="8" s="1"/>
  <c r="AD34" i="8" s="1"/>
  <c r="AD35" i="8" s="1"/>
  <c r="AD36" i="8" s="1"/>
  <c r="AD37" i="8" s="1"/>
  <c r="AD38" i="8" s="1"/>
  <c r="AD39" i="8" s="1"/>
  <c r="AD40" i="8" s="1"/>
  <c r="AD41" i="8" s="1"/>
  <c r="AD42" i="8" s="1"/>
  <c r="AD43" i="8" s="1"/>
  <c r="AD44" i="8" s="1"/>
  <c r="AD45" i="8" s="1"/>
  <c r="AD46" i="8" s="1"/>
  <c r="AD47" i="8" s="1"/>
  <c r="AD48" i="8" s="1"/>
  <c r="AD49" i="8" s="1"/>
  <c r="AD50" i="8" s="1"/>
  <c r="AD51" i="8" s="1"/>
  <c r="AD52" i="8" s="1"/>
  <c r="AD53" i="8" s="1"/>
  <c r="AD54" i="8" s="1"/>
  <c r="AD55" i="8" s="1"/>
  <c r="AD56" i="8" s="1"/>
  <c r="AD57" i="8" s="1"/>
  <c r="AD58" i="8" s="1"/>
  <c r="AD59" i="8" s="1"/>
  <c r="AD60" i="8" s="1"/>
  <c r="AD61" i="8" s="1"/>
  <c r="AD62" i="8" s="1"/>
  <c r="AD63" i="8" s="1"/>
  <c r="AD64" i="8" s="1"/>
  <c r="AD65" i="8" s="1"/>
  <c r="AD66" i="8" s="1"/>
  <c r="AD67" i="8" s="1"/>
  <c r="AD68" i="8" s="1"/>
  <c r="AD69" i="8" s="1"/>
  <c r="AD70" i="8" s="1"/>
  <c r="AD71" i="8" s="1"/>
  <c r="AD72" i="8" s="1"/>
  <c r="AD73" i="8" s="1"/>
  <c r="AD74" i="8" s="1"/>
  <c r="AD75" i="8" s="1"/>
  <c r="AD76" i="8" s="1"/>
  <c r="AD77" i="8" s="1"/>
  <c r="AD78" i="8" s="1"/>
  <c r="AD79" i="8" s="1"/>
  <c r="AD80" i="8" s="1"/>
  <c r="R11" i="8"/>
  <c r="R12" i="8" s="1"/>
  <c r="R13" i="8" s="1"/>
  <c r="R14" i="8" s="1"/>
  <c r="R15" i="8"/>
  <c r="R16" i="8" s="1"/>
  <c r="R17" i="8" s="1"/>
  <c r="R18" i="8" s="1"/>
  <c r="R19" i="8" s="1"/>
  <c r="R20" i="8" s="1"/>
  <c r="R21" i="8" s="1"/>
  <c r="R22" i="8" s="1"/>
  <c r="R23" i="8" s="1"/>
  <c r="R24" i="8" s="1"/>
  <c r="R25" i="8" s="1"/>
  <c r="R26" i="8" s="1"/>
  <c r="R27" i="8" s="1"/>
  <c r="R28" i="8" s="1"/>
  <c r="R29" i="8" s="1"/>
  <c r="R30" i="8" s="1"/>
  <c r="R31" i="8" s="1"/>
  <c r="R32" i="8" s="1"/>
  <c r="R33" i="8" s="1"/>
  <c r="R34" i="8" s="1"/>
  <c r="R35" i="8" s="1"/>
  <c r="R36" i="8" s="1"/>
  <c r="R37" i="8" s="1"/>
  <c r="R38" i="8" s="1"/>
  <c r="R39" i="8" s="1"/>
  <c r="R40" i="8" s="1"/>
  <c r="R41" i="8" s="1"/>
  <c r="R42" i="8" s="1"/>
  <c r="R43" i="8" s="1"/>
  <c r="R44" i="8" s="1"/>
  <c r="R45" i="8" s="1"/>
  <c r="R46" i="8" s="1"/>
  <c r="R47" i="8" s="1"/>
  <c r="R48" i="8" s="1"/>
  <c r="R49" i="8" s="1"/>
  <c r="R50" i="8" s="1"/>
  <c r="R51" i="8" s="1"/>
  <c r="R52" i="8" s="1"/>
  <c r="R53" i="8" s="1"/>
  <c r="R54" i="8" s="1"/>
  <c r="R55" i="8" s="1"/>
  <c r="R56" i="8" s="1"/>
  <c r="R57" i="8" s="1"/>
  <c r="R58" i="8" s="1"/>
  <c r="R59" i="8" s="1"/>
  <c r="R60" i="8" s="1"/>
  <c r="R61" i="8" s="1"/>
  <c r="R62" i="8" s="1"/>
  <c r="R63" i="8" s="1"/>
  <c r="R64" i="8" s="1"/>
  <c r="R65" i="8" s="1"/>
  <c r="R66" i="8" s="1"/>
  <c r="R67" i="8" s="1"/>
  <c r="R68" i="8" s="1"/>
  <c r="AE23" i="8"/>
  <c r="AE24" i="8" s="1"/>
  <c r="AE25" i="8" s="1"/>
  <c r="AE26" i="8" s="1"/>
  <c r="AE27" i="8" s="1"/>
  <c r="AE28" i="8" s="1"/>
  <c r="AE29" i="8" s="1"/>
  <c r="AE30" i="8" s="1"/>
  <c r="AE31" i="8" s="1"/>
  <c r="AE32" i="8" s="1"/>
  <c r="AE33" i="8" s="1"/>
  <c r="AE34" i="8" s="1"/>
  <c r="AE35" i="8" s="1"/>
  <c r="AE36" i="8" s="1"/>
  <c r="AE37" i="8" s="1"/>
  <c r="AE38" i="8" s="1"/>
  <c r="AE39" i="8" s="1"/>
  <c r="AE40" i="8" s="1"/>
  <c r="AE41" i="8" s="1"/>
  <c r="AE42" i="8" s="1"/>
  <c r="AE43" i="8" s="1"/>
  <c r="AE44" i="8" s="1"/>
  <c r="AE45" i="8" s="1"/>
  <c r="AE46" i="8" s="1"/>
  <c r="AE47" i="8" s="1"/>
  <c r="AE48" i="8" s="1"/>
  <c r="AE49" i="8" s="1"/>
  <c r="AE50" i="8" s="1"/>
  <c r="AE51" i="8" s="1"/>
  <c r="AE52" i="8" s="1"/>
  <c r="AE53" i="8" s="1"/>
  <c r="AE54" i="8" s="1"/>
  <c r="AE55" i="8" s="1"/>
  <c r="AE56" i="8" s="1"/>
  <c r="AE57" i="8" s="1"/>
  <c r="AE58" i="8" s="1"/>
  <c r="AE59" i="8" s="1"/>
  <c r="AE60" i="8" s="1"/>
  <c r="AE61" i="8" s="1"/>
  <c r="AE62" i="8" s="1"/>
  <c r="AE63" i="8" s="1"/>
  <c r="AE64" i="8" s="1"/>
  <c r="AE65" i="8" s="1"/>
  <c r="AE66" i="8" s="1"/>
  <c r="AE67" i="8" s="1"/>
  <c r="AE68" i="8" s="1"/>
  <c r="AE69" i="8" s="1"/>
  <c r="AE70" i="8" s="1"/>
  <c r="AE71" i="8" s="1"/>
  <c r="AE72" i="8" s="1"/>
  <c r="AE73" i="8" s="1"/>
  <c r="AE74" i="8" s="1"/>
  <c r="AE75" i="8" s="1"/>
  <c r="AE76" i="8" s="1"/>
  <c r="AE77" i="8" s="1"/>
  <c r="AE78" i="8" s="1"/>
  <c r="AE79" i="8" s="1"/>
  <c r="AE80" i="8" s="1"/>
  <c r="AE81" i="8" s="1"/>
  <c r="AU97" i="5"/>
  <c r="V66" i="19"/>
  <c r="AO165" i="5" s="1"/>
  <c r="BH23" i="7"/>
  <c r="BH24" i="7" s="1"/>
  <c r="BH25" i="7" s="1"/>
  <c r="BH26" i="7" s="1"/>
  <c r="BH27" i="7" s="1"/>
  <c r="BH28" i="7" s="1"/>
  <c r="BH29" i="7" s="1"/>
  <c r="BH30" i="7" s="1"/>
  <c r="BH31" i="7" s="1"/>
  <c r="BH32" i="7" s="1"/>
  <c r="BD25" i="8"/>
  <c r="BD26" i="8"/>
  <c r="BD27" i="8" s="1"/>
  <c r="BD28" i="8"/>
  <c r="BD29" i="8" s="1"/>
  <c r="BD30" i="8" s="1"/>
  <c r="BD31" i="8" s="1"/>
  <c r="BD32" i="8"/>
  <c r="BD33" i="8" s="1"/>
  <c r="BD34" i="8" s="1"/>
  <c r="AU82" i="5"/>
  <c r="N6" i="10"/>
  <c r="N7" i="10"/>
  <c r="N8" i="10" s="1"/>
  <c r="N9" i="10" s="1"/>
  <c r="N10" i="10" s="1"/>
  <c r="N11" i="10" s="1"/>
  <c r="N12" i="10" s="1"/>
  <c r="N13" i="10" s="1"/>
  <c r="N14" i="10" s="1"/>
  <c r="N15" i="10" s="1"/>
  <c r="N16" i="10" s="1"/>
  <c r="N17" i="10" s="1"/>
  <c r="N18" i="10" s="1"/>
  <c r="N19" i="10" s="1"/>
  <c r="N20" i="10" s="1"/>
  <c r="N21" i="10" s="1"/>
  <c r="N22" i="10" s="1"/>
  <c r="N23" i="10" s="1"/>
  <c r="N24" i="10" s="1"/>
  <c r="N25" i="10" s="1"/>
  <c r="N26" i="10" s="1"/>
  <c r="N27" i="10" s="1"/>
  <c r="N28" i="10" s="1"/>
  <c r="N29" i="10" s="1"/>
  <c r="N30" i="10" s="1"/>
  <c r="N31" i="10" s="1"/>
  <c r="N32" i="10" s="1"/>
  <c r="N33" i="10" s="1"/>
  <c r="N34" i="10" s="1"/>
  <c r="N35" i="10" s="1"/>
  <c r="N36" i="10" s="1"/>
  <c r="N37" i="10" s="1"/>
  <c r="N38" i="10" s="1"/>
  <c r="N39" i="10" s="1"/>
  <c r="N40" i="10" s="1"/>
  <c r="N41" i="10" s="1"/>
  <c r="N42" i="10" s="1"/>
  <c r="N43" i="10" s="1"/>
  <c r="N44" i="10" s="1"/>
  <c r="N45" i="10" s="1"/>
  <c r="N46" i="10" s="1"/>
  <c r="N47" i="10" s="1"/>
  <c r="N48" i="10" s="1"/>
  <c r="N49" i="10" s="1"/>
  <c r="N50" i="10" s="1"/>
  <c r="N51" i="10" s="1"/>
  <c r="N52" i="10" s="1"/>
  <c r="N53" i="10" s="1"/>
  <c r="Y17" i="8"/>
  <c r="Y18" i="8"/>
  <c r="Y19" i="8" s="1"/>
  <c r="Y20" i="8" s="1"/>
  <c r="Y21" i="8" s="1"/>
  <c r="Y22" i="8" s="1"/>
  <c r="Y23" i="8" s="1"/>
  <c r="Y24" i="8" s="1"/>
  <c r="Y25" i="8" s="1"/>
  <c r="Y26" i="8" s="1"/>
  <c r="Y27" i="8" s="1"/>
  <c r="Y28" i="8" s="1"/>
  <c r="Y29" i="8" s="1"/>
  <c r="Y30" i="8" s="1"/>
  <c r="Y31" i="8" s="1"/>
  <c r="Y32" i="8" s="1"/>
  <c r="Y33" i="8" s="1"/>
  <c r="Y34" i="8" s="1"/>
  <c r="Y35" i="8" s="1"/>
  <c r="Y36" i="8" s="1"/>
  <c r="Y37" i="8" s="1"/>
  <c r="Y38" i="8" s="1"/>
  <c r="Y39" i="8" s="1"/>
  <c r="Y40" i="8" s="1"/>
  <c r="Y41" i="8" s="1"/>
  <c r="Y42" i="8" s="1"/>
  <c r="Y43" i="8" s="1"/>
  <c r="Y44" i="8" s="1"/>
  <c r="Y45" i="8" s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AU89" i="5"/>
  <c r="AR12" i="8"/>
  <c r="AR13" i="8" s="1"/>
  <c r="AR14" i="8" s="1"/>
  <c r="AR15" i="8" s="1"/>
  <c r="AR16" i="8" s="1"/>
  <c r="AR17" i="8" s="1"/>
  <c r="AR18" i="8" s="1"/>
  <c r="AR19" i="8" s="1"/>
  <c r="AR20" i="8" s="1"/>
  <c r="AR21" i="8" s="1"/>
  <c r="AR22" i="8" s="1"/>
  <c r="BF22" i="8" s="1"/>
  <c r="BH22" i="8" s="1"/>
  <c r="BF20" i="7"/>
  <c r="AD20" i="7"/>
  <c r="AM31" i="14"/>
  <c r="AM32" i="14"/>
  <c r="AM33" i="14" s="1"/>
  <c r="AM34" i="14"/>
  <c r="AM35" i="14" s="1"/>
  <c r="AM36" i="14" s="1"/>
  <c r="AM37" i="14" s="1"/>
  <c r="AM38" i="14"/>
  <c r="AM39" i="14" s="1"/>
  <c r="AM40" i="14" s="1"/>
  <c r="AM41" i="14" s="1"/>
  <c r="AM42" i="14" s="1"/>
  <c r="AM43" i="14" s="1"/>
  <c r="AM44" i="14" s="1"/>
  <c r="AM45" i="14" s="1"/>
  <c r="AM46" i="14" s="1"/>
  <c r="AM47" i="14" s="1"/>
  <c r="AM48" i="14" s="1"/>
  <c r="AM49" i="14" s="1"/>
  <c r="AM50" i="14" s="1"/>
  <c r="AM51" i="14" s="1"/>
  <c r="AM52" i="14" s="1"/>
  <c r="AM53" i="14" s="1"/>
  <c r="AM54" i="14" s="1"/>
  <c r="AM55" i="14" s="1"/>
  <c r="AM56" i="14" s="1"/>
  <c r="AM57" i="14" s="1"/>
  <c r="AM58" i="14" s="1"/>
  <c r="AM59" i="14" s="1"/>
  <c r="AM60" i="14" s="1"/>
  <c r="AM61" i="14" s="1"/>
  <c r="AM62" i="14" s="1"/>
  <c r="AM63" i="14" s="1"/>
  <c r="AM64" i="14" s="1"/>
  <c r="AM65" i="14" s="1"/>
  <c r="AM66" i="14" s="1"/>
  <c r="AM67" i="14" s="1"/>
  <c r="AM68" i="14" s="1"/>
  <c r="AM69" i="14" s="1"/>
  <c r="AM70" i="14" s="1"/>
  <c r="AM71" i="14" s="1"/>
  <c r="AM72" i="14" s="1"/>
  <c r="AM73" i="14" s="1"/>
  <c r="AM74" i="14" s="1"/>
  <c r="AM75" i="14" s="1"/>
  <c r="AM76" i="14" s="1"/>
  <c r="AM77" i="14" s="1"/>
  <c r="AM78" i="14" s="1"/>
  <c r="AM79" i="14" s="1"/>
  <c r="AM80" i="14" s="1"/>
  <c r="AM81" i="14" s="1"/>
  <c r="AM82" i="14" s="1"/>
  <c r="AM83" i="14" s="1"/>
  <c r="AM84" i="14" s="1"/>
  <c r="AM85" i="14" s="1"/>
  <c r="AM86" i="14" s="1"/>
  <c r="AM87" i="14" s="1"/>
  <c r="AM88" i="14" s="1"/>
  <c r="AM89" i="14" s="1"/>
  <c r="T76" i="7"/>
  <c r="AX18" i="10"/>
  <c r="AX19" i="10"/>
  <c r="AX20" i="10" s="1"/>
  <c r="AX21" i="10"/>
  <c r="AX22" i="10" s="1"/>
  <c r="AX23" i="10" s="1"/>
  <c r="AX24" i="10" s="1"/>
  <c r="AX25" i="10" s="1"/>
  <c r="AX26" i="10" s="1"/>
  <c r="AX27" i="10" s="1"/>
  <c r="AX28" i="10" s="1"/>
  <c r="X16" i="8"/>
  <c r="X17" i="8" s="1"/>
  <c r="X18" i="8" s="1"/>
  <c r="X19" i="8" s="1"/>
  <c r="X20" i="8"/>
  <c r="X21" i="8" s="1"/>
  <c r="X22" i="8" s="1"/>
  <c r="X23" i="8" s="1"/>
  <c r="X24" i="8"/>
  <c r="X25" i="8" s="1"/>
  <c r="X26" i="8" s="1"/>
  <c r="X27" i="8" s="1"/>
  <c r="X28" i="8" s="1"/>
  <c r="X29" i="8" s="1"/>
  <c r="X30" i="8" s="1"/>
  <c r="X31" i="8" s="1"/>
  <c r="X32" i="8" s="1"/>
  <c r="X33" i="8" s="1"/>
  <c r="X34" i="8" s="1"/>
  <c r="X35" i="8" s="1"/>
  <c r="X36" i="8" s="1"/>
  <c r="X37" i="8" s="1"/>
  <c r="X38" i="8" s="1"/>
  <c r="X39" i="8" s="1"/>
  <c r="X40" i="8" s="1"/>
  <c r="X41" i="8" s="1"/>
  <c r="X42" i="8" s="1"/>
  <c r="X43" i="8" s="1"/>
  <c r="X44" i="8" s="1"/>
  <c r="X45" i="8" s="1"/>
  <c r="X46" i="8" s="1"/>
  <c r="X47" i="8" s="1"/>
  <c r="X48" i="8" s="1"/>
  <c r="X49" i="8" s="1"/>
  <c r="X50" i="8" s="1"/>
  <c r="X51" i="8" s="1"/>
  <c r="X52" i="8" s="1"/>
  <c r="X53" i="8" s="1"/>
  <c r="X54" i="8" s="1"/>
  <c r="X55" i="8" s="1"/>
  <c r="X56" i="8" s="1"/>
  <c r="X57" i="8" s="1"/>
  <c r="X58" i="8" s="1"/>
  <c r="X59" i="8" s="1"/>
  <c r="X60" i="8" s="1"/>
  <c r="X61" i="8" s="1"/>
  <c r="X62" i="8" s="1"/>
  <c r="X63" i="8" s="1"/>
  <c r="X64" i="8" s="1"/>
  <c r="X65" i="8" s="1"/>
  <c r="X66" i="8" s="1"/>
  <c r="X67" i="8" s="1"/>
  <c r="X68" i="8" s="1"/>
  <c r="X69" i="8" s="1"/>
  <c r="X70" i="8" s="1"/>
  <c r="X71" i="8" s="1"/>
  <c r="X72" i="8" s="1"/>
  <c r="X73" i="8" s="1"/>
  <c r="U12" i="7"/>
  <c r="U13" i="7" s="1"/>
  <c r="U14" i="7" s="1"/>
  <c r="AY14" i="7"/>
  <c r="AY15" i="7"/>
  <c r="AY16" i="7" s="1"/>
  <c r="AY17" i="7"/>
  <c r="AY18" i="7" s="1"/>
  <c r="AY19" i="7" s="1"/>
  <c r="AY20" i="7" s="1"/>
  <c r="AY21" i="7" s="1"/>
  <c r="G83" i="7"/>
  <c r="AU83" i="5"/>
  <c r="AU37" i="5"/>
  <c r="G76" i="7"/>
  <c r="Q8" i="15"/>
  <c r="Q9" i="15" s="1"/>
  <c r="Q10" i="15"/>
  <c r="Q11" i="15" s="1"/>
  <c r="Q12" i="15" s="1"/>
  <c r="Q13" i="15" s="1"/>
  <c r="Q14" i="15" s="1"/>
  <c r="Q15" i="15" s="1"/>
  <c r="Q16" i="15" s="1"/>
  <c r="Q17" i="15" s="1"/>
  <c r="Q18" i="15" s="1"/>
  <c r="Q19" i="15" s="1"/>
  <c r="Q20" i="15" s="1"/>
  <c r="Q21" i="15" s="1"/>
  <c r="Q22" i="15" s="1"/>
  <c r="Q23" i="15" s="1"/>
  <c r="Q24" i="15" s="1"/>
  <c r="Q25" i="15" s="1"/>
  <c r="Q26" i="15" s="1"/>
  <c r="Q27" i="15" s="1"/>
  <c r="Q28" i="15" s="1"/>
  <c r="Q29" i="15" s="1"/>
  <c r="Q30" i="15" s="1"/>
  <c r="Q31" i="15" s="1"/>
  <c r="Q32" i="15" s="1"/>
  <c r="Q33" i="15" s="1"/>
  <c r="Q34" i="15" s="1"/>
  <c r="Q35" i="15" s="1"/>
  <c r="Q36" i="15" s="1"/>
  <c r="Q37" i="15" s="1"/>
  <c r="Q38" i="15" s="1"/>
  <c r="Q39" i="15" s="1"/>
  <c r="Q40" i="15" s="1"/>
  <c r="Q41" i="15" s="1"/>
  <c r="Q42" i="15" s="1"/>
  <c r="Q43" i="15" s="1"/>
  <c r="Q44" i="15" s="1"/>
  <c r="Q45" i="15" s="1"/>
  <c r="Q46" i="15" s="1"/>
  <c r="Q47" i="15" s="1"/>
  <c r="Q48" i="15" s="1"/>
  <c r="Q49" i="15" s="1"/>
  <c r="Q50" i="15" s="1"/>
  <c r="Q51" i="15" s="1"/>
  <c r="Q52" i="15" s="1"/>
  <c r="Q53" i="15" s="1"/>
  <c r="Q54" i="15" s="1"/>
  <c r="Q55" i="15" s="1"/>
  <c r="Q56" i="15" s="1"/>
  <c r="Q57" i="15" s="1"/>
  <c r="Q58" i="15" s="1"/>
  <c r="Q59" i="15" s="1"/>
  <c r="Q60" i="15" s="1"/>
  <c r="Q61" i="15" s="1"/>
  <c r="Q62" i="15" s="1"/>
  <c r="Q63" i="15" s="1"/>
  <c r="Q64" i="15" s="1"/>
  <c r="Q65" i="15" s="1"/>
  <c r="Q66" i="15" s="1"/>
  <c r="Q67" i="15" s="1"/>
  <c r="Q68" i="15" s="1"/>
  <c r="Q69" i="15" s="1"/>
  <c r="Q70" i="15" s="1"/>
  <c r="Q71" i="15" s="1"/>
  <c r="Q72" i="15" s="1"/>
  <c r="Q73" i="15" s="1"/>
  <c r="Q74" i="15" s="1"/>
  <c r="Q75" i="15" s="1"/>
  <c r="Q76" i="15" s="1"/>
  <c r="Q77" i="15" s="1"/>
  <c r="Q78" i="15" s="1"/>
  <c r="Q79" i="15" s="1"/>
  <c r="Q80" i="15" s="1"/>
  <c r="Q81" i="15" s="1"/>
  <c r="Q82" i="15" s="1"/>
  <c r="Q83" i="15" s="1"/>
  <c r="Q84" i="15" s="1"/>
  <c r="Q85" i="15" s="1"/>
  <c r="Q86" i="15" s="1"/>
  <c r="Q87" i="15" s="1"/>
  <c r="Q88" i="15" s="1"/>
  <c r="Q89" i="15" s="1"/>
  <c r="Q90" i="15" s="1"/>
  <c r="Q91" i="15" s="1"/>
  <c r="Q92" i="15" s="1"/>
  <c r="Q93" i="15" s="1"/>
  <c r="Q94" i="15" s="1"/>
  <c r="Q95" i="15" s="1"/>
  <c r="Q96" i="15" s="1"/>
  <c r="Q97" i="15" s="1"/>
  <c r="Q98" i="15" s="1"/>
  <c r="Q99" i="15" s="1"/>
  <c r="Q100" i="15" s="1"/>
  <c r="Q101" i="15" s="1"/>
  <c r="Q102" i="15" s="1"/>
  <c r="Q103" i="15" s="1"/>
  <c r="Q104" i="15" s="1"/>
  <c r="Q105" i="15" s="1"/>
  <c r="Q106" i="15" s="1"/>
  <c r="Q107" i="15" s="1"/>
  <c r="Q108" i="15" s="1"/>
  <c r="Q109" i="15" s="1"/>
  <c r="Q110" i="15" s="1"/>
  <c r="Q111" i="15" s="1"/>
  <c r="Q112" i="15" s="1"/>
  <c r="Q113" i="15" s="1"/>
  <c r="Q114" i="15" s="1"/>
  <c r="Q115" i="15" s="1"/>
  <c r="Q116" i="15" s="1"/>
  <c r="Q117" i="15" s="1"/>
  <c r="Q118" i="15" s="1"/>
  <c r="Q119" i="15" s="1"/>
  <c r="Q120" i="15" s="1"/>
  <c r="Q121" i="15" s="1"/>
  <c r="Q122" i="15" s="1"/>
  <c r="Q123" i="15" s="1"/>
  <c r="Q124" i="15" s="1"/>
  <c r="Q125" i="15" s="1"/>
  <c r="Q126" i="15" s="1"/>
  <c r="AX126" i="15" s="1"/>
  <c r="W15" i="10"/>
  <c r="W16" i="10"/>
  <c r="W17" i="10" s="1"/>
  <c r="W18" i="10"/>
  <c r="W19" i="10" s="1"/>
  <c r="W20" i="10" s="1"/>
  <c r="W21" i="10" s="1"/>
  <c r="W22" i="10" s="1"/>
  <c r="W23" i="10" s="1"/>
  <c r="W24" i="10" s="1"/>
  <c r="W25" i="10" s="1"/>
  <c r="W26" i="10" s="1"/>
  <c r="W27" i="10" s="1"/>
  <c r="W28" i="10" s="1"/>
  <c r="W29" i="10" s="1"/>
  <c r="W30" i="10" s="1"/>
  <c r="W31" i="10" s="1"/>
  <c r="W32" i="10" s="1"/>
  <c r="W33" i="10" s="1"/>
  <c r="W34" i="10" s="1"/>
  <c r="W35" i="10" s="1"/>
  <c r="W36" i="10" s="1"/>
  <c r="W37" i="10" s="1"/>
  <c r="W38" i="10" s="1"/>
  <c r="W39" i="10" s="1"/>
  <c r="W40" i="10" s="1"/>
  <c r="W41" i="10" s="1"/>
  <c r="W42" i="10" s="1"/>
  <c r="W43" i="10" s="1"/>
  <c r="W44" i="10" s="1"/>
  <c r="W45" i="10" s="1"/>
  <c r="W46" i="10" s="1"/>
  <c r="W47" i="10" s="1"/>
  <c r="W48" i="10" s="1"/>
  <c r="W49" i="10" s="1"/>
  <c r="W50" i="10" s="1"/>
  <c r="W51" i="10" s="1"/>
  <c r="W52" i="10" s="1"/>
  <c r="W53" i="10" s="1"/>
  <c r="W54" i="10" s="1"/>
  <c r="W55" i="10" s="1"/>
  <c r="W56" i="10" s="1"/>
  <c r="W57" i="10" s="1"/>
  <c r="W58" i="10" s="1"/>
  <c r="W59" i="10" s="1"/>
  <c r="W60" i="10" s="1"/>
  <c r="W61" i="10" s="1"/>
  <c r="W62" i="10" s="1"/>
  <c r="W63" i="10" s="1"/>
  <c r="W64" i="10" s="1"/>
  <c r="W65" i="10" s="1"/>
  <c r="W66" i="10" s="1"/>
  <c r="W67" i="10" s="1"/>
  <c r="W68" i="10" s="1"/>
  <c r="W69" i="10" s="1"/>
  <c r="W70" i="10" s="1"/>
  <c r="W71" i="10" s="1"/>
  <c r="W72" i="10" s="1"/>
  <c r="W73" i="10" s="1"/>
  <c r="AT9" i="7"/>
  <c r="AT10" i="7" s="1"/>
  <c r="AT11" i="7" s="1"/>
  <c r="AT12" i="7" s="1"/>
  <c r="AT13" i="7" s="1"/>
  <c r="AR12" i="10"/>
  <c r="AR13" i="10"/>
  <c r="AR14" i="10" s="1"/>
  <c r="AR15" i="10" s="1"/>
  <c r="AR16" i="10" s="1"/>
  <c r="AR17" i="10" s="1"/>
  <c r="AR18" i="10" s="1"/>
  <c r="AR19" i="10" s="1"/>
  <c r="AR20" i="10" s="1"/>
  <c r="AN8" i="8"/>
  <c r="AN9" i="8" s="1"/>
  <c r="AN10" i="8" s="1"/>
  <c r="AN11" i="8" s="1"/>
  <c r="AN12" i="8" s="1"/>
  <c r="AN13" i="8" s="1"/>
  <c r="AN14" i="8" s="1"/>
  <c r="AN15" i="8" s="1"/>
  <c r="AN16" i="8" s="1"/>
  <c r="AN17" i="8" s="1"/>
  <c r="AN18" i="8" s="1"/>
  <c r="BF18" i="8" s="1"/>
  <c r="BH18" i="8" s="1"/>
  <c r="AL6" i="8"/>
  <c r="BF5" i="8"/>
  <c r="AB19" i="7"/>
  <c r="AB20" i="7"/>
  <c r="BC23" i="10"/>
  <c r="BC24" i="10" s="1"/>
  <c r="BC25" i="10" s="1"/>
  <c r="BC26" i="10" s="1"/>
  <c r="BC27" i="10" s="1"/>
  <c r="BC28" i="10" s="1"/>
  <c r="BC29" i="10" s="1"/>
  <c r="BC30" i="10" s="1"/>
  <c r="AR7" i="7"/>
  <c r="AR8" i="7"/>
  <c r="AR9" i="7" s="1"/>
  <c r="AR10" i="7" s="1"/>
  <c r="AR11" i="7" s="1"/>
  <c r="AR12" i="7" s="1"/>
  <c r="O6" i="8"/>
  <c r="L8" i="8"/>
  <c r="L48" i="8"/>
  <c r="L31" i="8"/>
  <c r="L44" i="8"/>
  <c r="AM6" i="8"/>
  <c r="L36" i="8"/>
  <c r="BA16" i="7"/>
  <c r="BA17" i="7"/>
  <c r="BA18" i="7" s="1"/>
  <c r="BA19" i="7" s="1"/>
  <c r="M68" i="7"/>
  <c r="M63" i="7"/>
  <c r="M52" i="7"/>
  <c r="M58" i="7"/>
  <c r="M57" i="7"/>
  <c r="M59" i="7"/>
  <c r="M56" i="7"/>
  <c r="M67" i="7"/>
  <c r="M64" i="7"/>
  <c r="M46" i="7"/>
  <c r="L76" i="7"/>
  <c r="M73" i="7"/>
  <c r="M45" i="7"/>
  <c r="M40" i="7"/>
  <c r="M33" i="7"/>
  <c r="M6" i="7"/>
  <c r="M74" i="7"/>
  <c r="M70" i="7"/>
  <c r="M61" i="7"/>
  <c r="M60" i="7"/>
  <c r="M43" i="7"/>
  <c r="M31" i="7"/>
  <c r="M20" i="7"/>
  <c r="M66" i="7"/>
  <c r="M62" i="7"/>
  <c r="M54" i="7"/>
  <c r="M50" i="7"/>
  <c r="M37" i="7"/>
  <c r="M36" i="7"/>
  <c r="M26" i="7"/>
  <c r="M22" i="7"/>
  <c r="M15" i="7"/>
  <c r="M11" i="7"/>
  <c r="M8" i="7"/>
  <c r="AQ5" i="7"/>
  <c r="M72" i="7"/>
  <c r="M71" i="7"/>
  <c r="M53" i="7"/>
  <c r="M51" i="7"/>
  <c r="M49" i="7"/>
  <c r="M42" i="7"/>
  <c r="M29" i="7"/>
  <c r="M28" i="7"/>
  <c r="M17" i="7"/>
  <c r="M13" i="7"/>
  <c r="M7" i="7"/>
  <c r="O5" i="7"/>
  <c r="L81" i="7"/>
  <c r="M65" i="7"/>
  <c r="M55" i="7"/>
  <c r="M48" i="7"/>
  <c r="M24" i="7"/>
  <c r="M21" i="7"/>
  <c r="M10" i="7"/>
  <c r="M41" i="7"/>
  <c r="M38" i="7"/>
  <c r="M27" i="7"/>
  <c r="M44" i="7"/>
  <c r="M35" i="7"/>
  <c r="M25" i="7"/>
  <c r="M23" i="7"/>
  <c r="M39" i="7"/>
  <c r="M12" i="7"/>
  <c r="M16" i="7"/>
  <c r="M30" i="7"/>
  <c r="M18" i="7"/>
  <c r="M14" i="7"/>
  <c r="M32" i="7"/>
  <c r="M9" i="7"/>
  <c r="M5" i="7"/>
  <c r="M69" i="7"/>
  <c r="M47" i="7"/>
  <c r="M34" i="7"/>
  <c r="M19" i="7"/>
  <c r="AB20" i="10"/>
  <c r="AB21" i="10" s="1"/>
  <c r="AB22" i="10" s="1"/>
  <c r="AB23" i="10" s="1"/>
  <c r="AB24" i="10" s="1"/>
  <c r="AB25" i="10" s="1"/>
  <c r="AB26" i="10" s="1"/>
  <c r="AB27" i="10" s="1"/>
  <c r="AB28" i="10" s="1"/>
  <c r="AB29" i="10" s="1"/>
  <c r="AB30" i="10" s="1"/>
  <c r="AB31" i="10" s="1"/>
  <c r="AB32" i="10" s="1"/>
  <c r="AB33" i="10" s="1"/>
  <c r="AB34" i="10" s="1"/>
  <c r="AB35" i="10" s="1"/>
  <c r="AB36" i="10" s="1"/>
  <c r="AB37" i="10" s="1"/>
  <c r="AB38" i="10" s="1"/>
  <c r="AB39" i="10" s="1"/>
  <c r="AB40" i="10" s="1"/>
  <c r="AB41" i="10" s="1"/>
  <c r="AB42" i="10" s="1"/>
  <c r="AB43" i="10" s="1"/>
  <c r="AB44" i="10" s="1"/>
  <c r="AB45" i="10" s="1"/>
  <c r="AB46" i="10" s="1"/>
  <c r="AB47" i="10" s="1"/>
  <c r="AB48" i="10" s="1"/>
  <c r="AB49" i="10" s="1"/>
  <c r="AB50" i="10" s="1"/>
  <c r="AB51" i="10" s="1"/>
  <c r="AB52" i="10" s="1"/>
  <c r="AB53" i="10" s="1"/>
  <c r="AB54" i="10" s="1"/>
  <c r="AB55" i="10" s="1"/>
  <c r="AB56" i="10" s="1"/>
  <c r="AB57" i="10" s="1"/>
  <c r="AB58" i="10" s="1"/>
  <c r="AB59" i="10" s="1"/>
  <c r="AB60" i="10" s="1"/>
  <c r="AB61" i="10" s="1"/>
  <c r="AB62" i="10" s="1"/>
  <c r="AB63" i="10" s="1"/>
  <c r="AB64" i="10" s="1"/>
  <c r="AB65" i="10" s="1"/>
  <c r="AB66" i="10" s="1"/>
  <c r="AB67" i="10" s="1"/>
  <c r="AB68" i="10" s="1"/>
  <c r="AB69" i="10" s="1"/>
  <c r="AB70" i="10" s="1"/>
  <c r="AB71" i="10" s="1"/>
  <c r="AB72" i="10" s="1"/>
  <c r="AB73" i="10" s="1"/>
  <c r="AB74" i="10" s="1"/>
  <c r="AB75" i="10" s="1"/>
  <c r="AB76" i="10" s="1"/>
  <c r="AB77" i="10" s="1"/>
  <c r="AB78" i="10" s="1"/>
  <c r="L76" i="10"/>
  <c r="L71" i="10"/>
  <c r="L60" i="10"/>
  <c r="L55" i="10"/>
  <c r="L48" i="10"/>
  <c r="L40" i="10"/>
  <c r="L28" i="10"/>
  <c r="L20" i="10"/>
  <c r="L9" i="10"/>
  <c r="L81" i="10"/>
  <c r="L66" i="10"/>
  <c r="L65" i="10"/>
  <c r="L51" i="10"/>
  <c r="L43" i="10"/>
  <c r="L35" i="10"/>
  <c r="L30" i="10"/>
  <c r="L18" i="10"/>
  <c r="L11" i="10"/>
  <c r="L80" i="10"/>
  <c r="L67" i="10"/>
  <c r="L64" i="10"/>
  <c r="L46" i="10"/>
  <c r="L38" i="10"/>
  <c r="L25" i="10"/>
  <c r="L24" i="10"/>
  <c r="L21" i="10"/>
  <c r="L8" i="10"/>
  <c r="L5" i="10"/>
  <c r="L75" i="10"/>
  <c r="L72" i="10"/>
  <c r="L59" i="10"/>
  <c r="L56" i="10"/>
  <c r="L50" i="10"/>
  <c r="L42" i="10"/>
  <c r="L33" i="10"/>
  <c r="L32" i="10"/>
  <c r="L16" i="10"/>
  <c r="L13" i="10"/>
  <c r="L78" i="10"/>
  <c r="L74" i="10"/>
  <c r="L49" i="10"/>
  <c r="L47" i="10"/>
  <c r="L26" i="10"/>
  <c r="L22" i="10"/>
  <c r="L7" i="10"/>
  <c r="L63" i="10"/>
  <c r="L57" i="10"/>
  <c r="L34" i="10"/>
  <c r="L10" i="10"/>
  <c r="L53" i="10"/>
  <c r="L52" i="10"/>
  <c r="L37" i="10"/>
  <c r="L36" i="10"/>
  <c r="L15" i="10"/>
  <c r="L69" i="10"/>
  <c r="L68" i="10"/>
  <c r="L45" i="10"/>
  <c r="L44" i="10"/>
  <c r="L27" i="10"/>
  <c r="L17" i="10"/>
  <c r="L19" i="10"/>
  <c r="L58" i="10"/>
  <c r="L41" i="10"/>
  <c r="L77" i="10"/>
  <c r="L70" i="10"/>
  <c r="L54" i="10"/>
  <c r="L82" i="10"/>
  <c r="L29" i="10"/>
  <c r="L6" i="10"/>
  <c r="L14" i="10"/>
  <c r="L73" i="10"/>
  <c r="L31" i="10"/>
  <c r="L62" i="10"/>
  <c r="L61" i="10"/>
  <c r="L39" i="10"/>
  <c r="L23" i="10"/>
  <c r="L12" i="10"/>
  <c r="L79" i="10"/>
  <c r="AV11" i="7"/>
  <c r="AV12" i="7"/>
  <c r="AV13" i="7" s="1"/>
  <c r="AV14" i="7" s="1"/>
  <c r="AV15" i="7" s="1"/>
  <c r="AV16" i="7" s="1"/>
  <c r="AU15" i="10"/>
  <c r="AU16" i="10"/>
  <c r="AU17" i="10" s="1"/>
  <c r="AU18" i="10" s="1"/>
  <c r="AU19" i="10" s="1"/>
  <c r="AU20" i="10" s="1"/>
  <c r="AU21" i="10" s="1"/>
  <c r="AU22" i="10" s="1"/>
  <c r="AU23" i="10" s="1"/>
  <c r="AU24" i="10" s="1"/>
  <c r="AU25" i="10" s="1"/>
  <c r="BE25" i="10" s="1"/>
  <c r="BG25" i="10" s="1"/>
  <c r="Q8" i="7"/>
  <c r="Q9" i="7" s="1"/>
  <c r="Q10" i="7" s="1"/>
  <c r="Q11" i="7" s="1"/>
  <c r="Q12" i="7"/>
  <c r="Q13" i="7" s="1"/>
  <c r="Q14" i="7" s="1"/>
  <c r="Q15" i="7" s="1"/>
  <c r="Q16" i="7" s="1"/>
  <c r="P8" i="8"/>
  <c r="P9" i="8"/>
  <c r="P10" i="8" s="1"/>
  <c r="P11" i="8" s="1"/>
  <c r="P12" i="8" s="1"/>
  <c r="P13" i="8" s="1"/>
  <c r="P14" i="8" s="1"/>
  <c r="P15" i="8" s="1"/>
  <c r="P16" i="8" s="1"/>
  <c r="P17" i="8" s="1"/>
  <c r="P18" i="8" s="1"/>
  <c r="P19" i="8" s="1"/>
  <c r="P20" i="8" s="1"/>
  <c r="P21" i="8" s="1"/>
  <c r="P22" i="8" s="1"/>
  <c r="P23" i="8" s="1"/>
  <c r="P24" i="8" s="1"/>
  <c r="P25" i="8" s="1"/>
  <c r="P26" i="8" s="1"/>
  <c r="P27" i="8" s="1"/>
  <c r="P28" i="8" s="1"/>
  <c r="P29" i="8" s="1"/>
  <c r="P30" i="8" s="1"/>
  <c r="P31" i="8" s="1"/>
  <c r="P32" i="8" s="1"/>
  <c r="P33" i="8" s="1"/>
  <c r="P34" i="8" s="1"/>
  <c r="P35" i="8" s="1"/>
  <c r="P36" i="8" s="1"/>
  <c r="P37" i="8" s="1"/>
  <c r="P38" i="8" s="1"/>
  <c r="P39" i="8" s="1"/>
  <c r="P40" i="8" s="1"/>
  <c r="P41" i="8" s="1"/>
  <c r="P42" i="8" s="1"/>
  <c r="P43" i="8" s="1"/>
  <c r="P44" i="8" s="1"/>
  <c r="P45" i="8" s="1"/>
  <c r="P46" i="8" s="1"/>
  <c r="P47" i="8" s="1"/>
  <c r="P48" i="8" s="1"/>
  <c r="P49" i="8" s="1"/>
  <c r="P50" i="8" s="1"/>
  <c r="P51" i="8" s="1"/>
  <c r="P52" i="8" s="1"/>
  <c r="P53" i="8" s="1"/>
  <c r="P54" i="8" s="1"/>
  <c r="P55" i="8" s="1"/>
  <c r="P56" i="8" s="1"/>
  <c r="P57" i="8" s="1"/>
  <c r="P58" i="8" s="1"/>
  <c r="P59" i="8" s="1"/>
  <c r="P60" i="8" s="1"/>
  <c r="P61" i="8" s="1"/>
  <c r="P62" i="8" s="1"/>
  <c r="P63" i="8" s="1"/>
  <c r="P64" i="8" s="1"/>
  <c r="P65" i="8" s="1"/>
  <c r="P66" i="8" s="1"/>
  <c r="P8" i="10"/>
  <c r="P9" i="10" s="1"/>
  <c r="P10" i="10"/>
  <c r="P11" i="10" s="1"/>
  <c r="P12" i="10" s="1"/>
  <c r="P13" i="10" s="1"/>
  <c r="P14" i="10" s="1"/>
  <c r="P15" i="10" s="1"/>
  <c r="P16" i="10" s="1"/>
  <c r="P17" i="10" s="1"/>
  <c r="P18" i="10" s="1"/>
  <c r="P19" i="10" s="1"/>
  <c r="P20" i="10" s="1"/>
  <c r="P21" i="10" s="1"/>
  <c r="P22" i="10" s="1"/>
  <c r="P23" i="10" s="1"/>
  <c r="P24" i="10" s="1"/>
  <c r="P25" i="10" s="1"/>
  <c r="P26" i="10" s="1"/>
  <c r="P27" i="10" s="1"/>
  <c r="P28" i="10" s="1"/>
  <c r="P29" i="10" s="1"/>
  <c r="P30" i="10" s="1"/>
  <c r="P31" i="10" s="1"/>
  <c r="P32" i="10" s="1"/>
  <c r="P33" i="10" s="1"/>
  <c r="P34" i="10" s="1"/>
  <c r="P35" i="10" s="1"/>
  <c r="P36" i="10" s="1"/>
  <c r="P37" i="10" s="1"/>
  <c r="P38" i="10" s="1"/>
  <c r="P39" i="10" s="1"/>
  <c r="P40" i="10" s="1"/>
  <c r="P41" i="10" s="1"/>
  <c r="P42" i="10" s="1"/>
  <c r="P43" i="10" s="1"/>
  <c r="P44" i="10" s="1"/>
  <c r="P45" i="10" s="1"/>
  <c r="P46" i="10" s="1"/>
  <c r="P47" i="10" s="1"/>
  <c r="P48" i="10" s="1"/>
  <c r="P49" i="10" s="1"/>
  <c r="P50" i="10" s="1"/>
  <c r="P51" i="10" s="1"/>
  <c r="P52" i="10" s="1"/>
  <c r="P53" i="10" s="1"/>
  <c r="P54" i="10" s="1"/>
  <c r="P55" i="10" s="1"/>
  <c r="P56" i="10" s="1"/>
  <c r="P57" i="10" s="1"/>
  <c r="P58" i="10" s="1"/>
  <c r="P59" i="10" s="1"/>
  <c r="P60" i="10" s="1"/>
  <c r="P61" i="10" s="1"/>
  <c r="P62" i="10" s="1"/>
  <c r="P63" i="10" s="1"/>
  <c r="P64" i="10" s="1"/>
  <c r="P65" i="10" s="1"/>
  <c r="P66" i="10" s="1"/>
  <c r="L6" i="8"/>
  <c r="AZ76" i="7"/>
  <c r="BM27" i="7"/>
  <c r="BM28" i="7"/>
  <c r="BM29" i="7" s="1"/>
  <c r="BM30" i="7" s="1"/>
  <c r="BM31" i="7" s="1"/>
  <c r="BM32" i="7"/>
  <c r="BM33" i="7" s="1"/>
  <c r="BM34" i="7" s="1"/>
  <c r="BM35" i="7" s="1"/>
  <c r="BM36" i="7"/>
  <c r="BM37" i="7" s="1"/>
  <c r="BM38" i="7" s="1"/>
  <c r="BN38" i="7" s="1"/>
  <c r="BP38" i="7" s="1"/>
  <c r="AK27" i="7"/>
  <c r="E78" i="6"/>
  <c r="G19" i="6"/>
  <c r="H48" i="6"/>
  <c r="AN8" i="10"/>
  <c r="AN9" i="10"/>
  <c r="AN10" i="10" s="1"/>
  <c r="AN11" i="10"/>
  <c r="AN12" i="10" s="1"/>
  <c r="AN13" i="10" s="1"/>
  <c r="AN14" i="10" s="1"/>
  <c r="AN15" i="10" s="1"/>
  <c r="AN16" i="10" s="1"/>
  <c r="AN17" i="10" s="1"/>
  <c r="AN18" i="10" s="1"/>
  <c r="L83" i="7"/>
  <c r="BE19" i="7"/>
  <c r="AC19" i="7"/>
  <c r="U13" i="10"/>
  <c r="U14" i="10"/>
  <c r="U15" i="10" s="1"/>
  <c r="U16" i="10" s="1"/>
  <c r="U17" i="10" s="1"/>
  <c r="U18" i="10"/>
  <c r="U19" i="10" s="1"/>
  <c r="U20" i="10" s="1"/>
  <c r="U21" i="10" s="1"/>
  <c r="U22" i="10"/>
  <c r="U23" i="10" s="1"/>
  <c r="U24" i="10" s="1"/>
  <c r="U25" i="10" s="1"/>
  <c r="U26" i="10" s="1"/>
  <c r="U27" i="10" s="1"/>
  <c r="U28" i="10" s="1"/>
  <c r="U29" i="10" s="1"/>
  <c r="U30" i="10" s="1"/>
  <c r="U31" i="10" s="1"/>
  <c r="U32" i="10" s="1"/>
  <c r="U33" i="10" s="1"/>
  <c r="U34" i="10" s="1"/>
  <c r="U35" i="10" s="1"/>
  <c r="U36" i="10" s="1"/>
  <c r="U37" i="10" s="1"/>
  <c r="U38" i="10" s="1"/>
  <c r="U39" i="10" s="1"/>
  <c r="U40" i="10" s="1"/>
  <c r="U41" i="10" s="1"/>
  <c r="U42" i="10" s="1"/>
  <c r="U43" i="10" s="1"/>
  <c r="U44" i="10" s="1"/>
  <c r="U45" i="10" s="1"/>
  <c r="U46" i="10" s="1"/>
  <c r="U47" i="10" s="1"/>
  <c r="U48" i="10" s="1"/>
  <c r="U49" i="10" s="1"/>
  <c r="U50" i="10" s="1"/>
  <c r="U51" i="10" s="1"/>
  <c r="U52" i="10" s="1"/>
  <c r="U53" i="10" s="1"/>
  <c r="U54" i="10" s="1"/>
  <c r="U55" i="10" s="1"/>
  <c r="U56" i="10" s="1"/>
  <c r="U57" i="10" s="1"/>
  <c r="U58" i="10" s="1"/>
  <c r="U59" i="10" s="1"/>
  <c r="U60" i="10" s="1"/>
  <c r="U61" i="10" s="1"/>
  <c r="U62" i="10" s="1"/>
  <c r="U63" i="10" s="1"/>
  <c r="U64" i="10" s="1"/>
  <c r="U65" i="10" s="1"/>
  <c r="U66" i="10" s="1"/>
  <c r="U67" i="10" s="1"/>
  <c r="U68" i="10" s="1"/>
  <c r="U69" i="10" s="1"/>
  <c r="U70" i="10" s="1"/>
  <c r="U71" i="10" s="1"/>
  <c r="BE25" i="8"/>
  <c r="BE26" i="8" s="1"/>
  <c r="BE27" i="8" s="1"/>
  <c r="BE28" i="8" s="1"/>
  <c r="BE29" i="8" s="1"/>
  <c r="BE30" i="8" s="1"/>
  <c r="BE31" i="8" s="1"/>
  <c r="BE32" i="8" s="1"/>
  <c r="BE33" i="8" s="1"/>
  <c r="BI24" i="7"/>
  <c r="BI25" i="7"/>
  <c r="BI26" i="7" s="1"/>
  <c r="BI27" i="7" s="1"/>
  <c r="BI28" i="7" s="1"/>
  <c r="BI29" i="7"/>
  <c r="BI30" i="7" s="1"/>
  <c r="BI31" i="7" s="1"/>
  <c r="BI32" i="7" s="1"/>
  <c r="BI33" i="7"/>
  <c r="BI34" i="7" s="1"/>
  <c r="AJ27" i="7"/>
  <c r="AJ28" i="7" s="1"/>
  <c r="AJ29" i="7" s="1"/>
  <c r="H26" i="6"/>
  <c r="BE194" i="5"/>
  <c r="BE205" i="5"/>
  <c r="BE197" i="5"/>
  <c r="BE185" i="5"/>
  <c r="BE184" i="5"/>
  <c r="BE188" i="5"/>
  <c r="AS191" i="5"/>
  <c r="AU67" i="5"/>
  <c r="AU84" i="5"/>
  <c r="AU79" i="5"/>
  <c r="AU86" i="5" s="1"/>
  <c r="AU68" i="5"/>
  <c r="AU92" i="5"/>
  <c r="AU78" i="5"/>
  <c r="AU80" i="5"/>
  <c r="AU39" i="5"/>
  <c r="AU96" i="5"/>
  <c r="AU69" i="5"/>
  <c r="AU45" i="5"/>
  <c r="AU56" i="5" s="1"/>
  <c r="AU77" i="5"/>
  <c r="AU95" i="5"/>
  <c r="AU36" i="5"/>
  <c r="AU46" i="5"/>
  <c r="AU35" i="5"/>
  <c r="AU91" i="5"/>
  <c r="AU59" i="5"/>
  <c r="AU52" i="5"/>
  <c r="AU49" i="5"/>
  <c r="AU90" i="5"/>
  <c r="AU34" i="5"/>
  <c r="AU70" i="5"/>
  <c r="AU53" i="5"/>
  <c r="AU93" i="5"/>
  <c r="AQ183" i="5"/>
  <c r="AQ185" i="5"/>
  <c r="AQ190" i="5"/>
  <c r="AQ180" i="5"/>
  <c r="AQ181" i="5"/>
  <c r="AQ187" i="5"/>
  <c r="AQ188" i="5"/>
  <c r="AQ182" i="5"/>
  <c r="AQ184" i="5"/>
  <c r="AQ189" i="5"/>
  <c r="AQ179" i="5"/>
  <c r="AQ186" i="5"/>
  <c r="H31" i="6"/>
  <c r="H44" i="6"/>
  <c r="H41" i="6"/>
  <c r="H34" i="6"/>
  <c r="AU51" i="5"/>
  <c r="AU94" i="5"/>
  <c r="AU63" i="5"/>
  <c r="H58" i="6"/>
  <c r="H20" i="6"/>
  <c r="H52" i="6"/>
  <c r="H39" i="6"/>
  <c r="H63" i="6"/>
  <c r="AQ172" i="5"/>
  <c r="AQ168" i="5"/>
  <c r="AQ158" i="5"/>
  <c r="AQ154" i="5"/>
  <c r="AQ150" i="5"/>
  <c r="AQ155" i="5"/>
  <c r="AQ169" i="5"/>
  <c r="AQ159" i="5"/>
  <c r="AQ174" i="5"/>
  <c r="AQ166" i="5"/>
  <c r="AQ156" i="5"/>
  <c r="AQ152" i="5"/>
  <c r="AQ157" i="5"/>
  <c r="AQ167" i="5"/>
  <c r="AQ160" i="5"/>
  <c r="AQ164" i="5"/>
  <c r="AQ175" i="5"/>
  <c r="AQ171" i="5"/>
  <c r="AQ173" i="5"/>
  <c r="AQ165" i="5"/>
  <c r="AQ151" i="5"/>
  <c r="AQ170" i="5"/>
  <c r="AQ153" i="5"/>
  <c r="AQ149" i="5"/>
  <c r="AQ134" i="5"/>
  <c r="AQ138" i="5"/>
  <c r="AQ140" i="5"/>
  <c r="AQ145" i="5"/>
  <c r="AQ137" i="5"/>
  <c r="AQ143" i="5"/>
  <c r="AQ139" i="5"/>
  <c r="AQ135" i="5"/>
  <c r="AQ142" i="5"/>
  <c r="AQ144" i="5"/>
  <c r="AQ136" i="5"/>
  <c r="AQ141" i="5"/>
  <c r="AF126" i="5"/>
  <c r="AF125" i="5"/>
  <c r="AF124" i="5"/>
  <c r="AF123" i="5"/>
  <c r="AF122" i="5"/>
  <c r="AF121" i="5"/>
  <c r="AF131" i="5" s="1"/>
  <c r="AF120" i="5"/>
  <c r="AF119" i="5"/>
  <c r="AQ128" i="5"/>
  <c r="AQ129" i="5"/>
  <c r="AQ130" i="5"/>
  <c r="AS161" i="5"/>
  <c r="BE158" i="5"/>
  <c r="BE150" i="5"/>
  <c r="BE159" i="5"/>
  <c r="BE169" i="5"/>
  <c r="BE172" i="5"/>
  <c r="BE174" i="5"/>
  <c r="BE173" i="5"/>
  <c r="BE157" i="5"/>
  <c r="BE175" i="5"/>
  <c r="BE167" i="5"/>
  <c r="BE164" i="5"/>
  <c r="BE152" i="5"/>
  <c r="BE144" i="5"/>
  <c r="H19" i="13"/>
  <c r="F48" i="16"/>
  <c r="CF35" i="14"/>
  <c r="CF36" i="14" s="1"/>
  <c r="CF37" i="14" s="1"/>
  <c r="CF38" i="14" s="1"/>
  <c r="CF39" i="14" s="1"/>
  <c r="CF40" i="14" s="1"/>
  <c r="CF41" i="14" s="1"/>
  <c r="CF42" i="14" s="1"/>
  <c r="CF43" i="14" s="1"/>
  <c r="CF44" i="14" s="1"/>
  <c r="CF45" i="14" s="1"/>
  <c r="CF46" i="14" s="1"/>
  <c r="AR35" i="14"/>
  <c r="AR36" i="14" s="1"/>
  <c r="AR37" i="14" s="1"/>
  <c r="AR38" i="14" s="1"/>
  <c r="AR39" i="14" s="1"/>
  <c r="AR40" i="14" s="1"/>
  <c r="AR41" i="14" s="1"/>
  <c r="AR42" i="14" s="1"/>
  <c r="AR43" i="14" s="1"/>
  <c r="AR44" i="14" s="1"/>
  <c r="AR45" i="14" s="1"/>
  <c r="AR46" i="14" s="1"/>
  <c r="AR47" i="14" s="1"/>
  <c r="AR48" i="14" s="1"/>
  <c r="AR49" i="14" s="1"/>
  <c r="AR50" i="14" s="1"/>
  <c r="AR51" i="14" s="1"/>
  <c r="AR52" i="14" s="1"/>
  <c r="AR53" i="14" s="1"/>
  <c r="AR54" i="14" s="1"/>
  <c r="AR55" i="14" s="1"/>
  <c r="AR56" i="14" s="1"/>
  <c r="AR57" i="14" s="1"/>
  <c r="AR58" i="14" s="1"/>
  <c r="AR59" i="14" s="1"/>
  <c r="AR60" i="14" s="1"/>
  <c r="AR61" i="14" s="1"/>
  <c r="AR62" i="14" s="1"/>
  <c r="AR63" i="14" s="1"/>
  <c r="AR64" i="14" s="1"/>
  <c r="AR65" i="14" s="1"/>
  <c r="AR66" i="14" s="1"/>
  <c r="AR67" i="14" s="1"/>
  <c r="AR68" i="14" s="1"/>
  <c r="AR69" i="14" s="1"/>
  <c r="AR70" i="14" s="1"/>
  <c r="AR71" i="14" s="1"/>
  <c r="AR72" i="14" s="1"/>
  <c r="AR73" i="14" s="1"/>
  <c r="AR74" i="14" s="1"/>
  <c r="AR75" i="14" s="1"/>
  <c r="AR76" i="14" s="1"/>
  <c r="AR77" i="14" s="1"/>
  <c r="AR78" i="14" s="1"/>
  <c r="AR79" i="14" s="1"/>
  <c r="AR80" i="14" s="1"/>
  <c r="AR81" i="14" s="1"/>
  <c r="AR82" i="14" s="1"/>
  <c r="AR83" i="14" s="1"/>
  <c r="AR84" i="14" s="1"/>
  <c r="AR85" i="14" s="1"/>
  <c r="AR86" i="14" s="1"/>
  <c r="AR87" i="14" s="1"/>
  <c r="AR88" i="14" s="1"/>
  <c r="AR89" i="14" s="1"/>
  <c r="AR90" i="14" s="1"/>
  <c r="AR91" i="14" s="1"/>
  <c r="AR92" i="14" s="1"/>
  <c r="G8" i="11"/>
  <c r="O8" i="11"/>
  <c r="BU27" i="14"/>
  <c r="BU28" i="14" s="1"/>
  <c r="BU29" i="14" s="1"/>
  <c r="BU30" i="14" s="1"/>
  <c r="BU31" i="14" s="1"/>
  <c r="BU32" i="14" s="1"/>
  <c r="BU33" i="14" s="1"/>
  <c r="BU34" i="14" s="1"/>
  <c r="BU35" i="14" s="1"/>
  <c r="Z31" i="6"/>
  <c r="Z52" i="6"/>
  <c r="AF104" i="5"/>
  <c r="AF110" i="5"/>
  <c r="AF106" i="5"/>
  <c r="AF109" i="5"/>
  <c r="AF108" i="5"/>
  <c r="AF111" i="5"/>
  <c r="AF105" i="5"/>
  <c r="AF107" i="5"/>
  <c r="Z28" i="6"/>
  <c r="G37" i="17"/>
  <c r="G38" i="17" s="1"/>
  <c r="H36" i="17"/>
  <c r="Z43" i="6"/>
  <c r="Z34" i="6"/>
  <c r="H36" i="6"/>
  <c r="H46" i="6"/>
  <c r="H21" i="6"/>
  <c r="Z42" i="6"/>
  <c r="AU81" i="5"/>
  <c r="AU85" i="5"/>
  <c r="B20" i="11"/>
  <c r="B32" i="11"/>
  <c r="B44" i="11" s="1"/>
  <c r="B56" i="11" s="1"/>
  <c r="B68" i="11" s="1"/>
  <c r="B80" i="11" s="1"/>
  <c r="B92" i="11" s="1"/>
  <c r="B104" i="11" s="1"/>
  <c r="B116" i="11" s="1"/>
  <c r="B128" i="11" s="1"/>
  <c r="B140" i="11" s="1"/>
  <c r="BP20" i="14"/>
  <c r="BP21" i="14" s="1"/>
  <c r="BP22" i="14" s="1"/>
  <c r="BP23" i="14" s="1"/>
  <c r="BP24" i="14" s="1"/>
  <c r="BP25" i="14" s="1"/>
  <c r="BP26" i="14" s="1"/>
  <c r="BP27" i="14" s="1"/>
  <c r="BP28" i="14" s="1"/>
  <c r="BP29" i="14" s="1"/>
  <c r="BP30" i="14" s="1"/>
  <c r="H35" i="6"/>
  <c r="H51" i="6"/>
  <c r="H45" i="6"/>
  <c r="H61" i="6"/>
  <c r="BI13" i="14"/>
  <c r="BI14" i="14" s="1"/>
  <c r="BI15" i="14" s="1"/>
  <c r="BI16" i="14" s="1"/>
  <c r="BI17" i="14" s="1"/>
  <c r="BI18" i="14" s="1"/>
  <c r="BI19" i="14" s="1"/>
  <c r="BI20" i="14" s="1"/>
  <c r="BI21" i="14" s="1"/>
  <c r="BI22" i="14" s="1"/>
  <c r="BI23" i="14" s="1"/>
  <c r="V59" i="19"/>
  <c r="AO155" i="5"/>
  <c r="Z30" i="6"/>
  <c r="AB126" i="9"/>
  <c r="H22" i="6"/>
  <c r="AB20" i="14"/>
  <c r="AB21" i="14" s="1"/>
  <c r="AB22" i="14" s="1"/>
  <c r="AB23" i="14" s="1"/>
  <c r="AB24" i="14" s="1"/>
  <c r="AB25" i="14" s="1"/>
  <c r="AB26" i="14" s="1"/>
  <c r="AB27" i="14" s="1"/>
  <c r="AB28" i="14" s="1"/>
  <c r="AB29" i="14" s="1"/>
  <c r="AB30" i="14" s="1"/>
  <c r="AB31" i="14" s="1"/>
  <c r="AB32" i="14" s="1"/>
  <c r="AB33" i="14" s="1"/>
  <c r="AB34" i="14" s="1"/>
  <c r="AB35" i="14" s="1"/>
  <c r="AB36" i="14" s="1"/>
  <c r="AB37" i="14" s="1"/>
  <c r="AB38" i="14" s="1"/>
  <c r="AB39" i="14" s="1"/>
  <c r="AB40" i="14" s="1"/>
  <c r="AB41" i="14" s="1"/>
  <c r="AB42" i="14" s="1"/>
  <c r="AB43" i="14" s="1"/>
  <c r="AB44" i="14" s="1"/>
  <c r="AB45" i="14" s="1"/>
  <c r="AB46" i="14" s="1"/>
  <c r="AB47" i="14" s="1"/>
  <c r="AB48" i="14" s="1"/>
  <c r="AB49" i="14" s="1"/>
  <c r="AB50" i="14" s="1"/>
  <c r="AB51" i="14" s="1"/>
  <c r="AB52" i="14" s="1"/>
  <c r="AB53" i="14" s="1"/>
  <c r="AB54" i="14" s="1"/>
  <c r="AB55" i="14" s="1"/>
  <c r="AB56" i="14" s="1"/>
  <c r="AB57" i="14" s="1"/>
  <c r="AB58" i="14" s="1"/>
  <c r="AB59" i="14" s="1"/>
  <c r="AB60" i="14" s="1"/>
  <c r="AB61" i="14" s="1"/>
  <c r="AB62" i="14" s="1"/>
  <c r="AB63" i="14" s="1"/>
  <c r="AB64" i="14" s="1"/>
  <c r="AB65" i="14" s="1"/>
  <c r="AB66" i="14" s="1"/>
  <c r="AB67" i="14" s="1"/>
  <c r="AB68" i="14" s="1"/>
  <c r="AB69" i="14" s="1"/>
  <c r="AB70" i="14" s="1"/>
  <c r="AB71" i="14" s="1"/>
  <c r="AB72" i="14" s="1"/>
  <c r="AB73" i="14" s="1"/>
  <c r="AB74" i="14" s="1"/>
  <c r="AB75" i="14" s="1"/>
  <c r="AB76" i="14" s="1"/>
  <c r="AB77" i="14" s="1"/>
  <c r="AB78" i="14" s="1"/>
  <c r="AB7" i="9"/>
  <c r="Z65" i="6"/>
  <c r="AC20" i="7"/>
  <c r="AC21" i="7"/>
  <c r="AC22" i="7"/>
  <c r="AC23" i="7" s="1"/>
  <c r="AC24" i="7" s="1"/>
  <c r="AC25" i="7" s="1"/>
  <c r="AC26" i="7" s="1"/>
  <c r="AC27" i="7" s="1"/>
  <c r="AC28" i="7" s="1"/>
  <c r="AC29" i="7" s="1"/>
  <c r="AC30" i="7" s="1"/>
  <c r="AC31" i="7" s="1"/>
  <c r="AC32" i="7" s="1"/>
  <c r="AC33" i="7" s="1"/>
  <c r="AC34" i="7" s="1"/>
  <c r="AC35" i="7" s="1"/>
  <c r="AC36" i="7" s="1"/>
  <c r="AC37" i="7" s="1"/>
  <c r="AC38" i="7" s="1"/>
  <c r="AC39" i="7" s="1"/>
  <c r="AC40" i="7" s="1"/>
  <c r="AC41" i="7" s="1"/>
  <c r="AC42" i="7" s="1"/>
  <c r="AC43" i="7" s="1"/>
  <c r="AC44" i="7" s="1"/>
  <c r="AC45" i="7" s="1"/>
  <c r="AC46" i="7" s="1"/>
  <c r="AC47" i="7" s="1"/>
  <c r="AC48" i="7" s="1"/>
  <c r="AC49" i="7" s="1"/>
  <c r="AC50" i="7" s="1"/>
  <c r="AC51" i="7" s="1"/>
  <c r="AC52" i="7" s="1"/>
  <c r="AC53" i="7" s="1"/>
  <c r="AC54" i="7" s="1"/>
  <c r="AC55" i="7" s="1"/>
  <c r="AC56" i="7" s="1"/>
  <c r="AC57" i="7" s="1"/>
  <c r="AC58" i="7" s="1"/>
  <c r="AC59" i="7" s="1"/>
  <c r="AC60" i="7" s="1"/>
  <c r="AC61" i="7" s="1"/>
  <c r="AC62" i="7" s="1"/>
  <c r="AC63" i="7" s="1"/>
  <c r="AC64" i="7" s="1"/>
  <c r="AC65" i="7" s="1"/>
  <c r="AC66" i="7" s="1"/>
  <c r="O7" i="14"/>
  <c r="O8" i="14" s="1"/>
  <c r="O9" i="14" s="1"/>
  <c r="O10" i="14" s="1"/>
  <c r="O11" i="14" s="1"/>
  <c r="O12" i="14" s="1"/>
  <c r="O13" i="14" s="1"/>
  <c r="O14" i="14" s="1"/>
  <c r="O15" i="14" s="1"/>
  <c r="O16" i="14" s="1"/>
  <c r="O17" i="14" s="1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O31" i="14" s="1"/>
  <c r="O32" i="14" s="1"/>
  <c r="O33" i="14" s="1"/>
  <c r="O34" i="14" s="1"/>
  <c r="O35" i="14" s="1"/>
  <c r="O36" i="14" s="1"/>
  <c r="O37" i="14" s="1"/>
  <c r="O38" i="14" s="1"/>
  <c r="O39" i="14" s="1"/>
  <c r="O40" i="14" s="1"/>
  <c r="O41" i="14" s="1"/>
  <c r="O42" i="14" s="1"/>
  <c r="O43" i="14" s="1"/>
  <c r="O44" i="14" s="1"/>
  <c r="O45" i="14" s="1"/>
  <c r="O46" i="14" s="1"/>
  <c r="O47" i="14" s="1"/>
  <c r="O48" i="14" s="1"/>
  <c r="O49" i="14" s="1"/>
  <c r="O50" i="14" s="1"/>
  <c r="O51" i="14" s="1"/>
  <c r="O52" i="14" s="1"/>
  <c r="O53" i="14" s="1"/>
  <c r="O54" i="14" s="1"/>
  <c r="O55" i="14" s="1"/>
  <c r="O56" i="14" s="1"/>
  <c r="O57" i="14" s="1"/>
  <c r="O58" i="14" s="1"/>
  <c r="O59" i="14" s="1"/>
  <c r="O60" i="14" s="1"/>
  <c r="O61" i="14" s="1"/>
  <c r="O62" i="14" s="1"/>
  <c r="O63" i="14" s="1"/>
  <c r="O64" i="14" s="1"/>
  <c r="O65" i="14" s="1"/>
  <c r="CK56" i="14"/>
  <c r="CM56" i="14"/>
  <c r="BG11" i="14"/>
  <c r="BG12" i="14" s="1"/>
  <c r="BG13" i="14" s="1"/>
  <c r="BG14" i="14" s="1"/>
  <c r="BG15" i="14" s="1"/>
  <c r="BG16" i="14" s="1"/>
  <c r="BG17" i="14" s="1"/>
  <c r="BG18" i="14" s="1"/>
  <c r="BG19" i="14" s="1"/>
  <c r="BG20" i="14" s="1"/>
  <c r="BG21" i="14" s="1"/>
  <c r="BB7" i="14"/>
  <c r="BB8" i="14"/>
  <c r="BB9" i="14" s="1"/>
  <c r="BB10" i="14" s="1"/>
  <c r="BB11" i="14" s="1"/>
  <c r="BE20" i="7"/>
  <c r="BE21" i="7" s="1"/>
  <c r="BE22" i="7" s="1"/>
  <c r="BE23" i="7" s="1"/>
  <c r="BE24" i="7" s="1"/>
  <c r="BE25" i="7" s="1"/>
  <c r="AM7" i="8"/>
  <c r="AM8" i="8" s="1"/>
  <c r="AM9" i="8" s="1"/>
  <c r="AM10" i="8" s="1"/>
  <c r="AM11" i="8" s="1"/>
  <c r="AM12" i="8" s="1"/>
  <c r="AM13" i="8" s="1"/>
  <c r="AM14" i="8" s="1"/>
  <c r="AM15" i="8" s="1"/>
  <c r="AM16" i="8" s="1"/>
  <c r="AM17" i="8" s="1"/>
  <c r="BF17" i="8" s="1"/>
  <c r="BH17" i="8" s="1"/>
  <c r="BH5" i="8"/>
  <c r="BQ21" i="14"/>
  <c r="BQ22" i="14" s="1"/>
  <c r="BQ23" i="14" s="1"/>
  <c r="BQ24" i="14" s="1"/>
  <c r="BQ25" i="14" s="1"/>
  <c r="BQ26" i="14" s="1"/>
  <c r="BQ27" i="14" s="1"/>
  <c r="BQ28" i="14" s="1"/>
  <c r="BQ29" i="14" s="1"/>
  <c r="BQ30" i="14" s="1"/>
  <c r="B20" i="9"/>
  <c r="B32" i="9"/>
  <c r="B44" i="9" s="1"/>
  <c r="B56" i="9" s="1"/>
  <c r="B68" i="9" s="1"/>
  <c r="B80" i="9" s="1"/>
  <c r="B92" i="9" s="1"/>
  <c r="B104" i="9" s="1"/>
  <c r="B116" i="9" s="1"/>
  <c r="B128" i="9" s="1"/>
  <c r="B140" i="9" s="1"/>
  <c r="B9" i="9"/>
  <c r="U15" i="8"/>
  <c r="U16" i="8"/>
  <c r="U17" i="8" s="1"/>
  <c r="U18" i="8" s="1"/>
  <c r="U19" i="8" s="1"/>
  <c r="U20" i="8" s="1"/>
  <c r="U21" i="8" s="1"/>
  <c r="U22" i="8" s="1"/>
  <c r="U23" i="8" s="1"/>
  <c r="U24" i="8" s="1"/>
  <c r="U25" i="8" s="1"/>
  <c r="U26" i="8" s="1"/>
  <c r="U27" i="8" s="1"/>
  <c r="U28" i="8" s="1"/>
  <c r="U29" i="8" s="1"/>
  <c r="U30" i="8" s="1"/>
  <c r="U31" i="8" s="1"/>
  <c r="U32" i="8" s="1"/>
  <c r="U33" i="8" s="1"/>
  <c r="U34" i="8" s="1"/>
  <c r="U35" i="8" s="1"/>
  <c r="U36" i="8" s="1"/>
  <c r="U37" i="8" s="1"/>
  <c r="U38" i="8" s="1"/>
  <c r="U39" i="8" s="1"/>
  <c r="U40" i="8" s="1"/>
  <c r="U41" i="8" s="1"/>
  <c r="U42" i="8" s="1"/>
  <c r="U43" i="8" s="1"/>
  <c r="U44" i="8" s="1"/>
  <c r="U45" i="8" s="1"/>
  <c r="U46" i="8" s="1"/>
  <c r="U47" i="8" s="1"/>
  <c r="U48" i="8" s="1"/>
  <c r="U49" i="8" s="1"/>
  <c r="U50" i="8" s="1"/>
  <c r="U51" i="8" s="1"/>
  <c r="U52" i="8" s="1"/>
  <c r="U53" i="8" s="1"/>
  <c r="U54" i="8" s="1"/>
  <c r="U55" i="8" s="1"/>
  <c r="U56" i="8" s="1"/>
  <c r="U57" i="8" s="1"/>
  <c r="U58" i="8" s="1"/>
  <c r="U59" i="8" s="1"/>
  <c r="U60" i="8" s="1"/>
  <c r="U61" i="8" s="1"/>
  <c r="U62" i="8" s="1"/>
  <c r="U63" i="8" s="1"/>
  <c r="U64" i="8" s="1"/>
  <c r="U65" i="8" s="1"/>
  <c r="U66" i="8" s="1"/>
  <c r="U67" i="8" s="1"/>
  <c r="U68" i="8" s="1"/>
  <c r="AI28" i="14"/>
  <c r="AI29" i="14" s="1"/>
  <c r="AI30" i="14" s="1"/>
  <c r="AI31" i="14" s="1"/>
  <c r="AI32" i="14" s="1"/>
  <c r="AI33" i="14" s="1"/>
  <c r="AI34" i="14" s="1"/>
  <c r="AI35" i="14" s="1"/>
  <c r="AI36" i="14" s="1"/>
  <c r="AI37" i="14" s="1"/>
  <c r="AI38" i="14" s="1"/>
  <c r="AI39" i="14" s="1"/>
  <c r="AI40" i="14" s="1"/>
  <c r="AI41" i="14" s="1"/>
  <c r="AI42" i="14" s="1"/>
  <c r="AI43" i="14" s="1"/>
  <c r="AI44" i="14" s="1"/>
  <c r="AI45" i="14" s="1"/>
  <c r="AI46" i="14" s="1"/>
  <c r="AI47" i="14" s="1"/>
  <c r="AI48" i="14" s="1"/>
  <c r="AI49" i="14" s="1"/>
  <c r="AI50" i="14" s="1"/>
  <c r="AI51" i="14" s="1"/>
  <c r="AI52" i="14" s="1"/>
  <c r="AI53" i="14" s="1"/>
  <c r="AI54" i="14" s="1"/>
  <c r="AI55" i="14" s="1"/>
  <c r="AI56" i="14" s="1"/>
  <c r="AI57" i="14" s="1"/>
  <c r="AI58" i="14" s="1"/>
  <c r="AI59" i="14" s="1"/>
  <c r="AI60" i="14" s="1"/>
  <c r="AI61" i="14" s="1"/>
  <c r="AI62" i="14" s="1"/>
  <c r="AI63" i="14" s="1"/>
  <c r="AI64" i="14" s="1"/>
  <c r="AI65" i="14" s="1"/>
  <c r="AI66" i="14" s="1"/>
  <c r="AI67" i="14" s="1"/>
  <c r="AI68" i="14" s="1"/>
  <c r="AI69" i="14" s="1"/>
  <c r="AI70" i="14" s="1"/>
  <c r="AI71" i="14" s="1"/>
  <c r="AI72" i="14" s="1"/>
  <c r="AI73" i="14" s="1"/>
  <c r="AI74" i="14" s="1"/>
  <c r="AI75" i="14" s="1"/>
  <c r="AI76" i="14" s="1"/>
  <c r="AI77" i="14" s="1"/>
  <c r="AI78" i="14" s="1"/>
  <c r="AI79" i="14" s="1"/>
  <c r="AI80" i="14" s="1"/>
  <c r="AI81" i="14" s="1"/>
  <c r="AI82" i="14" s="1"/>
  <c r="AI83" i="14" s="1"/>
  <c r="AI84" i="14" s="1"/>
  <c r="AI85" i="14" s="1"/>
  <c r="BE7" i="10"/>
  <c r="BG7" i="10" s="1"/>
  <c r="BF6" i="8"/>
  <c r="BH6" i="8" s="1"/>
  <c r="BJ6" i="8" s="1"/>
  <c r="AL7" i="8"/>
  <c r="H27" i="6"/>
  <c r="H40" i="6"/>
  <c r="H33" i="6"/>
  <c r="H37" i="6"/>
  <c r="H28" i="6"/>
  <c r="BC7" i="14"/>
  <c r="BC8" i="14" s="1"/>
  <c r="BC9" i="14" s="1"/>
  <c r="BC10" i="14" s="1"/>
  <c r="BC11" i="14" s="1"/>
  <c r="BC12" i="14" s="1"/>
  <c r="BC13" i="14" s="1"/>
  <c r="BC14" i="14" s="1"/>
  <c r="BC15" i="14" s="1"/>
  <c r="BC16" i="14" s="1"/>
  <c r="BC17" i="14" s="1"/>
  <c r="Z64" i="6"/>
  <c r="AX151" i="15"/>
  <c r="AO10" i="10"/>
  <c r="AO11" i="10"/>
  <c r="AO12" i="10" s="1"/>
  <c r="AO13" i="10" s="1"/>
  <c r="AO14" i="10" s="1"/>
  <c r="AO15" i="10" s="1"/>
  <c r="AO16" i="10" s="1"/>
  <c r="AO17" i="10" s="1"/>
  <c r="AO18" i="10" s="1"/>
  <c r="AO19" i="10" s="1"/>
  <c r="BE19" i="10" s="1"/>
  <c r="BG19" i="10" s="1"/>
  <c r="S11" i="14"/>
  <c r="S12" i="14" s="1"/>
  <c r="S13" i="14" s="1"/>
  <c r="S14" i="14" s="1"/>
  <c r="S15" i="14" s="1"/>
  <c r="S16" i="14" s="1"/>
  <c r="S17" i="14" s="1"/>
  <c r="S18" i="14" s="1"/>
  <c r="S19" i="14" s="1"/>
  <c r="S20" i="14" s="1"/>
  <c r="S21" i="14" s="1"/>
  <c r="S22" i="14" s="1"/>
  <c r="S23" i="14" s="1"/>
  <c r="S24" i="14" s="1"/>
  <c r="S25" i="14" s="1"/>
  <c r="S26" i="14" s="1"/>
  <c r="S27" i="14" s="1"/>
  <c r="S28" i="14" s="1"/>
  <c r="S29" i="14" s="1"/>
  <c r="S30" i="14" s="1"/>
  <c r="S31" i="14" s="1"/>
  <c r="S32" i="14" s="1"/>
  <c r="S33" i="14" s="1"/>
  <c r="S34" i="14" s="1"/>
  <c r="S35" i="14" s="1"/>
  <c r="S36" i="14" s="1"/>
  <c r="S37" i="14" s="1"/>
  <c r="S38" i="14" s="1"/>
  <c r="S39" i="14" s="1"/>
  <c r="S40" i="14" s="1"/>
  <c r="S41" i="14" s="1"/>
  <c r="S42" i="14" s="1"/>
  <c r="S43" i="14" s="1"/>
  <c r="S44" i="14" s="1"/>
  <c r="S45" i="14" s="1"/>
  <c r="S46" i="14" s="1"/>
  <c r="S47" i="14" s="1"/>
  <c r="S48" i="14" s="1"/>
  <c r="S49" i="14" s="1"/>
  <c r="S50" i="14" s="1"/>
  <c r="S51" i="14" s="1"/>
  <c r="S52" i="14" s="1"/>
  <c r="S53" i="14" s="1"/>
  <c r="S54" i="14" s="1"/>
  <c r="S55" i="14" s="1"/>
  <c r="S56" i="14" s="1"/>
  <c r="S57" i="14" s="1"/>
  <c r="S58" i="14" s="1"/>
  <c r="S59" i="14" s="1"/>
  <c r="S60" i="14" s="1"/>
  <c r="S61" i="14" s="1"/>
  <c r="S62" i="14" s="1"/>
  <c r="S63" i="14" s="1"/>
  <c r="S64" i="14" s="1"/>
  <c r="S65" i="14" s="1"/>
  <c r="S66" i="14" s="1"/>
  <c r="S67" i="14" s="1"/>
  <c r="S68" i="14" s="1"/>
  <c r="S69" i="14" s="1"/>
  <c r="AJ44" i="17"/>
  <c r="AL5" i="7"/>
  <c r="O6" i="7"/>
  <c r="B26" i="17"/>
  <c r="B38" i="17" s="1"/>
  <c r="B50" i="17" s="1"/>
  <c r="V134" i="9"/>
  <c r="BI76" i="7"/>
  <c r="H62" i="6"/>
  <c r="H19" i="6"/>
  <c r="H32" i="6"/>
  <c r="H55" i="6"/>
  <c r="H49" i="6"/>
  <c r="H42" i="6"/>
  <c r="H47" i="6"/>
  <c r="N7" i="8"/>
  <c r="AG6" i="8"/>
  <c r="Z41" i="6"/>
  <c r="Z48" i="6"/>
  <c r="Z39" i="6"/>
  <c r="Z46" i="6"/>
  <c r="Z63" i="6"/>
  <c r="Z54" i="6"/>
  <c r="Z49" i="6"/>
  <c r="Z38" i="6"/>
  <c r="Z55" i="6"/>
  <c r="Z36" i="6"/>
  <c r="Z57" i="6"/>
  <c r="Z40" i="6"/>
  <c r="Z56" i="6"/>
  <c r="Z59" i="6"/>
  <c r="Z29" i="6"/>
  <c r="Z33" i="6"/>
  <c r="Z45" i="6"/>
  <c r="Z67" i="6"/>
  <c r="Z32" i="6"/>
  <c r="Z53" i="6"/>
  <c r="Z62" i="6"/>
  <c r="Z60" i="6"/>
  <c r="H30" i="6"/>
  <c r="AJ29" i="14"/>
  <c r="AJ30" i="14"/>
  <c r="AJ31" i="14" s="1"/>
  <c r="AJ32" i="14" s="1"/>
  <c r="AJ33" i="14" s="1"/>
  <c r="AJ34" i="14" s="1"/>
  <c r="AJ35" i="14" s="1"/>
  <c r="AJ36" i="14" s="1"/>
  <c r="AJ37" i="14" s="1"/>
  <c r="AJ38" i="14" s="1"/>
  <c r="AJ39" i="14" s="1"/>
  <c r="AJ40" i="14" s="1"/>
  <c r="AJ41" i="14" s="1"/>
  <c r="AJ42" i="14" s="1"/>
  <c r="AJ43" i="14" s="1"/>
  <c r="AJ44" i="14" s="1"/>
  <c r="AJ45" i="14" s="1"/>
  <c r="AJ46" i="14" s="1"/>
  <c r="AJ47" i="14" s="1"/>
  <c r="AJ48" i="14" s="1"/>
  <c r="AJ49" i="14" s="1"/>
  <c r="AJ50" i="14" s="1"/>
  <c r="AJ51" i="14" s="1"/>
  <c r="AJ52" i="14" s="1"/>
  <c r="AJ53" i="14" s="1"/>
  <c r="AJ54" i="14" s="1"/>
  <c r="AJ55" i="14" s="1"/>
  <c r="AJ56" i="14" s="1"/>
  <c r="AJ57" i="14" s="1"/>
  <c r="AJ58" i="14" s="1"/>
  <c r="AJ59" i="14" s="1"/>
  <c r="AJ60" i="14" s="1"/>
  <c r="AJ61" i="14" s="1"/>
  <c r="AJ62" i="14" s="1"/>
  <c r="AJ63" i="14" s="1"/>
  <c r="AJ64" i="14" s="1"/>
  <c r="AJ65" i="14" s="1"/>
  <c r="AJ66" i="14" s="1"/>
  <c r="AJ67" i="14" s="1"/>
  <c r="AJ68" i="14" s="1"/>
  <c r="AJ69" i="14" s="1"/>
  <c r="AJ70" i="14" s="1"/>
  <c r="AJ71" i="14" s="1"/>
  <c r="AJ72" i="14" s="1"/>
  <c r="AJ73" i="14" s="1"/>
  <c r="AJ74" i="14" s="1"/>
  <c r="AJ75" i="14" s="1"/>
  <c r="AJ76" i="14" s="1"/>
  <c r="AJ77" i="14" s="1"/>
  <c r="AJ78" i="14" s="1"/>
  <c r="AJ79" i="14" s="1"/>
  <c r="AJ80" i="14" s="1"/>
  <c r="AJ81" i="14" s="1"/>
  <c r="AJ82" i="14" s="1"/>
  <c r="AJ83" i="14" s="1"/>
  <c r="AJ84" i="14" s="1"/>
  <c r="AJ85" i="14" s="1"/>
  <c r="AJ86" i="14" s="1"/>
  <c r="Y18" i="10"/>
  <c r="Y19" i="10" s="1"/>
  <c r="Y20" i="10" s="1"/>
  <c r="Y21" i="10" s="1"/>
  <c r="Y22" i="10" s="1"/>
  <c r="Y23" i="10" s="1"/>
  <c r="Y24" i="10" s="1"/>
  <c r="Y25" i="10" s="1"/>
  <c r="Y26" i="10" s="1"/>
  <c r="Y27" i="10" s="1"/>
  <c r="Y28" i="10" s="1"/>
  <c r="Y29" i="10" s="1"/>
  <c r="Y30" i="10" s="1"/>
  <c r="Y31" i="10" s="1"/>
  <c r="Y32" i="10" s="1"/>
  <c r="Y33" i="10" s="1"/>
  <c r="Y34" i="10" s="1"/>
  <c r="Y35" i="10" s="1"/>
  <c r="Y36" i="10" s="1"/>
  <c r="Y37" i="10" s="1"/>
  <c r="Y38" i="10" s="1"/>
  <c r="Y39" i="10" s="1"/>
  <c r="Y40" i="10" s="1"/>
  <c r="Y41" i="10" s="1"/>
  <c r="Y42" i="10" s="1"/>
  <c r="Y43" i="10" s="1"/>
  <c r="Y44" i="10" s="1"/>
  <c r="Y45" i="10" s="1"/>
  <c r="Y46" i="10" s="1"/>
  <c r="Y47" i="10" s="1"/>
  <c r="Y48" i="10" s="1"/>
  <c r="Y49" i="10" s="1"/>
  <c r="Y50" i="10" s="1"/>
  <c r="Y51" i="10" s="1"/>
  <c r="Y52" i="10" s="1"/>
  <c r="Y53" i="10" s="1"/>
  <c r="Y54" i="10" s="1"/>
  <c r="Y55" i="10" s="1"/>
  <c r="Y56" i="10" s="1"/>
  <c r="Y57" i="10" s="1"/>
  <c r="Y58" i="10" s="1"/>
  <c r="Y59" i="10" s="1"/>
  <c r="Y60" i="10" s="1"/>
  <c r="Y61" i="10" s="1"/>
  <c r="Y62" i="10" s="1"/>
  <c r="Y63" i="10" s="1"/>
  <c r="Y64" i="10" s="1"/>
  <c r="Y65" i="10" s="1"/>
  <c r="Y66" i="10" s="1"/>
  <c r="Y67" i="10" s="1"/>
  <c r="Y68" i="10" s="1"/>
  <c r="Y69" i="10" s="1"/>
  <c r="Y70" i="10" s="1"/>
  <c r="Y71" i="10" s="1"/>
  <c r="Y72" i="10" s="1"/>
  <c r="Y73" i="10" s="1"/>
  <c r="Y74" i="10" s="1"/>
  <c r="Y75" i="10" s="1"/>
  <c r="AG75" i="10" s="1"/>
  <c r="AO6" i="7"/>
  <c r="D10" i="5" s="1"/>
  <c r="Y18" i="14"/>
  <c r="Y19" i="14"/>
  <c r="Y20" i="14" s="1"/>
  <c r="Y21" i="14" s="1"/>
  <c r="Y22" i="14" s="1"/>
  <c r="Y23" i="14" s="1"/>
  <c r="Y24" i="14" s="1"/>
  <c r="Y25" i="14" s="1"/>
  <c r="Y26" i="14" s="1"/>
  <c r="Y27" i="14" s="1"/>
  <c r="Y28" i="14" s="1"/>
  <c r="Y29" i="14" s="1"/>
  <c r="Y30" i="14" s="1"/>
  <c r="Y31" i="14" s="1"/>
  <c r="Y32" i="14" s="1"/>
  <c r="Y33" i="14" s="1"/>
  <c r="Y34" i="14" s="1"/>
  <c r="Y35" i="14" s="1"/>
  <c r="Y36" i="14" s="1"/>
  <c r="Y37" i="14" s="1"/>
  <c r="Y38" i="14" s="1"/>
  <c r="Y39" i="14" s="1"/>
  <c r="Y40" i="14" s="1"/>
  <c r="Y41" i="14" s="1"/>
  <c r="Y42" i="14" s="1"/>
  <c r="Y43" i="14" s="1"/>
  <c r="Y44" i="14" s="1"/>
  <c r="Y45" i="14" s="1"/>
  <c r="Y46" i="14" s="1"/>
  <c r="Y47" i="14" s="1"/>
  <c r="Y48" i="14" s="1"/>
  <c r="Y49" i="14" s="1"/>
  <c r="Y50" i="14" s="1"/>
  <c r="Y51" i="14" s="1"/>
  <c r="Y52" i="14" s="1"/>
  <c r="Y53" i="14" s="1"/>
  <c r="Y54" i="14" s="1"/>
  <c r="Y55" i="14" s="1"/>
  <c r="Y56" i="14" s="1"/>
  <c r="Y57" i="14" s="1"/>
  <c r="Y58" i="14" s="1"/>
  <c r="Y59" i="14" s="1"/>
  <c r="Y60" i="14" s="1"/>
  <c r="Y61" i="14" s="1"/>
  <c r="Y62" i="14" s="1"/>
  <c r="Y63" i="14" s="1"/>
  <c r="Y64" i="14" s="1"/>
  <c r="Y65" i="14" s="1"/>
  <c r="Y66" i="14" s="1"/>
  <c r="Y67" i="14" s="1"/>
  <c r="Y68" i="14" s="1"/>
  <c r="Y69" i="14" s="1"/>
  <c r="Y70" i="14" s="1"/>
  <c r="Y71" i="14" s="1"/>
  <c r="Y72" i="14" s="1"/>
  <c r="Y73" i="14" s="1"/>
  <c r="Y74" i="14" s="1"/>
  <c r="Y75" i="14" s="1"/>
  <c r="O7" i="17"/>
  <c r="O8" i="17"/>
  <c r="O9" i="17"/>
  <c r="O10" i="17" s="1"/>
  <c r="O11" i="17" s="1"/>
  <c r="O12" i="17" s="1"/>
  <c r="O13" i="17" s="1"/>
  <c r="O14" i="17" s="1"/>
  <c r="O15" i="17" s="1"/>
  <c r="N7" i="11"/>
  <c r="BR23" i="14"/>
  <c r="BR24" i="14"/>
  <c r="BR25" i="14" s="1"/>
  <c r="BR26" i="14" s="1"/>
  <c r="BR27" i="14" s="1"/>
  <c r="BR28" i="14" s="1"/>
  <c r="BR29" i="14" s="1"/>
  <c r="BR30" i="14" s="1"/>
  <c r="BR31" i="14" s="1"/>
  <c r="BR32" i="14" s="1"/>
  <c r="CK32" i="14" s="1"/>
  <c r="CM32" i="14" s="1"/>
  <c r="AA77" i="8"/>
  <c r="AK28" i="7"/>
  <c r="AK29" i="7"/>
  <c r="AK30" i="7" s="1"/>
  <c r="BN36" i="7"/>
  <c r="BP36" i="7"/>
  <c r="H56" i="6"/>
  <c r="H25" i="6"/>
  <c r="H43" i="6"/>
  <c r="H50" i="6"/>
  <c r="H53" i="6"/>
  <c r="G71" i="6"/>
  <c r="AH5" i="8"/>
  <c r="AI5" i="8" s="1"/>
  <c r="I32" i="5" s="1"/>
  <c r="BI5" i="8"/>
  <c r="AU41" i="5"/>
  <c r="AF25" i="8"/>
  <c r="AF26" i="8" s="1"/>
  <c r="AF27" i="8" s="1"/>
  <c r="AF28" i="8" s="1"/>
  <c r="AF29" i="8" s="1"/>
  <c r="AF30" i="8" s="1"/>
  <c r="AF31" i="8" s="1"/>
  <c r="AF32" i="8" s="1"/>
  <c r="AF33" i="8" s="1"/>
  <c r="AF34" i="8" s="1"/>
  <c r="AF35" i="8" s="1"/>
  <c r="AF36" i="8" s="1"/>
  <c r="AF37" i="8" s="1"/>
  <c r="AF38" i="8" s="1"/>
  <c r="AF39" i="8" s="1"/>
  <c r="AF40" i="8" s="1"/>
  <c r="AF41" i="8" s="1"/>
  <c r="AF42" i="8" s="1"/>
  <c r="AF43" i="8" s="1"/>
  <c r="AF44" i="8" s="1"/>
  <c r="AF45" i="8" s="1"/>
  <c r="AF46" i="8" s="1"/>
  <c r="AF47" i="8" s="1"/>
  <c r="AF48" i="8" s="1"/>
  <c r="AF49" i="8" s="1"/>
  <c r="AF50" i="8" s="1"/>
  <c r="AF51" i="8" s="1"/>
  <c r="AF52" i="8" s="1"/>
  <c r="AF53" i="8" s="1"/>
  <c r="AF54" i="8" s="1"/>
  <c r="AF55" i="8" s="1"/>
  <c r="AF56" i="8" s="1"/>
  <c r="AF57" i="8" s="1"/>
  <c r="AF58" i="8" s="1"/>
  <c r="AF59" i="8" s="1"/>
  <c r="AF60" i="8" s="1"/>
  <c r="AF61" i="8" s="1"/>
  <c r="AF62" i="8" s="1"/>
  <c r="AF63" i="8" s="1"/>
  <c r="AF64" i="8" s="1"/>
  <c r="AF65" i="8" s="1"/>
  <c r="AF66" i="8" s="1"/>
  <c r="AF67" i="8" s="1"/>
  <c r="AF68" i="8" s="1"/>
  <c r="AF69" i="8" s="1"/>
  <c r="AF70" i="8" s="1"/>
  <c r="AF71" i="8" s="1"/>
  <c r="AF72" i="8" s="1"/>
  <c r="AF73" i="8" s="1"/>
  <c r="AF74" i="8" s="1"/>
  <c r="AF75" i="8" s="1"/>
  <c r="AF76" i="8" s="1"/>
  <c r="AF77" i="8" s="1"/>
  <c r="AF78" i="8" s="1"/>
  <c r="AF79" i="8" s="1"/>
  <c r="AF80" i="8" s="1"/>
  <c r="AF81" i="8" s="1"/>
  <c r="AF82" i="8" s="1"/>
  <c r="AG82" i="8" s="1"/>
  <c r="BI82" i="8" s="1"/>
  <c r="BJ82" i="8" s="1"/>
  <c r="BK82" i="8" s="1"/>
  <c r="Y17" i="7"/>
  <c r="Y18" i="7"/>
  <c r="Y19" i="7"/>
  <c r="Y20" i="7" s="1"/>
  <c r="Y21" i="7" s="1"/>
  <c r="Y22" i="7" s="1"/>
  <c r="Y23" i="7" s="1"/>
  <c r="Y24" i="7" s="1"/>
  <c r="Y25" i="7" s="1"/>
  <c r="Y26" i="7" s="1"/>
  <c r="Y27" i="7" s="1"/>
  <c r="Y28" i="7" s="1"/>
  <c r="Y29" i="7" s="1"/>
  <c r="Y30" i="7" s="1"/>
  <c r="Y31" i="7" s="1"/>
  <c r="Y32" i="7" s="1"/>
  <c r="Y33" i="7" s="1"/>
  <c r="Y34" i="7" s="1"/>
  <c r="Y35" i="7" s="1"/>
  <c r="Y36" i="7" s="1"/>
  <c r="Y37" i="7" s="1"/>
  <c r="Y38" i="7" s="1"/>
  <c r="Y39" i="7" s="1"/>
  <c r="Y40" i="7" s="1"/>
  <c r="Y41" i="7" s="1"/>
  <c r="Y42" i="7" s="1"/>
  <c r="Y43" i="7" s="1"/>
  <c r="Y44" i="7" s="1"/>
  <c r="Y45" i="7" s="1"/>
  <c r="Y46" i="7" s="1"/>
  <c r="Y47" i="7" s="1"/>
  <c r="Y48" i="7" s="1"/>
  <c r="Y49" i="7" s="1"/>
  <c r="Y50" i="7" s="1"/>
  <c r="Y51" i="7" s="1"/>
  <c r="Y52" i="7" s="1"/>
  <c r="Y53" i="7" s="1"/>
  <c r="Y54" i="7" s="1"/>
  <c r="Y55" i="7" s="1"/>
  <c r="Y56" i="7" s="1"/>
  <c r="Y57" i="7" s="1"/>
  <c r="Y58" i="7" s="1"/>
  <c r="AJ45" i="17"/>
  <c r="AD21" i="7"/>
  <c r="AD22" i="7" s="1"/>
  <c r="AB127" i="9"/>
  <c r="BF21" i="7"/>
  <c r="BF22" i="7" s="1"/>
  <c r="BF23" i="7" s="1"/>
  <c r="BF24" i="7" s="1"/>
  <c r="BF25" i="7" s="1"/>
  <c r="BF26" i="7" s="1"/>
  <c r="BF27" i="7" s="1"/>
  <c r="BF28" i="7" s="1"/>
  <c r="BF29" i="7" s="1"/>
  <c r="BF30" i="7" s="1"/>
  <c r="BF31" i="7" s="1"/>
  <c r="BN31" i="7" s="1"/>
  <c r="BP31" i="7" s="1"/>
  <c r="AB125" i="9"/>
  <c r="BJ14" i="14"/>
  <c r="BJ15" i="14" s="1"/>
  <c r="BJ16" i="14" s="1"/>
  <c r="BJ17" i="14" s="1"/>
  <c r="BJ18" i="14" s="1"/>
  <c r="BJ19" i="14" s="1"/>
  <c r="BJ20" i="14" s="1"/>
  <c r="BJ21" i="14" s="1"/>
  <c r="BJ22" i="14" s="1"/>
  <c r="BJ23" i="14" s="1"/>
  <c r="BJ24" i="14" s="1"/>
  <c r="G78" i="6"/>
  <c r="H66" i="6"/>
  <c r="H59" i="6"/>
  <c r="H65" i="6"/>
  <c r="H68" i="6"/>
  <c r="H67" i="6"/>
  <c r="H60" i="6"/>
  <c r="H64" i="6"/>
  <c r="H29" i="6"/>
  <c r="H54" i="6"/>
  <c r="H57" i="6"/>
  <c r="AJ6" i="8"/>
  <c r="H33" i="5"/>
  <c r="AQ6" i="7"/>
  <c r="BN5" i="7"/>
  <c r="O7" i="8"/>
  <c r="O8" i="8"/>
  <c r="O9" i="8" s="1"/>
  <c r="O10" i="8" s="1"/>
  <c r="O11" i="8" s="1"/>
  <c r="O12" i="8" s="1"/>
  <c r="O13" i="8" s="1"/>
  <c r="O14" i="8" s="1"/>
  <c r="O15" i="8" s="1"/>
  <c r="O16" i="8" s="1"/>
  <c r="O17" i="8" s="1"/>
  <c r="O18" i="8" s="1"/>
  <c r="O19" i="8" s="1"/>
  <c r="O20" i="8" s="1"/>
  <c r="O21" i="8" s="1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35" i="8" s="1"/>
  <c r="O36" i="8" s="1"/>
  <c r="O37" i="8" s="1"/>
  <c r="O38" i="8" s="1"/>
  <c r="O39" i="8" s="1"/>
  <c r="O40" i="8" s="1"/>
  <c r="O41" i="8" s="1"/>
  <c r="O42" i="8" s="1"/>
  <c r="O43" i="8" s="1"/>
  <c r="O44" i="8" s="1"/>
  <c r="O45" i="8" s="1"/>
  <c r="O46" i="8" s="1"/>
  <c r="O47" i="8" s="1"/>
  <c r="O48" i="8" s="1"/>
  <c r="O49" i="8" s="1"/>
  <c r="O50" i="8" s="1"/>
  <c r="O51" i="8" s="1"/>
  <c r="O52" i="8" s="1"/>
  <c r="O53" i="8" s="1"/>
  <c r="O54" i="8" s="1"/>
  <c r="O55" i="8" s="1"/>
  <c r="O56" i="8" s="1"/>
  <c r="O57" i="8" s="1"/>
  <c r="O58" i="8" s="1"/>
  <c r="O59" i="8" s="1"/>
  <c r="O60" i="8" s="1"/>
  <c r="O61" i="8" s="1"/>
  <c r="O62" i="8" s="1"/>
  <c r="O63" i="8" s="1"/>
  <c r="O64" i="8" s="1"/>
  <c r="O65" i="8" s="1"/>
  <c r="AU64" i="5"/>
  <c r="AU71" i="5" s="1"/>
  <c r="H38" i="6"/>
  <c r="H24" i="6"/>
  <c r="G9" i="11"/>
  <c r="E10" i="11"/>
  <c r="H23" i="6"/>
  <c r="L23" i="14"/>
  <c r="L15" i="14"/>
  <c r="L33" i="14"/>
  <c r="L29" i="14"/>
  <c r="L20" i="14"/>
  <c r="L13" i="14"/>
  <c r="L19" i="14"/>
  <c r="L16" i="14"/>
  <c r="L31" i="14"/>
  <c r="L27" i="14"/>
  <c r="L26" i="14"/>
  <c r="L11" i="14"/>
  <c r="L9" i="14"/>
  <c r="L7" i="14"/>
  <c r="L5" i="14"/>
  <c r="AZ5" i="14" s="1"/>
  <c r="L28" i="14"/>
  <c r="L24" i="14"/>
  <c r="L17" i="14"/>
  <c r="L12" i="14"/>
  <c r="L10" i="14"/>
  <c r="L30" i="14"/>
  <c r="L18" i="14"/>
  <c r="L32" i="14"/>
  <c r="L8" i="14"/>
  <c r="L6" i="14"/>
  <c r="L14" i="14"/>
  <c r="L22" i="14"/>
  <c r="L21" i="14"/>
  <c r="L25" i="14"/>
  <c r="AX153" i="15"/>
  <c r="AX152" i="15"/>
  <c r="AC21" i="14"/>
  <c r="AC22" i="14" s="1"/>
  <c r="AC23" i="14" s="1"/>
  <c r="AC24" i="14" s="1"/>
  <c r="AC25" i="14" s="1"/>
  <c r="AC26" i="14" s="1"/>
  <c r="AC27" i="14" s="1"/>
  <c r="AC28" i="14" s="1"/>
  <c r="AC29" i="14" s="1"/>
  <c r="AC30" i="14" s="1"/>
  <c r="AC31" i="14" s="1"/>
  <c r="AC32" i="14" s="1"/>
  <c r="AC33" i="14" s="1"/>
  <c r="AC34" i="14" s="1"/>
  <c r="AC35" i="14" s="1"/>
  <c r="AC36" i="14" s="1"/>
  <c r="AC37" i="14" s="1"/>
  <c r="AC38" i="14" s="1"/>
  <c r="AC39" i="14" s="1"/>
  <c r="AC40" i="14" s="1"/>
  <c r="AC41" i="14" s="1"/>
  <c r="AC42" i="14" s="1"/>
  <c r="AC43" i="14" s="1"/>
  <c r="AC44" i="14" s="1"/>
  <c r="AC45" i="14" s="1"/>
  <c r="AC46" i="14" s="1"/>
  <c r="AC47" i="14" s="1"/>
  <c r="AC48" i="14" s="1"/>
  <c r="AC49" i="14" s="1"/>
  <c r="AC50" i="14" s="1"/>
  <c r="AC51" i="14" s="1"/>
  <c r="AC52" i="14" s="1"/>
  <c r="AC53" i="14" s="1"/>
  <c r="AC54" i="14" s="1"/>
  <c r="AC55" i="14" s="1"/>
  <c r="AC56" i="14" s="1"/>
  <c r="AC57" i="14" s="1"/>
  <c r="AC58" i="14" s="1"/>
  <c r="AC59" i="14" s="1"/>
  <c r="AC60" i="14" s="1"/>
  <c r="AC61" i="14" s="1"/>
  <c r="AC62" i="14" s="1"/>
  <c r="AC63" i="14" s="1"/>
  <c r="AC64" i="14" s="1"/>
  <c r="AC65" i="14" s="1"/>
  <c r="AC66" i="14" s="1"/>
  <c r="AC67" i="14" s="1"/>
  <c r="AC68" i="14" s="1"/>
  <c r="AC69" i="14" s="1"/>
  <c r="AC70" i="14" s="1"/>
  <c r="AC71" i="14" s="1"/>
  <c r="AC72" i="14" s="1"/>
  <c r="AC73" i="14" s="1"/>
  <c r="AC74" i="14" s="1"/>
  <c r="AC75" i="14" s="1"/>
  <c r="AC76" i="14" s="1"/>
  <c r="AC77" i="14" s="1"/>
  <c r="AC78" i="14" s="1"/>
  <c r="AC79" i="14" s="1"/>
  <c r="BN37" i="7"/>
  <c r="BP37" i="7" s="1"/>
  <c r="BE6" i="10"/>
  <c r="BG6" i="10" s="1"/>
  <c r="BN18" i="14"/>
  <c r="BN19" i="14" s="1"/>
  <c r="BN20" i="14" s="1"/>
  <c r="BN21" i="14" s="1"/>
  <c r="BN22" i="14" s="1"/>
  <c r="BN23" i="14" s="1"/>
  <c r="BN24" i="14" s="1"/>
  <c r="BN25" i="14" s="1"/>
  <c r="BN26" i="14" s="1"/>
  <c r="BN27" i="14" s="1"/>
  <c r="V14" i="14"/>
  <c r="V15" i="14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V28" i="14" s="1"/>
  <c r="V29" i="14" s="1"/>
  <c r="V30" i="14" s="1"/>
  <c r="V31" i="14" s="1"/>
  <c r="V32" i="14" s="1"/>
  <c r="V33" i="14" s="1"/>
  <c r="V34" i="14" s="1"/>
  <c r="V35" i="14" s="1"/>
  <c r="V36" i="14" s="1"/>
  <c r="V37" i="14" s="1"/>
  <c r="V38" i="14" s="1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V54" i="14" s="1"/>
  <c r="V55" i="14" s="1"/>
  <c r="V56" i="14" s="1"/>
  <c r="V57" i="14" s="1"/>
  <c r="V58" i="14" s="1"/>
  <c r="V59" i="14" s="1"/>
  <c r="V60" i="14" s="1"/>
  <c r="V61" i="14" s="1"/>
  <c r="V62" i="14" s="1"/>
  <c r="V63" i="14" s="1"/>
  <c r="V64" i="14" s="1"/>
  <c r="V65" i="14" s="1"/>
  <c r="V66" i="14" s="1"/>
  <c r="V67" i="14" s="1"/>
  <c r="V68" i="14" s="1"/>
  <c r="V69" i="14" s="1"/>
  <c r="V70" i="14" s="1"/>
  <c r="V71" i="14" s="1"/>
  <c r="V72" i="14" s="1"/>
  <c r="U130" i="15"/>
  <c r="B27" i="15"/>
  <c r="B39" i="15" s="1"/>
  <c r="B51" i="15" s="1"/>
  <c r="B63" i="15" s="1"/>
  <c r="B75" i="15" s="1"/>
  <c r="B87" i="15" s="1"/>
  <c r="B99" i="15" s="1"/>
  <c r="B111" i="15" s="1"/>
  <c r="B123" i="15" s="1"/>
  <c r="B135" i="15" s="1"/>
  <c r="B147" i="15" s="1"/>
  <c r="BK15" i="14"/>
  <c r="BK16" i="14" s="1"/>
  <c r="BK17" i="14" s="1"/>
  <c r="BK18" i="14" s="1"/>
  <c r="BK19" i="14" s="1"/>
  <c r="BK20" i="14" s="1"/>
  <c r="BK21" i="14" s="1"/>
  <c r="BK22" i="14" s="1"/>
  <c r="BK23" i="14" s="1"/>
  <c r="BK24" i="14" s="1"/>
  <c r="BK25" i="14" s="1"/>
  <c r="V57" i="19"/>
  <c r="AO153" i="5"/>
  <c r="V56" i="19"/>
  <c r="AO152" i="5" s="1"/>
  <c r="AH76" i="7"/>
  <c r="W15" i="14"/>
  <c r="W16" i="14" s="1"/>
  <c r="W17" i="14" s="1"/>
  <c r="W18" i="14" s="1"/>
  <c r="W19" i="14" s="1"/>
  <c r="W20" i="14" s="1"/>
  <c r="W21" i="14" s="1"/>
  <c r="W22" i="14" s="1"/>
  <c r="W23" i="14" s="1"/>
  <c r="W24" i="14" s="1"/>
  <c r="W25" i="14" s="1"/>
  <c r="W26" i="14" s="1"/>
  <c r="W27" i="14" s="1"/>
  <c r="W28" i="14" s="1"/>
  <c r="W29" i="14" s="1"/>
  <c r="W30" i="14" s="1"/>
  <c r="W31" i="14" s="1"/>
  <c r="W32" i="14" s="1"/>
  <c r="W33" i="14" s="1"/>
  <c r="W34" i="14" s="1"/>
  <c r="W35" i="14" s="1"/>
  <c r="W36" i="14" s="1"/>
  <c r="W37" i="14" s="1"/>
  <c r="W38" i="14" s="1"/>
  <c r="W39" i="14" s="1"/>
  <c r="W40" i="14" s="1"/>
  <c r="W41" i="14" s="1"/>
  <c r="W42" i="14" s="1"/>
  <c r="W43" i="14" s="1"/>
  <c r="W44" i="14" s="1"/>
  <c r="W45" i="14" s="1"/>
  <c r="W46" i="14" s="1"/>
  <c r="W47" i="14" s="1"/>
  <c r="W48" i="14" s="1"/>
  <c r="W49" i="14" s="1"/>
  <c r="W50" i="14" s="1"/>
  <c r="W51" i="14" s="1"/>
  <c r="W52" i="14" s="1"/>
  <c r="W53" i="14" s="1"/>
  <c r="W54" i="14" s="1"/>
  <c r="W55" i="14" s="1"/>
  <c r="W56" i="14" s="1"/>
  <c r="W57" i="14" s="1"/>
  <c r="W58" i="14" s="1"/>
  <c r="W59" i="14" s="1"/>
  <c r="W60" i="14" s="1"/>
  <c r="W61" i="14" s="1"/>
  <c r="W62" i="14" s="1"/>
  <c r="W63" i="14" s="1"/>
  <c r="W64" i="14" s="1"/>
  <c r="W65" i="14" s="1"/>
  <c r="W66" i="14" s="1"/>
  <c r="W67" i="14" s="1"/>
  <c r="W68" i="14" s="1"/>
  <c r="W69" i="14" s="1"/>
  <c r="W70" i="14" s="1"/>
  <c r="W71" i="14" s="1"/>
  <c r="W72" i="14" s="1"/>
  <c r="W73" i="14" s="1"/>
  <c r="B25" i="16"/>
  <c r="B37" i="16"/>
  <c r="B49" i="16" s="1"/>
  <c r="B61" i="16" s="1"/>
  <c r="B73" i="16" s="1"/>
  <c r="B85" i="16" s="1"/>
  <c r="J64" i="19"/>
  <c r="V63" i="19"/>
  <c r="AO159" i="5"/>
  <c r="BE5" i="10"/>
  <c r="BG5" i="10" s="1"/>
  <c r="Z18" i="14"/>
  <c r="Z19" i="14"/>
  <c r="Z20" i="14"/>
  <c r="Z21" i="14" s="1"/>
  <c r="Z22" i="14" s="1"/>
  <c r="Z23" i="14" s="1"/>
  <c r="Z24" i="14" s="1"/>
  <c r="Z25" i="14" s="1"/>
  <c r="Z26" i="14" s="1"/>
  <c r="Z27" i="14" s="1"/>
  <c r="Z28" i="14" s="1"/>
  <c r="Z29" i="14" s="1"/>
  <c r="Z30" i="14" s="1"/>
  <c r="Z31" i="14" s="1"/>
  <c r="Z32" i="14" s="1"/>
  <c r="Z33" i="14" s="1"/>
  <c r="Z34" i="14" s="1"/>
  <c r="Z35" i="14" s="1"/>
  <c r="Z36" i="14" s="1"/>
  <c r="Z37" i="14" s="1"/>
  <c r="Z38" i="14" s="1"/>
  <c r="Z39" i="14" s="1"/>
  <c r="Z40" i="14" s="1"/>
  <c r="Z41" i="14" s="1"/>
  <c r="Z42" i="14" s="1"/>
  <c r="Z43" i="14" s="1"/>
  <c r="Z44" i="14" s="1"/>
  <c r="Z45" i="14" s="1"/>
  <c r="Z46" i="14" s="1"/>
  <c r="Z47" i="14" s="1"/>
  <c r="Z48" i="14" s="1"/>
  <c r="Z49" i="14" s="1"/>
  <c r="Z50" i="14" s="1"/>
  <c r="Z51" i="14" s="1"/>
  <c r="Z52" i="14" s="1"/>
  <c r="Z53" i="14" s="1"/>
  <c r="Z54" i="14" s="1"/>
  <c r="Z55" i="14" s="1"/>
  <c r="Z56" i="14" s="1"/>
  <c r="Z57" i="14" s="1"/>
  <c r="Z58" i="14" s="1"/>
  <c r="Z59" i="14" s="1"/>
  <c r="Z60" i="14" s="1"/>
  <c r="Z61" i="14" s="1"/>
  <c r="Z62" i="14" s="1"/>
  <c r="Z63" i="14" s="1"/>
  <c r="Z64" i="14" s="1"/>
  <c r="Z65" i="14" s="1"/>
  <c r="Z66" i="14" s="1"/>
  <c r="Z67" i="14" s="1"/>
  <c r="Z68" i="14" s="1"/>
  <c r="Z69" i="14" s="1"/>
  <c r="Z70" i="14" s="1"/>
  <c r="Z71" i="14" s="1"/>
  <c r="Z72" i="14" s="1"/>
  <c r="Z73" i="14" s="1"/>
  <c r="Z74" i="14" s="1"/>
  <c r="Z75" i="14" s="1"/>
  <c r="Z76" i="14" s="1"/>
  <c r="AQ191" i="5"/>
  <c r="AQ146" i="5"/>
  <c r="AQ161" i="5"/>
  <c r="AQ176" i="5"/>
  <c r="G39" i="17"/>
  <c r="G40" i="17"/>
  <c r="G41" i="17"/>
  <c r="G42" i="17" s="1"/>
  <c r="G43" i="17" s="1"/>
  <c r="G44" i="17" s="1"/>
  <c r="G45" i="17" s="1"/>
  <c r="G46" i="17" s="1"/>
  <c r="G47" i="17" s="1"/>
  <c r="F49" i="16"/>
  <c r="G48" i="16"/>
  <c r="AH6" i="8"/>
  <c r="AI6" i="8" s="1"/>
  <c r="I33" i="5" s="1"/>
  <c r="AO33" i="5"/>
  <c r="H38" i="17"/>
  <c r="CK55" i="14"/>
  <c r="CM55" i="14"/>
  <c r="AF116" i="5"/>
  <c r="H37" i="17"/>
  <c r="CK53" i="14"/>
  <c r="CM53" i="14"/>
  <c r="L9" i="9"/>
  <c r="AB8" i="9"/>
  <c r="B21" i="11"/>
  <c r="B33" i="11" s="1"/>
  <c r="B45" i="11" s="1"/>
  <c r="B57" i="11" s="1"/>
  <c r="B69" i="11" s="1"/>
  <c r="B81" i="11" s="1"/>
  <c r="B93" i="11" s="1"/>
  <c r="B105" i="11" s="1"/>
  <c r="B117" i="11" s="1"/>
  <c r="B129" i="11" s="1"/>
  <c r="CK54" i="14"/>
  <c r="CM54" i="14" s="1"/>
  <c r="CK29" i="14"/>
  <c r="CM29" i="14" s="1"/>
  <c r="CK52" i="14"/>
  <c r="CM52" i="14"/>
  <c r="V64" i="19"/>
  <c r="AO160" i="5" s="1"/>
  <c r="G10" i="11"/>
  <c r="E11" i="11"/>
  <c r="CK49" i="14"/>
  <c r="CM49" i="14" s="1"/>
  <c r="AG80" i="8"/>
  <c r="P9" i="11"/>
  <c r="BI6" i="8"/>
  <c r="BK6" i="8"/>
  <c r="N8" i="8"/>
  <c r="AG7" i="8"/>
  <c r="AO34" i="5"/>
  <c r="N8" i="11"/>
  <c r="N9" i="11" s="1"/>
  <c r="N10" i="11" s="1"/>
  <c r="N11" i="11" s="1"/>
  <c r="B26" i="16"/>
  <c r="B38" i="16" s="1"/>
  <c r="B50" i="16" s="1"/>
  <c r="B62" i="16" s="1"/>
  <c r="B74" i="16" s="1"/>
  <c r="B86" i="16" s="1"/>
  <c r="AQ7" i="7"/>
  <c r="BN6" i="7"/>
  <c r="BP6" i="7"/>
  <c r="BJ5" i="8"/>
  <c r="B27" i="17"/>
  <c r="B39" i="17" s="1"/>
  <c r="B51" i="17" s="1"/>
  <c r="AD9" i="5"/>
  <c r="AD11" i="5" s="1"/>
  <c r="AM5" i="7"/>
  <c r="AN5" i="7" s="1"/>
  <c r="E9" i="5" s="1"/>
  <c r="BQ5" i="7"/>
  <c r="CK50" i="14"/>
  <c r="CM50" i="14" s="1"/>
  <c r="AJ13" i="17"/>
  <c r="BF7" i="8"/>
  <c r="BH7" i="8"/>
  <c r="AL8" i="8"/>
  <c r="O9" i="11"/>
  <c r="O10" i="11"/>
  <c r="O11" i="11"/>
  <c r="O12" i="11" s="1"/>
  <c r="O13" i="11" s="1"/>
  <c r="O14" i="11" s="1"/>
  <c r="O15" i="11" s="1"/>
  <c r="O16" i="11" s="1"/>
  <c r="O17" i="11" s="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O35" i="11" s="1"/>
  <c r="O36" i="11" s="1"/>
  <c r="O37" i="11" s="1"/>
  <c r="O38" i="11" s="1"/>
  <c r="O39" i="11" s="1"/>
  <c r="O40" i="11" s="1"/>
  <c r="O41" i="11" s="1"/>
  <c r="O42" i="11" s="1"/>
  <c r="O43" i="11" s="1"/>
  <c r="O44" i="11" s="1"/>
  <c r="O45" i="11" s="1"/>
  <c r="O46" i="11" s="1"/>
  <c r="O47" i="11" s="1"/>
  <c r="O48" i="11" s="1"/>
  <c r="O49" i="11" s="1"/>
  <c r="O50" i="11" s="1"/>
  <c r="O51" i="11" s="1"/>
  <c r="O52" i="11" s="1"/>
  <c r="O53" i="11" s="1"/>
  <c r="O54" i="11" s="1"/>
  <c r="O55" i="11" s="1"/>
  <c r="O56" i="11" s="1"/>
  <c r="O57" i="11" s="1"/>
  <c r="O58" i="11" s="1"/>
  <c r="O59" i="11" s="1"/>
  <c r="O60" i="11" s="1"/>
  <c r="O61" i="11" s="1"/>
  <c r="O62" i="11" s="1"/>
  <c r="O63" i="11" s="1"/>
  <c r="O64" i="11" s="1"/>
  <c r="O65" i="11" s="1"/>
  <c r="O66" i="11" s="1"/>
  <c r="O67" i="11" s="1"/>
  <c r="O68" i="11" s="1"/>
  <c r="O69" i="11" s="1"/>
  <c r="O70" i="11" s="1"/>
  <c r="O71" i="11" s="1"/>
  <c r="O72" i="11" s="1"/>
  <c r="O73" i="11" s="1"/>
  <c r="O74" i="11" s="1"/>
  <c r="O75" i="11" s="1"/>
  <c r="O76" i="11" s="1"/>
  <c r="O77" i="11" s="1"/>
  <c r="O78" i="11" s="1"/>
  <c r="O79" i="11" s="1"/>
  <c r="O80" i="11" s="1"/>
  <c r="O81" i="11" s="1"/>
  <c r="O82" i="11" s="1"/>
  <c r="O83" i="11" s="1"/>
  <c r="O84" i="11" s="1"/>
  <c r="O85" i="11" s="1"/>
  <c r="O86" i="11" s="1"/>
  <c r="O87" i="11" s="1"/>
  <c r="O88" i="11" s="1"/>
  <c r="O89" i="11" s="1"/>
  <c r="O90" i="11" s="1"/>
  <c r="O91" i="11" s="1"/>
  <c r="O92" i="11" s="1"/>
  <c r="O93" i="11" s="1"/>
  <c r="O94" i="11" s="1"/>
  <c r="O95" i="11" s="1"/>
  <c r="O96" i="11" s="1"/>
  <c r="O97" i="11" s="1"/>
  <c r="O98" i="11" s="1"/>
  <c r="O99" i="11" s="1"/>
  <c r="O100" i="11" s="1"/>
  <c r="O101" i="11" s="1"/>
  <c r="O102" i="11" s="1"/>
  <c r="O103" i="11" s="1"/>
  <c r="O104" i="11" s="1"/>
  <c r="O105" i="11" s="1"/>
  <c r="O106" i="11" s="1"/>
  <c r="O107" i="11" s="1"/>
  <c r="O108" i="11" s="1"/>
  <c r="O109" i="11" s="1"/>
  <c r="O110" i="11" s="1"/>
  <c r="O111" i="11" s="1"/>
  <c r="O112" i="11" s="1"/>
  <c r="O113" i="11" s="1"/>
  <c r="O114" i="11" s="1"/>
  <c r="O115" i="11" s="1"/>
  <c r="O116" i="11" s="1"/>
  <c r="O117" i="11" s="1"/>
  <c r="O118" i="11" s="1"/>
  <c r="O119" i="11" s="1"/>
  <c r="O120" i="11" s="1"/>
  <c r="O121" i="11" s="1"/>
  <c r="O122" i="11" s="1"/>
  <c r="O123" i="11" s="1"/>
  <c r="O124" i="11" s="1"/>
  <c r="O125" i="11" s="1"/>
  <c r="O126" i="11" s="1"/>
  <c r="O127" i="11" s="1"/>
  <c r="CK26" i="14"/>
  <c r="CM26" i="14" s="1"/>
  <c r="CO26" i="14" s="1"/>
  <c r="CP26" i="14" s="1"/>
  <c r="B21" i="9"/>
  <c r="B33" i="9" s="1"/>
  <c r="B45" i="9" s="1"/>
  <c r="B57" i="9" s="1"/>
  <c r="B69" i="9" s="1"/>
  <c r="B81" i="9" s="1"/>
  <c r="B93" i="9" s="1"/>
  <c r="B105" i="9" s="1"/>
  <c r="B117" i="9" s="1"/>
  <c r="B129" i="9" s="1"/>
  <c r="B141" i="9" s="1"/>
  <c r="B10" i="9"/>
  <c r="BP5" i="7"/>
  <c r="BR5" i="7" s="1"/>
  <c r="AG69" i="10"/>
  <c r="BA126" i="5" s="1"/>
  <c r="AJ46" i="17"/>
  <c r="AG76" i="8"/>
  <c r="AJ12" i="17"/>
  <c r="CK51" i="14"/>
  <c r="CM51" i="14" s="1"/>
  <c r="AJ14" i="17"/>
  <c r="AG65" i="8"/>
  <c r="BI65" i="8" s="1"/>
  <c r="BJ65" i="8" s="1"/>
  <c r="BK65" i="8" s="1"/>
  <c r="AG72" i="8"/>
  <c r="N6" i="6"/>
  <c r="P6" i="6" s="1"/>
  <c r="O7" i="7"/>
  <c r="AL6" i="7"/>
  <c r="B28" i="15"/>
  <c r="B40" i="15" s="1"/>
  <c r="B52" i="15" s="1"/>
  <c r="B64" i="15" s="1"/>
  <c r="B76" i="15" s="1"/>
  <c r="B88" i="15" s="1"/>
  <c r="B100" i="15" s="1"/>
  <c r="B112" i="15" s="1"/>
  <c r="B124" i="15" s="1"/>
  <c r="B136" i="15" s="1"/>
  <c r="B148" i="15" s="1"/>
  <c r="BF76" i="7"/>
  <c r="AB128" i="9"/>
  <c r="AG67" i="8"/>
  <c r="BI67" i="8" s="1"/>
  <c r="BJ67" i="8" s="1"/>
  <c r="BK67" i="8" s="1"/>
  <c r="BQ31" i="14"/>
  <c r="CK30" i="14"/>
  <c r="CM30" i="14"/>
  <c r="BE26" i="7"/>
  <c r="BE27" i="7" s="1"/>
  <c r="CK21" i="14"/>
  <c r="CM21" i="14" s="1"/>
  <c r="H51" i="17"/>
  <c r="H50" i="17"/>
  <c r="H48" i="17"/>
  <c r="AJ7" i="8"/>
  <c r="H34" i="5" s="1"/>
  <c r="U69" i="8"/>
  <c r="U70" i="8" s="1"/>
  <c r="G49" i="16"/>
  <c r="H45" i="17"/>
  <c r="H44" i="17"/>
  <c r="H39" i="17"/>
  <c r="H41" i="17"/>
  <c r="H43" i="17"/>
  <c r="H40" i="17"/>
  <c r="N59" i="14"/>
  <c r="F50" i="16"/>
  <c r="BI80" i="8"/>
  <c r="BJ80" i="8" s="1"/>
  <c r="BK80" i="8" s="1"/>
  <c r="AR93" i="14"/>
  <c r="BH69" i="10"/>
  <c r="BI69" i="10" s="1"/>
  <c r="BJ69" i="10" s="1"/>
  <c r="BI76" i="8"/>
  <c r="BJ76" i="8" s="1"/>
  <c r="BK76" i="8" s="1"/>
  <c r="BI72" i="8"/>
  <c r="BJ72" i="8" s="1"/>
  <c r="BK72" i="8" s="1"/>
  <c r="L10" i="9"/>
  <c r="AB10" i="9" s="1"/>
  <c r="AB9" i="9"/>
  <c r="B22" i="11"/>
  <c r="B34" i="11" s="1"/>
  <c r="B46" i="11" s="1"/>
  <c r="B58" i="11" s="1"/>
  <c r="B70" i="11" s="1"/>
  <c r="B82" i="11" s="1"/>
  <c r="B94" i="11" s="1"/>
  <c r="B106" i="11" s="1"/>
  <c r="B118" i="11" s="1"/>
  <c r="B130" i="11" s="1"/>
  <c r="O8" i="7"/>
  <c r="O9" i="7" s="1"/>
  <c r="AL7" i="7"/>
  <c r="AM7" i="7" s="1"/>
  <c r="N7" i="6"/>
  <c r="BK5" i="8"/>
  <c r="BL5" i="8" s="1"/>
  <c r="J32" i="5" s="1"/>
  <c r="AG64" i="16"/>
  <c r="AG65" i="16" s="1"/>
  <c r="AG66" i="16" s="1"/>
  <c r="AG67" i="16" s="1"/>
  <c r="AG68" i="16" s="1"/>
  <c r="AG69" i="16" s="1"/>
  <c r="AG70" i="16" s="1"/>
  <c r="AG71" i="16" s="1"/>
  <c r="AG72" i="16" s="1"/>
  <c r="AG73" i="16" s="1"/>
  <c r="AG74" i="16" s="1"/>
  <c r="AG75" i="16" s="1"/>
  <c r="AG76" i="16" s="1"/>
  <c r="AG77" i="16" s="1"/>
  <c r="AG78" i="16" s="1"/>
  <c r="AG79" i="16" s="1"/>
  <c r="B28" i="17"/>
  <c r="B40" i="17" s="1"/>
  <c r="B52" i="17" s="1"/>
  <c r="BI7" i="8"/>
  <c r="BJ7" i="8" s="1"/>
  <c r="BK7" i="8" s="1"/>
  <c r="AH7" i="8"/>
  <c r="AD10" i="5"/>
  <c r="BQ6" i="7"/>
  <c r="BR6" i="7"/>
  <c r="AQ8" i="7"/>
  <c r="BN7" i="7"/>
  <c r="BP7" i="7" s="1"/>
  <c r="N9" i="8"/>
  <c r="AG9" i="8" s="1"/>
  <c r="AG8" i="8"/>
  <c r="AO35" i="5" s="1"/>
  <c r="P10" i="11"/>
  <c r="P11" i="11" s="1"/>
  <c r="P12" i="11" s="1"/>
  <c r="P13" i="11" s="1"/>
  <c r="P14" i="11" s="1"/>
  <c r="P15" i="11" s="1"/>
  <c r="P16" i="11" s="1"/>
  <c r="P17" i="11" s="1"/>
  <c r="P18" i="11" s="1"/>
  <c r="P19" i="11" s="1"/>
  <c r="P20" i="11" s="1"/>
  <c r="P21" i="11" s="1"/>
  <c r="P22" i="11" s="1"/>
  <c r="P23" i="11" s="1"/>
  <c r="P24" i="11" s="1"/>
  <c r="P25" i="11" s="1"/>
  <c r="P26" i="11" s="1"/>
  <c r="P27" i="11" s="1"/>
  <c r="P28" i="11" s="1"/>
  <c r="P29" i="11" s="1"/>
  <c r="P30" i="11" s="1"/>
  <c r="P31" i="11" s="1"/>
  <c r="P32" i="11" s="1"/>
  <c r="P33" i="11" s="1"/>
  <c r="P34" i="11" s="1"/>
  <c r="P35" i="11" s="1"/>
  <c r="P36" i="11" s="1"/>
  <c r="P37" i="11" s="1"/>
  <c r="P38" i="11" s="1"/>
  <c r="P39" i="11" s="1"/>
  <c r="P40" i="11" s="1"/>
  <c r="P41" i="11" s="1"/>
  <c r="P42" i="11" s="1"/>
  <c r="P43" i="11" s="1"/>
  <c r="P44" i="11" s="1"/>
  <c r="P45" i="11" s="1"/>
  <c r="P46" i="11" s="1"/>
  <c r="P47" i="11" s="1"/>
  <c r="P48" i="11" s="1"/>
  <c r="P49" i="11" s="1"/>
  <c r="P50" i="11" s="1"/>
  <c r="P51" i="11" s="1"/>
  <c r="P52" i="11" s="1"/>
  <c r="P53" i="11" s="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AB129" i="9"/>
  <c r="B11" i="9"/>
  <c r="B12" i="9" s="1"/>
  <c r="B22" i="9"/>
  <c r="B34" i="9" s="1"/>
  <c r="B46" i="9" s="1"/>
  <c r="B58" i="9" s="1"/>
  <c r="B70" i="9" s="1"/>
  <c r="B82" i="9" s="1"/>
  <c r="B94" i="9" s="1"/>
  <c r="B106" i="9" s="1"/>
  <c r="B118" i="9" s="1"/>
  <c r="B130" i="9" s="1"/>
  <c r="BF8" i="8"/>
  <c r="BH8" i="8"/>
  <c r="AL9" i="8"/>
  <c r="BF9" i="8" s="1"/>
  <c r="BH9" i="8" s="1"/>
  <c r="N76" i="6"/>
  <c r="B27" i="16"/>
  <c r="B39" i="16" s="1"/>
  <c r="B51" i="16" s="1"/>
  <c r="B63" i="16" s="1"/>
  <c r="B75" i="16" s="1"/>
  <c r="B87" i="16" s="1"/>
  <c r="AX154" i="15"/>
  <c r="G11" i="11"/>
  <c r="E12" i="11"/>
  <c r="Q10" i="1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CK31" i="14"/>
  <c r="CM31" i="14" s="1"/>
  <c r="CO31" i="14" s="1"/>
  <c r="CP31" i="14" s="1"/>
  <c r="B29" i="15"/>
  <c r="B41" i="15"/>
  <c r="B53" i="15" s="1"/>
  <c r="B65" i="15" s="1"/>
  <c r="B77" i="15" s="1"/>
  <c r="B89" i="15" s="1"/>
  <c r="B101" i="15" s="1"/>
  <c r="B113" i="15" s="1"/>
  <c r="B125" i="15" s="1"/>
  <c r="B137" i="15" s="1"/>
  <c r="B149" i="15" s="1"/>
  <c r="B6" i="15"/>
  <c r="AM6" i="7"/>
  <c r="AN6" i="7" s="1"/>
  <c r="E10" i="5" s="1"/>
  <c r="AG69" i="8"/>
  <c r="BI69" i="8" s="1"/>
  <c r="BJ69" i="8" s="1"/>
  <c r="BK69" i="8" s="1"/>
  <c r="N60" i="14"/>
  <c r="F51" i="16"/>
  <c r="G50" i="16"/>
  <c r="AR94" i="14"/>
  <c r="L11" i="9"/>
  <c r="L12" i="9" s="1"/>
  <c r="B23" i="11"/>
  <c r="B35" i="11"/>
  <c r="B47" i="11" s="1"/>
  <c r="B59" i="11" s="1"/>
  <c r="B71" i="11" s="1"/>
  <c r="B83" i="11" s="1"/>
  <c r="B95" i="11" s="1"/>
  <c r="B107" i="11" s="1"/>
  <c r="B119" i="11" s="1"/>
  <c r="B131" i="11" s="1"/>
  <c r="BL6" i="8"/>
  <c r="J33" i="5" s="1"/>
  <c r="B30" i="15"/>
  <c r="B42" i="15" s="1"/>
  <c r="B54" i="15" s="1"/>
  <c r="B66" i="15" s="1"/>
  <c r="B78" i="15" s="1"/>
  <c r="B90" i="15" s="1"/>
  <c r="B102" i="15" s="1"/>
  <c r="B114" i="15" s="1"/>
  <c r="B126" i="15" s="1"/>
  <c r="B138" i="15" s="1"/>
  <c r="B150" i="15" s="1"/>
  <c r="B7" i="15"/>
  <c r="B8" i="15" s="1"/>
  <c r="B9" i="15" s="1"/>
  <c r="B10" i="15" s="1"/>
  <c r="AH8" i="8"/>
  <c r="AJ9" i="8" s="1"/>
  <c r="H36" i="5" s="1"/>
  <c r="AD14" i="5"/>
  <c r="BQ7" i="7"/>
  <c r="BR7" i="7" s="1"/>
  <c r="BS7" i="7" s="1"/>
  <c r="AO7" i="7"/>
  <c r="D14" i="5" s="1"/>
  <c r="AX155" i="15"/>
  <c r="AL8" i="7"/>
  <c r="BQ8" i="7" s="1"/>
  <c r="BI8" i="8"/>
  <c r="BJ8" i="8" s="1"/>
  <c r="BK8" i="8" s="1"/>
  <c r="R11" i="11"/>
  <c r="R12" i="11" s="1"/>
  <c r="R13" i="11" s="1"/>
  <c r="R14" i="11" s="1"/>
  <c r="R15" i="11" s="1"/>
  <c r="R16" i="11" s="1"/>
  <c r="R17" i="11" s="1"/>
  <c r="R18" i="11" s="1"/>
  <c r="R19" i="11" s="1"/>
  <c r="R20" i="11" s="1"/>
  <c r="R21" i="11" s="1"/>
  <c r="R22" i="11" s="1"/>
  <c r="R23" i="11" s="1"/>
  <c r="R24" i="11" s="1"/>
  <c r="R25" i="11" s="1"/>
  <c r="R26" i="11" s="1"/>
  <c r="R27" i="11" s="1"/>
  <c r="R28" i="11" s="1"/>
  <c r="R29" i="11" s="1"/>
  <c r="R30" i="11" s="1"/>
  <c r="R31" i="11" s="1"/>
  <c r="R32" i="11" s="1"/>
  <c r="R33" i="11" s="1"/>
  <c r="R34" i="11" s="1"/>
  <c r="R35" i="11" s="1"/>
  <c r="R36" i="11" s="1"/>
  <c r="R37" i="11" s="1"/>
  <c r="R38" i="11" s="1"/>
  <c r="R39" i="11" s="1"/>
  <c r="R40" i="11" s="1"/>
  <c r="R41" i="11" s="1"/>
  <c r="R42" i="11" s="1"/>
  <c r="R43" i="11" s="1"/>
  <c r="R44" i="11" s="1"/>
  <c r="R45" i="11" s="1"/>
  <c r="R46" i="11" s="1"/>
  <c r="R47" i="11" s="1"/>
  <c r="R48" i="11" s="1"/>
  <c r="R49" i="11" s="1"/>
  <c r="R50" i="11" s="1"/>
  <c r="R51" i="11" s="1"/>
  <c r="R52" i="11" s="1"/>
  <c r="R53" i="11" s="1"/>
  <c r="R54" i="11" s="1"/>
  <c r="R55" i="11" s="1"/>
  <c r="R56" i="11" s="1"/>
  <c r="R57" i="11" s="1"/>
  <c r="R58" i="11" s="1"/>
  <c r="R59" i="11" s="1"/>
  <c r="R60" i="11" s="1"/>
  <c r="R61" i="11" s="1"/>
  <c r="R62" i="11" s="1"/>
  <c r="R63" i="11" s="1"/>
  <c r="R64" i="11" s="1"/>
  <c r="R65" i="11" s="1"/>
  <c r="R66" i="11" s="1"/>
  <c r="R67" i="11" s="1"/>
  <c r="R68" i="11" s="1"/>
  <c r="R69" i="11" s="1"/>
  <c r="R70" i="11" s="1"/>
  <c r="R71" i="11" s="1"/>
  <c r="R72" i="11" s="1"/>
  <c r="R73" i="11" s="1"/>
  <c r="R74" i="11" s="1"/>
  <c r="R75" i="11" s="1"/>
  <c r="R76" i="11" s="1"/>
  <c r="R77" i="11" s="1"/>
  <c r="R78" i="11" s="1"/>
  <c r="R79" i="11" s="1"/>
  <c r="R80" i="11" s="1"/>
  <c r="R81" i="11" s="1"/>
  <c r="R82" i="11" s="1"/>
  <c r="R83" i="11" s="1"/>
  <c r="R84" i="11" s="1"/>
  <c r="R85" i="11" s="1"/>
  <c r="R86" i="11" s="1"/>
  <c r="R87" i="11" s="1"/>
  <c r="R88" i="11" s="1"/>
  <c r="R89" i="11" s="1"/>
  <c r="R90" i="11" s="1"/>
  <c r="R91" i="11" s="1"/>
  <c r="R92" i="11" s="1"/>
  <c r="R93" i="11" s="1"/>
  <c r="R94" i="11" s="1"/>
  <c r="R95" i="11" s="1"/>
  <c r="R96" i="11" s="1"/>
  <c r="R97" i="11" s="1"/>
  <c r="R98" i="11" s="1"/>
  <c r="R99" i="11" s="1"/>
  <c r="R100" i="11" s="1"/>
  <c r="R101" i="11" s="1"/>
  <c r="R102" i="11" s="1"/>
  <c r="R103" i="11" s="1"/>
  <c r="R104" i="11" s="1"/>
  <c r="R105" i="11" s="1"/>
  <c r="R106" i="11" s="1"/>
  <c r="R107" i="11" s="1"/>
  <c r="R108" i="11" s="1"/>
  <c r="R109" i="11" s="1"/>
  <c r="R110" i="11" s="1"/>
  <c r="R111" i="11" s="1"/>
  <c r="R112" i="11" s="1"/>
  <c r="R113" i="11" s="1"/>
  <c r="R114" i="11" s="1"/>
  <c r="R115" i="11" s="1"/>
  <c r="R116" i="11" s="1"/>
  <c r="R117" i="11" s="1"/>
  <c r="R118" i="11" s="1"/>
  <c r="R119" i="11" s="1"/>
  <c r="R120" i="11" s="1"/>
  <c r="R121" i="11" s="1"/>
  <c r="R122" i="11" s="1"/>
  <c r="R123" i="11" s="1"/>
  <c r="R124" i="11" s="1"/>
  <c r="R125" i="11" s="1"/>
  <c r="R126" i="11" s="1"/>
  <c r="R127" i="11" s="1"/>
  <c r="R128" i="11" s="1"/>
  <c r="R129" i="11" s="1"/>
  <c r="R130" i="11" s="1"/>
  <c r="B28" i="16"/>
  <c r="B40" i="16" s="1"/>
  <c r="B52" i="16" s="1"/>
  <c r="B64" i="16" s="1"/>
  <c r="B76" i="16" s="1"/>
  <c r="B88" i="16" s="1"/>
  <c r="B17" i="17"/>
  <c r="B29" i="17"/>
  <c r="B41" i="17" s="1"/>
  <c r="BT6" i="7"/>
  <c r="F10" i="5"/>
  <c r="BT5" i="7"/>
  <c r="F9" i="5" s="1"/>
  <c r="AF9" i="5" s="1"/>
  <c r="AI7" i="8"/>
  <c r="I34" i="5"/>
  <c r="AJ8" i="8"/>
  <c r="H35" i="5" s="1"/>
  <c r="G12" i="11"/>
  <c r="E13" i="11"/>
  <c r="AB130" i="9"/>
  <c r="AL10" i="8"/>
  <c r="AL11" i="8" s="1"/>
  <c r="N10" i="8"/>
  <c r="AG10" i="8" s="1"/>
  <c r="B23" i="9"/>
  <c r="B35" i="9" s="1"/>
  <c r="B47" i="9" s="1"/>
  <c r="B59" i="9" s="1"/>
  <c r="B71" i="9" s="1"/>
  <c r="B83" i="9" s="1"/>
  <c r="B95" i="9" s="1"/>
  <c r="B107" i="9" s="1"/>
  <c r="B119" i="9" s="1"/>
  <c r="B131" i="9" s="1"/>
  <c r="AQ9" i="7"/>
  <c r="BN8" i="7"/>
  <c r="BP8" i="7" s="1"/>
  <c r="P7" i="6"/>
  <c r="G51" i="16"/>
  <c r="N61" i="14"/>
  <c r="F52" i="16"/>
  <c r="B24" i="11"/>
  <c r="B36" i="11" s="1"/>
  <c r="B48" i="11" s="1"/>
  <c r="B60" i="11" s="1"/>
  <c r="B72" i="11" s="1"/>
  <c r="B84" i="11" s="1"/>
  <c r="B96" i="11" s="1"/>
  <c r="B108" i="11" s="1"/>
  <c r="B120" i="11" s="1"/>
  <c r="B132" i="11" s="1"/>
  <c r="AB11" i="9"/>
  <c r="B31" i="15"/>
  <c r="B43" i="15"/>
  <c r="B55" i="15" s="1"/>
  <c r="B67" i="15" s="1"/>
  <c r="B79" i="15" s="1"/>
  <c r="B91" i="15" s="1"/>
  <c r="B103" i="15" s="1"/>
  <c r="B115" i="15" s="1"/>
  <c r="B127" i="15" s="1"/>
  <c r="B139" i="15" s="1"/>
  <c r="B151" i="15" s="1"/>
  <c r="N11" i="8"/>
  <c r="AG11" i="8" s="1"/>
  <c r="B6" i="16"/>
  <c r="B7" i="16" s="1"/>
  <c r="B17" i="16"/>
  <c r="B29" i="16" s="1"/>
  <c r="B41" i="16" s="1"/>
  <c r="B53" i="16" s="1"/>
  <c r="B65" i="16" s="1"/>
  <c r="B77" i="16" s="1"/>
  <c r="B89" i="16" s="1"/>
  <c r="BF10" i="8"/>
  <c r="BH10" i="8" s="1"/>
  <c r="AX156" i="15"/>
  <c r="B18" i="17"/>
  <c r="B30" i="17" s="1"/>
  <c r="B42" i="17" s="1"/>
  <c r="AD15" i="5"/>
  <c r="E14" i="11"/>
  <c r="G13" i="11"/>
  <c r="U14" i="11" s="1"/>
  <c r="U15" i="11" s="1"/>
  <c r="U16" i="11" s="1"/>
  <c r="U17" i="11" s="1"/>
  <c r="U18" i="11" s="1"/>
  <c r="U19" i="11" s="1"/>
  <c r="U20" i="11" s="1"/>
  <c r="U21" i="11" s="1"/>
  <c r="U22" i="11" s="1"/>
  <c r="U23" i="11" s="1"/>
  <c r="U24" i="11" s="1"/>
  <c r="U25" i="11" s="1"/>
  <c r="U26" i="11" s="1"/>
  <c r="U27" i="11" s="1"/>
  <c r="U28" i="11" s="1"/>
  <c r="U29" i="11" s="1"/>
  <c r="U30" i="11" s="1"/>
  <c r="U31" i="11" s="1"/>
  <c r="U32" i="11" s="1"/>
  <c r="U33" i="11" s="1"/>
  <c r="U34" i="11" s="1"/>
  <c r="U35" i="11" s="1"/>
  <c r="U36" i="11" s="1"/>
  <c r="U37" i="11" s="1"/>
  <c r="U38" i="11" s="1"/>
  <c r="U39" i="11" s="1"/>
  <c r="U40" i="11" s="1"/>
  <c r="U41" i="11" s="1"/>
  <c r="U42" i="11" s="1"/>
  <c r="U43" i="11" s="1"/>
  <c r="U44" i="11" s="1"/>
  <c r="U45" i="11" s="1"/>
  <c r="U46" i="11" s="1"/>
  <c r="U47" i="11" s="1"/>
  <c r="U48" i="11" s="1"/>
  <c r="U49" i="11" s="1"/>
  <c r="U50" i="11" s="1"/>
  <c r="U51" i="11" s="1"/>
  <c r="U52" i="11" s="1"/>
  <c r="U53" i="11" s="1"/>
  <c r="U54" i="11" s="1"/>
  <c r="U55" i="11" s="1"/>
  <c r="U56" i="11" s="1"/>
  <c r="U57" i="11" s="1"/>
  <c r="U58" i="11" s="1"/>
  <c r="U59" i="11" s="1"/>
  <c r="U60" i="11" s="1"/>
  <c r="U61" i="11" s="1"/>
  <c r="U62" i="11" s="1"/>
  <c r="U63" i="11" s="1"/>
  <c r="U64" i="11" s="1"/>
  <c r="U65" i="11" s="1"/>
  <c r="U66" i="11" s="1"/>
  <c r="U67" i="11" s="1"/>
  <c r="U68" i="11" s="1"/>
  <c r="U69" i="11" s="1"/>
  <c r="U70" i="11" s="1"/>
  <c r="U71" i="11" s="1"/>
  <c r="U72" i="11" s="1"/>
  <c r="U73" i="11" s="1"/>
  <c r="U74" i="11" s="1"/>
  <c r="U75" i="11" s="1"/>
  <c r="U76" i="11" s="1"/>
  <c r="U77" i="11" s="1"/>
  <c r="U78" i="11" s="1"/>
  <c r="U79" i="11" s="1"/>
  <c r="U80" i="11" s="1"/>
  <c r="U81" i="11" s="1"/>
  <c r="U82" i="11" s="1"/>
  <c r="U83" i="11" s="1"/>
  <c r="U84" i="11" s="1"/>
  <c r="U85" i="11" s="1"/>
  <c r="U86" i="11" s="1"/>
  <c r="U87" i="11" s="1"/>
  <c r="U88" i="11" s="1"/>
  <c r="U89" i="11" s="1"/>
  <c r="U90" i="11" s="1"/>
  <c r="U91" i="11" s="1"/>
  <c r="U92" i="11" s="1"/>
  <c r="U93" i="11" s="1"/>
  <c r="U94" i="11" s="1"/>
  <c r="U95" i="11" s="1"/>
  <c r="U96" i="11" s="1"/>
  <c r="U97" i="11" s="1"/>
  <c r="U98" i="11" s="1"/>
  <c r="U99" i="11" s="1"/>
  <c r="U100" i="11" s="1"/>
  <c r="U101" i="11" s="1"/>
  <c r="U102" i="11" s="1"/>
  <c r="U103" i="11" s="1"/>
  <c r="U104" i="11" s="1"/>
  <c r="U105" i="11" s="1"/>
  <c r="U106" i="11" s="1"/>
  <c r="U107" i="11" s="1"/>
  <c r="U108" i="11" s="1"/>
  <c r="U109" i="11" s="1"/>
  <c r="U110" i="11" s="1"/>
  <c r="U111" i="11" s="1"/>
  <c r="U112" i="11" s="1"/>
  <c r="U113" i="11" s="1"/>
  <c r="U114" i="11" s="1"/>
  <c r="U115" i="11" s="1"/>
  <c r="U116" i="11" s="1"/>
  <c r="U117" i="11" s="1"/>
  <c r="U118" i="11" s="1"/>
  <c r="U119" i="11" s="1"/>
  <c r="U120" i="11" s="1"/>
  <c r="U121" i="11" s="1"/>
  <c r="U122" i="11" s="1"/>
  <c r="U123" i="11" s="1"/>
  <c r="U124" i="11" s="1"/>
  <c r="U125" i="11" s="1"/>
  <c r="U126" i="11" s="1"/>
  <c r="U127" i="11" s="1"/>
  <c r="U128" i="11" s="1"/>
  <c r="U129" i="11" s="1"/>
  <c r="U130" i="11" s="1"/>
  <c r="U131" i="11" s="1"/>
  <c r="U132" i="11" s="1"/>
  <c r="U133" i="11" s="1"/>
  <c r="AF10" i="5"/>
  <c r="AI8" i="8"/>
  <c r="I35" i="5" s="1"/>
  <c r="AQ10" i="7"/>
  <c r="AQ11" i="7" s="1"/>
  <c r="BN9" i="7"/>
  <c r="BP9" i="7" s="1"/>
  <c r="AB131" i="9"/>
  <c r="S12" i="11"/>
  <c r="S13" i="11" s="1"/>
  <c r="S14" i="11" s="1"/>
  <c r="S15" i="11" s="1"/>
  <c r="S16" i="11" s="1"/>
  <c r="S17" i="11" s="1"/>
  <c r="S18" i="11" s="1"/>
  <c r="S19" i="11" s="1"/>
  <c r="S20" i="11" s="1"/>
  <c r="S21" i="11" s="1"/>
  <c r="S22" i="11" s="1"/>
  <c r="S23" i="11" s="1"/>
  <c r="S24" i="11" s="1"/>
  <c r="S25" i="11" s="1"/>
  <c r="S26" i="11" s="1"/>
  <c r="S27" i="11" s="1"/>
  <c r="S28" i="11" s="1"/>
  <c r="S29" i="11" s="1"/>
  <c r="S30" i="11" s="1"/>
  <c r="S31" i="11" s="1"/>
  <c r="S32" i="11" s="1"/>
  <c r="S33" i="11" s="1"/>
  <c r="S34" i="11" s="1"/>
  <c r="S35" i="11" s="1"/>
  <c r="S36" i="11" s="1"/>
  <c r="S37" i="11" s="1"/>
  <c r="S38" i="11" s="1"/>
  <c r="S39" i="11" s="1"/>
  <c r="S40" i="11" s="1"/>
  <c r="S41" i="11" s="1"/>
  <c r="S42" i="11" s="1"/>
  <c r="S43" i="11" s="1"/>
  <c r="S44" i="11" s="1"/>
  <c r="S45" i="11" s="1"/>
  <c r="S46" i="11" s="1"/>
  <c r="S47" i="11" s="1"/>
  <c r="S48" i="11" s="1"/>
  <c r="S49" i="11" s="1"/>
  <c r="S50" i="11" s="1"/>
  <c r="S51" i="11" s="1"/>
  <c r="S52" i="11" s="1"/>
  <c r="S53" i="11" s="1"/>
  <c r="S54" i="11" s="1"/>
  <c r="S55" i="11" s="1"/>
  <c r="S56" i="11" s="1"/>
  <c r="S57" i="11" s="1"/>
  <c r="S58" i="11" s="1"/>
  <c r="S59" i="11" s="1"/>
  <c r="S60" i="11" s="1"/>
  <c r="S61" i="11" s="1"/>
  <c r="S62" i="11" s="1"/>
  <c r="S63" i="11" s="1"/>
  <c r="S64" i="11" s="1"/>
  <c r="S65" i="11" s="1"/>
  <c r="S66" i="11" s="1"/>
  <c r="S67" i="11" s="1"/>
  <c r="S68" i="11" s="1"/>
  <c r="S69" i="11" s="1"/>
  <c r="S70" i="11" s="1"/>
  <c r="S71" i="11" s="1"/>
  <c r="S72" i="11" s="1"/>
  <c r="S73" i="11" s="1"/>
  <c r="S74" i="11" s="1"/>
  <c r="S75" i="11" s="1"/>
  <c r="S76" i="11" s="1"/>
  <c r="S77" i="11" s="1"/>
  <c r="S78" i="11" s="1"/>
  <c r="S79" i="11" s="1"/>
  <c r="S80" i="11" s="1"/>
  <c r="S81" i="11" s="1"/>
  <c r="S82" i="11" s="1"/>
  <c r="S83" i="11" s="1"/>
  <c r="S84" i="11" s="1"/>
  <c r="S85" i="11" s="1"/>
  <c r="S86" i="11" s="1"/>
  <c r="S87" i="11" s="1"/>
  <c r="S88" i="11" s="1"/>
  <c r="S89" i="11" s="1"/>
  <c r="S90" i="11" s="1"/>
  <c r="S91" i="11" s="1"/>
  <c r="S92" i="11" s="1"/>
  <c r="S93" i="11" s="1"/>
  <c r="S94" i="11" s="1"/>
  <c r="S95" i="11" s="1"/>
  <c r="S96" i="11" s="1"/>
  <c r="S97" i="11" s="1"/>
  <c r="S98" i="11" s="1"/>
  <c r="S99" i="11" s="1"/>
  <c r="S100" i="11" s="1"/>
  <c r="S101" i="11" s="1"/>
  <c r="S102" i="11" s="1"/>
  <c r="S103" i="11" s="1"/>
  <c r="S104" i="11" s="1"/>
  <c r="S105" i="11" s="1"/>
  <c r="S106" i="11" s="1"/>
  <c r="S107" i="11" s="1"/>
  <c r="S108" i="11" s="1"/>
  <c r="S109" i="11" s="1"/>
  <c r="S110" i="11" s="1"/>
  <c r="S111" i="11" s="1"/>
  <c r="S112" i="11" s="1"/>
  <c r="S113" i="11" s="1"/>
  <c r="S114" i="11" s="1"/>
  <c r="S115" i="11" s="1"/>
  <c r="S116" i="11" s="1"/>
  <c r="S117" i="11" s="1"/>
  <c r="S118" i="11" s="1"/>
  <c r="S119" i="11" s="1"/>
  <c r="S120" i="11" s="1"/>
  <c r="S121" i="11" s="1"/>
  <c r="S122" i="11" s="1"/>
  <c r="S123" i="11" s="1"/>
  <c r="S124" i="11" s="1"/>
  <c r="S125" i="11" s="1"/>
  <c r="S126" i="11" s="1"/>
  <c r="S127" i="11" s="1"/>
  <c r="S128" i="11" s="1"/>
  <c r="S129" i="11" s="1"/>
  <c r="S130" i="11" s="1"/>
  <c r="S131" i="11" s="1"/>
  <c r="N62" i="14"/>
  <c r="F53" i="16"/>
  <c r="G53" i="16"/>
  <c r="G52" i="16"/>
  <c r="AI10" i="5"/>
  <c r="B25" i="11"/>
  <c r="B37" i="11"/>
  <c r="B49" i="11" s="1"/>
  <c r="B61" i="11" s="1"/>
  <c r="B73" i="11" s="1"/>
  <c r="B85" i="11" s="1"/>
  <c r="B97" i="11" s="1"/>
  <c r="B109" i="11" s="1"/>
  <c r="B121" i="11" s="1"/>
  <c r="B133" i="11" s="1"/>
  <c r="T13" i="11"/>
  <c r="T14" i="11" s="1"/>
  <c r="T15" i="11" s="1"/>
  <c r="T16" i="11" s="1"/>
  <c r="T17" i="11" s="1"/>
  <c r="T18" i="11" s="1"/>
  <c r="T19" i="11" s="1"/>
  <c r="T20" i="11" s="1"/>
  <c r="T21" i="11" s="1"/>
  <c r="T22" i="11" s="1"/>
  <c r="T23" i="11" s="1"/>
  <c r="T24" i="11" s="1"/>
  <c r="T25" i="11" s="1"/>
  <c r="T26" i="11" s="1"/>
  <c r="T27" i="11" s="1"/>
  <c r="T28" i="11" s="1"/>
  <c r="T29" i="11" s="1"/>
  <c r="T30" i="11" s="1"/>
  <c r="T31" i="11" s="1"/>
  <c r="T32" i="11" s="1"/>
  <c r="T33" i="11" s="1"/>
  <c r="T34" i="11" s="1"/>
  <c r="T35" i="11" s="1"/>
  <c r="T36" i="11" s="1"/>
  <c r="T37" i="11" s="1"/>
  <c r="T38" i="11" s="1"/>
  <c r="T39" i="11" s="1"/>
  <c r="T40" i="11" s="1"/>
  <c r="T41" i="11" s="1"/>
  <c r="T42" i="11" s="1"/>
  <c r="T43" i="11" s="1"/>
  <c r="T44" i="11" s="1"/>
  <c r="T45" i="11" s="1"/>
  <c r="T46" i="11" s="1"/>
  <c r="T47" i="11" s="1"/>
  <c r="T48" i="11" s="1"/>
  <c r="T49" i="11" s="1"/>
  <c r="T50" i="11" s="1"/>
  <c r="T51" i="11" s="1"/>
  <c r="T52" i="11" s="1"/>
  <c r="T53" i="11" s="1"/>
  <c r="T54" i="11" s="1"/>
  <c r="T55" i="11" s="1"/>
  <c r="T56" i="11" s="1"/>
  <c r="T57" i="11" s="1"/>
  <c r="T58" i="11" s="1"/>
  <c r="T59" i="11" s="1"/>
  <c r="T60" i="11" s="1"/>
  <c r="T61" i="11" s="1"/>
  <c r="T62" i="11" s="1"/>
  <c r="T63" i="11" s="1"/>
  <c r="T64" i="11" s="1"/>
  <c r="T65" i="11" s="1"/>
  <c r="T66" i="11" s="1"/>
  <c r="T67" i="11" s="1"/>
  <c r="T68" i="11" s="1"/>
  <c r="T69" i="11" s="1"/>
  <c r="T70" i="11" s="1"/>
  <c r="T71" i="11" s="1"/>
  <c r="T72" i="11" s="1"/>
  <c r="T73" i="11" s="1"/>
  <c r="T74" i="11" s="1"/>
  <c r="T75" i="11" s="1"/>
  <c r="T76" i="11" s="1"/>
  <c r="T77" i="11" s="1"/>
  <c r="T78" i="11" s="1"/>
  <c r="T79" i="11" s="1"/>
  <c r="T80" i="11" s="1"/>
  <c r="T81" i="11" s="1"/>
  <c r="T82" i="11" s="1"/>
  <c r="T83" i="11" s="1"/>
  <c r="T84" i="11" s="1"/>
  <c r="T85" i="11" s="1"/>
  <c r="T86" i="11" s="1"/>
  <c r="T87" i="11" s="1"/>
  <c r="T88" i="11" s="1"/>
  <c r="T89" i="11" s="1"/>
  <c r="T90" i="11" s="1"/>
  <c r="T91" i="11" s="1"/>
  <c r="T92" i="11" s="1"/>
  <c r="T93" i="11" s="1"/>
  <c r="T94" i="11" s="1"/>
  <c r="T95" i="11" s="1"/>
  <c r="T96" i="11" s="1"/>
  <c r="T97" i="11" s="1"/>
  <c r="T98" i="11" s="1"/>
  <c r="T99" i="11" s="1"/>
  <c r="T100" i="11" s="1"/>
  <c r="T101" i="11" s="1"/>
  <c r="T102" i="11" s="1"/>
  <c r="T103" i="11" s="1"/>
  <c r="T104" i="11" s="1"/>
  <c r="T105" i="11" s="1"/>
  <c r="T106" i="11" s="1"/>
  <c r="T107" i="11" s="1"/>
  <c r="T108" i="11" s="1"/>
  <c r="T109" i="11" s="1"/>
  <c r="T110" i="11" s="1"/>
  <c r="T111" i="11" s="1"/>
  <c r="T112" i="11" s="1"/>
  <c r="T113" i="11" s="1"/>
  <c r="T114" i="11" s="1"/>
  <c r="T115" i="11" s="1"/>
  <c r="T116" i="11" s="1"/>
  <c r="T117" i="11" s="1"/>
  <c r="T118" i="11" s="1"/>
  <c r="T119" i="11" s="1"/>
  <c r="T120" i="11" s="1"/>
  <c r="T121" i="11" s="1"/>
  <c r="T122" i="11" s="1"/>
  <c r="T123" i="11" s="1"/>
  <c r="T124" i="11" s="1"/>
  <c r="T125" i="11" s="1"/>
  <c r="T126" i="11" s="1"/>
  <c r="T127" i="11" s="1"/>
  <c r="T128" i="11" s="1"/>
  <c r="T129" i="11" s="1"/>
  <c r="T130" i="11" s="1"/>
  <c r="T131" i="11" s="1"/>
  <c r="T132" i="11" s="1"/>
  <c r="AX5" i="15"/>
  <c r="AG11" i="5"/>
  <c r="AX132" i="15"/>
  <c r="K18" i="15"/>
  <c r="M18" i="15" s="1"/>
  <c r="K13" i="15"/>
  <c r="M13" i="15" s="1"/>
  <c r="K17" i="15"/>
  <c r="M17" i="15" s="1"/>
  <c r="K10" i="15"/>
  <c r="M10" i="15" s="1"/>
  <c r="K27" i="15"/>
  <c r="M27" i="15" s="1"/>
  <c r="K21" i="15"/>
  <c r="M21" i="15" s="1"/>
  <c r="K12" i="15"/>
  <c r="M12" i="15" s="1"/>
  <c r="K20" i="15"/>
  <c r="M20" i="15" s="1"/>
  <c r="K16" i="15"/>
  <c r="M16" i="15" s="1"/>
  <c r="K8" i="15"/>
  <c r="M8" i="15" s="1"/>
  <c r="K9" i="15"/>
  <c r="M9" i="15" s="1"/>
  <c r="K6" i="15"/>
  <c r="M6" i="15" s="1"/>
  <c r="K28" i="15"/>
  <c r="M28" i="15" s="1"/>
  <c r="K15" i="15"/>
  <c r="M15" i="15" s="1"/>
  <c r="K14" i="15"/>
  <c r="M14" i="15"/>
  <c r="BR80" i="5" s="1"/>
  <c r="K24" i="15"/>
  <c r="M24" i="15" s="1"/>
  <c r="K22" i="15"/>
  <c r="M22" i="15"/>
  <c r="K26" i="15"/>
  <c r="M26" i="15" s="1"/>
  <c r="K19" i="15"/>
  <c r="M19" i="15"/>
  <c r="K23" i="15"/>
  <c r="M23" i="15" s="1"/>
  <c r="K7" i="15"/>
  <c r="M7" i="15"/>
  <c r="BS70" i="5" s="1"/>
  <c r="K25" i="15"/>
  <c r="M25" i="15" s="1"/>
  <c r="K5" i="15"/>
  <c r="M5" i="15"/>
  <c r="K11" i="15"/>
  <c r="M11" i="15" s="1"/>
  <c r="N12" i="8"/>
  <c r="AG12" i="8" s="1"/>
  <c r="B32" i="15"/>
  <c r="B44" i="15" s="1"/>
  <c r="B56" i="15" s="1"/>
  <c r="B68" i="15" s="1"/>
  <c r="B80" i="15" s="1"/>
  <c r="B92" i="15" s="1"/>
  <c r="B104" i="15" s="1"/>
  <c r="B116" i="15" s="1"/>
  <c r="B128" i="15" s="1"/>
  <c r="B140" i="15" s="1"/>
  <c r="B152" i="15" s="1"/>
  <c r="G14" i="11"/>
  <c r="E15" i="11"/>
  <c r="G15" i="11" s="1"/>
  <c r="J8" i="16"/>
  <c r="L8" i="16" s="1"/>
  <c r="AB132" i="9"/>
  <c r="BN10" i="7"/>
  <c r="BP10" i="7" s="1"/>
  <c r="B19" i="17"/>
  <c r="B31" i="17" s="1"/>
  <c r="B43" i="17" s="1"/>
  <c r="B18" i="16"/>
  <c r="B30" i="16" s="1"/>
  <c r="B42" i="16" s="1"/>
  <c r="B54" i="16" s="1"/>
  <c r="B66" i="16" s="1"/>
  <c r="B78" i="16" s="1"/>
  <c r="B90" i="16" s="1"/>
  <c r="AH11" i="5"/>
  <c r="N63" i="14"/>
  <c r="N64" i="14" s="1"/>
  <c r="F54" i="16"/>
  <c r="F55" i="16" s="1"/>
  <c r="BS68" i="5"/>
  <c r="BR68" i="5"/>
  <c r="J6" i="16"/>
  <c r="L6" i="16" s="1"/>
  <c r="J14" i="16"/>
  <c r="L14" i="16" s="1"/>
  <c r="J16" i="16"/>
  <c r="L16" i="16"/>
  <c r="J15" i="16"/>
  <c r="L15" i="16"/>
  <c r="J17" i="16"/>
  <c r="J18" i="16" s="1"/>
  <c r="B26" i="11"/>
  <c r="B38" i="11"/>
  <c r="B50" i="11"/>
  <c r="B62" i="11" s="1"/>
  <c r="B74" i="11" s="1"/>
  <c r="B86" i="11" s="1"/>
  <c r="B98" i="11" s="1"/>
  <c r="B110" i="11" s="1"/>
  <c r="B122" i="11" s="1"/>
  <c r="B134" i="11" s="1"/>
  <c r="B20" i="17"/>
  <c r="B32" i="17" s="1"/>
  <c r="B44" i="17" s="1"/>
  <c r="J7" i="16"/>
  <c r="L7" i="16" s="1"/>
  <c r="B33" i="15"/>
  <c r="B45" i="15" s="1"/>
  <c r="B57" i="15" s="1"/>
  <c r="B69" i="15" s="1"/>
  <c r="B81" i="15" s="1"/>
  <c r="B93" i="15" s="1"/>
  <c r="B105" i="15" s="1"/>
  <c r="B117" i="15" s="1"/>
  <c r="B129" i="15" s="1"/>
  <c r="B141" i="15" s="1"/>
  <c r="B153" i="15" s="1"/>
  <c r="B34" i="15"/>
  <c r="B46" i="15" s="1"/>
  <c r="B58" i="15" s="1"/>
  <c r="B70" i="15" s="1"/>
  <c r="B82" i="15" s="1"/>
  <c r="B94" i="15" s="1"/>
  <c r="B106" i="15" s="1"/>
  <c r="B118" i="15" s="1"/>
  <c r="B130" i="15" s="1"/>
  <c r="B142" i="15" s="1"/>
  <c r="B154" i="15" s="1"/>
  <c r="AX6" i="15"/>
  <c r="J9" i="16"/>
  <c r="L9" i="16" s="1"/>
  <c r="J13" i="16"/>
  <c r="L13" i="16" s="1"/>
  <c r="J12" i="16"/>
  <c r="L12" i="16"/>
  <c r="J5" i="16"/>
  <c r="L5" i="16"/>
  <c r="J10" i="16"/>
  <c r="L10" i="16" s="1"/>
  <c r="N13" i="8"/>
  <c r="N14" i="8" s="1"/>
  <c r="AB133" i="9"/>
  <c r="J11" i="16"/>
  <c r="L11" i="16" s="1"/>
  <c r="AX133" i="15"/>
  <c r="AW5" i="16"/>
  <c r="G54" i="16"/>
  <c r="B28" i="11"/>
  <c r="B40" i="11" s="1"/>
  <c r="B52" i="11" s="1"/>
  <c r="B64" i="11" s="1"/>
  <c r="B76" i="11" s="1"/>
  <c r="B88" i="11" s="1"/>
  <c r="B100" i="11" s="1"/>
  <c r="B112" i="11" s="1"/>
  <c r="B124" i="11" s="1"/>
  <c r="B136" i="11" s="1"/>
  <c r="B27" i="11"/>
  <c r="B39" i="11"/>
  <c r="B51" i="11" s="1"/>
  <c r="B63" i="11" s="1"/>
  <c r="B75" i="11" s="1"/>
  <c r="B87" i="11" s="1"/>
  <c r="B99" i="11" s="1"/>
  <c r="B111" i="11" s="1"/>
  <c r="B123" i="11" s="1"/>
  <c r="B135" i="11" s="1"/>
  <c r="AW5" i="14"/>
  <c r="AX7" i="15"/>
  <c r="AX134" i="15"/>
  <c r="AW6" i="16"/>
  <c r="AB134" i="9"/>
  <c r="AG13" i="8"/>
  <c r="AO40" i="5" s="1"/>
  <c r="B22" i="17"/>
  <c r="B34" i="17" s="1"/>
  <c r="B46" i="17" s="1"/>
  <c r="B21" i="17"/>
  <c r="B33" i="17" s="1"/>
  <c r="B45" i="17" s="1"/>
  <c r="CK5" i="14"/>
  <c r="V5" i="19"/>
  <c r="CK6" i="14"/>
  <c r="CM6" i="14"/>
  <c r="AW7" i="16"/>
  <c r="AW6" i="14"/>
  <c r="BM69" i="5" s="1"/>
  <c r="BM71" i="5" s="1"/>
  <c r="CM5" i="14"/>
  <c r="AB135" i="9"/>
  <c r="AX5" i="14"/>
  <c r="AE5" i="11"/>
  <c r="AX8" i="15"/>
  <c r="AX135" i="15"/>
  <c r="CN5" i="14"/>
  <c r="CO5" i="14" s="1"/>
  <c r="CP5" i="14" s="1"/>
  <c r="BM68" i="5"/>
  <c r="AB137" i="9"/>
  <c r="V6" i="19"/>
  <c r="W6" i="19" s="1"/>
  <c r="X6" i="19" s="1"/>
  <c r="W5" i="19"/>
  <c r="X5" i="19"/>
  <c r="J5" i="11"/>
  <c r="AX9" i="15"/>
  <c r="AE6" i="11"/>
  <c r="AZ6" i="14"/>
  <c r="AY5" i="14"/>
  <c r="AW7" i="14"/>
  <c r="AW8" i="16"/>
  <c r="CN6" i="14"/>
  <c r="CO6" i="14"/>
  <c r="CP6" i="14" s="1"/>
  <c r="AX6" i="14"/>
  <c r="CK7" i="14"/>
  <c r="AX136" i="15"/>
  <c r="AB136" i="9"/>
  <c r="AB138" i="9"/>
  <c r="V7" i="19"/>
  <c r="W7" i="19"/>
  <c r="X7" i="19"/>
  <c r="CN7" i="14"/>
  <c r="BM70" i="5"/>
  <c r="CM7" i="14"/>
  <c r="AW8" i="14"/>
  <c r="AZ7" i="14"/>
  <c r="AY6" i="14"/>
  <c r="Q69" i="5" s="1"/>
  <c r="AW9" i="16"/>
  <c r="AX10" i="15"/>
  <c r="J6" i="11"/>
  <c r="J7" i="11" s="1"/>
  <c r="L5" i="11"/>
  <c r="AE7" i="11"/>
  <c r="AX137" i="15"/>
  <c r="CK8" i="14"/>
  <c r="CM8" i="14"/>
  <c r="AJ41" i="17"/>
  <c r="Q68" i="5"/>
  <c r="P68" i="5"/>
  <c r="V8" i="19"/>
  <c r="W8" i="19"/>
  <c r="X8" i="19"/>
  <c r="AJ42" i="17"/>
  <c r="AX11" i="15"/>
  <c r="AE8" i="11"/>
  <c r="AW9" i="14"/>
  <c r="BM75" i="5" s="1"/>
  <c r="CN8" i="14"/>
  <c r="CO8" i="14" s="1"/>
  <c r="CP8" i="14" s="1"/>
  <c r="BM74" i="5"/>
  <c r="AX8" i="14"/>
  <c r="AZ9" i="14" s="1"/>
  <c r="AW10" i="16"/>
  <c r="CK9" i="14"/>
  <c r="CM9" i="14" s="1"/>
  <c r="BG47" i="5"/>
  <c r="AX138" i="15"/>
  <c r="CO7" i="14"/>
  <c r="V9" i="19"/>
  <c r="W9" i="19"/>
  <c r="X9" i="19"/>
  <c r="AE9" i="11"/>
  <c r="AX12" i="15"/>
  <c r="AW11" i="16"/>
  <c r="CK10" i="14"/>
  <c r="AW10" i="14"/>
  <c r="CN10" i="14" s="1"/>
  <c r="CO10" i="14" s="1"/>
  <c r="CP10" i="14" s="1"/>
  <c r="AY8" i="14"/>
  <c r="Q74" i="5" s="1"/>
  <c r="CP7" i="14"/>
  <c r="AX139" i="15"/>
  <c r="AJ43" i="17"/>
  <c r="V10" i="19"/>
  <c r="W10" i="19" s="1"/>
  <c r="X10" i="19" s="1"/>
  <c r="AW11" i="14"/>
  <c r="BM77" i="5" s="1"/>
  <c r="AX10" i="14"/>
  <c r="AZ11" i="14" s="1"/>
  <c r="P74" i="5"/>
  <c r="BH5" i="10"/>
  <c r="BI5" i="10"/>
  <c r="BJ5" i="10" s="1"/>
  <c r="BA47" i="5"/>
  <c r="AG6" i="10"/>
  <c r="AH6" i="10" s="1"/>
  <c r="AX140" i="15"/>
  <c r="AW12" i="16"/>
  <c r="AE10" i="11"/>
  <c r="CM10" i="14"/>
  <c r="AX13" i="15"/>
  <c r="AY10" i="14"/>
  <c r="Q76" i="5" s="1"/>
  <c r="V11" i="19"/>
  <c r="W11" i="19"/>
  <c r="X11" i="19" s="1"/>
  <c r="AX14" i="15"/>
  <c r="AW13" i="16"/>
  <c r="BH6" i="10"/>
  <c r="BI6" i="10"/>
  <c r="BJ6" i="10" s="1"/>
  <c r="BA48" i="5"/>
  <c r="AW12" i="14"/>
  <c r="AX141" i="15"/>
  <c r="AG7" i="10"/>
  <c r="BA49" i="5" s="1"/>
  <c r="AJ6" i="10"/>
  <c r="V12" i="19"/>
  <c r="L47" i="5"/>
  <c r="M47" i="5"/>
  <c r="BH7" i="10"/>
  <c r="BI7" i="10" s="1"/>
  <c r="BJ7" i="10" s="1"/>
  <c r="AX15" i="15"/>
  <c r="AG8" i="10"/>
  <c r="BH8" i="10" s="1"/>
  <c r="AW14" i="16"/>
  <c r="AX142" i="15"/>
  <c r="AW13" i="14"/>
  <c r="BM79" i="5" s="1"/>
  <c r="CN12" i="14"/>
  <c r="BM78" i="5"/>
  <c r="V13" i="19"/>
  <c r="W14" i="19" s="1"/>
  <c r="X14" i="19" s="1"/>
  <c r="W13" i="19"/>
  <c r="X13" i="19" s="1"/>
  <c r="AX16" i="15"/>
  <c r="AW15" i="16"/>
  <c r="AG9" i="10"/>
  <c r="AJ5" i="17"/>
  <c r="BA50" i="5"/>
  <c r="AH8" i="10"/>
  <c r="AJ9" i="10" s="1"/>
  <c r="AW14" i="14"/>
  <c r="AX143" i="15"/>
  <c r="V14" i="19"/>
  <c r="AX17" i="15"/>
  <c r="AG10" i="10"/>
  <c r="AW15" i="14"/>
  <c r="CN15" i="14" s="1"/>
  <c r="AX144" i="15"/>
  <c r="AI8" i="10"/>
  <c r="BH9" i="10"/>
  <c r="BA51" i="5"/>
  <c r="AJ6" i="17"/>
  <c r="CN14" i="14"/>
  <c r="BM80" i="5"/>
  <c r="AW16" i="16"/>
  <c r="V15" i="19"/>
  <c r="W15" i="19"/>
  <c r="X15" i="19"/>
  <c r="BM81" i="5"/>
  <c r="AJ7" i="17"/>
  <c r="M50" i="5"/>
  <c r="L50" i="5"/>
  <c r="AW16" i="14"/>
  <c r="AX145" i="15"/>
  <c r="K6" i="17"/>
  <c r="K7" i="17" s="1"/>
  <c r="M6" i="17"/>
  <c r="BH10" i="10"/>
  <c r="BA52" i="5"/>
  <c r="AH10" i="10"/>
  <c r="AX18" i="15"/>
  <c r="AW17" i="16"/>
  <c r="AG11" i="10"/>
  <c r="BH11" i="10" s="1"/>
  <c r="V16" i="19"/>
  <c r="W17" i="19" s="1"/>
  <c r="X17" i="19" s="1"/>
  <c r="W16" i="19"/>
  <c r="X16" i="19" s="1"/>
  <c r="AG12" i="10"/>
  <c r="CN16" i="14"/>
  <c r="BM82" i="5"/>
  <c r="AH11" i="10"/>
  <c r="AW17" i="14"/>
  <c r="AX18" i="14" s="1"/>
  <c r="AJ8" i="17"/>
  <c r="AW18" i="16"/>
  <c r="AX19" i="15"/>
  <c r="AX146" i="15"/>
  <c r="AJ11" i="10"/>
  <c r="AI10" i="10"/>
  <c r="M52" i="5" s="1"/>
  <c r="V17" i="19"/>
  <c r="AW19" i="16"/>
  <c r="AG13" i="10"/>
  <c r="AI11" i="10"/>
  <c r="L53" i="5" s="1"/>
  <c r="AJ12" i="10"/>
  <c r="AW18" i="14"/>
  <c r="AX20" i="15"/>
  <c r="AJ9" i="17"/>
  <c r="BH12" i="10"/>
  <c r="BA54" i="5"/>
  <c r="AX147" i="15"/>
  <c r="CN17" i="14"/>
  <c r="BM83" i="5"/>
  <c r="V18" i="19"/>
  <c r="W18" i="19"/>
  <c r="X18" i="19" s="1"/>
  <c r="AX21" i="15"/>
  <c r="AG14" i="10"/>
  <c r="BA59" i="5" s="1"/>
  <c r="BA71" i="5" s="1"/>
  <c r="BH13" i="10"/>
  <c r="BA55" i="5"/>
  <c r="AW19" i="14"/>
  <c r="CN19" i="14" s="1"/>
  <c r="CN18" i="14"/>
  <c r="BM84" i="5"/>
  <c r="AW20" i="16"/>
  <c r="AX148" i="15"/>
  <c r="AJ10" i="17"/>
  <c r="V19" i="19"/>
  <c r="W19" i="19"/>
  <c r="X19" i="19"/>
  <c r="AJ11" i="17"/>
  <c r="BM85" i="5"/>
  <c r="AW20" i="14"/>
  <c r="BM89" i="5" s="1"/>
  <c r="AG15" i="10"/>
  <c r="BH14" i="10"/>
  <c r="AW21" i="16"/>
  <c r="AX22" i="15"/>
  <c r="V20" i="19"/>
  <c r="AO107" i="5" s="1"/>
  <c r="AW21" i="14"/>
  <c r="CN20" i="14"/>
  <c r="AG16" i="10"/>
  <c r="BA61" i="5" s="1"/>
  <c r="BA60" i="5"/>
  <c r="BH15" i="10"/>
  <c r="AH15" i="10"/>
  <c r="AI15" i="10" s="1"/>
  <c r="AX23" i="15"/>
  <c r="AW22" i="16"/>
  <c r="W20" i="19"/>
  <c r="X20" i="19" s="1"/>
  <c r="V21" i="19"/>
  <c r="W22" i="19" s="1"/>
  <c r="X22" i="19" s="1"/>
  <c r="AG17" i="10"/>
  <c r="CN21" i="14"/>
  <c r="CO21" i="14" s="1"/>
  <c r="CP21" i="14" s="1"/>
  <c r="BM90" i="5"/>
  <c r="BH16" i="10"/>
  <c r="AX24" i="15"/>
  <c r="AW22" i="14"/>
  <c r="BM91" i="5" s="1"/>
  <c r="AJ16" i="10"/>
  <c r="AW23" i="16"/>
  <c r="W21" i="19"/>
  <c r="X21" i="19" s="1"/>
  <c r="V22" i="19"/>
  <c r="AO109" i="5" s="1"/>
  <c r="AW24" i="16"/>
  <c r="AG18" i="10"/>
  <c r="AH18" i="10" s="1"/>
  <c r="AX25" i="15"/>
  <c r="BH17" i="10"/>
  <c r="BA62" i="5"/>
  <c r="AW23" i="14"/>
  <c r="CN23" i="14" s="1"/>
  <c r="CN22" i="14"/>
  <c r="V23" i="19"/>
  <c r="AX23" i="14"/>
  <c r="AZ24" i="14" s="1"/>
  <c r="AW24" i="14"/>
  <c r="AX26" i="15"/>
  <c r="AW25" i="16"/>
  <c r="AG19" i="10"/>
  <c r="AH19" i="10" s="1"/>
  <c r="BH18" i="10"/>
  <c r="BA63" i="5"/>
  <c r="W23" i="19"/>
  <c r="X23" i="19"/>
  <c r="V24" i="19"/>
  <c r="AX27" i="15"/>
  <c r="AW25" i="14"/>
  <c r="CN24" i="14"/>
  <c r="BM93" i="5"/>
  <c r="AX24" i="14"/>
  <c r="AY24" i="14" s="1"/>
  <c r="AG20" i="10"/>
  <c r="AW26" i="16"/>
  <c r="BA64" i="5"/>
  <c r="BH19" i="10"/>
  <c r="BI19" i="10" s="1"/>
  <c r="BJ19" i="10" s="1"/>
  <c r="W24" i="19"/>
  <c r="X24" i="19" s="1"/>
  <c r="AO111" i="5"/>
  <c r="V25" i="19"/>
  <c r="AX28" i="15"/>
  <c r="BH20" i="10"/>
  <c r="BA65" i="5"/>
  <c r="AW26" i="14"/>
  <c r="AW27" i="16"/>
  <c r="AZ25" i="14"/>
  <c r="AG21" i="10"/>
  <c r="CN25" i="14"/>
  <c r="BM94" i="5"/>
  <c r="AX25" i="14"/>
  <c r="W25" i="19"/>
  <c r="X25" i="19" s="1"/>
  <c r="V26" i="19"/>
  <c r="CN26" i="14"/>
  <c r="BM95" i="5"/>
  <c r="AX26" i="14"/>
  <c r="AG22" i="10"/>
  <c r="AW27" i="14"/>
  <c r="CN27" i="14" s="1"/>
  <c r="AZ26" i="14"/>
  <c r="AY25" i="14"/>
  <c r="M17" i="17"/>
  <c r="AX29" i="15"/>
  <c r="K29" i="15"/>
  <c r="M29" i="15" s="1"/>
  <c r="BH21" i="10"/>
  <c r="BA66" i="5"/>
  <c r="AH21" i="10"/>
  <c r="AW28" i="16"/>
  <c r="W26" i="19"/>
  <c r="X26" i="19" s="1"/>
  <c r="V27" i="19"/>
  <c r="AX30" i="15"/>
  <c r="K30" i="15"/>
  <c r="AW29" i="16"/>
  <c r="AW28" i="14"/>
  <c r="CN28" i="14" s="1"/>
  <c r="M18" i="17"/>
  <c r="AX27" i="14"/>
  <c r="BH22" i="10"/>
  <c r="BA67" i="5"/>
  <c r="AH22" i="10"/>
  <c r="Q94" i="5"/>
  <c r="P94" i="5"/>
  <c r="AG23" i="10"/>
  <c r="AY26" i="14"/>
  <c r="P95" i="5" s="1"/>
  <c r="AZ27" i="14"/>
  <c r="AJ22" i="10"/>
  <c r="AI21" i="10"/>
  <c r="W27" i="19"/>
  <c r="X27" i="19"/>
  <c r="AO114" i="5"/>
  <c r="M30" i="15"/>
  <c r="V28" i="19"/>
  <c r="AJ23" i="10"/>
  <c r="AI22" i="10"/>
  <c r="L67" i="5" s="1"/>
  <c r="BM97" i="5"/>
  <c r="AX28" i="14"/>
  <c r="AZ29" i="14" s="1"/>
  <c r="AW29" i="14"/>
  <c r="Q95" i="5"/>
  <c r="M19" i="17"/>
  <c r="AX31" i="15"/>
  <c r="K31" i="15"/>
  <c r="K32" i="15" s="1"/>
  <c r="AW30" i="16"/>
  <c r="AG24" i="10"/>
  <c r="M66" i="5"/>
  <c r="L66" i="5"/>
  <c r="AY27" i="14"/>
  <c r="AZ28" i="14"/>
  <c r="BH23" i="10"/>
  <c r="BA68" i="5"/>
  <c r="AH23" i="10"/>
  <c r="AI23" i="10" s="1"/>
  <c r="W28" i="19"/>
  <c r="X28" i="19" s="1"/>
  <c r="M31" i="15"/>
  <c r="V29" i="19"/>
  <c r="W29" i="19" s="1"/>
  <c r="X29" i="19" s="1"/>
  <c r="Q96" i="5"/>
  <c r="P96" i="5"/>
  <c r="AY28" i="14"/>
  <c r="Q97" i="5" s="1"/>
  <c r="AJ24" i="10"/>
  <c r="M67" i="5"/>
  <c r="BH24" i="10"/>
  <c r="BA69" i="5"/>
  <c r="AH24" i="10"/>
  <c r="AJ25" i="10" s="1"/>
  <c r="AX32" i="15"/>
  <c r="AW30" i="14"/>
  <c r="AW31" i="16"/>
  <c r="AG25" i="10"/>
  <c r="AH25" i="10" s="1"/>
  <c r="CN29" i="14"/>
  <c r="CO29" i="14"/>
  <c r="CP29" i="14"/>
  <c r="BM98" i="5"/>
  <c r="AX29" i="14"/>
  <c r="AZ30" i="14" s="1"/>
  <c r="M20" i="17"/>
  <c r="V30" i="19"/>
  <c r="CN30" i="14"/>
  <c r="CO30" i="14" s="1"/>
  <c r="CP30" i="14" s="1"/>
  <c r="BM99" i="5"/>
  <c r="AX30" i="14"/>
  <c r="P97" i="5"/>
  <c r="AW31" i="14"/>
  <c r="BA70" i="5"/>
  <c r="AG26" i="10"/>
  <c r="AX33" i="15"/>
  <c r="AI24" i="10"/>
  <c r="M21" i="17"/>
  <c r="AW32" i="16"/>
  <c r="W30" i="19"/>
  <c r="X30" i="19" s="1"/>
  <c r="V31" i="19"/>
  <c r="W31" i="19" s="1"/>
  <c r="X31" i="19" s="1"/>
  <c r="BH26" i="10"/>
  <c r="BA74" i="5"/>
  <c r="AH26" i="10"/>
  <c r="CN31" i="14"/>
  <c r="BM100" i="5"/>
  <c r="AX31" i="14"/>
  <c r="M22" i="17"/>
  <c r="AW32" i="14"/>
  <c r="BM104" i="5"/>
  <c r="AW33" i="16"/>
  <c r="AX34" i="15"/>
  <c r="AY30" i="14"/>
  <c r="AZ31" i="14"/>
  <c r="M69" i="5"/>
  <c r="L69" i="5"/>
  <c r="AG27" i="10"/>
  <c r="AO121" i="5"/>
  <c r="V32" i="19"/>
  <c r="BH27" i="10"/>
  <c r="BA75" i="5"/>
  <c r="AH27" i="10"/>
  <c r="AX35" i="15"/>
  <c r="K23" i="17"/>
  <c r="M23" i="17" s="1"/>
  <c r="AG28" i="10"/>
  <c r="AW33" i="14"/>
  <c r="BM105" i="5" s="1"/>
  <c r="AW34" i="16"/>
  <c r="CN32" i="14"/>
  <c r="CO32" i="14" s="1"/>
  <c r="CP32" i="14" s="1"/>
  <c r="AX32" i="14"/>
  <c r="AI26" i="10"/>
  <c r="AJ27" i="10"/>
  <c r="AY31" i="14"/>
  <c r="Q100" i="5" s="1"/>
  <c r="AZ32" i="14"/>
  <c r="P99" i="5"/>
  <c r="Q99" i="5"/>
  <c r="W32" i="19"/>
  <c r="X32" i="19" s="1"/>
  <c r="V33" i="19"/>
  <c r="AZ33" i="14"/>
  <c r="AY32" i="14"/>
  <c r="Q104" i="5" s="1"/>
  <c r="AW35" i="16"/>
  <c r="K24" i="17"/>
  <c r="M24" i="17"/>
  <c r="AG29" i="10"/>
  <c r="AJ28" i="10"/>
  <c r="AI27" i="10"/>
  <c r="CN33" i="14"/>
  <c r="P100" i="5"/>
  <c r="M74" i="5"/>
  <c r="L74" i="5"/>
  <c r="BH28" i="10"/>
  <c r="BA76" i="5"/>
  <c r="AH28" i="10"/>
  <c r="AJ29" i="10" s="1"/>
  <c r="AX36" i="15"/>
  <c r="W33" i="19"/>
  <c r="X33" i="19" s="1"/>
  <c r="P104" i="5"/>
  <c r="V34" i="19"/>
  <c r="W35" i="19" s="1"/>
  <c r="X35" i="19" s="1"/>
  <c r="AX37" i="15"/>
  <c r="BH29" i="10"/>
  <c r="BA77" i="5"/>
  <c r="AH29" i="10"/>
  <c r="K25" i="17"/>
  <c r="M25" i="17"/>
  <c r="AG30" i="10"/>
  <c r="BA78" i="5" s="1"/>
  <c r="M75" i="5"/>
  <c r="L75" i="5"/>
  <c r="AW36" i="16"/>
  <c r="W34" i="19"/>
  <c r="X34" i="19"/>
  <c r="V35" i="19"/>
  <c r="AJ30" i="10"/>
  <c r="AI29" i="10"/>
  <c r="M77" i="5" s="1"/>
  <c r="AW37" i="16"/>
  <c r="BH30" i="10"/>
  <c r="K26" i="17"/>
  <c r="M26" i="17"/>
  <c r="AG31" i="10"/>
  <c r="BA79" i="5" s="1"/>
  <c r="AX38" i="15"/>
  <c r="AO125" i="5"/>
  <c r="V36" i="19"/>
  <c r="W37" i="19" s="1"/>
  <c r="X37" i="19" s="1"/>
  <c r="AH31" i="10"/>
  <c r="AI31" i="10" s="1"/>
  <c r="AX39" i="15"/>
  <c r="AG32" i="10"/>
  <c r="AW38" i="16"/>
  <c r="K27" i="17"/>
  <c r="M27" i="17"/>
  <c r="W36" i="19"/>
  <c r="X36" i="19"/>
  <c r="V37" i="19"/>
  <c r="W39" i="19" s="1"/>
  <c r="X39" i="19" s="1"/>
  <c r="AG33" i="10"/>
  <c r="BH33" i="10" s="1"/>
  <c r="BH32" i="10"/>
  <c r="BA80" i="5"/>
  <c r="AH32" i="10"/>
  <c r="AJ33" i="10" s="1"/>
  <c r="AW39" i="16"/>
  <c r="AX40" i="15"/>
  <c r="K28" i="17"/>
  <c r="M28" i="17" s="1"/>
  <c r="AO127" i="5"/>
  <c r="V38" i="19"/>
  <c r="AG34" i="10"/>
  <c r="AH33" i="10"/>
  <c r="AI33" i="10" s="1"/>
  <c r="K29" i="17"/>
  <c r="M29" i="17" s="1"/>
  <c r="AX41" i="15"/>
  <c r="AW40" i="16"/>
  <c r="W38" i="19"/>
  <c r="X38" i="19"/>
  <c r="AO128" i="5"/>
  <c r="V39" i="19"/>
  <c r="AG35" i="10"/>
  <c r="BH35" i="10" s="1"/>
  <c r="BI35" i="10" s="1"/>
  <c r="BJ35" i="10" s="1"/>
  <c r="BH34" i="10"/>
  <c r="BI34" i="10"/>
  <c r="BJ34" i="10"/>
  <c r="BA82" i="5"/>
  <c r="AH34" i="10"/>
  <c r="AJ35" i="10" s="1"/>
  <c r="AW41" i="16"/>
  <c r="AX42" i="15"/>
  <c r="AO129" i="5"/>
  <c r="V40" i="19"/>
  <c r="W41" i="19" s="1"/>
  <c r="X41" i="19" s="1"/>
  <c r="AX43" i="15"/>
  <c r="AG36" i="10"/>
  <c r="BA84" i="5" s="1"/>
  <c r="AH35" i="10"/>
  <c r="AI35" i="10" s="1"/>
  <c r="AW42" i="16"/>
  <c r="W40" i="19"/>
  <c r="X40" i="19" s="1"/>
  <c r="V41" i="19"/>
  <c r="AO134" i="5" s="1"/>
  <c r="BH36" i="10"/>
  <c r="BI36" i="10" s="1"/>
  <c r="BJ36" i="10" s="1"/>
  <c r="AX44" i="15"/>
  <c r="AG37" i="10"/>
  <c r="AW43" i="16"/>
  <c r="V42" i="19"/>
  <c r="AO135" i="5" s="1"/>
  <c r="AW44" i="16"/>
  <c r="BH37" i="10"/>
  <c r="BI37" i="10"/>
  <c r="BJ37" i="10" s="1"/>
  <c r="BA85" i="5"/>
  <c r="AX45" i="15"/>
  <c r="AG38" i="10"/>
  <c r="BA89" i="5" s="1"/>
  <c r="W42" i="19"/>
  <c r="X42" i="19" s="1"/>
  <c r="V43" i="19"/>
  <c r="AO136" i="5" s="1"/>
  <c r="AG39" i="10"/>
  <c r="AH38" i="10"/>
  <c r="AI38" i="10" s="1"/>
  <c r="AX46" i="15"/>
  <c r="AW45" i="16"/>
  <c r="V44" i="19"/>
  <c r="AW46" i="16"/>
  <c r="BH39" i="10"/>
  <c r="BI39" i="10"/>
  <c r="BJ39" i="10"/>
  <c r="BA90" i="5"/>
  <c r="AH39" i="10"/>
  <c r="AI39" i="10" s="1"/>
  <c r="AG40" i="10"/>
  <c r="AX47" i="15"/>
  <c r="AO137" i="5"/>
  <c r="V45" i="19"/>
  <c r="AG41" i="10"/>
  <c r="AW47" i="16"/>
  <c r="BH40" i="10"/>
  <c r="BI40" i="10"/>
  <c r="BJ40" i="10"/>
  <c r="BA91" i="5"/>
  <c r="AH40" i="10"/>
  <c r="AJ41" i="10" s="1"/>
  <c r="AX48" i="15"/>
  <c r="W45" i="19"/>
  <c r="X45" i="19" s="1"/>
  <c r="AO138" i="5"/>
  <c r="V46" i="19"/>
  <c r="AO139" i="5" s="1"/>
  <c r="AG42" i="10"/>
  <c r="BH41" i="10"/>
  <c r="BI41" i="10" s="1"/>
  <c r="BJ41" i="10" s="1"/>
  <c r="BA92" i="5"/>
  <c r="AH41" i="10"/>
  <c r="AI40" i="10"/>
  <c r="L91" i="5" s="1"/>
  <c r="AX49" i="15"/>
  <c r="AW48" i="16"/>
  <c r="V47" i="19"/>
  <c r="AO140" i="5" s="1"/>
  <c r="M91" i="5"/>
  <c r="AI41" i="10"/>
  <c r="AJ42" i="10"/>
  <c r="AW49" i="16"/>
  <c r="BH42" i="10"/>
  <c r="BI42" i="10" s="1"/>
  <c r="BJ42" i="10" s="1"/>
  <c r="BA93" i="5"/>
  <c r="AH42" i="10"/>
  <c r="AX50" i="15"/>
  <c r="AG43" i="10"/>
  <c r="AH43" i="10" s="1"/>
  <c r="V48" i="19"/>
  <c r="AG44" i="10"/>
  <c r="AW50" i="16"/>
  <c r="BA94" i="5"/>
  <c r="AX51" i="15"/>
  <c r="AJ43" i="10"/>
  <c r="AI42" i="10"/>
  <c r="M92" i="5"/>
  <c r="L92" i="5"/>
  <c r="W48" i="19"/>
  <c r="X48" i="19" s="1"/>
  <c r="AO141" i="5"/>
  <c r="V49" i="19"/>
  <c r="BH44" i="10"/>
  <c r="BI44" i="10" s="1"/>
  <c r="BJ44" i="10" s="1"/>
  <c r="BA95" i="5"/>
  <c r="AH44" i="10"/>
  <c r="M93" i="5"/>
  <c r="L93" i="5"/>
  <c r="AX52" i="15"/>
  <c r="AW51" i="16"/>
  <c r="AG45" i="10"/>
  <c r="BA96" i="5" s="1"/>
  <c r="W49" i="19"/>
  <c r="X49" i="19" s="1"/>
  <c r="AO142" i="5"/>
  <c r="H59" i="9"/>
  <c r="V50" i="19"/>
  <c r="W50" i="19" s="1"/>
  <c r="X50" i="19" s="1"/>
  <c r="AW52" i="16"/>
  <c r="AJ45" i="10"/>
  <c r="AI44" i="10"/>
  <c r="AG46" i="10"/>
  <c r="AX53" i="15"/>
  <c r="BH45" i="10"/>
  <c r="BI45" i="10" s="1"/>
  <c r="BJ45" i="10" s="1"/>
  <c r="AO143" i="5"/>
  <c r="H60" i="9"/>
  <c r="H61" i="9" s="1"/>
  <c r="J59" i="9"/>
  <c r="V51" i="19"/>
  <c r="M95" i="5"/>
  <c r="L95" i="5"/>
  <c r="AX54" i="15"/>
  <c r="AG47" i="10"/>
  <c r="AW53" i="16"/>
  <c r="BH46" i="10"/>
  <c r="BI46" i="10" s="1"/>
  <c r="BJ46" i="10" s="1"/>
  <c r="BA97" i="5"/>
  <c r="AH46" i="10"/>
  <c r="W51" i="19"/>
  <c r="X51" i="19" s="1"/>
  <c r="AO144" i="5"/>
  <c r="AU98" i="5"/>
  <c r="V52" i="19"/>
  <c r="W52" i="19" s="1"/>
  <c r="X52" i="19" s="1"/>
  <c r="AX55" i="15"/>
  <c r="BA98" i="5"/>
  <c r="BH47" i="10"/>
  <c r="BI47" i="10"/>
  <c r="BJ47" i="10" s="1"/>
  <c r="AH47" i="10"/>
  <c r="AJ48" i="10" s="1"/>
  <c r="AG48" i="10"/>
  <c r="BA99" i="5" s="1"/>
  <c r="AJ47" i="10"/>
  <c r="AI46" i="10"/>
  <c r="AW54" i="16"/>
  <c r="AO145" i="5"/>
  <c r="V53" i="19"/>
  <c r="AX56" i="15"/>
  <c r="AG49" i="10"/>
  <c r="AI47" i="10"/>
  <c r="AW55" i="16"/>
  <c r="BH48" i="10"/>
  <c r="BI48" i="10" s="1"/>
  <c r="BJ48" i="10" s="1"/>
  <c r="M97" i="5"/>
  <c r="L97" i="5"/>
  <c r="W53" i="19"/>
  <c r="X53" i="19" s="1"/>
  <c r="AO149" i="5"/>
  <c r="V54" i="19"/>
  <c r="AO150" i="5" s="1"/>
  <c r="AW56" i="16"/>
  <c r="L98" i="5"/>
  <c r="M98" i="5"/>
  <c r="BH49" i="10"/>
  <c r="BI49" i="10" s="1"/>
  <c r="BJ49" i="10" s="1"/>
  <c r="BA100" i="5"/>
  <c r="AH49" i="10"/>
  <c r="AJ50" i="10" s="1"/>
  <c r="AG50" i="10"/>
  <c r="BA104" i="5" s="1"/>
  <c r="AX57" i="15"/>
  <c r="V55" i="19"/>
  <c r="AO151" i="5" s="1"/>
  <c r="W54" i="19"/>
  <c r="X54" i="19"/>
  <c r="AI49" i="10"/>
  <c r="BH50" i="10"/>
  <c r="BI50" i="10"/>
  <c r="BJ50" i="10" s="1"/>
  <c r="AH50" i="10"/>
  <c r="AG51" i="10"/>
  <c r="BA105" i="5" s="1"/>
  <c r="AX58" i="15"/>
  <c r="W58" i="19"/>
  <c r="X58" i="19" s="1"/>
  <c r="W55" i="19"/>
  <c r="X55" i="19"/>
  <c r="W57" i="19"/>
  <c r="X57" i="19" s="1"/>
  <c r="W59" i="19"/>
  <c r="X59" i="19" s="1"/>
  <c r="W56" i="19"/>
  <c r="X56" i="19" s="1"/>
  <c r="AG52" i="10"/>
  <c r="BA106" i="5" s="1"/>
  <c r="AX59" i="15"/>
  <c r="AI50" i="10"/>
  <c r="AJ51" i="10"/>
  <c r="BH51" i="10"/>
  <c r="BI51" i="10"/>
  <c r="BJ51" i="10" s="1"/>
  <c r="AH51" i="10"/>
  <c r="M100" i="5"/>
  <c r="L100" i="5"/>
  <c r="M104" i="5"/>
  <c r="L104" i="5"/>
  <c r="AX60" i="15"/>
  <c r="AI51" i="10"/>
  <c r="AJ52" i="10"/>
  <c r="BH52" i="10"/>
  <c r="AH52" i="10"/>
  <c r="M105" i="5"/>
  <c r="L105" i="5"/>
  <c r="AI52" i="10"/>
  <c r="AJ53" i="10"/>
  <c r="AX61" i="15"/>
  <c r="BI52" i="10"/>
  <c r="M106" i="5"/>
  <c r="L106" i="5"/>
  <c r="BJ52" i="10"/>
  <c r="AX62" i="15"/>
  <c r="AX63" i="15"/>
  <c r="AX64" i="15"/>
  <c r="AX65" i="15"/>
  <c r="AX66" i="15"/>
  <c r="AX67" i="15"/>
  <c r="AX68" i="15"/>
  <c r="AX69" i="15"/>
  <c r="AX70" i="15"/>
  <c r="AX71" i="15"/>
  <c r="AX72" i="15"/>
  <c r="AX73" i="15"/>
  <c r="AX74" i="15"/>
  <c r="AX75" i="15"/>
  <c r="AX76" i="15"/>
  <c r="AX77" i="15"/>
  <c r="AX78" i="15"/>
  <c r="AX79" i="15"/>
  <c r="AX80" i="15"/>
  <c r="AX81" i="15"/>
  <c r="AX82" i="15"/>
  <c r="AX83" i="15"/>
  <c r="AX84" i="15"/>
  <c r="AX85" i="15"/>
  <c r="AX86" i="15"/>
  <c r="AX87" i="15"/>
  <c r="AX88" i="15"/>
  <c r="AX89" i="15"/>
  <c r="AX90" i="15"/>
  <c r="AX91" i="15"/>
  <c r="AX92" i="15"/>
  <c r="AX93" i="15"/>
  <c r="AX94" i="15"/>
  <c r="AX95" i="15"/>
  <c r="AX96" i="15"/>
  <c r="AX97" i="15"/>
  <c r="AX98" i="15"/>
  <c r="AX99" i="15"/>
  <c r="AX100" i="15"/>
  <c r="AX101" i="15"/>
  <c r="AX102" i="15"/>
  <c r="AX103" i="15"/>
  <c r="AX104" i="15"/>
  <c r="AX105" i="15"/>
  <c r="AX106" i="15"/>
  <c r="AX107" i="15"/>
  <c r="AX108" i="15"/>
  <c r="AX109" i="15"/>
  <c r="AX110" i="15"/>
  <c r="AX111" i="15"/>
  <c r="AX112" i="15"/>
  <c r="AX113" i="15"/>
  <c r="AX114" i="15"/>
  <c r="AX115" i="15"/>
  <c r="AX116" i="15"/>
  <c r="AX117" i="15"/>
  <c r="AX118" i="15"/>
  <c r="G37" i="14"/>
  <c r="G36" i="14"/>
  <c r="K36" i="14" s="1"/>
  <c r="G34" i="14"/>
  <c r="K34" i="14" s="1"/>
  <c r="K37" i="14"/>
  <c r="CI116" i="5"/>
  <c r="CH37" i="14"/>
  <c r="CH38" i="14" s="1"/>
  <c r="CH39" i="14" s="1"/>
  <c r="CH40" i="14" s="1"/>
  <c r="CH41" i="14" s="1"/>
  <c r="CH42" i="14" s="1"/>
  <c r="CH43" i="14" s="1"/>
  <c r="CH44" i="14" s="1"/>
  <c r="CH45" i="14" s="1"/>
  <c r="CH46" i="14" s="1"/>
  <c r="CH47" i="14" s="1"/>
  <c r="CH48" i="14" s="1"/>
  <c r="CK48" i="14" s="1"/>
  <c r="CM48" i="14" s="1"/>
  <c r="AT37" i="14"/>
  <c r="AT38" i="14" s="1"/>
  <c r="AT39" i="14" s="1"/>
  <c r="AT40" i="14" s="1"/>
  <c r="AT41" i="14" s="1"/>
  <c r="AT42" i="14" s="1"/>
  <c r="AT43" i="14" s="1"/>
  <c r="AT44" i="14" s="1"/>
  <c r="AT45" i="14" s="1"/>
  <c r="AT46" i="14" s="1"/>
  <c r="AT47" i="14" s="1"/>
  <c r="AT48" i="14" s="1"/>
  <c r="AT49" i="14" s="1"/>
  <c r="AT50" i="14" s="1"/>
  <c r="AT51" i="14" s="1"/>
  <c r="AT52" i="14" s="1"/>
  <c r="AT53" i="14" s="1"/>
  <c r="AT54" i="14" s="1"/>
  <c r="AT55" i="14" s="1"/>
  <c r="AT56" i="14" s="1"/>
  <c r="AT57" i="14" s="1"/>
  <c r="AT58" i="14" s="1"/>
  <c r="AT59" i="14" s="1"/>
  <c r="AT60" i="14" s="1"/>
  <c r="AT61" i="14" s="1"/>
  <c r="AT62" i="14" s="1"/>
  <c r="AT63" i="14" s="1"/>
  <c r="AT64" i="14" s="1"/>
  <c r="AT65" i="14" s="1"/>
  <c r="AT66" i="14" s="1"/>
  <c r="AT67" i="14" s="1"/>
  <c r="AT68" i="14" s="1"/>
  <c r="AT69" i="14" s="1"/>
  <c r="AT70" i="14" s="1"/>
  <c r="AT71" i="14" s="1"/>
  <c r="AT72" i="14" s="1"/>
  <c r="AT73" i="14" s="1"/>
  <c r="AT74" i="14" s="1"/>
  <c r="AT75" i="14" s="1"/>
  <c r="AT76" i="14" s="1"/>
  <c r="AT77" i="14" s="1"/>
  <c r="AT78" i="14" s="1"/>
  <c r="AT79" i="14" s="1"/>
  <c r="AT80" i="14" s="1"/>
  <c r="AT81" i="14" s="1"/>
  <c r="AT82" i="14" s="1"/>
  <c r="AT83" i="14" s="1"/>
  <c r="AT84" i="14" s="1"/>
  <c r="AT85" i="14" s="1"/>
  <c r="AT86" i="14" s="1"/>
  <c r="AT87" i="14" s="1"/>
  <c r="AT88" i="14" s="1"/>
  <c r="AT89" i="14" s="1"/>
  <c r="AT90" i="14" s="1"/>
  <c r="AT91" i="14" s="1"/>
  <c r="AT92" i="14" s="1"/>
  <c r="AT93" i="14" s="1"/>
  <c r="AT94" i="14" s="1"/>
  <c r="AT95" i="14" s="1"/>
  <c r="AT96" i="14" s="1"/>
  <c r="AW96" i="14" s="1"/>
  <c r="R137" i="5"/>
  <c r="E26" i="28"/>
  <c r="E28" i="28"/>
  <c r="AB140" i="5"/>
  <c r="E27" i="28"/>
  <c r="F27" i="28" s="1"/>
  <c r="E24" i="28"/>
  <c r="E31" i="28"/>
  <c r="E21" i="28"/>
  <c r="E22" i="28"/>
  <c r="E25" i="28"/>
  <c r="E32" i="28"/>
  <c r="E30" i="28"/>
  <c r="E37" i="28"/>
  <c r="E38" i="28"/>
  <c r="E36" i="28"/>
  <c r="E23" i="28"/>
  <c r="E29" i="28"/>
  <c r="E42" i="28"/>
  <c r="E44" i="28"/>
  <c r="E45" i="28"/>
  <c r="E41" i="28"/>
  <c r="E46" i="28"/>
  <c r="E43" i="28"/>
  <c r="E47" i="28"/>
  <c r="U36" i="30"/>
  <c r="CP165" i="5" s="1"/>
  <c r="T36" i="30"/>
  <c r="CO165" i="5" s="1"/>
  <c r="F72" i="28"/>
  <c r="F69" i="28"/>
  <c r="AB183" i="5"/>
  <c r="CR152" i="5"/>
  <c r="CQ152" i="5"/>
  <c r="CR153" i="5"/>
  <c r="CQ153" i="5"/>
  <c r="CR154" i="5"/>
  <c r="CQ154" i="5"/>
  <c r="CR155" i="5"/>
  <c r="CQ155" i="5"/>
  <c r="CR156" i="5"/>
  <c r="CQ156" i="5"/>
  <c r="CR157" i="5"/>
  <c r="CQ157" i="5"/>
  <c r="CR158" i="5"/>
  <c r="CQ158" i="5"/>
  <c r="CR159" i="5"/>
  <c r="CQ159" i="5"/>
  <c r="CR160" i="5"/>
  <c r="CQ160" i="5"/>
  <c r="CQ164" i="5"/>
  <c r="CR164" i="5"/>
  <c r="CQ165" i="5"/>
  <c r="CR165" i="5"/>
  <c r="CR166" i="5"/>
  <c r="CQ166" i="5"/>
  <c r="CR167" i="5"/>
  <c r="CQ167" i="5"/>
  <c r="CR168" i="5"/>
  <c r="CQ168" i="5"/>
  <c r="CR169" i="5"/>
  <c r="CQ169" i="5"/>
  <c r="CR170" i="5"/>
  <c r="CQ170" i="5"/>
  <c r="CR171" i="5"/>
  <c r="CQ171" i="5"/>
  <c r="CR172" i="5"/>
  <c r="CQ172" i="5"/>
  <c r="CR173" i="5"/>
  <c r="CQ173" i="5"/>
  <c r="CR174" i="5"/>
  <c r="CQ174" i="5"/>
  <c r="CR175" i="5"/>
  <c r="CQ175" i="5"/>
  <c r="CR179" i="5"/>
  <c r="CQ179" i="5"/>
  <c r="CR180" i="5"/>
  <c r="CQ180" i="5"/>
  <c r="CR181" i="5"/>
  <c r="CQ181" i="5"/>
  <c r="CR182" i="5"/>
  <c r="CQ182" i="5"/>
  <c r="CR183" i="5"/>
  <c r="CQ183" i="5"/>
  <c r="CR184" i="5"/>
  <c r="CQ184" i="5"/>
  <c r="CR185" i="5"/>
  <c r="CQ185" i="5"/>
  <c r="CR186" i="5"/>
  <c r="CQ186" i="5"/>
  <c r="CQ187" i="5"/>
  <c r="CR187" i="5"/>
  <c r="CQ188" i="5"/>
  <c r="CR188" i="5"/>
  <c r="CR189" i="5"/>
  <c r="CQ189" i="5"/>
  <c r="CR190" i="5"/>
  <c r="CQ190" i="5"/>
  <c r="CR194" i="5"/>
  <c r="CQ194" i="5"/>
  <c r="CR195" i="5"/>
  <c r="CQ195" i="5"/>
  <c r="CR196" i="5"/>
  <c r="CQ196" i="5"/>
  <c r="CR197" i="5"/>
  <c r="CQ197" i="5"/>
  <c r="CR198" i="5"/>
  <c r="CQ198" i="5"/>
  <c r="CR199" i="5"/>
  <c r="CQ199" i="5"/>
  <c r="CR200" i="5"/>
  <c r="CQ200" i="5"/>
  <c r="CR201" i="5"/>
  <c r="CQ201" i="5"/>
  <c r="CR202" i="5"/>
  <c r="CQ202" i="5"/>
  <c r="CR203" i="5"/>
  <c r="CQ203" i="5"/>
  <c r="CR204" i="5"/>
  <c r="CQ204" i="5"/>
  <c r="CR205" i="5"/>
  <c r="CQ205" i="5"/>
  <c r="CR209" i="5"/>
  <c r="CQ209" i="5"/>
  <c r="CR210" i="5"/>
  <c r="CQ210" i="5"/>
  <c r="CR211" i="5"/>
  <c r="CQ211" i="5"/>
  <c r="CR212" i="5"/>
  <c r="CQ212" i="5"/>
  <c r="AA194" i="5"/>
  <c r="AA195" i="5"/>
  <c r="AB195" i="5" s="1"/>
  <c r="F79" i="28"/>
  <c r="AA196" i="5"/>
  <c r="CR213" i="5"/>
  <c r="CQ213" i="5"/>
  <c r="CR214" i="5"/>
  <c r="CQ214" i="5"/>
  <c r="CR215" i="5"/>
  <c r="CQ215" i="5"/>
  <c r="CR216" i="5"/>
  <c r="CQ216" i="5"/>
  <c r="CR217" i="5"/>
  <c r="CQ217" i="5"/>
  <c r="CR218" i="5"/>
  <c r="CQ218" i="5"/>
  <c r="CR219" i="5"/>
  <c r="CQ219" i="5"/>
  <c r="CR220" i="5"/>
  <c r="CQ220" i="5"/>
  <c r="F84" i="28"/>
  <c r="AA200" i="5"/>
  <c r="AB200" i="5" s="1"/>
  <c r="AA202" i="5"/>
  <c r="F86" i="28"/>
  <c r="AA204" i="5"/>
  <c r="AA198" i="5"/>
  <c r="AA201" i="5"/>
  <c r="AB201" i="5" s="1"/>
  <c r="F85" i="28"/>
  <c r="AA203" i="5"/>
  <c r="AA205" i="5"/>
  <c r="AB205" i="5" s="1"/>
  <c r="F81" i="28"/>
  <c r="AA197" i="5"/>
  <c r="AB197" i="5"/>
  <c r="AA199" i="5"/>
  <c r="D39" i="28" l="1"/>
  <c r="F39" i="28" s="1"/>
  <c r="D45" i="28"/>
  <c r="F45" i="28" s="1"/>
  <c r="D42" i="28"/>
  <c r="F42" i="28" s="1"/>
  <c r="Z180" i="5"/>
  <c r="AB180" i="5" s="1"/>
  <c r="D65" i="28"/>
  <c r="F65" i="28" s="1"/>
  <c r="D28" i="28" a="1"/>
  <c r="Z141" i="5" a="1"/>
  <c r="Z144" i="5" s="1"/>
  <c r="AB144" i="5" s="1"/>
  <c r="O28" i="29"/>
  <c r="O55" i="29"/>
  <c r="O103" i="29"/>
  <c r="O67" i="29"/>
  <c r="O77" i="29"/>
  <c r="Z149" i="5" a="1"/>
  <c r="O24" i="29"/>
  <c r="I107" i="29"/>
  <c r="F107" i="29"/>
  <c r="Z134" i="5" a="1"/>
  <c r="Z184" i="5"/>
  <c r="AB184" i="5" s="1"/>
  <c r="BQ188" i="5"/>
  <c r="BP188" i="5"/>
  <c r="BQ186" i="5"/>
  <c r="BP186" i="5"/>
  <c r="BQ187" i="5"/>
  <c r="BP187" i="5"/>
  <c r="AS176" i="5"/>
  <c r="F18" i="28"/>
  <c r="BQ190" i="5"/>
  <c r="BP190" i="5"/>
  <c r="BQ189" i="5"/>
  <c r="D18" i="28"/>
  <c r="AB116" i="5"/>
  <c r="AK41" i="5"/>
  <c r="AY26" i="5"/>
  <c r="AV11" i="5"/>
  <c r="E7" i="30"/>
  <c r="W16" i="30"/>
  <c r="L4" i="30"/>
  <c r="G20" i="30"/>
  <c r="L15" i="30"/>
  <c r="M20" i="30"/>
  <c r="T21" i="13"/>
  <c r="S71" i="30"/>
  <c r="CN209" i="5" s="1"/>
  <c r="S70" i="30"/>
  <c r="S68" i="30"/>
  <c r="CN203" i="5" s="1"/>
  <c r="S72" i="30"/>
  <c r="CN210" i="5" s="1"/>
  <c r="S69" i="30"/>
  <c r="S67" i="30"/>
  <c r="CN202" i="5" s="1"/>
  <c r="S64" i="30"/>
  <c r="CN199" i="5" s="1"/>
  <c r="S65" i="30"/>
  <c r="S66" i="30"/>
  <c r="CC235" i="5"/>
  <c r="CC233" i="5"/>
  <c r="CC231" i="5"/>
  <c r="CC229" i="5"/>
  <c r="CC227" i="5"/>
  <c r="CC225" i="5"/>
  <c r="CC234" i="5"/>
  <c r="CC232" i="5"/>
  <c r="CC230" i="5"/>
  <c r="CC228" i="5"/>
  <c r="CC226" i="5"/>
  <c r="CC224" i="5"/>
  <c r="U69" i="30"/>
  <c r="U70" i="30"/>
  <c r="U67" i="30"/>
  <c r="U65" i="30"/>
  <c r="U64" i="30"/>
  <c r="U71" i="30"/>
  <c r="U63" i="30"/>
  <c r="U68" i="30"/>
  <c r="U72" i="30"/>
  <c r="U66" i="30"/>
  <c r="U62" i="30"/>
  <c r="Q25" i="30"/>
  <c r="CL151" i="5" s="1"/>
  <c r="L5" i="30"/>
  <c r="T16" i="30"/>
  <c r="H159" i="29"/>
  <c r="Z214" i="5" s="1"/>
  <c r="AA17" i="5"/>
  <c r="AB16" i="5"/>
  <c r="AY11" i="5"/>
  <c r="G159" i="29"/>
  <c r="Z213" i="5" s="1"/>
  <c r="Z142" i="5"/>
  <c r="AB142" i="5" s="1"/>
  <c r="D37" i="28"/>
  <c r="F37" i="28" s="1"/>
  <c r="Z141" i="5"/>
  <c r="AB141" i="5" s="1"/>
  <c r="Z212" i="5"/>
  <c r="E159" i="29"/>
  <c r="D94" i="28" s="1"/>
  <c r="Q23" i="30"/>
  <c r="CL149" i="5" s="1"/>
  <c r="CT161" i="5"/>
  <c r="T67" i="30"/>
  <c r="CO202" i="5" s="1"/>
  <c r="T72" i="30"/>
  <c r="T66" i="30"/>
  <c r="T64" i="30"/>
  <c r="CO199" i="5" s="1"/>
  <c r="T62" i="30"/>
  <c r="CO197" i="5" s="1"/>
  <c r="T68" i="30"/>
  <c r="T65" i="30"/>
  <c r="CO200" i="5" s="1"/>
  <c r="T69" i="30"/>
  <c r="T70" i="30"/>
  <c r="CO205" i="5" s="1"/>
  <c r="T63" i="30"/>
  <c r="S378" i="30"/>
  <c r="S224" i="30"/>
  <c r="AE224" i="30" s="1"/>
  <c r="S312" i="30"/>
  <c r="S396" i="30"/>
  <c r="S362" i="30"/>
  <c r="S170" i="30"/>
  <c r="S44" i="30"/>
  <c r="S240" i="30"/>
  <c r="S328" i="30"/>
  <c r="S42" i="30"/>
  <c r="CN171" i="5" s="1"/>
  <c r="S45" i="30"/>
  <c r="CN174" i="5" s="1"/>
  <c r="S210" i="30"/>
  <c r="S38" i="30"/>
  <c r="CN167" i="5" s="1"/>
  <c r="S56" i="30"/>
  <c r="CN188" i="5" s="1"/>
  <c r="S248" i="30"/>
  <c r="S332" i="30"/>
  <c r="S194" i="30"/>
  <c r="S197" i="30"/>
  <c r="S242" i="30"/>
  <c r="S230" i="30"/>
  <c r="S176" i="30"/>
  <c r="S264" i="30"/>
  <c r="AE264" i="30" s="1"/>
  <c r="S348" i="30"/>
  <c r="AE348" i="30" s="1"/>
  <c r="S226" i="30"/>
  <c r="S241" i="30"/>
  <c r="S254" i="30"/>
  <c r="X16" i="30"/>
  <c r="S246" i="30"/>
  <c r="S184" i="30"/>
  <c r="S268" i="30"/>
  <c r="S352" i="30"/>
  <c r="S238" i="30"/>
  <c r="S277" i="30"/>
  <c r="S298" i="30"/>
  <c r="S350" i="30"/>
  <c r="S204" i="30"/>
  <c r="S288" i="30"/>
  <c r="S376" i="30"/>
  <c r="S310" i="30"/>
  <c r="S369" i="30"/>
  <c r="S338" i="30"/>
  <c r="S36" i="30"/>
  <c r="AE36" i="30" s="1"/>
  <c r="S366" i="30"/>
  <c r="S220" i="30"/>
  <c r="S304" i="30"/>
  <c r="AE304" i="30" s="1"/>
  <c r="S392" i="30"/>
  <c r="S322" i="30"/>
  <c r="S58" i="30"/>
  <c r="CN190" i="5" s="1"/>
  <c r="AB70" i="5"/>
  <c r="AA74" i="5"/>
  <c r="AS146" i="5"/>
  <c r="AM10" i="5"/>
  <c r="CY10" i="5" s="1"/>
  <c r="D159" i="29"/>
  <c r="D92" i="28"/>
  <c r="O155" i="29"/>
  <c r="O145" i="29"/>
  <c r="I53" i="24"/>
  <c r="D89" i="28"/>
  <c r="F89" i="28" s="1"/>
  <c r="Z204" i="5"/>
  <c r="AB204" i="5" s="1"/>
  <c r="D88" i="28"/>
  <c r="F88" i="28" s="1"/>
  <c r="O129" i="29"/>
  <c r="I87" i="24"/>
  <c r="I48" i="24"/>
  <c r="I50" i="24"/>
  <c r="I70" i="24"/>
  <c r="I56" i="24"/>
  <c r="I57" i="24"/>
  <c r="I68" i="24"/>
  <c r="I46" i="24"/>
  <c r="I62" i="24"/>
  <c r="I65" i="24"/>
  <c r="Q29" i="30"/>
  <c r="CL155" i="5" s="1"/>
  <c r="Q33" i="30"/>
  <c r="CL159" i="5" s="1"/>
  <c r="Q37" i="30"/>
  <c r="CL166" i="5" s="1"/>
  <c r="Q41" i="30"/>
  <c r="CL170" i="5" s="1"/>
  <c r="Q53" i="30"/>
  <c r="CL185" i="5" s="1"/>
  <c r="CL200" i="5"/>
  <c r="Q73" i="30"/>
  <c r="CL211" i="5" s="1"/>
  <c r="Q81" i="30"/>
  <c r="CL219" i="5" s="1"/>
  <c r="Q85" i="30"/>
  <c r="CL226" i="5" s="1"/>
  <c r="Q89" i="30"/>
  <c r="CL230" i="5" s="1"/>
  <c r="Q97" i="30"/>
  <c r="Q101" i="30"/>
  <c r="Q105" i="30"/>
  <c r="Q113" i="30"/>
  <c r="Q117" i="30"/>
  <c r="Q129" i="30"/>
  <c r="Q133" i="30"/>
  <c r="Q137" i="30"/>
  <c r="Q145" i="30"/>
  <c r="Q149" i="30"/>
  <c r="Q153" i="30"/>
  <c r="Q161" i="30"/>
  <c r="Q165" i="30"/>
  <c r="Q169" i="30"/>
  <c r="Q177" i="30"/>
  <c r="Q181" i="30"/>
  <c r="Q185" i="30"/>
  <c r="Q193" i="30"/>
  <c r="Q197" i="30"/>
  <c r="Q201" i="30"/>
  <c r="Q213" i="30"/>
  <c r="Q217" i="30"/>
  <c r="Q221" i="30"/>
  <c r="Q225" i="30"/>
  <c r="Q229" i="30"/>
  <c r="Q233" i="30"/>
  <c r="Q237" i="30"/>
  <c r="Q241" i="30"/>
  <c r="Q245" i="30"/>
  <c r="Q249" i="30"/>
  <c r="Q253" i="30"/>
  <c r="Q257" i="30"/>
  <c r="Q261" i="30"/>
  <c r="Q265" i="30"/>
  <c r="Q269" i="30"/>
  <c r="Q277" i="30"/>
  <c r="Q281" i="30"/>
  <c r="Q285" i="30"/>
  <c r="Q289" i="30"/>
  <c r="Q293" i="30"/>
  <c r="Q297" i="30"/>
  <c r="Q301" i="30"/>
  <c r="Q305" i="30"/>
  <c r="Q309" i="30"/>
  <c r="Q313" i="30"/>
  <c r="Q317" i="30"/>
  <c r="Q321" i="30"/>
  <c r="Q325" i="30"/>
  <c r="Q329" i="30"/>
  <c r="Q333" i="30"/>
  <c r="Q337" i="30"/>
  <c r="Q341" i="30"/>
  <c r="Q345" i="30"/>
  <c r="Q349" i="30"/>
  <c r="Q353" i="30"/>
  <c r="Q357" i="30"/>
  <c r="Q361" i="30"/>
  <c r="Q365" i="30"/>
  <c r="Q369" i="30"/>
  <c r="Q373" i="30"/>
  <c r="Q377" i="30"/>
  <c r="Q381" i="30"/>
  <c r="Q385" i="30"/>
  <c r="Q389" i="30"/>
  <c r="Q393" i="30"/>
  <c r="Q30" i="30"/>
  <c r="CL156" i="5" s="1"/>
  <c r="Q34" i="30"/>
  <c r="CL160" i="5" s="1"/>
  <c r="Q38" i="30"/>
  <c r="CL167" i="5" s="1"/>
  <c r="Q42" i="30"/>
  <c r="CL171" i="5" s="1"/>
  <c r="Q110" i="30"/>
  <c r="Q274" i="30"/>
  <c r="L133" i="29"/>
  <c r="U43" i="30"/>
  <c r="CP172" i="5" s="1"/>
  <c r="S47" i="30"/>
  <c r="CN179" i="5" s="1"/>
  <c r="U51" i="30"/>
  <c r="CP183" i="5" s="1"/>
  <c r="S59" i="30"/>
  <c r="S171" i="30"/>
  <c r="U179" i="30"/>
  <c r="U183" i="30"/>
  <c r="S191" i="30"/>
  <c r="U195" i="30"/>
  <c r="U203" i="30"/>
  <c r="U211" i="30"/>
  <c r="S223" i="30"/>
  <c r="U227" i="30"/>
  <c r="S231" i="30"/>
  <c r="S235" i="30"/>
  <c r="U243" i="30"/>
  <c r="U247" i="30"/>
  <c r="S255" i="30"/>
  <c r="U259" i="30"/>
  <c r="U267" i="30"/>
  <c r="U275" i="30"/>
  <c r="U287" i="30"/>
  <c r="U291" i="30"/>
  <c r="U307" i="30"/>
  <c r="U311" i="30"/>
  <c r="U323" i="30"/>
  <c r="U331" i="30"/>
  <c r="U339" i="30"/>
  <c r="U351" i="30"/>
  <c r="U355" i="30"/>
  <c r="U371" i="30"/>
  <c r="U375" i="30"/>
  <c r="U387" i="30"/>
  <c r="U395" i="30"/>
  <c r="U392" i="30"/>
  <c r="U364" i="30"/>
  <c r="U332" i="30"/>
  <c r="U300" i="30"/>
  <c r="U256" i="30"/>
  <c r="U220" i="30"/>
  <c r="U56" i="30"/>
  <c r="CP188" i="5" s="1"/>
  <c r="U40" i="30"/>
  <c r="CP169" i="5" s="1"/>
  <c r="S48" i="30"/>
  <c r="CN180" i="5" s="1"/>
  <c r="S52" i="30"/>
  <c r="CN184" i="5" s="1"/>
  <c r="S60" i="30"/>
  <c r="CN195" i="5" s="1"/>
  <c r="U164" i="30"/>
  <c r="U168" i="30"/>
  <c r="S172" i="30"/>
  <c r="AE172" i="30" s="1"/>
  <c r="U180" i="30"/>
  <c r="U188" i="30"/>
  <c r="S192" i="30"/>
  <c r="U204" i="30"/>
  <c r="AE204" i="30" s="1"/>
  <c r="S208" i="30"/>
  <c r="U212" i="30"/>
  <c r="S216" i="30"/>
  <c r="U228" i="30"/>
  <c r="U232" i="30"/>
  <c r="S236" i="30"/>
  <c r="AE236" i="30" s="1"/>
  <c r="U248" i="30"/>
  <c r="S252" i="30"/>
  <c r="S256" i="30"/>
  <c r="U272" i="30"/>
  <c r="S280" i="30"/>
  <c r="U292" i="30"/>
  <c r="U296" i="30"/>
  <c r="S300" i="30"/>
  <c r="U308" i="30"/>
  <c r="U312" i="30"/>
  <c r="S316" i="30"/>
  <c r="AE316" i="30" s="1"/>
  <c r="S320" i="30"/>
  <c r="U324" i="30"/>
  <c r="U328" i="30"/>
  <c r="S336" i="30"/>
  <c r="AE336" i="30" s="1"/>
  <c r="U340" i="30"/>
  <c r="S344" i="30"/>
  <c r="U356" i="30"/>
  <c r="U360" i="30"/>
  <c r="S364" i="30"/>
  <c r="U372" i="30"/>
  <c r="U376" i="30"/>
  <c r="S380" i="30"/>
  <c r="AE380" i="30" s="1"/>
  <c r="U384" i="30"/>
  <c r="U388" i="30"/>
  <c r="U381" i="30"/>
  <c r="U352" i="30"/>
  <c r="U320" i="30"/>
  <c r="U288" i="30"/>
  <c r="U240" i="30"/>
  <c r="U196" i="30"/>
  <c r="U48" i="30"/>
  <c r="CP180" i="5" s="1"/>
  <c r="V16" i="30"/>
  <c r="S41" i="30"/>
  <c r="CN170" i="5" s="1"/>
  <c r="U57" i="30"/>
  <c r="CP189" i="5" s="1"/>
  <c r="S165" i="30"/>
  <c r="S177" i="30"/>
  <c r="S181" i="30"/>
  <c r="S209" i="30"/>
  <c r="S213" i="30"/>
  <c r="U221" i="30"/>
  <c r="S229" i="30"/>
  <c r="S245" i="30"/>
  <c r="S261" i="30"/>
  <c r="S273" i="30"/>
  <c r="S293" i="30"/>
  <c r="U301" i="30"/>
  <c r="S305" i="30"/>
  <c r="S309" i="30"/>
  <c r="S337" i="30"/>
  <c r="S341" i="30"/>
  <c r="U349" i="30"/>
  <c r="S357" i="30"/>
  <c r="S373" i="30"/>
  <c r="S389" i="30"/>
  <c r="U393" i="30"/>
  <c r="Q209" i="30"/>
  <c r="Q273" i="30"/>
  <c r="Q20" i="30"/>
  <c r="S267" i="30"/>
  <c r="S351" i="30"/>
  <c r="U191" i="30"/>
  <c r="I79" i="24"/>
  <c r="S168" i="30"/>
  <c r="S188" i="30"/>
  <c r="S232" i="30"/>
  <c r="S272" i="30"/>
  <c r="S296" i="30"/>
  <c r="S360" i="30"/>
  <c r="U344" i="30"/>
  <c r="U280" i="30"/>
  <c r="S114" i="30"/>
  <c r="S94" i="30"/>
  <c r="CN235" i="5" s="1"/>
  <c r="S81" i="30"/>
  <c r="CN219" i="5" s="1"/>
  <c r="S93" i="30"/>
  <c r="CN234" i="5" s="1"/>
  <c r="S101" i="30"/>
  <c r="S105" i="30"/>
  <c r="S113" i="30"/>
  <c r="S125" i="30"/>
  <c r="S133" i="30"/>
  <c r="S145" i="30"/>
  <c r="S149" i="30"/>
  <c r="S157" i="30"/>
  <c r="CI146" i="5"/>
  <c r="S183" i="30"/>
  <c r="S384" i="30"/>
  <c r="S90" i="30"/>
  <c r="CN231" i="5" s="1"/>
  <c r="S74" i="30"/>
  <c r="CN212" i="5" s="1"/>
  <c r="U39" i="30"/>
  <c r="CP168" i="5" s="1"/>
  <c r="S39" i="30"/>
  <c r="CN168" i="5" s="1"/>
  <c r="S55" i="30"/>
  <c r="CN187" i="5" s="1"/>
  <c r="U55" i="30"/>
  <c r="CP187" i="5" s="1"/>
  <c r="U167" i="30"/>
  <c r="S167" i="30"/>
  <c r="S175" i="30"/>
  <c r="U175" i="30"/>
  <c r="U187" i="30"/>
  <c r="S187" i="30"/>
  <c r="S199" i="30"/>
  <c r="U199" i="30"/>
  <c r="U207" i="30"/>
  <c r="S207" i="30"/>
  <c r="U215" i="30"/>
  <c r="S215" i="30"/>
  <c r="S219" i="30"/>
  <c r="U219" i="30"/>
  <c r="S239" i="30"/>
  <c r="U239" i="30"/>
  <c r="U251" i="30"/>
  <c r="S251" i="30"/>
  <c r="S263" i="30"/>
  <c r="U263" i="30"/>
  <c r="U271" i="30"/>
  <c r="S271" i="30"/>
  <c r="U279" i="30"/>
  <c r="S279" i="30"/>
  <c r="S283" i="30"/>
  <c r="U283" i="30"/>
  <c r="U295" i="30"/>
  <c r="S295" i="30"/>
  <c r="S299" i="30"/>
  <c r="U299" i="30"/>
  <c r="U303" i="30"/>
  <c r="S303" i="30"/>
  <c r="U315" i="30"/>
  <c r="S315" i="30"/>
  <c r="U319" i="30"/>
  <c r="S319" i="30"/>
  <c r="U327" i="30"/>
  <c r="S327" i="30"/>
  <c r="U335" i="30"/>
  <c r="S335" i="30"/>
  <c r="U343" i="30"/>
  <c r="S343" i="30"/>
  <c r="S347" i="30"/>
  <c r="U347" i="30"/>
  <c r="U359" i="30"/>
  <c r="S359" i="30"/>
  <c r="S363" i="30"/>
  <c r="U363" i="30"/>
  <c r="U367" i="30"/>
  <c r="S367" i="30"/>
  <c r="U379" i="30"/>
  <c r="S379" i="30"/>
  <c r="U383" i="30"/>
  <c r="S383" i="30"/>
  <c r="S391" i="30"/>
  <c r="U391" i="30"/>
  <c r="S203" i="30"/>
  <c r="S287" i="30"/>
  <c r="S375" i="30"/>
  <c r="U47" i="30"/>
  <c r="CP179" i="5" s="1"/>
  <c r="S43" i="30"/>
  <c r="S311" i="30"/>
  <c r="S395" i="30"/>
  <c r="U255" i="30"/>
  <c r="S247" i="30"/>
  <c r="S331" i="30"/>
  <c r="U235" i="30"/>
  <c r="E12" i="30"/>
  <c r="L6" i="30"/>
  <c r="L11" i="30"/>
  <c r="L17" i="30"/>
  <c r="Q26" i="30"/>
  <c r="CL152" i="5" s="1"/>
  <c r="Q82" i="30"/>
  <c r="CL220" i="5" s="1"/>
  <c r="Q178" i="30"/>
  <c r="Q198" i="30"/>
  <c r="Q258" i="30"/>
  <c r="Q322" i="30"/>
  <c r="Q338" i="30"/>
  <c r="Q386" i="30"/>
  <c r="Q31" i="30"/>
  <c r="CL157" i="5" s="1"/>
  <c r="Q35" i="30"/>
  <c r="CL164" i="5" s="1"/>
  <c r="Q39" i="30"/>
  <c r="CL168" i="5" s="1"/>
  <c r="Q43" i="30"/>
  <c r="CL172" i="5" s="1"/>
  <c r="Q139" i="30"/>
  <c r="Q383" i="30"/>
  <c r="Q28" i="30"/>
  <c r="CL154" i="5" s="1"/>
  <c r="Q32" i="30"/>
  <c r="CL158" i="5" s="1"/>
  <c r="Q36" i="30"/>
  <c r="CL165" i="5" s="1"/>
  <c r="Q40" i="30"/>
  <c r="CL169" i="5" s="1"/>
  <c r="Q124" i="30"/>
  <c r="Q188" i="30"/>
  <c r="Q284" i="30"/>
  <c r="Q328" i="30"/>
  <c r="Q364" i="30"/>
  <c r="U76" i="30"/>
  <c r="E10" i="30"/>
  <c r="O119" i="29"/>
  <c r="Z202" i="5"/>
  <c r="AB202" i="5" s="1"/>
  <c r="I20" i="30"/>
  <c r="U357" i="30"/>
  <c r="U156" i="30"/>
  <c r="AE368" i="30"/>
  <c r="BM183" i="5"/>
  <c r="CN96" i="14"/>
  <c r="CO96" i="14" s="1"/>
  <c r="CP96" i="14" s="1"/>
  <c r="L86" i="14"/>
  <c r="L34" i="14"/>
  <c r="L36" i="14"/>
  <c r="L64" i="14"/>
  <c r="L67" i="14"/>
  <c r="L70" i="14"/>
  <c r="L81" i="14"/>
  <c r="L76" i="14"/>
  <c r="L94" i="14"/>
  <c r="L78" i="14"/>
  <c r="L69" i="14"/>
  <c r="L58" i="14"/>
  <c r="L89" i="14"/>
  <c r="L88" i="14"/>
  <c r="L71" i="14"/>
  <c r="L73" i="14"/>
  <c r="L96" i="14"/>
  <c r="L35" i="14"/>
  <c r="L91" i="14"/>
  <c r="L37" i="14"/>
  <c r="L65" i="14"/>
  <c r="L80" i="14"/>
  <c r="L83" i="14"/>
  <c r="L87" i="14"/>
  <c r="L44" i="14"/>
  <c r="L41" i="14"/>
  <c r="L49" i="14"/>
  <c r="L95" i="14"/>
  <c r="L40" i="14"/>
  <c r="L85" i="14"/>
  <c r="L50" i="14"/>
  <c r="L55" i="14"/>
  <c r="L38" i="14"/>
  <c r="AQ34" i="14"/>
  <c r="L77" i="14"/>
  <c r="L42" i="14"/>
  <c r="L72" i="14"/>
  <c r="L79" i="14"/>
  <c r="L48" i="14"/>
  <c r="L97" i="14"/>
  <c r="L92" i="14"/>
  <c r="L63" i="14"/>
  <c r="L43" i="14"/>
  <c r="L61" i="14"/>
  <c r="L51" i="14"/>
  <c r="L82" i="14"/>
  <c r="L52" i="14"/>
  <c r="L46" i="14"/>
  <c r="L93" i="14"/>
  <c r="L54" i="14"/>
  <c r="CE34" i="14"/>
  <c r="L60" i="14"/>
  <c r="L39" i="14"/>
  <c r="L53" i="14"/>
  <c r="L74" i="14"/>
  <c r="L62" i="14"/>
  <c r="L45" i="14"/>
  <c r="L57" i="14"/>
  <c r="L75" i="14"/>
  <c r="L47" i="14"/>
  <c r="L56" i="14"/>
  <c r="L68" i="14"/>
  <c r="L90" i="14"/>
  <c r="L84" i="14"/>
  <c r="L59" i="14"/>
  <c r="L66" i="14"/>
  <c r="H62" i="9"/>
  <c r="J61" i="9"/>
  <c r="AI43" i="10"/>
  <c r="AJ44" i="10"/>
  <c r="L90" i="5"/>
  <c r="M90" i="5"/>
  <c r="AO146" i="5"/>
  <c r="CG36" i="14"/>
  <c r="CG37" i="14" s="1"/>
  <c r="CG38" i="14" s="1"/>
  <c r="CG39" i="14" s="1"/>
  <c r="CG40" i="14" s="1"/>
  <c r="CG41" i="14" s="1"/>
  <c r="CG42" i="14" s="1"/>
  <c r="CG43" i="14" s="1"/>
  <c r="CG44" i="14" s="1"/>
  <c r="CG45" i="14" s="1"/>
  <c r="CG46" i="14" s="1"/>
  <c r="AS36" i="14"/>
  <c r="AS37" i="14" s="1"/>
  <c r="AS38" i="14" s="1"/>
  <c r="AS39" i="14" s="1"/>
  <c r="AS40" i="14" s="1"/>
  <c r="AS41" i="14" s="1"/>
  <c r="AS42" i="14" s="1"/>
  <c r="AS43" i="14" s="1"/>
  <c r="AS44" i="14" s="1"/>
  <c r="AS45" i="14" s="1"/>
  <c r="AS46" i="14" s="1"/>
  <c r="AS47" i="14" s="1"/>
  <c r="AS48" i="14" s="1"/>
  <c r="AS49" i="14" s="1"/>
  <c r="AS50" i="14" s="1"/>
  <c r="AS51" i="14" s="1"/>
  <c r="AS52" i="14" s="1"/>
  <c r="AS53" i="14" s="1"/>
  <c r="AS54" i="14" s="1"/>
  <c r="AS55" i="14" s="1"/>
  <c r="AS56" i="14" s="1"/>
  <c r="AS57" i="14" s="1"/>
  <c r="AS58" i="14" s="1"/>
  <c r="AS59" i="14" s="1"/>
  <c r="AS60" i="14" s="1"/>
  <c r="AS61" i="14" s="1"/>
  <c r="AS62" i="14" s="1"/>
  <c r="AS63" i="14" s="1"/>
  <c r="AS64" i="14" s="1"/>
  <c r="AS65" i="14" s="1"/>
  <c r="AS66" i="14" s="1"/>
  <c r="AS67" i="14" s="1"/>
  <c r="AS68" i="14" s="1"/>
  <c r="AS69" i="14" s="1"/>
  <c r="AS70" i="14" s="1"/>
  <c r="AS71" i="14" s="1"/>
  <c r="AS72" i="14" s="1"/>
  <c r="AS73" i="14" s="1"/>
  <c r="AS74" i="14" s="1"/>
  <c r="AS75" i="14" s="1"/>
  <c r="AS76" i="14" s="1"/>
  <c r="AS77" i="14" s="1"/>
  <c r="AS78" i="14" s="1"/>
  <c r="AS79" i="14" s="1"/>
  <c r="AS80" i="14" s="1"/>
  <c r="AS81" i="14" s="1"/>
  <c r="AS82" i="14" s="1"/>
  <c r="AS83" i="14" s="1"/>
  <c r="AS84" i="14" s="1"/>
  <c r="AS85" i="14" s="1"/>
  <c r="AS86" i="14" s="1"/>
  <c r="AS87" i="14" s="1"/>
  <c r="AS88" i="14" s="1"/>
  <c r="AS89" i="14" s="1"/>
  <c r="AS90" i="14" s="1"/>
  <c r="AS91" i="14" s="1"/>
  <c r="AS92" i="14" s="1"/>
  <c r="AS93" i="14" s="1"/>
  <c r="AS94" i="14" s="1"/>
  <c r="M89" i="5"/>
  <c r="L89" i="5"/>
  <c r="BA101" i="5"/>
  <c r="M79" i="5"/>
  <c r="L79" i="5"/>
  <c r="M83" i="5"/>
  <c r="L83" i="5"/>
  <c r="L81" i="5"/>
  <c r="M81" i="5"/>
  <c r="L68" i="5"/>
  <c r="M68" i="5"/>
  <c r="AI19" i="10"/>
  <c r="AJ20" i="10"/>
  <c r="J8" i="11"/>
  <c r="L7" i="11"/>
  <c r="N15" i="8"/>
  <c r="AG14" i="8"/>
  <c r="J19" i="16"/>
  <c r="L18" i="16"/>
  <c r="AO39" i="5"/>
  <c r="BI12" i="8"/>
  <c r="BS81" i="5"/>
  <c r="BR81" i="5"/>
  <c r="BR74" i="5"/>
  <c r="BS74" i="5"/>
  <c r="BS79" i="5"/>
  <c r="BR79" i="5"/>
  <c r="AO38" i="5"/>
  <c r="BI11" i="8"/>
  <c r="B24" i="9"/>
  <c r="B36" i="9" s="1"/>
  <c r="B48" i="9" s="1"/>
  <c r="B60" i="9" s="1"/>
  <c r="B72" i="9" s="1"/>
  <c r="B84" i="9" s="1"/>
  <c r="B96" i="9" s="1"/>
  <c r="B108" i="9" s="1"/>
  <c r="B120" i="9" s="1"/>
  <c r="B132" i="9" s="1"/>
  <c r="B13" i="9"/>
  <c r="AQ32" i="5"/>
  <c r="AS32" i="5"/>
  <c r="AH48" i="10"/>
  <c r="J60" i="9"/>
  <c r="AH45" i="10"/>
  <c r="BH43" i="10"/>
  <c r="BI43" i="10" s="1"/>
  <c r="BJ43" i="10" s="1"/>
  <c r="W47" i="19"/>
  <c r="X47" i="19" s="1"/>
  <c r="W46" i="19"/>
  <c r="X46" i="19" s="1"/>
  <c r="AJ40" i="10"/>
  <c r="W43" i="19"/>
  <c r="X43" i="19" s="1"/>
  <c r="BA83" i="5"/>
  <c r="AI34" i="10"/>
  <c r="K30" i="17"/>
  <c r="AJ34" i="10"/>
  <c r="BA81" i="5"/>
  <c r="BA86" i="5" s="1"/>
  <c r="AI25" i="10"/>
  <c r="AJ26" i="10"/>
  <c r="M32" i="15"/>
  <c r="K33" i="15"/>
  <c r="K8" i="17"/>
  <c r="M7" i="17"/>
  <c r="AI6" i="10"/>
  <c r="AJ7" i="10"/>
  <c r="F56" i="16"/>
  <c r="G55" i="16"/>
  <c r="V15" i="11"/>
  <c r="V16" i="11" s="1"/>
  <c r="V17" i="11" s="1"/>
  <c r="V18" i="11" s="1"/>
  <c r="V19" i="11" s="1"/>
  <c r="V20" i="11" s="1"/>
  <c r="V21" i="11" s="1"/>
  <c r="V22" i="11" s="1"/>
  <c r="V23" i="11" s="1"/>
  <c r="V24" i="11" s="1"/>
  <c r="V25" i="11" s="1"/>
  <c r="V26" i="11" s="1"/>
  <c r="V27" i="11" s="1"/>
  <c r="V28" i="11" s="1"/>
  <c r="V29" i="11" s="1"/>
  <c r="V30" i="11" s="1"/>
  <c r="V31" i="11" s="1"/>
  <c r="V32" i="11" s="1"/>
  <c r="V33" i="11" s="1"/>
  <c r="V34" i="11" s="1"/>
  <c r="V35" i="11" s="1"/>
  <c r="V36" i="11" s="1"/>
  <c r="V37" i="11" s="1"/>
  <c r="V38" i="11" s="1"/>
  <c r="V39" i="11" s="1"/>
  <c r="V40" i="11" s="1"/>
  <c r="V41" i="11" s="1"/>
  <c r="V42" i="11" s="1"/>
  <c r="V43" i="11" s="1"/>
  <c r="V44" i="11" s="1"/>
  <c r="V45" i="11" s="1"/>
  <c r="V46" i="11" s="1"/>
  <c r="V47" i="11" s="1"/>
  <c r="V48" i="11" s="1"/>
  <c r="V49" i="11" s="1"/>
  <c r="V50" i="11" s="1"/>
  <c r="V51" i="11" s="1"/>
  <c r="V52" i="11" s="1"/>
  <c r="V53" i="11" s="1"/>
  <c r="V54" i="11" s="1"/>
  <c r="V55" i="11" s="1"/>
  <c r="V56" i="11" s="1"/>
  <c r="V57" i="11" s="1"/>
  <c r="V58" i="11" s="1"/>
  <c r="V59" i="11" s="1"/>
  <c r="V60" i="11" s="1"/>
  <c r="V61" i="11" s="1"/>
  <c r="V62" i="11" s="1"/>
  <c r="V63" i="11" s="1"/>
  <c r="V64" i="11" s="1"/>
  <c r="V65" i="11" s="1"/>
  <c r="V66" i="11" s="1"/>
  <c r="V67" i="11" s="1"/>
  <c r="V68" i="11" s="1"/>
  <c r="V69" i="11" s="1"/>
  <c r="V70" i="11" s="1"/>
  <c r="V71" i="11" s="1"/>
  <c r="V72" i="11" s="1"/>
  <c r="V73" i="11" s="1"/>
  <c r="V74" i="11" s="1"/>
  <c r="V75" i="11" s="1"/>
  <c r="V76" i="11" s="1"/>
  <c r="V77" i="11" s="1"/>
  <c r="V78" i="11" s="1"/>
  <c r="V79" i="11" s="1"/>
  <c r="V80" i="11" s="1"/>
  <c r="V81" i="11" s="1"/>
  <c r="V82" i="11" s="1"/>
  <c r="V83" i="11" s="1"/>
  <c r="V84" i="11" s="1"/>
  <c r="V85" i="11" s="1"/>
  <c r="V86" i="11" s="1"/>
  <c r="V87" i="11" s="1"/>
  <c r="V88" i="11" s="1"/>
  <c r="V89" i="11" s="1"/>
  <c r="V90" i="11" s="1"/>
  <c r="V91" i="11" s="1"/>
  <c r="V92" i="11" s="1"/>
  <c r="V93" i="11" s="1"/>
  <c r="V94" i="11" s="1"/>
  <c r="V95" i="11" s="1"/>
  <c r="V96" i="11" s="1"/>
  <c r="V97" i="11" s="1"/>
  <c r="V98" i="11" s="1"/>
  <c r="V99" i="11" s="1"/>
  <c r="V100" i="11" s="1"/>
  <c r="V101" i="11" s="1"/>
  <c r="V102" i="11" s="1"/>
  <c r="V103" i="11" s="1"/>
  <c r="V104" i="11" s="1"/>
  <c r="V105" i="11" s="1"/>
  <c r="V106" i="11" s="1"/>
  <c r="V107" i="11" s="1"/>
  <c r="V108" i="11" s="1"/>
  <c r="V109" i="11" s="1"/>
  <c r="V110" i="11" s="1"/>
  <c r="V111" i="11" s="1"/>
  <c r="V112" i="11" s="1"/>
  <c r="V113" i="11" s="1"/>
  <c r="V114" i="11" s="1"/>
  <c r="V115" i="11" s="1"/>
  <c r="V116" i="11" s="1"/>
  <c r="V117" i="11" s="1"/>
  <c r="V118" i="11" s="1"/>
  <c r="V119" i="11" s="1"/>
  <c r="V120" i="11" s="1"/>
  <c r="V121" i="11" s="1"/>
  <c r="V122" i="11" s="1"/>
  <c r="V123" i="11" s="1"/>
  <c r="V124" i="11" s="1"/>
  <c r="V125" i="11" s="1"/>
  <c r="V126" i="11" s="1"/>
  <c r="V127" i="11" s="1"/>
  <c r="V128" i="11" s="1"/>
  <c r="V129" i="11" s="1"/>
  <c r="V130" i="11" s="1"/>
  <c r="V131" i="11" s="1"/>
  <c r="V132" i="11" s="1"/>
  <c r="V133" i="11" s="1"/>
  <c r="BS77" i="5"/>
  <c r="BR77" i="5"/>
  <c r="BR82" i="5"/>
  <c r="BS82" i="5"/>
  <c r="BS84" i="5"/>
  <c r="BR84" i="5"/>
  <c r="BN11" i="7"/>
  <c r="AQ12" i="7"/>
  <c r="AO37" i="5"/>
  <c r="BI10" i="8"/>
  <c r="BJ10" i="8" s="1"/>
  <c r="BK10" i="8" s="1"/>
  <c r="BT7" i="7"/>
  <c r="F14" i="5" s="1"/>
  <c r="AF14" i="5" s="1"/>
  <c r="BL9" i="8"/>
  <c r="J36" i="5" s="1"/>
  <c r="AQ36" i="5" s="1"/>
  <c r="BL7" i="8"/>
  <c r="J34" i="5" s="1"/>
  <c r="AR34" i="5" s="1"/>
  <c r="BL8" i="8"/>
  <c r="J35" i="5" s="1"/>
  <c r="AR35" i="5" s="1"/>
  <c r="BE28" i="7"/>
  <c r="BE29" i="7" s="1"/>
  <c r="BE30" i="7" s="1"/>
  <c r="BN30" i="7" s="1"/>
  <c r="BP30" i="7" s="1"/>
  <c r="BE76" i="7"/>
  <c r="CK27" i="14"/>
  <c r="CM27" i="14" s="1"/>
  <c r="BN28" i="14"/>
  <c r="CK28" i="14" s="1"/>
  <c r="CM28" i="14" s="1"/>
  <c r="Y59" i="7"/>
  <c r="Y60" i="7" s="1"/>
  <c r="Y61" i="7" s="1"/>
  <c r="Y62" i="7" s="1"/>
  <c r="Y76" i="7"/>
  <c r="AJ39" i="10"/>
  <c r="BH38" i="10"/>
  <c r="BI38" i="10" s="1"/>
  <c r="BJ38" i="10" s="1"/>
  <c r="AH37" i="10"/>
  <c r="AJ36" i="10"/>
  <c r="AH36" i="10"/>
  <c r="AO130" i="5"/>
  <c r="AI32" i="10"/>
  <c r="AJ32" i="10"/>
  <c r="L77" i="5"/>
  <c r="BH31" i="10"/>
  <c r="AH30" i="10"/>
  <c r="AI28" i="10"/>
  <c r="CO27" i="14"/>
  <c r="CP27" i="14" s="1"/>
  <c r="Q93" i="5"/>
  <c r="P93" i="5"/>
  <c r="BS69" i="5"/>
  <c r="BS71" i="5" s="1"/>
  <c r="BR69" i="5"/>
  <c r="BR71" i="5" s="1"/>
  <c r="BS76" i="5"/>
  <c r="BR76" i="5"/>
  <c r="BF11" i="8"/>
  <c r="BH11" i="8" s="1"/>
  <c r="AL12" i="8"/>
  <c r="AI9" i="5"/>
  <c r="AF11" i="5"/>
  <c r="BR8" i="7"/>
  <c r="BS8" i="7" s="1"/>
  <c r="AQ33" i="5"/>
  <c r="AS33" i="5"/>
  <c r="AO36" i="5"/>
  <c r="AO41" i="5" s="1"/>
  <c r="BI9" i="8"/>
  <c r="BJ9" i="8" s="1"/>
  <c r="BK9" i="8" s="1"/>
  <c r="AH10" i="8"/>
  <c r="AH12" i="8"/>
  <c r="AH13" i="8"/>
  <c r="AH14" i="8"/>
  <c r="AH11" i="8"/>
  <c r="AO8" i="7"/>
  <c r="D15" i="5" s="1"/>
  <c r="AN7" i="7"/>
  <c r="E14" i="5" s="1"/>
  <c r="W44" i="19"/>
  <c r="X44" i="19" s="1"/>
  <c r="AX33" i="14"/>
  <c r="AY33" i="14" s="1"/>
  <c r="CO28" i="14"/>
  <c r="CP28" i="14" s="1"/>
  <c r="CO25" i="14"/>
  <c r="CP25" i="14" s="1"/>
  <c r="AI18" i="10"/>
  <c r="AJ19" i="10"/>
  <c r="M60" i="5"/>
  <c r="L60" i="5"/>
  <c r="AZ19" i="14"/>
  <c r="AY18" i="14"/>
  <c r="BK6" i="10"/>
  <c r="N48" i="5" s="1"/>
  <c r="BK7" i="10"/>
  <c r="N49" i="5" s="1"/>
  <c r="BK5" i="10"/>
  <c r="N47" i="5" s="1"/>
  <c r="CQ8" i="14"/>
  <c r="R74" i="5" s="1"/>
  <c r="S74" i="5" s="1"/>
  <c r="CQ6" i="14"/>
  <c r="R69" i="5" s="1"/>
  <c r="CQ7" i="14"/>
  <c r="R70" i="5" s="1"/>
  <c r="CQ5" i="14"/>
  <c r="R68" i="5" s="1"/>
  <c r="S68" i="5" s="1"/>
  <c r="BR75" i="5"/>
  <c r="BS75" i="5"/>
  <c r="BS78" i="5"/>
  <c r="BR78" i="5"/>
  <c r="BR83" i="5"/>
  <c r="BS83" i="5"/>
  <c r="B8" i="16"/>
  <c r="B20" i="16" s="1"/>
  <c r="B32" i="16" s="1"/>
  <c r="B44" i="16" s="1"/>
  <c r="B56" i="16" s="1"/>
  <c r="B68" i="16" s="1"/>
  <c r="B80" i="16" s="1"/>
  <c r="B92" i="16" s="1"/>
  <c r="B19" i="16"/>
  <c r="B31" i="16" s="1"/>
  <c r="B43" i="16" s="1"/>
  <c r="B55" i="16" s="1"/>
  <c r="B67" i="16" s="1"/>
  <c r="B79" i="16" s="1"/>
  <c r="B91" i="16" s="1"/>
  <c r="AQ35" i="5"/>
  <c r="AS36" i="5"/>
  <c r="L13" i="9"/>
  <c r="AB12" i="9"/>
  <c r="AG80" i="16"/>
  <c r="AL9" i="7"/>
  <c r="O10" i="7"/>
  <c r="N9" i="6"/>
  <c r="U71" i="8"/>
  <c r="AG71" i="8" s="1"/>
  <c r="AG70" i="8"/>
  <c r="P76" i="6"/>
  <c r="Q6" i="6"/>
  <c r="Q8" i="6"/>
  <c r="Q7" i="6"/>
  <c r="N12" i="11"/>
  <c r="AE11" i="11"/>
  <c r="L17" i="16"/>
  <c r="CK25" i="14"/>
  <c r="CM25" i="14" s="1"/>
  <c r="AK31" i="7"/>
  <c r="AK32" i="7" s="1"/>
  <c r="AK33" i="7" s="1"/>
  <c r="AK34" i="7" s="1"/>
  <c r="AK35" i="7" s="1"/>
  <c r="AK36" i="7" s="1"/>
  <c r="AK37" i="7" s="1"/>
  <c r="AK38" i="7" s="1"/>
  <c r="AK39" i="7" s="1"/>
  <c r="AK40" i="7" s="1"/>
  <c r="AK41" i="7" s="1"/>
  <c r="AK42" i="7" s="1"/>
  <c r="AK43" i="7" s="1"/>
  <c r="AK44" i="7" s="1"/>
  <c r="AK45" i="7" s="1"/>
  <c r="AK46" i="7" s="1"/>
  <c r="AK47" i="7" s="1"/>
  <c r="AK48" i="7" s="1"/>
  <c r="AK49" i="7" s="1"/>
  <c r="AK50" i="7" s="1"/>
  <c r="AK51" i="7" s="1"/>
  <c r="AK52" i="7" s="1"/>
  <c r="AK53" i="7" s="1"/>
  <c r="AK54" i="7" s="1"/>
  <c r="AK55" i="7" s="1"/>
  <c r="AK56" i="7" s="1"/>
  <c r="AK57" i="7" s="1"/>
  <c r="AK58" i="7" s="1"/>
  <c r="AK59" i="7" s="1"/>
  <c r="AK60" i="7" s="1"/>
  <c r="AK61" i="7" s="1"/>
  <c r="AK62" i="7" s="1"/>
  <c r="AK63" i="7" s="1"/>
  <c r="AK64" i="7" s="1"/>
  <c r="AK65" i="7" s="1"/>
  <c r="AK66" i="7" s="1"/>
  <c r="AK67" i="7" s="1"/>
  <c r="AK68" i="7" s="1"/>
  <c r="AK69" i="7" s="1"/>
  <c r="AK70" i="7" s="1"/>
  <c r="AK71" i="7" s="1"/>
  <c r="AK72" i="7" s="1"/>
  <c r="AK73" i="7" s="1"/>
  <c r="AK74" i="7" s="1"/>
  <c r="AL74" i="7" s="1"/>
  <c r="BA135" i="5"/>
  <c r="BH75" i="10"/>
  <c r="BI75" i="10" s="1"/>
  <c r="BJ75" i="10" s="1"/>
  <c r="CK17" i="14"/>
  <c r="CM17" i="14" s="1"/>
  <c r="CO17" i="14" s="1"/>
  <c r="CP17" i="14" s="1"/>
  <c r="CK23" i="14"/>
  <c r="CM23" i="14" s="1"/>
  <c r="CO23" i="14" s="1"/>
  <c r="CP23" i="14" s="1"/>
  <c r="AJ30" i="7"/>
  <c r="AJ31" i="7" s="1"/>
  <c r="AJ32" i="7" s="1"/>
  <c r="AJ33" i="7" s="1"/>
  <c r="AJ34" i="7" s="1"/>
  <c r="AJ35" i="7" s="1"/>
  <c r="AJ36" i="7" s="1"/>
  <c r="AJ37" i="7" s="1"/>
  <c r="AJ38" i="7" s="1"/>
  <c r="AJ39" i="7" s="1"/>
  <c r="AJ40" i="7" s="1"/>
  <c r="AJ41" i="7" s="1"/>
  <c r="AJ42" i="7" s="1"/>
  <c r="AJ43" i="7" s="1"/>
  <c r="AJ44" i="7" s="1"/>
  <c r="AJ45" i="7" s="1"/>
  <c r="AJ46" i="7" s="1"/>
  <c r="AJ47" i="7" s="1"/>
  <c r="AJ48" i="7" s="1"/>
  <c r="AJ49" i="7" s="1"/>
  <c r="AJ50" i="7" s="1"/>
  <c r="AJ51" i="7" s="1"/>
  <c r="AJ52" i="7" s="1"/>
  <c r="AJ53" i="7" s="1"/>
  <c r="AJ54" i="7" s="1"/>
  <c r="AJ55" i="7" s="1"/>
  <c r="AJ56" i="7" s="1"/>
  <c r="AJ57" i="7" s="1"/>
  <c r="AJ58" i="7" s="1"/>
  <c r="AJ59" i="7" s="1"/>
  <c r="AJ60" i="7" s="1"/>
  <c r="AJ61" i="7" s="1"/>
  <c r="AJ62" i="7" s="1"/>
  <c r="AJ63" i="7" s="1"/>
  <c r="AJ64" i="7" s="1"/>
  <c r="AJ65" i="7" s="1"/>
  <c r="AJ66" i="7" s="1"/>
  <c r="AJ67" i="7" s="1"/>
  <c r="AJ68" i="7" s="1"/>
  <c r="AJ69" i="7" s="1"/>
  <c r="AJ70" i="7" s="1"/>
  <c r="AJ71" i="7" s="1"/>
  <c r="AJ72" i="7" s="1"/>
  <c r="AJ73" i="7" s="1"/>
  <c r="AG66" i="8"/>
  <c r="BC31" i="10"/>
  <c r="BE30" i="10"/>
  <c r="BG30" i="10" s="1"/>
  <c r="BI30" i="10" s="1"/>
  <c r="BJ30" i="10" s="1"/>
  <c r="AT14" i="7"/>
  <c r="AT15" i="7" s="1"/>
  <c r="AT16" i="7" s="1"/>
  <c r="AT17" i="7" s="1"/>
  <c r="AT18" i="7" s="1"/>
  <c r="AG68" i="8"/>
  <c r="BE17" i="10"/>
  <c r="BG17" i="10" s="1"/>
  <c r="BI17" i="10" s="1"/>
  <c r="BJ17" i="10" s="1"/>
  <c r="AY28" i="8"/>
  <c r="BF27" i="8"/>
  <c r="BH27" i="8" s="1"/>
  <c r="AG68" i="10"/>
  <c r="AW16" i="7"/>
  <c r="AW17" i="7" s="1"/>
  <c r="AW18" i="7" s="1"/>
  <c r="AW19" i="7" s="1"/>
  <c r="AW20" i="7" s="1"/>
  <c r="AW21" i="7" s="1"/>
  <c r="AW22" i="7" s="1"/>
  <c r="BC28" i="7"/>
  <c r="BC76" i="7"/>
  <c r="BE24" i="10"/>
  <c r="BG24" i="10" s="1"/>
  <c r="BI24" i="10" s="1"/>
  <c r="BJ24" i="10" s="1"/>
  <c r="AD80" i="10"/>
  <c r="AG80" i="10" s="1"/>
  <c r="AG79" i="10"/>
  <c r="BB21" i="7"/>
  <c r="BB22" i="7" s="1"/>
  <c r="BB23" i="7" s="1"/>
  <c r="BB24" i="7" s="1"/>
  <c r="BB25" i="7" s="1"/>
  <c r="BB26" i="7" s="1"/>
  <c r="BB27" i="7" s="1"/>
  <c r="BN27" i="7" s="1"/>
  <c r="BP27" i="7" s="1"/>
  <c r="Z31" i="7"/>
  <c r="Z32" i="7" s="1"/>
  <c r="Z33" i="7" s="1"/>
  <c r="Z34" i="7" s="1"/>
  <c r="Z35" i="7" s="1"/>
  <c r="Z36" i="7" s="1"/>
  <c r="Z37" i="7" s="1"/>
  <c r="Z38" i="7" s="1"/>
  <c r="Z39" i="7" s="1"/>
  <c r="Z40" i="7" s="1"/>
  <c r="Z41" i="7" s="1"/>
  <c r="Z42" i="7" s="1"/>
  <c r="Z43" i="7" s="1"/>
  <c r="Z44" i="7" s="1"/>
  <c r="Z45" i="7" s="1"/>
  <c r="Z46" i="7" s="1"/>
  <c r="Z47" i="7" s="1"/>
  <c r="Z48" i="7" s="1"/>
  <c r="Z49" i="7" s="1"/>
  <c r="Z50" i="7" s="1"/>
  <c r="Z51" i="7" s="1"/>
  <c r="Z52" i="7" s="1"/>
  <c r="Z53" i="7" s="1"/>
  <c r="Z54" i="7" s="1"/>
  <c r="Z55" i="7" s="1"/>
  <c r="Z56" i="7" s="1"/>
  <c r="Z57" i="7" s="1"/>
  <c r="Z58" i="7" s="1"/>
  <c r="Z59" i="7" s="1"/>
  <c r="Z60" i="7" s="1"/>
  <c r="Z61" i="7" s="1"/>
  <c r="Z62" i="7" s="1"/>
  <c r="Z63" i="7" s="1"/>
  <c r="O120" i="15"/>
  <c r="AX119" i="15"/>
  <c r="BD28" i="7"/>
  <c r="BD29" i="7" s="1"/>
  <c r="BN29" i="7" s="1"/>
  <c r="BP29" i="7" s="1"/>
  <c r="BF32" i="8"/>
  <c r="BH32" i="8" s="1"/>
  <c r="CK18" i="14"/>
  <c r="CM18" i="14" s="1"/>
  <c r="CO18" i="14" s="1"/>
  <c r="CP18" i="14" s="1"/>
  <c r="AA33" i="17"/>
  <c r="AJ32" i="17"/>
  <c r="BF20" i="14"/>
  <c r="CK20" i="14" s="1"/>
  <c r="CM20" i="14" s="1"/>
  <c r="CO20" i="14" s="1"/>
  <c r="CP20" i="14" s="1"/>
  <c r="CK19" i="14"/>
  <c r="CM19" i="14" s="1"/>
  <c r="CO19" i="14" s="1"/>
  <c r="CP19" i="14" s="1"/>
  <c r="BE34" i="8"/>
  <c r="BF33" i="8"/>
  <c r="BH33" i="8" s="1"/>
  <c r="BE18" i="10"/>
  <c r="BG18" i="10" s="1"/>
  <c r="BI18" i="10" s="1"/>
  <c r="BJ18" i="10" s="1"/>
  <c r="BA20" i="7"/>
  <c r="BA21" i="7" s="1"/>
  <c r="BA22" i="7" s="1"/>
  <c r="BA23" i="7" s="1"/>
  <c r="BA24" i="7" s="1"/>
  <c r="BA25" i="7" s="1"/>
  <c r="U15" i="7"/>
  <c r="U16" i="7" s="1"/>
  <c r="U17" i="7" s="1"/>
  <c r="U18" i="7" s="1"/>
  <c r="U19" i="7" s="1"/>
  <c r="U20" i="7" s="1"/>
  <c r="U21" i="7" s="1"/>
  <c r="U22" i="7" s="1"/>
  <c r="U23" i="7" s="1"/>
  <c r="U24" i="7" s="1"/>
  <c r="U25" i="7" s="1"/>
  <c r="U26" i="7" s="1"/>
  <c r="U27" i="7" s="1"/>
  <c r="U28" i="7" s="1"/>
  <c r="U29" i="7" s="1"/>
  <c r="U30" i="7" s="1"/>
  <c r="U31" i="7" s="1"/>
  <c r="U32" i="7" s="1"/>
  <c r="U33" i="7" s="1"/>
  <c r="U34" i="7" s="1"/>
  <c r="U35" i="7" s="1"/>
  <c r="U36" i="7" s="1"/>
  <c r="U37" i="7" s="1"/>
  <c r="U38" i="7" s="1"/>
  <c r="U39" i="7" s="1"/>
  <c r="U40" i="7" s="1"/>
  <c r="U41" i="7" s="1"/>
  <c r="U42" i="7" s="1"/>
  <c r="U43" i="7" s="1"/>
  <c r="U44" i="7" s="1"/>
  <c r="U45" i="7" s="1"/>
  <c r="U46" i="7" s="1"/>
  <c r="U47" i="7" s="1"/>
  <c r="U48" i="7" s="1"/>
  <c r="U49" i="7" s="1"/>
  <c r="U50" i="7" s="1"/>
  <c r="U51" i="7" s="1"/>
  <c r="U52" i="7" s="1"/>
  <c r="U53" i="7" s="1"/>
  <c r="U54" i="7" s="1"/>
  <c r="U55" i="7" s="1"/>
  <c r="BE28" i="10"/>
  <c r="BG28" i="10" s="1"/>
  <c r="BI28" i="10" s="1"/>
  <c r="BJ28" i="10" s="1"/>
  <c r="AG75" i="8"/>
  <c r="AG81" i="8"/>
  <c r="BF19" i="8"/>
  <c r="BH19" i="8" s="1"/>
  <c r="AQ20" i="8"/>
  <c r="BA31" i="8"/>
  <c r="BF31" i="8" s="1"/>
  <c r="BH31" i="8" s="1"/>
  <c r="BF30" i="8"/>
  <c r="BH30" i="8" s="1"/>
  <c r="AG79" i="8"/>
  <c r="BE23" i="10"/>
  <c r="BG23" i="10" s="1"/>
  <c r="BI23" i="10" s="1"/>
  <c r="BJ23" i="10" s="1"/>
  <c r="AG78" i="8"/>
  <c r="AE32" i="7"/>
  <c r="AE33" i="7" s="1"/>
  <c r="AE34" i="7" s="1"/>
  <c r="AE35" i="7" s="1"/>
  <c r="AE36" i="7" s="1"/>
  <c r="AE37" i="7" s="1"/>
  <c r="AE38" i="7" s="1"/>
  <c r="AE39" i="7" s="1"/>
  <c r="AE40" i="7" s="1"/>
  <c r="AE41" i="7" s="1"/>
  <c r="AE42" i="7" s="1"/>
  <c r="AE43" i="7" s="1"/>
  <c r="AE44" i="7" s="1"/>
  <c r="AE45" i="7" s="1"/>
  <c r="AE46" i="7" s="1"/>
  <c r="AE47" i="7" s="1"/>
  <c r="AE48" i="7" s="1"/>
  <c r="AE49" i="7" s="1"/>
  <c r="AE50" i="7" s="1"/>
  <c r="AE51" i="7" s="1"/>
  <c r="AE52" i="7" s="1"/>
  <c r="AE53" i="7" s="1"/>
  <c r="AE54" i="7" s="1"/>
  <c r="AE55" i="7" s="1"/>
  <c r="AE56" i="7" s="1"/>
  <c r="AE57" i="7" s="1"/>
  <c r="AE58" i="7" s="1"/>
  <c r="AE59" i="7" s="1"/>
  <c r="AE60" i="7" s="1"/>
  <c r="AE61" i="7" s="1"/>
  <c r="AE62" i="7" s="1"/>
  <c r="AE63" i="7" s="1"/>
  <c r="AE64" i="7" s="1"/>
  <c r="AE65" i="7" s="1"/>
  <c r="AE66" i="7" s="1"/>
  <c r="AE67" i="7" s="1"/>
  <c r="AE68" i="7" s="1"/>
  <c r="Q30" i="17"/>
  <c r="AJ30" i="17" s="1"/>
  <c r="AJ29" i="17"/>
  <c r="BA142" i="5"/>
  <c r="BH82" i="10"/>
  <c r="BI82" i="10" s="1"/>
  <c r="BJ82" i="10" s="1"/>
  <c r="AG81" i="10"/>
  <c r="BH25" i="10"/>
  <c r="BI25" i="10" s="1"/>
  <c r="BJ25" i="10" s="1"/>
  <c r="AY29" i="14"/>
  <c r="BM96" i="5"/>
  <c r="AH20" i="10"/>
  <c r="AY23" i="14"/>
  <c r="BM92" i="5"/>
  <c r="BM101" i="5" s="1"/>
  <c r="AX22" i="14"/>
  <c r="AH16" i="10"/>
  <c r="AX20" i="14"/>
  <c r="AH14" i="10"/>
  <c r="AH13" i="10"/>
  <c r="M53" i="5"/>
  <c r="L52" i="5"/>
  <c r="BA53" i="5"/>
  <c r="BA56" i="5" s="1"/>
  <c r="AX16" i="14"/>
  <c r="AH9" i="10"/>
  <c r="CN13" i="14"/>
  <c r="P76" i="5"/>
  <c r="AH7" i="10"/>
  <c r="W12" i="19"/>
  <c r="X12" i="19" s="1"/>
  <c r="AX11" i="14"/>
  <c r="CN11" i="14"/>
  <c r="BM76" i="5"/>
  <c r="BM86" i="5" s="1"/>
  <c r="AX9" i="14"/>
  <c r="CN9" i="14"/>
  <c r="CO9" i="14" s="1"/>
  <c r="CP9" i="14" s="1"/>
  <c r="L6" i="11"/>
  <c r="P69" i="5"/>
  <c r="S69" i="5" s="1"/>
  <c r="AX7" i="14"/>
  <c r="BS80" i="5"/>
  <c r="E16" i="11"/>
  <c r="AM9" i="7"/>
  <c r="AH9" i="8"/>
  <c r="H46" i="17"/>
  <c r="AG73" i="10"/>
  <c r="AG77" i="8"/>
  <c r="AG72" i="10"/>
  <c r="AJ15" i="17"/>
  <c r="O16" i="17"/>
  <c r="AG71" i="10"/>
  <c r="AG66" i="10"/>
  <c r="Q17" i="7"/>
  <c r="Q18" i="7" s="1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43" i="7" s="1"/>
  <c r="Q44" i="7" s="1"/>
  <c r="Q45" i="7" s="1"/>
  <c r="Q46" i="7" s="1"/>
  <c r="Q47" i="7" s="1"/>
  <c r="Q48" i="7" s="1"/>
  <c r="Q49" i="7" s="1"/>
  <c r="Q50" i="7" s="1"/>
  <c r="Q51" i="7" s="1"/>
  <c r="Q52" i="7" s="1"/>
  <c r="Q53" i="7" s="1"/>
  <c r="Q54" i="7" s="1"/>
  <c r="AV17" i="7"/>
  <c r="AV18" i="7" s="1"/>
  <c r="AV19" i="7" s="1"/>
  <c r="AV20" i="7" s="1"/>
  <c r="AG78" i="10"/>
  <c r="AR13" i="7"/>
  <c r="AR14" i="7" s="1"/>
  <c r="AR15" i="7" s="1"/>
  <c r="AR16" i="7" s="1"/>
  <c r="AR17" i="7" s="1"/>
  <c r="AR76" i="7"/>
  <c r="AR21" i="10"/>
  <c r="BE20" i="10"/>
  <c r="BG20" i="10" s="1"/>
  <c r="BI20" i="10" s="1"/>
  <c r="BJ20" i="10" s="1"/>
  <c r="AY22" i="7"/>
  <c r="AY23" i="7" s="1"/>
  <c r="X74" i="8"/>
  <c r="AG74" i="8" s="1"/>
  <c r="AG73" i="8"/>
  <c r="BH33" i="7"/>
  <c r="BE29" i="10"/>
  <c r="BG29" i="10" s="1"/>
  <c r="BI29" i="10" s="1"/>
  <c r="BJ29" i="10" s="1"/>
  <c r="AG74" i="10"/>
  <c r="AF32" i="7"/>
  <c r="AF33" i="7" s="1"/>
  <c r="AF34" i="7" s="1"/>
  <c r="AF35" i="7" s="1"/>
  <c r="AF36" i="7" s="1"/>
  <c r="AF37" i="7" s="1"/>
  <c r="AF38" i="7" s="1"/>
  <c r="AF39" i="7" s="1"/>
  <c r="AF40" i="7" s="1"/>
  <c r="AF41" i="7" s="1"/>
  <c r="AF42" i="7" s="1"/>
  <c r="AF43" i="7" s="1"/>
  <c r="AF44" i="7" s="1"/>
  <c r="AF45" i="7" s="1"/>
  <c r="AF46" i="7" s="1"/>
  <c r="AF47" i="7" s="1"/>
  <c r="AF48" i="7" s="1"/>
  <c r="AF49" i="7" s="1"/>
  <c r="AF50" i="7" s="1"/>
  <c r="AF51" i="7" s="1"/>
  <c r="AF52" i="7" s="1"/>
  <c r="AF53" i="7" s="1"/>
  <c r="AF54" i="7" s="1"/>
  <c r="AF55" i="7" s="1"/>
  <c r="AF56" i="7" s="1"/>
  <c r="AF57" i="7" s="1"/>
  <c r="AF58" i="7" s="1"/>
  <c r="AF59" i="7" s="1"/>
  <c r="AF60" i="7" s="1"/>
  <c r="AF61" i="7" s="1"/>
  <c r="AF62" i="7" s="1"/>
  <c r="AF63" i="7" s="1"/>
  <c r="AF64" i="7" s="1"/>
  <c r="AF65" i="7" s="1"/>
  <c r="AF66" i="7" s="1"/>
  <c r="AF67" i="7" s="1"/>
  <c r="AF68" i="7" s="1"/>
  <c r="AF69" i="7" s="1"/>
  <c r="BF26" i="8"/>
  <c r="BH26" i="8" s="1"/>
  <c r="AG77" i="10"/>
  <c r="BJ32" i="7"/>
  <c r="BJ33" i="7" s="1"/>
  <c r="BJ34" i="7" s="1"/>
  <c r="BJ35" i="7" s="1"/>
  <c r="BN35" i="7" s="1"/>
  <c r="BP35" i="7" s="1"/>
  <c r="V128" i="15"/>
  <c r="AX127" i="15"/>
  <c r="AB58" i="16"/>
  <c r="AW57" i="16"/>
  <c r="AH17" i="10"/>
  <c r="AX21" i="14"/>
  <c r="AX19" i="14"/>
  <c r="AX17" i="14"/>
  <c r="AH12" i="10"/>
  <c r="AX15" i="14"/>
  <c r="AX14" i="14"/>
  <c r="AX13" i="14"/>
  <c r="AX12" i="14"/>
  <c r="BI13" i="8"/>
  <c r="AM8" i="7"/>
  <c r="H47" i="17"/>
  <c r="H42" i="17"/>
  <c r="H49" i="17"/>
  <c r="CK22" i="14"/>
  <c r="CM22" i="14" s="1"/>
  <c r="CO22" i="14" s="1"/>
  <c r="CP22" i="14" s="1"/>
  <c r="AC76" i="7"/>
  <c r="CK24" i="14"/>
  <c r="CM24" i="14" s="1"/>
  <c r="CO24" i="14" s="1"/>
  <c r="CP24" i="14" s="1"/>
  <c r="AD23" i="7"/>
  <c r="AD24" i="7" s="1"/>
  <c r="AD25" i="7" s="1"/>
  <c r="AD26" i="7" s="1"/>
  <c r="AD27" i="7" s="1"/>
  <c r="AD28" i="7" s="1"/>
  <c r="AD29" i="7" s="1"/>
  <c r="AD30" i="7" s="1"/>
  <c r="AD31" i="7" s="1"/>
  <c r="AD32" i="7" s="1"/>
  <c r="AD33" i="7" s="1"/>
  <c r="AD34" i="7" s="1"/>
  <c r="AD35" i="7" s="1"/>
  <c r="AD36" i="7" s="1"/>
  <c r="AD37" i="7" s="1"/>
  <c r="AD38" i="7" s="1"/>
  <c r="AD39" i="7" s="1"/>
  <c r="AD40" i="7" s="1"/>
  <c r="AD41" i="7" s="1"/>
  <c r="AD42" i="7" s="1"/>
  <c r="AD43" i="7" s="1"/>
  <c r="AD44" i="7" s="1"/>
  <c r="AD45" i="7" s="1"/>
  <c r="AD46" i="7" s="1"/>
  <c r="AD47" i="7" s="1"/>
  <c r="AD48" i="7" s="1"/>
  <c r="AD49" i="7" s="1"/>
  <c r="AD50" i="7" s="1"/>
  <c r="AD51" i="7" s="1"/>
  <c r="AD52" i="7" s="1"/>
  <c r="AD53" i="7" s="1"/>
  <c r="AD54" i="7" s="1"/>
  <c r="AD55" i="7" s="1"/>
  <c r="AD56" i="7" s="1"/>
  <c r="AD57" i="7" s="1"/>
  <c r="AD58" i="7" s="1"/>
  <c r="AD59" i="7" s="1"/>
  <c r="AD60" i="7" s="1"/>
  <c r="AD61" i="7" s="1"/>
  <c r="AD62" i="7" s="1"/>
  <c r="AD63" i="7" s="1"/>
  <c r="AD64" i="7" s="1"/>
  <c r="AD65" i="7" s="1"/>
  <c r="AD66" i="7" s="1"/>
  <c r="BB12" i="14"/>
  <c r="CK11" i="14"/>
  <c r="CM11" i="14" s="1"/>
  <c r="N54" i="10"/>
  <c r="AG53" i="10"/>
  <c r="AG70" i="10"/>
  <c r="AX125" i="15"/>
  <c r="BE26" i="10"/>
  <c r="BG26" i="10" s="1"/>
  <c r="BI26" i="10" s="1"/>
  <c r="BJ26" i="10" s="1"/>
  <c r="AW27" i="10"/>
  <c r="BE27" i="10" s="1"/>
  <c r="BG27" i="10" s="1"/>
  <c r="BI27" i="10" s="1"/>
  <c r="BJ27" i="10" s="1"/>
  <c r="AG65" i="10"/>
  <c r="AU24" i="8"/>
  <c r="BF23" i="8"/>
  <c r="BH23" i="8" s="1"/>
  <c r="AG67" i="10"/>
  <c r="AG76" i="10"/>
  <c r="CK33" i="14"/>
  <c r="CM33" i="14" s="1"/>
  <c r="CO33" i="14" s="1"/>
  <c r="CP33" i="14" s="1"/>
  <c r="AG30" i="7"/>
  <c r="AG31" i="7" s="1"/>
  <c r="AG32" i="7" s="1"/>
  <c r="AG33" i="7" s="1"/>
  <c r="AG34" i="7" s="1"/>
  <c r="AG35" i="7" s="1"/>
  <c r="AG36" i="7" s="1"/>
  <c r="AG37" i="7" s="1"/>
  <c r="AG38" i="7" s="1"/>
  <c r="AG39" i="7" s="1"/>
  <c r="AG40" i="7" s="1"/>
  <c r="AG41" i="7" s="1"/>
  <c r="AG42" i="7" s="1"/>
  <c r="AG43" i="7" s="1"/>
  <c r="AG44" i="7" s="1"/>
  <c r="AG45" i="7" s="1"/>
  <c r="AG46" i="7" s="1"/>
  <c r="AG47" i="7" s="1"/>
  <c r="AG48" i="7" s="1"/>
  <c r="AG49" i="7" s="1"/>
  <c r="AG50" i="7" s="1"/>
  <c r="AG51" i="7" s="1"/>
  <c r="AG52" i="7" s="1"/>
  <c r="AG53" i="7" s="1"/>
  <c r="AG54" i="7" s="1"/>
  <c r="AG55" i="7" s="1"/>
  <c r="AG56" i="7" s="1"/>
  <c r="AG57" i="7" s="1"/>
  <c r="AG58" i="7" s="1"/>
  <c r="AG59" i="7" s="1"/>
  <c r="AG60" i="7" s="1"/>
  <c r="AG61" i="7" s="1"/>
  <c r="AG62" i="7" s="1"/>
  <c r="AG63" i="7" s="1"/>
  <c r="AG64" i="7" s="1"/>
  <c r="AG65" i="7" s="1"/>
  <c r="AG66" i="7" s="1"/>
  <c r="AG67" i="7" s="1"/>
  <c r="AG68" i="7" s="1"/>
  <c r="AG69" i="7" s="1"/>
  <c r="AG70" i="7" s="1"/>
  <c r="W27" i="7"/>
  <c r="W28" i="7" s="1"/>
  <c r="W29" i="7" s="1"/>
  <c r="W30" i="7" s="1"/>
  <c r="W31" i="7" s="1"/>
  <c r="W32" i="7" s="1"/>
  <c r="W33" i="7" s="1"/>
  <c r="W34" i="7" s="1"/>
  <c r="W35" i="7" s="1"/>
  <c r="W36" i="7" s="1"/>
  <c r="W37" i="7" s="1"/>
  <c r="W38" i="7" s="1"/>
  <c r="W39" i="7" s="1"/>
  <c r="W40" i="7" s="1"/>
  <c r="W41" i="7" s="1"/>
  <c r="W42" i="7" s="1"/>
  <c r="W43" i="7" s="1"/>
  <c r="W44" i="7" s="1"/>
  <c r="W45" i="7" s="1"/>
  <c r="W46" i="7" s="1"/>
  <c r="W47" i="7" s="1"/>
  <c r="W48" i="7" s="1"/>
  <c r="W49" i="7" s="1"/>
  <c r="W50" i="7" s="1"/>
  <c r="W51" i="7" s="1"/>
  <c r="W52" i="7" s="1"/>
  <c r="W53" i="7" s="1"/>
  <c r="W54" i="7" s="1"/>
  <c r="W55" i="7" s="1"/>
  <c r="W56" i="7" s="1"/>
  <c r="W57" i="7" s="1"/>
  <c r="W58" i="7" s="1"/>
  <c r="W59" i="7" s="1"/>
  <c r="H52" i="17"/>
  <c r="R76" i="7"/>
  <c r="V76" i="7"/>
  <c r="P76" i="7"/>
  <c r="AA76" i="7"/>
  <c r="AL9" i="10"/>
  <c r="BE8" i="10"/>
  <c r="BG8" i="10" s="1"/>
  <c r="BI8" i="10" s="1"/>
  <c r="BJ8" i="10" s="1"/>
  <c r="BH76" i="7"/>
  <c r="X17" i="7"/>
  <c r="X18" i="7" s="1"/>
  <c r="X19" i="7" s="1"/>
  <c r="X20" i="7" s="1"/>
  <c r="X21" i="7" s="1"/>
  <c r="X22" i="7" s="1"/>
  <c r="X23" i="7" s="1"/>
  <c r="X24" i="7" s="1"/>
  <c r="X25" i="7" s="1"/>
  <c r="X26" i="7" s="1"/>
  <c r="X27" i="7" s="1"/>
  <c r="X28" i="7" s="1"/>
  <c r="X29" i="7" s="1"/>
  <c r="X30" i="7" s="1"/>
  <c r="X31" i="7" s="1"/>
  <c r="X32" i="7" s="1"/>
  <c r="X33" i="7" s="1"/>
  <c r="X34" i="7" s="1"/>
  <c r="X35" i="7" s="1"/>
  <c r="X36" i="7" s="1"/>
  <c r="X37" i="7" s="1"/>
  <c r="X38" i="7" s="1"/>
  <c r="X39" i="7" s="1"/>
  <c r="X40" i="7" s="1"/>
  <c r="X41" i="7" s="1"/>
  <c r="X42" i="7" s="1"/>
  <c r="X43" i="7" s="1"/>
  <c r="X44" i="7" s="1"/>
  <c r="X45" i="7" s="1"/>
  <c r="X46" i="7" s="1"/>
  <c r="X47" i="7" s="1"/>
  <c r="X48" i="7" s="1"/>
  <c r="X49" i="7" s="1"/>
  <c r="X50" i="7" s="1"/>
  <c r="X51" i="7" s="1"/>
  <c r="X52" i="7" s="1"/>
  <c r="X53" i="7" s="1"/>
  <c r="X54" i="7" s="1"/>
  <c r="X55" i="7" s="1"/>
  <c r="X56" i="7" s="1"/>
  <c r="X57" i="7" s="1"/>
  <c r="X58" i="7" s="1"/>
  <c r="X59" i="7" s="1"/>
  <c r="X60" i="7" s="1"/>
  <c r="X61" i="7" s="1"/>
  <c r="BM184" i="5"/>
  <c r="CN97" i="14"/>
  <c r="CO97" i="14" s="1"/>
  <c r="CP97" i="14" s="1"/>
  <c r="BN34" i="7"/>
  <c r="BP34" i="7" s="1"/>
  <c r="AB21" i="7"/>
  <c r="AB22" i="7" s="1"/>
  <c r="AB23" i="7" s="1"/>
  <c r="AB24" i="7" s="1"/>
  <c r="AB25" i="7" s="1"/>
  <c r="AB26" i="7" s="1"/>
  <c r="AB27" i="7" s="1"/>
  <c r="AB28" i="7" s="1"/>
  <c r="AB29" i="7" s="1"/>
  <c r="AB30" i="7" s="1"/>
  <c r="AB31" i="7" s="1"/>
  <c r="AB32" i="7" s="1"/>
  <c r="AB33" i="7" s="1"/>
  <c r="AB34" i="7" s="1"/>
  <c r="AB35" i="7" s="1"/>
  <c r="AB36" i="7" s="1"/>
  <c r="AB37" i="7" s="1"/>
  <c r="AB38" i="7" s="1"/>
  <c r="AB39" i="7" s="1"/>
  <c r="AB40" i="7" s="1"/>
  <c r="AB41" i="7" s="1"/>
  <c r="AB42" i="7" s="1"/>
  <c r="AB43" i="7" s="1"/>
  <c r="AB44" i="7" s="1"/>
  <c r="AB45" i="7" s="1"/>
  <c r="AB46" i="7" s="1"/>
  <c r="AB47" i="7" s="1"/>
  <c r="AB48" i="7" s="1"/>
  <c r="AB49" i="7" s="1"/>
  <c r="AB50" i="7" s="1"/>
  <c r="AB51" i="7" s="1"/>
  <c r="AB52" i="7" s="1"/>
  <c r="AB53" i="7" s="1"/>
  <c r="AB54" i="7" s="1"/>
  <c r="AB55" i="7" s="1"/>
  <c r="AB56" i="7" s="1"/>
  <c r="AB57" i="7" s="1"/>
  <c r="AB58" i="7" s="1"/>
  <c r="AB59" i="7" s="1"/>
  <c r="AB60" i="7" s="1"/>
  <c r="AB61" i="7" s="1"/>
  <c r="AB62" i="7" s="1"/>
  <c r="AB63" i="7" s="1"/>
  <c r="AB64" i="7" s="1"/>
  <c r="AB65" i="7" s="1"/>
  <c r="AI28" i="7"/>
  <c r="AI29" i="7" s="1"/>
  <c r="AI30" i="7" s="1"/>
  <c r="AI31" i="7" s="1"/>
  <c r="AI32" i="7" s="1"/>
  <c r="AI33" i="7" s="1"/>
  <c r="AI34" i="7" s="1"/>
  <c r="AI35" i="7" s="1"/>
  <c r="AI36" i="7" s="1"/>
  <c r="AI37" i="7" s="1"/>
  <c r="AI38" i="7" s="1"/>
  <c r="AI39" i="7" s="1"/>
  <c r="AI40" i="7" s="1"/>
  <c r="AI41" i="7" s="1"/>
  <c r="AI42" i="7" s="1"/>
  <c r="AI43" i="7" s="1"/>
  <c r="AI44" i="7" s="1"/>
  <c r="AI45" i="7" s="1"/>
  <c r="AI46" i="7" s="1"/>
  <c r="AI47" i="7" s="1"/>
  <c r="AI48" i="7" s="1"/>
  <c r="AI49" i="7" s="1"/>
  <c r="AI50" i="7" s="1"/>
  <c r="AI51" i="7" s="1"/>
  <c r="AI52" i="7" s="1"/>
  <c r="AI53" i="7" s="1"/>
  <c r="AI54" i="7" s="1"/>
  <c r="AI55" i="7" s="1"/>
  <c r="AI56" i="7" s="1"/>
  <c r="AI57" i="7" s="1"/>
  <c r="AI58" i="7" s="1"/>
  <c r="AI59" i="7" s="1"/>
  <c r="AI60" i="7" s="1"/>
  <c r="AI61" i="7" s="1"/>
  <c r="AI62" i="7" s="1"/>
  <c r="AI63" i="7" s="1"/>
  <c r="AI64" i="7" s="1"/>
  <c r="AI65" i="7" s="1"/>
  <c r="AI66" i="7" s="1"/>
  <c r="AI67" i="7" s="1"/>
  <c r="AI68" i="7" s="1"/>
  <c r="AI69" i="7" s="1"/>
  <c r="AI70" i="7" s="1"/>
  <c r="AI71" i="7" s="1"/>
  <c r="Z35" i="6"/>
  <c r="Z68" i="6"/>
  <c r="Z47" i="6"/>
  <c r="Z44" i="6"/>
  <c r="Z58" i="6"/>
  <c r="Z37" i="6"/>
  <c r="Z61" i="6"/>
  <c r="Z50" i="6"/>
  <c r="Z66" i="6"/>
  <c r="Z51" i="6"/>
  <c r="AH116" i="5"/>
  <c r="BE220" i="5"/>
  <c r="BE219" i="5"/>
  <c r="BE218" i="5"/>
  <c r="BE217" i="5"/>
  <c r="BE216" i="5"/>
  <c r="BE215" i="5"/>
  <c r="BG220" i="5"/>
  <c r="BG219" i="5"/>
  <c r="BG218" i="5"/>
  <c r="BG217" i="5"/>
  <c r="BG216" i="5"/>
  <c r="BE214" i="5"/>
  <c r="BE213" i="5"/>
  <c r="BE212" i="5"/>
  <c r="BE211" i="5"/>
  <c r="BE210" i="5"/>
  <c r="BE209" i="5"/>
  <c r="BE145" i="5"/>
  <c r="BE149" i="5"/>
  <c r="BE153" i="5"/>
  <c r="BE155" i="5"/>
  <c r="BE156" i="5"/>
  <c r="BE170" i="5"/>
  <c r="BE166" i="5"/>
  <c r="BE189" i="5"/>
  <c r="BE190" i="5"/>
  <c r="BE180" i="5"/>
  <c r="BE202" i="5"/>
  <c r="BE199" i="5"/>
  <c r="BE198" i="5"/>
  <c r="AQ204" i="5"/>
  <c r="AQ205" i="5"/>
  <c r="AQ203" i="5"/>
  <c r="AQ202" i="5"/>
  <c r="AQ201" i="5"/>
  <c r="AQ200" i="5"/>
  <c r="AQ199" i="5"/>
  <c r="AQ198" i="5"/>
  <c r="AQ197" i="5"/>
  <c r="AQ196" i="5"/>
  <c r="AQ195" i="5"/>
  <c r="AQ194" i="5"/>
  <c r="G49" i="15"/>
  <c r="BE183" i="5"/>
  <c r="BE179" i="5"/>
  <c r="BE186" i="5"/>
  <c r="BE196" i="5"/>
  <c r="BE201" i="5"/>
  <c r="BE200" i="5"/>
  <c r="V65" i="19"/>
  <c r="AO164" i="5" s="1"/>
  <c r="AO176" i="5" s="1"/>
  <c r="BE143" i="5"/>
  <c r="BE160" i="5"/>
  <c r="BE171" i="5"/>
  <c r="BE165" i="5"/>
  <c r="BE168" i="5"/>
  <c r="BE151" i="5"/>
  <c r="BE154" i="5"/>
  <c r="BE187" i="5"/>
  <c r="BE181" i="5"/>
  <c r="BE182" i="5"/>
  <c r="BE195" i="5"/>
  <c r="BE203" i="5"/>
  <c r="BE204" i="5"/>
  <c r="V60" i="19"/>
  <c r="AU204" i="5"/>
  <c r="AS203" i="5"/>
  <c r="AS202" i="5"/>
  <c r="AS201" i="5"/>
  <c r="AS200" i="5"/>
  <c r="AS199" i="5"/>
  <c r="AS198" i="5"/>
  <c r="AS197" i="5"/>
  <c r="AS196" i="5"/>
  <c r="AS195" i="5"/>
  <c r="AS194" i="5"/>
  <c r="AS206" i="5" s="1"/>
  <c r="AS204" i="5"/>
  <c r="AU203" i="5"/>
  <c r="AU202" i="5"/>
  <c r="AS205" i="5"/>
  <c r="E32" i="13"/>
  <c r="E34" i="13" s="1"/>
  <c r="AR32" i="5" s="1"/>
  <c r="BC214" i="5"/>
  <c r="BC213" i="5"/>
  <c r="BC212" i="5"/>
  <c r="BC211" i="5"/>
  <c r="BC210" i="5"/>
  <c r="BC209" i="5"/>
  <c r="BC220" i="5"/>
  <c r="BC219" i="5"/>
  <c r="BC218" i="5"/>
  <c r="BC217" i="5"/>
  <c r="BC216" i="5"/>
  <c r="BC215" i="5"/>
  <c r="BC46" i="5"/>
  <c r="BO220" i="5"/>
  <c r="BO219" i="5"/>
  <c r="BO218" i="5"/>
  <c r="BO217" i="5"/>
  <c r="BO216" i="5"/>
  <c r="BO215" i="5"/>
  <c r="BO214" i="5"/>
  <c r="BO213" i="5"/>
  <c r="BO212" i="5"/>
  <c r="BO211" i="5"/>
  <c r="BO210" i="5"/>
  <c r="BO209" i="5"/>
  <c r="K15" i="24"/>
  <c r="F16" i="24"/>
  <c r="BU9" i="25"/>
  <c r="BS9" i="25"/>
  <c r="BT8" i="25"/>
  <c r="B11" i="23"/>
  <c r="B22" i="23"/>
  <c r="B34" i="23" s="1"/>
  <c r="B46" i="23" s="1"/>
  <c r="B58" i="23" s="1"/>
  <c r="B70" i="23" s="1"/>
  <c r="B82" i="23" s="1"/>
  <c r="B94" i="23" s="1"/>
  <c r="K10" i="22"/>
  <c r="W99" i="5"/>
  <c r="X99" i="5" s="1"/>
  <c r="EG6" i="25"/>
  <c r="BY202" i="5"/>
  <c r="ED87" i="25"/>
  <c r="EE87" i="25" s="1"/>
  <c r="EF87" i="25" s="1"/>
  <c r="U100" i="5"/>
  <c r="N9" i="22"/>
  <c r="N10" i="22" s="1"/>
  <c r="N11" i="22" s="1"/>
  <c r="N12" i="22" s="1"/>
  <c r="N13" i="22" s="1"/>
  <c r="N14" i="22" s="1"/>
  <c r="N15" i="22" s="1"/>
  <c r="N16" i="22" s="1"/>
  <c r="N17" i="22" s="1"/>
  <c r="N18" i="22" s="1"/>
  <c r="N19" i="22" s="1"/>
  <c r="N20" i="22" s="1"/>
  <c r="N21" i="22" s="1"/>
  <c r="N22" i="22" s="1"/>
  <c r="N23" i="22" s="1"/>
  <c r="N24" i="22" s="1"/>
  <c r="N25" i="22" s="1"/>
  <c r="N26" i="22" s="1"/>
  <c r="N27" i="22" s="1"/>
  <c r="N28" i="22" s="1"/>
  <c r="N29" i="22" s="1"/>
  <c r="N30" i="22" s="1"/>
  <c r="N31" i="22" s="1"/>
  <c r="N32" i="22" s="1"/>
  <c r="N33" i="22" s="1"/>
  <c r="N34" i="22" s="1"/>
  <c r="N35" i="22" s="1"/>
  <c r="N36" i="22" s="1"/>
  <c r="N37" i="22" s="1"/>
  <c r="N38" i="22" s="1"/>
  <c r="N39" i="22" s="1"/>
  <c r="N40" i="22" s="1"/>
  <c r="N41" i="22" s="1"/>
  <c r="N42" i="22" s="1"/>
  <c r="N43" i="22" s="1"/>
  <c r="N44" i="22" s="1"/>
  <c r="N45" i="22" s="1"/>
  <c r="N46" i="22" s="1"/>
  <c r="N47" i="22" s="1"/>
  <c r="N48" i="22" s="1"/>
  <c r="N49" i="22" s="1"/>
  <c r="N50" i="22" s="1"/>
  <c r="N51" i="22" s="1"/>
  <c r="N52" i="22" s="1"/>
  <c r="N53" i="22" s="1"/>
  <c r="N54" i="22" s="1"/>
  <c r="N55" i="22" s="1"/>
  <c r="N56" i="22" s="1"/>
  <c r="N57" i="22" s="1"/>
  <c r="N58" i="22" s="1"/>
  <c r="N59" i="22" s="1"/>
  <c r="N60" i="22" s="1"/>
  <c r="N61" i="22" s="1"/>
  <c r="N62" i="22" s="1"/>
  <c r="N63" i="22" s="1"/>
  <c r="N64" i="22" s="1"/>
  <c r="N65" i="22" s="1"/>
  <c r="N66" i="22" s="1"/>
  <c r="N67" i="22" s="1"/>
  <c r="N68" i="22" s="1"/>
  <c r="N69" i="22" s="1"/>
  <c r="N70" i="22" s="1"/>
  <c r="N71" i="22" s="1"/>
  <c r="N72" i="22" s="1"/>
  <c r="N73" i="22" s="1"/>
  <c r="N74" i="22" s="1"/>
  <c r="N75" i="22" s="1"/>
  <c r="N76" i="22" s="1"/>
  <c r="N77" i="22" s="1"/>
  <c r="N78" i="22" s="1"/>
  <c r="N79" i="22" s="1"/>
  <c r="N80" i="22" s="1"/>
  <c r="N81" i="22" s="1"/>
  <c r="N82" i="22" s="1"/>
  <c r="N83" i="22" s="1"/>
  <c r="N84" i="22" s="1"/>
  <c r="N85" i="22" s="1"/>
  <c r="N86" i="22" s="1"/>
  <c r="N87" i="22" s="1"/>
  <c r="N88" i="22" s="1"/>
  <c r="N89" i="22" s="1"/>
  <c r="N90" i="22" s="1"/>
  <c r="N91" i="22" s="1"/>
  <c r="N92" i="22" s="1"/>
  <c r="N93" i="22" s="1"/>
  <c r="N94" i="22" s="1"/>
  <c r="N95" i="22" s="1"/>
  <c r="N96" i="22" s="1"/>
  <c r="N97" i="22" s="1"/>
  <c r="N98" i="22" s="1"/>
  <c r="N99" i="22" s="1"/>
  <c r="N100" i="22" s="1"/>
  <c r="N101" i="22" s="1"/>
  <c r="N102" i="22" s="1"/>
  <c r="N103" i="22" s="1"/>
  <c r="N104" i="22" s="1"/>
  <c r="N105" i="22" s="1"/>
  <c r="N106" i="22" s="1"/>
  <c r="N107" i="22" s="1"/>
  <c r="N108" i="22" s="1"/>
  <c r="N109" i="22" s="1"/>
  <c r="N110" i="22" s="1"/>
  <c r="N111" i="22" s="1"/>
  <c r="N112" i="22" s="1"/>
  <c r="N113" i="22" s="1"/>
  <c r="N114" i="22" s="1"/>
  <c r="N115" i="22" s="1"/>
  <c r="N116" i="22" s="1"/>
  <c r="N117" i="22" s="1"/>
  <c r="N118" i="22" s="1"/>
  <c r="N119" i="22" s="1"/>
  <c r="N120" i="22" s="1"/>
  <c r="CE99" i="5"/>
  <c r="CE101" i="5" s="1"/>
  <c r="B9" i="22"/>
  <c r="B20" i="22"/>
  <c r="B32" i="22" s="1"/>
  <c r="B44" i="22" s="1"/>
  <c r="B56" i="22" s="1"/>
  <c r="B68" i="22" s="1"/>
  <c r="B80" i="22" s="1"/>
  <c r="B92" i="22" s="1"/>
  <c r="B104" i="22" s="1"/>
  <c r="B116" i="22" s="1"/>
  <c r="B128" i="22" s="1"/>
  <c r="B140" i="22" s="1"/>
  <c r="B152" i="22" s="1"/>
  <c r="B164" i="22" s="1"/>
  <c r="BY200" i="5"/>
  <c r="ED85" i="25"/>
  <c r="EE85" i="25" s="1"/>
  <c r="EF85" i="25" s="1"/>
  <c r="B13" i="27"/>
  <c r="B24" i="27"/>
  <c r="B36" i="27" s="1"/>
  <c r="B48" i="27" s="1"/>
  <c r="B60" i="27" s="1"/>
  <c r="B72" i="27" s="1"/>
  <c r="B84" i="27" s="1"/>
  <c r="B96" i="27" s="1"/>
  <c r="B108" i="27" s="1"/>
  <c r="B120" i="27" s="1"/>
  <c r="BN34" i="24"/>
  <c r="BN26" i="24"/>
  <c r="H8" i="27"/>
  <c r="M7" i="27"/>
  <c r="CE104" i="5" s="1"/>
  <c r="BN35" i="24"/>
  <c r="BN46" i="24"/>
  <c r="BN38" i="24"/>
  <c r="BN43" i="24"/>
  <c r="BN27" i="24"/>
  <c r="BN39" i="24"/>
  <c r="BN19" i="24"/>
  <c r="BN29" i="24"/>
  <c r="BN37" i="24"/>
  <c r="Z151" i="5"/>
  <c r="AB151" i="5" s="1"/>
  <c r="Z150" i="5"/>
  <c r="AB150" i="5" s="1"/>
  <c r="Z159" i="5"/>
  <c r="AB159" i="5" s="1"/>
  <c r="Z156" i="5"/>
  <c r="AB156" i="5" s="1"/>
  <c r="Z155" i="5"/>
  <c r="AB155" i="5" s="1"/>
  <c r="Z153" i="5"/>
  <c r="AB153" i="5" s="1"/>
  <c r="Z152" i="5"/>
  <c r="AB152" i="5" s="1"/>
  <c r="Z160" i="5"/>
  <c r="AB160" i="5" s="1"/>
  <c r="Z157" i="5"/>
  <c r="AB157" i="5" s="1"/>
  <c r="Z149" i="5"/>
  <c r="Z158" i="5"/>
  <c r="AB158" i="5" s="1"/>
  <c r="Z154" i="5"/>
  <c r="AB154" i="5" s="1"/>
  <c r="BY216" i="5"/>
  <c r="ED98" i="25"/>
  <c r="EE98" i="25" s="1"/>
  <c r="EF98" i="25" s="1"/>
  <c r="BY210" i="5"/>
  <c r="ED92" i="25"/>
  <c r="EE92" i="25" s="1"/>
  <c r="EF92" i="25" s="1"/>
  <c r="BY218" i="5"/>
  <c r="ED100" i="25"/>
  <c r="EE100" i="25" s="1"/>
  <c r="EF100" i="25" s="1"/>
  <c r="EA43" i="25"/>
  <c r="EC43" i="25" s="1"/>
  <c r="EE43" i="25" s="1"/>
  <c r="EF43" i="25" s="1"/>
  <c r="Z134" i="5"/>
  <c r="Z139" i="5"/>
  <c r="AB139" i="5" s="1"/>
  <c r="Z137" i="5"/>
  <c r="AB137" i="5" s="1"/>
  <c r="Z138" i="5"/>
  <c r="AB138" i="5" s="1"/>
  <c r="Z136" i="5"/>
  <c r="AB136" i="5" s="1"/>
  <c r="Z135" i="5"/>
  <c r="AB135" i="5" s="1"/>
  <c r="BY203" i="5"/>
  <c r="BY212" i="5"/>
  <c r="ED94" i="25"/>
  <c r="EE94" i="25" s="1"/>
  <c r="EF94" i="25" s="1"/>
  <c r="D40" i="28"/>
  <c r="F40" i="28" s="1"/>
  <c r="D38" i="28"/>
  <c r="F38" i="28" s="1"/>
  <c r="D36" i="28"/>
  <c r="D21" i="28" a="1"/>
  <c r="D29" i="28"/>
  <c r="F29" i="28" s="1"/>
  <c r="ED99" i="25"/>
  <c r="EE99" i="25" s="1"/>
  <c r="EF99" i="25" s="1"/>
  <c r="ED93" i="25"/>
  <c r="EE93" i="25" s="1"/>
  <c r="EF93" i="25" s="1"/>
  <c r="DQ51" i="25"/>
  <c r="EA51" i="25" s="1"/>
  <c r="EC51" i="25" s="1"/>
  <c r="EE51" i="25" s="1"/>
  <c r="EF51" i="25" s="1"/>
  <c r="DQ54" i="25"/>
  <c r="EA54" i="25" s="1"/>
  <c r="EC54" i="25" s="1"/>
  <c r="EE54" i="25" s="1"/>
  <c r="EF54" i="25" s="1"/>
  <c r="DQ60" i="25"/>
  <c r="EA60" i="25" s="1"/>
  <c r="EC60" i="25" s="1"/>
  <c r="EE60" i="25" s="1"/>
  <c r="EF60" i="25" s="1"/>
  <c r="AT204" i="5"/>
  <c r="AT202" i="5"/>
  <c r="AT203" i="5"/>
  <c r="T135" i="30"/>
  <c r="T76" i="30"/>
  <c r="CO214" i="5" s="1"/>
  <c r="T160" i="30"/>
  <c r="T113" i="30"/>
  <c r="T96" i="30"/>
  <c r="T131" i="30"/>
  <c r="T118" i="30"/>
  <c r="T104" i="30"/>
  <c r="T152" i="30"/>
  <c r="T158" i="30"/>
  <c r="T157" i="30"/>
  <c r="T91" i="30"/>
  <c r="CO232" i="5" s="1"/>
  <c r="T142" i="30"/>
  <c r="T145" i="30"/>
  <c r="T79" i="30"/>
  <c r="CO217" i="5" s="1"/>
  <c r="T143" i="30"/>
  <c r="CO203" i="5"/>
  <c r="T132" i="30"/>
  <c r="T73" i="30"/>
  <c r="CO211" i="5" s="1"/>
  <c r="T101" i="30"/>
  <c r="T274" i="30"/>
  <c r="T337" i="30"/>
  <c r="T273" i="30"/>
  <c r="T209" i="30"/>
  <c r="T342" i="30"/>
  <c r="T344" i="30"/>
  <c r="T234" i="30"/>
  <c r="T218" i="30"/>
  <c r="T262" i="30"/>
  <c r="T365" i="30"/>
  <c r="T301" i="30"/>
  <c r="T237" i="30"/>
  <c r="T173" i="30"/>
  <c r="T206" i="30"/>
  <c r="T356" i="30"/>
  <c r="T292" i="30"/>
  <c r="T228" i="30"/>
  <c r="T164" i="30"/>
  <c r="T387" i="30"/>
  <c r="T323" i="30"/>
  <c r="T259" i="30"/>
  <c r="T195" i="30"/>
  <c r="T250" i="30"/>
  <c r="T54" i="30"/>
  <c r="CO186" i="5" s="1"/>
  <c r="T242" i="30"/>
  <c r="T341" i="30"/>
  <c r="T277" i="30"/>
  <c r="T213" i="30"/>
  <c r="T53" i="30"/>
  <c r="CO185" i="5" s="1"/>
  <c r="T226" i="30"/>
  <c r="T364" i="30"/>
  <c r="T300" i="30"/>
  <c r="T236" i="30"/>
  <c r="T172" i="30"/>
  <c r="T294" i="30"/>
  <c r="T347" i="30"/>
  <c r="T283" i="30"/>
  <c r="T219" i="30"/>
  <c r="T59" i="30"/>
  <c r="CO194" i="5" s="1"/>
  <c r="T233" i="30"/>
  <c r="T281" i="30"/>
  <c r="T176" i="30"/>
  <c r="T239" i="30"/>
  <c r="T202" i="30"/>
  <c r="T304" i="30"/>
  <c r="T182" i="30"/>
  <c r="T297" i="30"/>
  <c r="T207" i="30"/>
  <c r="T278" i="30"/>
  <c r="T383" i="30"/>
  <c r="T271" i="30"/>
  <c r="T265" i="30"/>
  <c r="T368" i="30"/>
  <c r="AF368" i="30" s="1"/>
  <c r="T375" i="30"/>
  <c r="T55" i="30"/>
  <c r="CO187" i="5" s="1"/>
  <c r="T295" i="30"/>
  <c r="T313" i="30"/>
  <c r="T224" i="30"/>
  <c r="T223" i="30"/>
  <c r="T39" i="30"/>
  <c r="CO168" i="5" s="1"/>
  <c r="T335" i="30"/>
  <c r="T122" i="30"/>
  <c r="T151" i="30"/>
  <c r="T108" i="30"/>
  <c r="T90" i="30"/>
  <c r="CO231" i="5" s="1"/>
  <c r="T99" i="30"/>
  <c r="T74" i="30"/>
  <c r="CO212" i="5" s="1"/>
  <c r="T120" i="30"/>
  <c r="T153" i="30"/>
  <c r="T107" i="30"/>
  <c r="T138" i="30"/>
  <c r="CO198" i="5"/>
  <c r="T159" i="30"/>
  <c r="T100" i="30"/>
  <c r="T146" i="30"/>
  <c r="T80" i="30"/>
  <c r="CO218" i="5" s="1"/>
  <c r="T358" i="30"/>
  <c r="T353" i="30"/>
  <c r="T257" i="30"/>
  <c r="T177" i="30"/>
  <c r="T178" i="30"/>
  <c r="T328" i="30"/>
  <c r="T58" i="30"/>
  <c r="CO190" i="5" s="1"/>
  <c r="T306" i="30"/>
  <c r="T349" i="30"/>
  <c r="T269" i="30"/>
  <c r="T189" i="30"/>
  <c r="T50" i="30"/>
  <c r="CO182" i="5" s="1"/>
  <c r="T324" i="30"/>
  <c r="T244" i="30"/>
  <c r="T52" i="30"/>
  <c r="T355" i="30"/>
  <c r="T275" i="30"/>
  <c r="T179" i="30"/>
  <c r="T330" i="30"/>
  <c r="T286" i="30"/>
  <c r="T325" i="30"/>
  <c r="T245" i="30"/>
  <c r="T165" i="30"/>
  <c r="T190" i="30"/>
  <c r="T332" i="30"/>
  <c r="T252" i="30"/>
  <c r="T60" i="30"/>
  <c r="CO195" i="5" s="1"/>
  <c r="T379" i="30"/>
  <c r="T299" i="30"/>
  <c r="T203" i="30"/>
  <c r="T338" i="30"/>
  <c r="T200" i="30"/>
  <c r="T48" i="30"/>
  <c r="CO180" i="5" s="1"/>
  <c r="T47" i="30"/>
  <c r="CO179" i="5" s="1"/>
  <c r="T362" i="30"/>
  <c r="T343" i="30"/>
  <c r="T232" i="30"/>
  <c r="T249" i="30"/>
  <c r="T319" i="30"/>
  <c r="T168" i="30"/>
  <c r="T167" i="30"/>
  <c r="T322" i="30"/>
  <c r="T184" i="30"/>
  <c r="T38" i="30"/>
  <c r="T391" i="30"/>
  <c r="T208" i="30"/>
  <c r="T288" i="30"/>
  <c r="T282" i="30"/>
  <c r="T42" i="30"/>
  <c r="T87" i="30"/>
  <c r="CO228" i="5" s="1"/>
  <c r="T86" i="30"/>
  <c r="CO227" i="5" s="1"/>
  <c r="T124" i="30"/>
  <c r="T129" i="30"/>
  <c r="T161" i="30"/>
  <c r="T115" i="30"/>
  <c r="T162" i="30"/>
  <c r="T136" i="30"/>
  <c r="T114" i="30"/>
  <c r="T82" i="30"/>
  <c r="CO220" i="5" s="1"/>
  <c r="T123" i="30"/>
  <c r="T85" i="30"/>
  <c r="CO226" i="5" s="1"/>
  <c r="T95" i="30"/>
  <c r="T102" i="30"/>
  <c r="T116" i="30"/>
  <c r="T121" i="30"/>
  <c r="T112" i="30"/>
  <c r="T318" i="30"/>
  <c r="T321" i="30"/>
  <c r="T241" i="30"/>
  <c r="T386" i="30"/>
  <c r="T392" i="30"/>
  <c r="T312" i="30"/>
  <c r="T214" i="30"/>
  <c r="T222" i="30"/>
  <c r="T333" i="30"/>
  <c r="T253" i="30"/>
  <c r="T374" i="30"/>
  <c r="T388" i="30"/>
  <c r="T308" i="30"/>
  <c r="T212" i="30"/>
  <c r="T394" i="30"/>
  <c r="T339" i="30"/>
  <c r="T243" i="30"/>
  <c r="T51" i="30"/>
  <c r="CO183" i="5" s="1"/>
  <c r="T198" i="30"/>
  <c r="T389" i="30"/>
  <c r="T309" i="30"/>
  <c r="T229" i="30"/>
  <c r="T37" i="30"/>
  <c r="CO166" i="5" s="1"/>
  <c r="T396" i="30"/>
  <c r="AF396" i="30" s="1"/>
  <c r="T316" i="30"/>
  <c r="T220" i="30"/>
  <c r="T44" i="30"/>
  <c r="CO173" i="5" s="1"/>
  <c r="T363" i="30"/>
  <c r="T267" i="30"/>
  <c r="T187" i="30"/>
  <c r="T361" i="30"/>
  <c r="T238" i="30"/>
  <c r="T367" i="30"/>
  <c r="T254" i="30"/>
  <c r="T280" i="30"/>
  <c r="T279" i="30"/>
  <c r="T345" i="30"/>
  <c r="T352" i="30"/>
  <c r="T255" i="30"/>
  <c r="T40" i="30"/>
  <c r="CO169" i="5" s="1"/>
  <c r="T298" i="30"/>
  <c r="T266" i="30"/>
  <c r="T56" i="30"/>
  <c r="CO188" i="5" s="1"/>
  <c r="T311" i="30"/>
  <c r="T327" i="30"/>
  <c r="T210" i="30"/>
  <c r="T378" i="30"/>
  <c r="T263" i="30"/>
  <c r="T272" i="30"/>
  <c r="T103" i="30"/>
  <c r="T130" i="30"/>
  <c r="T78" i="30"/>
  <c r="CO216" i="5" s="1"/>
  <c r="T139" i="30"/>
  <c r="T110" i="30"/>
  <c r="T147" i="30"/>
  <c r="CO210" i="5"/>
  <c r="T140" i="30"/>
  <c r="T93" i="30"/>
  <c r="CO234" i="5" s="1"/>
  <c r="T134" i="30"/>
  <c r="T155" i="30"/>
  <c r="T98" i="30"/>
  <c r="T111" i="30"/>
  <c r="T150" i="30"/>
  <c r="T148" i="30"/>
  <c r="T137" i="30"/>
  <c r="T128" i="30"/>
  <c r="T385" i="30"/>
  <c r="T305" i="30"/>
  <c r="T225" i="30"/>
  <c r="T302" i="30"/>
  <c r="T376" i="30"/>
  <c r="T296" i="30"/>
  <c r="T390" i="30"/>
  <c r="T174" i="30"/>
  <c r="T317" i="30"/>
  <c r="T221" i="30"/>
  <c r="T334" i="30"/>
  <c r="T372" i="30"/>
  <c r="T276" i="30"/>
  <c r="T196" i="30"/>
  <c r="T270" i="30"/>
  <c r="T307" i="30"/>
  <c r="T227" i="30"/>
  <c r="T381" i="30"/>
  <c r="T370" i="30"/>
  <c r="T373" i="30"/>
  <c r="T293" i="30"/>
  <c r="T197" i="30"/>
  <c r="T354" i="30"/>
  <c r="T380" i="30"/>
  <c r="T284" i="30"/>
  <c r="T204" i="30"/>
  <c r="T366" i="30"/>
  <c r="T331" i="30"/>
  <c r="T251" i="30"/>
  <c r="T171" i="30"/>
  <c r="T336" i="30"/>
  <c r="T384" i="30"/>
  <c r="T303" i="30"/>
  <c r="T329" i="30"/>
  <c r="T216" i="30"/>
  <c r="T215" i="30"/>
  <c r="T382" i="30"/>
  <c r="T256" i="30"/>
  <c r="T191" i="30"/>
  <c r="T246" i="30"/>
  <c r="T170" i="30"/>
  <c r="T194" i="30"/>
  <c r="T314" i="30"/>
  <c r="T247" i="30"/>
  <c r="T199" i="30"/>
  <c r="T185" i="30"/>
  <c r="T351" i="30"/>
  <c r="T231" i="30"/>
  <c r="CO201" i="5"/>
  <c r="T119" i="30"/>
  <c r="T92" i="30"/>
  <c r="CO233" i="5" s="1"/>
  <c r="T126" i="30"/>
  <c r="T94" i="30"/>
  <c r="CO235" i="5" s="1"/>
  <c r="T83" i="30"/>
  <c r="CO224" i="5" s="1"/>
  <c r="T163" i="30"/>
  <c r="T88" i="30"/>
  <c r="CO229" i="5" s="1"/>
  <c r="T156" i="30"/>
  <c r="AF156" i="30" s="1"/>
  <c r="T109" i="30"/>
  <c r="T75" i="30"/>
  <c r="CO213" i="5" s="1"/>
  <c r="T144" i="30"/>
  <c r="T154" i="30"/>
  <c r="T127" i="30"/>
  <c r="T84" i="30"/>
  <c r="CO225" i="5" s="1"/>
  <c r="T106" i="30"/>
  <c r="T149" i="30"/>
  <c r="T133" i="30"/>
  <c r="T369" i="30"/>
  <c r="T289" i="30"/>
  <c r="T193" i="30"/>
  <c r="T258" i="30"/>
  <c r="T360" i="30"/>
  <c r="T186" i="30"/>
  <c r="T346" i="30"/>
  <c r="T46" i="30"/>
  <c r="CO175" i="5" s="1"/>
  <c r="T285" i="30"/>
  <c r="T205" i="30"/>
  <c r="T290" i="30"/>
  <c r="T340" i="30"/>
  <c r="T260" i="30"/>
  <c r="T180" i="30"/>
  <c r="T371" i="30"/>
  <c r="T291" i="30"/>
  <c r="T211" i="30"/>
  <c r="T166" i="30"/>
  <c r="T326" i="30"/>
  <c r="T357" i="30"/>
  <c r="T261" i="30"/>
  <c r="T181" i="30"/>
  <c r="T310" i="30"/>
  <c r="T348" i="30"/>
  <c r="T268" i="30"/>
  <c r="T188" i="30"/>
  <c r="T395" i="30"/>
  <c r="T315" i="30"/>
  <c r="T235" i="30"/>
  <c r="T43" i="30"/>
  <c r="CO172" i="5" s="1"/>
  <c r="T264" i="30"/>
  <c r="AF264" i="30" s="1"/>
  <c r="T240" i="30"/>
  <c r="T175" i="30"/>
  <c r="T201" i="30"/>
  <c r="T350" i="30"/>
  <c r="T41" i="30"/>
  <c r="CO170" i="5" s="1"/>
  <c r="T377" i="30"/>
  <c r="T192" i="30"/>
  <c r="T169" i="30"/>
  <c r="T359" i="30"/>
  <c r="T393" i="30"/>
  <c r="T248" i="30"/>
  <c r="T230" i="30"/>
  <c r="T183" i="30"/>
  <c r="T320" i="30"/>
  <c r="T57" i="30"/>
  <c r="CO189" i="5" s="1"/>
  <c r="T287" i="30"/>
  <c r="T217" i="30"/>
  <c r="AM52" i="25"/>
  <c r="BR52" i="25" s="1"/>
  <c r="AM33" i="25"/>
  <c r="BR33" i="25" s="1"/>
  <c r="AM34" i="25"/>
  <c r="BR34" i="25" s="1"/>
  <c r="AM31" i="25"/>
  <c r="BR31" i="25" s="1"/>
  <c r="CV38" i="25"/>
  <c r="EA38" i="25" s="1"/>
  <c r="EC38" i="25" s="1"/>
  <c r="EE38" i="25" s="1"/>
  <c r="EF38" i="25" s="1"/>
  <c r="AM46" i="25"/>
  <c r="BR46" i="25" s="1"/>
  <c r="AM73" i="25"/>
  <c r="BR73" i="25" s="1"/>
  <c r="AM74" i="25"/>
  <c r="BR74" i="25" s="1"/>
  <c r="AM83" i="25"/>
  <c r="BR83" i="25" s="1"/>
  <c r="AM72" i="25"/>
  <c r="BR72" i="25" s="1"/>
  <c r="AM66" i="25"/>
  <c r="BR66" i="25" s="1"/>
  <c r="CV36" i="25"/>
  <c r="EA36" i="25" s="1"/>
  <c r="EC36" i="25" s="1"/>
  <c r="EE36" i="25" s="1"/>
  <c r="EF36" i="25" s="1"/>
  <c r="AM61" i="25"/>
  <c r="BR61" i="25" s="1"/>
  <c r="CV35" i="25"/>
  <c r="EA35" i="25" s="1"/>
  <c r="EC35" i="25" s="1"/>
  <c r="EE35" i="25" s="1"/>
  <c r="EF35" i="25" s="1"/>
  <c r="EG35" i="25" s="1"/>
  <c r="AM37" i="25"/>
  <c r="BR37" i="25" s="1"/>
  <c r="AM47" i="25"/>
  <c r="BR47" i="25" s="1"/>
  <c r="AM45" i="25"/>
  <c r="BR45" i="25" s="1"/>
  <c r="AM64" i="25"/>
  <c r="AQ144" i="22"/>
  <c r="BQ144" i="22" s="1"/>
  <c r="AQ128" i="22"/>
  <c r="BQ128" i="22" s="1"/>
  <c r="AQ112" i="22"/>
  <c r="BQ112" i="22" s="1"/>
  <c r="AQ96" i="22"/>
  <c r="BQ96" i="22" s="1"/>
  <c r="AQ80" i="22"/>
  <c r="BQ80" i="22" s="1"/>
  <c r="AQ64" i="22"/>
  <c r="BQ64" i="22" s="1"/>
  <c r="AQ48" i="22"/>
  <c r="BQ48" i="22" s="1"/>
  <c r="AQ32" i="22"/>
  <c r="BQ32" i="22" s="1"/>
  <c r="AQ135" i="22"/>
  <c r="BQ135" i="22" s="1"/>
  <c r="AQ119" i="22"/>
  <c r="BQ119" i="22" s="1"/>
  <c r="AQ103" i="22"/>
  <c r="BQ103" i="22" s="1"/>
  <c r="AQ87" i="22"/>
  <c r="BQ87" i="22" s="1"/>
  <c r="AQ71" i="22"/>
  <c r="BQ71" i="22" s="1"/>
  <c r="AQ55" i="22"/>
  <c r="BQ55" i="22" s="1"/>
  <c r="AQ39" i="22"/>
  <c r="BQ39" i="22" s="1"/>
  <c r="AQ146" i="22"/>
  <c r="BQ146" i="22" s="1"/>
  <c r="AQ130" i="22"/>
  <c r="BQ130" i="22" s="1"/>
  <c r="AQ114" i="22"/>
  <c r="BQ114" i="22" s="1"/>
  <c r="AQ98" i="22"/>
  <c r="BQ98" i="22" s="1"/>
  <c r="AQ82" i="22"/>
  <c r="BQ82" i="22" s="1"/>
  <c r="AQ66" i="22"/>
  <c r="BQ66" i="22" s="1"/>
  <c r="AQ50" i="22"/>
  <c r="BQ50" i="22" s="1"/>
  <c r="AQ34" i="22"/>
  <c r="BQ34" i="22" s="1"/>
  <c r="AQ141" i="22"/>
  <c r="BQ141" i="22" s="1"/>
  <c r="AQ125" i="22"/>
  <c r="BQ125" i="22" s="1"/>
  <c r="AQ109" i="22"/>
  <c r="BQ109" i="22" s="1"/>
  <c r="AQ93" i="22"/>
  <c r="BQ93" i="22" s="1"/>
  <c r="AQ77" i="22"/>
  <c r="BQ77" i="22" s="1"/>
  <c r="AQ61" i="22"/>
  <c r="BQ61" i="22" s="1"/>
  <c r="D44" i="28"/>
  <c r="F44" i="28" s="1"/>
  <c r="D43" i="28"/>
  <c r="F43" i="28" s="1"/>
  <c r="D47" i="28"/>
  <c r="F47" i="28" s="1"/>
  <c r="D32" i="28"/>
  <c r="F32" i="28" s="1"/>
  <c r="D28" i="28"/>
  <c r="F28" i="28" s="1"/>
  <c r="ED91" i="25"/>
  <c r="EE91" i="25" s="1"/>
  <c r="EF91" i="25" s="1"/>
  <c r="DQ59" i="25"/>
  <c r="EA59" i="25" s="1"/>
  <c r="EC59" i="25" s="1"/>
  <c r="EE59" i="25" s="1"/>
  <c r="EF59" i="25" s="1"/>
  <c r="DQ58" i="25"/>
  <c r="EA58" i="25" s="1"/>
  <c r="EC58" i="25" s="1"/>
  <c r="EE58" i="25" s="1"/>
  <c r="EF58" i="25" s="1"/>
  <c r="D41" i="28"/>
  <c r="F41" i="28" s="1"/>
  <c r="D46" i="28"/>
  <c r="F46" i="28" s="1"/>
  <c r="Z164" i="5" a="1"/>
  <c r="D50" i="28" a="1"/>
  <c r="X5" i="30"/>
  <c r="S31" i="30"/>
  <c r="CN157" i="5" s="1"/>
  <c r="X6" i="30"/>
  <c r="U35" i="30"/>
  <c r="CP164" i="5" s="1"/>
  <c r="U27" i="30"/>
  <c r="U33" i="30"/>
  <c r="CP159" i="5" s="1"/>
  <c r="BB82" i="27"/>
  <c r="BM82" i="27" s="1"/>
  <c r="BB110" i="27"/>
  <c r="BB46" i="27"/>
  <c r="BM46" i="27" s="1"/>
  <c r="BB74" i="27"/>
  <c r="BB86" i="27"/>
  <c r="BM86" i="27" s="1"/>
  <c r="BB121" i="27"/>
  <c r="BB105" i="27"/>
  <c r="BB89" i="27"/>
  <c r="BM89" i="27" s="1"/>
  <c r="BB73" i="27"/>
  <c r="BM73" i="27" s="1"/>
  <c r="BB57" i="27"/>
  <c r="BM57" i="27" s="1"/>
  <c r="BB44" i="27"/>
  <c r="BM44" i="27" s="1"/>
  <c r="BB112" i="27"/>
  <c r="BB96" i="27"/>
  <c r="BB80" i="27"/>
  <c r="BM80" i="27" s="1"/>
  <c r="BB64" i="27"/>
  <c r="BB48" i="27"/>
  <c r="BM48" i="27" s="1"/>
  <c r="BB119" i="27"/>
  <c r="BB103" i="27"/>
  <c r="BB87" i="27"/>
  <c r="BM87" i="27" s="1"/>
  <c r="BB71" i="27"/>
  <c r="BM71" i="27" s="1"/>
  <c r="BB55" i="27"/>
  <c r="BB50" i="27"/>
  <c r="S35" i="30"/>
  <c r="CN164" i="5" s="1"/>
  <c r="S27" i="30"/>
  <c r="CN153" i="5" s="1"/>
  <c r="S24" i="30"/>
  <c r="S33" i="30"/>
  <c r="CN159" i="5" s="1"/>
  <c r="U30" i="30"/>
  <c r="CP156" i="5" s="1"/>
  <c r="U24" i="30"/>
  <c r="CP150" i="5" s="1"/>
  <c r="AA8" i="30"/>
  <c r="BE102" i="27"/>
  <c r="BE93" i="27"/>
  <c r="BE53" i="27"/>
  <c r="BE54" i="27"/>
  <c r="BE84" i="27"/>
  <c r="BM84" i="27" s="1"/>
  <c r="BE47" i="27"/>
  <c r="BM47" i="27" s="1"/>
  <c r="BE91" i="27"/>
  <c r="BM91" i="27" s="1"/>
  <c r="BE110" i="27"/>
  <c r="BE114" i="27"/>
  <c r="BE74" i="27"/>
  <c r="BE113" i="27"/>
  <c r="BM113" i="27" s="1"/>
  <c r="J113" i="27" s="1"/>
  <c r="BE73" i="27"/>
  <c r="BE128" i="27"/>
  <c r="BM128" i="27" s="1"/>
  <c r="BE80" i="27"/>
  <c r="BE127" i="27"/>
  <c r="BN106" i="23"/>
  <c r="BF50" i="27"/>
  <c r="BF131" i="27"/>
  <c r="BF125" i="27"/>
  <c r="BF119" i="27"/>
  <c r="BF111" i="27"/>
  <c r="BF103" i="27"/>
  <c r="BF95" i="27"/>
  <c r="BM95" i="27" s="1"/>
  <c r="BF87" i="27"/>
  <c r="BF79" i="27"/>
  <c r="BF71" i="27"/>
  <c r="BF62" i="27"/>
  <c r="BH51" i="27"/>
  <c r="BH69" i="27"/>
  <c r="BH79" i="27"/>
  <c r="BH92" i="27"/>
  <c r="BF85" i="24"/>
  <c r="BN85" i="24" s="1"/>
  <c r="BF69" i="24"/>
  <c r="BN69" i="24" s="1"/>
  <c r="BF53" i="24"/>
  <c r="BN53" i="24" s="1"/>
  <c r="BJ114" i="27"/>
  <c r="BJ112" i="27"/>
  <c r="BJ99" i="27"/>
  <c r="BJ124" i="27"/>
  <c r="BJ68" i="27"/>
  <c r="BJ88" i="27"/>
  <c r="BJ74" i="27"/>
  <c r="BJ130" i="27"/>
  <c r="BJ82" i="27"/>
  <c r="BJ83" i="27"/>
  <c r="BJ92" i="27"/>
  <c r="BJ58" i="27"/>
  <c r="BJ105" i="27"/>
  <c r="BJ73" i="27"/>
  <c r="BJ56" i="27"/>
  <c r="BJ55" i="27"/>
  <c r="BJ78" i="27"/>
  <c r="BJ118" i="27"/>
  <c r="BJ109" i="27"/>
  <c r="BJ77" i="27"/>
  <c r="BJ53" i="27"/>
  <c r="BJ52" i="27"/>
  <c r="BJ123" i="27"/>
  <c r="BJ72" i="27"/>
  <c r="BJ98" i="27"/>
  <c r="BJ126" i="27"/>
  <c r="BJ67" i="27"/>
  <c r="BJ131" i="27"/>
  <c r="BJ107" i="27"/>
  <c r="BJ103" i="27"/>
  <c r="BJ122" i="27"/>
  <c r="BJ116" i="27"/>
  <c r="BJ59" i="27"/>
  <c r="BJ121" i="27"/>
  <c r="BJ89" i="27"/>
  <c r="BJ57" i="27"/>
  <c r="BJ71" i="27"/>
  <c r="BJ94" i="27"/>
  <c r="BJ62" i="27"/>
  <c r="BJ125" i="27"/>
  <c r="BJ93" i="27"/>
  <c r="BJ61" i="27"/>
  <c r="BJ115" i="27"/>
  <c r="BJ75" i="27"/>
  <c r="BJ111" i="27"/>
  <c r="BJ104" i="27"/>
  <c r="BJ84" i="27"/>
  <c r="BJ90" i="27"/>
  <c r="BJ91" i="27"/>
  <c r="BJ96" i="27"/>
  <c r="BJ95" i="27"/>
  <c r="BJ135" i="27"/>
  <c r="BM135" i="27" s="1"/>
  <c r="BJ120" i="27"/>
  <c r="BJ106" i="27"/>
  <c r="BJ66" i="27"/>
  <c r="BJ113" i="27"/>
  <c r="BJ81" i="27"/>
  <c r="BJ64" i="27"/>
  <c r="BJ63" i="27"/>
  <c r="BJ86" i="27"/>
  <c r="BJ54" i="27"/>
  <c r="BJ117" i="27"/>
  <c r="BJ85" i="27"/>
  <c r="D70" i="28"/>
  <c r="F70" i="28" s="1"/>
  <c r="Z185" i="5"/>
  <c r="AB185" i="5" s="1"/>
  <c r="D74" i="28"/>
  <c r="F74" i="28" s="1"/>
  <c r="Z189" i="5"/>
  <c r="AB189" i="5" s="1"/>
  <c r="Z182" i="5"/>
  <c r="AB182" i="5" s="1"/>
  <c r="D67" i="28"/>
  <c r="F67" i="28" s="1"/>
  <c r="S34" i="30"/>
  <c r="CN160" i="5" s="1"/>
  <c r="S23" i="30"/>
  <c r="S29" i="30"/>
  <c r="CN155" i="5" s="1"/>
  <c r="S30" i="30"/>
  <c r="CN156" i="5" s="1"/>
  <c r="X7" i="30"/>
  <c r="U31" i="30"/>
  <c r="CP157" i="5" s="1"/>
  <c r="W7" i="30"/>
  <c r="CV161" i="5"/>
  <c r="BE79" i="27"/>
  <c r="BM79" i="27" s="1"/>
  <c r="BE111" i="27"/>
  <c r="BM111" i="27" s="1"/>
  <c r="J111" i="27" s="1"/>
  <c r="BE56" i="27"/>
  <c r="BE88" i="27"/>
  <c r="BM88" i="27" s="1"/>
  <c r="BE120" i="27"/>
  <c r="BE57" i="27"/>
  <c r="BE89" i="27"/>
  <c r="BE121" i="27"/>
  <c r="BE66" i="27"/>
  <c r="BE98" i="27"/>
  <c r="BE130" i="27"/>
  <c r="BE51" i="27"/>
  <c r="BM51" i="27" s="1"/>
  <c r="BE83" i="27"/>
  <c r="BM83" i="27" s="1"/>
  <c r="BE115" i="27"/>
  <c r="BM115" i="27" s="1"/>
  <c r="BE60" i="27"/>
  <c r="BE92" i="27"/>
  <c r="BE124" i="27"/>
  <c r="BM124" i="27" s="1"/>
  <c r="BE94" i="27"/>
  <c r="BE69" i="27"/>
  <c r="BM69" i="27" s="1"/>
  <c r="BE101" i="27"/>
  <c r="BM101" i="27" s="1"/>
  <c r="J101" i="27" s="1"/>
  <c r="BE62" i="27"/>
  <c r="BM62" i="27" s="1"/>
  <c r="BF56" i="27"/>
  <c r="BF53" i="27"/>
  <c r="BF59" i="27"/>
  <c r="BF63" i="27"/>
  <c r="BF68" i="27"/>
  <c r="BF72" i="27"/>
  <c r="BM72" i="27" s="1"/>
  <c r="BF76" i="27"/>
  <c r="BM76" i="27" s="1"/>
  <c r="BF80" i="27"/>
  <c r="BF84" i="27"/>
  <c r="BF88" i="27"/>
  <c r="BF92" i="27"/>
  <c r="BF96" i="27"/>
  <c r="BF100" i="27"/>
  <c r="BF104" i="27"/>
  <c r="BF108" i="27"/>
  <c r="BF112" i="27"/>
  <c r="BF116" i="27"/>
  <c r="BM116" i="27" s="1"/>
  <c r="BF120" i="27"/>
  <c r="BF51" i="27"/>
  <c r="BF55" i="27"/>
  <c r="BF61" i="27"/>
  <c r="BM61" i="27" s="1"/>
  <c r="BF65" i="27"/>
  <c r="BM65" i="27" s="1"/>
  <c r="BF70" i="27"/>
  <c r="BM70" i="27" s="1"/>
  <c r="BF74" i="27"/>
  <c r="BF78" i="27"/>
  <c r="BM78" i="27" s="1"/>
  <c r="BF82" i="27"/>
  <c r="BF86" i="27"/>
  <c r="BF90" i="27"/>
  <c r="BF94" i="27"/>
  <c r="BF98" i="27"/>
  <c r="BF102" i="27"/>
  <c r="BF106" i="27"/>
  <c r="BF110" i="27"/>
  <c r="BF114" i="27"/>
  <c r="BF118" i="27"/>
  <c r="BF122" i="27"/>
  <c r="BF126" i="27"/>
  <c r="BF130" i="27"/>
  <c r="BF66" i="27"/>
  <c r="BH65" i="27"/>
  <c r="BH84" i="27"/>
  <c r="BH97" i="27"/>
  <c r="BH112" i="27"/>
  <c r="BH126" i="27"/>
  <c r="BH50" i="27"/>
  <c r="BH108" i="27"/>
  <c r="BH105" i="27"/>
  <c r="BH104" i="27"/>
  <c r="BH119" i="27"/>
  <c r="BH87" i="27"/>
  <c r="BH55" i="27"/>
  <c r="BH133" i="27"/>
  <c r="BM133" i="27" s="1"/>
  <c r="BH109" i="27"/>
  <c r="BH77" i="27"/>
  <c r="BH68" i="27"/>
  <c r="BH123" i="27"/>
  <c r="BH91" i="27"/>
  <c r="BH59" i="27"/>
  <c r="BH114" i="27"/>
  <c r="BH82" i="27"/>
  <c r="BH57" i="27"/>
  <c r="BH80" i="27"/>
  <c r="BH94" i="27"/>
  <c r="BH102" i="27"/>
  <c r="BH116" i="27"/>
  <c r="BH129" i="27"/>
  <c r="BH58" i="27"/>
  <c r="BH76" i="27"/>
  <c r="BH73" i="27"/>
  <c r="BH72" i="27"/>
  <c r="BH103" i="27"/>
  <c r="BH71" i="27"/>
  <c r="BH62" i="27"/>
  <c r="BH125" i="27"/>
  <c r="BH93" i="27"/>
  <c r="BH61" i="27"/>
  <c r="BH52" i="27"/>
  <c r="BH107" i="27"/>
  <c r="BH75" i="27"/>
  <c r="BH130" i="27"/>
  <c r="BH98" i="27"/>
  <c r="BH66" i="27"/>
  <c r="BH64" i="27"/>
  <c r="BH81" i="27"/>
  <c r="BH96" i="27"/>
  <c r="BH110" i="27"/>
  <c r="BH118" i="27"/>
  <c r="BH132" i="27"/>
  <c r="BM132" i="27" s="1"/>
  <c r="BH124" i="27"/>
  <c r="BH121" i="27"/>
  <c r="BH120" i="27"/>
  <c r="BH127" i="27"/>
  <c r="BH95" i="27"/>
  <c r="BH63" i="27"/>
  <c r="BH54" i="27"/>
  <c r="BH117" i="27"/>
  <c r="BM117" i="27" s="1"/>
  <c r="BH85" i="27"/>
  <c r="BM85" i="27" s="1"/>
  <c r="BH53" i="27"/>
  <c r="BH131" i="27"/>
  <c r="BH99" i="27"/>
  <c r="BH67" i="27"/>
  <c r="BH122" i="27"/>
  <c r="BH90" i="27"/>
  <c r="BH86" i="27"/>
  <c r="BF81" i="24"/>
  <c r="BN81" i="24" s="1"/>
  <c r="BN112" i="23"/>
  <c r="S26" i="30"/>
  <c r="S25" i="30"/>
  <c r="S32" i="30"/>
  <c r="CN158" i="5" s="1"/>
  <c r="U32" i="30"/>
  <c r="CP158" i="5" s="1"/>
  <c r="U26" i="30"/>
  <c r="CP152" i="5" s="1"/>
  <c r="W5" i="30"/>
  <c r="U25" i="30"/>
  <c r="CP151" i="5" s="1"/>
  <c r="U29" i="30"/>
  <c r="CP155" i="5" s="1"/>
  <c r="BF52" i="24"/>
  <c r="BN52" i="24" s="1"/>
  <c r="BF56" i="24"/>
  <c r="BN56" i="24" s="1"/>
  <c r="BF60" i="24"/>
  <c r="BN60" i="24" s="1"/>
  <c r="BF64" i="24"/>
  <c r="BN64" i="24" s="1"/>
  <c r="BF68" i="24"/>
  <c r="BN68" i="24" s="1"/>
  <c r="BF72" i="24"/>
  <c r="BN72" i="24" s="1"/>
  <c r="BF76" i="24"/>
  <c r="BN76" i="24" s="1"/>
  <c r="BF80" i="24"/>
  <c r="BN80" i="24" s="1"/>
  <c r="BF84" i="24"/>
  <c r="BN84" i="24" s="1"/>
  <c r="BF54" i="24"/>
  <c r="BN54" i="24" s="1"/>
  <c r="BF58" i="24"/>
  <c r="BN58" i="24" s="1"/>
  <c r="BF62" i="24"/>
  <c r="BN62" i="24" s="1"/>
  <c r="BF66" i="24"/>
  <c r="BN66" i="24" s="1"/>
  <c r="BF70" i="24"/>
  <c r="BN70" i="24" s="1"/>
  <c r="BF74" i="24"/>
  <c r="BN74" i="24" s="1"/>
  <c r="BF78" i="24"/>
  <c r="BN78" i="24" s="1"/>
  <c r="BF82" i="24"/>
  <c r="BN82" i="24" s="1"/>
  <c r="BF51" i="24"/>
  <c r="BN51" i="24" s="1"/>
  <c r="BF55" i="24"/>
  <c r="BN55" i="24" s="1"/>
  <c r="BF59" i="24"/>
  <c r="BN59" i="24" s="1"/>
  <c r="BF63" i="24"/>
  <c r="BN63" i="24" s="1"/>
  <c r="BF67" i="24"/>
  <c r="BN67" i="24" s="1"/>
  <c r="BF71" i="24"/>
  <c r="BN71" i="24" s="1"/>
  <c r="BF75" i="24"/>
  <c r="BN75" i="24" s="1"/>
  <c r="BF79" i="24"/>
  <c r="BN79" i="24" s="1"/>
  <c r="BF83" i="24"/>
  <c r="BN83" i="24" s="1"/>
  <c r="BF50" i="24"/>
  <c r="BN50" i="24" s="1"/>
  <c r="BL83" i="27"/>
  <c r="D71" i="28"/>
  <c r="F71" i="28" s="1"/>
  <c r="Z186" i="5"/>
  <c r="AB186" i="5" s="1"/>
  <c r="BG63" i="27"/>
  <c r="BG95" i="27"/>
  <c r="BG127" i="27"/>
  <c r="BG82" i="27"/>
  <c r="BG100" i="27"/>
  <c r="BG80" i="27"/>
  <c r="BG112" i="27"/>
  <c r="BG65" i="27"/>
  <c r="BG113" i="27"/>
  <c r="BG122" i="27"/>
  <c r="BG76" i="27"/>
  <c r="BG98" i="27"/>
  <c r="BG52" i="27"/>
  <c r="BM52" i="27" s="1"/>
  <c r="BG70" i="27"/>
  <c r="BG74" i="27"/>
  <c r="BG60" i="27"/>
  <c r="BG62" i="27"/>
  <c r="BG126" i="27"/>
  <c r="BG108" i="27"/>
  <c r="BG77" i="27"/>
  <c r="BM77" i="27" s="1"/>
  <c r="BI122" i="27"/>
  <c r="BI90" i="27"/>
  <c r="BI58" i="27"/>
  <c r="BI105" i="27"/>
  <c r="BI73" i="27"/>
  <c r="BI120" i="27"/>
  <c r="BI88" i="27"/>
  <c r="BI56" i="27"/>
  <c r="BI110" i="27"/>
  <c r="BI103" i="27"/>
  <c r="BI55" i="27"/>
  <c r="BI86" i="27"/>
  <c r="BI123" i="27"/>
  <c r="BI67" i="27"/>
  <c r="BI100" i="27"/>
  <c r="BI99" i="27"/>
  <c r="BI94" i="27"/>
  <c r="BI60" i="27"/>
  <c r="BI77" i="27"/>
  <c r="BI107" i="27"/>
  <c r="BI131" i="27"/>
  <c r="BL71" i="27"/>
  <c r="BL103" i="27"/>
  <c r="BL66" i="27"/>
  <c r="BL80" i="27"/>
  <c r="BL112" i="27"/>
  <c r="BL136" i="27"/>
  <c r="BM136" i="27" s="1"/>
  <c r="BL65" i="27"/>
  <c r="BL97" i="27"/>
  <c r="BL129" i="27"/>
  <c r="BL68" i="27"/>
  <c r="BL100" i="27"/>
  <c r="BL132" i="27"/>
  <c r="BL134" i="27"/>
  <c r="BM134" i="27" s="1"/>
  <c r="BL61" i="27"/>
  <c r="BL93" i="27"/>
  <c r="BL125" i="27"/>
  <c r="BL94" i="27"/>
  <c r="BL74" i="27"/>
  <c r="BL59" i="27"/>
  <c r="BL75" i="27"/>
  <c r="BL123" i="27"/>
  <c r="BL67" i="27"/>
  <c r="S51" i="30"/>
  <c r="CN183" i="5" s="1"/>
  <c r="S179" i="30"/>
  <c r="S195" i="30"/>
  <c r="S211" i="30"/>
  <c r="S227" i="30"/>
  <c r="S243" i="30"/>
  <c r="S259" i="30"/>
  <c r="S275" i="30"/>
  <c r="S291" i="30"/>
  <c r="S307" i="30"/>
  <c r="S323" i="30"/>
  <c r="S339" i="30"/>
  <c r="S355" i="30"/>
  <c r="S371" i="30"/>
  <c r="S387" i="30"/>
  <c r="S182" i="30"/>
  <c r="S314" i="30"/>
  <c r="S40" i="30"/>
  <c r="S164" i="30"/>
  <c r="AE164" i="30" s="1"/>
  <c r="S180" i="30"/>
  <c r="S196" i="30"/>
  <c r="S212" i="30"/>
  <c r="AE212" i="30" s="1"/>
  <c r="S228" i="30"/>
  <c r="S244" i="30"/>
  <c r="S260" i="30"/>
  <c r="S276" i="30"/>
  <c r="S292" i="30"/>
  <c r="S308" i="30"/>
  <c r="S324" i="30"/>
  <c r="S340" i="30"/>
  <c r="S356" i="30"/>
  <c r="S372" i="30"/>
  <c r="S388" i="30"/>
  <c r="S190" i="30"/>
  <c r="S266" i="30"/>
  <c r="S354" i="30"/>
  <c r="S57" i="30"/>
  <c r="CN189" i="5" s="1"/>
  <c r="S193" i="30"/>
  <c r="S225" i="30"/>
  <c r="S257" i="30"/>
  <c r="S289" i="30"/>
  <c r="S321" i="30"/>
  <c r="S353" i="30"/>
  <c r="S385" i="30"/>
  <c r="S202" i="30"/>
  <c r="S286" i="30"/>
  <c r="S370" i="30"/>
  <c r="R21" i="13"/>
  <c r="U37" i="30"/>
  <c r="CP166" i="5" s="1"/>
  <c r="U44" i="30"/>
  <c r="CP173" i="5" s="1"/>
  <c r="U52" i="30"/>
  <c r="CP184" i="5" s="1"/>
  <c r="U59" i="30"/>
  <c r="CP194" i="5" s="1"/>
  <c r="U171" i="30"/>
  <c r="U176" i="30"/>
  <c r="U184" i="30"/>
  <c r="U192" i="30"/>
  <c r="U200" i="30"/>
  <c r="AE200" i="30" s="1"/>
  <c r="U208" i="30"/>
  <c r="U216" i="30"/>
  <c r="U223" i="30"/>
  <c r="U231" i="30"/>
  <c r="U237" i="30"/>
  <c r="U244" i="30"/>
  <c r="U252" i="30"/>
  <c r="U260" i="30"/>
  <c r="U268" i="30"/>
  <c r="AE268" i="30" s="1"/>
  <c r="U276" i="30"/>
  <c r="U284" i="30"/>
  <c r="AE284" i="30" s="1"/>
  <c r="Z187" i="5"/>
  <c r="AB187" i="5" s="1"/>
  <c r="S185" i="5"/>
  <c r="BP185" i="5" s="1"/>
  <c r="D64" i="28"/>
  <c r="D68" i="28"/>
  <c r="F68" i="28" s="1"/>
  <c r="O93" i="29"/>
  <c r="O107" i="29" s="1"/>
  <c r="BI75" i="27"/>
  <c r="BI92" i="27"/>
  <c r="BL55" i="27"/>
  <c r="BL87" i="27"/>
  <c r="BL119" i="27"/>
  <c r="BL64" i="27"/>
  <c r="BL96" i="27"/>
  <c r="BL128" i="27"/>
  <c r="BL90" i="27"/>
  <c r="BL81" i="27"/>
  <c r="BL113" i="27"/>
  <c r="BL114" i="27"/>
  <c r="BL84" i="27"/>
  <c r="BL116" i="27"/>
  <c r="BL102" i="27"/>
  <c r="BL106" i="27"/>
  <c r="BL77" i="27"/>
  <c r="BL109" i="27"/>
  <c r="BL62" i="27"/>
  <c r="BL126" i="27"/>
  <c r="BL122" i="27"/>
  <c r="BL70" i="27"/>
  <c r="BL137" i="27"/>
  <c r="BM137" i="27" s="1"/>
  <c r="D75" i="28"/>
  <c r="F75" i="28" s="1"/>
  <c r="D66" i="28"/>
  <c r="F66" i="28" s="1"/>
  <c r="Z181" i="5"/>
  <c r="Z188" i="5"/>
  <c r="AB188" i="5" s="1"/>
  <c r="D73" i="28"/>
  <c r="F73" i="28" s="1"/>
  <c r="Z199" i="5"/>
  <c r="AB199" i="5" s="1"/>
  <c r="D83" i="28"/>
  <c r="F83" i="28" s="1"/>
  <c r="BP64" i="25"/>
  <c r="BP96" i="25"/>
  <c r="BR96" i="25" s="1"/>
  <c r="BP65" i="25"/>
  <c r="BR65" i="25" s="1"/>
  <c r="BP97" i="25"/>
  <c r="BR97" i="25" s="1"/>
  <c r="DY67" i="25"/>
  <c r="EA67" i="25" s="1"/>
  <c r="EC67" i="25" s="1"/>
  <c r="EE67" i="25" s="1"/>
  <c r="EF67" i="25" s="1"/>
  <c r="BP82" i="25"/>
  <c r="BR82" i="25" s="1"/>
  <c r="BP114" i="25"/>
  <c r="BR114" i="25" s="1"/>
  <c r="BP103" i="25"/>
  <c r="BR103" i="25" s="1"/>
  <c r="ED103" i="25" s="1"/>
  <c r="EE103" i="25" s="1"/>
  <c r="EF103" i="25" s="1"/>
  <c r="BP75" i="25"/>
  <c r="BR75" i="25" s="1"/>
  <c r="BP107" i="25"/>
  <c r="BR107" i="25" s="1"/>
  <c r="ED107" i="25" s="1"/>
  <c r="EE107" i="25" s="1"/>
  <c r="EF107" i="25" s="1"/>
  <c r="BP95" i="25"/>
  <c r="BR95" i="25" s="1"/>
  <c r="BP84" i="25"/>
  <c r="BR84" i="25" s="1"/>
  <c r="BP116" i="25"/>
  <c r="BR116" i="25" s="1"/>
  <c r="BP69" i="25"/>
  <c r="BR69" i="25" s="1"/>
  <c r="BP101" i="25"/>
  <c r="BR101" i="25" s="1"/>
  <c r="BP63" i="25"/>
  <c r="BR63" i="25" s="1"/>
  <c r="BP86" i="25"/>
  <c r="BR86" i="25" s="1"/>
  <c r="E5" i="30"/>
  <c r="E13" i="30"/>
  <c r="E4" i="30"/>
  <c r="E8" i="30"/>
  <c r="J20" i="30"/>
  <c r="L9" i="30"/>
  <c r="L13" i="30"/>
  <c r="L19" i="30"/>
  <c r="S37" i="30"/>
  <c r="CN166" i="5" s="1"/>
  <c r="U41" i="30"/>
  <c r="CP170" i="5" s="1"/>
  <c r="U45" i="30"/>
  <c r="U49" i="30"/>
  <c r="CP181" i="5" s="1"/>
  <c r="U53" i="30"/>
  <c r="CP185" i="5" s="1"/>
  <c r="T61" i="30"/>
  <c r="CO196" i="5" s="1"/>
  <c r="CO204" i="5"/>
  <c r="T77" i="30"/>
  <c r="CO215" i="5" s="1"/>
  <c r="T89" i="30"/>
  <c r="CO230" i="5" s="1"/>
  <c r="T97" i="30"/>
  <c r="T117" i="30"/>
  <c r="T141" i="30"/>
  <c r="U165" i="30"/>
  <c r="U169" i="30"/>
  <c r="S173" i="30"/>
  <c r="AE173" i="30" s="1"/>
  <c r="U177" i="30"/>
  <c r="U181" i="30"/>
  <c r="Z198" i="5"/>
  <c r="AB198" i="5" s="1"/>
  <c r="D82" i="28"/>
  <c r="F82" i="28" s="1"/>
  <c r="AO206" i="5"/>
  <c r="U38" i="30"/>
  <c r="U42" i="30"/>
  <c r="CP171" i="5" s="1"/>
  <c r="U46" i="30"/>
  <c r="CP175" i="5" s="1"/>
  <c r="U50" i="30"/>
  <c r="CP182" i="5" s="1"/>
  <c r="U54" i="30"/>
  <c r="CP186" i="5" s="1"/>
  <c r="U58" i="30"/>
  <c r="U166" i="30"/>
  <c r="U170" i="30"/>
  <c r="AE170" i="30" s="1"/>
  <c r="U174" i="30"/>
  <c r="S178" i="30"/>
  <c r="U182" i="30"/>
  <c r="S186" i="30"/>
  <c r="U190" i="30"/>
  <c r="U194" i="30"/>
  <c r="AE194" i="30" s="1"/>
  <c r="U198" i="30"/>
  <c r="U202" i="30"/>
  <c r="U206" i="30"/>
  <c r="U210" i="30"/>
  <c r="AE210" i="30" s="1"/>
  <c r="S214" i="30"/>
  <c r="S218" i="30"/>
  <c r="U222" i="30"/>
  <c r="U226" i="30"/>
  <c r="U230" i="30"/>
  <c r="AE230" i="30" s="1"/>
  <c r="S234" i="30"/>
  <c r="U238" i="30"/>
  <c r="U242" i="30"/>
  <c r="U246" i="30"/>
  <c r="AE246" i="30" s="1"/>
  <c r="U250" i="30"/>
  <c r="U254" i="30"/>
  <c r="S258" i="30"/>
  <c r="U262" i="30"/>
  <c r="U266" i="30"/>
  <c r="U270" i="30"/>
  <c r="S274" i="30"/>
  <c r="U278" i="30"/>
  <c r="AE278" i="30" s="1"/>
  <c r="S282" i="30"/>
  <c r="U286" i="30"/>
  <c r="U290" i="30"/>
  <c r="U294" i="30"/>
  <c r="AE294" i="30" s="1"/>
  <c r="U298" i="30"/>
  <c r="S302" i="30"/>
  <c r="U306" i="30"/>
  <c r="U310" i="30"/>
  <c r="U314" i="30"/>
  <c r="S318" i="30"/>
  <c r="U322" i="30"/>
  <c r="U326" i="30"/>
  <c r="AE326" i="30" s="1"/>
  <c r="U330" i="30"/>
  <c r="U334" i="30"/>
  <c r="U338" i="30"/>
  <c r="S342" i="30"/>
  <c r="U346" i="30"/>
  <c r="U350" i="30"/>
  <c r="U354" i="30"/>
  <c r="S358" i="30"/>
  <c r="U362" i="30"/>
  <c r="U366" i="30"/>
  <c r="U370" i="30"/>
  <c r="U374" i="30"/>
  <c r="U378" i="30"/>
  <c r="C133" i="29"/>
  <c r="Z203" i="5"/>
  <c r="AB203" i="5" s="1"/>
  <c r="D87" i="28"/>
  <c r="F87" i="28" s="1"/>
  <c r="Z196" i="5"/>
  <c r="AB196" i="5" s="1"/>
  <c r="D80" i="28"/>
  <c r="F80" i="28" s="1"/>
  <c r="U185" i="30"/>
  <c r="U189" i="30"/>
  <c r="U193" i="30"/>
  <c r="U197" i="30"/>
  <c r="U201" i="30"/>
  <c r="S205" i="30"/>
  <c r="U209" i="30"/>
  <c r="U213" i="30"/>
  <c r="U217" i="30"/>
  <c r="S221" i="30"/>
  <c r="U225" i="30"/>
  <c r="U229" i="30"/>
  <c r="U233" i="30"/>
  <c r="S237" i="30"/>
  <c r="U241" i="30"/>
  <c r="U245" i="30"/>
  <c r="U249" i="30"/>
  <c r="U253" i="30"/>
  <c r="U257" i="30"/>
  <c r="U261" i="30"/>
  <c r="U265" i="30"/>
  <c r="S269" i="30"/>
  <c r="U273" i="30"/>
  <c r="U277" i="30"/>
  <c r="U281" i="30"/>
  <c r="S285" i="30"/>
  <c r="U289" i="30"/>
  <c r="U293" i="30"/>
  <c r="U297" i="30"/>
  <c r="S301" i="30"/>
  <c r="U305" i="30"/>
  <c r="U309" i="30"/>
  <c r="U313" i="30"/>
  <c r="U317" i="30"/>
  <c r="U321" i="30"/>
  <c r="U325" i="30"/>
  <c r="U329" i="30"/>
  <c r="S333" i="30"/>
  <c r="U337" i="30"/>
  <c r="U341" i="30"/>
  <c r="U345" i="30"/>
  <c r="S349" i="30"/>
  <c r="U353" i="30"/>
  <c r="U361" i="30"/>
  <c r="U365" i="30"/>
  <c r="U369" i="30"/>
  <c r="U373" i="30"/>
  <c r="U377" i="30"/>
  <c r="S381" i="30"/>
  <c r="U385" i="30"/>
  <c r="U389" i="30"/>
  <c r="S393" i="30"/>
  <c r="Q46" i="30"/>
  <c r="CL175" i="5" s="1"/>
  <c r="Q50" i="30"/>
  <c r="CL182" i="5" s="1"/>
  <c r="Q54" i="30"/>
  <c r="CL186" i="5" s="1"/>
  <c r="Q58" i="30"/>
  <c r="CL190" i="5" s="1"/>
  <c r="Q62" i="30"/>
  <c r="CL197" i="5" s="1"/>
  <c r="CL201" i="5"/>
  <c r="CL205" i="5"/>
  <c r="Q74" i="30"/>
  <c r="CL212" i="5" s="1"/>
  <c r="Q78" i="30"/>
  <c r="CL216" i="5" s="1"/>
  <c r="Q86" i="30"/>
  <c r="CL227" i="5" s="1"/>
  <c r="Q90" i="30"/>
  <c r="CL231" i="5" s="1"/>
  <c r="Q94" i="30"/>
  <c r="CL235" i="5" s="1"/>
  <c r="Q98" i="30"/>
  <c r="Q102" i="30"/>
  <c r="Q106" i="30"/>
  <c r="Q114" i="30"/>
  <c r="Q118" i="30"/>
  <c r="Q122" i="30"/>
  <c r="Q126" i="30"/>
  <c r="Q130" i="30"/>
  <c r="Q134" i="30"/>
  <c r="Q138" i="30"/>
  <c r="Q142" i="30"/>
  <c r="Q146" i="30"/>
  <c r="Q150" i="30"/>
  <c r="Q154" i="30"/>
  <c r="Q158" i="30"/>
  <c r="Q162" i="30"/>
  <c r="Q166" i="30"/>
  <c r="Q170" i="30"/>
  <c r="Q174" i="30"/>
  <c r="Q182" i="30"/>
  <c r="Q186" i="30"/>
  <c r="Q190" i="30"/>
  <c r="Q194" i="30"/>
  <c r="Q202" i="30"/>
  <c r="Q206" i="30"/>
  <c r="Q210" i="30"/>
  <c r="Q214" i="30"/>
  <c r="Q218" i="30"/>
  <c r="Q222" i="30"/>
  <c r="Q226" i="30"/>
  <c r="Q230" i="30"/>
  <c r="Q234" i="30"/>
  <c r="Q238" i="30"/>
  <c r="Q242" i="30"/>
  <c r="Q246" i="30"/>
  <c r="Q250" i="30"/>
  <c r="Q254" i="30"/>
  <c r="Q262" i="30"/>
  <c r="Q266" i="30"/>
  <c r="Q270" i="30"/>
  <c r="Q278" i="30"/>
  <c r="Q282" i="30"/>
  <c r="Q286" i="30"/>
  <c r="Q290" i="30"/>
  <c r="Q294" i="30"/>
  <c r="Q298" i="30"/>
  <c r="Q302" i="30"/>
  <c r="Q306" i="30"/>
  <c r="Q310" i="30"/>
  <c r="Q314" i="30"/>
  <c r="Q318" i="30"/>
  <c r="Q326" i="30"/>
  <c r="Q330" i="30"/>
  <c r="Q334" i="30"/>
  <c r="Q342" i="30"/>
  <c r="Q346" i="30"/>
  <c r="Q350" i="30"/>
  <c r="Q354" i="30"/>
  <c r="Q358" i="30"/>
  <c r="Q362" i="30"/>
  <c r="Q366" i="30"/>
  <c r="Q370" i="30"/>
  <c r="Q374" i="30"/>
  <c r="Q378" i="30"/>
  <c r="Q382" i="30"/>
  <c r="Q390" i="30"/>
  <c r="Q394" i="30"/>
  <c r="CL202" i="5"/>
  <c r="CL209" i="5"/>
  <c r="Q115" i="30"/>
  <c r="Q119" i="30"/>
  <c r="Q143" i="30"/>
  <c r="Q179" i="30"/>
  <c r="Q183" i="30"/>
  <c r="Q203" i="30"/>
  <c r="Q207" i="30"/>
  <c r="Q219" i="30"/>
  <c r="Q235" i="30"/>
  <c r="Q283" i="30"/>
  <c r="Q299" i="30"/>
  <c r="Q319" i="30"/>
  <c r="Q331" i="30"/>
  <c r="Q351" i="30"/>
  <c r="Q363" i="30"/>
  <c r="Q395" i="30"/>
  <c r="Q44" i="30"/>
  <c r="CL173" i="5" s="1"/>
  <c r="Q84" i="30"/>
  <c r="CL225" i="5" s="1"/>
  <c r="Q104" i="30"/>
  <c r="Q136" i="30"/>
  <c r="Q156" i="30"/>
  <c r="Q168" i="30"/>
  <c r="Q200" i="30"/>
  <c r="Q220" i="30"/>
  <c r="Q232" i="30"/>
  <c r="Q252" i="30"/>
  <c r="Q264" i="30"/>
  <c r="Q268" i="30"/>
  <c r="Q296" i="30"/>
  <c r="Q300" i="30"/>
  <c r="Q316" i="30"/>
  <c r="Q332" i="30"/>
  <c r="Q348" i="30"/>
  <c r="Q360" i="30"/>
  <c r="Q380" i="30"/>
  <c r="Q392" i="30"/>
  <c r="Q396" i="30"/>
  <c r="U382" i="30"/>
  <c r="AE382" i="30" s="1"/>
  <c r="S386" i="30"/>
  <c r="U390" i="30"/>
  <c r="U394" i="30"/>
  <c r="E140" i="9"/>
  <c r="E141" i="9"/>
  <c r="E139" i="9"/>
  <c r="Z211" i="5"/>
  <c r="Z219" i="5"/>
  <c r="D102" i="28"/>
  <c r="D93" i="28"/>
  <c r="Z210" i="5"/>
  <c r="Z217" i="5"/>
  <c r="D100" i="28"/>
  <c r="Z220" i="5"/>
  <c r="CN217" i="5"/>
  <c r="U75" i="30"/>
  <c r="U83" i="30"/>
  <c r="CP224" i="5" s="1"/>
  <c r="U91" i="30"/>
  <c r="CP232" i="5" s="1"/>
  <c r="U99" i="30"/>
  <c r="AE99" i="30" s="1"/>
  <c r="U107" i="30"/>
  <c r="AE107" i="30" s="1"/>
  <c r="U115" i="30"/>
  <c r="AE115" i="30" s="1"/>
  <c r="U123" i="30"/>
  <c r="U131" i="30"/>
  <c r="U139" i="30"/>
  <c r="U147" i="30"/>
  <c r="U155" i="30"/>
  <c r="U163" i="30"/>
  <c r="AE163" i="30" s="1"/>
  <c r="U140" i="30"/>
  <c r="AE140" i="30" s="1"/>
  <c r="U80" i="30"/>
  <c r="U88" i="30"/>
  <c r="CP229" i="5" s="1"/>
  <c r="U96" i="30"/>
  <c r="AE96" i="30" s="1"/>
  <c r="U104" i="30"/>
  <c r="AE104" i="30" s="1"/>
  <c r="U112" i="30"/>
  <c r="AE112" i="30" s="1"/>
  <c r="U120" i="30"/>
  <c r="U128" i="30"/>
  <c r="U136" i="30"/>
  <c r="AE136" i="30" s="1"/>
  <c r="U144" i="30"/>
  <c r="U152" i="30"/>
  <c r="CP198" i="5"/>
  <c r="U79" i="30"/>
  <c r="CP217" i="5" s="1"/>
  <c r="U87" i="30"/>
  <c r="CP228" i="5" s="1"/>
  <c r="U95" i="30"/>
  <c r="AE95" i="30" s="1"/>
  <c r="U103" i="30"/>
  <c r="U111" i="30"/>
  <c r="U119" i="30"/>
  <c r="AE119" i="30" s="1"/>
  <c r="U127" i="30"/>
  <c r="AE127" i="30" s="1"/>
  <c r="U135" i="30"/>
  <c r="U143" i="30"/>
  <c r="AE143" i="30" s="1"/>
  <c r="U151" i="30"/>
  <c r="U159" i="30"/>
  <c r="AE159" i="30" s="1"/>
  <c r="U74" i="30"/>
  <c r="U160" i="30"/>
  <c r="AE160" i="30" s="1"/>
  <c r="T19" i="13"/>
  <c r="T36" i="13" s="1"/>
  <c r="T38" i="13" s="1"/>
  <c r="U92" i="30"/>
  <c r="CP233" i="5" s="1"/>
  <c r="U124" i="30"/>
  <c r="AE124" i="30" s="1"/>
  <c r="U148" i="30"/>
  <c r="U84" i="30"/>
  <c r="U116" i="30"/>
  <c r="AE156" i="30"/>
  <c r="U100" i="30"/>
  <c r="CN198" i="5"/>
  <c r="U149" i="30"/>
  <c r="U108" i="30"/>
  <c r="U132" i="30"/>
  <c r="L7" i="30"/>
  <c r="H20" i="30"/>
  <c r="T45" i="30"/>
  <c r="CO174" i="5" s="1"/>
  <c r="T49" i="30"/>
  <c r="CO181" i="5" s="1"/>
  <c r="T105" i="30"/>
  <c r="S49" i="30"/>
  <c r="S169" i="30"/>
  <c r="S185" i="30"/>
  <c r="S201" i="30"/>
  <c r="S217" i="30"/>
  <c r="S233" i="30"/>
  <c r="S249" i="30"/>
  <c r="S265" i="30"/>
  <c r="S281" i="30"/>
  <c r="S297" i="30"/>
  <c r="S313" i="30"/>
  <c r="S329" i="30"/>
  <c r="S345" i="30"/>
  <c r="S361" i="30"/>
  <c r="S377" i="30"/>
  <c r="U333" i="30"/>
  <c r="U269" i="30"/>
  <c r="U205" i="30"/>
  <c r="U105" i="30"/>
  <c r="T125" i="30"/>
  <c r="T81" i="30"/>
  <c r="CO219" i="5" s="1"/>
  <c r="S53" i="30"/>
  <c r="S189" i="30"/>
  <c r="S253" i="30"/>
  <c r="S317" i="30"/>
  <c r="S365" i="30"/>
  <c r="U81" i="30"/>
  <c r="CP219" i="5" s="1"/>
  <c r="CP200" i="5"/>
  <c r="U73" i="30"/>
  <c r="S73" i="30"/>
  <c r="CN211" i="5" s="1"/>
  <c r="U89" i="30"/>
  <c r="CP230" i="5" s="1"/>
  <c r="S89" i="30"/>
  <c r="CN230" i="5" s="1"/>
  <c r="S97" i="30"/>
  <c r="U97" i="30"/>
  <c r="S109" i="30"/>
  <c r="U109" i="30"/>
  <c r="S117" i="30"/>
  <c r="U117" i="30"/>
  <c r="U121" i="30"/>
  <c r="S121" i="30"/>
  <c r="U129" i="30"/>
  <c r="S137" i="30"/>
  <c r="U137" i="30"/>
  <c r="S141" i="30"/>
  <c r="U141" i="30"/>
  <c r="U153" i="30"/>
  <c r="S153" i="30"/>
  <c r="S161" i="30"/>
  <c r="U161" i="30"/>
  <c r="CP197" i="5"/>
  <c r="U78" i="30"/>
  <c r="CP216" i="5" s="1"/>
  <c r="U82" i="30"/>
  <c r="CP220" i="5" s="1"/>
  <c r="U90" i="30"/>
  <c r="CP231" i="5" s="1"/>
  <c r="U94" i="30"/>
  <c r="CP235" i="5" s="1"/>
  <c r="U98" i="30"/>
  <c r="AE98" i="30" s="1"/>
  <c r="U114" i="30"/>
  <c r="U118" i="30"/>
  <c r="U122" i="30"/>
  <c r="U138" i="30"/>
  <c r="U142" i="30"/>
  <c r="U154" i="30"/>
  <c r="U158" i="30"/>
  <c r="U162" i="30"/>
  <c r="CR161" i="5"/>
  <c r="I67" i="24"/>
  <c r="I69" i="24"/>
  <c r="I72" i="24"/>
  <c r="I75" i="24"/>
  <c r="I51" i="24"/>
  <c r="I54" i="24"/>
  <c r="I61" i="24"/>
  <c r="I60" i="24"/>
  <c r="I58" i="24"/>
  <c r="I81" i="24"/>
  <c r="I85" i="24"/>
  <c r="I88" i="24"/>
  <c r="CN200" i="5"/>
  <c r="I73" i="24"/>
  <c r="I71" i="24"/>
  <c r="I77" i="24"/>
  <c r="I42" i="24"/>
  <c r="I44" i="24"/>
  <c r="I45" i="24"/>
  <c r="I43" i="24"/>
  <c r="I47" i="24"/>
  <c r="I59" i="24"/>
  <c r="I82" i="24"/>
  <c r="I80" i="24"/>
  <c r="I89" i="24"/>
  <c r="I76" i="24"/>
  <c r="I74" i="24"/>
  <c r="I52" i="24"/>
  <c r="I66" i="24"/>
  <c r="I63" i="24"/>
  <c r="I49" i="24"/>
  <c r="I41" i="24"/>
  <c r="I55" i="24"/>
  <c r="I64" i="24"/>
  <c r="I78" i="24"/>
  <c r="I83" i="24"/>
  <c r="U157" i="30"/>
  <c r="U145" i="30"/>
  <c r="U125" i="30"/>
  <c r="U113" i="30"/>
  <c r="U93" i="30"/>
  <c r="CP234" i="5" s="1"/>
  <c r="U133" i="30"/>
  <c r="U101" i="30"/>
  <c r="U61" i="30"/>
  <c r="CP196" i="5" s="1"/>
  <c r="S61" i="30"/>
  <c r="CP204" i="5"/>
  <c r="S77" i="30"/>
  <c r="U77" i="30"/>
  <c r="CP215" i="5" s="1"/>
  <c r="S85" i="30"/>
  <c r="CN226" i="5" s="1"/>
  <c r="U85" i="30"/>
  <c r="CP226" i="5" s="1"/>
  <c r="D20" i="30"/>
  <c r="K20" i="30"/>
  <c r="L8" i="30"/>
  <c r="L10" i="30"/>
  <c r="L12" i="30"/>
  <c r="L14" i="30"/>
  <c r="L16" i="30"/>
  <c r="L18" i="30"/>
  <c r="Q47" i="30"/>
  <c r="CL179" i="5" s="1"/>
  <c r="Q51" i="30"/>
  <c r="CL183" i="5" s="1"/>
  <c r="Q55" i="30"/>
  <c r="CL187" i="5" s="1"/>
  <c r="Q59" i="30"/>
  <c r="CL194" i="5" s="1"/>
  <c r="Q63" i="30"/>
  <c r="CL198" i="5" s="1"/>
  <c r="Q75" i="30"/>
  <c r="CL213" i="5" s="1"/>
  <c r="Q79" i="30"/>
  <c r="CL217" i="5" s="1"/>
  <c r="Q83" i="30"/>
  <c r="CL224" i="5" s="1"/>
  <c r="Q87" i="30"/>
  <c r="CL228" i="5" s="1"/>
  <c r="Q91" i="30"/>
  <c r="CL232" i="5" s="1"/>
  <c r="Q95" i="30"/>
  <c r="Q99" i="30"/>
  <c r="Q103" i="30"/>
  <c r="Q107" i="30"/>
  <c r="Q111" i="30"/>
  <c r="Q123" i="30"/>
  <c r="Q127" i="30"/>
  <c r="Q131" i="30"/>
  <c r="Q135" i="30"/>
  <c r="Q147" i="30"/>
  <c r="Q151" i="30"/>
  <c r="Q155" i="30"/>
  <c r="Q159" i="30"/>
  <c r="Q163" i="30"/>
  <c r="Q167" i="30"/>
  <c r="Q171" i="30"/>
  <c r="Q175" i="30"/>
  <c r="Q187" i="30"/>
  <c r="Q191" i="30"/>
  <c r="Q195" i="30"/>
  <c r="Q199" i="30"/>
  <c r="Q211" i="30"/>
  <c r="Q215" i="30"/>
  <c r="Q223" i="30"/>
  <c r="Q227" i="30"/>
  <c r="Q231" i="30"/>
  <c r="Q239" i="30"/>
  <c r="Q243" i="30"/>
  <c r="Q247" i="30"/>
  <c r="Q251" i="30"/>
  <c r="Q255" i="30"/>
  <c r="Q259" i="30"/>
  <c r="Q263" i="30"/>
  <c r="Q267" i="30"/>
  <c r="Q271" i="30"/>
  <c r="Q275" i="30"/>
  <c r="Q279" i="30"/>
  <c r="Q287" i="30"/>
  <c r="Q291" i="30"/>
  <c r="Q295" i="30"/>
  <c r="Q303" i="30"/>
  <c r="Q307" i="30"/>
  <c r="Q311" i="30"/>
  <c r="Q315" i="30"/>
  <c r="Q323" i="30"/>
  <c r="Q327" i="30"/>
  <c r="Q335" i="30"/>
  <c r="Q339" i="30"/>
  <c r="Q343" i="30"/>
  <c r="Q347" i="30"/>
  <c r="Q355" i="30"/>
  <c r="Q359" i="30"/>
  <c r="Q367" i="30"/>
  <c r="Q371" i="30"/>
  <c r="Q375" i="30"/>
  <c r="Q379" i="30"/>
  <c r="Q387" i="30"/>
  <c r="Q391" i="30"/>
  <c r="Q48" i="30"/>
  <c r="CL180" i="5" s="1"/>
  <c r="Q52" i="30"/>
  <c r="CL184" i="5" s="1"/>
  <c r="Q56" i="30"/>
  <c r="CL188" i="5" s="1"/>
  <c r="Q60" i="30"/>
  <c r="CL195" i="5" s="1"/>
  <c r="Q64" i="30"/>
  <c r="CL199" i="5" s="1"/>
  <c r="Q72" i="30"/>
  <c r="CL210" i="5" s="1"/>
  <c r="Q76" i="30"/>
  <c r="CL214" i="5" s="1"/>
  <c r="Q80" i="30"/>
  <c r="CL218" i="5" s="1"/>
  <c r="Q88" i="30"/>
  <c r="CL229" i="5" s="1"/>
  <c r="Q92" i="30"/>
  <c r="CL233" i="5" s="1"/>
  <c r="Q96" i="30"/>
  <c r="Q100" i="30"/>
  <c r="Q108" i="30"/>
  <c r="Q112" i="30"/>
  <c r="Q116" i="30"/>
  <c r="Q120" i="30"/>
  <c r="Q128" i="30"/>
  <c r="Q132" i="30"/>
  <c r="Q140" i="30"/>
  <c r="Q144" i="30"/>
  <c r="Q148" i="30"/>
  <c r="Q152" i="30"/>
  <c r="Q160" i="30"/>
  <c r="Q164" i="30"/>
  <c r="Q172" i="30"/>
  <c r="Q176" i="30"/>
  <c r="Q180" i="30"/>
  <c r="Q184" i="30"/>
  <c r="Q192" i="30"/>
  <c r="Q196" i="30"/>
  <c r="Q204" i="30"/>
  <c r="Q208" i="30"/>
  <c r="Q212" i="30"/>
  <c r="Q216" i="30"/>
  <c r="Q224" i="30"/>
  <c r="Q228" i="30"/>
  <c r="Q240" i="30"/>
  <c r="Q244" i="30"/>
  <c r="Q248" i="30"/>
  <c r="Q256" i="30"/>
  <c r="Q260" i="30"/>
  <c r="Q272" i="30"/>
  <c r="Q276" i="30"/>
  <c r="Q280" i="30"/>
  <c r="Q288" i="30"/>
  <c r="Q292" i="30"/>
  <c r="Q304" i="30"/>
  <c r="Q308" i="30"/>
  <c r="Q312" i="30"/>
  <c r="Q320" i="30"/>
  <c r="Q324" i="30"/>
  <c r="Q336" i="30"/>
  <c r="Q340" i="30"/>
  <c r="Q344" i="30"/>
  <c r="Q352" i="30"/>
  <c r="Q356" i="30"/>
  <c r="Q368" i="30"/>
  <c r="Q372" i="30"/>
  <c r="Q376" i="30"/>
  <c r="Q384" i="30"/>
  <c r="Q388" i="30"/>
  <c r="Q45" i="30"/>
  <c r="CL174" i="5" s="1"/>
  <c r="Q49" i="30"/>
  <c r="CL181" i="5" s="1"/>
  <c r="Q57" i="30"/>
  <c r="CL189" i="5" s="1"/>
  <c r="Q61" i="30"/>
  <c r="CL196" i="5" s="1"/>
  <c r="CL204" i="5"/>
  <c r="Q77" i="30"/>
  <c r="CL215" i="5" s="1"/>
  <c r="Q93" i="30"/>
  <c r="CL234" i="5" s="1"/>
  <c r="Q109" i="30"/>
  <c r="Q125" i="30"/>
  <c r="Q141" i="30"/>
  <c r="Q157" i="30"/>
  <c r="Q173" i="30"/>
  <c r="Q189" i="30"/>
  <c r="Q205" i="30"/>
  <c r="CQ221" i="5"/>
  <c r="CR221" i="5"/>
  <c r="CR206" i="5"/>
  <c r="CQ176" i="5"/>
  <c r="CQ206" i="5"/>
  <c r="CQ191" i="5"/>
  <c r="CR191" i="5"/>
  <c r="CR176" i="5"/>
  <c r="CQ161" i="5"/>
  <c r="CN214" i="5"/>
  <c r="CP202" i="5"/>
  <c r="I84" i="24"/>
  <c r="I86" i="24"/>
  <c r="CP160" i="5"/>
  <c r="CP154" i="5"/>
  <c r="AE28" i="30"/>
  <c r="AE396" i="30"/>
  <c r="AE67" i="30"/>
  <c r="CN173" i="5"/>
  <c r="E6" i="30"/>
  <c r="C20" i="30"/>
  <c r="S198" i="30"/>
  <c r="S270" i="30"/>
  <c r="S330" i="30"/>
  <c r="S394" i="30"/>
  <c r="S166" i="30"/>
  <c r="S206" i="30"/>
  <c r="S250" i="30"/>
  <c r="S290" i="30"/>
  <c r="S334" i="30"/>
  <c r="S374" i="30"/>
  <c r="S46" i="30"/>
  <c r="S174" i="30"/>
  <c r="S222" i="30"/>
  <c r="S262" i="30"/>
  <c r="S306" i="30"/>
  <c r="S346" i="30"/>
  <c r="S390" i="30"/>
  <c r="U386" i="30"/>
  <c r="U358" i="30"/>
  <c r="U342" i="30"/>
  <c r="U318" i="30"/>
  <c r="U302" i="30"/>
  <c r="U282" i="30"/>
  <c r="U274" i="30"/>
  <c r="U258" i="30"/>
  <c r="U234" i="30"/>
  <c r="U218" i="30"/>
  <c r="U214" i="30"/>
  <c r="U186" i="30"/>
  <c r="U178" i="30"/>
  <c r="S158" i="30"/>
  <c r="S78" i="30"/>
  <c r="S142" i="30"/>
  <c r="S62" i="30"/>
  <c r="S82" i="30"/>
  <c r="S54" i="30"/>
  <c r="S50" i="30"/>
  <c r="S138" i="30"/>
  <c r="S118" i="30"/>
  <c r="S154" i="30"/>
  <c r="CP201" i="5"/>
  <c r="CP205" i="5"/>
  <c r="S86" i="30"/>
  <c r="CN227" i="5" s="1"/>
  <c r="U86" i="30"/>
  <c r="CP227" i="5" s="1"/>
  <c r="S102" i="30"/>
  <c r="U102" i="30"/>
  <c r="S106" i="30"/>
  <c r="U106" i="30"/>
  <c r="S110" i="30"/>
  <c r="U110" i="30"/>
  <c r="S126" i="30"/>
  <c r="U126" i="30"/>
  <c r="S130" i="30"/>
  <c r="U130" i="30"/>
  <c r="S134" i="30"/>
  <c r="U134" i="30"/>
  <c r="S146" i="30"/>
  <c r="U146" i="30"/>
  <c r="U150" i="30"/>
  <c r="S150" i="30"/>
  <c r="D30" i="28" l="1"/>
  <c r="F30" i="28" s="1"/>
  <c r="D31" i="28"/>
  <c r="F31" i="28" s="1"/>
  <c r="Z145" i="5"/>
  <c r="AB145" i="5" s="1"/>
  <c r="Z143" i="5"/>
  <c r="AB143" i="5" s="1"/>
  <c r="O81" i="29"/>
  <c r="BE161" i="5"/>
  <c r="CA234" i="5"/>
  <c r="CA232" i="5"/>
  <c r="CA230" i="5"/>
  <c r="CA228" i="5"/>
  <c r="CA226" i="5"/>
  <c r="CA224" i="5"/>
  <c r="CA235" i="5"/>
  <c r="CA233" i="5"/>
  <c r="CA231" i="5"/>
  <c r="CA229" i="5"/>
  <c r="CA227" i="5"/>
  <c r="CA225" i="5"/>
  <c r="CC236" i="5"/>
  <c r="AE220" i="30"/>
  <c r="D97" i="28"/>
  <c r="AB17" i="5"/>
  <c r="AA18" i="5"/>
  <c r="AE165" i="30"/>
  <c r="AE355" i="30"/>
  <c r="AF36" i="30"/>
  <c r="AE363" i="30"/>
  <c r="AE303" i="30"/>
  <c r="AE322" i="30"/>
  <c r="AE179" i="30"/>
  <c r="AE352" i="30"/>
  <c r="CS202" i="5"/>
  <c r="CW202" i="5" s="1"/>
  <c r="AE248" i="30"/>
  <c r="AF348" i="30"/>
  <c r="D96" i="28"/>
  <c r="AE392" i="30"/>
  <c r="AF111" i="30"/>
  <c r="AE176" i="30"/>
  <c r="CS229" i="5"/>
  <c r="CW229" i="5" s="1"/>
  <c r="CS228" i="5"/>
  <c r="CW228" i="5" s="1"/>
  <c r="CS232" i="5"/>
  <c r="CW232" i="5" s="1"/>
  <c r="CS233" i="5"/>
  <c r="CW233" i="5" s="1"/>
  <c r="CS227" i="5"/>
  <c r="CW227" i="5" s="1"/>
  <c r="AE309" i="30"/>
  <c r="AE331" i="30"/>
  <c r="CS231" i="5"/>
  <c r="CW231" i="5" s="1"/>
  <c r="AE362" i="30"/>
  <c r="AE308" i="30"/>
  <c r="CO236" i="5"/>
  <c r="AE395" i="30"/>
  <c r="AE288" i="30"/>
  <c r="CL236" i="5"/>
  <c r="AE84" i="30"/>
  <c r="CP225" i="5"/>
  <c r="CS225" i="5" s="1"/>
  <c r="CW225" i="5" s="1"/>
  <c r="CS234" i="5"/>
  <c r="CW234" i="5" s="1"/>
  <c r="CS224" i="5"/>
  <c r="CS226" i="5"/>
  <c r="CW226" i="5" s="1"/>
  <c r="AE192" i="30"/>
  <c r="AF304" i="30"/>
  <c r="CN236" i="5"/>
  <c r="CS230" i="5"/>
  <c r="CW230" i="5" s="1"/>
  <c r="AE184" i="30"/>
  <c r="AE259" i="30"/>
  <c r="CS235" i="5"/>
  <c r="CW235" i="5" s="1"/>
  <c r="AE376" i="30"/>
  <c r="AE183" i="30"/>
  <c r="AE328" i="30"/>
  <c r="AE291" i="30"/>
  <c r="AE378" i="30"/>
  <c r="AE177" i="30"/>
  <c r="AE372" i="30"/>
  <c r="AF288" i="30"/>
  <c r="AF335" i="30"/>
  <c r="AE357" i="30"/>
  <c r="AE338" i="30"/>
  <c r="AF303" i="30"/>
  <c r="AF372" i="30"/>
  <c r="AE55" i="30"/>
  <c r="AE277" i="30"/>
  <c r="AE241" i="30"/>
  <c r="AE242" i="30"/>
  <c r="Z221" i="5"/>
  <c r="AE350" i="30"/>
  <c r="AE243" i="30"/>
  <c r="AE249" i="30"/>
  <c r="AE228" i="30"/>
  <c r="AE312" i="30"/>
  <c r="AE233" i="30"/>
  <c r="AE366" i="30"/>
  <c r="AE113" i="30"/>
  <c r="AF336" i="30"/>
  <c r="CN165" i="5"/>
  <c r="CS165" i="5" s="1"/>
  <c r="AE42" i="30"/>
  <c r="AE373" i="30"/>
  <c r="AE298" i="30"/>
  <c r="AF220" i="30"/>
  <c r="AF224" i="30"/>
  <c r="AF172" i="30"/>
  <c r="AE292" i="30"/>
  <c r="AE293" i="30"/>
  <c r="AE197" i="30"/>
  <c r="AE181" i="30"/>
  <c r="AF376" i="30"/>
  <c r="AF226" i="30"/>
  <c r="AE208" i="30"/>
  <c r="AE34" i="30"/>
  <c r="AE226" i="30"/>
  <c r="AE332" i="30"/>
  <c r="AE237" i="30"/>
  <c r="AF72" i="30"/>
  <c r="AF332" i="30"/>
  <c r="AE341" i="30"/>
  <c r="AE245" i="30"/>
  <c r="AE238" i="30"/>
  <c r="AF240" i="30"/>
  <c r="AE369" i="30"/>
  <c r="AE360" i="30"/>
  <c r="AE240" i="30"/>
  <c r="AE60" i="30"/>
  <c r="AF316" i="30"/>
  <c r="AB74" i="5"/>
  <c r="AA75" i="5"/>
  <c r="AE311" i="30"/>
  <c r="AF328" i="30"/>
  <c r="AE35" i="30"/>
  <c r="AE345" i="30"/>
  <c r="AE315" i="30"/>
  <c r="AF58" i="30"/>
  <c r="AE358" i="30"/>
  <c r="AF195" i="30"/>
  <c r="AE389" i="30"/>
  <c r="AE33" i="30"/>
  <c r="AE375" i="30"/>
  <c r="AF279" i="30"/>
  <c r="AE287" i="30"/>
  <c r="AE300" i="30"/>
  <c r="AE195" i="30"/>
  <c r="AF380" i="30"/>
  <c r="AF296" i="30"/>
  <c r="AE296" i="30"/>
  <c r="AE387" i="30"/>
  <c r="AE232" i="30"/>
  <c r="AE209" i="30"/>
  <c r="AE301" i="30"/>
  <c r="AE56" i="30"/>
  <c r="AF311" i="30"/>
  <c r="AE180" i="30"/>
  <c r="CS188" i="5"/>
  <c r="CW188" i="5" s="1"/>
  <c r="AE247" i="30"/>
  <c r="AF379" i="30"/>
  <c r="AF215" i="30"/>
  <c r="AF229" i="30"/>
  <c r="AE364" i="30"/>
  <c r="AF267" i="30"/>
  <c r="AF96" i="30"/>
  <c r="AE356" i="30"/>
  <c r="AF364" i="30"/>
  <c r="AE384" i="30"/>
  <c r="AF79" i="30"/>
  <c r="AE337" i="30"/>
  <c r="AE30" i="30"/>
  <c r="AF60" i="30"/>
  <c r="AE31" i="30"/>
  <c r="AE223" i="30"/>
  <c r="AE339" i="30"/>
  <c r="AF204" i="30"/>
  <c r="AE229" i="30"/>
  <c r="AF98" i="30"/>
  <c r="AF312" i="30"/>
  <c r="CS189" i="5"/>
  <c r="CW189" i="5" s="1"/>
  <c r="CS198" i="5"/>
  <c r="CW198" i="5" s="1"/>
  <c r="AE347" i="30"/>
  <c r="AF319" i="30"/>
  <c r="AE295" i="30"/>
  <c r="AE263" i="30"/>
  <c r="AE215" i="30"/>
  <c r="CS195" i="5"/>
  <c r="CW195" i="5" s="1"/>
  <c r="AE381" i="30"/>
  <c r="AE252" i="30"/>
  <c r="AE44" i="30"/>
  <c r="AF173" i="30"/>
  <c r="AE282" i="30"/>
  <c r="AF44" i="30"/>
  <c r="AE171" i="30"/>
  <c r="AE227" i="30"/>
  <c r="AF51" i="30"/>
  <c r="AE133" i="30"/>
  <c r="AF254" i="30"/>
  <c r="AF164" i="30"/>
  <c r="AF287" i="30"/>
  <c r="AE235" i="30"/>
  <c r="AF43" i="30"/>
  <c r="AE275" i="30"/>
  <c r="AF256" i="30"/>
  <c r="AF263" i="30"/>
  <c r="AF295" i="30"/>
  <c r="AE340" i="30"/>
  <c r="AF55" i="30"/>
  <c r="AF47" i="30"/>
  <c r="AE53" i="30"/>
  <c r="AE47" i="30"/>
  <c r="AE323" i="30"/>
  <c r="AF356" i="30"/>
  <c r="AE225" i="30"/>
  <c r="AF384" i="30"/>
  <c r="AF259" i="30"/>
  <c r="AF40" i="30"/>
  <c r="AF357" i="30"/>
  <c r="AF300" i="30"/>
  <c r="AE255" i="30"/>
  <c r="O159" i="29"/>
  <c r="O133" i="29"/>
  <c r="AF388" i="30"/>
  <c r="AF179" i="30"/>
  <c r="AF353" i="30"/>
  <c r="AE324" i="30"/>
  <c r="AE48" i="30"/>
  <c r="AE256" i="30"/>
  <c r="AE191" i="30"/>
  <c r="AE59" i="30"/>
  <c r="AF219" i="30"/>
  <c r="AE320" i="30"/>
  <c r="AF192" i="30"/>
  <c r="AE216" i="30"/>
  <c r="AF251" i="30"/>
  <c r="CS180" i="5"/>
  <c r="CW180" i="5" s="1"/>
  <c r="AF271" i="30"/>
  <c r="AE168" i="30"/>
  <c r="AE267" i="30"/>
  <c r="AF41" i="30"/>
  <c r="AF292" i="30"/>
  <c r="AF243" i="30"/>
  <c r="AF248" i="30"/>
  <c r="AF331" i="30"/>
  <c r="AF352" i="30"/>
  <c r="AF168" i="30"/>
  <c r="CN194" i="5"/>
  <c r="CS194" i="5" s="1"/>
  <c r="AE317" i="30"/>
  <c r="AF323" i="30"/>
  <c r="AE39" i="30"/>
  <c r="AE393" i="30"/>
  <c r="AE261" i="30"/>
  <c r="AE213" i="30"/>
  <c r="AE388" i="30"/>
  <c r="AF324" i="30"/>
  <c r="AF320" i="30"/>
  <c r="AF191" i="30"/>
  <c r="AF392" i="30"/>
  <c r="AF236" i="30"/>
  <c r="AE344" i="30"/>
  <c r="AE111" i="30"/>
  <c r="AF149" i="30"/>
  <c r="AF170" i="30"/>
  <c r="AF284" i="30"/>
  <c r="AF378" i="30"/>
  <c r="AF361" i="30"/>
  <c r="AF241" i="30"/>
  <c r="AF99" i="30"/>
  <c r="AF223" i="30"/>
  <c r="CO206" i="5"/>
  <c r="AE367" i="30"/>
  <c r="AF359" i="30"/>
  <c r="AE343" i="30"/>
  <c r="AF327" i="30"/>
  <c r="AF315" i="30"/>
  <c r="AF299" i="30"/>
  <c r="AE283" i="30"/>
  <c r="AE271" i="30"/>
  <c r="AE251" i="30"/>
  <c r="AE207" i="30"/>
  <c r="AE187" i="30"/>
  <c r="AE167" i="30"/>
  <c r="AF188" i="30"/>
  <c r="AF333" i="30"/>
  <c r="AE63" i="30"/>
  <c r="AF115" i="30"/>
  <c r="AE169" i="30"/>
  <c r="AE289" i="30"/>
  <c r="AF45" i="30"/>
  <c r="AE121" i="30"/>
  <c r="AF89" i="30"/>
  <c r="CS217" i="5"/>
  <c r="CW217" i="5" s="1"/>
  <c r="CS183" i="5"/>
  <c r="CW183" i="5" s="1"/>
  <c r="AF187" i="30"/>
  <c r="CS173" i="5"/>
  <c r="CW173" i="5" s="1"/>
  <c r="AE188" i="30"/>
  <c r="AF76" i="30"/>
  <c r="AF235" i="30"/>
  <c r="AF289" i="30"/>
  <c r="AF227" i="30"/>
  <c r="AE41" i="30"/>
  <c r="AF48" i="30"/>
  <c r="AF104" i="30"/>
  <c r="AF105" i="30"/>
  <c r="AF225" i="30"/>
  <c r="CS168" i="5"/>
  <c r="CW168" i="5" s="1"/>
  <c r="AF39" i="30"/>
  <c r="AF375" i="30"/>
  <c r="AF207" i="30"/>
  <c r="AE254" i="30"/>
  <c r="AF153" i="30"/>
  <c r="AE105" i="30"/>
  <c r="AF355" i="30"/>
  <c r="AF389" i="30"/>
  <c r="AF310" i="30"/>
  <c r="AE353" i="30"/>
  <c r="AF393" i="30"/>
  <c r="AF261" i="30"/>
  <c r="AF360" i="30"/>
  <c r="AF369" i="30"/>
  <c r="AF163" i="30"/>
  <c r="AF308" i="30"/>
  <c r="AF338" i="30"/>
  <c r="AF165" i="30"/>
  <c r="AF189" i="30"/>
  <c r="AF283" i="30"/>
  <c r="AF242" i="30"/>
  <c r="AF228" i="30"/>
  <c r="AE379" i="30"/>
  <c r="AE335" i="30"/>
  <c r="AE319" i="30"/>
  <c r="AE279" i="30"/>
  <c r="AE239" i="30"/>
  <c r="E20" i="30"/>
  <c r="AF59" i="30"/>
  <c r="AF67" i="30"/>
  <c r="AF395" i="30"/>
  <c r="AF238" i="30"/>
  <c r="AF325" i="30"/>
  <c r="AF321" i="30"/>
  <c r="AF193" i="30"/>
  <c r="AF371" i="30"/>
  <c r="AF56" i="30"/>
  <c r="AF183" i="30"/>
  <c r="AF112" i="30"/>
  <c r="AF95" i="30"/>
  <c r="AF208" i="30"/>
  <c r="AF213" i="30"/>
  <c r="AF160" i="30"/>
  <c r="CW165" i="5"/>
  <c r="AE327" i="30"/>
  <c r="AE299" i="30"/>
  <c r="AE81" i="30"/>
  <c r="AE371" i="30"/>
  <c r="CN152" i="5"/>
  <c r="AE26" i="30"/>
  <c r="CP153" i="5"/>
  <c r="CP161" i="5" s="1"/>
  <c r="AE27" i="30"/>
  <c r="CO184" i="5"/>
  <c r="CS184" i="5" s="1"/>
  <c r="CW184" i="5" s="1"/>
  <c r="AF52" i="30"/>
  <c r="AF337" i="30"/>
  <c r="AF73" i="30"/>
  <c r="CO209" i="5"/>
  <c r="CO221" i="5" s="1"/>
  <c r="AF71" i="30"/>
  <c r="CP214" i="5"/>
  <c r="CS214" i="5" s="1"/>
  <c r="CW214" i="5" s="1"/>
  <c r="AE76" i="30"/>
  <c r="AE203" i="30"/>
  <c r="AF203" i="30"/>
  <c r="AF391" i="30"/>
  <c r="AE391" i="30"/>
  <c r="AF199" i="30"/>
  <c r="AE199" i="30"/>
  <c r="AF175" i="30"/>
  <c r="AE280" i="30"/>
  <c r="AF280" i="30"/>
  <c r="AE272" i="30"/>
  <c r="AF272" i="30"/>
  <c r="AF351" i="30"/>
  <c r="AE351" i="30"/>
  <c r="CP211" i="5"/>
  <c r="CS211" i="5" s="1"/>
  <c r="CW211" i="5" s="1"/>
  <c r="AE73" i="30"/>
  <c r="AE190" i="30"/>
  <c r="AF190" i="30"/>
  <c r="AE40" i="30"/>
  <c r="CN169" i="5"/>
  <c r="CS169" i="5" s="1"/>
  <c r="CW169" i="5" s="1"/>
  <c r="AE307" i="30"/>
  <c r="AF307" i="30"/>
  <c r="AF171" i="30"/>
  <c r="CL161" i="5"/>
  <c r="AF367" i="30"/>
  <c r="AF129" i="30"/>
  <c r="AE129" i="30"/>
  <c r="AE97" i="30"/>
  <c r="AF97" i="30"/>
  <c r="AE162" i="30"/>
  <c r="AF162" i="30"/>
  <c r="AE135" i="30"/>
  <c r="AF135" i="30"/>
  <c r="AE91" i="30"/>
  <c r="AF91" i="30"/>
  <c r="AE305" i="30"/>
  <c r="AF305" i="30"/>
  <c r="AE273" i="30"/>
  <c r="AF273" i="30"/>
  <c r="AF231" i="30"/>
  <c r="AE231" i="30"/>
  <c r="AF260" i="30"/>
  <c r="AE161" i="30"/>
  <c r="AF377" i="30"/>
  <c r="AF313" i="30"/>
  <c r="AF285" i="30"/>
  <c r="AE37" i="30"/>
  <c r="AF363" i="30"/>
  <c r="AF347" i="30"/>
  <c r="AF81" i="30"/>
  <c r="AF57" i="30"/>
  <c r="AF37" i="30"/>
  <c r="AE57" i="30"/>
  <c r="AF145" i="30"/>
  <c r="CS187" i="5"/>
  <c r="CW187" i="5" s="1"/>
  <c r="CS170" i="5"/>
  <c r="CW170" i="5" s="1"/>
  <c r="AF255" i="30"/>
  <c r="AF90" i="30"/>
  <c r="AE253" i="30"/>
  <c r="AE361" i="30"/>
  <c r="AF169" i="30"/>
  <c r="AF387" i="30"/>
  <c r="AF277" i="30"/>
  <c r="AF291" i="30"/>
  <c r="AE149" i="30"/>
  <c r="AE325" i="30"/>
  <c r="AF143" i="30"/>
  <c r="AE276" i="30"/>
  <c r="AF180" i="30"/>
  <c r="AF339" i="30"/>
  <c r="AF211" i="30"/>
  <c r="AF167" i="30"/>
  <c r="AF232" i="30"/>
  <c r="AF239" i="30"/>
  <c r="AE359" i="30"/>
  <c r="AE219" i="30"/>
  <c r="CS166" i="5"/>
  <c r="CW166" i="5" s="1"/>
  <c r="CL176" i="5"/>
  <c r="AE93" i="30"/>
  <c r="AF249" i="30"/>
  <c r="AE51" i="30"/>
  <c r="AE189" i="30"/>
  <c r="AF269" i="30"/>
  <c r="AE285" i="30"/>
  <c r="AE29" i="30"/>
  <c r="AF247" i="30"/>
  <c r="AF343" i="30"/>
  <c r="AF383" i="30"/>
  <c r="AF344" i="30"/>
  <c r="AF161" i="30"/>
  <c r="CL221" i="5"/>
  <c r="AF345" i="30"/>
  <c r="AF329" i="30"/>
  <c r="AE297" i="30"/>
  <c r="AE217" i="30"/>
  <c r="AF201" i="30"/>
  <c r="AE385" i="30"/>
  <c r="AF257" i="30"/>
  <c r="AE244" i="30"/>
  <c r="AE43" i="30"/>
  <c r="CN172" i="5"/>
  <c r="CS172" i="5" s="1"/>
  <c r="CW172" i="5" s="1"/>
  <c r="AE175" i="30"/>
  <c r="CS219" i="5"/>
  <c r="CW219" i="5" s="1"/>
  <c r="AE383" i="30"/>
  <c r="AE201" i="30"/>
  <c r="AF385" i="30"/>
  <c r="AF275" i="30"/>
  <c r="AE211" i="30"/>
  <c r="AE89" i="30"/>
  <c r="AF107" i="30"/>
  <c r="AF381" i="30"/>
  <c r="AF297" i="30"/>
  <c r="AF233" i="30"/>
  <c r="AF140" i="30"/>
  <c r="AE32" i="30"/>
  <c r="AE310" i="30"/>
  <c r="AF177" i="30"/>
  <c r="AF230" i="30"/>
  <c r="AE257" i="30"/>
  <c r="AF65" i="30"/>
  <c r="AE52" i="30"/>
  <c r="AF121" i="30"/>
  <c r="AE313" i="30"/>
  <c r="AF217" i="30"/>
  <c r="AF294" i="30"/>
  <c r="AE65" i="30"/>
  <c r="CS200" i="5"/>
  <c r="CW200" i="5" s="1"/>
  <c r="AE365" i="30"/>
  <c r="AF84" i="30"/>
  <c r="AE329" i="30"/>
  <c r="BQ74" i="5"/>
  <c r="BO74" i="5"/>
  <c r="BP74" i="5"/>
  <c r="K87" i="27"/>
  <c r="K92" i="27"/>
  <c r="K89" i="27"/>
  <c r="K88" i="27"/>
  <c r="BP68" i="5"/>
  <c r="BO68" i="5"/>
  <c r="BQ68" i="5"/>
  <c r="BK8" i="10"/>
  <c r="N50" i="5" s="1"/>
  <c r="D104" i="28"/>
  <c r="AF349" i="30"/>
  <c r="AE349" i="30"/>
  <c r="AF221" i="30"/>
  <c r="AE221" i="30"/>
  <c r="CP167" i="5"/>
  <c r="AE38" i="30"/>
  <c r="BY201" i="5"/>
  <c r="ED86" i="25"/>
  <c r="EE86" i="25" s="1"/>
  <c r="EF86" i="25" s="1"/>
  <c r="BY187" i="5"/>
  <c r="ED75" i="25"/>
  <c r="EE75" i="25" s="1"/>
  <c r="EF75" i="25" s="1"/>
  <c r="BQ185" i="5"/>
  <c r="BO185" i="5"/>
  <c r="AE370" i="30"/>
  <c r="AE266" i="30"/>
  <c r="AF266" i="30"/>
  <c r="AF322" i="30"/>
  <c r="BM107" i="27"/>
  <c r="J107" i="27" s="1"/>
  <c r="BM129" i="27"/>
  <c r="BM97" i="27"/>
  <c r="J97" i="27" s="1"/>
  <c r="BM104" i="27"/>
  <c r="J104" i="27" s="1"/>
  <c r="BM60" i="27"/>
  <c r="BM130" i="27"/>
  <c r="BM56" i="27"/>
  <c r="BM125" i="27"/>
  <c r="BM127" i="27"/>
  <c r="BM53" i="27"/>
  <c r="BM64" i="27"/>
  <c r="BM105" i="27"/>
  <c r="J105" i="27" s="1"/>
  <c r="AF197" i="30"/>
  <c r="D60" i="28"/>
  <c r="F60" i="28" s="1"/>
  <c r="D53" i="28"/>
  <c r="F53" i="28" s="1"/>
  <c r="D58" i="28"/>
  <c r="F58" i="28" s="1"/>
  <c r="D51" i="28"/>
  <c r="F51" i="28" s="1"/>
  <c r="D59" i="28"/>
  <c r="F59" i="28" s="1"/>
  <c r="D54" i="28"/>
  <c r="F54" i="28" s="1"/>
  <c r="D50" i="28"/>
  <c r="D56" i="28"/>
  <c r="F56" i="28" s="1"/>
  <c r="D52" i="28"/>
  <c r="F52" i="28" s="1"/>
  <c r="D55" i="28"/>
  <c r="F55" i="28" s="1"/>
  <c r="D61" i="28"/>
  <c r="F61" i="28" s="1"/>
  <c r="D57" i="28"/>
  <c r="F57" i="28" s="1"/>
  <c r="BY153" i="5"/>
  <c r="ED47" i="25"/>
  <c r="EE47" i="25" s="1"/>
  <c r="EF47" i="25" s="1"/>
  <c r="BY186" i="5"/>
  <c r="ED74" i="25"/>
  <c r="EE74" i="25" s="1"/>
  <c r="EF74" i="25" s="1"/>
  <c r="BY134" i="5"/>
  <c r="ED31" i="25"/>
  <c r="EE31" i="25" s="1"/>
  <c r="EF31" i="25" s="1"/>
  <c r="AF326" i="30"/>
  <c r="AF293" i="30"/>
  <c r="AF276" i="30"/>
  <c r="AF42" i="30"/>
  <c r="CO171" i="5"/>
  <c r="CS171" i="5" s="1"/>
  <c r="CW171" i="5" s="1"/>
  <c r="AF301" i="30"/>
  <c r="AF209" i="30"/>
  <c r="D21" i="28"/>
  <c r="D22" i="28"/>
  <c r="F22" i="28" s="1"/>
  <c r="D24" i="28"/>
  <c r="F24" i="28" s="1"/>
  <c r="D23" i="28"/>
  <c r="F23" i="28" s="1"/>
  <c r="D25" i="28"/>
  <c r="F25" i="28" s="1"/>
  <c r="D26" i="28"/>
  <c r="F26" i="28" s="1"/>
  <c r="Z146" i="5"/>
  <c r="AB134" i="5"/>
  <c r="AB146" i="5" s="1"/>
  <c r="EG7" i="25"/>
  <c r="W100" i="5"/>
  <c r="BC221" i="5"/>
  <c r="AO156" i="5"/>
  <c r="AO161" i="5" s="1"/>
  <c r="W64" i="19"/>
  <c r="X64" i="19" s="1"/>
  <c r="W65" i="19"/>
  <c r="X65" i="19" s="1"/>
  <c r="W62" i="19"/>
  <c r="X62" i="19" s="1"/>
  <c r="W61" i="19"/>
  <c r="X61" i="19" s="1"/>
  <c r="W60" i="19"/>
  <c r="X60" i="19" s="1"/>
  <c r="W63" i="19"/>
  <c r="X63" i="19" s="1"/>
  <c r="W67" i="19"/>
  <c r="X67" i="19" s="1"/>
  <c r="W66" i="19"/>
  <c r="X66" i="19" s="1"/>
  <c r="AL61" i="7"/>
  <c r="BE9" i="10"/>
  <c r="BG9" i="10" s="1"/>
  <c r="BI9" i="10" s="1"/>
  <c r="BJ9" i="10" s="1"/>
  <c r="AL10" i="10"/>
  <c r="N55" i="10"/>
  <c r="AG54" i="10"/>
  <c r="AD67" i="7"/>
  <c r="AL67" i="7" s="1"/>
  <c r="AL66" i="7"/>
  <c r="AY15" i="14"/>
  <c r="AZ16" i="14"/>
  <c r="AY21" i="14"/>
  <c r="AZ22" i="14"/>
  <c r="BA137" i="5"/>
  <c r="BH77" i="10"/>
  <c r="BI77" i="10" s="1"/>
  <c r="BJ77" i="10" s="1"/>
  <c r="BA134" i="5"/>
  <c r="BH74" i="10"/>
  <c r="BI74" i="10" s="1"/>
  <c r="BJ74" i="10" s="1"/>
  <c r="AO115" i="5"/>
  <c r="BI73" i="8"/>
  <c r="BJ73" i="8" s="1"/>
  <c r="BK73" i="8" s="1"/>
  <c r="BA138" i="5"/>
  <c r="BH78" i="10"/>
  <c r="BI78" i="10" s="1"/>
  <c r="BJ78" i="10" s="1"/>
  <c r="AL54" i="7"/>
  <c r="BP69" i="5"/>
  <c r="BQ69" i="5"/>
  <c r="BO69" i="5"/>
  <c r="AJ8" i="10"/>
  <c r="AI7" i="10"/>
  <c r="AY16" i="14"/>
  <c r="AZ17" i="14"/>
  <c r="AJ14" i="10"/>
  <c r="AI13" i="10"/>
  <c r="AZ23" i="14"/>
  <c r="AY22" i="14"/>
  <c r="AE76" i="7"/>
  <c r="BI79" i="8"/>
  <c r="BJ79" i="8" s="1"/>
  <c r="BK79" i="8" s="1"/>
  <c r="AO124" i="5"/>
  <c r="BF20" i="8"/>
  <c r="BH20" i="8" s="1"/>
  <c r="AQ21" i="8"/>
  <c r="BF21" i="8" s="1"/>
  <c r="BH21" i="8" s="1"/>
  <c r="BA26" i="7"/>
  <c r="BN26" i="7" s="1"/>
  <c r="BP26" i="7" s="1"/>
  <c r="BN25" i="7"/>
  <c r="BP25" i="7" s="1"/>
  <c r="BB76" i="7"/>
  <c r="BN22" i="7"/>
  <c r="BP22" i="7" s="1"/>
  <c r="AL73" i="7"/>
  <c r="BS85" i="5"/>
  <c r="BR85" i="5"/>
  <c r="AO113" i="5"/>
  <c r="BI71" i="8"/>
  <c r="BJ71" i="8" s="1"/>
  <c r="BK71" i="8" s="1"/>
  <c r="AR36" i="5"/>
  <c r="AS35" i="5"/>
  <c r="Q84" i="5"/>
  <c r="P84" i="5"/>
  <c r="AF15" i="5"/>
  <c r="AJ12" i="8"/>
  <c r="H39" i="5" s="1"/>
  <c r="AI11" i="8"/>
  <c r="I38" i="5" s="1"/>
  <c r="AR33" i="5"/>
  <c r="AJ37" i="10"/>
  <c r="AI36" i="10"/>
  <c r="BL10" i="8"/>
  <c r="J37" i="5" s="1"/>
  <c r="BT8" i="7"/>
  <c r="F15" i="5" s="1"/>
  <c r="AG15" i="5" s="1"/>
  <c r="G56" i="16"/>
  <c r="L48" i="5"/>
  <c r="M48" i="5"/>
  <c r="K9" i="17"/>
  <c r="M8" i="17"/>
  <c r="M33" i="15"/>
  <c r="K34" i="15"/>
  <c r="L70" i="5"/>
  <c r="M70" i="5"/>
  <c r="K31" i="17"/>
  <c r="M30" i="17"/>
  <c r="B25" i="9"/>
  <c r="B37" i="9" s="1"/>
  <c r="B49" i="9" s="1"/>
  <c r="B61" i="9" s="1"/>
  <c r="B73" i="9" s="1"/>
  <c r="B85" i="9" s="1"/>
  <c r="B97" i="9" s="1"/>
  <c r="B109" i="9" s="1"/>
  <c r="B121" i="9" s="1"/>
  <c r="B133" i="9" s="1"/>
  <c r="B14" i="9"/>
  <c r="AG14" i="5"/>
  <c r="BS86" i="5"/>
  <c r="BG49" i="5"/>
  <c r="L64" i="5"/>
  <c r="M64" i="5"/>
  <c r="AQ35" i="14"/>
  <c r="AW34" i="14"/>
  <c r="AZ34" i="14"/>
  <c r="BY172" i="5"/>
  <c r="ED63" i="25"/>
  <c r="EE63" i="25" s="1"/>
  <c r="EF63" i="25" s="1"/>
  <c r="BY199" i="5"/>
  <c r="ED84" i="25"/>
  <c r="EE84" i="25" s="1"/>
  <c r="EF84" i="25" s="1"/>
  <c r="BY215" i="5"/>
  <c r="ED97" i="25"/>
  <c r="EE97" i="25" s="1"/>
  <c r="EF97" i="25" s="1"/>
  <c r="Z191" i="5"/>
  <c r="AB181" i="5"/>
  <c r="AB191" i="5" s="1"/>
  <c r="AF286" i="30"/>
  <c r="AE286" i="30"/>
  <c r="AE321" i="30"/>
  <c r="AE193" i="30"/>
  <c r="AF382" i="30"/>
  <c r="CN151" i="5"/>
  <c r="AE25" i="30"/>
  <c r="BM67" i="27"/>
  <c r="BM109" i="27"/>
  <c r="J109" i="27" s="1"/>
  <c r="BM126" i="27"/>
  <c r="BM100" i="27"/>
  <c r="J100" i="27" s="1"/>
  <c r="BM68" i="27"/>
  <c r="BM94" i="27"/>
  <c r="K96" i="27" s="1"/>
  <c r="BM98" i="27"/>
  <c r="J98" i="27" s="1"/>
  <c r="CN149" i="5"/>
  <c r="AE23" i="30"/>
  <c r="BM131" i="27"/>
  <c r="BM93" i="27"/>
  <c r="BM50" i="27"/>
  <c r="BM103" i="27"/>
  <c r="J103" i="27" s="1"/>
  <c r="BM121" i="27"/>
  <c r="BM110" i="27"/>
  <c r="J110" i="27" s="1"/>
  <c r="Z174" i="5"/>
  <c r="AB174" i="5" s="1"/>
  <c r="Z175" i="5"/>
  <c r="AB175" i="5" s="1"/>
  <c r="Z172" i="5"/>
  <c r="AB172" i="5" s="1"/>
  <c r="Z171" i="5"/>
  <c r="AB171" i="5" s="1"/>
  <c r="Z167" i="5"/>
  <c r="AB167" i="5" s="1"/>
  <c r="Z168" i="5"/>
  <c r="AB168" i="5" s="1"/>
  <c r="Z164" i="5"/>
  <c r="Z165" i="5"/>
  <c r="AB165" i="5" s="1"/>
  <c r="Z173" i="5"/>
  <c r="AB173" i="5" s="1"/>
  <c r="Z169" i="5"/>
  <c r="AB169" i="5" s="1"/>
  <c r="Z170" i="5"/>
  <c r="AB170" i="5" s="1"/>
  <c r="Z166" i="5"/>
  <c r="AB166" i="5" s="1"/>
  <c r="ED37" i="25"/>
  <c r="EE37" i="25" s="1"/>
  <c r="EF37" i="25" s="1"/>
  <c r="BY140" i="5"/>
  <c r="BY175" i="5"/>
  <c r="ED66" i="25"/>
  <c r="EE66" i="25" s="1"/>
  <c r="EF66" i="25" s="1"/>
  <c r="BY185" i="5"/>
  <c r="ED73" i="25"/>
  <c r="EE73" i="25" s="1"/>
  <c r="EF73" i="25" s="1"/>
  <c r="BY137" i="5"/>
  <c r="ED34" i="25"/>
  <c r="EE34" i="25" s="1"/>
  <c r="EF34" i="25" s="1"/>
  <c r="AF216" i="30"/>
  <c r="AF181" i="30"/>
  <c r="AF246" i="30"/>
  <c r="AF373" i="30"/>
  <c r="AF210" i="30"/>
  <c r="AF212" i="30"/>
  <c r="AF38" i="30"/>
  <c r="CO167" i="5"/>
  <c r="AF200" i="30"/>
  <c r="AF182" i="30"/>
  <c r="AF176" i="30"/>
  <c r="AF341" i="30"/>
  <c r="D48" i="28"/>
  <c r="F36" i="28"/>
  <c r="F48" i="28" s="1"/>
  <c r="CA99" i="5"/>
  <c r="CC99" i="5"/>
  <c r="CB99" i="5"/>
  <c r="B12" i="23"/>
  <c r="B23" i="23"/>
  <c r="B35" i="23" s="1"/>
  <c r="B47" i="23" s="1"/>
  <c r="B59" i="23" s="1"/>
  <c r="B71" i="23" s="1"/>
  <c r="B83" i="23" s="1"/>
  <c r="B95" i="23" s="1"/>
  <c r="BO221" i="5"/>
  <c r="AV204" i="5"/>
  <c r="AY204" i="5" s="1"/>
  <c r="AI72" i="7"/>
  <c r="AL72" i="7" s="1"/>
  <c r="AL71" i="7"/>
  <c r="W60" i="7"/>
  <c r="AL60" i="7" s="1"/>
  <c r="AL59" i="7"/>
  <c r="BH76" i="10"/>
  <c r="BI76" i="10" s="1"/>
  <c r="BJ76" i="10" s="1"/>
  <c r="BA136" i="5"/>
  <c r="AU25" i="8"/>
  <c r="BF25" i="8" s="1"/>
  <c r="BH25" i="8" s="1"/>
  <c r="BF24" i="8"/>
  <c r="BH24" i="8" s="1"/>
  <c r="AZ13" i="14"/>
  <c r="AY12" i="14"/>
  <c r="AI12" i="10"/>
  <c r="AJ13" i="10"/>
  <c r="AI17" i="10"/>
  <c r="AJ18" i="10"/>
  <c r="V129" i="15"/>
  <c r="AX128" i="15"/>
  <c r="BI74" i="8"/>
  <c r="BJ74" i="8" s="1"/>
  <c r="BK74" i="8" s="1"/>
  <c r="AO119" i="5"/>
  <c r="AR22" i="10"/>
  <c r="BE22" i="10" s="1"/>
  <c r="BG22" i="10" s="1"/>
  <c r="BI22" i="10" s="1"/>
  <c r="BJ22" i="10" s="1"/>
  <c r="BE21" i="10"/>
  <c r="BG21" i="10" s="1"/>
  <c r="BI21" i="10" s="1"/>
  <c r="BJ21" i="10" s="1"/>
  <c r="BA123" i="5"/>
  <c r="BH66" i="10"/>
  <c r="BI66" i="10" s="1"/>
  <c r="BJ66" i="10" s="1"/>
  <c r="BA129" i="5"/>
  <c r="BH72" i="10"/>
  <c r="BI72" i="10" s="1"/>
  <c r="BJ72" i="10" s="1"/>
  <c r="AI9" i="8"/>
  <c r="I36" i="5" s="1"/>
  <c r="AJ10" i="8"/>
  <c r="H37" i="5" s="1"/>
  <c r="G16" i="11"/>
  <c r="E17" i="11"/>
  <c r="BG48" i="5"/>
  <c r="CO11" i="14"/>
  <c r="CP11" i="14" s="1"/>
  <c r="AI14" i="10"/>
  <c r="AJ15" i="10"/>
  <c r="Q98" i="5"/>
  <c r="P98" i="5"/>
  <c r="AL68" i="7"/>
  <c r="AX120" i="15"/>
  <c r="O121" i="15"/>
  <c r="BA125" i="5"/>
  <c r="BH68" i="10"/>
  <c r="BI68" i="10" s="1"/>
  <c r="BJ68" i="10" s="1"/>
  <c r="AO110" i="5"/>
  <c r="BI68" i="8"/>
  <c r="BJ68" i="8" s="1"/>
  <c r="BK68" i="8" s="1"/>
  <c r="BC32" i="10"/>
  <c r="BE31" i="10"/>
  <c r="BG31" i="10" s="1"/>
  <c r="AD96" i="5"/>
  <c r="BQ74" i="7"/>
  <c r="BR74" i="7" s="1"/>
  <c r="BS74" i="7" s="1"/>
  <c r="P9" i="6"/>
  <c r="AG81" i="16"/>
  <c r="CQ10" i="14"/>
  <c r="R76" i="5" s="1"/>
  <c r="S76" i="5" s="1"/>
  <c r="P105" i="5"/>
  <c r="Q105" i="5"/>
  <c r="AJ14" i="8"/>
  <c r="AI13" i="8"/>
  <c r="I40" i="5" s="1"/>
  <c r="AM9" i="5"/>
  <c r="AI11" i="5"/>
  <c r="M76" i="5"/>
  <c r="L76" i="5"/>
  <c r="AQ13" i="7"/>
  <c r="BN12" i="7"/>
  <c r="BP12" i="7" s="1"/>
  <c r="V134" i="11"/>
  <c r="F57" i="16"/>
  <c r="G57" i="16" s="1"/>
  <c r="M82" i="5"/>
  <c r="L82" i="5"/>
  <c r="AJ46" i="10"/>
  <c r="AI45" i="10"/>
  <c r="AS34" i="5"/>
  <c r="BR86" i="5"/>
  <c r="L19" i="16"/>
  <c r="J20" i="16"/>
  <c r="J9" i="11"/>
  <c r="L8" i="11"/>
  <c r="AS95" i="14"/>
  <c r="AW95" i="14" s="1"/>
  <c r="AW94" i="14"/>
  <c r="L94" i="5"/>
  <c r="M94" i="5"/>
  <c r="AE117" i="30"/>
  <c r="AF127" i="30"/>
  <c r="BY219" i="5"/>
  <c r="ED101" i="25"/>
  <c r="EE101" i="25" s="1"/>
  <c r="EF101" i="25" s="1"/>
  <c r="BY213" i="5"/>
  <c r="ED95" i="25"/>
  <c r="EE95" i="25" s="1"/>
  <c r="EF95" i="25" s="1"/>
  <c r="ED65" i="25"/>
  <c r="EE65" i="25" s="1"/>
  <c r="EF65" i="25" s="1"/>
  <c r="BY174" i="5"/>
  <c r="AE202" i="30"/>
  <c r="AE260" i="30"/>
  <c r="AE196" i="30"/>
  <c r="AF196" i="30"/>
  <c r="AF314" i="30"/>
  <c r="AE314" i="30"/>
  <c r="AF350" i="30"/>
  <c r="BM99" i="27"/>
  <c r="J99" i="27" s="1"/>
  <c r="BM81" i="27"/>
  <c r="BM123" i="27"/>
  <c r="BM122" i="27"/>
  <c r="BM106" i="27"/>
  <c r="J106" i="27" s="1"/>
  <c r="BM90" i="27"/>
  <c r="K102" i="27" s="1"/>
  <c r="BM63" i="27"/>
  <c r="BM66" i="27"/>
  <c r="BM120" i="27"/>
  <c r="BM114" i="27"/>
  <c r="J114" i="27" s="1"/>
  <c r="BM102" i="27"/>
  <c r="J102" i="27" s="1"/>
  <c r="BM55" i="27"/>
  <c r="BM119" i="27"/>
  <c r="BM96" i="27"/>
  <c r="X8" i="30"/>
  <c r="BR64" i="25"/>
  <c r="W138" i="5"/>
  <c r="EG36" i="25"/>
  <c r="BY184" i="5"/>
  <c r="ED72" i="25"/>
  <c r="EE72" i="25" s="1"/>
  <c r="EF72" i="25" s="1"/>
  <c r="BY152" i="5"/>
  <c r="ED46" i="25"/>
  <c r="EE46" i="25" s="1"/>
  <c r="EF46" i="25" s="1"/>
  <c r="BY136" i="5"/>
  <c r="ED33" i="25"/>
  <c r="EE33" i="25" s="1"/>
  <c r="EF33" i="25" s="1"/>
  <c r="AF268" i="30"/>
  <c r="AF366" i="30"/>
  <c r="AF370" i="30"/>
  <c r="AF298" i="30"/>
  <c r="AF309" i="30"/>
  <c r="AF184" i="30"/>
  <c r="AF362" i="30"/>
  <c r="AF278" i="30"/>
  <c r="BP221" i="5"/>
  <c r="M8" i="27"/>
  <c r="H9" i="27"/>
  <c r="X100" i="5"/>
  <c r="CD104" i="5"/>
  <c r="P9" i="22"/>
  <c r="U105" i="5"/>
  <c r="V105" i="5"/>
  <c r="BE176" i="5"/>
  <c r="AQ206" i="5"/>
  <c r="AB76" i="7"/>
  <c r="AG76" i="7"/>
  <c r="AL53" i="7"/>
  <c r="BA122" i="5"/>
  <c r="BH65" i="10"/>
  <c r="BI65" i="10" s="1"/>
  <c r="BJ65" i="10" s="1"/>
  <c r="BA127" i="5"/>
  <c r="BH70" i="10"/>
  <c r="BI70" i="10" s="1"/>
  <c r="BJ70" i="10" s="1"/>
  <c r="BB13" i="14"/>
  <c r="CK12" i="14"/>
  <c r="CM12" i="14" s="1"/>
  <c r="CO12" i="14" s="1"/>
  <c r="CP12" i="14" s="1"/>
  <c r="AY13" i="14"/>
  <c r="AZ14" i="14"/>
  <c r="AZ18" i="14"/>
  <c r="AY17" i="14"/>
  <c r="BJ76" i="7"/>
  <c r="AF76" i="7"/>
  <c r="BN32" i="7"/>
  <c r="BP32" i="7" s="1"/>
  <c r="AV21" i="7"/>
  <c r="BN20" i="7"/>
  <c r="BP20" i="7" s="1"/>
  <c r="BA128" i="5"/>
  <c r="BH71" i="10"/>
  <c r="BI71" i="10" s="1"/>
  <c r="BJ71" i="10" s="1"/>
  <c r="BI77" i="8"/>
  <c r="BJ77" i="8" s="1"/>
  <c r="BK77" i="8" s="1"/>
  <c r="AO122" i="5"/>
  <c r="AY11" i="14"/>
  <c r="AZ12" i="14"/>
  <c r="AZ21" i="14"/>
  <c r="AY20" i="14"/>
  <c r="Q92" i="5"/>
  <c r="P92" i="5"/>
  <c r="BI78" i="8"/>
  <c r="BJ78" i="8" s="1"/>
  <c r="BK78" i="8" s="1"/>
  <c r="AO123" i="5"/>
  <c r="BI81" i="8"/>
  <c r="BJ81" i="8" s="1"/>
  <c r="BK81" i="8" s="1"/>
  <c r="AO126" i="5"/>
  <c r="U56" i="7"/>
  <c r="AL55" i="7"/>
  <c r="BD76" i="7"/>
  <c r="Z76" i="7"/>
  <c r="BA139" i="5"/>
  <c r="BH79" i="10"/>
  <c r="BI79" i="10" s="1"/>
  <c r="BJ79" i="10" s="1"/>
  <c r="BN28" i="7"/>
  <c r="BP28" i="7" s="1"/>
  <c r="AO108" i="5"/>
  <c r="BI66" i="8"/>
  <c r="BJ66" i="8" s="1"/>
  <c r="BK66" i="8" s="1"/>
  <c r="AK76" i="7"/>
  <c r="N13" i="11"/>
  <c r="AE12" i="11"/>
  <c r="O11" i="7"/>
  <c r="AL10" i="7"/>
  <c r="N10" i="6"/>
  <c r="P10" i="6" s="1"/>
  <c r="CQ9" i="14"/>
  <c r="R75" i="5" s="1"/>
  <c r="BE47" i="5"/>
  <c r="BD47" i="5"/>
  <c r="BC47" i="5"/>
  <c r="AJ15" i="8"/>
  <c r="AI14" i="8"/>
  <c r="AI12" i="8"/>
  <c r="I39" i="5" s="1"/>
  <c r="AJ13" i="8"/>
  <c r="H40" i="5" s="1"/>
  <c r="BF12" i="8"/>
  <c r="BH12" i="8" s="1"/>
  <c r="BJ12" i="8" s="1"/>
  <c r="BK12" i="8" s="1"/>
  <c r="AL13" i="8"/>
  <c r="AI30" i="10"/>
  <c r="AJ31" i="10"/>
  <c r="L80" i="5"/>
  <c r="M80" i="5"/>
  <c r="AI37" i="10"/>
  <c r="AJ38" i="10"/>
  <c r="AL62" i="7"/>
  <c r="BL11" i="8"/>
  <c r="J38" i="5" s="1"/>
  <c r="AU99" i="5"/>
  <c r="AT99" i="5"/>
  <c r="AQ34" i="5"/>
  <c r="BJ11" i="8"/>
  <c r="BK11" i="8" s="1"/>
  <c r="BI14" i="8"/>
  <c r="AO44" i="5"/>
  <c r="CG47" i="14"/>
  <c r="CK47" i="14" s="1"/>
  <c r="CM47" i="14" s="1"/>
  <c r="CK46" i="14"/>
  <c r="CM46" i="14" s="1"/>
  <c r="AU100" i="5"/>
  <c r="AT100" i="5"/>
  <c r="AF93" i="30"/>
  <c r="AF113" i="30"/>
  <c r="AF119" i="30"/>
  <c r="AF159" i="30"/>
  <c r="Z194" i="5"/>
  <c r="D78" i="28"/>
  <c r="CP190" i="5"/>
  <c r="CS190" i="5" s="1"/>
  <c r="CW190" i="5" s="1"/>
  <c r="AE58" i="30"/>
  <c r="CP174" i="5"/>
  <c r="CS174" i="5" s="1"/>
  <c r="CW174" i="5" s="1"/>
  <c r="AE45" i="30"/>
  <c r="BY181" i="5"/>
  <c r="BY191" i="5" s="1"/>
  <c r="ED69" i="25"/>
  <c r="EE69" i="25" s="1"/>
  <c r="EF69" i="25" s="1"/>
  <c r="BY197" i="5"/>
  <c r="ED82" i="25"/>
  <c r="EE82" i="25" s="1"/>
  <c r="EF82" i="25" s="1"/>
  <c r="BY214" i="5"/>
  <c r="ED96" i="25"/>
  <c r="EE96" i="25" s="1"/>
  <c r="EF96" i="25" s="1"/>
  <c r="D76" i="28"/>
  <c r="F64" i="28"/>
  <c r="F76" i="28" s="1"/>
  <c r="AE354" i="30"/>
  <c r="AF354" i="30"/>
  <c r="AF244" i="30"/>
  <c r="AE182" i="30"/>
  <c r="BM75" i="27"/>
  <c r="BM58" i="27"/>
  <c r="BM118" i="27"/>
  <c r="BM108" i="27"/>
  <c r="J108" i="27" s="1"/>
  <c r="BM59" i="27"/>
  <c r="BM92" i="27"/>
  <c r="K113" i="27" s="1"/>
  <c r="BM54" i="27"/>
  <c r="T32" i="30"/>
  <c r="T31" i="30"/>
  <c r="T24" i="30"/>
  <c r="CO150" i="5" s="1"/>
  <c r="T26" i="30"/>
  <c r="T33" i="30"/>
  <c r="T35" i="30"/>
  <c r="T23" i="30"/>
  <c r="CO149" i="5" s="1"/>
  <c r="T27" i="30"/>
  <c r="T34" i="30"/>
  <c r="T29" i="30"/>
  <c r="T25" i="30"/>
  <c r="CO151" i="5" s="1"/>
  <c r="T28" i="30"/>
  <c r="T30" i="30"/>
  <c r="AE24" i="30"/>
  <c r="CN150" i="5"/>
  <c r="BM112" i="27"/>
  <c r="J112" i="27" s="1"/>
  <c r="BM74" i="27"/>
  <c r="W6" i="30"/>
  <c r="W8" i="30" s="1"/>
  <c r="BY151" i="5"/>
  <c r="BY161" i="5" s="1"/>
  <c r="ED45" i="25"/>
  <c r="EE45" i="25" s="1"/>
  <c r="EF45" i="25" s="1"/>
  <c r="BY170" i="5"/>
  <c r="ED61" i="25"/>
  <c r="EE61" i="25" s="1"/>
  <c r="EF61" i="25" s="1"/>
  <c r="BY198" i="5"/>
  <c r="ED83" i="25"/>
  <c r="EE83" i="25" s="1"/>
  <c r="EF83" i="25" s="1"/>
  <c r="BY158" i="5"/>
  <c r="ED52" i="25"/>
  <c r="EE52" i="25" s="1"/>
  <c r="EF52" i="25" s="1"/>
  <c r="AF340" i="30"/>
  <c r="AF194" i="30"/>
  <c r="AF252" i="30"/>
  <c r="AF245" i="30"/>
  <c r="AF202" i="30"/>
  <c r="AF237" i="30"/>
  <c r="Z161" i="5"/>
  <c r="AB149" i="5"/>
  <c r="AB161" i="5" s="1"/>
  <c r="B25" i="27"/>
  <c r="B37" i="27" s="1"/>
  <c r="B49" i="27" s="1"/>
  <c r="B61" i="27" s="1"/>
  <c r="B73" i="27" s="1"/>
  <c r="B85" i="27" s="1"/>
  <c r="B97" i="27" s="1"/>
  <c r="B109" i="27" s="1"/>
  <c r="B121" i="27" s="1"/>
  <c r="B14" i="27"/>
  <c r="B10" i="22"/>
  <c r="B21" i="22"/>
  <c r="B33" i="22" s="1"/>
  <c r="B45" i="22" s="1"/>
  <c r="B57" i="22" s="1"/>
  <c r="B69" i="22" s="1"/>
  <c r="B81" i="22" s="1"/>
  <c r="B93" i="22" s="1"/>
  <c r="B105" i="22" s="1"/>
  <c r="B117" i="22" s="1"/>
  <c r="B129" i="22" s="1"/>
  <c r="B141" i="22" s="1"/>
  <c r="B153" i="22" s="1"/>
  <c r="B165" i="22" s="1"/>
  <c r="K11" i="22"/>
  <c r="P10" i="22"/>
  <c r="BS10" i="25"/>
  <c r="BT9" i="25"/>
  <c r="BU10" i="25"/>
  <c r="F17" i="24"/>
  <c r="K16" i="24"/>
  <c r="AR205" i="5"/>
  <c r="AV205" i="5" s="1"/>
  <c r="AY205" i="5" s="1"/>
  <c r="AR203" i="5"/>
  <c r="AR202" i="5"/>
  <c r="AV202" i="5" s="1"/>
  <c r="AY202" i="5" s="1"/>
  <c r="AR201" i="5"/>
  <c r="AR200" i="5"/>
  <c r="AR199" i="5"/>
  <c r="AR198" i="5"/>
  <c r="AR197" i="5"/>
  <c r="AR196" i="5"/>
  <c r="AR195" i="5"/>
  <c r="AR194" i="5"/>
  <c r="AR204" i="5"/>
  <c r="AR184" i="5"/>
  <c r="AR187" i="5"/>
  <c r="AR180" i="5"/>
  <c r="AR155" i="5"/>
  <c r="AR169" i="5"/>
  <c r="AR154" i="5"/>
  <c r="AR166" i="5"/>
  <c r="AR152" i="5"/>
  <c r="AR150" i="5"/>
  <c r="AR135" i="5"/>
  <c r="AR141" i="5"/>
  <c r="AR140" i="5"/>
  <c r="AG125" i="5"/>
  <c r="AI125" i="5" s="1"/>
  <c r="AM125" i="5" s="1"/>
  <c r="AG121" i="5"/>
  <c r="AI121" i="5" s="1"/>
  <c r="AM121" i="5" s="1"/>
  <c r="AR129" i="5"/>
  <c r="AR189" i="5"/>
  <c r="AR185" i="5"/>
  <c r="AR182" i="5"/>
  <c r="AR151" i="5"/>
  <c r="AR165" i="5"/>
  <c r="AR164" i="5"/>
  <c r="AR167" i="5"/>
  <c r="AR153" i="5"/>
  <c r="AR172" i="5"/>
  <c r="AR142" i="5"/>
  <c r="AR139" i="5"/>
  <c r="AR145" i="5"/>
  <c r="AG124" i="5"/>
  <c r="AI124" i="5" s="1"/>
  <c r="AM124" i="5" s="1"/>
  <c r="AG120" i="5"/>
  <c r="AI120" i="5" s="1"/>
  <c r="AM120" i="5" s="1"/>
  <c r="AR128" i="5"/>
  <c r="AR186" i="5"/>
  <c r="AR179" i="5"/>
  <c r="AR190" i="5"/>
  <c r="AR174" i="5"/>
  <c r="AR156" i="5"/>
  <c r="AR149" i="5"/>
  <c r="AR170" i="5"/>
  <c r="AR175" i="5"/>
  <c r="AR168" i="5"/>
  <c r="AR144" i="5"/>
  <c r="AR134" i="5"/>
  <c r="AR137" i="5"/>
  <c r="AG123" i="5"/>
  <c r="AI123" i="5" s="1"/>
  <c r="AM123" i="5" s="1"/>
  <c r="AG119" i="5"/>
  <c r="AR188" i="5"/>
  <c r="AR173" i="5"/>
  <c r="AR158" i="5"/>
  <c r="AG126" i="5"/>
  <c r="AI126" i="5" s="1"/>
  <c r="AM126" i="5" s="1"/>
  <c r="AG104" i="5"/>
  <c r="AG110" i="5"/>
  <c r="AI110" i="5" s="1"/>
  <c r="AM110" i="5" s="1"/>
  <c r="AT96" i="5"/>
  <c r="AT47" i="5"/>
  <c r="AT94" i="5"/>
  <c r="AT60" i="5"/>
  <c r="AT70" i="5"/>
  <c r="AT63" i="5"/>
  <c r="AT36" i="5"/>
  <c r="AT84" i="5"/>
  <c r="AT61" i="5"/>
  <c r="AT74" i="5"/>
  <c r="AT67" i="5"/>
  <c r="AT33" i="5"/>
  <c r="AV33" i="5" s="1"/>
  <c r="AY33" i="5" s="1"/>
  <c r="AT92" i="5"/>
  <c r="AT75" i="5"/>
  <c r="AT83" i="5"/>
  <c r="AR183" i="5"/>
  <c r="AR171" i="5"/>
  <c r="AR143" i="5"/>
  <c r="AG122" i="5"/>
  <c r="AI122" i="5" s="1"/>
  <c r="AM122" i="5" s="1"/>
  <c r="AG105" i="5"/>
  <c r="AI105" i="5" s="1"/>
  <c r="AM105" i="5" s="1"/>
  <c r="AG106" i="5"/>
  <c r="AI106" i="5" s="1"/>
  <c r="AM106" i="5" s="1"/>
  <c r="AT39" i="5"/>
  <c r="F36" i="13"/>
  <c r="AT90" i="5"/>
  <c r="AT69" i="5"/>
  <c r="AT40" i="5"/>
  <c r="AT50" i="5"/>
  <c r="AT44" i="5"/>
  <c r="AT79" i="5"/>
  <c r="AT49" i="5"/>
  <c r="AT46" i="5"/>
  <c r="AT32" i="5"/>
  <c r="AR157" i="5"/>
  <c r="AR136" i="5"/>
  <c r="AR130" i="5"/>
  <c r="AG108" i="5"/>
  <c r="AI108" i="5" s="1"/>
  <c r="AM108" i="5" s="1"/>
  <c r="AG109" i="5"/>
  <c r="AI109" i="5" s="1"/>
  <c r="AM109" i="5" s="1"/>
  <c r="AT85" i="5"/>
  <c r="AT51" i="5"/>
  <c r="H34" i="13"/>
  <c r="BF48" i="5" s="1"/>
  <c r="AT80" i="5"/>
  <c r="AT45" i="5"/>
  <c r="AT34" i="5"/>
  <c r="AT55" i="5"/>
  <c r="AT81" i="5"/>
  <c r="AT65" i="5"/>
  <c r="AT95" i="5"/>
  <c r="AT35" i="5"/>
  <c r="AV35" i="5" s="1"/>
  <c r="AY35" i="5" s="1"/>
  <c r="AT59" i="5"/>
  <c r="AT62" i="5"/>
  <c r="AT89" i="5"/>
  <c r="AR181" i="5"/>
  <c r="AR159" i="5"/>
  <c r="AR160" i="5"/>
  <c r="AR138" i="5"/>
  <c r="AG107" i="5"/>
  <c r="AI107" i="5" s="1"/>
  <c r="AM107" i="5" s="1"/>
  <c r="AT77" i="5"/>
  <c r="AT76" i="5"/>
  <c r="AT53" i="5"/>
  <c r="AG111" i="5"/>
  <c r="AI111" i="5" s="1"/>
  <c r="AM111" i="5" s="1"/>
  <c r="AT68" i="5"/>
  <c r="AT66" i="5"/>
  <c r="AT97" i="5"/>
  <c r="AT37" i="5"/>
  <c r="AT91" i="5"/>
  <c r="AT52" i="5"/>
  <c r="AT82" i="5"/>
  <c r="AT64" i="5"/>
  <c r="AT54" i="5"/>
  <c r="AT38" i="5"/>
  <c r="AT48" i="5"/>
  <c r="AT93" i="5"/>
  <c r="AT78" i="5"/>
  <c r="AT98" i="5"/>
  <c r="BE206" i="5"/>
  <c r="BE191" i="5"/>
  <c r="G50" i="15"/>
  <c r="H49" i="15"/>
  <c r="H50" i="15"/>
  <c r="AV203" i="5"/>
  <c r="AY203" i="5" s="1"/>
  <c r="BE221" i="5"/>
  <c r="AL65" i="7"/>
  <c r="X76" i="7"/>
  <c r="AL70" i="7"/>
  <c r="BA124" i="5"/>
  <c r="BH67" i="10"/>
  <c r="BI67" i="10" s="1"/>
  <c r="BJ67" i="10" s="1"/>
  <c r="BA107" i="5"/>
  <c r="BH53" i="10"/>
  <c r="BI53" i="10" s="1"/>
  <c r="BJ53" i="10" s="1"/>
  <c r="AH53" i="10"/>
  <c r="AH54" i="10"/>
  <c r="AD76" i="7"/>
  <c r="AO9" i="7"/>
  <c r="D16" i="5" s="1"/>
  <c r="AN8" i="7"/>
  <c r="E15" i="5" s="1"/>
  <c r="AZ15" i="14"/>
  <c r="AY14" i="14"/>
  <c r="AY19" i="14"/>
  <c r="AZ20" i="14"/>
  <c r="AB59" i="16"/>
  <c r="AW58" i="16"/>
  <c r="AL69" i="7"/>
  <c r="BN33" i="7"/>
  <c r="BP33" i="7" s="1"/>
  <c r="AY24" i="7"/>
  <c r="BN23" i="7"/>
  <c r="BP23" i="7" s="1"/>
  <c r="BN17" i="7"/>
  <c r="BP17" i="7" s="1"/>
  <c r="Q76" i="7"/>
  <c r="O17" i="17"/>
  <c r="AJ16" i="17"/>
  <c r="BH73" i="10"/>
  <c r="BI73" i="10" s="1"/>
  <c r="BJ73" i="10" s="1"/>
  <c r="BA130" i="5"/>
  <c r="AO10" i="7"/>
  <c r="D17" i="5" s="1"/>
  <c r="AN9" i="7"/>
  <c r="E16" i="5" s="1"/>
  <c r="AY7" i="14"/>
  <c r="AZ8" i="14"/>
  <c r="AY9" i="14"/>
  <c r="AZ10" i="14"/>
  <c r="AI9" i="10"/>
  <c r="AJ10" i="10"/>
  <c r="AJ17" i="10"/>
  <c r="AI16" i="10"/>
  <c r="AJ21" i="10"/>
  <c r="AI20" i="10"/>
  <c r="BA141" i="5"/>
  <c r="BH81" i="10"/>
  <c r="BI81" i="10" s="1"/>
  <c r="BJ81" i="10" s="1"/>
  <c r="AL64" i="7"/>
  <c r="BI75" i="8"/>
  <c r="BJ75" i="8" s="1"/>
  <c r="BK75" i="8" s="1"/>
  <c r="AO120" i="5"/>
  <c r="BA76" i="7"/>
  <c r="BE35" i="8"/>
  <c r="BF35" i="8" s="1"/>
  <c r="BH35" i="8" s="1"/>
  <c r="BF34" i="8"/>
  <c r="BH34" i="8" s="1"/>
  <c r="AA34" i="17"/>
  <c r="AJ33" i="17"/>
  <c r="AL63" i="7"/>
  <c r="BA140" i="5"/>
  <c r="BH80" i="10"/>
  <c r="BI80" i="10" s="1"/>
  <c r="BJ80" i="10" s="1"/>
  <c r="AW76" i="7"/>
  <c r="BF28" i="8"/>
  <c r="BH28" i="8" s="1"/>
  <c r="AY29" i="8"/>
  <c r="BF29" i="8" s="1"/>
  <c r="BH29" i="8" s="1"/>
  <c r="AT19" i="7"/>
  <c r="BN19" i="7" s="1"/>
  <c r="BP19" i="7" s="1"/>
  <c r="BN18" i="7"/>
  <c r="BP18" i="7" s="1"/>
  <c r="AJ76" i="7"/>
  <c r="BI70" i="8"/>
  <c r="BJ70" i="8" s="1"/>
  <c r="BK70" i="8" s="1"/>
  <c r="AO112" i="5"/>
  <c r="AD16" i="5"/>
  <c r="BQ9" i="7"/>
  <c r="BR9" i="7" s="1"/>
  <c r="BS9" i="7" s="1"/>
  <c r="AB13" i="9"/>
  <c r="L14" i="9"/>
  <c r="CQ11" i="14"/>
  <c r="R77" i="5" s="1"/>
  <c r="M63" i="5"/>
  <c r="L63" i="5"/>
  <c r="AJ11" i="8"/>
  <c r="H38" i="5" s="1"/>
  <c r="AI10" i="8"/>
  <c r="I37" i="5" s="1"/>
  <c r="BI31" i="10"/>
  <c r="BJ31" i="10" s="1"/>
  <c r="BP11" i="7"/>
  <c r="AJ49" i="10"/>
  <c r="AI48" i="10"/>
  <c r="N16" i="8"/>
  <c r="AG15" i="8"/>
  <c r="H63" i="9"/>
  <c r="J62" i="9"/>
  <c r="CE35" i="14"/>
  <c r="CK34" i="14"/>
  <c r="CM34" i="14" s="1"/>
  <c r="CN185" i="5"/>
  <c r="CS185" i="5" s="1"/>
  <c r="CW185" i="5" s="1"/>
  <c r="AF53" i="30"/>
  <c r="AE265" i="30"/>
  <c r="AF265" i="30"/>
  <c r="AE333" i="30"/>
  <c r="AE269" i="30"/>
  <c r="AE116" i="30"/>
  <c r="AF116" i="30"/>
  <c r="AF148" i="30"/>
  <c r="AE148" i="30"/>
  <c r="AE151" i="30"/>
  <c r="AF151" i="30"/>
  <c r="AF87" i="30"/>
  <c r="AE87" i="30"/>
  <c r="AE128" i="30"/>
  <c r="AF128" i="30"/>
  <c r="CP199" i="5"/>
  <c r="CS199" i="5" s="1"/>
  <c r="CW199" i="5" s="1"/>
  <c r="AE64" i="30"/>
  <c r="AF64" i="30"/>
  <c r="AE155" i="30"/>
  <c r="AF155" i="30"/>
  <c r="AE123" i="30"/>
  <c r="AF123" i="30"/>
  <c r="AF365" i="30"/>
  <c r="AF124" i="30"/>
  <c r="AE122" i="30"/>
  <c r="AF122" i="30"/>
  <c r="AE94" i="30"/>
  <c r="AF94" i="30"/>
  <c r="AF141" i="30"/>
  <c r="AE141" i="30"/>
  <c r="AF185" i="30"/>
  <c r="AE185" i="30"/>
  <c r="CP203" i="5"/>
  <c r="CS203" i="5" s="1"/>
  <c r="CW203" i="5" s="1"/>
  <c r="AE68" i="30"/>
  <c r="AF68" i="30"/>
  <c r="AF317" i="30"/>
  <c r="AF152" i="30"/>
  <c r="AE152" i="30"/>
  <c r="AE120" i="30"/>
  <c r="AF120" i="30"/>
  <c r="AE88" i="30"/>
  <c r="AF88" i="30"/>
  <c r="AF147" i="30"/>
  <c r="AE147" i="30"/>
  <c r="AE83" i="30"/>
  <c r="AF83" i="30"/>
  <c r="AF63" i="30"/>
  <c r="CL206" i="5"/>
  <c r="AE109" i="30"/>
  <c r="AF109" i="30"/>
  <c r="AF205" i="30"/>
  <c r="AE205" i="30"/>
  <c r="AE132" i="30"/>
  <c r="AF132" i="30"/>
  <c r="AE100" i="30"/>
  <c r="AF100" i="30"/>
  <c r="AF253" i="30"/>
  <c r="AF92" i="30"/>
  <c r="AE92" i="30"/>
  <c r="CP212" i="5"/>
  <c r="CS212" i="5" s="1"/>
  <c r="CW212" i="5" s="1"/>
  <c r="AE74" i="30"/>
  <c r="AF74" i="30"/>
  <c r="AF103" i="30"/>
  <c r="AE103" i="30"/>
  <c r="CP209" i="5"/>
  <c r="AE71" i="30"/>
  <c r="AE144" i="30"/>
  <c r="AF144" i="30"/>
  <c r="CP218" i="5"/>
  <c r="CS218" i="5" s="1"/>
  <c r="CW218" i="5" s="1"/>
  <c r="AE80" i="30"/>
  <c r="AE139" i="30"/>
  <c r="AF139" i="30"/>
  <c r="CP213" i="5"/>
  <c r="CS213" i="5" s="1"/>
  <c r="CW213" i="5" s="1"/>
  <c r="AE75" i="30"/>
  <c r="AF75" i="30"/>
  <c r="AE79" i="30"/>
  <c r="CL191" i="5"/>
  <c r="L20" i="30"/>
  <c r="AF114" i="30"/>
  <c r="AE114" i="30"/>
  <c r="AE153" i="30"/>
  <c r="AE137" i="30"/>
  <c r="AF137" i="30"/>
  <c r="AF117" i="30"/>
  <c r="AE281" i="30"/>
  <c r="AF281" i="30"/>
  <c r="CN181" i="5"/>
  <c r="CS181" i="5" s="1"/>
  <c r="CW181" i="5" s="1"/>
  <c r="AE49" i="30"/>
  <c r="AF49" i="30"/>
  <c r="AE377" i="30"/>
  <c r="AE108" i="30"/>
  <c r="AF108" i="30"/>
  <c r="AE90" i="30"/>
  <c r="CP210" i="5"/>
  <c r="CS210" i="5" s="1"/>
  <c r="CW210" i="5" s="1"/>
  <c r="AE72" i="30"/>
  <c r="AE131" i="30"/>
  <c r="AF131" i="30"/>
  <c r="AF80" i="30"/>
  <c r="AF136" i="30"/>
  <c r="CN215" i="5"/>
  <c r="CS215" i="5" s="1"/>
  <c r="CW215" i="5" s="1"/>
  <c r="AF77" i="30"/>
  <c r="AE77" i="30"/>
  <c r="AF157" i="30"/>
  <c r="AE157" i="30"/>
  <c r="AF101" i="30"/>
  <c r="AE101" i="30"/>
  <c r="AF133" i="30"/>
  <c r="AE145" i="30"/>
  <c r="AE85" i="30"/>
  <c r="AF85" i="30"/>
  <c r="AF69" i="30"/>
  <c r="CN204" i="5"/>
  <c r="CS204" i="5" s="1"/>
  <c r="CW204" i="5" s="1"/>
  <c r="AE69" i="30"/>
  <c r="AE125" i="30"/>
  <c r="AF125" i="30"/>
  <c r="AE61" i="30"/>
  <c r="CN196" i="5"/>
  <c r="CS196" i="5" s="1"/>
  <c r="CW196" i="5" s="1"/>
  <c r="AF61" i="30"/>
  <c r="AE142" i="30"/>
  <c r="AF142" i="30"/>
  <c r="AE186" i="30"/>
  <c r="AF186" i="30"/>
  <c r="AE318" i="30"/>
  <c r="AF318" i="30"/>
  <c r="AF222" i="30"/>
  <c r="AE222" i="30"/>
  <c r="AE166" i="30"/>
  <c r="AF166" i="30"/>
  <c r="AE198" i="30"/>
  <c r="AF198" i="30"/>
  <c r="AE146" i="30"/>
  <c r="AF146" i="30"/>
  <c r="AF130" i="30"/>
  <c r="AE130" i="30"/>
  <c r="AF110" i="30"/>
  <c r="AE110" i="30"/>
  <c r="AE102" i="30"/>
  <c r="AF102" i="30"/>
  <c r="AF70" i="30"/>
  <c r="CN205" i="5"/>
  <c r="CS205" i="5" s="1"/>
  <c r="CW205" i="5" s="1"/>
  <c r="AE70" i="30"/>
  <c r="AF154" i="30"/>
  <c r="AE154" i="30"/>
  <c r="CN186" i="5"/>
  <c r="CS186" i="5" s="1"/>
  <c r="CW186" i="5" s="1"/>
  <c r="AE54" i="30"/>
  <c r="AF54" i="30"/>
  <c r="CN216" i="5"/>
  <c r="AE78" i="30"/>
  <c r="AF78" i="30"/>
  <c r="AF214" i="30"/>
  <c r="AE214" i="30"/>
  <c r="AF274" i="30"/>
  <c r="AE274" i="30"/>
  <c r="AF342" i="30"/>
  <c r="AE342" i="30"/>
  <c r="AE346" i="30"/>
  <c r="AF346" i="30"/>
  <c r="AE174" i="30"/>
  <c r="AF174" i="30"/>
  <c r="AE290" i="30"/>
  <c r="AF290" i="30"/>
  <c r="AF394" i="30"/>
  <c r="AE394" i="30"/>
  <c r="AF282" i="30"/>
  <c r="CN220" i="5"/>
  <c r="CS220" i="5" s="1"/>
  <c r="CW220" i="5" s="1"/>
  <c r="AE82" i="30"/>
  <c r="AF82" i="30"/>
  <c r="CN175" i="5"/>
  <c r="CS175" i="5" s="1"/>
  <c r="CW175" i="5" s="1"/>
  <c r="AE46" i="30"/>
  <c r="AF46" i="30"/>
  <c r="AE330" i="30"/>
  <c r="AF330" i="30"/>
  <c r="AE150" i="30"/>
  <c r="AF150" i="30"/>
  <c r="AE118" i="30"/>
  <c r="AF118" i="30"/>
  <c r="AF158" i="30"/>
  <c r="AE158" i="30"/>
  <c r="AF218" i="30"/>
  <c r="AE218" i="30"/>
  <c r="AE306" i="30"/>
  <c r="AF306" i="30"/>
  <c r="AF250" i="30"/>
  <c r="AE250" i="30"/>
  <c r="AE134" i="30"/>
  <c r="AF134" i="30"/>
  <c r="AE126" i="30"/>
  <c r="AF126" i="30"/>
  <c r="AF106" i="30"/>
  <c r="AE106" i="30"/>
  <c r="AE86" i="30"/>
  <c r="AF86" i="30"/>
  <c r="CN201" i="5"/>
  <c r="CS201" i="5" s="1"/>
  <c r="CW201" i="5" s="1"/>
  <c r="AF66" i="30"/>
  <c r="AE66" i="30"/>
  <c r="AE138" i="30"/>
  <c r="AF138" i="30"/>
  <c r="AE62" i="30"/>
  <c r="CN197" i="5"/>
  <c r="CS197" i="5" s="1"/>
  <c r="CW197" i="5" s="1"/>
  <c r="AF62" i="30"/>
  <c r="AE178" i="30"/>
  <c r="AF178" i="30"/>
  <c r="AF234" i="30"/>
  <c r="AE234" i="30"/>
  <c r="AE302" i="30"/>
  <c r="AF302" i="30"/>
  <c r="AE386" i="30"/>
  <c r="AF386" i="30"/>
  <c r="AF262" i="30"/>
  <c r="AE262" i="30"/>
  <c r="AF374" i="30"/>
  <c r="AE374" i="30"/>
  <c r="AE206" i="30"/>
  <c r="AF206" i="30"/>
  <c r="AE270" i="30"/>
  <c r="AF270" i="30"/>
  <c r="CS179" i="5"/>
  <c r="CN182" i="5"/>
  <c r="AF50" i="30"/>
  <c r="AE50" i="30"/>
  <c r="AF258" i="30"/>
  <c r="AE258" i="30"/>
  <c r="AF390" i="30"/>
  <c r="AE390" i="30"/>
  <c r="AE334" i="30"/>
  <c r="AF334" i="30"/>
  <c r="AF358" i="30"/>
  <c r="DG233" i="5" l="1"/>
  <c r="DH233" i="5"/>
  <c r="DH235" i="5"/>
  <c r="DG235" i="5"/>
  <c r="CA236" i="5"/>
  <c r="DH224" i="5"/>
  <c r="DG224" i="5"/>
  <c r="DH226" i="5"/>
  <c r="DG226" i="5"/>
  <c r="DG225" i="5"/>
  <c r="DH225" i="5"/>
  <c r="DH228" i="5"/>
  <c r="DG228" i="5"/>
  <c r="DH227" i="5"/>
  <c r="DG227" i="5"/>
  <c r="DH230" i="5"/>
  <c r="DG230" i="5"/>
  <c r="DG229" i="5"/>
  <c r="DH229" i="5"/>
  <c r="DH232" i="5"/>
  <c r="DG232" i="5"/>
  <c r="DH231" i="5"/>
  <c r="DG231" i="5"/>
  <c r="DH234" i="5"/>
  <c r="DG234" i="5"/>
  <c r="AB18" i="5"/>
  <c r="AA19" i="5"/>
  <c r="CP236" i="5"/>
  <c r="CS150" i="5"/>
  <c r="CW150" i="5" s="1"/>
  <c r="CW224" i="5"/>
  <c r="CS236" i="5"/>
  <c r="CN161" i="5"/>
  <c r="AA76" i="5"/>
  <c r="AB75" i="5"/>
  <c r="CO191" i="5"/>
  <c r="CP191" i="5"/>
  <c r="CS151" i="5"/>
  <c r="CW151" i="5" s="1"/>
  <c r="AF24" i="30"/>
  <c r="CP176" i="5"/>
  <c r="CS167" i="5"/>
  <c r="CW167" i="5" s="1"/>
  <c r="AV36" i="5"/>
  <c r="AY36" i="5" s="1"/>
  <c r="CN176" i="5"/>
  <c r="BP76" i="5"/>
  <c r="BQ76" i="5"/>
  <c r="BO76" i="5"/>
  <c r="BL12" i="8"/>
  <c r="J39" i="5" s="1"/>
  <c r="AR39" i="5" s="1"/>
  <c r="H64" i="9"/>
  <c r="J63" i="9"/>
  <c r="P75" i="5"/>
  <c r="S75" i="5" s="1"/>
  <c r="Q75" i="5"/>
  <c r="O18" i="17"/>
  <c r="AJ17" i="17"/>
  <c r="BN24" i="7"/>
  <c r="BP24" i="7" s="1"/>
  <c r="AY76" i="7"/>
  <c r="AT101" i="5"/>
  <c r="AR176" i="5"/>
  <c r="CO154" i="5"/>
  <c r="CS154" i="5" s="1"/>
  <c r="CW154" i="5" s="1"/>
  <c r="AF28" i="30"/>
  <c r="CO153" i="5"/>
  <c r="CS153" i="5" s="1"/>
  <c r="CW153" i="5" s="1"/>
  <c r="AF27" i="30"/>
  <c r="CO152" i="5"/>
  <c r="AF26" i="30"/>
  <c r="BY206" i="5"/>
  <c r="Z206" i="5"/>
  <c r="AB194" i="5"/>
  <c r="AB206" i="5" s="1"/>
  <c r="L85" i="5"/>
  <c r="M85" i="5"/>
  <c r="L78" i="5"/>
  <c r="M78" i="5"/>
  <c r="BQ10" i="7"/>
  <c r="BR10" i="7" s="1"/>
  <c r="BS10" i="7" s="1"/>
  <c r="AD17" i="5"/>
  <c r="P77" i="5"/>
  <c r="S77" i="5" s="1"/>
  <c r="Q77" i="5"/>
  <c r="Q79" i="5"/>
  <c r="P79" i="5"/>
  <c r="AD69" i="5"/>
  <c r="BQ53" i="7"/>
  <c r="BR53" i="7" s="1"/>
  <c r="BS53" i="7" s="1"/>
  <c r="BM182" i="5"/>
  <c r="CN95" i="14"/>
  <c r="CO95" i="14" s="1"/>
  <c r="CP95" i="14" s="1"/>
  <c r="BS90" i="5"/>
  <c r="AG82" i="16"/>
  <c r="O122" i="15"/>
  <c r="AX121" i="15"/>
  <c r="W16" i="11"/>
  <c r="W17" i="11" s="1"/>
  <c r="W18" i="11" s="1"/>
  <c r="W19" i="11" s="1"/>
  <c r="W20" i="11" s="1"/>
  <c r="W21" i="11" s="1"/>
  <c r="W22" i="11" s="1"/>
  <c r="W23" i="11" s="1"/>
  <c r="W24" i="11" s="1"/>
  <c r="W25" i="11" s="1"/>
  <c r="W26" i="11" s="1"/>
  <c r="W27" i="11" s="1"/>
  <c r="W28" i="11" s="1"/>
  <c r="W29" i="11" s="1"/>
  <c r="W30" i="11" s="1"/>
  <c r="W31" i="11" s="1"/>
  <c r="W32" i="11" s="1"/>
  <c r="W33" i="11" s="1"/>
  <c r="W34" i="11" s="1"/>
  <c r="W35" i="11" s="1"/>
  <c r="W36" i="11" s="1"/>
  <c r="W37" i="11" s="1"/>
  <c r="W38" i="11" s="1"/>
  <c r="W39" i="11" s="1"/>
  <c r="W40" i="11" s="1"/>
  <c r="W41" i="11" s="1"/>
  <c r="W42" i="11" s="1"/>
  <c r="W43" i="11" s="1"/>
  <c r="W44" i="11" s="1"/>
  <c r="W45" i="11" s="1"/>
  <c r="W46" i="11" s="1"/>
  <c r="W47" i="11" s="1"/>
  <c r="W48" i="11" s="1"/>
  <c r="W49" i="11" s="1"/>
  <c r="W50" i="11" s="1"/>
  <c r="W51" i="11" s="1"/>
  <c r="W52" i="11" s="1"/>
  <c r="W53" i="11" s="1"/>
  <c r="W54" i="11" s="1"/>
  <c r="W55" i="11" s="1"/>
  <c r="W56" i="11" s="1"/>
  <c r="W57" i="11" s="1"/>
  <c r="W58" i="11" s="1"/>
  <c r="W59" i="11" s="1"/>
  <c r="W60" i="11" s="1"/>
  <c r="W61" i="11" s="1"/>
  <c r="W62" i="11" s="1"/>
  <c r="W63" i="11" s="1"/>
  <c r="W64" i="11" s="1"/>
  <c r="W65" i="11" s="1"/>
  <c r="W66" i="11" s="1"/>
  <c r="W67" i="11" s="1"/>
  <c r="W68" i="11" s="1"/>
  <c r="W69" i="11" s="1"/>
  <c r="W70" i="11" s="1"/>
  <c r="W71" i="11" s="1"/>
  <c r="W72" i="11" s="1"/>
  <c r="W73" i="11" s="1"/>
  <c r="W74" i="11" s="1"/>
  <c r="W75" i="11" s="1"/>
  <c r="W76" i="11" s="1"/>
  <c r="W77" i="11" s="1"/>
  <c r="W78" i="11" s="1"/>
  <c r="W79" i="11" s="1"/>
  <c r="W80" i="11" s="1"/>
  <c r="W81" i="11" s="1"/>
  <c r="W82" i="11" s="1"/>
  <c r="W83" i="11" s="1"/>
  <c r="W84" i="11" s="1"/>
  <c r="W85" i="11" s="1"/>
  <c r="W86" i="11" s="1"/>
  <c r="W87" i="11" s="1"/>
  <c r="W88" i="11" s="1"/>
  <c r="W89" i="11" s="1"/>
  <c r="W90" i="11" s="1"/>
  <c r="W91" i="11" s="1"/>
  <c r="W92" i="11" s="1"/>
  <c r="W93" i="11" s="1"/>
  <c r="W94" i="11" s="1"/>
  <c r="W95" i="11" s="1"/>
  <c r="W96" i="11" s="1"/>
  <c r="W97" i="11" s="1"/>
  <c r="W98" i="11" s="1"/>
  <c r="W99" i="11" s="1"/>
  <c r="W100" i="11" s="1"/>
  <c r="W101" i="11" s="1"/>
  <c r="W102" i="11" s="1"/>
  <c r="W103" i="11" s="1"/>
  <c r="W104" i="11" s="1"/>
  <c r="W105" i="11" s="1"/>
  <c r="W106" i="11" s="1"/>
  <c r="W107" i="11" s="1"/>
  <c r="W108" i="11" s="1"/>
  <c r="W109" i="11" s="1"/>
  <c r="W110" i="11" s="1"/>
  <c r="W111" i="11" s="1"/>
  <c r="W112" i="11" s="1"/>
  <c r="W113" i="11" s="1"/>
  <c r="W114" i="11" s="1"/>
  <c r="W115" i="11" s="1"/>
  <c r="W116" i="11" s="1"/>
  <c r="W117" i="11" s="1"/>
  <c r="W118" i="11" s="1"/>
  <c r="W119" i="11" s="1"/>
  <c r="W120" i="11" s="1"/>
  <c r="W121" i="11" s="1"/>
  <c r="W122" i="11" s="1"/>
  <c r="W123" i="11" s="1"/>
  <c r="W124" i="11" s="1"/>
  <c r="W125" i="11" s="1"/>
  <c r="W126" i="11" s="1"/>
  <c r="W127" i="11" s="1"/>
  <c r="V130" i="15"/>
  <c r="AX129" i="15"/>
  <c r="M54" i="5"/>
  <c r="L54" i="5"/>
  <c r="AD78" i="5"/>
  <c r="BQ59" i="7"/>
  <c r="BR59" i="7" s="1"/>
  <c r="BS59" i="7" s="1"/>
  <c r="AX34" i="14"/>
  <c r="BM106" i="5"/>
  <c r="CN34" i="14"/>
  <c r="CO34" i="14" s="1"/>
  <c r="CP34" i="14" s="1"/>
  <c r="M9" i="17"/>
  <c r="BR90" i="5" s="1"/>
  <c r="K10" i="17"/>
  <c r="M84" i="5"/>
  <c r="L84" i="5"/>
  <c r="AI15" i="5"/>
  <c r="AM15" i="5" s="1"/>
  <c r="CY15" i="5" s="1"/>
  <c r="BA108" i="5"/>
  <c r="BH54" i="10"/>
  <c r="BI54" i="10" s="1"/>
  <c r="BJ54" i="10" s="1"/>
  <c r="BK9" i="10"/>
  <c r="N51" i="5" s="1"/>
  <c r="K114" i="27"/>
  <c r="K94" i="27"/>
  <c r="K100" i="27"/>
  <c r="AB60" i="16"/>
  <c r="AW59" i="16"/>
  <c r="AG116" i="5"/>
  <c r="AI104" i="5"/>
  <c r="AR146" i="5"/>
  <c r="K12" i="22"/>
  <c r="P11" i="22"/>
  <c r="L99" i="5"/>
  <c r="M99" i="5"/>
  <c r="M65" i="5"/>
  <c r="L65" i="5"/>
  <c r="AI53" i="10"/>
  <c r="AJ54" i="10"/>
  <c r="BQ65" i="7"/>
  <c r="BR65" i="7" s="1"/>
  <c r="BS65" i="7" s="1"/>
  <c r="AD84" i="5"/>
  <c r="AT86" i="5"/>
  <c r="AG131" i="5"/>
  <c r="AI119" i="5"/>
  <c r="AR161" i="5"/>
  <c r="AR191" i="5"/>
  <c r="V106" i="5"/>
  <c r="U106" i="5"/>
  <c r="AV34" i="5"/>
  <c r="AY34" i="5" s="1"/>
  <c r="AL14" i="8"/>
  <c r="BF13" i="8"/>
  <c r="BH13" i="8" s="1"/>
  <c r="BJ13" i="8" s="1"/>
  <c r="BK13" i="8" s="1"/>
  <c r="AL11" i="7"/>
  <c r="N11" i="6"/>
  <c r="P11" i="6" s="1"/>
  <c r="O12" i="7"/>
  <c r="BQ55" i="7"/>
  <c r="BR55" i="7" s="1"/>
  <c r="BS55" i="7" s="1"/>
  <c r="AD74" i="5"/>
  <c r="P89" i="5"/>
  <c r="Q89" i="5"/>
  <c r="BN21" i="7"/>
  <c r="BP21" i="7" s="1"/>
  <c r="AV76" i="7"/>
  <c r="Q83" i="5"/>
  <c r="P83" i="5"/>
  <c r="CA100" i="5"/>
  <c r="CA101" i="5" s="1"/>
  <c r="CC100" i="5"/>
  <c r="CB100" i="5"/>
  <c r="CB101" i="5" s="1"/>
  <c r="BY173" i="5"/>
  <c r="BY176" i="5" s="1"/>
  <c r="ED64" i="25"/>
  <c r="EE64" i="25" s="1"/>
  <c r="EF64" i="25" s="1"/>
  <c r="BG50" i="5"/>
  <c r="BF50" i="5"/>
  <c r="L96" i="5"/>
  <c r="M96" i="5"/>
  <c r="AQ37" i="5"/>
  <c r="AS37" i="5"/>
  <c r="AR37" i="5"/>
  <c r="AO131" i="5"/>
  <c r="Q78" i="5"/>
  <c r="P78" i="5"/>
  <c r="AD79" i="5"/>
  <c r="BQ60" i="7"/>
  <c r="BR60" i="7" s="1"/>
  <c r="BS60" i="7" s="1"/>
  <c r="CC101" i="5"/>
  <c r="AF23" i="30"/>
  <c r="AQ36" i="14"/>
  <c r="AW35" i="14"/>
  <c r="K35" i="15"/>
  <c r="M34" i="15"/>
  <c r="CQ12" i="14"/>
  <c r="R78" i="5" s="1"/>
  <c r="P91" i="5"/>
  <c r="Q91" i="5"/>
  <c r="DF69" i="5"/>
  <c r="BT69" i="5"/>
  <c r="BW69" i="5" s="1"/>
  <c r="DE69" i="5"/>
  <c r="BA146" i="5"/>
  <c r="P90" i="5"/>
  <c r="Q90" i="5"/>
  <c r="N56" i="10"/>
  <c r="AG55" i="10"/>
  <c r="AD80" i="5"/>
  <c r="BQ61" i="7"/>
  <c r="BR61" i="7" s="1"/>
  <c r="BS61" i="7" s="1"/>
  <c r="D62" i="28"/>
  <c r="F50" i="28"/>
  <c r="F62" i="28" s="1"/>
  <c r="K98" i="27"/>
  <c r="K99" i="27"/>
  <c r="K104" i="27"/>
  <c r="K101" i="27"/>
  <c r="K107" i="27"/>
  <c r="K93" i="27"/>
  <c r="L15" i="9"/>
  <c r="AB14" i="9"/>
  <c r="AD82" i="5"/>
  <c r="BQ63" i="7"/>
  <c r="BR63" i="7" s="1"/>
  <c r="BS63" i="7" s="1"/>
  <c r="AD83" i="5"/>
  <c r="BQ64" i="7"/>
  <c r="BR64" i="7" s="1"/>
  <c r="BS64" i="7" s="1"/>
  <c r="L51" i="5"/>
  <c r="M51" i="5"/>
  <c r="P70" i="5"/>
  <c r="S70" i="5" s="1"/>
  <c r="Q70" i="5"/>
  <c r="AD91" i="5"/>
  <c r="BQ69" i="7"/>
  <c r="BR69" i="7" s="1"/>
  <c r="BS69" i="7" s="1"/>
  <c r="P85" i="5"/>
  <c r="Q85" i="5"/>
  <c r="AD92" i="5"/>
  <c r="BQ70" i="7"/>
  <c r="BR70" i="7" s="1"/>
  <c r="BS70" i="7" s="1"/>
  <c r="G51" i="15"/>
  <c r="AT71" i="5"/>
  <c r="AR206" i="5"/>
  <c r="BU11" i="25"/>
  <c r="BS11" i="25"/>
  <c r="BT10" i="25"/>
  <c r="B11" i="22"/>
  <c r="B22" i="22"/>
  <c r="B34" i="22" s="1"/>
  <c r="B46" i="22" s="1"/>
  <c r="B58" i="22" s="1"/>
  <c r="B70" i="22" s="1"/>
  <c r="B82" i="22" s="1"/>
  <c r="B94" i="22" s="1"/>
  <c r="B106" i="22" s="1"/>
  <c r="B118" i="22" s="1"/>
  <c r="B130" i="22" s="1"/>
  <c r="B142" i="22" s="1"/>
  <c r="B154" i="22" s="1"/>
  <c r="B166" i="22" s="1"/>
  <c r="CO155" i="5"/>
  <c r="CS155" i="5" s="1"/>
  <c r="CW155" i="5" s="1"/>
  <c r="AF29" i="30"/>
  <c r="CO164" i="5"/>
  <c r="AF35" i="30"/>
  <c r="CO157" i="5"/>
  <c r="CS157" i="5" s="1"/>
  <c r="CW157" i="5" s="1"/>
  <c r="AF31" i="30"/>
  <c r="AD81" i="5"/>
  <c r="BQ62" i="7"/>
  <c r="BR62" i="7" s="1"/>
  <c r="BS62" i="7" s="1"/>
  <c r="U57" i="7"/>
  <c r="AL56" i="7"/>
  <c r="H10" i="27"/>
  <c r="M9" i="27"/>
  <c r="J10" i="11"/>
  <c r="L9" i="11"/>
  <c r="F58" i="16"/>
  <c r="Q11" i="6"/>
  <c r="Q9" i="6"/>
  <c r="Q10" i="6"/>
  <c r="AD90" i="5"/>
  <c r="BQ68" i="7"/>
  <c r="BR68" i="7" s="1"/>
  <c r="BS68" i="7" s="1"/>
  <c r="M59" i="5"/>
  <c r="L59" i="5"/>
  <c r="M62" i="5"/>
  <c r="L62" i="5"/>
  <c r="AD93" i="5"/>
  <c r="BQ71" i="7"/>
  <c r="BR71" i="7" s="1"/>
  <c r="BS71" i="7" s="1"/>
  <c r="CF99" i="5"/>
  <c r="CJ99" i="5" s="1"/>
  <c r="DH99" i="5"/>
  <c r="DG99" i="5"/>
  <c r="CS149" i="5"/>
  <c r="B15" i="9"/>
  <c r="B26" i="9"/>
  <c r="B38" i="9" s="1"/>
  <c r="B50" i="9" s="1"/>
  <c r="B62" i="9" s="1"/>
  <c r="B74" i="9" s="1"/>
  <c r="B86" i="9" s="1"/>
  <c r="B98" i="9" s="1"/>
  <c r="B110" i="9" s="1"/>
  <c r="B122" i="9" s="1"/>
  <c r="B134" i="9" s="1"/>
  <c r="M31" i="17"/>
  <c r="K32" i="17"/>
  <c r="BD48" i="5"/>
  <c r="BC48" i="5"/>
  <c r="BE48" i="5"/>
  <c r="G58" i="16"/>
  <c r="AQ39" i="5"/>
  <c r="AS39" i="5"/>
  <c r="Q82" i="5"/>
  <c r="P82" i="5"/>
  <c r="AD85" i="5"/>
  <c r="BQ66" i="7"/>
  <c r="BR66" i="7" s="1"/>
  <c r="BS66" i="7" s="1"/>
  <c r="W76" i="7"/>
  <c r="AI76" i="7"/>
  <c r="W104" i="5"/>
  <c r="X104" i="5" s="1"/>
  <c r="EG8" i="25"/>
  <c r="D33" i="28"/>
  <c r="F21" i="28"/>
  <c r="F33" i="28" s="1"/>
  <c r="AI14" i="5"/>
  <c r="BE50" i="5"/>
  <c r="BC50" i="5"/>
  <c r="BD50" i="5"/>
  <c r="DF68" i="5"/>
  <c r="DE68" i="5"/>
  <c r="BT68" i="5"/>
  <c r="K112" i="27"/>
  <c r="K109" i="27"/>
  <c r="K90" i="27"/>
  <c r="K110" i="27"/>
  <c r="K111" i="27"/>
  <c r="K91" i="27"/>
  <c r="K95" i="27"/>
  <c r="CK35" i="14"/>
  <c r="CM35" i="14" s="1"/>
  <c r="CE36" i="14"/>
  <c r="N17" i="8"/>
  <c r="AG16" i="8"/>
  <c r="AA35" i="17"/>
  <c r="AJ34" i="17"/>
  <c r="AJ55" i="10"/>
  <c r="AI54" i="10"/>
  <c r="AT104" i="5"/>
  <c r="AU104" i="5"/>
  <c r="AO45" i="5"/>
  <c r="BI15" i="8"/>
  <c r="AH15" i="8"/>
  <c r="AQ38" i="5"/>
  <c r="AS38" i="5"/>
  <c r="AR38" i="5"/>
  <c r="AM10" i="7"/>
  <c r="BT9" i="7"/>
  <c r="F16" i="5" s="1"/>
  <c r="AG16" i="5" s="1"/>
  <c r="L61" i="5"/>
  <c r="M61" i="5"/>
  <c r="P80" i="5"/>
  <c r="Q80" i="5"/>
  <c r="H51" i="15"/>
  <c r="BH220" i="5"/>
  <c r="BK220" i="5" s="1"/>
  <c r="BH219" i="5"/>
  <c r="BK219" i="5" s="1"/>
  <c r="BH218" i="5"/>
  <c r="BK218" i="5" s="1"/>
  <c r="BH217" i="5"/>
  <c r="BK217" i="5" s="1"/>
  <c r="BH216" i="5"/>
  <c r="BK216" i="5" s="1"/>
  <c r="H36" i="13"/>
  <c r="BF47" i="5"/>
  <c r="AT41" i="5"/>
  <c r="AT56" i="5"/>
  <c r="F18" i="24"/>
  <c r="K17" i="24"/>
  <c r="B26" i="27"/>
  <c r="B38" i="27" s="1"/>
  <c r="B50" i="27" s="1"/>
  <c r="B62" i="27" s="1"/>
  <c r="B74" i="27" s="1"/>
  <c r="B86" i="27" s="1"/>
  <c r="B98" i="27" s="1"/>
  <c r="B110" i="27" s="1"/>
  <c r="B122" i="27" s="1"/>
  <c r="B15" i="27"/>
  <c r="CO156" i="5"/>
  <c r="CS156" i="5" s="1"/>
  <c r="CW156" i="5" s="1"/>
  <c r="AF30" i="30"/>
  <c r="CO160" i="5"/>
  <c r="CS160" i="5" s="1"/>
  <c r="CW160" i="5" s="1"/>
  <c r="AF34" i="30"/>
  <c r="CO159" i="5"/>
  <c r="CS159" i="5" s="1"/>
  <c r="CW159" i="5" s="1"/>
  <c r="AF33" i="30"/>
  <c r="CO158" i="5"/>
  <c r="CS158" i="5" s="1"/>
  <c r="CW158" i="5" s="1"/>
  <c r="AF32" i="30"/>
  <c r="D90" i="28"/>
  <c r="F78" i="28"/>
  <c r="F90" i="28" s="1"/>
  <c r="AV32" i="5"/>
  <c r="AU101" i="5"/>
  <c r="H44" i="5"/>
  <c r="I44" i="5"/>
  <c r="N14" i="11"/>
  <c r="AE13" i="11"/>
  <c r="AT76" i="7"/>
  <c r="BB14" i="14"/>
  <c r="CK13" i="14"/>
  <c r="CM13" i="14" s="1"/>
  <c r="CO13" i="14" s="1"/>
  <c r="CP13" i="14" s="1"/>
  <c r="CD106" i="5"/>
  <c r="CE106" i="5"/>
  <c r="CD105" i="5"/>
  <c r="CE105" i="5"/>
  <c r="EG37" i="25"/>
  <c r="W139" i="5"/>
  <c r="BY221" i="5"/>
  <c r="BM181" i="5"/>
  <c r="CN94" i="14"/>
  <c r="CO94" i="14" s="1"/>
  <c r="CP94" i="14" s="1"/>
  <c r="L20" i="16"/>
  <c r="J21" i="16"/>
  <c r="AQ14" i="7"/>
  <c r="BN13" i="7"/>
  <c r="AM11" i="5"/>
  <c r="CY9" i="5"/>
  <c r="CZ9" i="5" s="1"/>
  <c r="BE32" i="10"/>
  <c r="BG32" i="10" s="1"/>
  <c r="BI32" i="10" s="1"/>
  <c r="BJ32" i="10" s="1"/>
  <c r="BC33" i="10"/>
  <c r="BE33" i="10" s="1"/>
  <c r="BG33" i="10" s="1"/>
  <c r="BI33" i="10" s="1"/>
  <c r="BJ33" i="10" s="1"/>
  <c r="G17" i="11"/>
  <c r="E18" i="11"/>
  <c r="AD94" i="5"/>
  <c r="BQ72" i="7"/>
  <c r="BR72" i="7" s="1"/>
  <c r="BS72" i="7" s="1"/>
  <c r="B13" i="23"/>
  <c r="B24" i="23"/>
  <c r="B36" i="23" s="1"/>
  <c r="B48" i="23" s="1"/>
  <c r="B60" i="23" s="1"/>
  <c r="B72" i="23" s="1"/>
  <c r="B84" i="23" s="1"/>
  <c r="B96" i="23" s="1"/>
  <c r="Z176" i="5"/>
  <c r="AB164" i="5"/>
  <c r="AB176" i="5" s="1"/>
  <c r="AF25" i="30"/>
  <c r="BF49" i="5"/>
  <c r="BR89" i="5"/>
  <c r="BS89" i="5"/>
  <c r="BQ73" i="7"/>
  <c r="BR73" i="7" s="1"/>
  <c r="BS73" i="7" s="1"/>
  <c r="AD95" i="5"/>
  <c r="M55" i="5"/>
  <c r="L55" i="5"/>
  <c r="M49" i="5"/>
  <c r="L49" i="5"/>
  <c r="BQ54" i="7"/>
  <c r="BR54" i="7" s="1"/>
  <c r="BS54" i="7" s="1"/>
  <c r="AD70" i="5"/>
  <c r="Q81" i="5"/>
  <c r="P81" i="5"/>
  <c r="AD89" i="5"/>
  <c r="BQ67" i="7"/>
  <c r="BR67" i="7" s="1"/>
  <c r="BS67" i="7" s="1"/>
  <c r="AL11" i="10"/>
  <c r="BE10" i="10"/>
  <c r="BG10" i="10" s="1"/>
  <c r="BI10" i="10" s="1"/>
  <c r="BJ10" i="10" s="1"/>
  <c r="BY146" i="5"/>
  <c r="K103" i="27"/>
  <c r="K97" i="27"/>
  <c r="K108" i="27"/>
  <c r="K105" i="27"/>
  <c r="K106" i="27"/>
  <c r="BT74" i="5"/>
  <c r="DE74" i="5"/>
  <c r="DF74" i="5"/>
  <c r="CP206" i="5"/>
  <c r="CS209" i="5"/>
  <c r="CW209" i="5" s="1"/>
  <c r="CP221" i="5"/>
  <c r="CN206" i="5"/>
  <c r="CW179" i="5"/>
  <c r="CS182" i="5"/>
  <c r="CW182" i="5" s="1"/>
  <c r="CN191" i="5"/>
  <c r="CS206" i="5"/>
  <c r="CW194" i="5"/>
  <c r="CW206" i="5" s="1"/>
  <c r="CS216" i="5"/>
  <c r="CN221" i="5"/>
  <c r="AA20" i="5" l="1"/>
  <c r="AB19" i="5"/>
  <c r="H30" i="20"/>
  <c r="CW236" i="5"/>
  <c r="CF101" i="5"/>
  <c r="AV38" i="5"/>
  <c r="AY38" i="5" s="1"/>
  <c r="BH50" i="5"/>
  <c r="BK50" i="5" s="1"/>
  <c r="AB76" i="5"/>
  <c r="AA77" i="5"/>
  <c r="B16" i="27"/>
  <c r="B28" i="27" s="1"/>
  <c r="B40" i="27" s="1"/>
  <c r="B52" i="27" s="1"/>
  <c r="B64" i="27" s="1"/>
  <c r="B76" i="27" s="1"/>
  <c r="B88" i="27" s="1"/>
  <c r="B100" i="27" s="1"/>
  <c r="B112" i="27" s="1"/>
  <c r="B124" i="27" s="1"/>
  <c r="B27" i="27"/>
  <c r="B39" i="27" s="1"/>
  <c r="B51" i="27" s="1"/>
  <c r="B63" i="27" s="1"/>
  <c r="B75" i="27" s="1"/>
  <c r="B87" i="27" s="1"/>
  <c r="B99" i="27" s="1"/>
  <c r="B111" i="27" s="1"/>
  <c r="B123" i="27" s="1"/>
  <c r="AA36" i="17"/>
  <c r="AJ35" i="17"/>
  <c r="N57" i="10"/>
  <c r="AG56" i="10"/>
  <c r="BM107" i="5"/>
  <c r="CN35" i="14"/>
  <c r="CO35" i="14" s="1"/>
  <c r="CP35" i="14" s="1"/>
  <c r="BE49" i="5"/>
  <c r="BD49" i="5"/>
  <c r="BC49" i="5"/>
  <c r="E19" i="11"/>
  <c r="G18" i="11"/>
  <c r="K18" i="24"/>
  <c r="F19" i="24"/>
  <c r="BD176" i="5"/>
  <c r="BD221" i="5"/>
  <c r="L16" i="9"/>
  <c r="AB15" i="9"/>
  <c r="AW36" i="14"/>
  <c r="AQ37" i="14"/>
  <c r="AM104" i="5"/>
  <c r="AM116" i="5" s="1"/>
  <c r="AI116" i="5"/>
  <c r="K11" i="17"/>
  <c r="M10" i="17"/>
  <c r="BT10" i="7"/>
  <c r="F17" i="5" s="1"/>
  <c r="BO75" i="5"/>
  <c r="BQ75" i="5"/>
  <c r="BP75" i="5"/>
  <c r="BD161" i="5"/>
  <c r="AM14" i="5"/>
  <c r="BF51" i="5"/>
  <c r="BG51" i="5"/>
  <c r="U58" i="7"/>
  <c r="AL58" i="7" s="1"/>
  <c r="AL57" i="7"/>
  <c r="W128" i="11"/>
  <c r="DA9" i="5"/>
  <c r="DC9" i="5" s="1"/>
  <c r="CZ10" i="5"/>
  <c r="DA10" i="5" s="1"/>
  <c r="DC10" i="5" s="1"/>
  <c r="AI15" i="8"/>
  <c r="AJ16" i="8"/>
  <c r="N18" i="8"/>
  <c r="AG17" i="8"/>
  <c r="U107" i="5"/>
  <c r="V107" i="5"/>
  <c r="BP70" i="5"/>
  <c r="BP71" i="5" s="1"/>
  <c r="BO70" i="5"/>
  <c r="BQ70" i="5"/>
  <c r="BQ71" i="5" s="1"/>
  <c r="BW74" i="5"/>
  <c r="X17" i="11"/>
  <c r="X18" i="11" s="1"/>
  <c r="X19" i="11" s="1"/>
  <c r="X20" i="11" s="1"/>
  <c r="X21" i="11" s="1"/>
  <c r="X22" i="11" s="1"/>
  <c r="X23" i="11" s="1"/>
  <c r="X24" i="11" s="1"/>
  <c r="X25" i="11" s="1"/>
  <c r="X26" i="11" s="1"/>
  <c r="X27" i="11" s="1"/>
  <c r="X28" i="11" s="1"/>
  <c r="X29" i="11" s="1"/>
  <c r="X30" i="11" s="1"/>
  <c r="X31" i="11" s="1"/>
  <c r="X32" i="11" s="1"/>
  <c r="X33" i="11" s="1"/>
  <c r="X34" i="11" s="1"/>
  <c r="X35" i="11" s="1"/>
  <c r="X36" i="11" s="1"/>
  <c r="X37" i="11" s="1"/>
  <c r="X38" i="11" s="1"/>
  <c r="X39" i="11" s="1"/>
  <c r="X40" i="11" s="1"/>
  <c r="X41" i="11" s="1"/>
  <c r="X42" i="11" s="1"/>
  <c r="X43" i="11" s="1"/>
  <c r="X44" i="11" s="1"/>
  <c r="X45" i="11" s="1"/>
  <c r="X46" i="11" s="1"/>
  <c r="X47" i="11" s="1"/>
  <c r="X48" i="11" s="1"/>
  <c r="X49" i="11" s="1"/>
  <c r="X50" i="11" s="1"/>
  <c r="X51" i="11" s="1"/>
  <c r="X52" i="11" s="1"/>
  <c r="X53" i="11" s="1"/>
  <c r="X54" i="11" s="1"/>
  <c r="X55" i="11" s="1"/>
  <c r="X56" i="11" s="1"/>
  <c r="X57" i="11" s="1"/>
  <c r="X58" i="11" s="1"/>
  <c r="X59" i="11" s="1"/>
  <c r="X60" i="11" s="1"/>
  <c r="X61" i="11" s="1"/>
  <c r="X62" i="11" s="1"/>
  <c r="X63" i="11" s="1"/>
  <c r="X64" i="11" s="1"/>
  <c r="X65" i="11" s="1"/>
  <c r="X66" i="11" s="1"/>
  <c r="X67" i="11" s="1"/>
  <c r="X68" i="11" s="1"/>
  <c r="X69" i="11" s="1"/>
  <c r="X70" i="11" s="1"/>
  <c r="X71" i="11" s="1"/>
  <c r="X72" i="11" s="1"/>
  <c r="X73" i="11" s="1"/>
  <c r="X74" i="11" s="1"/>
  <c r="X75" i="11" s="1"/>
  <c r="X76" i="11" s="1"/>
  <c r="X77" i="11" s="1"/>
  <c r="X78" i="11" s="1"/>
  <c r="X79" i="11" s="1"/>
  <c r="X80" i="11" s="1"/>
  <c r="X81" i="11" s="1"/>
  <c r="X82" i="11" s="1"/>
  <c r="X83" i="11" s="1"/>
  <c r="X84" i="11" s="1"/>
  <c r="X85" i="11" s="1"/>
  <c r="X86" i="11" s="1"/>
  <c r="X87" i="11" s="1"/>
  <c r="X88" i="11" s="1"/>
  <c r="X89" i="11" s="1"/>
  <c r="X90" i="11" s="1"/>
  <c r="X91" i="11" s="1"/>
  <c r="X92" i="11" s="1"/>
  <c r="X93" i="11" s="1"/>
  <c r="X94" i="11" s="1"/>
  <c r="X95" i="11" s="1"/>
  <c r="X96" i="11" s="1"/>
  <c r="X97" i="11" s="1"/>
  <c r="X98" i="11" s="1"/>
  <c r="X99" i="11" s="1"/>
  <c r="X100" i="11" s="1"/>
  <c r="X101" i="11" s="1"/>
  <c r="X102" i="11" s="1"/>
  <c r="X103" i="11" s="1"/>
  <c r="X104" i="11" s="1"/>
  <c r="X105" i="11" s="1"/>
  <c r="X106" i="11" s="1"/>
  <c r="X107" i="11" s="1"/>
  <c r="X108" i="11" s="1"/>
  <c r="X109" i="11" s="1"/>
  <c r="X110" i="11" s="1"/>
  <c r="X111" i="11" s="1"/>
  <c r="X112" i="11" s="1"/>
  <c r="X113" i="11" s="1"/>
  <c r="X114" i="11" s="1"/>
  <c r="X115" i="11" s="1"/>
  <c r="X116" i="11" s="1"/>
  <c r="X117" i="11" s="1"/>
  <c r="X118" i="11" s="1"/>
  <c r="X119" i="11" s="1"/>
  <c r="X120" i="11" s="1"/>
  <c r="X121" i="11" s="1"/>
  <c r="X122" i="11" s="1"/>
  <c r="X123" i="11" s="1"/>
  <c r="X124" i="11" s="1"/>
  <c r="X125" i="11" s="1"/>
  <c r="X126" i="11" s="1"/>
  <c r="X127" i="11" s="1"/>
  <c r="X128" i="11" s="1"/>
  <c r="X129" i="11" s="1"/>
  <c r="X130" i="11" s="1"/>
  <c r="X131" i="11" s="1"/>
  <c r="X132" i="11" s="1"/>
  <c r="X133" i="11" s="1"/>
  <c r="X134" i="11" s="1"/>
  <c r="X135" i="11" s="1"/>
  <c r="X136" i="11" s="1"/>
  <c r="CQ13" i="14"/>
  <c r="R79" i="5" s="1"/>
  <c r="AY32" i="5"/>
  <c r="CK36" i="14"/>
  <c r="CM36" i="14" s="1"/>
  <c r="CE37" i="14"/>
  <c r="BK10" i="10"/>
  <c r="N52" i="5" s="1"/>
  <c r="BH48" i="5"/>
  <c r="BK48" i="5" s="1"/>
  <c r="K33" i="17"/>
  <c r="M32" i="17"/>
  <c r="CW149" i="5"/>
  <c r="U76" i="7"/>
  <c r="BS12" i="25"/>
  <c r="BU12" i="25"/>
  <c r="BT11" i="25"/>
  <c r="AF16" i="5"/>
  <c r="BH47" i="5"/>
  <c r="K13" i="22"/>
  <c r="P12" i="22"/>
  <c r="AX35" i="14"/>
  <c r="AX36" i="14"/>
  <c r="AT105" i="5"/>
  <c r="AU105" i="5"/>
  <c r="AD101" i="5"/>
  <c r="AQ15" i="7"/>
  <c r="BN14" i="7"/>
  <c r="BP14" i="7" s="1"/>
  <c r="EG38" i="25"/>
  <c r="W140" i="5"/>
  <c r="AO46" i="5"/>
  <c r="BI16" i="8"/>
  <c r="BW68" i="5"/>
  <c r="CA104" i="5"/>
  <c r="CC104" i="5"/>
  <c r="CB104" i="5"/>
  <c r="B23" i="22"/>
  <c r="B35" i="22" s="1"/>
  <c r="B47" i="22" s="1"/>
  <c r="B59" i="22" s="1"/>
  <c r="B71" i="22" s="1"/>
  <c r="B83" i="22" s="1"/>
  <c r="B95" i="22" s="1"/>
  <c r="B107" i="22" s="1"/>
  <c r="B119" i="22" s="1"/>
  <c r="B131" i="22" s="1"/>
  <c r="B143" i="22" s="1"/>
  <c r="B155" i="22" s="1"/>
  <c r="B167" i="22" s="1"/>
  <c r="B12" i="22"/>
  <c r="AV37" i="5"/>
  <c r="AY37" i="5" s="1"/>
  <c r="DG100" i="5"/>
  <c r="CF100" i="5"/>
  <c r="CJ100" i="5" s="1"/>
  <c r="CJ101" i="5" s="1"/>
  <c r="DH100" i="5"/>
  <c r="AG83" i="16"/>
  <c r="S79" i="5"/>
  <c r="AH16" i="8"/>
  <c r="M108" i="5"/>
  <c r="L108" i="5"/>
  <c r="AV39" i="5"/>
  <c r="AY39" i="5" s="1"/>
  <c r="B16" i="9"/>
  <c r="B28" i="9" s="1"/>
  <c r="B40" i="9" s="1"/>
  <c r="B52" i="9" s="1"/>
  <c r="B64" i="9" s="1"/>
  <c r="B76" i="9" s="1"/>
  <c r="B88" i="9" s="1"/>
  <c r="B100" i="9" s="1"/>
  <c r="B112" i="9" s="1"/>
  <c r="B124" i="9" s="1"/>
  <c r="B136" i="9" s="1"/>
  <c r="B27" i="9"/>
  <c r="B39" i="9" s="1"/>
  <c r="B51" i="9" s="1"/>
  <c r="B63" i="9" s="1"/>
  <c r="B75" i="9" s="1"/>
  <c r="B87" i="9" s="1"/>
  <c r="B99" i="9" s="1"/>
  <c r="B111" i="9" s="1"/>
  <c r="B123" i="9" s="1"/>
  <c r="B135" i="9" s="1"/>
  <c r="J11" i="11"/>
  <c r="L10" i="11"/>
  <c r="AL12" i="7"/>
  <c r="O13" i="7"/>
  <c r="N12" i="6"/>
  <c r="AL12" i="10"/>
  <c r="BE11" i="10"/>
  <c r="BG11" i="10" s="1"/>
  <c r="BI11" i="10" s="1"/>
  <c r="BJ11" i="10" s="1"/>
  <c r="B14" i="23"/>
  <c r="B25" i="23"/>
  <c r="B37" i="23" s="1"/>
  <c r="B49" i="23" s="1"/>
  <c r="B61" i="23" s="1"/>
  <c r="B73" i="23" s="1"/>
  <c r="B85" i="23" s="1"/>
  <c r="B97" i="23" s="1"/>
  <c r="J22" i="16"/>
  <c r="L21" i="16"/>
  <c r="BD191" i="5"/>
  <c r="BP13" i="7"/>
  <c r="BS91" i="5"/>
  <c r="BR91" i="5"/>
  <c r="BB15" i="14"/>
  <c r="CK14" i="14"/>
  <c r="CM14" i="14" s="1"/>
  <c r="CO14" i="14" s="1"/>
  <c r="CP14" i="14" s="1"/>
  <c r="AE14" i="11"/>
  <c r="N15" i="11"/>
  <c r="BD206" i="5"/>
  <c r="AO11" i="7"/>
  <c r="D18" i="5" s="1"/>
  <c r="AN10" i="7"/>
  <c r="E17" i="5" s="1"/>
  <c r="EG9" i="25"/>
  <c r="W105" i="5"/>
  <c r="X105" i="5" s="1"/>
  <c r="F59" i="16"/>
  <c r="G59" i="16"/>
  <c r="H11" i="27"/>
  <c r="M10" i="27"/>
  <c r="AD75" i="5"/>
  <c r="BQ56" i="7"/>
  <c r="BR56" i="7" s="1"/>
  <c r="BS56" i="7" s="1"/>
  <c r="CS164" i="5"/>
  <c r="CO176" i="5"/>
  <c r="G52" i="15"/>
  <c r="BD51" i="5"/>
  <c r="BC51" i="5"/>
  <c r="BE51" i="5"/>
  <c r="BA109" i="5"/>
  <c r="BH55" i="10"/>
  <c r="BI55" i="10" s="1"/>
  <c r="BJ55" i="10" s="1"/>
  <c r="AH56" i="10"/>
  <c r="AH55" i="10"/>
  <c r="K36" i="15"/>
  <c r="M35" i="15"/>
  <c r="S78" i="5"/>
  <c r="AD18" i="5"/>
  <c r="BQ11" i="7"/>
  <c r="BR11" i="7" s="1"/>
  <c r="BS11" i="7" s="1"/>
  <c r="AM11" i="7"/>
  <c r="AL15" i="8"/>
  <c r="BF14" i="8"/>
  <c r="BH14" i="8" s="1"/>
  <c r="BJ14" i="8" s="1"/>
  <c r="BK14" i="8" s="1"/>
  <c r="AI131" i="5"/>
  <c r="AM119" i="5"/>
  <c r="AM131" i="5" s="1"/>
  <c r="M107" i="5"/>
  <c r="L107" i="5"/>
  <c r="AB61" i="16"/>
  <c r="AW60" i="16"/>
  <c r="BL13" i="8"/>
  <c r="J40" i="5" s="1"/>
  <c r="AZ35" i="14"/>
  <c r="AY34" i="14"/>
  <c r="V131" i="15"/>
  <c r="AX131" i="15" s="1"/>
  <c r="AX130" i="15"/>
  <c r="O123" i="15"/>
  <c r="AX122" i="15"/>
  <c r="BP77" i="5"/>
  <c r="BO77" i="5"/>
  <c r="BQ77" i="5"/>
  <c r="CO161" i="5"/>
  <c r="CS152" i="5"/>
  <c r="CW152" i="5" s="1"/>
  <c r="O19" i="17"/>
  <c r="AJ18" i="17"/>
  <c r="H65" i="9"/>
  <c r="J64" i="9"/>
  <c r="DF76" i="5"/>
  <c r="BT76" i="5"/>
  <c r="BW76" i="5" s="1"/>
  <c r="DE76" i="5"/>
  <c r="CW216" i="5"/>
  <c r="H17" i="20" s="1"/>
  <c r="CS221" i="5"/>
  <c r="CS191" i="5"/>
  <c r="CW191" i="5"/>
  <c r="AA21" i="5" l="1"/>
  <c r="AB20" i="5"/>
  <c r="DC11" i="5"/>
  <c r="AA78" i="5"/>
  <c r="AB77" i="5"/>
  <c r="AX123" i="15"/>
  <c r="O124" i="15"/>
  <c r="AX124" i="15" s="1"/>
  <c r="AS40" i="5"/>
  <c r="AS41" i="5" s="1"/>
  <c r="AQ40" i="5"/>
  <c r="AR40" i="5"/>
  <c r="AR41" i="5" s="1"/>
  <c r="BL14" i="8"/>
  <c r="J44" i="5" s="1"/>
  <c r="AN11" i="7"/>
  <c r="E18" i="5" s="1"/>
  <c r="AO12" i="7"/>
  <c r="D19" i="5" s="1"/>
  <c r="BT11" i="7"/>
  <c r="F18" i="5" s="1"/>
  <c r="AG18" i="5" s="1"/>
  <c r="AF18" i="5"/>
  <c r="N16" i="11"/>
  <c r="AE15" i="11"/>
  <c r="AJ17" i="8"/>
  <c r="AI16" i="8"/>
  <c r="K14" i="22"/>
  <c r="P13" i="22"/>
  <c r="U108" i="5"/>
  <c r="V108" i="5"/>
  <c r="CE38" i="14"/>
  <c r="CK37" i="14"/>
  <c r="CM37" i="14" s="1"/>
  <c r="AO47" i="5"/>
  <c r="BI17" i="8"/>
  <c r="BJ17" i="8" s="1"/>
  <c r="BK17" i="8" s="1"/>
  <c r="G19" i="11"/>
  <c r="E20" i="11"/>
  <c r="N58" i="10"/>
  <c r="AG57" i="10"/>
  <c r="AU106" i="5"/>
  <c r="AT106" i="5"/>
  <c r="H66" i="9"/>
  <c r="J65" i="9"/>
  <c r="DF77" i="5"/>
  <c r="DE77" i="5"/>
  <c r="BT77" i="5"/>
  <c r="BW77" i="5" s="1"/>
  <c r="AL16" i="8"/>
  <c r="BF16" i="8" s="1"/>
  <c r="BH16" i="8" s="1"/>
  <c r="BF15" i="8"/>
  <c r="BH15" i="8" s="1"/>
  <c r="BJ15" i="8" s="1"/>
  <c r="BK15" i="8" s="1"/>
  <c r="M36" i="15"/>
  <c r="K37" i="15"/>
  <c r="CW164" i="5"/>
  <c r="CW176" i="5" s="1"/>
  <c r="CS176" i="5"/>
  <c r="CE107" i="5"/>
  <c r="CD107" i="5"/>
  <c r="CQ21" i="14"/>
  <c r="R90" i="5" s="1"/>
  <c r="S90" i="5" s="1"/>
  <c r="BB16" i="14"/>
  <c r="CK16" i="14" s="1"/>
  <c r="CM16" i="14" s="1"/>
  <c r="CO16" i="14" s="1"/>
  <c r="CP16" i="14" s="1"/>
  <c r="CK15" i="14"/>
  <c r="CM15" i="14" s="1"/>
  <c r="CO15" i="14" s="1"/>
  <c r="CP15" i="14" s="1"/>
  <c r="J23" i="16"/>
  <c r="L22" i="16"/>
  <c r="P12" i="6"/>
  <c r="BG52" i="5"/>
  <c r="BF52" i="5"/>
  <c r="AQ16" i="7"/>
  <c r="BN15" i="7"/>
  <c r="BK47" i="5"/>
  <c r="M33" i="17"/>
  <c r="K34" i="17"/>
  <c r="CQ22" i="14"/>
  <c r="R91" i="5" s="1"/>
  <c r="S91" i="5" s="1"/>
  <c r="CQ25" i="14"/>
  <c r="R94" i="5" s="1"/>
  <c r="S94" i="5" s="1"/>
  <c r="CQ29" i="14"/>
  <c r="R98" i="5" s="1"/>
  <c r="S98" i="5" s="1"/>
  <c r="BK11" i="10"/>
  <c r="N53" i="5" s="1"/>
  <c r="N19" i="8"/>
  <c r="AG18" i="8"/>
  <c r="H45" i="5"/>
  <c r="I45" i="5"/>
  <c r="AD76" i="5"/>
  <c r="AD86" i="5" s="1"/>
  <c r="BQ57" i="7"/>
  <c r="BR57" i="7" s="1"/>
  <c r="BS57" i="7" s="1"/>
  <c r="M11" i="17"/>
  <c r="BS92" i="5" s="1"/>
  <c r="K12" i="17"/>
  <c r="AQ38" i="14"/>
  <c r="AW37" i="14"/>
  <c r="L17" i="9"/>
  <c r="AB16" i="9"/>
  <c r="BH49" i="5"/>
  <c r="BK49" i="5" s="1"/>
  <c r="AA37" i="17"/>
  <c r="AJ36" i="17"/>
  <c r="AJ19" i="17"/>
  <c r="O20" i="17"/>
  <c r="AB62" i="16"/>
  <c r="AW61" i="16"/>
  <c r="AJ57" i="10"/>
  <c r="AI56" i="10"/>
  <c r="BH51" i="5"/>
  <c r="BK51" i="5" s="1"/>
  <c r="H12" i="27"/>
  <c r="M11" i="27"/>
  <c r="CA105" i="5"/>
  <c r="CB105" i="5"/>
  <c r="CC105" i="5"/>
  <c r="CQ18" i="14"/>
  <c r="R84" i="5" s="1"/>
  <c r="S84" i="5" s="1"/>
  <c r="AL13" i="10"/>
  <c r="BE12" i="10"/>
  <c r="BG12" i="10" s="1"/>
  <c r="BI12" i="10" s="1"/>
  <c r="BJ12" i="10" s="1"/>
  <c r="N13" i="6"/>
  <c r="P13" i="6" s="1"/>
  <c r="O14" i="7"/>
  <c r="AL13" i="7"/>
  <c r="J12" i="11"/>
  <c r="L11" i="11"/>
  <c r="BP79" i="5"/>
  <c r="BO79" i="5"/>
  <c r="BQ79" i="5"/>
  <c r="DG104" i="5"/>
  <c r="CF104" i="5"/>
  <c r="CJ104" i="5" s="1"/>
  <c r="DH104" i="5"/>
  <c r="W141" i="5"/>
  <c r="EG39" i="25"/>
  <c r="AZ36" i="14"/>
  <c r="AY35" i="14"/>
  <c r="BS13" i="25"/>
  <c r="BU13" i="25"/>
  <c r="BT12" i="25"/>
  <c r="CS161" i="5"/>
  <c r="CQ32" i="14"/>
  <c r="R104" i="5" s="1"/>
  <c r="S104" i="5" s="1"/>
  <c r="CQ14" i="14"/>
  <c r="R80" i="5" s="1"/>
  <c r="S80" i="5" s="1"/>
  <c r="AH17" i="8"/>
  <c r="W129" i="11"/>
  <c r="BQ58" i="7"/>
  <c r="BR58" i="7" s="1"/>
  <c r="BS58" i="7" s="1"/>
  <c r="AD77" i="5"/>
  <c r="AF17" i="5"/>
  <c r="AG17" i="5"/>
  <c r="BM108" i="5"/>
  <c r="CN36" i="14"/>
  <c r="CO36" i="14" s="1"/>
  <c r="CP36" i="14" s="1"/>
  <c r="F20" i="24"/>
  <c r="K19" i="24"/>
  <c r="P106" i="5"/>
  <c r="Q106" i="5"/>
  <c r="BQ78" i="5"/>
  <c r="BP78" i="5"/>
  <c r="BO78" i="5"/>
  <c r="AJ56" i="10"/>
  <c r="AI55" i="10"/>
  <c r="G53" i="15"/>
  <c r="H52" i="15"/>
  <c r="F60" i="16"/>
  <c r="G60" i="16"/>
  <c r="W106" i="5"/>
  <c r="X106" i="5" s="1"/>
  <c r="EG10" i="25"/>
  <c r="B26" i="23"/>
  <c r="B38" i="23" s="1"/>
  <c r="B50" i="23" s="1"/>
  <c r="B62" i="23" s="1"/>
  <c r="B74" i="23" s="1"/>
  <c r="B86" i="23" s="1"/>
  <c r="B98" i="23" s="1"/>
  <c r="B15" i="23"/>
  <c r="AD19" i="5"/>
  <c r="BQ12" i="7"/>
  <c r="BR12" i="7" s="1"/>
  <c r="BS12" i="7" s="1"/>
  <c r="AM12" i="7"/>
  <c r="B13" i="22"/>
  <c r="B24" i="22"/>
  <c r="B36" i="22" s="1"/>
  <c r="B48" i="22" s="1"/>
  <c r="B60" i="22" s="1"/>
  <c r="B72" i="22" s="1"/>
  <c r="B84" i="22" s="1"/>
  <c r="B96" i="22" s="1"/>
  <c r="B108" i="22" s="1"/>
  <c r="B120" i="22" s="1"/>
  <c r="B132" i="22" s="1"/>
  <c r="B144" i="22" s="1"/>
  <c r="B156" i="22" s="1"/>
  <c r="B168" i="22" s="1"/>
  <c r="BJ16" i="8"/>
  <c r="BK16" i="8" s="1"/>
  <c r="BL17" i="8" s="1"/>
  <c r="J47" i="5" s="1"/>
  <c r="AZ37" i="14"/>
  <c r="AY36" i="14"/>
  <c r="AI16" i="5"/>
  <c r="CW161" i="5"/>
  <c r="BC52" i="5"/>
  <c r="BE52" i="5"/>
  <c r="BD52" i="5"/>
  <c r="CQ34" i="14"/>
  <c r="R106" i="5" s="1"/>
  <c r="CQ19" i="14"/>
  <c r="R85" i="5" s="1"/>
  <c r="S85" i="5" s="1"/>
  <c r="DF70" i="5"/>
  <c r="BT70" i="5"/>
  <c r="DE70" i="5"/>
  <c r="BO71" i="5"/>
  <c r="CZ13" i="5"/>
  <c r="CY14" i="5"/>
  <c r="DE75" i="5"/>
  <c r="DF75" i="5"/>
  <c r="BT75" i="5"/>
  <c r="Y18" i="11"/>
  <c r="Y19" i="11" s="1"/>
  <c r="Y20" i="11" s="1"/>
  <c r="Y21" i="11" s="1"/>
  <c r="Y22" i="11" s="1"/>
  <c r="Y23" i="11" s="1"/>
  <c r="Y24" i="11" s="1"/>
  <c r="Y25" i="11" s="1"/>
  <c r="Y26" i="11" s="1"/>
  <c r="Y27" i="11" s="1"/>
  <c r="Y28" i="11" s="1"/>
  <c r="Y29" i="11" s="1"/>
  <c r="Y30" i="11" s="1"/>
  <c r="Y31" i="11" s="1"/>
  <c r="Y32" i="11" s="1"/>
  <c r="Y33" i="11" s="1"/>
  <c r="Y34" i="11" s="1"/>
  <c r="Y35" i="11" s="1"/>
  <c r="Y36" i="11" s="1"/>
  <c r="Y37" i="11" s="1"/>
  <c r="Y38" i="11" s="1"/>
  <c r="Y39" i="11" s="1"/>
  <c r="Y40" i="11" s="1"/>
  <c r="Y41" i="11" s="1"/>
  <c r="Y42" i="11" s="1"/>
  <c r="Y43" i="11" s="1"/>
  <c r="Y44" i="11" s="1"/>
  <c r="Y45" i="11" s="1"/>
  <c r="Y46" i="11" s="1"/>
  <c r="Y47" i="11" s="1"/>
  <c r="Y48" i="11" s="1"/>
  <c r="Y49" i="11" s="1"/>
  <c r="Y50" i="11" s="1"/>
  <c r="Y51" i="11" s="1"/>
  <c r="Y52" i="11" s="1"/>
  <c r="Y53" i="11" s="1"/>
  <c r="Y54" i="11" s="1"/>
  <c r="Y55" i="11" s="1"/>
  <c r="Y56" i="11" s="1"/>
  <c r="Y57" i="11" s="1"/>
  <c r="Y58" i="11" s="1"/>
  <c r="Y59" i="11" s="1"/>
  <c r="Y60" i="11" s="1"/>
  <c r="Y61" i="11" s="1"/>
  <c r="Y62" i="11" s="1"/>
  <c r="Y63" i="11" s="1"/>
  <c r="Y64" i="11" s="1"/>
  <c r="Y65" i="11" s="1"/>
  <c r="Y66" i="11" s="1"/>
  <c r="Y67" i="11" s="1"/>
  <c r="Y68" i="11" s="1"/>
  <c r="Y69" i="11" s="1"/>
  <c r="Y70" i="11" s="1"/>
  <c r="Y71" i="11" s="1"/>
  <c r="Y72" i="11" s="1"/>
  <c r="Y73" i="11" s="1"/>
  <c r="Y74" i="11" s="1"/>
  <c r="Y75" i="11" s="1"/>
  <c r="Y76" i="11" s="1"/>
  <c r="Y77" i="11" s="1"/>
  <c r="Y78" i="11" s="1"/>
  <c r="Y79" i="11" s="1"/>
  <c r="Y80" i="11" s="1"/>
  <c r="Y81" i="11" s="1"/>
  <c r="Y82" i="11" s="1"/>
  <c r="Y83" i="11" s="1"/>
  <c r="Y84" i="11" s="1"/>
  <c r="Y85" i="11" s="1"/>
  <c r="Y86" i="11" s="1"/>
  <c r="Y87" i="11" s="1"/>
  <c r="Y88" i="11" s="1"/>
  <c r="Y89" i="11" s="1"/>
  <c r="Y90" i="11" s="1"/>
  <c r="Y91" i="11" s="1"/>
  <c r="Y92" i="11" s="1"/>
  <c r="Y93" i="11" s="1"/>
  <c r="Y94" i="11" s="1"/>
  <c r="Y95" i="11" s="1"/>
  <c r="Y96" i="11" s="1"/>
  <c r="Y97" i="11" s="1"/>
  <c r="Y98" i="11" s="1"/>
  <c r="Y99" i="11" s="1"/>
  <c r="Y100" i="11" s="1"/>
  <c r="Y101" i="11" s="1"/>
  <c r="Y102" i="11" s="1"/>
  <c r="Y103" i="11" s="1"/>
  <c r="Y104" i="11" s="1"/>
  <c r="Y105" i="11" s="1"/>
  <c r="Y106" i="11" s="1"/>
  <c r="Y107" i="11" s="1"/>
  <c r="Y108" i="11" s="1"/>
  <c r="Y109" i="11" s="1"/>
  <c r="Y110" i="11" s="1"/>
  <c r="Y111" i="11" s="1"/>
  <c r="Y112" i="11" s="1"/>
  <c r="Y113" i="11" s="1"/>
  <c r="Y114" i="11" s="1"/>
  <c r="Y115" i="11" s="1"/>
  <c r="Y116" i="11" s="1"/>
  <c r="Y117" i="11" s="1"/>
  <c r="Y118" i="11" s="1"/>
  <c r="Y119" i="11" s="1"/>
  <c r="Y120" i="11" s="1"/>
  <c r="Y121" i="11" s="1"/>
  <c r="Y122" i="11" s="1"/>
  <c r="Y123" i="11" s="1"/>
  <c r="Y124" i="11" s="1"/>
  <c r="Y125" i="11" s="1"/>
  <c r="Y126" i="11" s="1"/>
  <c r="Y127" i="11" s="1"/>
  <c r="Y128" i="11" s="1"/>
  <c r="Y129" i="11" s="1"/>
  <c r="Y130" i="11" s="1"/>
  <c r="Y131" i="11" s="1"/>
  <c r="Y132" i="11" s="1"/>
  <c r="Y133" i="11" s="1"/>
  <c r="Y134" i="11" s="1"/>
  <c r="Y135" i="11" s="1"/>
  <c r="Y136" i="11" s="1"/>
  <c r="Y137" i="11" s="1"/>
  <c r="BA110" i="5"/>
  <c r="BH56" i="10"/>
  <c r="BI56" i="10" s="1"/>
  <c r="BJ56" i="10" s="1"/>
  <c r="CW221" i="5"/>
  <c r="AB21" i="5" l="1"/>
  <c r="AA22" i="5"/>
  <c r="AB78" i="5"/>
  <c r="AA79" i="5"/>
  <c r="CZ14" i="5"/>
  <c r="DA14" i="5" s="1"/>
  <c r="DC14" i="5" s="1"/>
  <c r="BH52" i="5"/>
  <c r="BK52" i="5" s="1"/>
  <c r="B16" i="23"/>
  <c r="B28" i="23" s="1"/>
  <c r="B40" i="23" s="1"/>
  <c r="B52" i="23" s="1"/>
  <c r="B64" i="23" s="1"/>
  <c r="B76" i="23" s="1"/>
  <c r="B88" i="23" s="1"/>
  <c r="B100" i="23" s="1"/>
  <c r="B27" i="23"/>
  <c r="B39" i="23" s="1"/>
  <c r="B51" i="23" s="1"/>
  <c r="B63" i="23" s="1"/>
  <c r="B75" i="23" s="1"/>
  <c r="B87" i="23" s="1"/>
  <c r="B99" i="23" s="1"/>
  <c r="AI17" i="5"/>
  <c r="AM17" i="5" s="1"/>
  <c r="CY17" i="5" s="1"/>
  <c r="AI17" i="8"/>
  <c r="AJ18" i="8"/>
  <c r="U109" i="5"/>
  <c r="V109" i="5"/>
  <c r="O15" i="7"/>
  <c r="AL14" i="7"/>
  <c r="N14" i="6"/>
  <c r="P14" i="6" s="1"/>
  <c r="M12" i="27"/>
  <c r="H13" i="27"/>
  <c r="AW38" i="14"/>
  <c r="AQ39" i="14"/>
  <c r="BP15" i="7"/>
  <c r="Q12" i="6"/>
  <c r="Q13" i="6"/>
  <c r="Q14" i="6"/>
  <c r="L23" i="16"/>
  <c r="J24" i="16"/>
  <c r="BP90" i="5"/>
  <c r="BO90" i="5"/>
  <c r="BQ90" i="5"/>
  <c r="M37" i="15"/>
  <c r="K38" i="15"/>
  <c r="AU107" i="5"/>
  <c r="AT107" i="5"/>
  <c r="BA111" i="5"/>
  <c r="BH57" i="10"/>
  <c r="BI57" i="10" s="1"/>
  <c r="BJ57" i="10" s="1"/>
  <c r="AH57" i="10"/>
  <c r="Z19" i="11"/>
  <c r="Z20" i="11" s="1"/>
  <c r="Z21" i="11" s="1"/>
  <c r="Z22" i="11" s="1"/>
  <c r="Z23" i="11" s="1"/>
  <c r="Z24" i="11" s="1"/>
  <c r="Z25" i="11" s="1"/>
  <c r="Z26" i="11" s="1"/>
  <c r="Z27" i="11" s="1"/>
  <c r="Z28" i="11" s="1"/>
  <c r="Z29" i="11" s="1"/>
  <c r="Z30" i="11" s="1"/>
  <c r="Z31" i="11" s="1"/>
  <c r="Z32" i="11" s="1"/>
  <c r="Z33" i="11" s="1"/>
  <c r="Z34" i="11" s="1"/>
  <c r="Z35" i="11" s="1"/>
  <c r="Z36" i="11" s="1"/>
  <c r="Z37" i="11" s="1"/>
  <c r="Z38" i="11" s="1"/>
  <c r="Z39" i="11" s="1"/>
  <c r="Z40" i="11" s="1"/>
  <c r="Z41" i="11" s="1"/>
  <c r="Z42" i="11" s="1"/>
  <c r="Z43" i="11" s="1"/>
  <c r="Z44" i="11" s="1"/>
  <c r="Z45" i="11" s="1"/>
  <c r="Z46" i="11" s="1"/>
  <c r="Z47" i="11" s="1"/>
  <c r="Z48" i="11" s="1"/>
  <c r="Z49" i="11" s="1"/>
  <c r="Z50" i="11" s="1"/>
  <c r="Z51" i="11" s="1"/>
  <c r="Z52" i="11" s="1"/>
  <c r="Z53" i="11" s="1"/>
  <c r="Z54" i="11" s="1"/>
  <c r="Z55" i="11" s="1"/>
  <c r="Z56" i="11" s="1"/>
  <c r="Z57" i="11" s="1"/>
  <c r="Z58" i="11" s="1"/>
  <c r="Z59" i="11" s="1"/>
  <c r="Z60" i="11" s="1"/>
  <c r="Z61" i="11" s="1"/>
  <c r="Z62" i="11" s="1"/>
  <c r="Z63" i="11" s="1"/>
  <c r="Z64" i="11" s="1"/>
  <c r="Z65" i="11" s="1"/>
  <c r="Z66" i="11" s="1"/>
  <c r="Z67" i="11" s="1"/>
  <c r="Z68" i="11" s="1"/>
  <c r="Z69" i="11" s="1"/>
  <c r="Z70" i="11" s="1"/>
  <c r="Z71" i="11" s="1"/>
  <c r="Z72" i="11" s="1"/>
  <c r="Z73" i="11" s="1"/>
  <c r="Z74" i="11" s="1"/>
  <c r="Z75" i="11" s="1"/>
  <c r="Z76" i="11" s="1"/>
  <c r="Z77" i="11" s="1"/>
  <c r="Z78" i="11" s="1"/>
  <c r="Z79" i="11" s="1"/>
  <c r="Z80" i="11" s="1"/>
  <c r="Z81" i="11" s="1"/>
  <c r="Z82" i="11" s="1"/>
  <c r="Z83" i="11" s="1"/>
  <c r="Z84" i="11" s="1"/>
  <c r="Z85" i="11" s="1"/>
  <c r="Z86" i="11" s="1"/>
  <c r="Z87" i="11" s="1"/>
  <c r="Z88" i="11" s="1"/>
  <c r="Z89" i="11" s="1"/>
  <c r="Z90" i="11" s="1"/>
  <c r="Z91" i="11" s="1"/>
  <c r="Z92" i="11" s="1"/>
  <c r="Z93" i="11" s="1"/>
  <c r="Z94" i="11" s="1"/>
  <c r="Z95" i="11" s="1"/>
  <c r="Z96" i="11" s="1"/>
  <c r="Z97" i="11" s="1"/>
  <c r="Z98" i="11" s="1"/>
  <c r="Z99" i="11" s="1"/>
  <c r="Z100" i="11" s="1"/>
  <c r="Z101" i="11" s="1"/>
  <c r="Z102" i="11" s="1"/>
  <c r="Z103" i="11" s="1"/>
  <c r="Z104" i="11" s="1"/>
  <c r="Z105" i="11" s="1"/>
  <c r="Z106" i="11" s="1"/>
  <c r="Z107" i="11" s="1"/>
  <c r="Z108" i="11" s="1"/>
  <c r="Z109" i="11" s="1"/>
  <c r="Z110" i="11" s="1"/>
  <c r="Z111" i="11" s="1"/>
  <c r="Z112" i="11" s="1"/>
  <c r="Z113" i="11" s="1"/>
  <c r="Z114" i="11" s="1"/>
  <c r="Z115" i="11" s="1"/>
  <c r="Z116" i="11" s="1"/>
  <c r="Z117" i="11" s="1"/>
  <c r="Z118" i="11" s="1"/>
  <c r="Z119" i="11" s="1"/>
  <c r="Z120" i="11" s="1"/>
  <c r="Z121" i="11" s="1"/>
  <c r="Z122" i="11" s="1"/>
  <c r="Z123" i="11" s="1"/>
  <c r="Z124" i="11" s="1"/>
  <c r="Z125" i="11" s="1"/>
  <c r="Z126" i="11" s="1"/>
  <c r="Z127" i="11" s="1"/>
  <c r="Z128" i="11" s="1"/>
  <c r="Z129" i="11" s="1"/>
  <c r="Z130" i="11" s="1"/>
  <c r="Z131" i="11" s="1"/>
  <c r="Z132" i="11" s="1"/>
  <c r="Z133" i="11" s="1"/>
  <c r="Z134" i="11" s="1"/>
  <c r="Z135" i="11" s="1"/>
  <c r="Z136" i="11" s="1"/>
  <c r="Z137" i="11" s="1"/>
  <c r="Z138" i="11" s="1"/>
  <c r="CQ20" i="14"/>
  <c r="R89" i="5" s="1"/>
  <c r="S89" i="5" s="1"/>
  <c r="CE39" i="14"/>
  <c r="CK38" i="14"/>
  <c r="CM38" i="14" s="1"/>
  <c r="CQ15" i="14"/>
  <c r="R81" i="5" s="1"/>
  <c r="S81" i="5" s="1"/>
  <c r="AI18" i="5"/>
  <c r="AM18" i="5" s="1"/>
  <c r="CY18" i="5" s="1"/>
  <c r="AS44" i="5"/>
  <c r="AR44" i="5"/>
  <c r="AQ44" i="5"/>
  <c r="DE78" i="5"/>
  <c r="DF78" i="5"/>
  <c r="BT78" i="5"/>
  <c r="BW78" i="5" s="1"/>
  <c r="S106" i="5"/>
  <c r="F21" i="24"/>
  <c r="K20" i="24"/>
  <c r="W130" i="11"/>
  <c r="BO80" i="5"/>
  <c r="BQ80" i="5"/>
  <c r="BP80" i="5"/>
  <c r="BF53" i="5"/>
  <c r="BG53" i="5"/>
  <c r="BP84" i="5"/>
  <c r="BO84" i="5"/>
  <c r="BQ84" i="5"/>
  <c r="O21" i="17"/>
  <c r="AJ20" i="17"/>
  <c r="AA38" i="17"/>
  <c r="AJ37" i="17"/>
  <c r="K13" i="17"/>
  <c r="M12" i="17"/>
  <c r="BI18" i="8"/>
  <c r="BJ18" i="8" s="1"/>
  <c r="BK18" i="8" s="1"/>
  <c r="AO48" i="5"/>
  <c r="AH18" i="8"/>
  <c r="BE53" i="5"/>
  <c r="BD53" i="5"/>
  <c r="BC53" i="5"/>
  <c r="BP91" i="5"/>
  <c r="BO91" i="5"/>
  <c r="BQ91" i="5"/>
  <c r="BN16" i="7"/>
  <c r="BP16" i="7" s="1"/>
  <c r="AQ76" i="7"/>
  <c r="CQ36" i="14"/>
  <c r="R108" i="5" s="1"/>
  <c r="CQ27" i="14"/>
  <c r="R96" i="5" s="1"/>
  <c r="S96" i="5" s="1"/>
  <c r="CQ28" i="14"/>
  <c r="R97" i="5" s="1"/>
  <c r="S97" i="5" s="1"/>
  <c r="H67" i="9"/>
  <c r="J66" i="9"/>
  <c r="N59" i="10"/>
  <c r="AG58" i="10"/>
  <c r="P14" i="22"/>
  <c r="K15" i="22"/>
  <c r="H46" i="5"/>
  <c r="I46" i="5"/>
  <c r="CQ23" i="14"/>
  <c r="R92" i="5" s="1"/>
  <c r="S92" i="5" s="1"/>
  <c r="CQ31" i="14"/>
  <c r="R100" i="5" s="1"/>
  <c r="S100" i="5" s="1"/>
  <c r="H53" i="15"/>
  <c r="BW70" i="5"/>
  <c r="BT71" i="5"/>
  <c r="BW71" i="5" s="1"/>
  <c r="Q108" i="5"/>
  <c r="P108" i="5"/>
  <c r="S108" i="5" s="1"/>
  <c r="B14" i="22"/>
  <c r="B25" i="22"/>
  <c r="B37" i="22" s="1"/>
  <c r="B49" i="22" s="1"/>
  <c r="B61" i="22" s="1"/>
  <c r="B73" i="22" s="1"/>
  <c r="B85" i="22" s="1"/>
  <c r="B97" i="22" s="1"/>
  <c r="B109" i="22" s="1"/>
  <c r="B121" i="22" s="1"/>
  <c r="B133" i="22" s="1"/>
  <c r="B145" i="22" s="1"/>
  <c r="B157" i="22" s="1"/>
  <c r="B169" i="22" s="1"/>
  <c r="BT12" i="7"/>
  <c r="F19" i="5" s="1"/>
  <c r="W107" i="5"/>
  <c r="X107" i="5" s="1"/>
  <c r="EG11" i="25"/>
  <c r="F61" i="16"/>
  <c r="G54" i="15"/>
  <c r="BO104" i="5"/>
  <c r="BQ104" i="5"/>
  <c r="BP104" i="5"/>
  <c r="BU14" i="25"/>
  <c r="BS14" i="25"/>
  <c r="BT13" i="25"/>
  <c r="EG40" i="25"/>
  <c r="W142" i="5"/>
  <c r="DE79" i="5"/>
  <c r="BT79" i="5"/>
  <c r="BW79" i="5" s="1"/>
  <c r="DF79" i="5"/>
  <c r="J13" i="11"/>
  <c r="L12" i="11"/>
  <c r="CF105" i="5"/>
  <c r="CJ105" i="5" s="1"/>
  <c r="DG105" i="5"/>
  <c r="DH105" i="5"/>
  <c r="M110" i="5"/>
  <c r="L110" i="5"/>
  <c r="L18" i="9"/>
  <c r="AB17" i="9"/>
  <c r="AG19" i="8"/>
  <c r="N20" i="8"/>
  <c r="BP98" i="5"/>
  <c r="BO98" i="5"/>
  <c r="BQ98" i="5"/>
  <c r="CQ33" i="14"/>
  <c r="R105" i="5" s="1"/>
  <c r="S105" i="5" s="1"/>
  <c r="CQ16" i="14"/>
  <c r="R82" i="5" s="1"/>
  <c r="S82" i="5" s="1"/>
  <c r="CQ24" i="14"/>
  <c r="R93" i="5" s="1"/>
  <c r="S93" i="5" s="1"/>
  <c r="CQ35" i="14"/>
  <c r="R107" i="5" s="1"/>
  <c r="BR92" i="5"/>
  <c r="CQ26" i="14"/>
  <c r="R95" i="5" s="1"/>
  <c r="S95" i="5" s="1"/>
  <c r="CQ17" i="14"/>
  <c r="R83" i="5" s="1"/>
  <c r="S83" i="5" s="1"/>
  <c r="BL18" i="8"/>
  <c r="J48" i="5" s="1"/>
  <c r="BK12" i="10"/>
  <c r="N54" i="5" s="1"/>
  <c r="BW75" i="5"/>
  <c r="BO85" i="5"/>
  <c r="BQ85" i="5"/>
  <c r="BP85" i="5"/>
  <c r="AM16" i="5"/>
  <c r="AN12" i="7"/>
  <c r="E19" i="5" s="1"/>
  <c r="AO13" i="7"/>
  <c r="D20" i="5" s="1"/>
  <c r="CC106" i="5"/>
  <c r="CB106" i="5"/>
  <c r="CA106" i="5"/>
  <c r="L109" i="5"/>
  <c r="M109" i="5"/>
  <c r="Q107" i="5"/>
  <c r="P107" i="5"/>
  <c r="S107" i="5" s="1"/>
  <c r="AD20" i="5"/>
  <c r="BQ13" i="7"/>
  <c r="BR13" i="7" s="1"/>
  <c r="BS13" i="7" s="1"/>
  <c r="AM13" i="7"/>
  <c r="AM14" i="7"/>
  <c r="AL14" i="10"/>
  <c r="BE13" i="10"/>
  <c r="BG13" i="10" s="1"/>
  <c r="BI13" i="10" s="1"/>
  <c r="BJ13" i="10" s="1"/>
  <c r="CE108" i="5"/>
  <c r="CD108" i="5"/>
  <c r="AB63" i="16"/>
  <c r="AW62" i="16"/>
  <c r="BM109" i="5"/>
  <c r="CN37" i="14"/>
  <c r="CO37" i="14" s="1"/>
  <c r="CP37" i="14" s="1"/>
  <c r="AX38" i="14"/>
  <c r="AX37" i="14"/>
  <c r="BP94" i="5"/>
  <c r="BO94" i="5"/>
  <c r="BQ94" i="5"/>
  <c r="M34" i="17"/>
  <c r="K35" i="17"/>
  <c r="BR93" i="5"/>
  <c r="BS93" i="5"/>
  <c r="G20" i="11"/>
  <c r="E21" i="11"/>
  <c r="CQ30" i="14"/>
  <c r="R99" i="5" s="1"/>
  <c r="S99" i="5" s="1"/>
  <c r="N17" i="11"/>
  <c r="AE16" i="11"/>
  <c r="AG19" i="5"/>
  <c r="AF19" i="5"/>
  <c r="BL16" i="8"/>
  <c r="J46" i="5" s="1"/>
  <c r="BL15" i="8"/>
  <c r="J45" i="5" s="1"/>
  <c r="AQ45" i="5" s="1"/>
  <c r="AV40" i="5"/>
  <c r="AQ41" i="5"/>
  <c r="AB22" i="5" l="1"/>
  <c r="AA23" i="5"/>
  <c r="AB79" i="5"/>
  <c r="AA80" i="5"/>
  <c r="AY40" i="5"/>
  <c r="AV41" i="5"/>
  <c r="AY41" i="5" s="1"/>
  <c r="DF94" i="5"/>
  <c r="DE94" i="5"/>
  <c r="BT85" i="5"/>
  <c r="BW85" i="5" s="1"/>
  <c r="DF85" i="5"/>
  <c r="DE85" i="5"/>
  <c r="BE54" i="5"/>
  <c r="BD54" i="5"/>
  <c r="BC54" i="5"/>
  <c r="BO93" i="5"/>
  <c r="BP93" i="5"/>
  <c r="BQ93" i="5"/>
  <c r="BO105" i="5"/>
  <c r="BP105" i="5"/>
  <c r="BQ105" i="5"/>
  <c r="BF54" i="5"/>
  <c r="BG54" i="5"/>
  <c r="CC107" i="5"/>
  <c r="CB107" i="5"/>
  <c r="CA107" i="5"/>
  <c r="B15" i="22"/>
  <c r="B26" i="22"/>
  <c r="B38" i="22" s="1"/>
  <c r="B50" i="22" s="1"/>
  <c r="B62" i="22" s="1"/>
  <c r="B74" i="22" s="1"/>
  <c r="B86" i="22" s="1"/>
  <c r="B98" i="22" s="1"/>
  <c r="B110" i="22" s="1"/>
  <c r="B122" i="22" s="1"/>
  <c r="B134" i="22" s="1"/>
  <c r="B146" i="22" s="1"/>
  <c r="B158" i="22" s="1"/>
  <c r="B170" i="22" s="1"/>
  <c r="BQ92" i="5"/>
  <c r="BP92" i="5"/>
  <c r="BO92" i="5"/>
  <c r="K16" i="22"/>
  <c r="P15" i="22"/>
  <c r="AU108" i="5"/>
  <c r="AT108" i="5"/>
  <c r="BQ96" i="5"/>
  <c r="BP96" i="5"/>
  <c r="BO96" i="5"/>
  <c r="M13" i="17"/>
  <c r="K14" i="17"/>
  <c r="O22" i="17"/>
  <c r="AJ21" i="17"/>
  <c r="K21" i="24"/>
  <c r="F22" i="24"/>
  <c r="DF90" i="5"/>
  <c r="DE90" i="5"/>
  <c r="BT90" i="5"/>
  <c r="BW90" i="5" s="1"/>
  <c r="AR45" i="5"/>
  <c r="AW39" i="14"/>
  <c r="AQ40" i="14"/>
  <c r="AL15" i="7"/>
  <c r="N15" i="6"/>
  <c r="O16" i="7"/>
  <c r="BT13" i="7"/>
  <c r="F20" i="5" s="1"/>
  <c r="CY16" i="5"/>
  <c r="N21" i="8"/>
  <c r="AG20" i="8"/>
  <c r="L13" i="11"/>
  <c r="J14" i="11"/>
  <c r="V110" i="5"/>
  <c r="U110" i="5"/>
  <c r="F62" i="16"/>
  <c r="G61" i="16"/>
  <c r="G62" i="16"/>
  <c r="BQ108" i="5"/>
  <c r="BP108" i="5"/>
  <c r="BO108" i="5"/>
  <c r="H68" i="9"/>
  <c r="J67" i="9"/>
  <c r="BP97" i="5"/>
  <c r="BO97" i="5"/>
  <c r="BQ97" i="5"/>
  <c r="BT91" i="5"/>
  <c r="BW91" i="5" s="1"/>
  <c r="DF91" i="5"/>
  <c r="DE91" i="5"/>
  <c r="AJ19" i="8"/>
  <c r="AI18" i="8"/>
  <c r="AH20" i="8"/>
  <c r="DE80" i="5"/>
  <c r="DF80" i="5"/>
  <c r="BT80" i="5"/>
  <c r="BO106" i="5"/>
  <c r="BP106" i="5"/>
  <c r="BQ106" i="5"/>
  <c r="BQ81" i="5"/>
  <c r="BP81" i="5"/>
  <c r="BO81" i="5"/>
  <c r="AJ58" i="10"/>
  <c r="AI57" i="10"/>
  <c r="AH58" i="10"/>
  <c r="BM110" i="5"/>
  <c r="CN38" i="14"/>
  <c r="CO38" i="14" s="1"/>
  <c r="CP38" i="14" s="1"/>
  <c r="H47" i="5"/>
  <c r="I47" i="5"/>
  <c r="K36" i="17"/>
  <c r="M35" i="17"/>
  <c r="N18" i="11"/>
  <c r="AE17" i="11"/>
  <c r="BP99" i="5"/>
  <c r="BQ99" i="5"/>
  <c r="BO99" i="5"/>
  <c r="AA20" i="11"/>
  <c r="AA21" i="11" s="1"/>
  <c r="AA22" i="11" s="1"/>
  <c r="AA23" i="11" s="1"/>
  <c r="AA24" i="11" s="1"/>
  <c r="AA25" i="11" s="1"/>
  <c r="AA26" i="11" s="1"/>
  <c r="AA27" i="11" s="1"/>
  <c r="AA28" i="11" s="1"/>
  <c r="AA29" i="11" s="1"/>
  <c r="AA30" i="11" s="1"/>
  <c r="AA31" i="11" s="1"/>
  <c r="AA32" i="11" s="1"/>
  <c r="AA33" i="11" s="1"/>
  <c r="AA34" i="11" s="1"/>
  <c r="AA35" i="11" s="1"/>
  <c r="AA36" i="11" s="1"/>
  <c r="AA37" i="11" s="1"/>
  <c r="AA38" i="11" s="1"/>
  <c r="AA39" i="11" s="1"/>
  <c r="AA40" i="11" s="1"/>
  <c r="AA41" i="11" s="1"/>
  <c r="AA42" i="11" s="1"/>
  <c r="AA43" i="11" s="1"/>
  <c r="AA44" i="11" s="1"/>
  <c r="AA45" i="11" s="1"/>
  <c r="AA46" i="11" s="1"/>
  <c r="AA47" i="11" s="1"/>
  <c r="AA48" i="11" s="1"/>
  <c r="AA49" i="11" s="1"/>
  <c r="AA50" i="11" s="1"/>
  <c r="AA51" i="11" s="1"/>
  <c r="AA52" i="11" s="1"/>
  <c r="AA53" i="11" s="1"/>
  <c r="AA54" i="11" s="1"/>
  <c r="AA55" i="11" s="1"/>
  <c r="AA56" i="11" s="1"/>
  <c r="AA57" i="11" s="1"/>
  <c r="AA58" i="11" s="1"/>
  <c r="AA59" i="11" s="1"/>
  <c r="AA60" i="11" s="1"/>
  <c r="AA61" i="11" s="1"/>
  <c r="AA62" i="11" s="1"/>
  <c r="AA63" i="11" s="1"/>
  <c r="AA64" i="11" s="1"/>
  <c r="AA65" i="11" s="1"/>
  <c r="AA66" i="11" s="1"/>
  <c r="AA67" i="11" s="1"/>
  <c r="AA68" i="11" s="1"/>
  <c r="AA69" i="11" s="1"/>
  <c r="AA70" i="11" s="1"/>
  <c r="AA71" i="11" s="1"/>
  <c r="AA72" i="11" s="1"/>
  <c r="AA73" i="11" s="1"/>
  <c r="AA74" i="11" s="1"/>
  <c r="AA75" i="11" s="1"/>
  <c r="AA76" i="11" s="1"/>
  <c r="AA77" i="11" s="1"/>
  <c r="AA78" i="11" s="1"/>
  <c r="AA79" i="11" s="1"/>
  <c r="AA80" i="11" s="1"/>
  <c r="AA81" i="11" s="1"/>
  <c r="AA82" i="11" s="1"/>
  <c r="AA83" i="11" s="1"/>
  <c r="AA84" i="11" s="1"/>
  <c r="AA85" i="11" s="1"/>
  <c r="AA86" i="11" s="1"/>
  <c r="AA87" i="11" s="1"/>
  <c r="AA88" i="11" s="1"/>
  <c r="AA89" i="11" s="1"/>
  <c r="AA90" i="11" s="1"/>
  <c r="AA91" i="11" s="1"/>
  <c r="AA92" i="11" s="1"/>
  <c r="AA93" i="11" s="1"/>
  <c r="AA94" i="11" s="1"/>
  <c r="AA95" i="11" s="1"/>
  <c r="AA96" i="11" s="1"/>
  <c r="AA97" i="11" s="1"/>
  <c r="AA98" i="11" s="1"/>
  <c r="AA99" i="11" s="1"/>
  <c r="AA100" i="11" s="1"/>
  <c r="AA101" i="11" s="1"/>
  <c r="AA102" i="11" s="1"/>
  <c r="AA103" i="11" s="1"/>
  <c r="AA104" i="11" s="1"/>
  <c r="AA105" i="11" s="1"/>
  <c r="AA106" i="11" s="1"/>
  <c r="AA107" i="11" s="1"/>
  <c r="AA108" i="11" s="1"/>
  <c r="AA109" i="11" s="1"/>
  <c r="AA110" i="11" s="1"/>
  <c r="AA111" i="11" s="1"/>
  <c r="AA112" i="11" s="1"/>
  <c r="AA113" i="11" s="1"/>
  <c r="AA114" i="11" s="1"/>
  <c r="AA115" i="11" s="1"/>
  <c r="AA116" i="11" s="1"/>
  <c r="AA117" i="11" s="1"/>
  <c r="AA118" i="11" s="1"/>
  <c r="AA119" i="11" s="1"/>
  <c r="AA120" i="11" s="1"/>
  <c r="AA121" i="11" s="1"/>
  <c r="AA122" i="11" s="1"/>
  <c r="AA123" i="11" s="1"/>
  <c r="AA124" i="11" s="1"/>
  <c r="AA125" i="11" s="1"/>
  <c r="AA126" i="11" s="1"/>
  <c r="AA127" i="11" s="1"/>
  <c r="AA128" i="11" s="1"/>
  <c r="AA129" i="11" s="1"/>
  <c r="AA130" i="11" s="1"/>
  <c r="AA131" i="11" s="1"/>
  <c r="AA132" i="11" s="1"/>
  <c r="AA133" i="11" s="1"/>
  <c r="AA134" i="11" s="1"/>
  <c r="AA135" i="11" s="1"/>
  <c r="AA136" i="11" s="1"/>
  <c r="AY37" i="14"/>
  <c r="AZ38" i="14"/>
  <c r="BK13" i="10"/>
  <c r="N55" i="5" s="1"/>
  <c r="AO15" i="7"/>
  <c r="AN14" i="7"/>
  <c r="E21" i="5" s="1"/>
  <c r="AF20" i="5"/>
  <c r="AG20" i="5"/>
  <c r="BO83" i="5"/>
  <c r="BQ83" i="5"/>
  <c r="BP83" i="5"/>
  <c r="AO49" i="5"/>
  <c r="BI19" i="8"/>
  <c r="BJ19" i="8" s="1"/>
  <c r="BK19" i="8" s="1"/>
  <c r="BU15" i="25"/>
  <c r="BT14" i="25"/>
  <c r="BS15" i="25"/>
  <c r="BP100" i="5"/>
  <c r="BO100" i="5"/>
  <c r="BQ100" i="5"/>
  <c r="BA112" i="5"/>
  <c r="BH58" i="10"/>
  <c r="BI58" i="10" s="1"/>
  <c r="BJ58" i="10" s="1"/>
  <c r="AH19" i="8"/>
  <c r="AA39" i="17"/>
  <c r="AJ38" i="17"/>
  <c r="AV44" i="5"/>
  <c r="CK39" i="14"/>
  <c r="CM39" i="14" s="1"/>
  <c r="CE40" i="14"/>
  <c r="M38" i="15"/>
  <c r="K39" i="15"/>
  <c r="J25" i="16"/>
  <c r="L24" i="16"/>
  <c r="BN76" i="7"/>
  <c r="AS45" i="5"/>
  <c r="H14" i="27"/>
  <c r="M13" i="27"/>
  <c r="CZ15" i="5"/>
  <c r="DA15" i="5" s="1"/>
  <c r="DC15" i="5" s="1"/>
  <c r="G21" i="11"/>
  <c r="E22" i="11"/>
  <c r="AI19" i="5"/>
  <c r="AY38" i="14"/>
  <c r="AZ39" i="14"/>
  <c r="CQ38" i="14"/>
  <c r="R110" i="5" s="1"/>
  <c r="AB64" i="16"/>
  <c r="AW63" i="16"/>
  <c r="AL15" i="10"/>
  <c r="BE14" i="10"/>
  <c r="BG14" i="10" s="1"/>
  <c r="BI14" i="10" s="1"/>
  <c r="BJ14" i="10" s="1"/>
  <c r="AO14" i="7"/>
  <c r="D21" i="5" s="1"/>
  <c r="AN13" i="7"/>
  <c r="E20" i="5" s="1"/>
  <c r="BQ107" i="5"/>
  <c r="BP107" i="5"/>
  <c r="BO107" i="5"/>
  <c r="DH106" i="5"/>
  <c r="DG106" i="5"/>
  <c r="CF106" i="5"/>
  <c r="CJ106" i="5" s="1"/>
  <c r="BP95" i="5"/>
  <c r="BO95" i="5"/>
  <c r="BQ95" i="5"/>
  <c r="BP82" i="5"/>
  <c r="BQ82" i="5"/>
  <c r="BO82" i="5"/>
  <c r="DF98" i="5"/>
  <c r="DE98" i="5"/>
  <c r="AB18" i="9"/>
  <c r="L19" i="9"/>
  <c r="EG41" i="25"/>
  <c r="W143" i="5"/>
  <c r="DE104" i="5"/>
  <c r="DF104" i="5"/>
  <c r="G55" i="15"/>
  <c r="H54" i="15"/>
  <c r="W108" i="5"/>
  <c r="X108" i="5" s="1"/>
  <c r="EG12" i="25"/>
  <c r="AS46" i="5"/>
  <c r="AR46" i="5"/>
  <c r="AQ46" i="5"/>
  <c r="N60" i="10"/>
  <c r="AG59" i="10"/>
  <c r="BH53" i="5"/>
  <c r="BT84" i="5"/>
  <c r="BW84" i="5" s="1"/>
  <c r="DF84" i="5"/>
  <c r="DE84" i="5"/>
  <c r="W131" i="11"/>
  <c r="CQ37" i="14"/>
  <c r="R109" i="5" s="1"/>
  <c r="BQ89" i="5"/>
  <c r="BQ101" i="5" s="1"/>
  <c r="BP89" i="5"/>
  <c r="BO89" i="5"/>
  <c r="BS94" i="5"/>
  <c r="BR94" i="5"/>
  <c r="BT94" i="5" s="1"/>
  <c r="BW94" i="5" s="1"/>
  <c r="CE109" i="5"/>
  <c r="CD109" i="5"/>
  <c r="BQ14" i="7"/>
  <c r="BR14" i="7" s="1"/>
  <c r="BS14" i="7" s="1"/>
  <c r="AD21" i="5"/>
  <c r="AM15" i="7"/>
  <c r="AB23" i="5" l="1"/>
  <c r="AA24" i="5"/>
  <c r="BP86" i="5"/>
  <c r="AV45" i="5"/>
  <c r="AY45" i="5" s="1"/>
  <c r="BQ86" i="5"/>
  <c r="BP101" i="5"/>
  <c r="AA81" i="5"/>
  <c r="AB80" i="5"/>
  <c r="AV46" i="5"/>
  <c r="AY46" i="5" s="1"/>
  <c r="W109" i="5"/>
  <c r="X109" i="5" s="1"/>
  <c r="EG13" i="25"/>
  <c r="W144" i="5"/>
  <c r="EG42" i="25"/>
  <c r="DE82" i="5"/>
  <c r="DF82" i="5"/>
  <c r="BT82" i="5"/>
  <c r="BW82" i="5" s="1"/>
  <c r="DE95" i="5"/>
  <c r="DF95" i="5"/>
  <c r="BK14" i="10"/>
  <c r="N59" i="5" s="1"/>
  <c r="Q110" i="5"/>
  <c r="P110" i="5"/>
  <c r="S110" i="5" s="1"/>
  <c r="AB21" i="11"/>
  <c r="AB22" i="11" s="1"/>
  <c r="AB23" i="11" s="1"/>
  <c r="AB24" i="11" s="1"/>
  <c r="AB25" i="11" s="1"/>
  <c r="AB26" i="11" s="1"/>
  <c r="AB27" i="11" s="1"/>
  <c r="AB28" i="11" s="1"/>
  <c r="AB29" i="11" s="1"/>
  <c r="AB30" i="11" s="1"/>
  <c r="AB31" i="11" s="1"/>
  <c r="AB32" i="11" s="1"/>
  <c r="AB33" i="11" s="1"/>
  <c r="AB34" i="11" s="1"/>
  <c r="AB35" i="11" s="1"/>
  <c r="AB36" i="11" s="1"/>
  <c r="AB37" i="11" s="1"/>
  <c r="AB38" i="11" s="1"/>
  <c r="AB39" i="11" s="1"/>
  <c r="AB40" i="11" s="1"/>
  <c r="AB41" i="11" s="1"/>
  <c r="AB42" i="11" s="1"/>
  <c r="AB43" i="11" s="1"/>
  <c r="AB44" i="11" s="1"/>
  <c r="AB45" i="11" s="1"/>
  <c r="AB46" i="11" s="1"/>
  <c r="AB47" i="11" s="1"/>
  <c r="AB48" i="11" s="1"/>
  <c r="AB49" i="11" s="1"/>
  <c r="AB50" i="11" s="1"/>
  <c r="AB51" i="11" s="1"/>
  <c r="AB52" i="11" s="1"/>
  <c r="AB53" i="11" s="1"/>
  <c r="AB54" i="11" s="1"/>
  <c r="AB55" i="11" s="1"/>
  <c r="AB56" i="11" s="1"/>
  <c r="AB57" i="11" s="1"/>
  <c r="AB58" i="11" s="1"/>
  <c r="AB59" i="11" s="1"/>
  <c r="AB60" i="11" s="1"/>
  <c r="AB61" i="11" s="1"/>
  <c r="AB62" i="11" s="1"/>
  <c r="AB63" i="11" s="1"/>
  <c r="AB64" i="11" s="1"/>
  <c r="AB65" i="11" s="1"/>
  <c r="AB66" i="11" s="1"/>
  <c r="AB67" i="11" s="1"/>
  <c r="AB68" i="11" s="1"/>
  <c r="AB69" i="11" s="1"/>
  <c r="AB70" i="11" s="1"/>
  <c r="AB71" i="11" s="1"/>
  <c r="AB72" i="11" s="1"/>
  <c r="AB73" i="11" s="1"/>
  <c r="AB74" i="11" s="1"/>
  <c r="AB75" i="11" s="1"/>
  <c r="AB76" i="11" s="1"/>
  <c r="AB77" i="11" s="1"/>
  <c r="AB78" i="11" s="1"/>
  <c r="AB79" i="11" s="1"/>
  <c r="AB80" i="11" s="1"/>
  <c r="AB81" i="11" s="1"/>
  <c r="AB82" i="11" s="1"/>
  <c r="AB83" i="11" s="1"/>
  <c r="AB84" i="11" s="1"/>
  <c r="AB85" i="11" s="1"/>
  <c r="AB86" i="11" s="1"/>
  <c r="AB87" i="11" s="1"/>
  <c r="AB88" i="11" s="1"/>
  <c r="AB89" i="11" s="1"/>
  <c r="AB90" i="11" s="1"/>
  <c r="AB91" i="11" s="1"/>
  <c r="AB92" i="11" s="1"/>
  <c r="AB93" i="11" s="1"/>
  <c r="AB94" i="11" s="1"/>
  <c r="AB95" i="11" s="1"/>
  <c r="AB96" i="11" s="1"/>
  <c r="AB97" i="11" s="1"/>
  <c r="AB98" i="11" s="1"/>
  <c r="AB99" i="11" s="1"/>
  <c r="AB100" i="11" s="1"/>
  <c r="AB101" i="11" s="1"/>
  <c r="AB102" i="11" s="1"/>
  <c r="AB103" i="11" s="1"/>
  <c r="AB104" i="11" s="1"/>
  <c r="AB105" i="11" s="1"/>
  <c r="AB106" i="11" s="1"/>
  <c r="AB107" i="11" s="1"/>
  <c r="AB108" i="11" s="1"/>
  <c r="AB109" i="11" s="1"/>
  <c r="AB110" i="11" s="1"/>
  <c r="AB111" i="11" s="1"/>
  <c r="AB112" i="11" s="1"/>
  <c r="AB113" i="11" s="1"/>
  <c r="AB114" i="11" s="1"/>
  <c r="AB115" i="11" s="1"/>
  <c r="AB116" i="11" s="1"/>
  <c r="AB117" i="11" s="1"/>
  <c r="AB118" i="11" s="1"/>
  <c r="AB119" i="11" s="1"/>
  <c r="AB120" i="11" s="1"/>
  <c r="AB121" i="11" s="1"/>
  <c r="AB122" i="11" s="1"/>
  <c r="AB123" i="11" s="1"/>
  <c r="AB124" i="11" s="1"/>
  <c r="AB125" i="11" s="1"/>
  <c r="AB126" i="11" s="1"/>
  <c r="AB127" i="11" s="1"/>
  <c r="AB128" i="11" s="1"/>
  <c r="AB129" i="11" s="1"/>
  <c r="AB130" i="11" s="1"/>
  <c r="CD110" i="5"/>
  <c r="CE110" i="5"/>
  <c r="M39" i="15"/>
  <c r="K40" i="15"/>
  <c r="CE41" i="14"/>
  <c r="CK40" i="14"/>
  <c r="CM40" i="14" s="1"/>
  <c r="BL19" i="8"/>
  <c r="J49" i="5" s="1"/>
  <c r="Q109" i="5"/>
  <c r="P109" i="5"/>
  <c r="S109" i="5" s="1"/>
  <c r="BO86" i="5"/>
  <c r="H69" i="9"/>
  <c r="J68" i="9"/>
  <c r="DE108" i="5"/>
  <c r="DF108" i="5"/>
  <c r="F63" i="16"/>
  <c r="F23" i="24"/>
  <c r="K22" i="24"/>
  <c r="K17" i="22"/>
  <c r="P16" i="22"/>
  <c r="DE105" i="5"/>
  <c r="DF105" i="5"/>
  <c r="BH54" i="5"/>
  <c r="BK54" i="5" s="1"/>
  <c r="BT14" i="7"/>
  <c r="F21" i="5" s="1"/>
  <c r="AO16" i="7"/>
  <c r="AN15" i="7"/>
  <c r="E22" i="5" s="1"/>
  <c r="AL16" i="10"/>
  <c r="BE16" i="10" s="1"/>
  <c r="BG16" i="10" s="1"/>
  <c r="BI16" i="10" s="1"/>
  <c r="BJ16" i="10" s="1"/>
  <c r="BK33" i="10" s="1"/>
  <c r="N81" i="5" s="1"/>
  <c r="BE15" i="10"/>
  <c r="BG15" i="10" s="1"/>
  <c r="BI15" i="10" s="1"/>
  <c r="BJ15" i="10" s="1"/>
  <c r="BK15" i="10" s="1"/>
  <c r="N60" i="5" s="1"/>
  <c r="CZ16" i="5"/>
  <c r="H15" i="27"/>
  <c r="M14" i="27"/>
  <c r="DF100" i="5"/>
  <c r="DE100" i="5"/>
  <c r="BS16" i="25"/>
  <c r="BU16" i="25"/>
  <c r="BT15" i="25"/>
  <c r="AI20" i="5"/>
  <c r="AM20" i="5" s="1"/>
  <c r="CY20" i="5" s="1"/>
  <c r="BD55" i="5"/>
  <c r="BD56" i="5" s="1"/>
  <c r="BC55" i="5"/>
  <c r="BE55" i="5"/>
  <c r="BE56" i="5" s="1"/>
  <c r="M36" i="17"/>
  <c r="K37" i="17"/>
  <c r="BW80" i="5"/>
  <c r="DF97" i="5"/>
  <c r="DE97" i="5"/>
  <c r="J15" i="11"/>
  <c r="L14" i="11"/>
  <c r="AO50" i="5"/>
  <c r="BI20" i="8"/>
  <c r="BJ20" i="8" s="1"/>
  <c r="BK20" i="8" s="1"/>
  <c r="BL20" i="8" s="1"/>
  <c r="J50" i="5" s="1"/>
  <c r="AL16" i="7"/>
  <c r="O17" i="7"/>
  <c r="AQ41" i="14"/>
  <c r="AW40" i="14"/>
  <c r="O23" i="17"/>
  <c r="AJ22" i="17"/>
  <c r="DF96" i="5"/>
  <c r="DE96" i="5"/>
  <c r="DE92" i="5"/>
  <c r="DF92" i="5"/>
  <c r="BT92" i="5"/>
  <c r="BW92" i="5" s="1"/>
  <c r="DF93" i="5"/>
  <c r="BT93" i="5"/>
  <c r="BW93" i="5" s="1"/>
  <c r="DE93" i="5"/>
  <c r="DF89" i="5"/>
  <c r="DE89" i="5"/>
  <c r="BT89" i="5"/>
  <c r="BO101" i="5"/>
  <c r="W132" i="11"/>
  <c r="BA113" i="5"/>
  <c r="BH59" i="10"/>
  <c r="BI59" i="10" s="1"/>
  <c r="BJ59" i="10" s="1"/>
  <c r="G56" i="15"/>
  <c r="AM19" i="5"/>
  <c r="AA40" i="17"/>
  <c r="AJ40" i="17" s="1"/>
  <c r="AJ39" i="17"/>
  <c r="AJ20" i="8"/>
  <c r="AI19" i="8"/>
  <c r="H55" i="15"/>
  <c r="U111" i="5"/>
  <c r="V111" i="5"/>
  <c r="DE83" i="5"/>
  <c r="DF83" i="5"/>
  <c r="BT83" i="5"/>
  <c r="BW83" i="5" s="1"/>
  <c r="AA137" i="11"/>
  <c r="AI58" i="10"/>
  <c r="AJ59" i="10"/>
  <c r="DE81" i="5"/>
  <c r="BT81" i="5"/>
  <c r="BW81" i="5" s="1"/>
  <c r="DF81" i="5"/>
  <c r="AJ21" i="8"/>
  <c r="AI20" i="8"/>
  <c r="I48" i="5"/>
  <c r="H48" i="5"/>
  <c r="BF55" i="5"/>
  <c r="BF56" i="5" s="1"/>
  <c r="BG55" i="5"/>
  <c r="BG56" i="5" s="1"/>
  <c r="N22" i="8"/>
  <c r="AG21" i="8"/>
  <c r="P15" i="6"/>
  <c r="N77" i="6"/>
  <c r="BM111" i="5"/>
  <c r="CN39" i="14"/>
  <c r="CO39" i="14" s="1"/>
  <c r="CP39" i="14" s="1"/>
  <c r="CQ39" i="14" s="1"/>
  <c r="R111" i="5" s="1"/>
  <c r="AX40" i="14"/>
  <c r="AX39" i="14"/>
  <c r="M14" i="17"/>
  <c r="BS95" i="5" s="1"/>
  <c r="K15" i="17"/>
  <c r="B27" i="22"/>
  <c r="B39" i="22" s="1"/>
  <c r="B51" i="22" s="1"/>
  <c r="B63" i="22" s="1"/>
  <c r="B75" i="22" s="1"/>
  <c r="B87" i="22" s="1"/>
  <c r="B99" i="22" s="1"/>
  <c r="B111" i="22" s="1"/>
  <c r="B123" i="22" s="1"/>
  <c r="B135" i="22" s="1"/>
  <c r="B147" i="22" s="1"/>
  <c r="B159" i="22" s="1"/>
  <c r="B171" i="22" s="1"/>
  <c r="B16" i="22"/>
  <c r="B28" i="22" s="1"/>
  <c r="B40" i="22" s="1"/>
  <c r="B52" i="22" s="1"/>
  <c r="B64" i="22" s="1"/>
  <c r="B76" i="22" s="1"/>
  <c r="B88" i="22" s="1"/>
  <c r="B100" i="22" s="1"/>
  <c r="B112" i="22" s="1"/>
  <c r="B124" i="22" s="1"/>
  <c r="B136" i="22" s="1"/>
  <c r="B148" i="22" s="1"/>
  <c r="B160" i="22" s="1"/>
  <c r="B172" i="22" s="1"/>
  <c r="AH59" i="10"/>
  <c r="BK53" i="5"/>
  <c r="N61" i="10"/>
  <c r="AG60" i="10"/>
  <c r="AH60" i="10" s="1"/>
  <c r="CB108" i="5"/>
  <c r="CC108" i="5"/>
  <c r="CA108" i="5"/>
  <c r="H56" i="15"/>
  <c r="L20" i="9"/>
  <c r="AB19" i="9"/>
  <c r="DF107" i="5"/>
  <c r="DE107" i="5"/>
  <c r="AG21" i="5"/>
  <c r="AF21" i="5"/>
  <c r="AB65" i="16"/>
  <c r="AW64" i="16"/>
  <c r="G22" i="11"/>
  <c r="E23" i="11"/>
  <c r="L25" i="16"/>
  <c r="J26" i="16"/>
  <c r="AY44" i="5"/>
  <c r="DF99" i="5"/>
  <c r="DE99" i="5"/>
  <c r="AE18" i="11"/>
  <c r="N19" i="11"/>
  <c r="AS47" i="5"/>
  <c r="AR47" i="5"/>
  <c r="AQ47" i="5"/>
  <c r="M111" i="5"/>
  <c r="L111" i="5"/>
  <c r="DE106" i="5"/>
  <c r="DF106" i="5"/>
  <c r="AT109" i="5"/>
  <c r="AU109" i="5"/>
  <c r="AD22" i="5"/>
  <c r="BQ15" i="7"/>
  <c r="BR15" i="7" s="1"/>
  <c r="BS15" i="7" s="1"/>
  <c r="BT15" i="7" s="1"/>
  <c r="F22" i="5" s="1"/>
  <c r="CF107" i="5"/>
  <c r="CJ107" i="5" s="1"/>
  <c r="DH107" i="5"/>
  <c r="DG107" i="5"/>
  <c r="AA25" i="5" l="1"/>
  <c r="AB24" i="5"/>
  <c r="AA82" i="5"/>
  <c r="AB81" i="5"/>
  <c r="AV47" i="5"/>
  <c r="AY47" i="5" s="1"/>
  <c r="BE81" i="5"/>
  <c r="BD81" i="5"/>
  <c r="BC81" i="5"/>
  <c r="AJ61" i="10"/>
  <c r="AI60" i="10"/>
  <c r="BR96" i="5"/>
  <c r="AB66" i="16"/>
  <c r="AW65" i="16"/>
  <c r="DG108" i="5"/>
  <c r="DH108" i="5"/>
  <c r="CF108" i="5"/>
  <c r="CJ108" i="5" s="1"/>
  <c r="N62" i="10"/>
  <c r="AG61" i="10"/>
  <c r="AJ60" i="10"/>
  <c r="AI59" i="10"/>
  <c r="K16" i="17"/>
  <c r="M16" i="17" s="1"/>
  <c r="M15" i="17"/>
  <c r="BS96" i="5" s="1"/>
  <c r="H49" i="5"/>
  <c r="I49" i="5"/>
  <c r="BR95" i="5"/>
  <c r="BT95" i="5" s="1"/>
  <c r="BW95" i="5" s="1"/>
  <c r="BK59" i="10"/>
  <c r="N113" i="5" s="1"/>
  <c r="J16" i="11"/>
  <c r="L15" i="11"/>
  <c r="BT86" i="5"/>
  <c r="BW86" i="5" s="1"/>
  <c r="V112" i="5"/>
  <c r="U112" i="5"/>
  <c r="CZ17" i="5"/>
  <c r="DA17" i="5" s="1"/>
  <c r="DC17" i="5" s="1"/>
  <c r="H70" i="9"/>
  <c r="J69" i="9"/>
  <c r="CE42" i="14"/>
  <c r="CK41" i="14"/>
  <c r="CM41" i="14" s="1"/>
  <c r="BP110" i="5"/>
  <c r="BQ110" i="5"/>
  <c r="BO110" i="5"/>
  <c r="BK35" i="10"/>
  <c r="N83" i="5" s="1"/>
  <c r="CB109" i="5"/>
  <c r="CA109" i="5"/>
  <c r="CC109" i="5"/>
  <c r="N20" i="11"/>
  <c r="AE19" i="11"/>
  <c r="E24" i="11"/>
  <c r="G23" i="11"/>
  <c r="AI21" i="5"/>
  <c r="AY40" i="14"/>
  <c r="AZ41" i="14"/>
  <c r="H50" i="5"/>
  <c r="I50" i="5"/>
  <c r="AA138" i="11"/>
  <c r="BW89" i="5"/>
  <c r="AL17" i="7"/>
  <c r="O18" i="7"/>
  <c r="BH55" i="5"/>
  <c r="BC56" i="5"/>
  <c r="CE111" i="5"/>
  <c r="CD111" i="5"/>
  <c r="BD60" i="5"/>
  <c r="BC60" i="5"/>
  <c r="BE60" i="5"/>
  <c r="F24" i="24"/>
  <c r="K23" i="24"/>
  <c r="W145" i="5"/>
  <c r="EG43" i="25"/>
  <c r="BI21" i="8"/>
  <c r="BJ21" i="8" s="1"/>
  <c r="BK21" i="8" s="1"/>
  <c r="BL21" i="8" s="1"/>
  <c r="J51" i="5" s="1"/>
  <c r="AO51" i="5"/>
  <c r="AH21" i="8"/>
  <c r="CY19" i="5"/>
  <c r="BM112" i="5"/>
  <c r="CN40" i="14"/>
  <c r="CO40" i="14" s="1"/>
  <c r="CP40" i="14" s="1"/>
  <c r="CQ40" i="14" s="1"/>
  <c r="R112" i="5" s="1"/>
  <c r="BQ16" i="7"/>
  <c r="BR16" i="7" s="1"/>
  <c r="BS16" i="7" s="1"/>
  <c r="BT16" i="7" s="1"/>
  <c r="F23" i="5" s="1"/>
  <c r="AD23" i="5"/>
  <c r="AM16" i="7"/>
  <c r="K38" i="17"/>
  <c r="M37" i="17"/>
  <c r="BU17" i="25"/>
  <c r="BS17" i="25"/>
  <c r="BT16" i="25"/>
  <c r="H16" i="27"/>
  <c r="M15" i="27"/>
  <c r="BK29" i="10"/>
  <c r="N77" i="5" s="1"/>
  <c r="BK26" i="10"/>
  <c r="N74" i="5" s="1"/>
  <c r="BK34" i="10"/>
  <c r="N82" i="5" s="1"/>
  <c r="BK25" i="10"/>
  <c r="N70" i="5" s="1"/>
  <c r="BK24" i="10"/>
  <c r="N69" i="5" s="1"/>
  <c r="BK22" i="10"/>
  <c r="N67" i="5" s="1"/>
  <c r="BK16" i="10"/>
  <c r="N61" i="5" s="1"/>
  <c r="BK17" i="10"/>
  <c r="N62" i="5" s="1"/>
  <c r="BK23" i="10"/>
  <c r="N68" i="5" s="1"/>
  <c r="BK42" i="10"/>
  <c r="N93" i="5" s="1"/>
  <c r="BK21" i="10"/>
  <c r="N66" i="5" s="1"/>
  <c r="BK47" i="10"/>
  <c r="N98" i="5" s="1"/>
  <c r="BK20" i="10"/>
  <c r="N65" i="5" s="1"/>
  <c r="BK52" i="10"/>
  <c r="N106" i="5" s="1"/>
  <c r="BK27" i="10"/>
  <c r="N75" i="5" s="1"/>
  <c r="BK19" i="10"/>
  <c r="N64" i="5" s="1"/>
  <c r="BK32" i="10"/>
  <c r="N80" i="5" s="1"/>
  <c r="BK39" i="10"/>
  <c r="N90" i="5" s="1"/>
  <c r="BK18" i="10"/>
  <c r="N63" i="5" s="1"/>
  <c r="BK54" i="10"/>
  <c r="N108" i="5" s="1"/>
  <c r="BK55" i="10"/>
  <c r="N109" i="5" s="1"/>
  <c r="BK41" i="10"/>
  <c r="N92" i="5" s="1"/>
  <c r="BK28" i="10"/>
  <c r="N76" i="5" s="1"/>
  <c r="BK43" i="10"/>
  <c r="N94" i="5" s="1"/>
  <c r="BK31" i="10"/>
  <c r="N79" i="5" s="1"/>
  <c r="BK56" i="10"/>
  <c r="N110" i="5" s="1"/>
  <c r="BK36" i="10"/>
  <c r="N84" i="5" s="1"/>
  <c r="BK48" i="10"/>
  <c r="N99" i="5" s="1"/>
  <c r="BK38" i="10"/>
  <c r="N89" i="5" s="1"/>
  <c r="BK53" i="10"/>
  <c r="N107" i="5" s="1"/>
  <c r="BK51" i="10"/>
  <c r="N105" i="5" s="1"/>
  <c r="BK45" i="10"/>
  <c r="N96" i="5" s="1"/>
  <c r="BK37" i="10"/>
  <c r="N85" i="5" s="1"/>
  <c r="BK46" i="10"/>
  <c r="N97" i="5" s="1"/>
  <c r="BK50" i="10"/>
  <c r="N104" i="5" s="1"/>
  <c r="BK49" i="10"/>
  <c r="N100" i="5" s="1"/>
  <c r="BK40" i="10"/>
  <c r="N91" i="5" s="1"/>
  <c r="BK57" i="10"/>
  <c r="N111" i="5" s="1"/>
  <c r="BE111" i="5" s="1"/>
  <c r="BK44" i="10"/>
  <c r="N95" i="5" s="1"/>
  <c r="BK30" i="10"/>
  <c r="N78" i="5" s="1"/>
  <c r="F64" i="16"/>
  <c r="G63" i="16"/>
  <c r="M40" i="15"/>
  <c r="K41" i="15"/>
  <c r="AB131" i="11"/>
  <c r="BK58" i="10"/>
  <c r="N112" i="5" s="1"/>
  <c r="AC22" i="11"/>
  <c r="AC23" i="11" s="1"/>
  <c r="AC24" i="11" s="1"/>
  <c r="AC25" i="11" s="1"/>
  <c r="AC26" i="11" s="1"/>
  <c r="AC27" i="11" s="1"/>
  <c r="AC28" i="11" s="1"/>
  <c r="AC29" i="11" s="1"/>
  <c r="AC30" i="11" s="1"/>
  <c r="AC31" i="11" s="1"/>
  <c r="AC32" i="11" s="1"/>
  <c r="AC33" i="11" s="1"/>
  <c r="AC34" i="11" s="1"/>
  <c r="AC35" i="11" s="1"/>
  <c r="AC36" i="11" s="1"/>
  <c r="AC37" i="11" s="1"/>
  <c r="AC38" i="11" s="1"/>
  <c r="AC39" i="11" s="1"/>
  <c r="AC40" i="11" s="1"/>
  <c r="AC41" i="11" s="1"/>
  <c r="AC42" i="11" s="1"/>
  <c r="AC43" i="11" s="1"/>
  <c r="AC44" i="11" s="1"/>
  <c r="AC45" i="11" s="1"/>
  <c r="AC46" i="11" s="1"/>
  <c r="AC47" i="11" s="1"/>
  <c r="AC48" i="11" s="1"/>
  <c r="AC49" i="11" s="1"/>
  <c r="AC50" i="11" s="1"/>
  <c r="AC51" i="11" s="1"/>
  <c r="AC52" i="11" s="1"/>
  <c r="AC53" i="11" s="1"/>
  <c r="AC54" i="11" s="1"/>
  <c r="AC55" i="11" s="1"/>
  <c r="AC56" i="11" s="1"/>
  <c r="AC57" i="11" s="1"/>
  <c r="AC58" i="11" s="1"/>
  <c r="AC59" i="11" s="1"/>
  <c r="AC60" i="11" s="1"/>
  <c r="AC61" i="11" s="1"/>
  <c r="AC62" i="11" s="1"/>
  <c r="AC63" i="11" s="1"/>
  <c r="AC64" i="11" s="1"/>
  <c r="AC65" i="11" s="1"/>
  <c r="AC66" i="11" s="1"/>
  <c r="AC67" i="11" s="1"/>
  <c r="AC68" i="11" s="1"/>
  <c r="AC69" i="11" s="1"/>
  <c r="AC70" i="11" s="1"/>
  <c r="AC71" i="11" s="1"/>
  <c r="AC72" i="11" s="1"/>
  <c r="AC73" i="11" s="1"/>
  <c r="AC74" i="11" s="1"/>
  <c r="AC75" i="11" s="1"/>
  <c r="AC76" i="11" s="1"/>
  <c r="AC77" i="11" s="1"/>
  <c r="AC78" i="11" s="1"/>
  <c r="AC79" i="11" s="1"/>
  <c r="AC80" i="11" s="1"/>
  <c r="AC81" i="11" s="1"/>
  <c r="AC82" i="11" s="1"/>
  <c r="AC83" i="11" s="1"/>
  <c r="AC84" i="11" s="1"/>
  <c r="AC85" i="11" s="1"/>
  <c r="AC86" i="11" s="1"/>
  <c r="AC87" i="11" s="1"/>
  <c r="AC88" i="11" s="1"/>
  <c r="AC89" i="11" s="1"/>
  <c r="AC90" i="11" s="1"/>
  <c r="AC91" i="11" s="1"/>
  <c r="AC92" i="11" s="1"/>
  <c r="AC93" i="11" s="1"/>
  <c r="AC94" i="11" s="1"/>
  <c r="AC95" i="11" s="1"/>
  <c r="AC96" i="11" s="1"/>
  <c r="AC97" i="11" s="1"/>
  <c r="AC98" i="11" s="1"/>
  <c r="AC99" i="11" s="1"/>
  <c r="AC100" i="11" s="1"/>
  <c r="AC101" i="11" s="1"/>
  <c r="AC102" i="11" s="1"/>
  <c r="AC103" i="11" s="1"/>
  <c r="AC104" i="11" s="1"/>
  <c r="AC105" i="11" s="1"/>
  <c r="AC106" i="11" s="1"/>
  <c r="AC107" i="11" s="1"/>
  <c r="AC108" i="11" s="1"/>
  <c r="AC109" i="11" s="1"/>
  <c r="AC110" i="11" s="1"/>
  <c r="AC111" i="11" s="1"/>
  <c r="AC112" i="11" s="1"/>
  <c r="AC113" i="11" s="1"/>
  <c r="AC114" i="11" s="1"/>
  <c r="AC115" i="11" s="1"/>
  <c r="AC116" i="11" s="1"/>
  <c r="AC117" i="11" s="1"/>
  <c r="AC118" i="11" s="1"/>
  <c r="AC119" i="11" s="1"/>
  <c r="AC120" i="11" s="1"/>
  <c r="AC121" i="11" s="1"/>
  <c r="AC122" i="11" s="1"/>
  <c r="AC123" i="11" s="1"/>
  <c r="AC124" i="11" s="1"/>
  <c r="AC125" i="11" s="1"/>
  <c r="AC126" i="11" s="1"/>
  <c r="AC127" i="11" s="1"/>
  <c r="BD111" i="5"/>
  <c r="BC111" i="5"/>
  <c r="L26" i="16"/>
  <c r="J27" i="16"/>
  <c r="AB20" i="9"/>
  <c r="L21" i="9"/>
  <c r="BH60" i="10"/>
  <c r="BI60" i="10" s="1"/>
  <c r="BJ60" i="10" s="1"/>
  <c r="BK60" i="10" s="1"/>
  <c r="N114" i="5" s="1"/>
  <c r="BA114" i="5"/>
  <c r="AY39" i="14"/>
  <c r="AZ40" i="14"/>
  <c r="Q22" i="6"/>
  <c r="Q27" i="6"/>
  <c r="Q19" i="6"/>
  <c r="Q15" i="6"/>
  <c r="D22" i="5" s="1"/>
  <c r="Q23" i="6"/>
  <c r="Q24" i="6"/>
  <c r="Q17" i="6"/>
  <c r="Q18" i="6"/>
  <c r="P77" i="6"/>
  <c r="Q16" i="6"/>
  <c r="D23" i="5" s="1"/>
  <c r="Q25" i="6"/>
  <c r="Q26" i="6"/>
  <c r="Q21" i="6"/>
  <c r="Q20" i="6"/>
  <c r="AG22" i="8"/>
  <c r="N23" i="8"/>
  <c r="AQ48" i="5"/>
  <c r="AS48" i="5"/>
  <c r="AR48" i="5"/>
  <c r="M112" i="5"/>
  <c r="L112" i="5"/>
  <c r="G57" i="15"/>
  <c r="H57" i="15"/>
  <c r="W133" i="11"/>
  <c r="O24" i="17"/>
  <c r="AJ23" i="17"/>
  <c r="AQ42" i="14"/>
  <c r="AW41" i="14"/>
  <c r="BF59" i="5"/>
  <c r="BG59" i="5"/>
  <c r="DA16" i="5"/>
  <c r="DC16" i="5" s="1"/>
  <c r="K18" i="22"/>
  <c r="P17" i="22"/>
  <c r="AU110" i="5"/>
  <c r="AT110" i="5"/>
  <c r="BQ109" i="5"/>
  <c r="BP109" i="5"/>
  <c r="BO109" i="5"/>
  <c r="BD59" i="5"/>
  <c r="BC59" i="5"/>
  <c r="BE59" i="5"/>
  <c r="EG14" i="25"/>
  <c r="W110" i="5"/>
  <c r="X110" i="5" s="1"/>
  <c r="AB25" i="5" l="1"/>
  <c r="AB26" i="5" s="1"/>
  <c r="AA29" i="5"/>
  <c r="AV48" i="5"/>
  <c r="AY48" i="5" s="1"/>
  <c r="AB82" i="5"/>
  <c r="AA83" i="5"/>
  <c r="AF23" i="5"/>
  <c r="AG23" i="5"/>
  <c r="P111" i="5"/>
  <c r="S111" i="5" s="1"/>
  <c r="Q111" i="5"/>
  <c r="BS97" i="5"/>
  <c r="BR97" i="5"/>
  <c r="AC128" i="11"/>
  <c r="AE127" i="11"/>
  <c r="F65" i="16"/>
  <c r="G64" i="16"/>
  <c r="BD95" i="5"/>
  <c r="BE95" i="5"/>
  <c r="BC95" i="5"/>
  <c r="BE104" i="5"/>
  <c r="BC104" i="5"/>
  <c r="BD104" i="5"/>
  <c r="BC105" i="5"/>
  <c r="BE105" i="5"/>
  <c r="BD105" i="5"/>
  <c r="BD84" i="5"/>
  <c r="BC84" i="5"/>
  <c r="BE84" i="5"/>
  <c r="BC76" i="5"/>
  <c r="BE76" i="5"/>
  <c r="BD76" i="5"/>
  <c r="BE63" i="5"/>
  <c r="BC63" i="5"/>
  <c r="BD63" i="5"/>
  <c r="BD75" i="5"/>
  <c r="BC75" i="5"/>
  <c r="BE75" i="5"/>
  <c r="BC66" i="5"/>
  <c r="BE66" i="5"/>
  <c r="BD66" i="5"/>
  <c r="BD61" i="5"/>
  <c r="BC61" i="5"/>
  <c r="BE61" i="5"/>
  <c r="BD82" i="5"/>
  <c r="BE82" i="5"/>
  <c r="BC82" i="5"/>
  <c r="H17" i="27"/>
  <c r="M16" i="27"/>
  <c r="EG44" i="25"/>
  <c r="W149" i="5"/>
  <c r="BK55" i="5"/>
  <c r="BH56" i="5"/>
  <c r="BK56" i="5" s="1"/>
  <c r="DG109" i="5"/>
  <c r="DH109" i="5"/>
  <c r="CF109" i="5"/>
  <c r="CJ109" i="5" s="1"/>
  <c r="AT111" i="5"/>
  <c r="AU111" i="5"/>
  <c r="J17" i="11"/>
  <c r="L16" i="11"/>
  <c r="L114" i="5"/>
  <c r="M114" i="5"/>
  <c r="N24" i="8"/>
  <c r="AG23" i="8"/>
  <c r="L22" i="9"/>
  <c r="AB21" i="9"/>
  <c r="AB132" i="11"/>
  <c r="BE97" i="5"/>
  <c r="BD97" i="5"/>
  <c r="BC97" i="5"/>
  <c r="BC107" i="5"/>
  <c r="BD107" i="5"/>
  <c r="BE107" i="5"/>
  <c r="BE110" i="5"/>
  <c r="BD110" i="5"/>
  <c r="BC110" i="5"/>
  <c r="BE92" i="5"/>
  <c r="BD92" i="5"/>
  <c r="BC92" i="5"/>
  <c r="BC90" i="5"/>
  <c r="BE90" i="5"/>
  <c r="BD90" i="5"/>
  <c r="BD106" i="5"/>
  <c r="BC106" i="5"/>
  <c r="BE106" i="5"/>
  <c r="BC93" i="5"/>
  <c r="BE93" i="5"/>
  <c r="BD93" i="5"/>
  <c r="BC67" i="5"/>
  <c r="BD67" i="5"/>
  <c r="BE67" i="5"/>
  <c r="BD74" i="5"/>
  <c r="BC74" i="5"/>
  <c r="BE74" i="5"/>
  <c r="U113" i="5"/>
  <c r="V113" i="5"/>
  <c r="K39" i="17"/>
  <c r="M38" i="17"/>
  <c r="AS50" i="5"/>
  <c r="AR50" i="5"/>
  <c r="AQ50" i="5"/>
  <c r="AM21" i="5"/>
  <c r="N21" i="11"/>
  <c r="AE20" i="11"/>
  <c r="J70" i="9"/>
  <c r="H71" i="9"/>
  <c r="BH61" i="10"/>
  <c r="BI61" i="10" s="1"/>
  <c r="BJ61" i="10" s="1"/>
  <c r="BK61" i="10" s="1"/>
  <c r="N115" i="5" s="1"/>
  <c r="BA115" i="5"/>
  <c r="BA116" i="5" s="1"/>
  <c r="AH61" i="10"/>
  <c r="AB67" i="16"/>
  <c r="EG15" i="25"/>
  <c r="W111" i="5"/>
  <c r="X111" i="5" s="1"/>
  <c r="P18" i="22"/>
  <c r="K19" i="22"/>
  <c r="AQ43" i="14"/>
  <c r="AW42" i="14"/>
  <c r="W135" i="11"/>
  <c r="W134" i="11"/>
  <c r="G58" i="15"/>
  <c r="AO52" i="5"/>
  <c r="BI22" i="8"/>
  <c r="BJ22" i="8" s="1"/>
  <c r="BK22" i="8" s="1"/>
  <c r="BL22" i="8" s="1"/>
  <c r="J52" i="5" s="1"/>
  <c r="AH22" i="8"/>
  <c r="AH22" i="5"/>
  <c r="AH26" i="5" s="1"/>
  <c r="AG22" i="5"/>
  <c r="AF22" i="5"/>
  <c r="M41" i="15"/>
  <c r="K42" i="15"/>
  <c r="BE91" i="5"/>
  <c r="BD91" i="5"/>
  <c r="BC91" i="5"/>
  <c r="BE85" i="5"/>
  <c r="BD85" i="5"/>
  <c r="BC85" i="5"/>
  <c r="BC89" i="5"/>
  <c r="BE89" i="5"/>
  <c r="BD89" i="5"/>
  <c r="BD79" i="5"/>
  <c r="BC79" i="5"/>
  <c r="BE79" i="5"/>
  <c r="BD109" i="5"/>
  <c r="BE109" i="5"/>
  <c r="BC109" i="5"/>
  <c r="BE80" i="5"/>
  <c r="BD80" i="5"/>
  <c r="BC80" i="5"/>
  <c r="BD65" i="5"/>
  <c r="BE65" i="5"/>
  <c r="BC65" i="5"/>
  <c r="BD68" i="5"/>
  <c r="BC68" i="5"/>
  <c r="BE68" i="5"/>
  <c r="BD69" i="5"/>
  <c r="BE69" i="5"/>
  <c r="BC69" i="5"/>
  <c r="BD77" i="5"/>
  <c r="BC77" i="5"/>
  <c r="BE77" i="5"/>
  <c r="BS18" i="25"/>
  <c r="BT17" i="25"/>
  <c r="BU18" i="25"/>
  <c r="AL18" i="7"/>
  <c r="O19" i="7"/>
  <c r="BD83" i="5"/>
  <c r="BC83" i="5"/>
  <c r="BE83" i="5"/>
  <c r="AS49" i="5"/>
  <c r="AQ49" i="5"/>
  <c r="AR49" i="5"/>
  <c r="N63" i="10"/>
  <c r="AG62" i="10"/>
  <c r="BT96" i="5"/>
  <c r="CB110" i="5"/>
  <c r="CC110" i="5"/>
  <c r="CA110" i="5"/>
  <c r="O25" i="17"/>
  <c r="AJ24" i="17"/>
  <c r="BC112" i="5"/>
  <c r="BE112" i="5"/>
  <c r="BD112" i="5"/>
  <c r="BM113" i="5"/>
  <c r="CN41" i="14"/>
  <c r="CO41" i="14" s="1"/>
  <c r="CP41" i="14" s="1"/>
  <c r="CQ41" i="14" s="1"/>
  <c r="R113" i="5" s="1"/>
  <c r="AX42" i="14"/>
  <c r="AX41" i="14"/>
  <c r="BH59" i="5"/>
  <c r="DF109" i="5"/>
  <c r="DE109" i="5"/>
  <c r="J28" i="16"/>
  <c r="L27" i="16"/>
  <c r="BE78" i="5"/>
  <c r="BD78" i="5"/>
  <c r="BC78" i="5"/>
  <c r="BD100" i="5"/>
  <c r="BC100" i="5"/>
  <c r="BE100" i="5"/>
  <c r="BC96" i="5"/>
  <c r="BE96" i="5"/>
  <c r="BD96" i="5"/>
  <c r="BD99" i="5"/>
  <c r="BC99" i="5"/>
  <c r="BE99" i="5"/>
  <c r="BC94" i="5"/>
  <c r="BE94" i="5"/>
  <c r="BD94" i="5"/>
  <c r="BD108" i="5"/>
  <c r="BC108" i="5"/>
  <c r="BE108" i="5"/>
  <c r="BE64" i="5"/>
  <c r="BC64" i="5"/>
  <c r="BD64" i="5"/>
  <c r="BE98" i="5"/>
  <c r="BD98" i="5"/>
  <c r="BC98" i="5"/>
  <c r="BC62" i="5"/>
  <c r="BE62" i="5"/>
  <c r="BD62" i="5"/>
  <c r="BD70" i="5"/>
  <c r="BC70" i="5"/>
  <c r="BE70" i="5"/>
  <c r="CD112" i="5"/>
  <c r="CE112" i="5"/>
  <c r="AN16" i="7"/>
  <c r="E23" i="5" s="1"/>
  <c r="AO17" i="7"/>
  <c r="D24" i="5" s="1"/>
  <c r="AI21" i="8"/>
  <c r="AJ22" i="8"/>
  <c r="F25" i="24"/>
  <c r="K24" i="24"/>
  <c r="AD24" i="5"/>
  <c r="BQ17" i="7"/>
  <c r="BR17" i="7" s="1"/>
  <c r="BS17" i="7" s="1"/>
  <c r="BT17" i="7" s="1"/>
  <c r="F24" i="5" s="1"/>
  <c r="AM17" i="7"/>
  <c r="AA139" i="11"/>
  <c r="P112" i="5"/>
  <c r="S112" i="5" s="1"/>
  <c r="Q112" i="5"/>
  <c r="E25" i="11"/>
  <c r="G24" i="11"/>
  <c r="DE110" i="5"/>
  <c r="DF110" i="5"/>
  <c r="CK42" i="14"/>
  <c r="CM42" i="14" s="1"/>
  <c r="CE43" i="14"/>
  <c r="CZ18" i="5"/>
  <c r="BG60" i="5"/>
  <c r="BF60" i="5"/>
  <c r="BH60" i="5" s="1"/>
  <c r="BK60" i="5" s="1"/>
  <c r="L113" i="5"/>
  <c r="M113" i="5"/>
  <c r="AA30" i="5" l="1"/>
  <c r="AB29" i="5"/>
  <c r="BD71" i="5"/>
  <c r="BE71" i="5"/>
  <c r="AV49" i="5"/>
  <c r="AY49" i="5" s="1"/>
  <c r="AA84" i="5"/>
  <c r="AB83" i="5"/>
  <c r="BC113" i="5"/>
  <c r="BE113" i="5"/>
  <c r="BD113" i="5"/>
  <c r="K25" i="24"/>
  <c r="F26" i="24"/>
  <c r="BS98" i="5"/>
  <c r="BR98" i="5"/>
  <c r="BT98" i="5" s="1"/>
  <c r="BW98" i="5" s="1"/>
  <c r="BK59" i="5"/>
  <c r="N64" i="10"/>
  <c r="AG64" i="10" s="1"/>
  <c r="AG63" i="10"/>
  <c r="O20" i="7"/>
  <c r="AL19" i="7"/>
  <c r="BT18" i="25"/>
  <c r="BS19" i="25"/>
  <c r="BU19" i="25"/>
  <c r="BC101" i="5"/>
  <c r="AJ23" i="8"/>
  <c r="AI22" i="8"/>
  <c r="AQ44" i="14"/>
  <c r="AW43" i="14"/>
  <c r="CA111" i="5"/>
  <c r="CB111" i="5"/>
  <c r="CC111" i="5"/>
  <c r="N22" i="11"/>
  <c r="AE21" i="11"/>
  <c r="M39" i="17"/>
  <c r="K40" i="17"/>
  <c r="BC86" i="5"/>
  <c r="N25" i="8"/>
  <c r="AG24" i="8"/>
  <c r="BF61" i="5"/>
  <c r="BG61" i="5"/>
  <c r="CE113" i="5"/>
  <c r="CD113" i="5"/>
  <c r="BQ111" i="5"/>
  <c r="BO111" i="5"/>
  <c r="BP111" i="5"/>
  <c r="CZ19" i="5"/>
  <c r="DA19" i="5" s="1"/>
  <c r="DC19" i="5" s="1"/>
  <c r="G25" i="11"/>
  <c r="E26" i="11"/>
  <c r="DA18" i="5"/>
  <c r="DC18" i="5" s="1"/>
  <c r="AO18" i="7"/>
  <c r="D25" i="5" s="1"/>
  <c r="AN17" i="7"/>
  <c r="E24" i="5" s="1"/>
  <c r="J29" i="16"/>
  <c r="L28" i="16"/>
  <c r="AZ43" i="14"/>
  <c r="AY42" i="14"/>
  <c r="DG110" i="5"/>
  <c r="CF110" i="5"/>
  <c r="CJ110" i="5" s="1"/>
  <c r="DH110" i="5"/>
  <c r="AD25" i="5"/>
  <c r="AD26" i="5" s="1"/>
  <c r="BQ18" i="7"/>
  <c r="BR18" i="7" s="1"/>
  <c r="BS18" i="7" s="1"/>
  <c r="BT18" i="7" s="1"/>
  <c r="F25" i="5" s="1"/>
  <c r="AM18" i="7"/>
  <c r="AI22" i="5"/>
  <c r="W112" i="5"/>
  <c r="X112" i="5" s="1"/>
  <c r="EG16" i="25"/>
  <c r="AB68" i="16"/>
  <c r="H72" i="9"/>
  <c r="J71" i="9"/>
  <c r="BD86" i="5"/>
  <c r="J18" i="11"/>
  <c r="L17" i="11"/>
  <c r="H18" i="27"/>
  <c r="M17" i="27"/>
  <c r="F66" i="16"/>
  <c r="G65" i="16"/>
  <c r="BT97" i="5"/>
  <c r="BW97" i="5" s="1"/>
  <c r="I51" i="5"/>
  <c r="H51" i="5"/>
  <c r="BW96" i="5"/>
  <c r="BD101" i="5"/>
  <c r="P19" i="22"/>
  <c r="K20" i="22"/>
  <c r="AI61" i="10"/>
  <c r="AJ62" i="10"/>
  <c r="AU112" i="5"/>
  <c r="AT112" i="5"/>
  <c r="CY21" i="5"/>
  <c r="AB22" i="9"/>
  <c r="L23" i="9"/>
  <c r="BD114" i="5"/>
  <c r="BE114" i="5"/>
  <c r="BC114" i="5"/>
  <c r="BH61" i="5"/>
  <c r="BK61" i="5" s="1"/>
  <c r="CE44" i="14"/>
  <c r="CK43" i="14"/>
  <c r="CM43" i="14" s="1"/>
  <c r="BP112" i="5"/>
  <c r="BO112" i="5"/>
  <c r="BQ112" i="5"/>
  <c r="AG24" i="5"/>
  <c r="AF24" i="5"/>
  <c r="BC71" i="5"/>
  <c r="AZ42" i="14"/>
  <c r="AY41" i="14"/>
  <c r="O26" i="17"/>
  <c r="AJ25" i="17"/>
  <c r="BA119" i="5"/>
  <c r="BH62" i="10"/>
  <c r="BI62" i="10" s="1"/>
  <c r="BJ62" i="10" s="1"/>
  <c r="BK62" i="10" s="1"/>
  <c r="N119" i="5" s="1"/>
  <c r="AH62" i="10"/>
  <c r="V114" i="5"/>
  <c r="U114" i="5"/>
  <c r="BE101" i="5"/>
  <c r="M42" i="15"/>
  <c r="K43" i="15"/>
  <c r="G59" i="15"/>
  <c r="H58" i="15"/>
  <c r="CN42" i="14"/>
  <c r="CO42" i="14" s="1"/>
  <c r="CP42" i="14" s="1"/>
  <c r="CQ42" i="14" s="1"/>
  <c r="R114" i="5" s="1"/>
  <c r="BM114" i="5"/>
  <c r="AV50" i="5"/>
  <c r="AY50" i="5" s="1"/>
  <c r="BE86" i="5"/>
  <c r="AB133" i="11"/>
  <c r="AO53" i="5"/>
  <c r="BI23" i="8"/>
  <c r="BJ23" i="8" s="1"/>
  <c r="BK23" i="8" s="1"/>
  <c r="BL23" i="8" s="1"/>
  <c r="J53" i="5" s="1"/>
  <c r="AH23" i="8"/>
  <c r="W150" i="5"/>
  <c r="EG45" i="25"/>
  <c r="AC129" i="11"/>
  <c r="AE128" i="11"/>
  <c r="AI23" i="5"/>
  <c r="AM23" i="5" s="1"/>
  <c r="CY23" i="5" s="1"/>
  <c r="AA31" i="5" l="1"/>
  <c r="AB30" i="5"/>
  <c r="AB84" i="5"/>
  <c r="AA85" i="5"/>
  <c r="AB85" i="5" s="1"/>
  <c r="Q113" i="5"/>
  <c r="P113" i="5"/>
  <c r="S113" i="5" s="1"/>
  <c r="M115" i="5"/>
  <c r="L115" i="5"/>
  <c r="BG62" i="5"/>
  <c r="BF62" i="5"/>
  <c r="BH62" i="5" s="1"/>
  <c r="BK62" i="5" s="1"/>
  <c r="AO19" i="7"/>
  <c r="D29" i="5" s="1"/>
  <c r="AN18" i="7"/>
  <c r="E25" i="5" s="1"/>
  <c r="P114" i="5"/>
  <c r="S114" i="5" s="1"/>
  <c r="Q114" i="5"/>
  <c r="BI24" i="8"/>
  <c r="BJ24" i="8" s="1"/>
  <c r="BK24" i="8" s="1"/>
  <c r="BL24" i="8" s="1"/>
  <c r="J54" i="5" s="1"/>
  <c r="AO54" i="5"/>
  <c r="AH24" i="8"/>
  <c r="DG111" i="5"/>
  <c r="DH111" i="5"/>
  <c r="CF111" i="5"/>
  <c r="CJ111" i="5" s="1"/>
  <c r="U115" i="5"/>
  <c r="V115" i="5"/>
  <c r="BA121" i="5"/>
  <c r="BH64" i="10"/>
  <c r="BI64" i="10" s="1"/>
  <c r="BJ64" i="10" s="1"/>
  <c r="AH72" i="10"/>
  <c r="AH77" i="10"/>
  <c r="AH65" i="10"/>
  <c r="AH68" i="10"/>
  <c r="AH73" i="10"/>
  <c r="AH69" i="10"/>
  <c r="AH74" i="10"/>
  <c r="AH64" i="10"/>
  <c r="AH71" i="10"/>
  <c r="AH67" i="10"/>
  <c r="AH78" i="10"/>
  <c r="AH80" i="10"/>
  <c r="AH70" i="10"/>
  <c r="AH66" i="10"/>
  <c r="AH76" i="10"/>
  <c r="AH82" i="10"/>
  <c r="AI82" i="10" s="1"/>
  <c r="AH79" i="10"/>
  <c r="AH81" i="10"/>
  <c r="AH75" i="10"/>
  <c r="AC130" i="11"/>
  <c r="AE129" i="11"/>
  <c r="EG46" i="25"/>
  <c r="W151" i="5"/>
  <c r="G60" i="15"/>
  <c r="H59" i="15"/>
  <c r="P20" i="22"/>
  <c r="K21" i="22"/>
  <c r="AR51" i="5"/>
  <c r="AQ51" i="5"/>
  <c r="AS51" i="5"/>
  <c r="F67" i="16"/>
  <c r="AR66" i="16"/>
  <c r="AW66" i="16" s="1"/>
  <c r="G66" i="16"/>
  <c r="CE114" i="5"/>
  <c r="CD114" i="5"/>
  <c r="J19" i="11"/>
  <c r="L18" i="11"/>
  <c r="AB69" i="16"/>
  <c r="AM22" i="5"/>
  <c r="CZ20" i="5"/>
  <c r="DA20" i="5" s="1"/>
  <c r="DC20" i="5" s="1"/>
  <c r="N26" i="8"/>
  <c r="AG25" i="8"/>
  <c r="N23" i="11"/>
  <c r="AE22" i="11"/>
  <c r="CN43" i="14"/>
  <c r="CO43" i="14" s="1"/>
  <c r="CP43" i="14" s="1"/>
  <c r="CQ43" i="14" s="1"/>
  <c r="R115" i="5" s="1"/>
  <c r="BM115" i="5"/>
  <c r="BM116" i="5" s="1"/>
  <c r="AX43" i="14"/>
  <c r="BQ19" i="7"/>
  <c r="BR19" i="7" s="1"/>
  <c r="BS19" i="7" s="1"/>
  <c r="BT19" i="7" s="1"/>
  <c r="F29" i="5" s="1"/>
  <c r="AD29" i="5"/>
  <c r="AM19" i="7"/>
  <c r="F27" i="24"/>
  <c r="K26" i="24"/>
  <c r="M43" i="15"/>
  <c r="K44" i="15"/>
  <c r="CK44" i="14"/>
  <c r="CM44" i="14" s="1"/>
  <c r="CE45" i="14"/>
  <c r="CK45" i="14" s="1"/>
  <c r="CM45" i="14" s="1"/>
  <c r="L24" i="9"/>
  <c r="AB23" i="9"/>
  <c r="H19" i="27"/>
  <c r="M18" i="27"/>
  <c r="AU113" i="5"/>
  <c r="AT113" i="5"/>
  <c r="W113" i="5"/>
  <c r="X113" i="5" s="1"/>
  <c r="EG17" i="25"/>
  <c r="BR99" i="5"/>
  <c r="BS99" i="5"/>
  <c r="G26" i="11"/>
  <c r="E27" i="11"/>
  <c r="M40" i="17"/>
  <c r="K41" i="17"/>
  <c r="AQ45" i="14"/>
  <c r="AW44" i="14"/>
  <c r="AL20" i="7"/>
  <c r="O21" i="7"/>
  <c r="AJ24" i="8"/>
  <c r="AI23" i="8"/>
  <c r="AB134" i="11"/>
  <c r="AJ63" i="10"/>
  <c r="AI62" i="10"/>
  <c r="O27" i="17"/>
  <c r="AJ26" i="17"/>
  <c r="AI24" i="5"/>
  <c r="AM24" i="5" s="1"/>
  <c r="CY24" i="5" s="1"/>
  <c r="DE112" i="5"/>
  <c r="DF112" i="5"/>
  <c r="H73" i="9"/>
  <c r="J72" i="9"/>
  <c r="CA112" i="5"/>
  <c r="CC112" i="5"/>
  <c r="CB112" i="5"/>
  <c r="L29" i="16"/>
  <c r="J30" i="16"/>
  <c r="AG25" i="5"/>
  <c r="AG26" i="5" s="1"/>
  <c r="AF25" i="5"/>
  <c r="DE111" i="5"/>
  <c r="DF111" i="5"/>
  <c r="I52" i="5"/>
  <c r="H52" i="5"/>
  <c r="BS20" i="25"/>
  <c r="BT19" i="25"/>
  <c r="BU20" i="25"/>
  <c r="BA120" i="5"/>
  <c r="BA131" i="5" s="1"/>
  <c r="BH63" i="10"/>
  <c r="BI63" i="10" s="1"/>
  <c r="BJ63" i="10" s="1"/>
  <c r="BK63" i="10" s="1"/>
  <c r="N120" i="5" s="1"/>
  <c r="AH63" i="10"/>
  <c r="AB86" i="5" l="1"/>
  <c r="AB31" i="5"/>
  <c r="AA32" i="5"/>
  <c r="AV51" i="5"/>
  <c r="AY51" i="5" s="1"/>
  <c r="DG112" i="5"/>
  <c r="DH112" i="5"/>
  <c r="CF112" i="5"/>
  <c r="CJ112" i="5" s="1"/>
  <c r="BQ20" i="7"/>
  <c r="BR20" i="7" s="1"/>
  <c r="BS20" i="7" s="1"/>
  <c r="BT20" i="7" s="1"/>
  <c r="F30" i="5" s="1"/>
  <c r="AD30" i="5"/>
  <c r="AM20" i="7"/>
  <c r="AO20" i="7"/>
  <c r="D30" i="5" s="1"/>
  <c r="AN19" i="7"/>
  <c r="E29" i="5" s="1"/>
  <c r="BI25" i="8"/>
  <c r="BJ25" i="8" s="1"/>
  <c r="BK25" i="8" s="1"/>
  <c r="BL25" i="8" s="1"/>
  <c r="J55" i="5" s="1"/>
  <c r="AO55" i="5"/>
  <c r="AO56" i="5" s="1"/>
  <c r="AH25" i="8"/>
  <c r="BF63" i="5"/>
  <c r="BH63" i="5" s="1"/>
  <c r="BG63" i="5"/>
  <c r="AJ82" i="10"/>
  <c r="AI81" i="10"/>
  <c r="AJ67" i="10"/>
  <c r="AI66" i="10"/>
  <c r="AJ68" i="10"/>
  <c r="AI67" i="10"/>
  <c r="AJ70" i="10"/>
  <c r="AI69" i="10"/>
  <c r="AJ78" i="10"/>
  <c r="AI77" i="10"/>
  <c r="AH29" i="5"/>
  <c r="AG29" i="5"/>
  <c r="AF29" i="5"/>
  <c r="BD115" i="5"/>
  <c r="BD116" i="5" s="1"/>
  <c r="BE115" i="5"/>
  <c r="BE116" i="5" s="1"/>
  <c r="BC115" i="5"/>
  <c r="J31" i="16"/>
  <c r="L30" i="16"/>
  <c r="U119" i="5"/>
  <c r="V119" i="5"/>
  <c r="BS100" i="5"/>
  <c r="BS101" i="5" s="1"/>
  <c r="BR100" i="5"/>
  <c r="AU114" i="5"/>
  <c r="AT114" i="5"/>
  <c r="AB135" i="11"/>
  <c r="BM119" i="5"/>
  <c r="CN44" i="14"/>
  <c r="CO44" i="14" s="1"/>
  <c r="CP44" i="14" s="1"/>
  <c r="CQ44" i="14" s="1"/>
  <c r="R119" i="5" s="1"/>
  <c r="AX44" i="14"/>
  <c r="BT99" i="5"/>
  <c r="N27" i="8"/>
  <c r="AG26" i="8"/>
  <c r="CY22" i="5"/>
  <c r="J20" i="11"/>
  <c r="L19" i="11"/>
  <c r="G61" i="15"/>
  <c r="H60" i="15"/>
  <c r="AC131" i="11"/>
  <c r="AE130" i="11"/>
  <c r="AI79" i="10"/>
  <c r="AJ80" i="10"/>
  <c r="AJ71" i="10"/>
  <c r="AI70" i="10"/>
  <c r="AJ72" i="10"/>
  <c r="AI71" i="10"/>
  <c r="AI73" i="10"/>
  <c r="AJ74" i="10"/>
  <c r="AI72" i="10"/>
  <c r="AJ73" i="10"/>
  <c r="AI63" i="10"/>
  <c r="AJ64" i="10"/>
  <c r="BT20" i="25"/>
  <c r="BS21" i="25"/>
  <c r="BU21" i="25"/>
  <c r="AI25" i="5"/>
  <c r="AF26" i="5"/>
  <c r="H74" i="9"/>
  <c r="J73" i="9"/>
  <c r="O28" i="17"/>
  <c r="AJ28" i="17" s="1"/>
  <c r="AJ27" i="17"/>
  <c r="I53" i="5"/>
  <c r="H53" i="5"/>
  <c r="AW45" i="14"/>
  <c r="AQ46" i="14"/>
  <c r="G27" i="11"/>
  <c r="E28" i="11"/>
  <c r="EG18" i="25"/>
  <c r="W114" i="5"/>
  <c r="X114" i="5" s="1"/>
  <c r="CD115" i="5"/>
  <c r="CD116" i="5" s="1"/>
  <c r="CE115" i="5"/>
  <c r="CE116" i="5" s="1"/>
  <c r="K45" i="15"/>
  <c r="M44" i="15"/>
  <c r="F28" i="24"/>
  <c r="K27" i="24"/>
  <c r="F68" i="16"/>
  <c r="AR67" i="16"/>
  <c r="AW67" i="16" s="1"/>
  <c r="G67" i="16"/>
  <c r="M142" i="5"/>
  <c r="L142" i="5"/>
  <c r="AI80" i="10"/>
  <c r="AJ81" i="10"/>
  <c r="AI64" i="10"/>
  <c r="AJ65" i="10"/>
  <c r="AJ69" i="10"/>
  <c r="AI68" i="10"/>
  <c r="BK68" i="10"/>
  <c r="N125" i="5" s="1"/>
  <c r="BK76" i="10"/>
  <c r="N136" i="5" s="1"/>
  <c r="BK72" i="10"/>
  <c r="N129" i="5" s="1"/>
  <c r="BK78" i="10"/>
  <c r="N138" i="5" s="1"/>
  <c r="BK64" i="10"/>
  <c r="N121" i="5" s="1"/>
  <c r="BK73" i="10"/>
  <c r="N130" i="5" s="1"/>
  <c r="BK82" i="10"/>
  <c r="N142" i="5" s="1"/>
  <c r="BK67" i="10"/>
  <c r="N124" i="5" s="1"/>
  <c r="BK66" i="10"/>
  <c r="N123" i="5" s="1"/>
  <c r="BK79" i="10"/>
  <c r="N139" i="5" s="1"/>
  <c r="BK70" i="10"/>
  <c r="N127" i="5" s="1"/>
  <c r="BK71" i="10"/>
  <c r="N128" i="5" s="1"/>
  <c r="BK77" i="10"/>
  <c r="N137" i="5" s="1"/>
  <c r="BK69" i="10"/>
  <c r="N126" i="5" s="1"/>
  <c r="BK75" i="10"/>
  <c r="N135" i="5" s="1"/>
  <c r="BK74" i="10"/>
  <c r="N134" i="5" s="1"/>
  <c r="BK81" i="10"/>
  <c r="N141" i="5" s="1"/>
  <c r="BK65" i="10"/>
  <c r="N122" i="5" s="1"/>
  <c r="BK80" i="10"/>
  <c r="N140" i="5" s="1"/>
  <c r="AI24" i="8"/>
  <c r="AJ25" i="8"/>
  <c r="BP114" i="5"/>
  <c r="BO114" i="5"/>
  <c r="BQ114" i="5"/>
  <c r="BQ113" i="5"/>
  <c r="BP113" i="5"/>
  <c r="BO113" i="5"/>
  <c r="AQ52" i="5"/>
  <c r="AR52" i="5"/>
  <c r="AS52" i="5"/>
  <c r="L119" i="5"/>
  <c r="M119" i="5"/>
  <c r="O22" i="7"/>
  <c r="AL21" i="7"/>
  <c r="M41" i="17"/>
  <c r="K42" i="17"/>
  <c r="CA113" i="5"/>
  <c r="CC113" i="5"/>
  <c r="CB113" i="5"/>
  <c r="H20" i="27"/>
  <c r="M19" i="27"/>
  <c r="L25" i="9"/>
  <c r="AB24" i="9"/>
  <c r="AY43" i="14"/>
  <c r="AZ44" i="14"/>
  <c r="N24" i="11"/>
  <c r="AE23" i="11"/>
  <c r="CZ21" i="5"/>
  <c r="DA21" i="5" s="1"/>
  <c r="DC21" i="5" s="1"/>
  <c r="AB70" i="16"/>
  <c r="P21" i="22"/>
  <c r="K22" i="22"/>
  <c r="EG47" i="25"/>
  <c r="W152" i="5"/>
  <c r="AI75" i="10"/>
  <c r="AJ76" i="10"/>
  <c r="AI76" i="10"/>
  <c r="AJ77" i="10"/>
  <c r="AI78" i="10"/>
  <c r="AJ79" i="10"/>
  <c r="AI74" i="10"/>
  <c r="AJ75" i="10"/>
  <c r="AJ66" i="10"/>
  <c r="AI65" i="10"/>
  <c r="AA33" i="5" l="1"/>
  <c r="AB32" i="5"/>
  <c r="L138" i="5"/>
  <c r="M138" i="5"/>
  <c r="Q115" i="5"/>
  <c r="P115" i="5"/>
  <c r="S115" i="5" s="1"/>
  <c r="L26" i="9"/>
  <c r="AB25" i="9"/>
  <c r="BD119" i="5"/>
  <c r="BC119" i="5"/>
  <c r="BE119" i="5"/>
  <c r="DE113" i="5"/>
  <c r="DF113" i="5"/>
  <c r="DF114" i="5"/>
  <c r="DE114" i="5"/>
  <c r="M140" i="5"/>
  <c r="L140" i="5"/>
  <c r="CA114" i="5"/>
  <c r="CC114" i="5"/>
  <c r="CB114" i="5"/>
  <c r="AQ47" i="14"/>
  <c r="AW46" i="14"/>
  <c r="U120" i="5"/>
  <c r="V120" i="5"/>
  <c r="M130" i="5"/>
  <c r="L130" i="5"/>
  <c r="AC132" i="11"/>
  <c r="AE131" i="11"/>
  <c r="J21" i="11"/>
  <c r="L20" i="11"/>
  <c r="AG27" i="8"/>
  <c r="N28" i="8"/>
  <c r="BT100" i="5"/>
  <c r="BW100" i="5" s="1"/>
  <c r="BR101" i="5"/>
  <c r="BS104" i="5"/>
  <c r="BR104" i="5"/>
  <c r="M137" i="5"/>
  <c r="L137" i="5"/>
  <c r="L124" i="5"/>
  <c r="M124" i="5"/>
  <c r="M141" i="5"/>
  <c r="L141" i="5"/>
  <c r="BK63" i="5"/>
  <c r="L135" i="5"/>
  <c r="M135" i="5"/>
  <c r="CD119" i="5"/>
  <c r="CE119" i="5"/>
  <c r="DH113" i="5"/>
  <c r="CF113" i="5"/>
  <c r="CJ113" i="5" s="1"/>
  <c r="DG113" i="5"/>
  <c r="BQ21" i="7"/>
  <c r="BR21" i="7" s="1"/>
  <c r="BS21" i="7" s="1"/>
  <c r="BT21" i="7" s="1"/>
  <c r="F31" i="5" s="1"/>
  <c r="AD31" i="5"/>
  <c r="AM21" i="7"/>
  <c r="BC142" i="5"/>
  <c r="BE142" i="5"/>
  <c r="AR68" i="16"/>
  <c r="AW68" i="16" s="1"/>
  <c r="F69" i="16"/>
  <c r="G68" i="16"/>
  <c r="M45" i="15"/>
  <c r="K46" i="15"/>
  <c r="W115" i="5"/>
  <c r="X115" i="5" s="1"/>
  <c r="EG19" i="25"/>
  <c r="BM120" i="5"/>
  <c r="CN45" i="14"/>
  <c r="CO45" i="14" s="1"/>
  <c r="CP45" i="14" s="1"/>
  <c r="CQ45" i="14" s="1"/>
  <c r="R120" i="5" s="1"/>
  <c r="AX45" i="14"/>
  <c r="AM25" i="5"/>
  <c r="AI26" i="5"/>
  <c r="M128" i="5"/>
  <c r="L128" i="5"/>
  <c r="AB136" i="11"/>
  <c r="J32" i="16"/>
  <c r="L31" i="16"/>
  <c r="AI29" i="5"/>
  <c r="AJ26" i="8"/>
  <c r="AI25" i="8"/>
  <c r="AF30" i="5"/>
  <c r="AH30" i="5"/>
  <c r="AG30" i="5"/>
  <c r="M134" i="5"/>
  <c r="L134" i="5"/>
  <c r="W153" i="5"/>
  <c r="EG48" i="25"/>
  <c r="AB71" i="16"/>
  <c r="N25" i="11"/>
  <c r="AE24" i="11"/>
  <c r="H21" i="27"/>
  <c r="M20" i="27"/>
  <c r="O23" i="7"/>
  <c r="AL22" i="7"/>
  <c r="M121" i="5"/>
  <c r="L121" i="5"/>
  <c r="E29" i="11"/>
  <c r="G28" i="11"/>
  <c r="AQ53" i="5"/>
  <c r="AS53" i="5"/>
  <c r="AR53" i="5"/>
  <c r="AT115" i="5"/>
  <c r="AT116" i="5" s="1"/>
  <c r="AU115" i="5"/>
  <c r="AU116" i="5" s="1"/>
  <c r="M120" i="5"/>
  <c r="L120" i="5"/>
  <c r="L129" i="5"/>
  <c r="M129" i="5"/>
  <c r="L139" i="5"/>
  <c r="M139" i="5"/>
  <c r="G62" i="15"/>
  <c r="H61" i="15"/>
  <c r="BW99" i="5"/>
  <c r="BT101" i="5"/>
  <c r="BW101" i="5" s="1"/>
  <c r="BC116" i="5"/>
  <c r="L126" i="5"/>
  <c r="M126" i="5"/>
  <c r="L123" i="5"/>
  <c r="M123" i="5"/>
  <c r="AO21" i="7"/>
  <c r="D31" i="5" s="1"/>
  <c r="AN20" i="7"/>
  <c r="E30" i="5" s="1"/>
  <c r="L136" i="5"/>
  <c r="M136" i="5"/>
  <c r="M122" i="5"/>
  <c r="L122" i="5"/>
  <c r="P22" i="22"/>
  <c r="K23" i="22"/>
  <c r="CZ22" i="5"/>
  <c r="DA22" i="5" s="1"/>
  <c r="DC22" i="5" s="1"/>
  <c r="K43" i="17"/>
  <c r="M42" i="17"/>
  <c r="AV52" i="5"/>
  <c r="AY52" i="5" s="1"/>
  <c r="H54" i="5"/>
  <c r="I54" i="5"/>
  <c r="M125" i="5"/>
  <c r="L125" i="5"/>
  <c r="K28" i="24"/>
  <c r="F29" i="24"/>
  <c r="H75" i="9"/>
  <c r="J74" i="9"/>
  <c r="BU22" i="25"/>
  <c r="BT21" i="25"/>
  <c r="BS22" i="25"/>
  <c r="L127" i="5"/>
  <c r="M127" i="5"/>
  <c r="BG64" i="5"/>
  <c r="BF64" i="5"/>
  <c r="BI26" i="8"/>
  <c r="BJ26" i="8" s="1"/>
  <c r="BK26" i="8" s="1"/>
  <c r="BL26" i="8" s="1"/>
  <c r="J59" i="5" s="1"/>
  <c r="AO59" i="5"/>
  <c r="AH26" i="8"/>
  <c r="AZ45" i="14"/>
  <c r="AY44" i="14"/>
  <c r="AA34" i="5" l="1"/>
  <c r="AB33" i="5"/>
  <c r="AU119" i="5"/>
  <c r="AT119" i="5"/>
  <c r="M43" i="17"/>
  <c r="K44" i="17"/>
  <c r="BE136" i="5"/>
  <c r="BD136" i="5"/>
  <c r="BC136" i="5"/>
  <c r="BE123" i="5"/>
  <c r="BC123" i="5"/>
  <c r="BD123" i="5"/>
  <c r="BC120" i="5"/>
  <c r="BD120" i="5"/>
  <c r="BE120" i="5"/>
  <c r="G29" i="11"/>
  <c r="E30" i="11"/>
  <c r="O24" i="7"/>
  <c r="AL23" i="7"/>
  <c r="N26" i="11"/>
  <c r="AE25" i="11"/>
  <c r="AM29" i="5"/>
  <c r="BD128" i="5"/>
  <c r="BC128" i="5"/>
  <c r="BE128" i="5"/>
  <c r="AZ46" i="14"/>
  <c r="AY45" i="14"/>
  <c r="CB115" i="5"/>
  <c r="CB116" i="5" s="1"/>
  <c r="CC115" i="5"/>
  <c r="CC116" i="5" s="1"/>
  <c r="CA115" i="5"/>
  <c r="AR69" i="16"/>
  <c r="AW69" i="16" s="1"/>
  <c r="F70" i="16"/>
  <c r="G69" i="16"/>
  <c r="BD135" i="5"/>
  <c r="BC135" i="5"/>
  <c r="BE135" i="5"/>
  <c r="J22" i="11"/>
  <c r="L21" i="11"/>
  <c r="AW47" i="14"/>
  <c r="AQ48" i="14"/>
  <c r="BP115" i="5"/>
  <c r="BP116" i="5" s="1"/>
  <c r="BO115" i="5"/>
  <c r="BQ115" i="5"/>
  <c r="BQ116" i="5" s="1"/>
  <c r="Q119" i="5"/>
  <c r="P119" i="5"/>
  <c r="S119" i="5" s="1"/>
  <c r="BE127" i="5"/>
  <c r="BC127" i="5"/>
  <c r="BD127" i="5"/>
  <c r="BH64" i="5"/>
  <c r="BU23" i="25"/>
  <c r="BS23" i="25"/>
  <c r="BT22" i="25"/>
  <c r="H76" i="9"/>
  <c r="J75" i="9"/>
  <c r="AR54" i="5"/>
  <c r="AQ54" i="5"/>
  <c r="AS54" i="5"/>
  <c r="BD122" i="5"/>
  <c r="BE122" i="5"/>
  <c r="BC122" i="5"/>
  <c r="BC139" i="5"/>
  <c r="BE139" i="5"/>
  <c r="BD121" i="5"/>
  <c r="BE121" i="5"/>
  <c r="BC121" i="5"/>
  <c r="CE120" i="5"/>
  <c r="CD120" i="5"/>
  <c r="BC134" i="5"/>
  <c r="BD134" i="5"/>
  <c r="BE134" i="5"/>
  <c r="AI30" i="5"/>
  <c r="AM30" i="5" s="1"/>
  <c r="CY30" i="5" s="1"/>
  <c r="AB137" i="11"/>
  <c r="M46" i="15"/>
  <c r="K47" i="15"/>
  <c r="AO22" i="7"/>
  <c r="D32" i="5" s="1"/>
  <c r="AN21" i="7"/>
  <c r="E31" i="5" s="1"/>
  <c r="BT104" i="5"/>
  <c r="AG28" i="8"/>
  <c r="N29" i="8"/>
  <c r="AJ27" i="8"/>
  <c r="AI26" i="8"/>
  <c r="V121" i="5"/>
  <c r="U121" i="5"/>
  <c r="BE125" i="5"/>
  <c r="BD125" i="5"/>
  <c r="BC125" i="5"/>
  <c r="CZ23" i="5"/>
  <c r="DA23" i="5" s="1"/>
  <c r="DC23" i="5" s="1"/>
  <c r="AF31" i="5"/>
  <c r="AI31" i="5" s="1"/>
  <c r="AM31" i="5" s="1"/>
  <c r="CY31" i="5" s="1"/>
  <c r="AH31" i="5"/>
  <c r="AG31" i="5"/>
  <c r="BE126" i="5"/>
  <c r="BC126" i="5"/>
  <c r="BD126" i="5"/>
  <c r="AV53" i="5"/>
  <c r="AY53" i="5" s="1"/>
  <c r="H22" i="27"/>
  <c r="M21" i="27"/>
  <c r="AB72" i="16"/>
  <c r="I55" i="5"/>
  <c r="H55" i="5"/>
  <c r="BR105" i="5"/>
  <c r="BS105" i="5"/>
  <c r="BC124" i="5"/>
  <c r="BD124" i="5"/>
  <c r="BE124" i="5"/>
  <c r="BI27" i="8"/>
  <c r="BJ27" i="8" s="1"/>
  <c r="BK27" i="8" s="1"/>
  <c r="BL27" i="8" s="1"/>
  <c r="J60" i="5" s="1"/>
  <c r="AO60" i="5"/>
  <c r="AH27" i="8"/>
  <c r="AC133" i="11"/>
  <c r="AE132" i="11"/>
  <c r="BE140" i="5"/>
  <c r="BC140" i="5"/>
  <c r="K29" i="24"/>
  <c r="F30" i="24"/>
  <c r="P23" i="22"/>
  <c r="K24" i="22"/>
  <c r="G63" i="15"/>
  <c r="H62" i="15"/>
  <c r="BD129" i="5"/>
  <c r="BE129" i="5"/>
  <c r="BC129" i="5"/>
  <c r="AD32" i="5"/>
  <c r="BQ22" i="7"/>
  <c r="BR22" i="7" s="1"/>
  <c r="BS22" i="7" s="1"/>
  <c r="BT22" i="7" s="1"/>
  <c r="F32" i="5" s="1"/>
  <c r="AM22" i="7"/>
  <c r="EG49" i="25"/>
  <c r="W154" i="5"/>
  <c r="L32" i="16"/>
  <c r="J33" i="16"/>
  <c r="CY25" i="5"/>
  <c r="AM26" i="5"/>
  <c r="W119" i="5"/>
  <c r="X119" i="5" s="1"/>
  <c r="EG20" i="25"/>
  <c r="BC141" i="5"/>
  <c r="BE141" i="5"/>
  <c r="BC137" i="5"/>
  <c r="BE137" i="5"/>
  <c r="BG65" i="5"/>
  <c r="BF65" i="5"/>
  <c r="BH65" i="5" s="1"/>
  <c r="BK65" i="5" s="1"/>
  <c r="BC130" i="5"/>
  <c r="BD130" i="5"/>
  <c r="BE130" i="5"/>
  <c r="CN46" i="14"/>
  <c r="CO46" i="14" s="1"/>
  <c r="CP46" i="14" s="1"/>
  <c r="CQ46" i="14" s="1"/>
  <c r="R121" i="5" s="1"/>
  <c r="BM121" i="5"/>
  <c r="AX46" i="14"/>
  <c r="DH114" i="5"/>
  <c r="DG114" i="5"/>
  <c r="CF114" i="5"/>
  <c r="CJ114" i="5" s="1"/>
  <c r="L27" i="9"/>
  <c r="AB26" i="9"/>
  <c r="BC138" i="5"/>
  <c r="BE138" i="5"/>
  <c r="BE131" i="5" l="1"/>
  <c r="AA35" i="5"/>
  <c r="AB34" i="5"/>
  <c r="BC131" i="5"/>
  <c r="AV54" i="5"/>
  <c r="AY54" i="5" s="1"/>
  <c r="BD131" i="5"/>
  <c r="CA119" i="5"/>
  <c r="CC119" i="5"/>
  <c r="CB119" i="5"/>
  <c r="BS106" i="5"/>
  <c r="BR106" i="5"/>
  <c r="BT106" i="5" s="1"/>
  <c r="BW106" i="5" s="1"/>
  <c r="F31" i="24"/>
  <c r="K30" i="24"/>
  <c r="AJ28" i="8"/>
  <c r="AI27" i="8"/>
  <c r="BT105" i="5"/>
  <c r="BW105" i="5" s="1"/>
  <c r="AB73" i="16"/>
  <c r="BW104" i="5"/>
  <c r="K48" i="15"/>
  <c r="M47" i="15"/>
  <c r="BC146" i="5"/>
  <c r="AT120" i="5"/>
  <c r="AU120" i="5"/>
  <c r="J23" i="11"/>
  <c r="L22" i="11"/>
  <c r="Q120" i="5"/>
  <c r="P120" i="5"/>
  <c r="S120" i="5" s="1"/>
  <c r="N27" i="11"/>
  <c r="AE26" i="11"/>
  <c r="K45" i="17"/>
  <c r="M44" i="17"/>
  <c r="EG50" i="25"/>
  <c r="W155" i="5"/>
  <c r="L28" i="9"/>
  <c r="AB27" i="9"/>
  <c r="AR55" i="5"/>
  <c r="AR56" i="5" s="1"/>
  <c r="AQ55" i="5"/>
  <c r="AS55" i="5"/>
  <c r="AS56" i="5" s="1"/>
  <c r="CE121" i="5"/>
  <c r="CD121" i="5"/>
  <c r="H77" i="9"/>
  <c r="J76" i="9"/>
  <c r="BK64" i="5"/>
  <c r="BP119" i="5"/>
  <c r="BQ119" i="5"/>
  <c r="BO119" i="5"/>
  <c r="DE115" i="5"/>
  <c r="DF115" i="5"/>
  <c r="BO116" i="5"/>
  <c r="AQ49" i="14"/>
  <c r="AW48" i="14"/>
  <c r="DG115" i="5"/>
  <c r="DH115" i="5"/>
  <c r="CF115" i="5"/>
  <c r="CJ115" i="5" s="1"/>
  <c r="CJ116" i="5" s="1"/>
  <c r="CA116" i="5"/>
  <c r="CF116" i="5" s="1"/>
  <c r="AD33" i="5"/>
  <c r="BQ23" i="7"/>
  <c r="BR23" i="7" s="1"/>
  <c r="BS23" i="7" s="1"/>
  <c r="BT23" i="7" s="1"/>
  <c r="F33" i="5" s="1"/>
  <c r="AM23" i="7"/>
  <c r="AZ47" i="14"/>
  <c r="AY46" i="14"/>
  <c r="K25" i="22"/>
  <c r="P24" i="22"/>
  <c r="H23" i="27"/>
  <c r="M22" i="27"/>
  <c r="AG29" i="8"/>
  <c r="N30" i="8"/>
  <c r="BE146" i="5"/>
  <c r="U122" i="5"/>
  <c r="V122" i="5"/>
  <c r="BM122" i="5"/>
  <c r="CN47" i="14"/>
  <c r="CO47" i="14" s="1"/>
  <c r="CP47" i="14" s="1"/>
  <c r="CQ47" i="14" s="1"/>
  <c r="R122" i="5" s="1"/>
  <c r="AX47" i="14"/>
  <c r="CY29" i="5"/>
  <c r="O25" i="7"/>
  <c r="AL24" i="7"/>
  <c r="W120" i="5"/>
  <c r="X120" i="5" s="1"/>
  <c r="EG21" i="25"/>
  <c r="L33" i="16"/>
  <c r="J34" i="16"/>
  <c r="AN22" i="7"/>
  <c r="E32" i="5" s="1"/>
  <c r="AO23" i="7"/>
  <c r="D33" i="5" s="1"/>
  <c r="G64" i="15"/>
  <c r="H63" i="15"/>
  <c r="AC134" i="11"/>
  <c r="AE133" i="11"/>
  <c r="CZ24" i="5"/>
  <c r="H59" i="5"/>
  <c r="I59" i="5"/>
  <c r="BI28" i="8"/>
  <c r="BJ28" i="8" s="1"/>
  <c r="BK28" i="8" s="1"/>
  <c r="BL28" i="8" s="1"/>
  <c r="J61" i="5" s="1"/>
  <c r="AO61" i="5"/>
  <c r="AH28" i="8"/>
  <c r="AF32" i="5"/>
  <c r="AG32" i="5"/>
  <c r="AH32" i="5"/>
  <c r="AB138" i="11"/>
  <c r="BD146" i="5"/>
  <c r="BS24" i="25"/>
  <c r="BT23" i="25"/>
  <c r="BU24" i="25"/>
  <c r="BG66" i="5"/>
  <c r="BF66" i="5"/>
  <c r="F71" i="16"/>
  <c r="AR70" i="16"/>
  <c r="AW70" i="16" s="1"/>
  <c r="G70" i="16"/>
  <c r="E31" i="11"/>
  <c r="G30" i="11"/>
  <c r="AB35" i="5" l="1"/>
  <c r="AA36" i="5"/>
  <c r="BH66" i="5"/>
  <c r="U123" i="5"/>
  <c r="V123" i="5"/>
  <c r="AI32" i="5"/>
  <c r="BS107" i="5"/>
  <c r="BR107" i="5"/>
  <c r="O26" i="7"/>
  <c r="AL25" i="7"/>
  <c r="AY47" i="14"/>
  <c r="AZ48" i="14"/>
  <c r="N31" i="8"/>
  <c r="AG30" i="8"/>
  <c r="CD122" i="5"/>
  <c r="CE122" i="5"/>
  <c r="K26" i="22"/>
  <c r="P25" i="22"/>
  <c r="AU121" i="5"/>
  <c r="AT121" i="5"/>
  <c r="EG51" i="25"/>
  <c r="W156" i="5"/>
  <c r="BG67" i="5"/>
  <c r="BF67" i="5"/>
  <c r="BH67" i="5" s="1"/>
  <c r="BK67" i="5" s="1"/>
  <c r="I60" i="5"/>
  <c r="H60" i="5"/>
  <c r="BS25" i="25"/>
  <c r="BU25" i="25"/>
  <c r="BT24" i="25"/>
  <c r="AB139" i="11"/>
  <c r="AI28" i="8"/>
  <c r="AJ29" i="8"/>
  <c r="AQ59" i="5"/>
  <c r="AS59" i="5"/>
  <c r="AR59" i="5"/>
  <c r="AG33" i="5"/>
  <c r="AF33" i="5"/>
  <c r="AH33" i="5"/>
  <c r="W121" i="5"/>
  <c r="X121" i="5" s="1"/>
  <c r="EG22" i="25"/>
  <c r="BI29" i="8"/>
  <c r="BJ29" i="8" s="1"/>
  <c r="BK29" i="8" s="1"/>
  <c r="BL29" i="8" s="1"/>
  <c r="J62" i="5" s="1"/>
  <c r="AO62" i="5"/>
  <c r="AH29" i="8"/>
  <c r="H24" i="27"/>
  <c r="M23" i="27"/>
  <c r="AN23" i="7"/>
  <c r="E33" i="5" s="1"/>
  <c r="AO24" i="7"/>
  <c r="D34" i="5" s="1"/>
  <c r="BM123" i="5"/>
  <c r="CN48" i="14"/>
  <c r="CO48" i="14" s="1"/>
  <c r="CP48" i="14" s="1"/>
  <c r="CQ48" i="14" s="1"/>
  <c r="R123" i="5" s="1"/>
  <c r="AX48" i="14"/>
  <c r="H78" i="9"/>
  <c r="J77" i="9"/>
  <c r="L29" i="9"/>
  <c r="AB28" i="9"/>
  <c r="N28" i="11"/>
  <c r="AE27" i="11"/>
  <c r="J24" i="11"/>
  <c r="L23" i="11"/>
  <c r="M48" i="15"/>
  <c r="K49" i="15"/>
  <c r="CB120" i="5"/>
  <c r="CC120" i="5"/>
  <c r="CA120" i="5"/>
  <c r="P121" i="5"/>
  <c r="S121" i="5" s="1"/>
  <c r="Q121" i="5"/>
  <c r="AQ50" i="14"/>
  <c r="AW49" i="14"/>
  <c r="AV55" i="5"/>
  <c r="AQ56" i="5"/>
  <c r="K46" i="17"/>
  <c r="M45" i="17"/>
  <c r="BQ120" i="5"/>
  <c r="BO120" i="5"/>
  <c r="BP120" i="5"/>
  <c r="AB74" i="16"/>
  <c r="DH119" i="5"/>
  <c r="CF119" i="5"/>
  <c r="DG119" i="5"/>
  <c r="E32" i="11"/>
  <c r="G31" i="11"/>
  <c r="F72" i="16"/>
  <c r="AR71" i="16"/>
  <c r="AW71" i="16" s="1"/>
  <c r="G71" i="16"/>
  <c r="CZ25" i="5"/>
  <c r="DA25" i="5"/>
  <c r="DC25" i="5" s="1"/>
  <c r="AC135" i="11"/>
  <c r="AE134" i="11"/>
  <c r="DA24" i="5"/>
  <c r="DC24" i="5" s="1"/>
  <c r="G65" i="15"/>
  <c r="H64" i="15"/>
  <c r="L34" i="16"/>
  <c r="J35" i="16"/>
  <c r="BQ24" i="7"/>
  <c r="BR24" i="7" s="1"/>
  <c r="BS24" i="7" s="1"/>
  <c r="BT24" i="7" s="1"/>
  <c r="F34" i="5" s="1"/>
  <c r="AD34" i="5"/>
  <c r="AM24" i="7"/>
  <c r="DF119" i="5"/>
  <c r="DE119" i="5"/>
  <c r="F32" i="24"/>
  <c r="K31" i="24"/>
  <c r="AB36" i="5" l="1"/>
  <c r="AA37" i="5"/>
  <c r="DC26" i="5"/>
  <c r="AI33" i="5"/>
  <c r="AM33" i="5" s="1"/>
  <c r="CY33" i="5" s="1"/>
  <c r="AO25" i="7"/>
  <c r="D35" i="5" s="1"/>
  <c r="AN24" i="7"/>
  <c r="E34" i="5" s="1"/>
  <c r="BS108" i="5"/>
  <c r="BR108" i="5"/>
  <c r="BT108" i="5" s="1"/>
  <c r="BW108" i="5" s="1"/>
  <c r="E33" i="11"/>
  <c r="G32" i="11"/>
  <c r="BM124" i="5"/>
  <c r="CN49" i="14"/>
  <c r="CO49" i="14" s="1"/>
  <c r="CP49" i="14" s="1"/>
  <c r="CQ49" i="14" s="1"/>
  <c r="R124" i="5" s="1"/>
  <c r="AX49" i="14"/>
  <c r="DG120" i="5"/>
  <c r="DH120" i="5"/>
  <c r="CF120" i="5"/>
  <c r="CJ120" i="5" s="1"/>
  <c r="BF68" i="5"/>
  <c r="BG68" i="5"/>
  <c r="AH34" i="5"/>
  <c r="AF34" i="5"/>
  <c r="AG34" i="5"/>
  <c r="AJ30" i="8"/>
  <c r="AI29" i="8"/>
  <c r="CA121" i="5"/>
  <c r="CB121" i="5"/>
  <c r="CC121" i="5"/>
  <c r="I61" i="5"/>
  <c r="H61" i="5"/>
  <c r="O27" i="7"/>
  <c r="AL26" i="7"/>
  <c r="AC136" i="11"/>
  <c r="AE135" i="11"/>
  <c r="K47" i="17"/>
  <c r="M46" i="17"/>
  <c r="AQ51" i="14"/>
  <c r="AW50" i="14"/>
  <c r="J25" i="11"/>
  <c r="L24" i="11"/>
  <c r="L30" i="9"/>
  <c r="AB29" i="9"/>
  <c r="AZ49" i="14"/>
  <c r="AY48" i="14"/>
  <c r="BU26" i="25"/>
  <c r="BS26" i="25"/>
  <c r="BT25" i="25"/>
  <c r="EG52" i="25"/>
  <c r="W157" i="5"/>
  <c r="BT107" i="5"/>
  <c r="F33" i="24"/>
  <c r="K32" i="24"/>
  <c r="G66" i="15"/>
  <c r="H65" i="15"/>
  <c r="K50" i="15"/>
  <c r="M49" i="15"/>
  <c r="AU122" i="5"/>
  <c r="AT122" i="5"/>
  <c r="CD123" i="5"/>
  <c r="CE123" i="5"/>
  <c r="AV59" i="5"/>
  <c r="AB140" i="11"/>
  <c r="AS60" i="5"/>
  <c r="AQ60" i="5"/>
  <c r="AR60" i="5"/>
  <c r="AO63" i="5"/>
  <c r="BI30" i="8"/>
  <c r="BJ30" i="8" s="1"/>
  <c r="BK30" i="8" s="1"/>
  <c r="BL30" i="8" s="1"/>
  <c r="J63" i="5" s="1"/>
  <c r="AH30" i="8"/>
  <c r="P122" i="5"/>
  <c r="S122" i="5" s="1"/>
  <c r="Q122" i="5"/>
  <c r="BK66" i="5"/>
  <c r="F73" i="16"/>
  <c r="AR72" i="16"/>
  <c r="AW72" i="16" s="1"/>
  <c r="G72" i="16"/>
  <c r="DF120" i="5"/>
  <c r="DE120" i="5"/>
  <c r="J36" i="16"/>
  <c r="L35" i="16"/>
  <c r="CZ28" i="5"/>
  <c r="CJ119" i="5"/>
  <c r="AB75" i="16"/>
  <c r="AY55" i="5"/>
  <c r="AV56" i="5"/>
  <c r="AY56" i="5" s="1"/>
  <c r="BO121" i="5"/>
  <c r="BQ121" i="5"/>
  <c r="BP121" i="5"/>
  <c r="N29" i="11"/>
  <c r="AE28" i="11"/>
  <c r="H79" i="9"/>
  <c r="J78" i="9"/>
  <c r="H25" i="27"/>
  <c r="M24" i="27"/>
  <c r="W122" i="5"/>
  <c r="X122" i="5" s="1"/>
  <c r="EG23" i="25"/>
  <c r="V124" i="5"/>
  <c r="U124" i="5"/>
  <c r="K27" i="22"/>
  <c r="P26" i="22"/>
  <c r="N32" i="8"/>
  <c r="AG31" i="8"/>
  <c r="BQ25" i="7"/>
  <c r="BR25" i="7" s="1"/>
  <c r="BS25" i="7" s="1"/>
  <c r="BT25" i="7" s="1"/>
  <c r="F35" i="5" s="1"/>
  <c r="AD35" i="5"/>
  <c r="AM25" i="7"/>
  <c r="AM32" i="5"/>
  <c r="AV60" i="5" l="1"/>
  <c r="AY60" i="5" s="1"/>
  <c r="AB37" i="5"/>
  <c r="AA38" i="5"/>
  <c r="AO26" i="7"/>
  <c r="D36" i="5" s="1"/>
  <c r="AN25" i="7"/>
  <c r="E35" i="5" s="1"/>
  <c r="H26" i="27"/>
  <c r="M25" i="27"/>
  <c r="J37" i="16"/>
  <c r="L36" i="16"/>
  <c r="AJ31" i="8"/>
  <c r="AI30" i="8"/>
  <c r="G67" i="15"/>
  <c r="H66" i="15"/>
  <c r="U125" i="5"/>
  <c r="V125" i="5"/>
  <c r="P123" i="5"/>
  <c r="S123" i="5" s="1"/>
  <c r="Q123" i="5"/>
  <c r="BG69" i="5"/>
  <c r="BF69" i="5"/>
  <c r="BH69" i="5" s="1"/>
  <c r="BK69" i="5" s="1"/>
  <c r="H62" i="5"/>
  <c r="I62" i="5"/>
  <c r="K28" i="22"/>
  <c r="P27" i="22"/>
  <c r="W123" i="5"/>
  <c r="X123" i="5" s="1"/>
  <c r="EG24" i="25"/>
  <c r="N30" i="11"/>
  <c r="AE29" i="11"/>
  <c r="BW107" i="5"/>
  <c r="BT26" i="25"/>
  <c r="BS27" i="25"/>
  <c r="BU27" i="25"/>
  <c r="J26" i="11"/>
  <c r="L25" i="11"/>
  <c r="K48" i="17"/>
  <c r="M47" i="17"/>
  <c r="BQ26" i="7"/>
  <c r="BR26" i="7" s="1"/>
  <c r="BS26" i="7" s="1"/>
  <c r="BT26" i="7" s="1"/>
  <c r="F36" i="5" s="1"/>
  <c r="AD36" i="5"/>
  <c r="AM26" i="7"/>
  <c r="BI31" i="8"/>
  <c r="BJ31" i="8" s="1"/>
  <c r="BK31" i="8" s="1"/>
  <c r="BL31" i="8" s="1"/>
  <c r="J64" i="5" s="1"/>
  <c r="AO64" i="5"/>
  <c r="AH31" i="8"/>
  <c r="CA122" i="5"/>
  <c r="CB122" i="5"/>
  <c r="CC122" i="5"/>
  <c r="AT123" i="5"/>
  <c r="AU123" i="5"/>
  <c r="DF121" i="5"/>
  <c r="DE121" i="5"/>
  <c r="AB76" i="16"/>
  <c r="CZ29" i="5"/>
  <c r="DA29" i="5" s="1"/>
  <c r="DC29" i="5" s="1"/>
  <c r="K51" i="15"/>
  <c r="M50" i="15"/>
  <c r="K33" i="24"/>
  <c r="F34" i="24"/>
  <c r="BM125" i="5"/>
  <c r="CN50" i="14"/>
  <c r="CO50" i="14" s="1"/>
  <c r="CP50" i="14" s="1"/>
  <c r="CQ50" i="14" s="1"/>
  <c r="R125" i="5" s="1"/>
  <c r="AX50" i="14"/>
  <c r="AL27" i="7"/>
  <c r="O28" i="7"/>
  <c r="AR61" i="5"/>
  <c r="AQ61" i="5"/>
  <c r="AS61" i="5"/>
  <c r="BH68" i="5"/>
  <c r="BK68" i="5" s="1"/>
  <c r="AZ50" i="14"/>
  <c r="AY49" i="14"/>
  <c r="E34" i="11"/>
  <c r="G33" i="11"/>
  <c r="CY32" i="5"/>
  <c r="AG32" i="8"/>
  <c r="N33" i="8"/>
  <c r="CE124" i="5"/>
  <c r="CD124" i="5"/>
  <c r="J79" i="9"/>
  <c r="H80" i="9"/>
  <c r="BS109" i="5"/>
  <c r="BR109" i="5"/>
  <c r="F74" i="16"/>
  <c r="AR73" i="16"/>
  <c r="AW73" i="16" s="1"/>
  <c r="G73" i="16"/>
  <c r="BO122" i="5"/>
  <c r="BP122" i="5"/>
  <c r="BQ122" i="5"/>
  <c r="AY59" i="5"/>
  <c r="EG53" i="25"/>
  <c r="W158" i="5"/>
  <c r="AB30" i="9"/>
  <c r="L31" i="9"/>
  <c r="AW51" i="14"/>
  <c r="AQ52" i="14"/>
  <c r="AC137" i="11"/>
  <c r="AE136" i="11"/>
  <c r="DG121" i="5"/>
  <c r="CF121" i="5"/>
  <c r="DH121" i="5"/>
  <c r="AI34" i="5"/>
  <c r="AG35" i="5"/>
  <c r="AF35" i="5"/>
  <c r="AH35" i="5"/>
  <c r="AB38" i="5" l="1"/>
  <c r="AA39" i="5"/>
  <c r="AC138" i="11"/>
  <c r="AE137" i="11"/>
  <c r="F75" i="16"/>
  <c r="AR74" i="16"/>
  <c r="AW74" i="16" s="1"/>
  <c r="G74" i="16"/>
  <c r="AU124" i="5"/>
  <c r="AT124" i="5"/>
  <c r="AO65" i="5"/>
  <c r="BI32" i="8"/>
  <c r="BJ32" i="8" s="1"/>
  <c r="BK32" i="8" s="1"/>
  <c r="BL32" i="8" s="1"/>
  <c r="J65" i="5" s="1"/>
  <c r="AH32" i="8"/>
  <c r="G34" i="11"/>
  <c r="E35" i="11"/>
  <c r="BQ27" i="7"/>
  <c r="BR27" i="7" s="1"/>
  <c r="BS27" i="7" s="1"/>
  <c r="BT27" i="7" s="1"/>
  <c r="F37" i="5" s="1"/>
  <c r="AD37" i="5"/>
  <c r="AM27" i="7"/>
  <c r="F35" i="24"/>
  <c r="K34" i="24"/>
  <c r="AB77" i="16"/>
  <c r="DG122" i="5"/>
  <c r="DH122" i="5"/>
  <c r="CF122" i="5"/>
  <c r="CJ122" i="5" s="1"/>
  <c r="AN26" i="7"/>
  <c r="E36" i="5" s="1"/>
  <c r="AO27" i="7"/>
  <c r="D37" i="5" s="1"/>
  <c r="M48" i="17"/>
  <c r="K49" i="17"/>
  <c r="BS28" i="25"/>
  <c r="BU28" i="25"/>
  <c r="BT27" i="25"/>
  <c r="AQ62" i="5"/>
  <c r="AS62" i="5"/>
  <c r="AR62" i="5"/>
  <c r="I63" i="5"/>
  <c r="H63" i="5"/>
  <c r="AG36" i="5"/>
  <c r="AF36" i="5"/>
  <c r="AH36" i="5"/>
  <c r="AM34" i="5"/>
  <c r="EG54" i="25"/>
  <c r="W159" i="5"/>
  <c r="AI35" i="5"/>
  <c r="AM35" i="5" s="1"/>
  <c r="CY35" i="5" s="1"/>
  <c r="CJ121" i="5"/>
  <c r="AQ53" i="14"/>
  <c r="AW52" i="14"/>
  <c r="DE122" i="5"/>
  <c r="DF122" i="5"/>
  <c r="BT109" i="5"/>
  <c r="Q124" i="5"/>
  <c r="P124" i="5"/>
  <c r="S124" i="5" s="1"/>
  <c r="AV61" i="5"/>
  <c r="AZ51" i="14"/>
  <c r="AY50" i="14"/>
  <c r="CZ30" i="5"/>
  <c r="DA30" i="5" s="1"/>
  <c r="DC30" i="5" s="1"/>
  <c r="AJ32" i="8"/>
  <c r="AI31" i="8"/>
  <c r="BG70" i="5"/>
  <c r="BG71" i="5" s="1"/>
  <c r="BF70" i="5"/>
  <c r="V126" i="5"/>
  <c r="U126" i="5"/>
  <c r="AE30" i="11"/>
  <c r="N31" i="11"/>
  <c r="K29" i="22"/>
  <c r="P28" i="22"/>
  <c r="J27" i="11"/>
  <c r="L26" i="11"/>
  <c r="W124" i="5"/>
  <c r="X124" i="5" s="1"/>
  <c r="EG25" i="25"/>
  <c r="BQ123" i="5"/>
  <c r="BP123" i="5"/>
  <c r="BO123" i="5"/>
  <c r="G68" i="15"/>
  <c r="H67" i="15"/>
  <c r="BS110" i="5"/>
  <c r="BR110" i="5"/>
  <c r="CD125" i="5"/>
  <c r="CE125" i="5"/>
  <c r="BM126" i="5"/>
  <c r="CN51" i="14"/>
  <c r="CO51" i="14" s="1"/>
  <c r="CP51" i="14" s="1"/>
  <c r="CQ51" i="14" s="1"/>
  <c r="R126" i="5" s="1"/>
  <c r="AX51" i="14"/>
  <c r="AB31" i="9"/>
  <c r="L32" i="9"/>
  <c r="H81" i="9"/>
  <c r="J80" i="9"/>
  <c r="N34" i="8"/>
  <c r="AG33" i="8"/>
  <c r="N28" i="6"/>
  <c r="AL28" i="7"/>
  <c r="O29" i="7"/>
  <c r="K52" i="15"/>
  <c r="M51" i="15"/>
  <c r="CB123" i="5"/>
  <c r="CC123" i="5"/>
  <c r="CA123" i="5"/>
  <c r="L37" i="16"/>
  <c r="J38" i="16"/>
  <c r="H27" i="27"/>
  <c r="M26" i="27"/>
  <c r="AA40" i="5" l="1"/>
  <c r="AB39" i="5"/>
  <c r="CF123" i="5"/>
  <c r="DH123" i="5"/>
  <c r="DG123" i="5"/>
  <c r="P28" i="6"/>
  <c r="J28" i="11"/>
  <c r="L27" i="11"/>
  <c r="K30" i="22"/>
  <c r="P29" i="22"/>
  <c r="Q125" i="5"/>
  <c r="P125" i="5"/>
  <c r="S125" i="5" s="1"/>
  <c r="AW53" i="14"/>
  <c r="AQ54" i="14"/>
  <c r="AV62" i="5"/>
  <c r="AY62" i="5" s="1"/>
  <c r="AH37" i="5"/>
  <c r="AG37" i="5"/>
  <c r="AF37" i="5"/>
  <c r="F36" i="24"/>
  <c r="K35" i="24"/>
  <c r="G35" i="11"/>
  <c r="E36" i="11"/>
  <c r="J39" i="16"/>
  <c r="L38" i="16"/>
  <c r="N35" i="8"/>
  <c r="AG34" i="8"/>
  <c r="BS111" i="5"/>
  <c r="BR111" i="5"/>
  <c r="K53" i="15"/>
  <c r="M52" i="15"/>
  <c r="AU125" i="5"/>
  <c r="AT125" i="5"/>
  <c r="AY51" i="14"/>
  <c r="AZ52" i="14"/>
  <c r="G69" i="15"/>
  <c r="H68" i="15"/>
  <c r="W125" i="5"/>
  <c r="X125" i="5" s="1"/>
  <c r="EG26" i="25"/>
  <c r="N32" i="11"/>
  <c r="AE31" i="11"/>
  <c r="BH70" i="5"/>
  <c r="BF71" i="5"/>
  <c r="EG55" i="25"/>
  <c r="W160" i="5"/>
  <c r="AI36" i="5"/>
  <c r="AM36" i="5" s="1"/>
  <c r="CY36" i="5" s="1"/>
  <c r="BS29" i="25"/>
  <c r="BT28" i="25"/>
  <c r="BU29" i="25"/>
  <c r="AO28" i="7"/>
  <c r="AN27" i="7"/>
  <c r="E37" i="5" s="1"/>
  <c r="F76" i="16"/>
  <c r="AR75" i="16"/>
  <c r="AW75" i="16" s="1"/>
  <c r="G75" i="16"/>
  <c r="CD126" i="5"/>
  <c r="CE126" i="5"/>
  <c r="AL29" i="7"/>
  <c r="N29" i="6"/>
  <c r="O30" i="7"/>
  <c r="H82" i="9"/>
  <c r="J81" i="9"/>
  <c r="BT110" i="5"/>
  <c r="BW110" i="5" s="1"/>
  <c r="DF123" i="5"/>
  <c r="DE123" i="5"/>
  <c r="CA124" i="5"/>
  <c r="CB124" i="5"/>
  <c r="CC124" i="5"/>
  <c r="AY61" i="5"/>
  <c r="BW109" i="5"/>
  <c r="K50" i="17"/>
  <c r="M49" i="17"/>
  <c r="AB78" i="16"/>
  <c r="AJ33" i="8"/>
  <c r="AI32" i="8"/>
  <c r="H28" i="27"/>
  <c r="M27" i="27"/>
  <c r="AD38" i="5"/>
  <c r="BQ28" i="7"/>
  <c r="BR28" i="7" s="1"/>
  <c r="BS28" i="7" s="1"/>
  <c r="BT28" i="7" s="1"/>
  <c r="F38" i="5" s="1"/>
  <c r="AM28" i="7"/>
  <c r="BI33" i="8"/>
  <c r="BJ33" i="8" s="1"/>
  <c r="BK33" i="8" s="1"/>
  <c r="BL33" i="8" s="1"/>
  <c r="J66" i="5" s="1"/>
  <c r="AO66" i="5"/>
  <c r="AH33" i="8"/>
  <c r="L33" i="9"/>
  <c r="AB32" i="9"/>
  <c r="BG74" i="5"/>
  <c r="BF74" i="5"/>
  <c r="I64" i="5"/>
  <c r="H64" i="5"/>
  <c r="CZ31" i="5"/>
  <c r="DA31" i="5" s="1"/>
  <c r="DC31" i="5" s="1"/>
  <c r="BQ124" i="5"/>
  <c r="BO124" i="5"/>
  <c r="BP124" i="5"/>
  <c r="BM127" i="5"/>
  <c r="CN52" i="14"/>
  <c r="CO52" i="14" s="1"/>
  <c r="CP52" i="14" s="1"/>
  <c r="CQ52" i="14" s="1"/>
  <c r="R127" i="5" s="1"/>
  <c r="AX52" i="14"/>
  <c r="CY34" i="5"/>
  <c r="AS63" i="5"/>
  <c r="AR63" i="5"/>
  <c r="AQ63" i="5"/>
  <c r="V127" i="5"/>
  <c r="U127" i="5"/>
  <c r="AC139" i="11"/>
  <c r="AE138" i="11"/>
  <c r="AB40" i="5" l="1"/>
  <c r="AB41" i="5" s="1"/>
  <c r="AA44" i="5"/>
  <c r="AV63" i="5"/>
  <c r="BH74" i="5"/>
  <c r="AJ34" i="8"/>
  <c r="AI33" i="8"/>
  <c r="H65" i="5"/>
  <c r="I65" i="5"/>
  <c r="AT126" i="5"/>
  <c r="AU126" i="5"/>
  <c r="BQ29" i="7"/>
  <c r="BR29" i="7" s="1"/>
  <c r="BS29" i="7" s="1"/>
  <c r="BT29" i="7" s="1"/>
  <c r="F39" i="5" s="1"/>
  <c r="AD39" i="5"/>
  <c r="AM29" i="7"/>
  <c r="BK70" i="5"/>
  <c r="BH71" i="5"/>
  <c r="BK71" i="5" s="1"/>
  <c r="G70" i="15"/>
  <c r="H69" i="15"/>
  <c r="BM128" i="5"/>
  <c r="CN53" i="14"/>
  <c r="CO53" i="14" s="1"/>
  <c r="CP53" i="14" s="1"/>
  <c r="CQ53" i="14" s="1"/>
  <c r="R128" i="5" s="1"/>
  <c r="AX53" i="14"/>
  <c r="K31" i="22"/>
  <c r="P30" i="22"/>
  <c r="AC140" i="11"/>
  <c r="AE140" i="11" s="1"/>
  <c r="AE139" i="11"/>
  <c r="DE124" i="5"/>
  <c r="DF124" i="5"/>
  <c r="K51" i="17"/>
  <c r="M50" i="17"/>
  <c r="H83" i="9"/>
  <c r="J82" i="9"/>
  <c r="F77" i="16"/>
  <c r="AR76" i="16"/>
  <c r="AW76" i="16" s="1"/>
  <c r="G76" i="16"/>
  <c r="EG27" i="25"/>
  <c r="W126" i="5"/>
  <c r="X126" i="5" s="1"/>
  <c r="AO67" i="5"/>
  <c r="BI34" i="8"/>
  <c r="BJ34" i="8" s="1"/>
  <c r="BK34" i="8" s="1"/>
  <c r="BL34" i="8" s="1"/>
  <c r="J67" i="5" s="1"/>
  <c r="AH34" i="8"/>
  <c r="BR112" i="5"/>
  <c r="BT112" i="5" s="1"/>
  <c r="BW112" i="5" s="1"/>
  <c r="BS112" i="5"/>
  <c r="BP125" i="5"/>
  <c r="BO125" i="5"/>
  <c r="BQ125" i="5"/>
  <c r="BG75" i="5"/>
  <c r="BF75" i="5"/>
  <c r="BH75" i="5" s="1"/>
  <c r="BK75" i="5" s="1"/>
  <c r="P78" i="6"/>
  <c r="Q28" i="6"/>
  <c r="M29" i="6" s="1"/>
  <c r="Q30" i="6"/>
  <c r="CJ123" i="5"/>
  <c r="CZ32" i="5"/>
  <c r="DA32" i="5" s="1"/>
  <c r="DC32" i="5" s="1"/>
  <c r="CD127" i="5"/>
  <c r="CE127" i="5"/>
  <c r="AL30" i="7"/>
  <c r="O31" i="7"/>
  <c r="N30" i="6"/>
  <c r="N78" i="6" s="1"/>
  <c r="U128" i="5"/>
  <c r="V128" i="5"/>
  <c r="EG56" i="25"/>
  <c r="W164" i="5"/>
  <c r="N33" i="11"/>
  <c r="AE32" i="11"/>
  <c r="CA125" i="5"/>
  <c r="CB125" i="5"/>
  <c r="CC125" i="5"/>
  <c r="Q126" i="5"/>
  <c r="P126" i="5"/>
  <c r="S126" i="5" s="1"/>
  <c r="K54" i="15"/>
  <c r="M53" i="15"/>
  <c r="AG35" i="8"/>
  <c r="N36" i="8"/>
  <c r="L39" i="16"/>
  <c r="J40" i="16"/>
  <c r="F37" i="24"/>
  <c r="K36" i="24"/>
  <c r="J29" i="11"/>
  <c r="L28" i="11"/>
  <c r="AZ53" i="14"/>
  <c r="AY52" i="14"/>
  <c r="AR64" i="5"/>
  <c r="AQ64" i="5"/>
  <c r="AS64" i="5"/>
  <c r="L34" i="9"/>
  <c r="AB33" i="9"/>
  <c r="AN28" i="7"/>
  <c r="E38" i="5" s="1"/>
  <c r="AO29" i="7"/>
  <c r="D39" i="5" s="1"/>
  <c r="H29" i="27"/>
  <c r="M28" i="27"/>
  <c r="DG124" i="5"/>
  <c r="DH124" i="5"/>
  <c r="CF124" i="5"/>
  <c r="CJ124" i="5" s="1"/>
  <c r="BU30" i="25"/>
  <c r="BS30" i="25"/>
  <c r="BT29" i="25"/>
  <c r="BT111" i="5"/>
  <c r="G36" i="11"/>
  <c r="E37" i="11"/>
  <c r="AI37" i="5"/>
  <c r="AM37" i="5" s="1"/>
  <c r="AQ55" i="14"/>
  <c r="AW54" i="14"/>
  <c r="AB44" i="5" l="1"/>
  <c r="AA45" i="5"/>
  <c r="AV64" i="5"/>
  <c r="AY64" i="5" s="1"/>
  <c r="BM129" i="5"/>
  <c r="CN54" i="14"/>
  <c r="CO54" i="14" s="1"/>
  <c r="CP54" i="14" s="1"/>
  <c r="CQ54" i="14" s="1"/>
  <c r="R129" i="5" s="1"/>
  <c r="AX54" i="14"/>
  <c r="H30" i="27"/>
  <c r="M29" i="27"/>
  <c r="K55" i="15"/>
  <c r="M54" i="15"/>
  <c r="H84" i="9"/>
  <c r="J83" i="9"/>
  <c r="K32" i="22"/>
  <c r="P31" i="22"/>
  <c r="AO30" i="7"/>
  <c r="D40" i="5" s="1"/>
  <c r="AN29" i="7"/>
  <c r="E39" i="5" s="1"/>
  <c r="AY63" i="5"/>
  <c r="CY37" i="5"/>
  <c r="AB34" i="9"/>
  <c r="L35" i="9"/>
  <c r="Q127" i="5"/>
  <c r="P127" i="5"/>
  <c r="S127" i="5" s="1"/>
  <c r="BS113" i="5"/>
  <c r="BR113" i="5"/>
  <c r="BT113" i="5" s="1"/>
  <c r="BW113" i="5" s="1"/>
  <c r="G37" i="11"/>
  <c r="E38" i="11"/>
  <c r="U129" i="5"/>
  <c r="V129" i="5"/>
  <c r="AF39" i="5"/>
  <c r="AH39" i="5"/>
  <c r="AG39" i="5"/>
  <c r="N37" i="8"/>
  <c r="AG36" i="8"/>
  <c r="BP126" i="5"/>
  <c r="BO126" i="5"/>
  <c r="BQ126" i="5"/>
  <c r="DG125" i="5"/>
  <c r="DH125" i="5"/>
  <c r="CF125" i="5"/>
  <c r="CJ125" i="5" s="1"/>
  <c r="EG57" i="25"/>
  <c r="W165" i="5"/>
  <c r="AL31" i="7"/>
  <c r="N31" i="6"/>
  <c r="O32" i="7"/>
  <c r="DE125" i="5"/>
  <c r="DF125" i="5"/>
  <c r="AJ35" i="8"/>
  <c r="AI34" i="8"/>
  <c r="AY53" i="14"/>
  <c r="AZ54" i="14"/>
  <c r="BK74" i="5"/>
  <c r="K37" i="24"/>
  <c r="F38" i="24"/>
  <c r="BQ30" i="7"/>
  <c r="BR30" i="7" s="1"/>
  <c r="BS30" i="7" s="1"/>
  <c r="BT30" i="7" s="1"/>
  <c r="F40" i="5" s="1"/>
  <c r="AD40" i="5"/>
  <c r="AD41" i="5" s="1"/>
  <c r="AM30" i="7"/>
  <c r="CZ33" i="5"/>
  <c r="DA33" i="5" s="1"/>
  <c r="DC33" i="5" s="1"/>
  <c r="CA126" i="5"/>
  <c r="CB126" i="5"/>
  <c r="CC126" i="5"/>
  <c r="F78" i="16"/>
  <c r="AR77" i="16"/>
  <c r="AW77" i="16" s="1"/>
  <c r="G77" i="16"/>
  <c r="G71" i="15"/>
  <c r="H70" i="15"/>
  <c r="AS65" i="5"/>
  <c r="AR65" i="5"/>
  <c r="AQ65" i="5"/>
  <c r="BS31" i="25"/>
  <c r="BU31" i="25"/>
  <c r="BT30" i="25"/>
  <c r="BG76" i="5"/>
  <c r="BF76" i="5"/>
  <c r="BH76" i="5" s="1"/>
  <c r="BK76" i="5" s="1"/>
  <c r="AO68" i="5"/>
  <c r="BI35" i="8"/>
  <c r="BJ35" i="8" s="1"/>
  <c r="BK35" i="8" s="1"/>
  <c r="BL35" i="8" s="1"/>
  <c r="J68" i="5" s="1"/>
  <c r="AH35" i="8"/>
  <c r="AW55" i="14"/>
  <c r="AQ56" i="14"/>
  <c r="BW111" i="5"/>
  <c r="CE128" i="5"/>
  <c r="CD128" i="5"/>
  <c r="J30" i="11"/>
  <c r="L29" i="11"/>
  <c r="L40" i="16"/>
  <c r="J41" i="16"/>
  <c r="N34" i="11"/>
  <c r="AE33" i="11"/>
  <c r="M78" i="6"/>
  <c r="M71" i="6"/>
  <c r="W127" i="5"/>
  <c r="X127" i="5" s="1"/>
  <c r="EG28" i="25"/>
  <c r="AU127" i="5"/>
  <c r="AT127" i="5"/>
  <c r="M51" i="17"/>
  <c r="K52" i="17"/>
  <c r="M52" i="17" s="1"/>
  <c r="D38" i="5"/>
  <c r="I66" i="5"/>
  <c r="H66" i="5"/>
  <c r="AB45" i="5" l="1"/>
  <c r="AA46" i="5"/>
  <c r="AI39" i="5"/>
  <c r="AM39" i="5" s="1"/>
  <c r="CY39" i="5" s="1"/>
  <c r="L41" i="16"/>
  <c r="J42" i="16"/>
  <c r="AW56" i="14"/>
  <c r="AQ57" i="14"/>
  <c r="V130" i="5"/>
  <c r="U130" i="5"/>
  <c r="AV65" i="5"/>
  <c r="F79" i="16"/>
  <c r="AR78" i="16"/>
  <c r="AW78" i="16" s="1"/>
  <c r="G78" i="16"/>
  <c r="P128" i="5"/>
  <c r="S128" i="5" s="1"/>
  <c r="Q128" i="5"/>
  <c r="AD44" i="5"/>
  <c r="BQ31" i="7"/>
  <c r="BR31" i="7" s="1"/>
  <c r="BS31" i="7" s="1"/>
  <c r="BT31" i="7" s="1"/>
  <c r="F44" i="5" s="1"/>
  <c r="AM31" i="7"/>
  <c r="E39" i="11"/>
  <c r="G38" i="11"/>
  <c r="BQ127" i="5"/>
  <c r="BO127" i="5"/>
  <c r="BP127" i="5"/>
  <c r="H85" i="9"/>
  <c r="J84" i="9"/>
  <c r="AZ55" i="14"/>
  <c r="AY54" i="14"/>
  <c r="AR66" i="5"/>
  <c r="AQ66" i="5"/>
  <c r="AS66" i="5"/>
  <c r="BS114" i="5"/>
  <c r="BR114" i="5"/>
  <c r="BM130" i="5"/>
  <c r="BM131" i="5" s="1"/>
  <c r="CN55" i="14"/>
  <c r="CO55" i="14" s="1"/>
  <c r="CP55" i="14" s="1"/>
  <c r="CQ55" i="14" s="1"/>
  <c r="R130" i="5" s="1"/>
  <c r="AX55" i="14"/>
  <c r="G72" i="15"/>
  <c r="H71" i="15"/>
  <c r="I67" i="5"/>
  <c r="H67" i="5"/>
  <c r="BI36" i="8"/>
  <c r="BJ36" i="8" s="1"/>
  <c r="BK36" i="8" s="1"/>
  <c r="BL36" i="8" s="1"/>
  <c r="J69" i="5" s="1"/>
  <c r="AO69" i="5"/>
  <c r="AH36" i="8"/>
  <c r="K56" i="15"/>
  <c r="M55" i="15"/>
  <c r="EG29" i="25"/>
  <c r="W128" i="5"/>
  <c r="X128" i="5" s="1"/>
  <c r="BF77" i="5"/>
  <c r="BG77" i="5"/>
  <c r="AJ36" i="8"/>
  <c r="AI35" i="8"/>
  <c r="BS32" i="25"/>
  <c r="BU32" i="25"/>
  <c r="BT31" i="25"/>
  <c r="CZ34" i="5"/>
  <c r="DA34" i="5" s="1"/>
  <c r="DC34" i="5" s="1"/>
  <c r="K38" i="24"/>
  <c r="F39" i="24"/>
  <c r="AL32" i="7"/>
  <c r="N32" i="6"/>
  <c r="P32" i="6" s="1"/>
  <c r="O33" i="7"/>
  <c r="EG58" i="25"/>
  <c r="W166" i="5"/>
  <c r="N38" i="8"/>
  <c r="AG37" i="8"/>
  <c r="AB35" i="9"/>
  <c r="L36" i="9"/>
  <c r="AH40" i="5"/>
  <c r="AF40" i="5"/>
  <c r="AG40" i="5"/>
  <c r="K33" i="22"/>
  <c r="P32" i="22"/>
  <c r="CE129" i="5"/>
  <c r="CD129" i="5"/>
  <c r="N35" i="11"/>
  <c r="AE34" i="11"/>
  <c r="AH38" i="5"/>
  <c r="AG38" i="5"/>
  <c r="AF38" i="5"/>
  <c r="CB127" i="5"/>
  <c r="CC127" i="5"/>
  <c r="CA127" i="5"/>
  <c r="J31" i="11"/>
  <c r="L30" i="11"/>
  <c r="CF126" i="5"/>
  <c r="DG126" i="5"/>
  <c r="DH126" i="5"/>
  <c r="AO31" i="7"/>
  <c r="AN30" i="7"/>
  <c r="E40" i="5" s="1"/>
  <c r="P31" i="6"/>
  <c r="DF126" i="5"/>
  <c r="DE126" i="5"/>
  <c r="AT128" i="5"/>
  <c r="AU128" i="5"/>
  <c r="H31" i="27"/>
  <c r="M30" i="27"/>
  <c r="AB46" i="5" l="1"/>
  <c r="AA47" i="5"/>
  <c r="AV66" i="5"/>
  <c r="AY66" i="5" s="1"/>
  <c r="CD130" i="5"/>
  <c r="CD131" i="5" s="1"/>
  <c r="CE130" i="5"/>
  <c r="CE131" i="5" s="1"/>
  <c r="AI40" i="5"/>
  <c r="AF41" i="5"/>
  <c r="EG59" i="25"/>
  <c r="W167" i="5"/>
  <c r="F40" i="24"/>
  <c r="K39" i="24"/>
  <c r="I68" i="5"/>
  <c r="H68" i="5"/>
  <c r="CB128" i="5"/>
  <c r="CC128" i="5"/>
  <c r="CA128" i="5"/>
  <c r="AZ56" i="14"/>
  <c r="AY55" i="14"/>
  <c r="Q129" i="5"/>
  <c r="P129" i="5"/>
  <c r="S129" i="5" s="1"/>
  <c r="AU129" i="5"/>
  <c r="AT129" i="5"/>
  <c r="AV129" i="5" s="1"/>
  <c r="AY129" i="5" s="1"/>
  <c r="AY65" i="5"/>
  <c r="BM134" i="5"/>
  <c r="CN56" i="14"/>
  <c r="CO56" i="14" s="1"/>
  <c r="CP56" i="14" s="1"/>
  <c r="CQ56" i="14" s="1"/>
  <c r="R134" i="5" s="1"/>
  <c r="AX56" i="14"/>
  <c r="Q31" i="6"/>
  <c r="BG78" i="5"/>
  <c r="BF78" i="5"/>
  <c r="AH41" i="5"/>
  <c r="AO70" i="5"/>
  <c r="AO71" i="5" s="1"/>
  <c r="BI37" i="8"/>
  <c r="BJ37" i="8" s="1"/>
  <c r="BK37" i="8" s="1"/>
  <c r="BL37" i="8" s="1"/>
  <c r="J70" i="5" s="1"/>
  <c r="AH37" i="8"/>
  <c r="AL33" i="7"/>
  <c r="O34" i="7"/>
  <c r="N33" i="6"/>
  <c r="U134" i="5"/>
  <c r="V134" i="5"/>
  <c r="EG30" i="25"/>
  <c r="W129" i="5"/>
  <c r="X129" i="5" s="1"/>
  <c r="H86" i="9"/>
  <c r="J85" i="9"/>
  <c r="E40" i="11"/>
  <c r="G39" i="11"/>
  <c r="L42" i="16"/>
  <c r="J43" i="16"/>
  <c r="CJ126" i="5"/>
  <c r="J32" i="11"/>
  <c r="L31" i="11"/>
  <c r="AI38" i="5"/>
  <c r="AM38" i="5" s="1"/>
  <c r="N36" i="11"/>
  <c r="AE35" i="11"/>
  <c r="P33" i="22"/>
  <c r="K34" i="22"/>
  <c r="AB36" i="9"/>
  <c r="L37" i="9"/>
  <c r="N39" i="8"/>
  <c r="AG38" i="8"/>
  <c r="Q32" i="6"/>
  <c r="AQ67" i="5"/>
  <c r="AS67" i="5"/>
  <c r="AR67" i="5"/>
  <c r="G73" i="15"/>
  <c r="H72" i="15"/>
  <c r="DF127" i="5"/>
  <c r="DE127" i="5"/>
  <c r="AN31" i="7"/>
  <c r="AO32" i="7"/>
  <c r="BO128" i="5"/>
  <c r="BQ128" i="5"/>
  <c r="BP128" i="5"/>
  <c r="F80" i="16"/>
  <c r="AR79" i="16"/>
  <c r="AW79" i="16" s="1"/>
  <c r="G79" i="16"/>
  <c r="BS115" i="5"/>
  <c r="BS116" i="5" s="1"/>
  <c r="BR115" i="5"/>
  <c r="H32" i="27"/>
  <c r="M31" i="27"/>
  <c r="AV128" i="5"/>
  <c r="AY128" i="5" s="1"/>
  <c r="DH127" i="5"/>
  <c r="DG127" i="5"/>
  <c r="CF127" i="5"/>
  <c r="CJ127" i="5" s="1"/>
  <c r="AG41" i="5"/>
  <c r="AD45" i="5"/>
  <c r="BQ32" i="7"/>
  <c r="BR32" i="7" s="1"/>
  <c r="BS32" i="7" s="1"/>
  <c r="BT32" i="7" s="1"/>
  <c r="F45" i="5" s="1"/>
  <c r="AM32" i="7"/>
  <c r="CZ35" i="5"/>
  <c r="BS33" i="25"/>
  <c r="BT32" i="25"/>
  <c r="BU33" i="25"/>
  <c r="BH77" i="5"/>
  <c r="K57" i="15"/>
  <c r="M56" i="15"/>
  <c r="AJ37" i="8"/>
  <c r="AI36" i="8"/>
  <c r="BT114" i="5"/>
  <c r="AQ58" i="14"/>
  <c r="AW57" i="14"/>
  <c r="AB47" i="5" l="1"/>
  <c r="AA48" i="5"/>
  <c r="AV67" i="5"/>
  <c r="AY67" i="5" s="1"/>
  <c r="AN32" i="7"/>
  <c r="AO33" i="7"/>
  <c r="CZ36" i="5"/>
  <c r="DA36" i="5" s="1"/>
  <c r="DC36" i="5" s="1"/>
  <c r="E44" i="5"/>
  <c r="D44" i="5"/>
  <c r="N37" i="11"/>
  <c r="AE36" i="11"/>
  <c r="H87" i="9"/>
  <c r="J86" i="9"/>
  <c r="AD46" i="5"/>
  <c r="BQ33" i="7"/>
  <c r="BR33" i="7" s="1"/>
  <c r="BS33" i="7" s="1"/>
  <c r="BT33" i="7" s="1"/>
  <c r="F46" i="5" s="1"/>
  <c r="AM33" i="7"/>
  <c r="V135" i="5"/>
  <c r="U135" i="5"/>
  <c r="BI38" i="8"/>
  <c r="BJ38" i="8" s="1"/>
  <c r="BK38" i="8" s="1"/>
  <c r="BL38" i="8" s="1"/>
  <c r="J74" i="5" s="1"/>
  <c r="AO74" i="5"/>
  <c r="AH38" i="8"/>
  <c r="K35" i="22"/>
  <c r="P34" i="22"/>
  <c r="CY38" i="5"/>
  <c r="AJ38" i="8"/>
  <c r="AI37" i="8"/>
  <c r="AZ57" i="14"/>
  <c r="AY56" i="14"/>
  <c r="P130" i="5"/>
  <c r="S130" i="5" s="1"/>
  <c r="Q130" i="5"/>
  <c r="F41" i="24"/>
  <c r="K40" i="24"/>
  <c r="AM40" i="5"/>
  <c r="CY40" i="5" s="1"/>
  <c r="AI41" i="5"/>
  <c r="BM135" i="5"/>
  <c r="CN57" i="14"/>
  <c r="CO57" i="14" s="1"/>
  <c r="CP57" i="14" s="1"/>
  <c r="CQ57" i="14" s="1"/>
  <c r="R135" i="5" s="1"/>
  <c r="AX57" i="14"/>
  <c r="K58" i="15"/>
  <c r="M57" i="15"/>
  <c r="DF128" i="5"/>
  <c r="DE128" i="5"/>
  <c r="G74" i="15"/>
  <c r="H73" i="15"/>
  <c r="N40" i="8"/>
  <c r="AG39" i="8"/>
  <c r="BF79" i="5"/>
  <c r="BH79" i="5" s="1"/>
  <c r="BK79" i="5" s="1"/>
  <c r="BG79" i="5"/>
  <c r="L43" i="16"/>
  <c r="J44" i="16"/>
  <c r="G40" i="11"/>
  <c r="E41" i="11"/>
  <c r="CA129" i="5"/>
  <c r="CB129" i="5"/>
  <c r="CC129" i="5"/>
  <c r="P33" i="6"/>
  <c r="AQ68" i="5"/>
  <c r="AS68" i="5"/>
  <c r="AR68" i="5"/>
  <c r="CD134" i="5"/>
  <c r="CE134" i="5"/>
  <c r="BW114" i="5"/>
  <c r="BS34" i="25"/>
  <c r="BT33" i="25"/>
  <c r="BU34" i="25"/>
  <c r="H33" i="27"/>
  <c r="M32" i="27"/>
  <c r="AQ59" i="14"/>
  <c r="AW58" i="14"/>
  <c r="H69" i="5"/>
  <c r="I69" i="5"/>
  <c r="BK77" i="5"/>
  <c r="DA35" i="5"/>
  <c r="DC35" i="5" s="1"/>
  <c r="BT115" i="5"/>
  <c r="BW115" i="5" s="1"/>
  <c r="BR116" i="5"/>
  <c r="AR80" i="16"/>
  <c r="AW80" i="16" s="1"/>
  <c r="F81" i="16"/>
  <c r="G80" i="16"/>
  <c r="L38" i="9"/>
  <c r="AB37" i="9"/>
  <c r="J33" i="11"/>
  <c r="L32" i="11"/>
  <c r="BS119" i="5"/>
  <c r="BR119" i="5"/>
  <c r="AT130" i="5"/>
  <c r="AU130" i="5"/>
  <c r="AU131" i="5" s="1"/>
  <c r="EG31" i="25"/>
  <c r="W130" i="5"/>
  <c r="X130" i="5" s="1"/>
  <c r="AL34" i="7"/>
  <c r="O35" i="7"/>
  <c r="N34" i="6"/>
  <c r="P34" i="6" s="1"/>
  <c r="Q34" i="6" s="1"/>
  <c r="BH78" i="5"/>
  <c r="BK78" i="5" s="1"/>
  <c r="BQ129" i="5"/>
  <c r="BO129" i="5"/>
  <c r="BP129" i="5"/>
  <c r="CF128" i="5"/>
  <c r="CJ128" i="5" s="1"/>
  <c r="DH128" i="5"/>
  <c r="DG128" i="5"/>
  <c r="EG60" i="25"/>
  <c r="W168" i="5"/>
  <c r="AB48" i="5" l="1"/>
  <c r="AA49" i="5"/>
  <c r="BG80" i="5"/>
  <c r="BF80" i="5"/>
  <c r="AD47" i="5"/>
  <c r="BQ34" i="7"/>
  <c r="BR34" i="7" s="1"/>
  <c r="BS34" i="7" s="1"/>
  <c r="BT34" i="7" s="1"/>
  <c r="F47" i="5" s="1"/>
  <c r="AM34" i="7"/>
  <c r="AV130" i="5"/>
  <c r="AY130" i="5" s="1"/>
  <c r="AT131" i="5"/>
  <c r="J34" i="11"/>
  <c r="L33" i="11"/>
  <c r="F82" i="16"/>
  <c r="AR81" i="16"/>
  <c r="AW81" i="16" s="1"/>
  <c r="G81" i="16"/>
  <c r="AR69" i="5"/>
  <c r="AS69" i="5"/>
  <c r="AQ69" i="5"/>
  <c r="H34" i="27"/>
  <c r="M33" i="27"/>
  <c r="BT116" i="5"/>
  <c r="BW116" i="5" s="1"/>
  <c r="AV68" i="5"/>
  <c r="AY68" i="5" s="1"/>
  <c r="J45" i="16"/>
  <c r="L44" i="16"/>
  <c r="AO34" i="7"/>
  <c r="AN33" i="7"/>
  <c r="H88" i="9"/>
  <c r="J87" i="9"/>
  <c r="EG61" i="25"/>
  <c r="W169" i="5"/>
  <c r="DF129" i="5"/>
  <c r="DE129" i="5"/>
  <c r="CA130" i="5"/>
  <c r="CC130" i="5"/>
  <c r="CC131" i="5" s="1"/>
  <c r="CB130" i="5"/>
  <c r="CB131" i="5" s="1"/>
  <c r="BT119" i="5"/>
  <c r="BM136" i="5"/>
  <c r="CN58" i="14"/>
  <c r="CO58" i="14" s="1"/>
  <c r="CP58" i="14" s="1"/>
  <c r="CQ58" i="14" s="1"/>
  <c r="R136" i="5" s="1"/>
  <c r="AX58" i="14"/>
  <c r="DG129" i="5"/>
  <c r="DH129" i="5"/>
  <c r="CF129" i="5"/>
  <c r="CJ129" i="5" s="1"/>
  <c r="BR120" i="5"/>
  <c r="BS120" i="5"/>
  <c r="G75" i="15"/>
  <c r="H74" i="15"/>
  <c r="F42" i="24"/>
  <c r="K41" i="24"/>
  <c r="Q134" i="5"/>
  <c r="P134" i="5"/>
  <c r="S134" i="5" s="1"/>
  <c r="W134" i="5"/>
  <c r="X134" i="5" s="1"/>
  <c r="EG32" i="25"/>
  <c r="AB38" i="9"/>
  <c r="L39" i="9"/>
  <c r="AQ60" i="14"/>
  <c r="AW59" i="14"/>
  <c r="V136" i="5"/>
  <c r="U136" i="5"/>
  <c r="Q33" i="6"/>
  <c r="E42" i="11"/>
  <c r="G41" i="11"/>
  <c r="BI39" i="8"/>
  <c r="BJ39" i="8" s="1"/>
  <c r="BK39" i="8" s="1"/>
  <c r="BL39" i="8" s="1"/>
  <c r="J75" i="5" s="1"/>
  <c r="AO75" i="5"/>
  <c r="AH39" i="8"/>
  <c r="K59" i="15"/>
  <c r="M58" i="15"/>
  <c r="K36" i="22"/>
  <c r="P35" i="22"/>
  <c r="N38" i="11"/>
  <c r="AE37" i="11"/>
  <c r="CZ37" i="5"/>
  <c r="DA37" i="5" s="1"/>
  <c r="DC37" i="5" s="1"/>
  <c r="E45" i="5"/>
  <c r="D45" i="5"/>
  <c r="AL35" i="7"/>
  <c r="O36" i="7"/>
  <c r="N35" i="6"/>
  <c r="P35" i="6" s="1"/>
  <c r="Q35" i="6" s="1"/>
  <c r="CE135" i="5"/>
  <c r="CD135" i="5"/>
  <c r="BS35" i="25"/>
  <c r="BU35" i="25"/>
  <c r="BT34" i="25"/>
  <c r="N41" i="8"/>
  <c r="AG40" i="8"/>
  <c r="AZ58" i="14"/>
  <c r="AY57" i="14"/>
  <c r="BP130" i="5"/>
  <c r="BP131" i="5" s="1"/>
  <c r="BO130" i="5"/>
  <c r="BQ130" i="5"/>
  <c r="BQ131" i="5" s="1"/>
  <c r="H70" i="5"/>
  <c r="I70" i="5"/>
  <c r="AM41" i="5"/>
  <c r="AJ39" i="8"/>
  <c r="AI38" i="8"/>
  <c r="AU134" i="5"/>
  <c r="AT134" i="5"/>
  <c r="AF44" i="5"/>
  <c r="AH44" i="5"/>
  <c r="AG44" i="5"/>
  <c r="AA50" i="5" l="1"/>
  <c r="AB49" i="5"/>
  <c r="DF130" i="5"/>
  <c r="DE130" i="5"/>
  <c r="BO131" i="5"/>
  <c r="V137" i="5"/>
  <c r="U137" i="5"/>
  <c r="X137" i="5" s="1"/>
  <c r="N36" i="6"/>
  <c r="P36" i="6" s="1"/>
  <c r="Q36" i="6" s="1"/>
  <c r="O37" i="7"/>
  <c r="AL36" i="7"/>
  <c r="H74" i="5"/>
  <c r="I74" i="5"/>
  <c r="AS70" i="5"/>
  <c r="AS71" i="5" s="1"/>
  <c r="AQ70" i="5"/>
  <c r="AR70" i="5"/>
  <c r="AR71" i="5" s="1"/>
  <c r="Q135" i="5"/>
  <c r="P135" i="5"/>
  <c r="S135" i="5" s="1"/>
  <c r="AD48" i="5"/>
  <c r="BQ35" i="7"/>
  <c r="BR35" i="7" s="1"/>
  <c r="BS35" i="7" s="1"/>
  <c r="BT35" i="7" s="1"/>
  <c r="F48" i="5" s="1"/>
  <c r="AM35" i="7"/>
  <c r="P36" i="22"/>
  <c r="K37" i="22"/>
  <c r="AB39" i="9"/>
  <c r="L40" i="9"/>
  <c r="CC134" i="5"/>
  <c r="CB134" i="5"/>
  <c r="CA134" i="5"/>
  <c r="BP134" i="5"/>
  <c r="BO134" i="5"/>
  <c r="BQ134" i="5"/>
  <c r="AU135" i="5"/>
  <c r="AT135" i="5"/>
  <c r="AV135" i="5" s="1"/>
  <c r="AY135" i="5" s="1"/>
  <c r="AV69" i="5"/>
  <c r="AY69" i="5" s="1"/>
  <c r="AV134" i="5"/>
  <c r="N42" i="8"/>
  <c r="AG41" i="8"/>
  <c r="AI44" i="5"/>
  <c r="BS36" i="25"/>
  <c r="BT35" i="25"/>
  <c r="BU36" i="25"/>
  <c r="AH45" i="5"/>
  <c r="AG45" i="5"/>
  <c r="AF45" i="5"/>
  <c r="BM137" i="5"/>
  <c r="CN59" i="14"/>
  <c r="CO59" i="14" s="1"/>
  <c r="CP59" i="14" s="1"/>
  <c r="AX59" i="14"/>
  <c r="BT120" i="5"/>
  <c r="BW120" i="5" s="1"/>
  <c r="EG62" i="25"/>
  <c r="W170" i="5"/>
  <c r="H89" i="9"/>
  <c r="J88" i="9"/>
  <c r="F83" i="16"/>
  <c r="AR82" i="16"/>
  <c r="AW82" i="16" s="1"/>
  <c r="G82" i="16"/>
  <c r="BH80" i="5"/>
  <c r="AO76" i="5"/>
  <c r="BI40" i="8"/>
  <c r="BJ40" i="8" s="1"/>
  <c r="BK40" i="8" s="1"/>
  <c r="BL40" i="8" s="1"/>
  <c r="J76" i="5" s="1"/>
  <c r="AH40" i="8"/>
  <c r="N39" i="11"/>
  <c r="AE38" i="11"/>
  <c r="K60" i="15"/>
  <c r="M59" i="15"/>
  <c r="AW60" i="14"/>
  <c r="AQ61" i="14"/>
  <c r="E46" i="5"/>
  <c r="D46" i="5"/>
  <c r="BS121" i="5"/>
  <c r="BR121" i="5"/>
  <c r="BT121" i="5" s="1"/>
  <c r="BW121" i="5" s="1"/>
  <c r="CE136" i="5"/>
  <c r="CD136" i="5"/>
  <c r="BG81" i="5"/>
  <c r="BF81" i="5"/>
  <c r="BH81" i="5" s="1"/>
  <c r="BK81" i="5" s="1"/>
  <c r="AO35" i="7"/>
  <c r="AN34" i="7"/>
  <c r="CZ38" i="5"/>
  <c r="DA38" i="5" s="1"/>
  <c r="DC38" i="5" s="1"/>
  <c r="AJ40" i="8"/>
  <c r="AI39" i="8"/>
  <c r="E43" i="11"/>
  <c r="G42" i="11"/>
  <c r="EG33" i="25"/>
  <c r="W136" i="5" s="1"/>
  <c r="X136" i="5" s="1"/>
  <c r="W135" i="5"/>
  <c r="X135" i="5" s="1"/>
  <c r="F43" i="24"/>
  <c r="K42" i="24"/>
  <c r="G76" i="15"/>
  <c r="H75" i="15"/>
  <c r="AY58" i="14"/>
  <c r="AZ59" i="14"/>
  <c r="BW119" i="5"/>
  <c r="DG130" i="5"/>
  <c r="DH130" i="5"/>
  <c r="CF130" i="5"/>
  <c r="CA131" i="5"/>
  <c r="L45" i="16"/>
  <c r="J46" i="16"/>
  <c r="H35" i="27"/>
  <c r="M34" i="27"/>
  <c r="J35" i="11"/>
  <c r="L34" i="11"/>
  <c r="AB50" i="5" l="1"/>
  <c r="AA51" i="5"/>
  <c r="CB136" i="5"/>
  <c r="CA136" i="5"/>
  <c r="CC136" i="5"/>
  <c r="CJ130" i="5"/>
  <c r="CJ131" i="5" s="1"/>
  <c r="CF131" i="5"/>
  <c r="G77" i="15"/>
  <c r="H76" i="15"/>
  <c r="L46" i="16"/>
  <c r="J47" i="16"/>
  <c r="BR122" i="5"/>
  <c r="BS122" i="5"/>
  <c r="Q136" i="5"/>
  <c r="P136" i="5"/>
  <c r="S136" i="5" s="1"/>
  <c r="F44" i="24"/>
  <c r="K43" i="24"/>
  <c r="E47" i="5"/>
  <c r="D47" i="5"/>
  <c r="AH46" i="5"/>
  <c r="AG46" i="5"/>
  <c r="AF46" i="5"/>
  <c r="AI46" i="5" s="1"/>
  <c r="AM46" i="5" s="1"/>
  <c r="CY46" i="5" s="1"/>
  <c r="AJ41" i="8"/>
  <c r="AI40" i="8"/>
  <c r="BK80" i="5"/>
  <c r="AU136" i="5"/>
  <c r="AT136" i="5"/>
  <c r="AI45" i="5"/>
  <c r="AM45" i="5" s="1"/>
  <c r="CY45" i="5" s="1"/>
  <c r="V138" i="5"/>
  <c r="U138" i="5"/>
  <c r="X138" i="5" s="1"/>
  <c r="BI41" i="8"/>
  <c r="BJ41" i="8" s="1"/>
  <c r="BK41" i="8" s="1"/>
  <c r="BL41" i="8" s="1"/>
  <c r="J77" i="5" s="1"/>
  <c r="AO77" i="5"/>
  <c r="AH41" i="8"/>
  <c r="DG134" i="5"/>
  <c r="CF134" i="5"/>
  <c r="DH134" i="5"/>
  <c r="AN35" i="7"/>
  <c r="AO36" i="7"/>
  <c r="AL37" i="7"/>
  <c r="N37" i="6"/>
  <c r="O38" i="7"/>
  <c r="CC135" i="5"/>
  <c r="CB135" i="5"/>
  <c r="CA135" i="5"/>
  <c r="E44" i="11"/>
  <c r="G43" i="11"/>
  <c r="AQ62" i="14"/>
  <c r="AW61" i="14"/>
  <c r="K61" i="15"/>
  <c r="M60" i="15"/>
  <c r="H90" i="9"/>
  <c r="J89" i="9"/>
  <c r="BS37" i="25"/>
  <c r="BU37" i="25"/>
  <c r="BT36" i="25"/>
  <c r="N43" i="8"/>
  <c r="AG42" i="8"/>
  <c r="AS74" i="5"/>
  <c r="AR74" i="5"/>
  <c r="AQ74" i="5"/>
  <c r="CD137" i="5"/>
  <c r="CE137" i="5"/>
  <c r="BG82" i="5"/>
  <c r="BF82" i="5"/>
  <c r="BH82" i="5" s="1"/>
  <c r="BK82" i="5" s="1"/>
  <c r="H75" i="5"/>
  <c r="I75" i="5"/>
  <c r="CN60" i="14"/>
  <c r="CO60" i="14" s="1"/>
  <c r="CP60" i="14" s="1"/>
  <c r="CQ60" i="14" s="1"/>
  <c r="BM138" i="5"/>
  <c r="AX60" i="14"/>
  <c r="DF134" i="5"/>
  <c r="DE134" i="5"/>
  <c r="P37" i="22"/>
  <c r="K38" i="22"/>
  <c r="AV70" i="5"/>
  <c r="AQ71" i="5"/>
  <c r="CB137" i="5"/>
  <c r="CA137" i="5"/>
  <c r="CC137" i="5"/>
  <c r="H36" i="27"/>
  <c r="M35" i="27"/>
  <c r="J36" i="11"/>
  <c r="L35" i="11"/>
  <c r="CZ39" i="5"/>
  <c r="N40" i="11"/>
  <c r="AE39" i="11"/>
  <c r="F84" i="16"/>
  <c r="AR83" i="16"/>
  <c r="AW83" i="16" s="1"/>
  <c r="G83" i="16"/>
  <c r="EG63" i="25"/>
  <c r="W171" i="5"/>
  <c r="AY59" i="14"/>
  <c r="AZ60" i="14"/>
  <c r="AM44" i="5"/>
  <c r="AY134" i="5"/>
  <c r="L41" i="9"/>
  <c r="AB40" i="9"/>
  <c r="BP135" i="5"/>
  <c r="BO135" i="5"/>
  <c r="BQ135" i="5"/>
  <c r="BQ36" i="7"/>
  <c r="BR36" i="7" s="1"/>
  <c r="BS36" i="7" s="1"/>
  <c r="BT36" i="7" s="1"/>
  <c r="F49" i="5" s="1"/>
  <c r="AD49" i="5"/>
  <c r="AM36" i="7"/>
  <c r="AA52" i="5" l="1"/>
  <c r="AB51" i="5"/>
  <c r="AV136" i="5"/>
  <c r="AY136" i="5" s="1"/>
  <c r="Q137" i="5"/>
  <c r="P137" i="5"/>
  <c r="S137" i="5" s="1"/>
  <c r="BP137" i="5" s="1"/>
  <c r="CZ40" i="5"/>
  <c r="DA40" i="5" s="1"/>
  <c r="DC40" i="5" s="1"/>
  <c r="H37" i="27"/>
  <c r="M36" i="27"/>
  <c r="AY60" i="14"/>
  <c r="AZ61" i="14"/>
  <c r="N44" i="8"/>
  <c r="AG43" i="8"/>
  <c r="AT137" i="5"/>
  <c r="AU137" i="5"/>
  <c r="K62" i="15"/>
  <c r="M61" i="15"/>
  <c r="E45" i="11"/>
  <c r="G44" i="11"/>
  <c r="CJ134" i="5"/>
  <c r="DF135" i="5"/>
  <c r="DE135" i="5"/>
  <c r="L42" i="9"/>
  <c r="AB41" i="9"/>
  <c r="F85" i="16"/>
  <c r="AR84" i="16"/>
  <c r="AW84" i="16" s="1"/>
  <c r="G84" i="16"/>
  <c r="BF83" i="5"/>
  <c r="BH83" i="5" s="1"/>
  <c r="BK83" i="5" s="1"/>
  <c r="BG83" i="5"/>
  <c r="AV74" i="5"/>
  <c r="U139" i="5"/>
  <c r="X139" i="5" s="1"/>
  <c r="V139" i="5"/>
  <c r="H91" i="9"/>
  <c r="J90" i="9"/>
  <c r="BM139" i="5"/>
  <c r="CN61" i="14"/>
  <c r="CO61" i="14" s="1"/>
  <c r="CP61" i="14" s="1"/>
  <c r="AX61" i="14"/>
  <c r="CF135" i="5"/>
  <c r="CJ135" i="5" s="1"/>
  <c r="DH135" i="5"/>
  <c r="DG135" i="5"/>
  <c r="N38" i="6"/>
  <c r="P38" i="6" s="1"/>
  <c r="O39" i="7"/>
  <c r="AL38" i="7"/>
  <c r="E48" i="5"/>
  <c r="D48" i="5"/>
  <c r="H76" i="5"/>
  <c r="I76" i="5"/>
  <c r="AF47" i="5"/>
  <c r="AG47" i="5"/>
  <c r="AH47" i="5"/>
  <c r="F45" i="24"/>
  <c r="K44" i="24"/>
  <c r="BT122" i="5"/>
  <c r="G78" i="15"/>
  <c r="H77" i="15"/>
  <c r="AN36" i="7"/>
  <c r="AO37" i="7"/>
  <c r="CY44" i="5"/>
  <c r="EG64" i="25"/>
  <c r="W172" i="5"/>
  <c r="J37" i="11"/>
  <c r="L36" i="11"/>
  <c r="AY70" i="5"/>
  <c r="AV71" i="5"/>
  <c r="AY71" i="5" s="1"/>
  <c r="CQ61" i="14"/>
  <c r="R138" i="5"/>
  <c r="AQ63" i="14"/>
  <c r="AW62" i="14"/>
  <c r="P37" i="6"/>
  <c r="CB138" i="5"/>
  <c r="CA138" i="5"/>
  <c r="CC138" i="5"/>
  <c r="BQ136" i="5"/>
  <c r="BP136" i="5"/>
  <c r="BO136" i="5"/>
  <c r="L47" i="16"/>
  <c r="J48" i="16"/>
  <c r="DG136" i="5"/>
  <c r="CF136" i="5"/>
  <c r="CJ136" i="5" s="1"/>
  <c r="DH136" i="5"/>
  <c r="N41" i="11"/>
  <c r="AE40" i="11"/>
  <c r="DA39" i="5"/>
  <c r="DC39" i="5" s="1"/>
  <c r="CD138" i="5"/>
  <c r="CE138" i="5"/>
  <c r="DH137" i="5"/>
  <c r="DG137" i="5"/>
  <c r="CF137" i="5"/>
  <c r="CJ137" i="5" s="1"/>
  <c r="P38" i="22"/>
  <c r="K39" i="22"/>
  <c r="AS75" i="5"/>
  <c r="AR75" i="5"/>
  <c r="AQ75" i="5"/>
  <c r="AV75" i="5" s="1"/>
  <c r="AY75" i="5" s="1"/>
  <c r="BI42" i="8"/>
  <c r="BJ42" i="8" s="1"/>
  <c r="BK42" i="8" s="1"/>
  <c r="BL42" i="8" s="1"/>
  <c r="J78" i="5" s="1"/>
  <c r="AO78" i="5"/>
  <c r="AH42" i="8"/>
  <c r="BS38" i="25"/>
  <c r="BT37" i="25"/>
  <c r="BU38" i="25"/>
  <c r="BQ37" i="7"/>
  <c r="BR37" i="7" s="1"/>
  <c r="BS37" i="7" s="1"/>
  <c r="BT37" i="7" s="1"/>
  <c r="F50" i="5" s="1"/>
  <c r="AD50" i="5"/>
  <c r="AM37" i="7"/>
  <c r="AI41" i="8"/>
  <c r="AJ42" i="8"/>
  <c r="BR123" i="5"/>
  <c r="BS123" i="5"/>
  <c r="AB52" i="5" l="1"/>
  <c r="AA53" i="5"/>
  <c r="AV137" i="5"/>
  <c r="BT123" i="5"/>
  <c r="BW123" i="5" s="1"/>
  <c r="AJ43" i="8"/>
  <c r="AI42" i="8"/>
  <c r="N42" i="11"/>
  <c r="AE41" i="11"/>
  <c r="CF138" i="5"/>
  <c r="CJ138" i="5" s="1"/>
  <c r="DG138" i="5"/>
  <c r="DH138" i="5"/>
  <c r="BW122" i="5"/>
  <c r="AH48" i="5"/>
  <c r="AG48" i="5"/>
  <c r="AF48" i="5"/>
  <c r="AI48" i="5" s="1"/>
  <c r="AM48" i="5" s="1"/>
  <c r="CY48" i="5" s="1"/>
  <c r="Q38" i="6"/>
  <c r="AY61" i="14"/>
  <c r="AZ62" i="14"/>
  <c r="J91" i="9"/>
  <c r="H92" i="9"/>
  <c r="AY74" i="5"/>
  <c r="L43" i="9"/>
  <c r="AB42" i="9"/>
  <c r="CD139" i="5"/>
  <c r="CE139" i="5"/>
  <c r="H77" i="5"/>
  <c r="I77" i="5"/>
  <c r="J49" i="16"/>
  <c r="L48" i="16"/>
  <c r="Q37" i="6"/>
  <c r="EG65" i="25"/>
  <c r="W173" i="5"/>
  <c r="D49" i="5"/>
  <c r="E49" i="5"/>
  <c r="AI47" i="5"/>
  <c r="E46" i="11"/>
  <c r="G45" i="11"/>
  <c r="AY137" i="5"/>
  <c r="Q138" i="5"/>
  <c r="P138" i="5"/>
  <c r="S138" i="5" s="1"/>
  <c r="BP138" i="5" s="1"/>
  <c r="H38" i="27"/>
  <c r="M37" i="27"/>
  <c r="V140" i="5"/>
  <c r="U140" i="5"/>
  <c r="X140" i="5" s="1"/>
  <c r="BR124" i="5"/>
  <c r="BT124" i="5" s="1"/>
  <c r="BW124" i="5" s="1"/>
  <c r="BS124" i="5"/>
  <c r="BM140" i="5"/>
  <c r="CN62" i="14"/>
  <c r="CO62" i="14" s="1"/>
  <c r="CP62" i="14" s="1"/>
  <c r="AX62" i="14"/>
  <c r="CQ62" i="14"/>
  <c r="R139" i="5"/>
  <c r="BG84" i="5"/>
  <c r="BF84" i="5"/>
  <c r="BH84" i="5" s="1"/>
  <c r="BK84" i="5" s="1"/>
  <c r="F46" i="24"/>
  <c r="K45" i="24"/>
  <c r="AD51" i="5"/>
  <c r="BQ38" i="7"/>
  <c r="BR38" i="7" s="1"/>
  <c r="BS38" i="7" s="1"/>
  <c r="BT38" i="7" s="1"/>
  <c r="F51" i="5" s="1"/>
  <c r="AM38" i="7"/>
  <c r="CB139" i="5"/>
  <c r="CA139" i="5"/>
  <c r="CC139" i="5"/>
  <c r="AR85" i="16"/>
  <c r="AW85" i="16" s="1"/>
  <c r="F86" i="16"/>
  <c r="G85" i="16"/>
  <c r="BI43" i="8"/>
  <c r="BJ43" i="8" s="1"/>
  <c r="BK43" i="8" s="1"/>
  <c r="BL43" i="8" s="1"/>
  <c r="J79" i="5" s="1"/>
  <c r="AO79" i="5"/>
  <c r="AH43" i="8"/>
  <c r="DC41" i="5"/>
  <c r="CZ43" i="5" s="1"/>
  <c r="BQ137" i="5"/>
  <c r="BO137" i="5"/>
  <c r="AO38" i="7"/>
  <c r="AN37" i="7"/>
  <c r="BS39" i="25"/>
  <c r="BT38" i="25"/>
  <c r="BU39" i="25"/>
  <c r="K40" i="22"/>
  <c r="P39" i="22"/>
  <c r="DF136" i="5"/>
  <c r="DE136" i="5"/>
  <c r="AQ64" i="14"/>
  <c r="AW63" i="14"/>
  <c r="J38" i="11"/>
  <c r="L37" i="11"/>
  <c r="G79" i="15"/>
  <c r="H78" i="15"/>
  <c r="AR76" i="5"/>
  <c r="AQ76" i="5"/>
  <c r="AS76" i="5"/>
  <c r="O40" i="7"/>
  <c r="N39" i="6"/>
  <c r="P39" i="6" s="1"/>
  <c r="Q39" i="6" s="1"/>
  <c r="AL39" i="7"/>
  <c r="AU138" i="5"/>
  <c r="AT138" i="5"/>
  <c r="K63" i="15"/>
  <c r="M62" i="15"/>
  <c r="N45" i="8"/>
  <c r="AG44" i="8"/>
  <c r="AB53" i="5" l="1"/>
  <c r="AA54" i="5"/>
  <c r="AV76" i="5"/>
  <c r="AY76" i="5" s="1"/>
  <c r="AD52" i="5"/>
  <c r="BQ39" i="7"/>
  <c r="BR39" i="7" s="1"/>
  <c r="BS39" i="7" s="1"/>
  <c r="BT39" i="7" s="1"/>
  <c r="F52" i="5" s="1"/>
  <c r="AM39" i="7"/>
  <c r="AQ65" i="14"/>
  <c r="AW64" i="14"/>
  <c r="AV138" i="5"/>
  <c r="AL40" i="7"/>
  <c r="O41" i="7"/>
  <c r="N40" i="6"/>
  <c r="P40" i="6" s="1"/>
  <c r="Q40" i="6" s="1"/>
  <c r="BS40" i="25"/>
  <c r="BT39" i="25"/>
  <c r="BU40" i="25"/>
  <c r="DF137" i="5"/>
  <c r="DE137" i="5"/>
  <c r="AI43" i="8"/>
  <c r="AJ44" i="8"/>
  <c r="AO39" i="7"/>
  <c r="AN38" i="7"/>
  <c r="F47" i="24"/>
  <c r="K46" i="24"/>
  <c r="E47" i="11"/>
  <c r="G46" i="11"/>
  <c r="AH49" i="5"/>
  <c r="AG49" i="5"/>
  <c r="AF49" i="5"/>
  <c r="Q139" i="5"/>
  <c r="P139" i="5"/>
  <c r="S139" i="5" s="1"/>
  <c r="BP139" i="5" s="1"/>
  <c r="CZ44" i="5"/>
  <c r="DA44" i="5" s="1"/>
  <c r="DC44" i="5" s="1"/>
  <c r="K64" i="15"/>
  <c r="M63" i="15"/>
  <c r="G80" i="15"/>
  <c r="H79" i="15"/>
  <c r="BM141" i="5"/>
  <c r="CN63" i="14"/>
  <c r="CO63" i="14" s="1"/>
  <c r="CP63" i="14" s="1"/>
  <c r="AX63" i="14"/>
  <c r="K41" i="22"/>
  <c r="P40" i="22"/>
  <c r="D50" i="5"/>
  <c r="E50" i="5"/>
  <c r="R140" i="5"/>
  <c r="CQ63" i="14"/>
  <c r="CD140" i="5"/>
  <c r="CE140" i="5"/>
  <c r="L44" i="9"/>
  <c r="AB43" i="9"/>
  <c r="J92" i="9"/>
  <c r="H93" i="9"/>
  <c r="AO80" i="5"/>
  <c r="BI44" i="8"/>
  <c r="BJ44" i="8" s="1"/>
  <c r="BK44" i="8" s="1"/>
  <c r="BL44" i="8" s="1"/>
  <c r="J80" i="5" s="1"/>
  <c r="AH44" i="8"/>
  <c r="BG85" i="5"/>
  <c r="BG86" i="5" s="1"/>
  <c r="BF85" i="5"/>
  <c r="DH139" i="5"/>
  <c r="DG139" i="5"/>
  <c r="CF139" i="5"/>
  <c r="AY62" i="14"/>
  <c r="AZ63" i="14"/>
  <c r="H39" i="27"/>
  <c r="M38" i="27"/>
  <c r="AM47" i="5"/>
  <c r="EG66" i="25"/>
  <c r="W174" i="5"/>
  <c r="BS125" i="5"/>
  <c r="BR125" i="5"/>
  <c r="BT125" i="5" s="1"/>
  <c r="BW125" i="5" s="1"/>
  <c r="AQ77" i="5"/>
  <c r="AS77" i="5"/>
  <c r="AR77" i="5"/>
  <c r="AU139" i="5"/>
  <c r="AT139" i="5"/>
  <c r="H78" i="5"/>
  <c r="I78" i="5"/>
  <c r="N46" i="8"/>
  <c r="AG45" i="8"/>
  <c r="J39" i="11"/>
  <c r="L38" i="11"/>
  <c r="U141" i="5"/>
  <c r="X141" i="5" s="1"/>
  <c r="V141" i="5"/>
  <c r="F87" i="16"/>
  <c r="AR86" i="16"/>
  <c r="AW86" i="16" s="1"/>
  <c r="G86" i="16"/>
  <c r="CC140" i="5"/>
  <c r="CB140" i="5"/>
  <c r="CA140" i="5"/>
  <c r="BQ138" i="5"/>
  <c r="BO138" i="5"/>
  <c r="J50" i="16"/>
  <c r="L49" i="16"/>
  <c r="N43" i="11"/>
  <c r="AE42" i="11"/>
  <c r="AA55" i="5" l="1"/>
  <c r="AB54" i="5"/>
  <c r="H40" i="27"/>
  <c r="M39" i="27"/>
  <c r="H94" i="9"/>
  <c r="J93" i="9"/>
  <c r="AZ64" i="14"/>
  <c r="AY63" i="14"/>
  <c r="G81" i="15"/>
  <c r="H80" i="15"/>
  <c r="F48" i="24"/>
  <c r="K47" i="24"/>
  <c r="H79" i="5"/>
  <c r="I79" i="5"/>
  <c r="BQ40" i="7"/>
  <c r="BR40" i="7" s="1"/>
  <c r="BS40" i="7" s="1"/>
  <c r="BT40" i="7" s="1"/>
  <c r="F53" i="5" s="1"/>
  <c r="AD53" i="5"/>
  <c r="AM40" i="7"/>
  <c r="L50" i="16"/>
  <c r="J51" i="16"/>
  <c r="DH140" i="5"/>
  <c r="CF140" i="5"/>
  <c r="CJ140" i="5" s="1"/>
  <c r="DG140" i="5"/>
  <c r="AO81" i="5"/>
  <c r="BI45" i="8"/>
  <c r="BJ45" i="8" s="1"/>
  <c r="BK45" i="8" s="1"/>
  <c r="BL45" i="8" s="1"/>
  <c r="J81" i="5" s="1"/>
  <c r="AH45" i="8"/>
  <c r="AQ78" i="5"/>
  <c r="AS78" i="5"/>
  <c r="AR78" i="5"/>
  <c r="CY47" i="5"/>
  <c r="CJ139" i="5"/>
  <c r="BH85" i="5"/>
  <c r="BF86" i="5"/>
  <c r="AU140" i="5"/>
  <c r="AT140" i="5"/>
  <c r="AH50" i="5"/>
  <c r="AG50" i="5"/>
  <c r="AF50" i="5"/>
  <c r="CZ45" i="5"/>
  <c r="E51" i="5"/>
  <c r="D51" i="5"/>
  <c r="V142" i="5"/>
  <c r="U142" i="5"/>
  <c r="X142" i="5" s="1"/>
  <c r="CN64" i="14"/>
  <c r="CO64" i="14" s="1"/>
  <c r="CP64" i="14" s="1"/>
  <c r="BM142" i="5"/>
  <c r="AX64" i="14"/>
  <c r="CB141" i="5"/>
  <c r="CA141" i="5"/>
  <c r="CC141" i="5"/>
  <c r="DF138" i="5"/>
  <c r="DE138" i="5"/>
  <c r="AR87" i="16"/>
  <c r="AW87" i="16" s="1"/>
  <c r="F88" i="16"/>
  <c r="G87" i="16"/>
  <c r="BG89" i="5"/>
  <c r="BF89" i="5"/>
  <c r="N47" i="8"/>
  <c r="AG46" i="8"/>
  <c r="R141" i="5"/>
  <c r="CQ64" i="14"/>
  <c r="BO139" i="5"/>
  <c r="BQ139" i="5"/>
  <c r="AI49" i="5"/>
  <c r="G47" i="11"/>
  <c r="E48" i="11"/>
  <c r="E49" i="11" s="1"/>
  <c r="E50" i="11" s="1"/>
  <c r="E51" i="11" s="1"/>
  <c r="E52" i="11" s="1"/>
  <c r="E53" i="11" s="1"/>
  <c r="E54" i="11" s="1"/>
  <c r="E55" i="11" s="1"/>
  <c r="E56" i="11" s="1"/>
  <c r="E57" i="11" s="1"/>
  <c r="E58" i="11" s="1"/>
  <c r="E59" i="11" s="1"/>
  <c r="E60" i="11" s="1"/>
  <c r="E61" i="11" s="1"/>
  <c r="E62" i="11" s="1"/>
  <c r="E63" i="11" s="1"/>
  <c r="E64" i="11" s="1"/>
  <c r="E65" i="11" s="1"/>
  <c r="E66" i="11" s="1"/>
  <c r="E67" i="11" s="1"/>
  <c r="E68" i="11" s="1"/>
  <c r="E69" i="11" s="1"/>
  <c r="E70" i="11" s="1"/>
  <c r="E71" i="11" s="1"/>
  <c r="E72" i="11" s="1"/>
  <c r="E73" i="11" s="1"/>
  <c r="E74" i="11" s="1"/>
  <c r="E75" i="11" s="1"/>
  <c r="E76" i="11" s="1"/>
  <c r="E77" i="11" s="1"/>
  <c r="E78" i="11" s="1"/>
  <c r="E79" i="11" s="1"/>
  <c r="E80" i="11" s="1"/>
  <c r="E81" i="11" s="1"/>
  <c r="E82" i="11" s="1"/>
  <c r="E83" i="11" s="1"/>
  <c r="E84" i="11" s="1"/>
  <c r="E85" i="11" s="1"/>
  <c r="E86" i="11" s="1"/>
  <c r="E87" i="11" s="1"/>
  <c r="E88" i="11" s="1"/>
  <c r="E89" i="11" s="1"/>
  <c r="E90" i="11" s="1"/>
  <c r="E91" i="11" s="1"/>
  <c r="E92" i="11" s="1"/>
  <c r="E93" i="11" s="1"/>
  <c r="E94" i="11" s="1"/>
  <c r="E95" i="11" s="1"/>
  <c r="E96" i="11" s="1"/>
  <c r="E97" i="11" s="1"/>
  <c r="E98" i="11" s="1"/>
  <c r="E99" i="11" s="1"/>
  <c r="E100" i="11" s="1"/>
  <c r="E101" i="11" s="1"/>
  <c r="E102" i="11" s="1"/>
  <c r="E103" i="11" s="1"/>
  <c r="E104" i="11" s="1"/>
  <c r="E105" i="11" s="1"/>
  <c r="E106" i="11" s="1"/>
  <c r="E107" i="11" s="1"/>
  <c r="E108" i="11" s="1"/>
  <c r="E109" i="11" s="1"/>
  <c r="E110" i="11" s="1"/>
  <c r="E111" i="11" s="1"/>
  <c r="E112" i="11" s="1"/>
  <c r="E113" i="11" s="1"/>
  <c r="E114" i="11" s="1"/>
  <c r="E115" i="11" s="1"/>
  <c r="E116" i="11" s="1"/>
  <c r="E117" i="11" s="1"/>
  <c r="E118" i="11" s="1"/>
  <c r="E119" i="11" s="1"/>
  <c r="E120" i="11" s="1"/>
  <c r="E121" i="11" s="1"/>
  <c r="E122" i="11" s="1"/>
  <c r="E123" i="11" s="1"/>
  <c r="E124" i="11" s="1"/>
  <c r="E125" i="11" s="1"/>
  <c r="E126" i="11" s="1"/>
  <c r="E127" i="11" s="1"/>
  <c r="E128" i="11" s="1"/>
  <c r="E129" i="11" s="1"/>
  <c r="E130" i="11" s="1"/>
  <c r="E131" i="11" s="1"/>
  <c r="E132" i="11" s="1"/>
  <c r="E133" i="11" s="1"/>
  <c r="E134" i="11" s="1"/>
  <c r="E135" i="11" s="1"/>
  <c r="E136" i="11" s="1"/>
  <c r="E137" i="11" s="1"/>
  <c r="BS41" i="25"/>
  <c r="BT40" i="25"/>
  <c r="BU41" i="25"/>
  <c r="AY138" i="5"/>
  <c r="AW65" i="14"/>
  <c r="AQ66" i="14"/>
  <c r="N44" i="11"/>
  <c r="AE43" i="11"/>
  <c r="BS126" i="5"/>
  <c r="BR126" i="5"/>
  <c r="BT126" i="5" s="1"/>
  <c r="BW126" i="5" s="1"/>
  <c r="J40" i="11"/>
  <c r="L39" i="11"/>
  <c r="AV139" i="5"/>
  <c r="AY139" i="5" s="1"/>
  <c r="AV77" i="5"/>
  <c r="EG67" i="25"/>
  <c r="W175" i="5"/>
  <c r="CE141" i="5"/>
  <c r="CD141" i="5"/>
  <c r="Q140" i="5"/>
  <c r="P140" i="5"/>
  <c r="S140" i="5" s="1"/>
  <c r="BP140" i="5" s="1"/>
  <c r="AJ45" i="8"/>
  <c r="AI44" i="8"/>
  <c r="L45" i="9"/>
  <c r="AB44" i="9"/>
  <c r="P41" i="22"/>
  <c r="K42" i="22"/>
  <c r="K65" i="15"/>
  <c r="M64" i="15"/>
  <c r="O42" i="7"/>
  <c r="AL41" i="7"/>
  <c r="N41" i="6"/>
  <c r="P41" i="6" s="1"/>
  <c r="Q41" i="6" s="1"/>
  <c r="AN39" i="7"/>
  <c r="AO40" i="7"/>
  <c r="AB55" i="5" l="1"/>
  <c r="AB56" i="5" s="1"/>
  <c r="AA59" i="5"/>
  <c r="AV140" i="5"/>
  <c r="AY140" i="5" s="1"/>
  <c r="AF51" i="5"/>
  <c r="AH51" i="5"/>
  <c r="AG51" i="5"/>
  <c r="CZ46" i="5"/>
  <c r="G82" i="15"/>
  <c r="H81" i="15"/>
  <c r="H95" i="9"/>
  <c r="J94" i="9"/>
  <c r="L46" i="9"/>
  <c r="AB45" i="9"/>
  <c r="BO140" i="5"/>
  <c r="BQ140" i="5"/>
  <c r="BF90" i="5"/>
  <c r="BG90" i="5"/>
  <c r="AQ67" i="14"/>
  <c r="AW66" i="14"/>
  <c r="G48" i="11"/>
  <c r="BI46" i="8"/>
  <c r="BJ46" i="8" s="1"/>
  <c r="BK46" i="8" s="1"/>
  <c r="BL46" i="8" s="1"/>
  <c r="J82" i="5" s="1"/>
  <c r="AO82" i="5"/>
  <c r="AH46" i="8"/>
  <c r="DH141" i="5"/>
  <c r="DG141" i="5"/>
  <c r="CF141" i="5"/>
  <c r="AI50" i="5"/>
  <c r="AM50" i="5" s="1"/>
  <c r="CY50" i="5" s="1"/>
  <c r="L51" i="16"/>
  <c r="J52" i="16"/>
  <c r="F49" i="24"/>
  <c r="K48" i="24"/>
  <c r="P141" i="5"/>
  <c r="S141" i="5" s="1"/>
  <c r="BP141" i="5" s="1"/>
  <c r="Q141" i="5"/>
  <c r="CD142" i="5"/>
  <c r="CE142" i="5"/>
  <c r="K66" i="15"/>
  <c r="M65" i="15"/>
  <c r="BQ41" i="7"/>
  <c r="BR41" i="7" s="1"/>
  <c r="BS41" i="7" s="1"/>
  <c r="BT41" i="7" s="1"/>
  <c r="F54" i="5" s="1"/>
  <c r="AD54" i="5"/>
  <c r="AM41" i="7"/>
  <c r="O43" i="7"/>
  <c r="N42" i="6"/>
  <c r="AL42" i="7"/>
  <c r="P42" i="22"/>
  <c r="K43" i="22"/>
  <c r="EG68" i="25"/>
  <c r="W179" i="5"/>
  <c r="J41" i="11"/>
  <c r="L40" i="11"/>
  <c r="BM143" i="5"/>
  <c r="CN65" i="14"/>
  <c r="CO65" i="14" s="1"/>
  <c r="CP65" i="14" s="1"/>
  <c r="AX65" i="14"/>
  <c r="V143" i="5"/>
  <c r="U143" i="5"/>
  <c r="X143" i="5" s="1"/>
  <c r="DE139" i="5"/>
  <c r="DF139" i="5"/>
  <c r="AG47" i="8"/>
  <c r="N48" i="8"/>
  <c r="F89" i="16"/>
  <c r="AR88" i="16"/>
  <c r="AW88" i="16" s="1"/>
  <c r="G88" i="16"/>
  <c r="CB142" i="5"/>
  <c r="CA142" i="5"/>
  <c r="CC142" i="5"/>
  <c r="AV78" i="5"/>
  <c r="AY78" i="5" s="1"/>
  <c r="BR127" i="5"/>
  <c r="BS127" i="5"/>
  <c r="H41" i="27"/>
  <c r="M40" i="27"/>
  <c r="E52" i="5"/>
  <c r="D52" i="5"/>
  <c r="I80" i="5"/>
  <c r="H80" i="5"/>
  <c r="AY77" i="5"/>
  <c r="N45" i="11"/>
  <c r="AE44" i="11"/>
  <c r="BS42" i="25"/>
  <c r="BT41" i="25"/>
  <c r="BU42" i="25"/>
  <c r="AM49" i="5"/>
  <c r="R142" i="5"/>
  <c r="CQ65" i="14"/>
  <c r="BH89" i="5"/>
  <c r="AY64" i="14"/>
  <c r="AZ65" i="14"/>
  <c r="DA45" i="5"/>
  <c r="DC45" i="5" s="1"/>
  <c r="BK85" i="5"/>
  <c r="BH86" i="5"/>
  <c r="BK86" i="5" s="1"/>
  <c r="AJ46" i="8"/>
  <c r="AI45" i="8"/>
  <c r="AN40" i="7"/>
  <c r="AO41" i="7"/>
  <c r="AR79" i="5"/>
  <c r="AQ79" i="5"/>
  <c r="AS79" i="5"/>
  <c r="AT141" i="5"/>
  <c r="AU141" i="5"/>
  <c r="AV79" i="5" l="1"/>
  <c r="AY79" i="5" s="1"/>
  <c r="AA60" i="5"/>
  <c r="AB59" i="5"/>
  <c r="E53" i="5"/>
  <c r="D53" i="5"/>
  <c r="R143" i="5"/>
  <c r="AR80" i="5"/>
  <c r="AQ80" i="5"/>
  <c r="AS80" i="5"/>
  <c r="CE143" i="5"/>
  <c r="CD143" i="5"/>
  <c r="N49" i="8"/>
  <c r="AG48" i="8"/>
  <c r="AN41" i="7"/>
  <c r="AO42" i="7"/>
  <c r="L52" i="16"/>
  <c r="J53" i="16"/>
  <c r="BM144" i="5"/>
  <c r="CN66" i="14"/>
  <c r="CO66" i="14" s="1"/>
  <c r="CP66" i="14" s="1"/>
  <c r="CQ66" i="14" s="1"/>
  <c r="AX66" i="14"/>
  <c r="AB46" i="9"/>
  <c r="L47" i="9"/>
  <c r="P142" i="5"/>
  <c r="S142" i="5" s="1"/>
  <c r="BP142" i="5" s="1"/>
  <c r="Q142" i="5"/>
  <c r="U144" i="5"/>
  <c r="X144" i="5" s="1"/>
  <c r="V144" i="5"/>
  <c r="N46" i="11"/>
  <c r="AE45" i="11"/>
  <c r="H42" i="27"/>
  <c r="M41" i="27"/>
  <c r="BI47" i="8"/>
  <c r="BJ47" i="8" s="1"/>
  <c r="BK47" i="8" s="1"/>
  <c r="BL47" i="8" s="1"/>
  <c r="J83" i="5" s="1"/>
  <c r="AO83" i="5"/>
  <c r="AH47" i="8"/>
  <c r="CA143" i="5"/>
  <c r="CB143" i="5"/>
  <c r="CC143" i="5"/>
  <c r="W180" i="5"/>
  <c r="EG69" i="25"/>
  <c r="BQ42" i="7"/>
  <c r="BR42" i="7" s="1"/>
  <c r="BS42" i="7" s="1"/>
  <c r="BT42" i="7" s="1"/>
  <c r="F55" i="5" s="1"/>
  <c r="AD55" i="5"/>
  <c r="AD56" i="5" s="1"/>
  <c r="AM42" i="7"/>
  <c r="K67" i="15"/>
  <c r="M66" i="15"/>
  <c r="BO141" i="5"/>
  <c r="BQ141" i="5"/>
  <c r="BS128" i="5"/>
  <c r="BR128" i="5"/>
  <c r="AW67" i="14"/>
  <c r="AQ68" i="14"/>
  <c r="DF140" i="5"/>
  <c r="DE140" i="5"/>
  <c r="G83" i="15"/>
  <c r="H82" i="15"/>
  <c r="BK89" i="5"/>
  <c r="BS43" i="25"/>
  <c r="BU43" i="25"/>
  <c r="BT42" i="25"/>
  <c r="AG52" i="5"/>
  <c r="AF52" i="5"/>
  <c r="AH52" i="5"/>
  <c r="BG91" i="5"/>
  <c r="BF91" i="5"/>
  <c r="P42" i="6"/>
  <c r="N79" i="6"/>
  <c r="G49" i="11"/>
  <c r="AU142" i="5"/>
  <c r="AT142" i="5"/>
  <c r="AV142" i="5" s="1"/>
  <c r="AY142" i="5" s="1"/>
  <c r="CZ47" i="5"/>
  <c r="AI51" i="5"/>
  <c r="AV141" i="5"/>
  <c r="I81" i="5"/>
  <c r="H81" i="5"/>
  <c r="CY49" i="5"/>
  <c r="BT127" i="5"/>
  <c r="BW127" i="5" s="1"/>
  <c r="DG142" i="5"/>
  <c r="DH142" i="5"/>
  <c r="CF142" i="5"/>
  <c r="CJ142" i="5" s="1"/>
  <c r="AR89" i="16"/>
  <c r="AW89" i="16" s="1"/>
  <c r="F90" i="16"/>
  <c r="G89" i="16"/>
  <c r="AY65" i="14"/>
  <c r="AZ66" i="14"/>
  <c r="J42" i="11"/>
  <c r="L41" i="11"/>
  <c r="P43" i="22"/>
  <c r="K44" i="22"/>
  <c r="N43" i="6"/>
  <c r="AL43" i="7"/>
  <c r="O44" i="7"/>
  <c r="F50" i="24"/>
  <c r="K49" i="24"/>
  <c r="CJ141" i="5"/>
  <c r="AJ47" i="8"/>
  <c r="AI46" i="8"/>
  <c r="BH90" i="5"/>
  <c r="BK90" i="5" s="1"/>
  <c r="J95" i="9"/>
  <c r="H96" i="9"/>
  <c r="DA46" i="5"/>
  <c r="DC46" i="5" s="1"/>
  <c r="AB60" i="5" l="1"/>
  <c r="AA61" i="5"/>
  <c r="R144" i="5"/>
  <c r="AD59" i="5"/>
  <c r="BQ43" i="7"/>
  <c r="BR43" i="7" s="1"/>
  <c r="BS43" i="7" s="1"/>
  <c r="BT43" i="7" s="1"/>
  <c r="F59" i="5" s="1"/>
  <c r="AM43" i="7"/>
  <c r="AT143" i="5"/>
  <c r="AV143" i="5" s="1"/>
  <c r="AY143" i="5" s="1"/>
  <c r="AU143" i="5"/>
  <c r="O45" i="7"/>
  <c r="AL44" i="7"/>
  <c r="N44" i="6"/>
  <c r="P44" i="6" s="1"/>
  <c r="Q143" i="5"/>
  <c r="P143" i="5"/>
  <c r="S143" i="5" s="1"/>
  <c r="BP143" i="5" s="1"/>
  <c r="AR81" i="5"/>
  <c r="AQ81" i="5"/>
  <c r="AS81" i="5"/>
  <c r="AY141" i="5"/>
  <c r="CZ48" i="5"/>
  <c r="DA48" i="5" s="1"/>
  <c r="DC48" i="5" s="1"/>
  <c r="G50" i="11"/>
  <c r="BH91" i="5"/>
  <c r="BK91" i="5" s="1"/>
  <c r="BS44" i="25"/>
  <c r="BT43" i="25"/>
  <c r="BU44" i="25"/>
  <c r="BT128" i="5"/>
  <c r="BW128" i="5" s="1"/>
  <c r="CD144" i="5"/>
  <c r="CE144" i="5"/>
  <c r="AY66" i="14"/>
  <c r="AZ67" i="14"/>
  <c r="BS129" i="5"/>
  <c r="BR129" i="5"/>
  <c r="BT129" i="5" s="1"/>
  <c r="BW129" i="5" s="1"/>
  <c r="E54" i="5"/>
  <c r="D54" i="5"/>
  <c r="N50" i="8"/>
  <c r="AG49" i="8"/>
  <c r="G84" i="15"/>
  <c r="H83" i="15"/>
  <c r="H43" i="27"/>
  <c r="M42" i="27"/>
  <c r="CA144" i="5"/>
  <c r="CC144" i="5"/>
  <c r="CB144" i="5"/>
  <c r="AV80" i="5"/>
  <c r="AF53" i="5"/>
  <c r="AH53" i="5"/>
  <c r="AG53" i="5"/>
  <c r="BF92" i="5"/>
  <c r="BH92" i="5" s="1"/>
  <c r="BK92" i="5" s="1"/>
  <c r="BG92" i="5"/>
  <c r="P43" i="6"/>
  <c r="J43" i="11"/>
  <c r="L42" i="11"/>
  <c r="F91" i="16"/>
  <c r="AR90" i="16"/>
  <c r="AW90" i="16" s="1"/>
  <c r="G90" i="16"/>
  <c r="AM51" i="5"/>
  <c r="V145" i="5"/>
  <c r="U145" i="5"/>
  <c r="X145" i="5" s="1"/>
  <c r="AW68" i="14"/>
  <c r="AQ69" i="14"/>
  <c r="K68" i="15"/>
  <c r="M67" i="15"/>
  <c r="EG70" i="25"/>
  <c r="W181" i="5"/>
  <c r="DG143" i="5"/>
  <c r="DH143" i="5"/>
  <c r="CF143" i="5"/>
  <c r="AB47" i="9"/>
  <c r="L48" i="9"/>
  <c r="H82" i="5"/>
  <c r="I82" i="5"/>
  <c r="H97" i="9"/>
  <c r="J96" i="9"/>
  <c r="F51" i="24"/>
  <c r="K50" i="24"/>
  <c r="K45" i="22"/>
  <c r="P44" i="22"/>
  <c r="DA47" i="5"/>
  <c r="DC47" i="5" s="1"/>
  <c r="Q42" i="6"/>
  <c r="P79" i="6"/>
  <c r="AI52" i="5"/>
  <c r="AM52" i="5" s="1"/>
  <c r="CY52" i="5" s="1"/>
  <c r="BM145" i="5"/>
  <c r="BM146" i="5" s="1"/>
  <c r="CN67" i="14"/>
  <c r="CO67" i="14" s="1"/>
  <c r="CP67" i="14" s="1"/>
  <c r="CQ67" i="14" s="1"/>
  <c r="AX67" i="14"/>
  <c r="DE141" i="5"/>
  <c r="DF141" i="5"/>
  <c r="AN42" i="7"/>
  <c r="AO43" i="7"/>
  <c r="AI47" i="8"/>
  <c r="AJ48" i="8"/>
  <c r="N47" i="11"/>
  <c r="AE46" i="11"/>
  <c r="BQ142" i="5"/>
  <c r="BO142" i="5"/>
  <c r="L53" i="16"/>
  <c r="J54" i="16"/>
  <c r="AO84" i="5"/>
  <c r="BI48" i="8"/>
  <c r="BJ48" i="8" s="1"/>
  <c r="BK48" i="8" s="1"/>
  <c r="BL48" i="8" s="1"/>
  <c r="J84" i="5" s="1"/>
  <c r="AH48" i="8"/>
  <c r="AB61" i="5" l="1"/>
  <c r="AA62" i="5"/>
  <c r="R145" i="5"/>
  <c r="AJ49" i="8"/>
  <c r="AI48" i="8"/>
  <c r="F52" i="24"/>
  <c r="K51" i="24"/>
  <c r="AR82" i="5"/>
  <c r="AS82" i="5"/>
  <c r="AQ82" i="5"/>
  <c r="CJ143" i="5"/>
  <c r="EG71" i="25"/>
  <c r="W182" i="5"/>
  <c r="BM149" i="5"/>
  <c r="CN68" i="14"/>
  <c r="CO68" i="14" s="1"/>
  <c r="CP68" i="14" s="1"/>
  <c r="CQ68" i="14" s="1"/>
  <c r="AX68" i="14"/>
  <c r="AR91" i="16"/>
  <c r="AW91" i="16" s="1"/>
  <c r="F92" i="16"/>
  <c r="G91" i="16"/>
  <c r="Q43" i="6"/>
  <c r="AH54" i="5"/>
  <c r="AG54" i="5"/>
  <c r="AF54" i="5"/>
  <c r="BS45" i="25"/>
  <c r="BT44" i="25"/>
  <c r="BU45" i="25"/>
  <c r="G51" i="11"/>
  <c r="BO143" i="5"/>
  <c r="BQ143" i="5"/>
  <c r="Q44" i="6"/>
  <c r="P45" i="22"/>
  <c r="K46" i="22"/>
  <c r="BR130" i="5"/>
  <c r="BS130" i="5"/>
  <c r="BS131" i="5" s="1"/>
  <c r="N48" i="11"/>
  <c r="AE47" i="11"/>
  <c r="D55" i="5"/>
  <c r="E55" i="5"/>
  <c r="AZ68" i="14"/>
  <c r="AY67" i="14"/>
  <c r="AT144" i="5"/>
  <c r="AU144" i="5"/>
  <c r="CY51" i="5"/>
  <c r="BF93" i="5"/>
  <c r="BG93" i="5"/>
  <c r="AI53" i="5"/>
  <c r="AM53" i="5" s="1"/>
  <c r="CY53" i="5" s="1"/>
  <c r="DG144" i="5"/>
  <c r="DH144" i="5"/>
  <c r="CF144" i="5"/>
  <c r="CJ144" i="5" s="1"/>
  <c r="P144" i="5"/>
  <c r="S144" i="5" s="1"/>
  <c r="BP144" i="5" s="1"/>
  <c r="Q144" i="5"/>
  <c r="BQ44" i="7"/>
  <c r="BR44" i="7" s="1"/>
  <c r="BS44" i="7" s="1"/>
  <c r="BT44" i="7" s="1"/>
  <c r="F60" i="5" s="1"/>
  <c r="AD60" i="5"/>
  <c r="AM44" i="7"/>
  <c r="AO44" i="7"/>
  <c r="AN43" i="7"/>
  <c r="DF142" i="5"/>
  <c r="DE142" i="5"/>
  <c r="AB48" i="9"/>
  <c r="L49" i="9"/>
  <c r="K69" i="15"/>
  <c r="M68" i="15"/>
  <c r="CB145" i="5"/>
  <c r="CB146" i="5" s="1"/>
  <c r="CC145" i="5"/>
  <c r="CC146" i="5" s="1"/>
  <c r="CA145" i="5"/>
  <c r="J44" i="11"/>
  <c r="L43" i="11"/>
  <c r="AY80" i="5"/>
  <c r="CD145" i="5"/>
  <c r="CE145" i="5"/>
  <c r="CE146" i="5" s="1"/>
  <c r="AO85" i="5"/>
  <c r="AO86" i="5" s="1"/>
  <c r="BI49" i="8"/>
  <c r="BJ49" i="8" s="1"/>
  <c r="BK49" i="8" s="1"/>
  <c r="BL49" i="8" s="1"/>
  <c r="J85" i="5" s="1"/>
  <c r="AH49" i="8"/>
  <c r="CZ49" i="5"/>
  <c r="DA49" i="5" s="1"/>
  <c r="DC49" i="5" s="1"/>
  <c r="AV81" i="5"/>
  <c r="AY81" i="5" s="1"/>
  <c r="AL45" i="7"/>
  <c r="N45" i="6"/>
  <c r="O46" i="7"/>
  <c r="H98" i="9"/>
  <c r="J97" i="9"/>
  <c r="L54" i="16"/>
  <c r="J55" i="16"/>
  <c r="H83" i="5"/>
  <c r="I83" i="5"/>
  <c r="AW69" i="14"/>
  <c r="AQ70" i="14"/>
  <c r="H44" i="27"/>
  <c r="M43" i="27"/>
  <c r="G85" i="15"/>
  <c r="H84" i="15"/>
  <c r="N51" i="8"/>
  <c r="AG50" i="8"/>
  <c r="V149" i="5"/>
  <c r="U149" i="5"/>
  <c r="X149" i="5" s="1"/>
  <c r="AB62" i="5" l="1"/>
  <c r="AA63" i="5"/>
  <c r="R149" i="5"/>
  <c r="AU145" i="5"/>
  <c r="AU146" i="5" s="1"/>
  <c r="AT145" i="5"/>
  <c r="BS46" i="25"/>
  <c r="BU46" i="25"/>
  <c r="BT45" i="25"/>
  <c r="AZ69" i="14"/>
  <c r="AY68" i="14"/>
  <c r="EG72" i="25"/>
  <c r="W183" i="5"/>
  <c r="I84" i="5"/>
  <c r="H84" i="5"/>
  <c r="AO89" i="5"/>
  <c r="BI50" i="8"/>
  <c r="BJ50" i="8" s="1"/>
  <c r="BK50" i="8" s="1"/>
  <c r="BL50" i="8" s="1"/>
  <c r="J89" i="5" s="1"/>
  <c r="AH50" i="8"/>
  <c r="BQ45" i="7"/>
  <c r="BR45" i="7" s="1"/>
  <c r="BS45" i="7" s="1"/>
  <c r="BT45" i="7" s="1"/>
  <c r="F61" i="5" s="1"/>
  <c r="AD61" i="5"/>
  <c r="AM45" i="7"/>
  <c r="J45" i="11"/>
  <c r="L44" i="11"/>
  <c r="E59" i="5"/>
  <c r="D59" i="5"/>
  <c r="N52" i="8"/>
  <c r="AG51" i="8"/>
  <c r="H45" i="27"/>
  <c r="M44" i="27"/>
  <c r="AS83" i="5"/>
  <c r="AR83" i="5"/>
  <c r="AQ83" i="5"/>
  <c r="J98" i="9"/>
  <c r="H99" i="9"/>
  <c r="BH93" i="5"/>
  <c r="AH55" i="5"/>
  <c r="AH56" i="5" s="1"/>
  <c r="AG55" i="5"/>
  <c r="AG56" i="5" s="1"/>
  <c r="AF55" i="5"/>
  <c r="BT130" i="5"/>
  <c r="BR131" i="5"/>
  <c r="G52" i="11"/>
  <c r="F93" i="16"/>
  <c r="AR92" i="16"/>
  <c r="AW92" i="16" s="1"/>
  <c r="G92" i="16"/>
  <c r="CD149" i="5"/>
  <c r="CE149" i="5"/>
  <c r="CB149" i="5"/>
  <c r="CC149" i="5"/>
  <c r="CA149" i="5"/>
  <c r="AW70" i="14"/>
  <c r="AQ71" i="14"/>
  <c r="J56" i="16"/>
  <c r="L55" i="16"/>
  <c r="AL46" i="7"/>
  <c r="N46" i="6"/>
  <c r="P46" i="6" s="1"/>
  <c r="O47" i="7"/>
  <c r="AI49" i="8"/>
  <c r="AJ50" i="8"/>
  <c r="DG145" i="5"/>
  <c r="DH145" i="5"/>
  <c r="CA146" i="5"/>
  <c r="K70" i="15"/>
  <c r="M69" i="15"/>
  <c r="AN44" i="7"/>
  <c r="AO45" i="7"/>
  <c r="Q145" i="5"/>
  <c r="P145" i="5"/>
  <c r="S145" i="5" s="1"/>
  <c r="BP145" i="5" s="1"/>
  <c r="K47" i="22"/>
  <c r="P46" i="22"/>
  <c r="DF143" i="5"/>
  <c r="DE143" i="5"/>
  <c r="AI54" i="5"/>
  <c r="AM54" i="5" s="1"/>
  <c r="CY54" i="5" s="1"/>
  <c r="G86" i="15"/>
  <c r="H85" i="15"/>
  <c r="BM150" i="5"/>
  <c r="CN69" i="14"/>
  <c r="CO69" i="14" s="1"/>
  <c r="CP69" i="14" s="1"/>
  <c r="CQ69" i="14" s="1"/>
  <c r="AX69" i="14"/>
  <c r="BS134" i="5"/>
  <c r="BR134" i="5"/>
  <c r="P45" i="6"/>
  <c r="CZ50" i="5"/>
  <c r="CF145" i="5"/>
  <c r="CD146" i="5"/>
  <c r="BG94" i="5"/>
  <c r="BF94" i="5"/>
  <c r="L50" i="9"/>
  <c r="AB49" i="9"/>
  <c r="BQ144" i="5"/>
  <c r="BO144" i="5"/>
  <c r="AV144" i="5"/>
  <c r="AY144" i="5" s="1"/>
  <c r="N49" i="11"/>
  <c r="AE48" i="11"/>
  <c r="U150" i="5"/>
  <c r="X150" i="5" s="1"/>
  <c r="V150" i="5"/>
  <c r="AV82" i="5"/>
  <c r="AY82" i="5" s="1"/>
  <c r="F53" i="24"/>
  <c r="K52" i="24"/>
  <c r="AA64" i="5" l="1"/>
  <c r="AB63" i="5"/>
  <c r="R150" i="5"/>
  <c r="BH94" i="5"/>
  <c r="BK94" i="5" s="1"/>
  <c r="CZ51" i="5"/>
  <c r="DA51" i="5" s="1"/>
  <c r="DC51" i="5" s="1"/>
  <c r="BT134" i="5"/>
  <c r="K71" i="15"/>
  <c r="M70" i="15"/>
  <c r="BQ46" i="7"/>
  <c r="BR46" i="7" s="1"/>
  <c r="BS46" i="7" s="1"/>
  <c r="BT46" i="7" s="1"/>
  <c r="F62" i="5" s="1"/>
  <c r="AD62" i="5"/>
  <c r="AM46" i="7"/>
  <c r="BM151" i="5"/>
  <c r="CN70" i="14"/>
  <c r="CO70" i="14" s="1"/>
  <c r="CP70" i="14" s="1"/>
  <c r="CQ70" i="14" s="1"/>
  <c r="AX70" i="14"/>
  <c r="AV83" i="5"/>
  <c r="AY83" i="5" s="1"/>
  <c r="H46" i="27"/>
  <c r="M45" i="27"/>
  <c r="W184" i="5"/>
  <c r="EG73" i="25"/>
  <c r="U151" i="5"/>
  <c r="X151" i="5" s="1"/>
  <c r="V151" i="5"/>
  <c r="AV145" i="5"/>
  <c r="AT146" i="5"/>
  <c r="CC150" i="5"/>
  <c r="CA150" i="5"/>
  <c r="CB150" i="5"/>
  <c r="N50" i="11"/>
  <c r="AE49" i="11"/>
  <c r="DA50" i="5"/>
  <c r="DC50" i="5" s="1"/>
  <c r="K48" i="22"/>
  <c r="P47" i="22"/>
  <c r="H85" i="5"/>
  <c r="I85" i="5"/>
  <c r="BS135" i="5"/>
  <c r="BR135" i="5"/>
  <c r="F94" i="16"/>
  <c r="AR93" i="16"/>
  <c r="AW93" i="16" s="1"/>
  <c r="G93" i="16"/>
  <c r="BW130" i="5"/>
  <c r="BT131" i="5"/>
  <c r="BW131" i="5" s="1"/>
  <c r="BK93" i="5"/>
  <c r="AO90" i="5"/>
  <c r="BI51" i="8"/>
  <c r="BJ51" i="8" s="1"/>
  <c r="BK51" i="8" s="1"/>
  <c r="BL51" i="8" s="1"/>
  <c r="J90" i="5" s="1"/>
  <c r="AH51" i="8"/>
  <c r="BF95" i="5"/>
  <c r="BH95" i="5" s="1"/>
  <c r="BK95" i="5" s="1"/>
  <c r="BG95" i="5"/>
  <c r="AR84" i="5"/>
  <c r="AQ84" i="5"/>
  <c r="AV84" i="5" s="1"/>
  <c r="AY84" i="5" s="1"/>
  <c r="AS84" i="5"/>
  <c r="Q149" i="5"/>
  <c r="P149" i="5"/>
  <c r="S149" i="5" s="1"/>
  <c r="BP149" i="5" s="1"/>
  <c r="F54" i="24"/>
  <c r="K53" i="24"/>
  <c r="AZ70" i="14"/>
  <c r="AY69" i="14"/>
  <c r="G87" i="15"/>
  <c r="H86" i="15"/>
  <c r="BP146" i="5"/>
  <c r="BO145" i="5"/>
  <c r="BQ145" i="5"/>
  <c r="BQ146" i="5" s="1"/>
  <c r="E60" i="5"/>
  <c r="D60" i="5"/>
  <c r="O48" i="7"/>
  <c r="N47" i="6"/>
  <c r="AL47" i="7"/>
  <c r="J57" i="16"/>
  <c r="L56" i="16"/>
  <c r="DG149" i="5"/>
  <c r="DH149" i="5"/>
  <c r="CF149" i="5"/>
  <c r="AI55" i="5"/>
  <c r="AF56" i="5"/>
  <c r="H100" i="9"/>
  <c r="J99" i="9"/>
  <c r="N53" i="8"/>
  <c r="AG52" i="8"/>
  <c r="J46" i="11"/>
  <c r="L45" i="11"/>
  <c r="AI50" i="8"/>
  <c r="AJ51" i="8"/>
  <c r="BS47" i="25"/>
  <c r="BT46" i="25"/>
  <c r="BU47" i="25"/>
  <c r="DE144" i="5"/>
  <c r="DF144" i="5"/>
  <c r="AB50" i="9"/>
  <c r="L51" i="9"/>
  <c r="CJ145" i="5"/>
  <c r="CF146" i="5"/>
  <c r="CJ146" i="5" s="1"/>
  <c r="Q45" i="6"/>
  <c r="Q46" i="6"/>
  <c r="AQ72" i="14"/>
  <c r="AW71" i="14"/>
  <c r="G53" i="11"/>
  <c r="AT149" i="5"/>
  <c r="AU149" i="5"/>
  <c r="CD150" i="5"/>
  <c r="CE150" i="5"/>
  <c r="AF59" i="5"/>
  <c r="AH59" i="5"/>
  <c r="AG59" i="5"/>
  <c r="AO46" i="7"/>
  <c r="AN45" i="7"/>
  <c r="AA65" i="5" l="1"/>
  <c r="AB64" i="5"/>
  <c r="R151" i="5"/>
  <c r="AI59" i="5"/>
  <c r="CN71" i="14"/>
  <c r="CO71" i="14" s="1"/>
  <c r="CP71" i="14" s="1"/>
  <c r="CQ71" i="14" s="1"/>
  <c r="BM152" i="5"/>
  <c r="AX71" i="14"/>
  <c r="U152" i="5"/>
  <c r="X152" i="5" s="1"/>
  <c r="V152" i="5"/>
  <c r="BG96" i="5"/>
  <c r="BF96" i="5"/>
  <c r="AT150" i="5"/>
  <c r="AV150" i="5" s="1"/>
  <c r="AY150" i="5" s="1"/>
  <c r="AU150" i="5"/>
  <c r="P47" i="6"/>
  <c r="G88" i="15"/>
  <c r="H87" i="15"/>
  <c r="F55" i="24"/>
  <c r="K54" i="24"/>
  <c r="AI51" i="8"/>
  <c r="AJ52" i="8"/>
  <c r="K49" i="22"/>
  <c r="P48" i="22"/>
  <c r="CC151" i="5"/>
  <c r="CB151" i="5"/>
  <c r="CA151" i="5"/>
  <c r="AO47" i="7"/>
  <c r="AN46" i="7"/>
  <c r="K72" i="15"/>
  <c r="M71" i="15"/>
  <c r="E61" i="5"/>
  <c r="D61" i="5"/>
  <c r="G54" i="11"/>
  <c r="AW72" i="14"/>
  <c r="AQ73" i="14"/>
  <c r="L52" i="9"/>
  <c r="AB51" i="9"/>
  <c r="BS48" i="25"/>
  <c r="BT47" i="25"/>
  <c r="BU48" i="25"/>
  <c r="J47" i="11"/>
  <c r="L46" i="11"/>
  <c r="J100" i="9"/>
  <c r="H101" i="9"/>
  <c r="CJ149" i="5"/>
  <c r="BS136" i="5"/>
  <c r="BR136" i="5"/>
  <c r="O49" i="7"/>
  <c r="AL48" i="7"/>
  <c r="N48" i="6"/>
  <c r="P48" i="6" s="1"/>
  <c r="Q48" i="6" s="1"/>
  <c r="DE145" i="5"/>
  <c r="DF145" i="5"/>
  <c r="BO146" i="5"/>
  <c r="P150" i="5"/>
  <c r="S150" i="5" s="1"/>
  <c r="BP150" i="5" s="1"/>
  <c r="Q150" i="5"/>
  <c r="BQ149" i="5"/>
  <c r="BO149" i="5"/>
  <c r="F95" i="16"/>
  <c r="AR94" i="16"/>
  <c r="AW94" i="16" s="1"/>
  <c r="G94" i="16"/>
  <c r="N51" i="11"/>
  <c r="AE50" i="11"/>
  <c r="W185" i="5"/>
  <c r="EG74" i="25"/>
  <c r="CD151" i="5"/>
  <c r="CE151" i="5"/>
  <c r="AY70" i="14"/>
  <c r="AZ71" i="14"/>
  <c r="BI52" i="8"/>
  <c r="BJ52" i="8" s="1"/>
  <c r="BK52" i="8" s="1"/>
  <c r="BL52" i="8" s="1"/>
  <c r="J91" i="5" s="1"/>
  <c r="AO91" i="5"/>
  <c r="AH52" i="8"/>
  <c r="J58" i="16"/>
  <c r="L57" i="16"/>
  <c r="AF60" i="5"/>
  <c r="AH60" i="5"/>
  <c r="AG60" i="5"/>
  <c r="AQ85" i="5"/>
  <c r="AS85" i="5"/>
  <c r="AS86" i="5" s="1"/>
  <c r="AR85" i="5"/>
  <c r="AR86" i="5" s="1"/>
  <c r="AY145" i="5"/>
  <c r="AY146" i="5" s="1"/>
  <c r="AV146" i="5"/>
  <c r="H47" i="27"/>
  <c r="M46" i="27"/>
  <c r="CZ52" i="5"/>
  <c r="DA52" i="5" s="1"/>
  <c r="DC52" i="5" s="1"/>
  <c r="AV149" i="5"/>
  <c r="H89" i="5"/>
  <c r="I89" i="5"/>
  <c r="AG53" i="8"/>
  <c r="N54" i="8"/>
  <c r="AM55" i="5"/>
  <c r="AI56" i="5"/>
  <c r="BQ47" i="7"/>
  <c r="BR47" i="7" s="1"/>
  <c r="BS47" i="7" s="1"/>
  <c r="BT47" i="7" s="1"/>
  <c r="F63" i="5" s="1"/>
  <c r="AD63" i="5"/>
  <c r="AM47" i="7"/>
  <c r="BT135" i="5"/>
  <c r="BW135" i="5" s="1"/>
  <c r="DG150" i="5"/>
  <c r="DH150" i="5"/>
  <c r="CF150" i="5"/>
  <c r="CJ150" i="5" s="1"/>
  <c r="BW134" i="5"/>
  <c r="AI60" i="5" l="1"/>
  <c r="AM60" i="5" s="1"/>
  <c r="CY60" i="5" s="1"/>
  <c r="AA66" i="5"/>
  <c r="AB65" i="5"/>
  <c r="R152" i="5"/>
  <c r="W186" i="5"/>
  <c r="EG75" i="25"/>
  <c r="AT151" i="5"/>
  <c r="AU151" i="5"/>
  <c r="V153" i="5"/>
  <c r="U153" i="5"/>
  <c r="X153" i="5" s="1"/>
  <c r="AW73" i="14"/>
  <c r="AQ74" i="14"/>
  <c r="G55" i="11"/>
  <c r="DH151" i="5"/>
  <c r="DG151" i="5"/>
  <c r="CF151" i="5"/>
  <c r="CJ151" i="5" s="1"/>
  <c r="P49" i="22"/>
  <c r="K50" i="22"/>
  <c r="G89" i="15"/>
  <c r="H88" i="15"/>
  <c r="CA152" i="5"/>
  <c r="CC152" i="5"/>
  <c r="CB152" i="5"/>
  <c r="AO48" i="7"/>
  <c r="AN47" i="7"/>
  <c r="CY55" i="5"/>
  <c r="AM56" i="5"/>
  <c r="AQ89" i="5"/>
  <c r="AS89" i="5"/>
  <c r="AR89" i="5"/>
  <c r="CZ53" i="5"/>
  <c r="BS137" i="5"/>
  <c r="BT137" i="5"/>
  <c r="BW137" i="5" s="1"/>
  <c r="Q151" i="5"/>
  <c r="P151" i="5"/>
  <c r="S151" i="5" s="1"/>
  <c r="BP151" i="5" s="1"/>
  <c r="BQ48" i="7"/>
  <c r="BR48" i="7" s="1"/>
  <c r="BS48" i="7" s="1"/>
  <c r="BT48" i="7" s="1"/>
  <c r="F64" i="5" s="1"/>
  <c r="AD64" i="5"/>
  <c r="AM48" i="7"/>
  <c r="BF97" i="5"/>
  <c r="BH97" i="5" s="1"/>
  <c r="BK97" i="5" s="1"/>
  <c r="BG97" i="5"/>
  <c r="BS49" i="25"/>
  <c r="BU49" i="25"/>
  <c r="BT48" i="25"/>
  <c r="BM153" i="5"/>
  <c r="CN72" i="14"/>
  <c r="CO72" i="14" s="1"/>
  <c r="CP72" i="14" s="1"/>
  <c r="CQ72" i="14" s="1"/>
  <c r="AX72" i="14"/>
  <c r="AG61" i="5"/>
  <c r="AF61" i="5"/>
  <c r="AH61" i="5"/>
  <c r="K73" i="15"/>
  <c r="M72" i="15"/>
  <c r="BH96" i="5"/>
  <c r="BK96" i="5" s="1"/>
  <c r="AM59" i="5"/>
  <c r="AV85" i="5"/>
  <c r="AQ86" i="5"/>
  <c r="N55" i="8"/>
  <c r="AG54" i="8"/>
  <c r="AY149" i="5"/>
  <c r="CD152" i="5"/>
  <c r="CE152" i="5"/>
  <c r="J59" i="16"/>
  <c r="L58" i="16"/>
  <c r="AR95" i="16"/>
  <c r="AW95" i="16" s="1"/>
  <c r="F96" i="16"/>
  <c r="G95" i="16"/>
  <c r="O50" i="7"/>
  <c r="AL49" i="7"/>
  <c r="N49" i="6"/>
  <c r="P49" i="6" s="1"/>
  <c r="Q49" i="6" s="1"/>
  <c r="J48" i="11"/>
  <c r="L47" i="11"/>
  <c r="E62" i="5"/>
  <c r="D62" i="5"/>
  <c r="F56" i="24"/>
  <c r="K55" i="24"/>
  <c r="Q47" i="6"/>
  <c r="AZ72" i="14"/>
  <c r="AY71" i="14"/>
  <c r="AO92" i="5"/>
  <c r="BI53" i="8"/>
  <c r="BJ53" i="8" s="1"/>
  <c r="BK53" i="8" s="1"/>
  <c r="BL53" i="8" s="1"/>
  <c r="J92" i="5" s="1"/>
  <c r="AH53" i="8"/>
  <c r="H48" i="27"/>
  <c r="M47" i="27"/>
  <c r="AJ53" i="8"/>
  <c r="AI52" i="8"/>
  <c r="N52" i="11"/>
  <c r="AE51" i="11"/>
  <c r="DE149" i="5"/>
  <c r="DF149" i="5"/>
  <c r="BQ150" i="5"/>
  <c r="BO150" i="5"/>
  <c r="BT136" i="5"/>
  <c r="BW136" i="5" s="1"/>
  <c r="J101" i="9"/>
  <c r="H102" i="9"/>
  <c r="L53" i="9"/>
  <c r="AB52" i="9"/>
  <c r="H90" i="5"/>
  <c r="I90" i="5"/>
  <c r="AA67" i="5" l="1"/>
  <c r="AB67" i="5" s="1"/>
  <c r="AB66" i="5"/>
  <c r="R153" i="5"/>
  <c r="P152" i="5"/>
  <c r="S152" i="5" s="1"/>
  <c r="BP152" i="5" s="1"/>
  <c r="Q152" i="5"/>
  <c r="J60" i="16"/>
  <c r="L59" i="16"/>
  <c r="V154" i="5"/>
  <c r="U154" i="5"/>
  <c r="X154" i="5" s="1"/>
  <c r="AW74" i="14"/>
  <c r="AQ75" i="14"/>
  <c r="EG76" i="25"/>
  <c r="W187" i="5"/>
  <c r="F57" i="24"/>
  <c r="K56" i="24"/>
  <c r="BG98" i="5"/>
  <c r="BF98" i="5"/>
  <c r="BH98" i="5" s="1"/>
  <c r="BK98" i="5" s="1"/>
  <c r="AR96" i="16"/>
  <c r="AW96" i="16" s="1"/>
  <c r="G96" i="16"/>
  <c r="G97" i="16"/>
  <c r="AO93" i="5"/>
  <c r="BI54" i="8"/>
  <c r="BJ54" i="8" s="1"/>
  <c r="BK54" i="8" s="1"/>
  <c r="BL54" i="8" s="1"/>
  <c r="J93" i="5" s="1"/>
  <c r="AH54" i="8"/>
  <c r="CY59" i="5"/>
  <c r="K74" i="15"/>
  <c r="M73" i="15"/>
  <c r="AY72" i="14"/>
  <c r="AZ73" i="14"/>
  <c r="D63" i="5"/>
  <c r="E63" i="5"/>
  <c r="G90" i="15"/>
  <c r="H89" i="15"/>
  <c r="BM154" i="5"/>
  <c r="CN73" i="14"/>
  <c r="CO73" i="14" s="1"/>
  <c r="CP73" i="14" s="1"/>
  <c r="CQ73" i="14" s="1"/>
  <c r="AX73" i="14"/>
  <c r="AV151" i="5"/>
  <c r="H103" i="9"/>
  <c r="J102" i="9"/>
  <c r="I91" i="5"/>
  <c r="H91" i="5"/>
  <c r="CD153" i="5"/>
  <c r="CE153" i="5"/>
  <c r="J49" i="11"/>
  <c r="L48" i="11"/>
  <c r="AD65" i="5"/>
  <c r="BQ49" i="7"/>
  <c r="BR49" i="7" s="1"/>
  <c r="BS49" i="7" s="1"/>
  <c r="BT49" i="7" s="1"/>
  <c r="F65" i="5" s="1"/>
  <c r="AM49" i="7"/>
  <c r="N56" i="8"/>
  <c r="AG55" i="8"/>
  <c r="AY85" i="5"/>
  <c r="AV86" i="5"/>
  <c r="AY86" i="5" s="1"/>
  <c r="BS50" i="25"/>
  <c r="BT49" i="25"/>
  <c r="BU50" i="25"/>
  <c r="AO49" i="7"/>
  <c r="AN48" i="7"/>
  <c r="BQ151" i="5"/>
  <c r="BO151" i="5"/>
  <c r="CZ54" i="5"/>
  <c r="AV89" i="5"/>
  <c r="P50" i="22"/>
  <c r="K51" i="22"/>
  <c r="G56" i="11"/>
  <c r="CA153" i="5"/>
  <c r="CC153" i="5"/>
  <c r="CB153" i="5"/>
  <c r="AI53" i="8"/>
  <c r="AJ54" i="8"/>
  <c r="AT152" i="5"/>
  <c r="AV152" i="5" s="1"/>
  <c r="AY152" i="5" s="1"/>
  <c r="AU152" i="5"/>
  <c r="AR90" i="5"/>
  <c r="AQ90" i="5"/>
  <c r="AV90" i="5" s="1"/>
  <c r="AY90" i="5" s="1"/>
  <c r="AS90" i="5"/>
  <c r="AB53" i="9"/>
  <c r="L54" i="9"/>
  <c r="DF150" i="5"/>
  <c r="DE150" i="5"/>
  <c r="N53" i="11"/>
  <c r="AE52" i="11"/>
  <c r="H49" i="27"/>
  <c r="M48" i="27"/>
  <c r="AH62" i="5"/>
  <c r="AG62" i="5"/>
  <c r="AF62" i="5"/>
  <c r="N50" i="6"/>
  <c r="P50" i="6" s="1"/>
  <c r="O51" i="7"/>
  <c r="AL50" i="7"/>
  <c r="BS138" i="5"/>
  <c r="AI61" i="5"/>
  <c r="DA53" i="5"/>
  <c r="DC53" i="5" s="1"/>
  <c r="DH152" i="5"/>
  <c r="DG152" i="5"/>
  <c r="CF152" i="5"/>
  <c r="AB71" i="5" l="1"/>
  <c r="R154" i="5"/>
  <c r="P51" i="22"/>
  <c r="K52" i="22"/>
  <c r="CZ55" i="5"/>
  <c r="DA55" i="5" s="1"/>
  <c r="DC55" i="5" s="1"/>
  <c r="U155" i="5"/>
  <c r="X155" i="5" s="1"/>
  <c r="V155" i="5"/>
  <c r="AU153" i="5"/>
  <c r="AT153" i="5"/>
  <c r="AV153" i="5" s="1"/>
  <c r="AY153" i="5" s="1"/>
  <c r="AZ74" i="14"/>
  <c r="AY73" i="14"/>
  <c r="K75" i="15"/>
  <c r="M74" i="15"/>
  <c r="F58" i="24"/>
  <c r="K57" i="24"/>
  <c r="AW75" i="14"/>
  <c r="AQ76" i="14"/>
  <c r="BS139" i="5"/>
  <c r="BQ152" i="5"/>
  <c r="BO152" i="5"/>
  <c r="CJ152" i="5"/>
  <c r="BQ50" i="7"/>
  <c r="BR50" i="7" s="1"/>
  <c r="BS50" i="7" s="1"/>
  <c r="BT50" i="7" s="1"/>
  <c r="F66" i="5" s="1"/>
  <c r="AD66" i="5"/>
  <c r="AM50" i="7"/>
  <c r="O52" i="7"/>
  <c r="AL51" i="7"/>
  <c r="N51" i="6"/>
  <c r="P51" i="6" s="1"/>
  <c r="Q51" i="6" s="1"/>
  <c r="N54" i="11"/>
  <c r="AE53" i="11"/>
  <c r="AB54" i="9"/>
  <c r="L55" i="9"/>
  <c r="DG153" i="5"/>
  <c r="DH153" i="5"/>
  <c r="CF153" i="5"/>
  <c r="CJ153" i="5" s="1"/>
  <c r="DA54" i="5"/>
  <c r="DC54" i="5" s="1"/>
  <c r="E64" i="5"/>
  <c r="D64" i="5"/>
  <c r="BS51" i="25"/>
  <c r="BU51" i="25"/>
  <c r="BT50" i="25"/>
  <c r="AO94" i="5"/>
  <c r="BI55" i="8"/>
  <c r="BJ55" i="8" s="1"/>
  <c r="BK55" i="8" s="1"/>
  <c r="BL55" i="8" s="1"/>
  <c r="J94" i="5" s="1"/>
  <c r="AH55" i="8"/>
  <c r="H104" i="9"/>
  <c r="J103" i="9"/>
  <c r="G91" i="15"/>
  <c r="H90" i="15"/>
  <c r="BM155" i="5"/>
  <c r="CN74" i="14"/>
  <c r="CO74" i="14" s="1"/>
  <c r="CP74" i="14" s="1"/>
  <c r="CQ74" i="14" s="1"/>
  <c r="AX74" i="14"/>
  <c r="J61" i="16"/>
  <c r="L60" i="16"/>
  <c r="BT138" i="5"/>
  <c r="Q50" i="6"/>
  <c r="CE154" i="5"/>
  <c r="CD154" i="5"/>
  <c r="H92" i="5"/>
  <c r="I92" i="5"/>
  <c r="G57" i="11"/>
  <c r="DF151" i="5"/>
  <c r="DE151" i="5"/>
  <c r="N57" i="8"/>
  <c r="AG56" i="8"/>
  <c r="BF99" i="5"/>
  <c r="BH99" i="5" s="1"/>
  <c r="BK99" i="5" s="1"/>
  <c r="BG99" i="5"/>
  <c r="AS91" i="5"/>
  <c r="AR91" i="5"/>
  <c r="AQ91" i="5"/>
  <c r="Q153" i="5"/>
  <c r="P153" i="5"/>
  <c r="S153" i="5" s="1"/>
  <c r="BP153" i="5" s="1"/>
  <c r="W188" i="5"/>
  <c r="EG77" i="25"/>
  <c r="CA154" i="5"/>
  <c r="CB154" i="5"/>
  <c r="CC154" i="5"/>
  <c r="AM61" i="5"/>
  <c r="AI62" i="5"/>
  <c r="AM62" i="5" s="1"/>
  <c r="CY62" i="5" s="1"/>
  <c r="H50" i="27"/>
  <c r="M49" i="27"/>
  <c r="AY89" i="5"/>
  <c r="AN49" i="7"/>
  <c r="AO50" i="7"/>
  <c r="J50" i="11"/>
  <c r="L49" i="11"/>
  <c r="AY151" i="5"/>
  <c r="AF63" i="5"/>
  <c r="AH63" i="5"/>
  <c r="AG63" i="5"/>
  <c r="AJ55" i="8"/>
  <c r="AI54" i="8"/>
  <c r="AV91" i="5" l="1"/>
  <c r="AY91" i="5" s="1"/>
  <c r="DC56" i="5"/>
  <c r="R155" i="5"/>
  <c r="BG100" i="5"/>
  <c r="BG101" i="5" s="1"/>
  <c r="BF100" i="5"/>
  <c r="AO95" i="5"/>
  <c r="BI56" i="8"/>
  <c r="BJ56" i="8" s="1"/>
  <c r="BK56" i="8" s="1"/>
  <c r="BL56" i="8" s="1"/>
  <c r="J95" i="5" s="1"/>
  <c r="AH56" i="8"/>
  <c r="G58" i="11"/>
  <c r="CD155" i="5"/>
  <c r="CE155" i="5"/>
  <c r="DG154" i="5"/>
  <c r="DH154" i="5"/>
  <c r="N58" i="8"/>
  <c r="AG57" i="8"/>
  <c r="BS140" i="5"/>
  <c r="BT140" i="5"/>
  <c r="BW140" i="5" s="1"/>
  <c r="AU154" i="5"/>
  <c r="AT154" i="5"/>
  <c r="AF64" i="5"/>
  <c r="AH64" i="5"/>
  <c r="AG64" i="5"/>
  <c r="N55" i="11"/>
  <c r="AE54" i="11"/>
  <c r="CN75" i="14"/>
  <c r="CO75" i="14" s="1"/>
  <c r="CP75" i="14" s="1"/>
  <c r="CQ75" i="14" s="1"/>
  <c r="BM156" i="5"/>
  <c r="AX75" i="14"/>
  <c r="K76" i="15"/>
  <c r="M75" i="15"/>
  <c r="J51" i="11"/>
  <c r="L50" i="11"/>
  <c r="H93" i="5"/>
  <c r="I93" i="5"/>
  <c r="E65" i="5"/>
  <c r="D65" i="5"/>
  <c r="H51" i="27"/>
  <c r="M50" i="27"/>
  <c r="CY61" i="5"/>
  <c r="W189" i="5"/>
  <c r="EG78" i="25"/>
  <c r="AS92" i="5"/>
  <c r="AR92" i="5"/>
  <c r="AQ92" i="5"/>
  <c r="J62" i="16"/>
  <c r="L61" i="16"/>
  <c r="J104" i="9"/>
  <c r="H105" i="9"/>
  <c r="U156" i="5"/>
  <c r="X156" i="5" s="1"/>
  <c r="V156" i="5"/>
  <c r="AB55" i="9"/>
  <c r="L56" i="9"/>
  <c r="AO51" i="7"/>
  <c r="AN50" i="7"/>
  <c r="CZ58" i="5"/>
  <c r="BW138" i="5"/>
  <c r="AZ75" i="14"/>
  <c r="AY74" i="14"/>
  <c r="AI55" i="8"/>
  <c r="AJ56" i="8"/>
  <c r="AD67" i="5"/>
  <c r="BQ51" i="7"/>
  <c r="BR51" i="7" s="1"/>
  <c r="BS51" i="7" s="1"/>
  <c r="BT51" i="7" s="1"/>
  <c r="F67" i="5" s="1"/>
  <c r="AM51" i="7"/>
  <c r="BT139" i="5"/>
  <c r="BW139" i="5" s="1"/>
  <c r="F59" i="24"/>
  <c r="K58" i="24"/>
  <c r="P154" i="5"/>
  <c r="S154" i="5" s="1"/>
  <c r="BP154" i="5" s="1"/>
  <c r="Q154" i="5"/>
  <c r="K53" i="22"/>
  <c r="P52" i="22"/>
  <c r="AI63" i="5"/>
  <c r="AM63" i="5" s="1"/>
  <c r="CY63" i="5" s="1"/>
  <c r="BQ153" i="5"/>
  <c r="BO153" i="5"/>
  <c r="CF154" i="5"/>
  <c r="CJ154" i="5" s="1"/>
  <c r="G92" i="15"/>
  <c r="H91" i="15"/>
  <c r="BS52" i="25"/>
  <c r="BU52" i="25"/>
  <c r="BT51" i="25"/>
  <c r="AL52" i="7"/>
  <c r="N52" i="6"/>
  <c r="O76" i="7"/>
  <c r="DE152" i="5"/>
  <c r="DF152" i="5"/>
  <c r="AW76" i="14"/>
  <c r="AQ77" i="14"/>
  <c r="CB155" i="5"/>
  <c r="CA155" i="5"/>
  <c r="CC155" i="5"/>
  <c r="R156" i="5" l="1"/>
  <c r="DG155" i="5"/>
  <c r="DH155" i="5"/>
  <c r="CF155" i="5"/>
  <c r="CJ155" i="5" s="1"/>
  <c r="AW77" i="14"/>
  <c r="AQ78" i="14"/>
  <c r="V157" i="5"/>
  <c r="U157" i="5"/>
  <c r="X157" i="5" s="1"/>
  <c r="G93" i="15"/>
  <c r="H92" i="15"/>
  <c r="K54" i="22"/>
  <c r="P53" i="22"/>
  <c r="F60" i="24"/>
  <c r="K59" i="24"/>
  <c r="L57" i="9"/>
  <c r="AB56" i="9"/>
  <c r="CB156" i="5"/>
  <c r="CC156" i="5"/>
  <c r="CA156" i="5"/>
  <c r="J63" i="16"/>
  <c r="L62" i="16"/>
  <c r="BF104" i="5"/>
  <c r="BG104" i="5"/>
  <c r="K77" i="15"/>
  <c r="M76" i="15"/>
  <c r="BM157" i="5"/>
  <c r="CN76" i="14"/>
  <c r="CO76" i="14" s="1"/>
  <c r="CP76" i="14" s="1"/>
  <c r="CQ76" i="14" s="1"/>
  <c r="AX76" i="14"/>
  <c r="Q155" i="5"/>
  <c r="P155" i="5"/>
  <c r="S155" i="5" s="1"/>
  <c r="BP155" i="5" s="1"/>
  <c r="H106" i="9"/>
  <c r="J105" i="9"/>
  <c r="AV92" i="5"/>
  <c r="W190" i="5"/>
  <c r="EG79" i="25"/>
  <c r="CD156" i="5"/>
  <c r="CE156" i="5"/>
  <c r="J52" i="11"/>
  <c r="L51" i="11"/>
  <c r="AZ76" i="14"/>
  <c r="AY75" i="14"/>
  <c r="AI64" i="5"/>
  <c r="AM64" i="5" s="1"/>
  <c r="CY64" i="5" s="1"/>
  <c r="BQ52" i="7"/>
  <c r="BR52" i="7" s="1"/>
  <c r="BS52" i="7" s="1"/>
  <c r="AD68" i="5"/>
  <c r="AD71" i="5" s="1"/>
  <c r="AL76" i="7"/>
  <c r="AM63" i="7"/>
  <c r="AM52" i="7"/>
  <c r="AM54" i="7"/>
  <c r="AM64" i="7"/>
  <c r="AM57" i="7"/>
  <c r="AM60" i="7"/>
  <c r="AM66" i="7"/>
  <c r="AM71" i="7"/>
  <c r="AM74" i="7"/>
  <c r="AN74" i="7" s="1"/>
  <c r="AM72" i="7"/>
  <c r="AM73" i="7"/>
  <c r="AM53" i="7"/>
  <c r="AM58" i="7"/>
  <c r="AM67" i="7"/>
  <c r="AM68" i="7"/>
  <c r="AM70" i="7"/>
  <c r="AM61" i="7"/>
  <c r="AM55" i="7"/>
  <c r="AM59" i="7"/>
  <c r="AM69" i="7"/>
  <c r="AM56" i="7"/>
  <c r="AM62" i="7"/>
  <c r="AM65" i="7"/>
  <c r="P52" i="6"/>
  <c r="N71" i="6"/>
  <c r="N80" i="6"/>
  <c r="BS53" i="25"/>
  <c r="BT52" i="25"/>
  <c r="BU53" i="25"/>
  <c r="DF153" i="5"/>
  <c r="DE153" i="5"/>
  <c r="BO154" i="5"/>
  <c r="BQ154" i="5"/>
  <c r="AN51" i="7"/>
  <c r="AO52" i="7"/>
  <c r="E66" i="5"/>
  <c r="D66" i="5"/>
  <c r="AT155" i="5"/>
  <c r="AU155" i="5"/>
  <c r="H52" i="27"/>
  <c r="M51" i="27"/>
  <c r="N56" i="11"/>
  <c r="AE55" i="11"/>
  <c r="AV154" i="5"/>
  <c r="BI57" i="8"/>
  <c r="BJ57" i="8" s="1"/>
  <c r="BK57" i="8" s="1"/>
  <c r="BL57" i="8" s="1"/>
  <c r="J96" i="5" s="1"/>
  <c r="AO96" i="5"/>
  <c r="AH57" i="8"/>
  <c r="G59" i="11"/>
  <c r="BH100" i="5"/>
  <c r="BF101" i="5"/>
  <c r="H94" i="5"/>
  <c r="I94" i="5"/>
  <c r="CZ59" i="5"/>
  <c r="BS141" i="5"/>
  <c r="AH65" i="5"/>
  <c r="AG65" i="5"/>
  <c r="AF65" i="5"/>
  <c r="AR93" i="5"/>
  <c r="AS93" i="5"/>
  <c r="AQ93" i="5"/>
  <c r="N59" i="8"/>
  <c r="AG58" i="8"/>
  <c r="AI56" i="8"/>
  <c r="AJ57" i="8"/>
  <c r="AI65" i="5" l="1"/>
  <c r="AM65" i="5" s="1"/>
  <c r="CY65" i="5" s="1"/>
  <c r="R157" i="5"/>
  <c r="AV93" i="5"/>
  <c r="AY93" i="5" s="1"/>
  <c r="CZ60" i="5"/>
  <c r="DA60" i="5" s="1"/>
  <c r="DC60" i="5" s="1"/>
  <c r="BS54" i="25"/>
  <c r="BU54" i="25"/>
  <c r="BT53" i="25"/>
  <c r="AO66" i="7"/>
  <c r="AN65" i="7"/>
  <c r="AO60" i="7"/>
  <c r="AN59" i="7"/>
  <c r="AO69" i="7"/>
  <c r="AN68" i="7"/>
  <c r="AN73" i="7"/>
  <c r="AO74" i="7"/>
  <c r="AO67" i="7"/>
  <c r="AN66" i="7"/>
  <c r="AO55" i="7"/>
  <c r="AN54" i="7"/>
  <c r="Q156" i="5"/>
  <c r="P156" i="5"/>
  <c r="S156" i="5" s="1"/>
  <c r="BP156" i="5" s="1"/>
  <c r="AY92" i="5"/>
  <c r="K78" i="15"/>
  <c r="M77" i="15"/>
  <c r="J64" i="16"/>
  <c r="L63" i="16"/>
  <c r="AW78" i="14"/>
  <c r="AQ79" i="14"/>
  <c r="BT141" i="5"/>
  <c r="G60" i="11"/>
  <c r="N57" i="11"/>
  <c r="AE56" i="11"/>
  <c r="AV155" i="5"/>
  <c r="AY155" i="5" s="1"/>
  <c r="DE154" i="5"/>
  <c r="DF154" i="5"/>
  <c r="AO63" i="7"/>
  <c r="AN62" i="7"/>
  <c r="AO56" i="7"/>
  <c r="AN55" i="7"/>
  <c r="AN67" i="7"/>
  <c r="AO68" i="7"/>
  <c r="AN72" i="7"/>
  <c r="AO73" i="7"/>
  <c r="AN60" i="7"/>
  <c r="AO61" i="7"/>
  <c r="AO53" i="7"/>
  <c r="AN52" i="7"/>
  <c r="BT58" i="7"/>
  <c r="F77" i="5" s="1"/>
  <c r="BT53" i="7"/>
  <c r="F69" i="5" s="1"/>
  <c r="BT59" i="7"/>
  <c r="F78" i="5" s="1"/>
  <c r="BT66" i="7"/>
  <c r="F85" i="5" s="1"/>
  <c r="BT73" i="7"/>
  <c r="F95" i="5" s="1"/>
  <c r="BT57" i="7"/>
  <c r="F76" i="5" s="1"/>
  <c r="BT52" i="7"/>
  <c r="F68" i="5" s="1"/>
  <c r="BT64" i="7"/>
  <c r="F83" i="5" s="1"/>
  <c r="BT54" i="7"/>
  <c r="F70" i="5" s="1"/>
  <c r="BT74" i="7"/>
  <c r="F96" i="5" s="1"/>
  <c r="BT71" i="7"/>
  <c r="F93" i="5" s="1"/>
  <c r="BT62" i="7"/>
  <c r="F81" i="5" s="1"/>
  <c r="BT72" i="7"/>
  <c r="F94" i="5" s="1"/>
  <c r="BT56" i="7"/>
  <c r="F75" i="5" s="1"/>
  <c r="BT69" i="7"/>
  <c r="F91" i="5" s="1"/>
  <c r="BT68" i="7"/>
  <c r="F90" i="5" s="1"/>
  <c r="BT70" i="7"/>
  <c r="F92" i="5" s="1"/>
  <c r="BT61" i="7"/>
  <c r="F80" i="5" s="1"/>
  <c r="BT63" i="7"/>
  <c r="F82" i="5" s="1"/>
  <c r="BT55" i="7"/>
  <c r="F74" i="5" s="1"/>
  <c r="BT65" i="7"/>
  <c r="F84" i="5" s="1"/>
  <c r="BT67" i="7"/>
  <c r="F89" i="5" s="1"/>
  <c r="BT60" i="7"/>
  <c r="F79" i="5" s="1"/>
  <c r="CF156" i="5"/>
  <c r="CJ156" i="5" s="1"/>
  <c r="AT156" i="5"/>
  <c r="AU156" i="5"/>
  <c r="DG156" i="5"/>
  <c r="DH156" i="5"/>
  <c r="AB57" i="9"/>
  <c r="L58" i="9"/>
  <c r="F61" i="24"/>
  <c r="K60" i="24"/>
  <c r="G94" i="15"/>
  <c r="H93" i="15"/>
  <c r="BM158" i="5"/>
  <c r="CN77" i="14"/>
  <c r="CO77" i="14" s="1"/>
  <c r="CP77" i="14" s="1"/>
  <c r="CQ77" i="14" s="1"/>
  <c r="AX77" i="14"/>
  <c r="AR94" i="5"/>
  <c r="AQ94" i="5"/>
  <c r="AS94" i="5"/>
  <c r="CD157" i="5"/>
  <c r="CE157" i="5"/>
  <c r="E67" i="5"/>
  <c r="D67" i="5"/>
  <c r="AN56" i="7"/>
  <c r="AO57" i="7"/>
  <c r="AO62" i="7"/>
  <c r="AN61" i="7"/>
  <c r="AN58" i="7"/>
  <c r="AO59" i="7"/>
  <c r="AN57" i="7"/>
  <c r="AO58" i="7"/>
  <c r="AO64" i="7"/>
  <c r="AN63" i="7"/>
  <c r="BG105" i="5"/>
  <c r="BF105" i="5"/>
  <c r="EG80" i="25"/>
  <c r="W194" i="5"/>
  <c r="J106" i="9"/>
  <c r="H107" i="9"/>
  <c r="AZ77" i="14"/>
  <c r="AY76" i="14"/>
  <c r="BH104" i="5"/>
  <c r="CB157" i="5"/>
  <c r="CC157" i="5"/>
  <c r="CA157" i="5"/>
  <c r="H95" i="5"/>
  <c r="I95" i="5"/>
  <c r="AO97" i="5"/>
  <c r="BI58" i="8"/>
  <c r="BJ58" i="8" s="1"/>
  <c r="BK58" i="8" s="1"/>
  <c r="BL58" i="8" s="1"/>
  <c r="J97" i="5" s="1"/>
  <c r="AH58" i="8"/>
  <c r="AG59" i="8"/>
  <c r="N60" i="8"/>
  <c r="DA59" i="5"/>
  <c r="DC59" i="5" s="1"/>
  <c r="BK100" i="5"/>
  <c r="BH101" i="5"/>
  <c r="BK101" i="5" s="1"/>
  <c r="AJ58" i="8"/>
  <c r="AI57" i="8"/>
  <c r="AY154" i="5"/>
  <c r="H53" i="27"/>
  <c r="M52" i="27"/>
  <c r="AG66" i="5"/>
  <c r="AF66" i="5"/>
  <c r="AH66" i="5"/>
  <c r="U158" i="5"/>
  <c r="X158" i="5" s="1"/>
  <c r="V158" i="5"/>
  <c r="Q63" i="6"/>
  <c r="Q67" i="6"/>
  <c r="Q54" i="6"/>
  <c r="Q61" i="6"/>
  <c r="Q68" i="6"/>
  <c r="Q56" i="6"/>
  <c r="Q59" i="6"/>
  <c r="Q64" i="6"/>
  <c r="Q60" i="6"/>
  <c r="Q57" i="6"/>
  <c r="Q52" i="6"/>
  <c r="Q65" i="6"/>
  <c r="Q66" i="6"/>
  <c r="Q58" i="6"/>
  <c r="Q55" i="6"/>
  <c r="Q53" i="6"/>
  <c r="P71" i="6"/>
  <c r="Q62" i="6"/>
  <c r="P80" i="6"/>
  <c r="AO70" i="7"/>
  <c r="AN69" i="7"/>
  <c r="AO71" i="7"/>
  <c r="AN70" i="7"/>
  <c r="AO54" i="7"/>
  <c r="AN53" i="7"/>
  <c r="AN71" i="7"/>
  <c r="AO72" i="7"/>
  <c r="AN64" i="7"/>
  <c r="AO65" i="7"/>
  <c r="J53" i="11"/>
  <c r="L52" i="11"/>
  <c r="BO155" i="5"/>
  <c r="BQ155" i="5"/>
  <c r="BT142" i="5"/>
  <c r="BW142" i="5" s="1"/>
  <c r="BS142" i="5"/>
  <c r="K55" i="22"/>
  <c r="P54" i="22"/>
  <c r="AI66" i="5" l="1"/>
  <c r="AM66" i="5" s="1"/>
  <c r="CY66" i="5" s="1"/>
  <c r="R158" i="5"/>
  <c r="D91" i="5"/>
  <c r="E91" i="5"/>
  <c r="DF155" i="5"/>
  <c r="DE155" i="5"/>
  <c r="D83" i="5"/>
  <c r="E83" i="5"/>
  <c r="AJ59" i="8"/>
  <c r="AI58" i="8"/>
  <c r="AQ95" i="5"/>
  <c r="AS95" i="5"/>
  <c r="AR95" i="5"/>
  <c r="AT157" i="5"/>
  <c r="AU157" i="5"/>
  <c r="D80" i="5"/>
  <c r="E80" i="5"/>
  <c r="AF67" i="5"/>
  <c r="AH67" i="5"/>
  <c r="AG67" i="5"/>
  <c r="AY77" i="14"/>
  <c r="AZ78" i="14"/>
  <c r="G95" i="15"/>
  <c r="H94" i="15"/>
  <c r="AG96" i="5"/>
  <c r="AF96" i="5"/>
  <c r="AH96" i="5"/>
  <c r="E81" i="5"/>
  <c r="D81" i="5"/>
  <c r="CN78" i="14"/>
  <c r="CO78" i="14" s="1"/>
  <c r="CP78" i="14" s="1"/>
  <c r="CQ78" i="14" s="1"/>
  <c r="BM159" i="5"/>
  <c r="AX78" i="14"/>
  <c r="BQ156" i="5"/>
  <c r="BO156" i="5"/>
  <c r="D85" i="5"/>
  <c r="E85" i="5"/>
  <c r="E90" i="5"/>
  <c r="D90" i="5"/>
  <c r="D84" i="5"/>
  <c r="E84" i="5"/>
  <c r="BS55" i="25"/>
  <c r="BT54" i="25"/>
  <c r="BU55" i="25"/>
  <c r="E69" i="5"/>
  <c r="D69" i="5"/>
  <c r="K56" i="22"/>
  <c r="P55" i="22"/>
  <c r="BG106" i="5"/>
  <c r="BF106" i="5"/>
  <c r="E92" i="5"/>
  <c r="D92" i="5"/>
  <c r="CB158" i="5"/>
  <c r="CA158" i="5"/>
  <c r="CC158" i="5"/>
  <c r="CE158" i="5"/>
  <c r="CD158" i="5"/>
  <c r="H96" i="5"/>
  <c r="I96" i="5"/>
  <c r="P157" i="5"/>
  <c r="S157" i="5" s="1"/>
  <c r="BP157" i="5" s="1"/>
  <c r="Q157" i="5"/>
  <c r="D76" i="5"/>
  <c r="E76" i="5"/>
  <c r="AV156" i="5"/>
  <c r="E79" i="5"/>
  <c r="D79" i="5"/>
  <c r="E89" i="5"/>
  <c r="D89" i="5"/>
  <c r="G61" i="11"/>
  <c r="K79" i="15"/>
  <c r="M78" i="15"/>
  <c r="J54" i="11"/>
  <c r="L53" i="11"/>
  <c r="E93" i="5"/>
  <c r="D93" i="5"/>
  <c r="H54" i="27"/>
  <c r="M53" i="27"/>
  <c r="N61" i="8"/>
  <c r="AG60" i="8"/>
  <c r="DH157" i="5"/>
  <c r="DG157" i="5"/>
  <c r="CF157" i="5"/>
  <c r="CJ157" i="5" s="1"/>
  <c r="W195" i="5"/>
  <c r="EG81" i="25"/>
  <c r="E82" i="5"/>
  <c r="D82" i="5"/>
  <c r="AV94" i="5"/>
  <c r="F62" i="24"/>
  <c r="K61" i="24"/>
  <c r="E68" i="5"/>
  <c r="D68" i="5"/>
  <c r="E74" i="5"/>
  <c r="D74" i="5"/>
  <c r="BW141" i="5"/>
  <c r="BS143" i="5"/>
  <c r="D70" i="5"/>
  <c r="E70" i="5"/>
  <c r="D78" i="5"/>
  <c r="E78" i="5"/>
  <c r="U159" i="5"/>
  <c r="X159" i="5" s="1"/>
  <c r="V159" i="5"/>
  <c r="CZ61" i="5"/>
  <c r="DA61" i="5" s="1"/>
  <c r="DC61" i="5" s="1"/>
  <c r="AO98" i="5"/>
  <c r="BI59" i="8"/>
  <c r="BJ59" i="8" s="1"/>
  <c r="BK59" i="8" s="1"/>
  <c r="BL59" i="8" s="1"/>
  <c r="J98" i="5" s="1"/>
  <c r="AH59" i="8"/>
  <c r="BK104" i="5"/>
  <c r="H108" i="9"/>
  <c r="J107" i="9"/>
  <c r="BH105" i="5"/>
  <c r="BK105" i="5" s="1"/>
  <c r="D77" i="5"/>
  <c r="E77" i="5"/>
  <c r="D75" i="5"/>
  <c r="E75" i="5"/>
  <c r="AB58" i="9"/>
  <c r="L59" i="9"/>
  <c r="E94" i="5"/>
  <c r="D94" i="5"/>
  <c r="N58" i="11"/>
  <c r="AE57" i="11"/>
  <c r="AW79" i="14"/>
  <c r="AQ80" i="14"/>
  <c r="J65" i="16"/>
  <c r="L64" i="16"/>
  <c r="E95" i="5"/>
  <c r="D95" i="5"/>
  <c r="AV95" i="5" l="1"/>
  <c r="AY95" i="5" s="1"/>
  <c r="CQ79" i="14"/>
  <c r="R159" i="5"/>
  <c r="BM160" i="5"/>
  <c r="BM161" i="5" s="1"/>
  <c r="CN79" i="14"/>
  <c r="CO79" i="14" s="1"/>
  <c r="CP79" i="14" s="1"/>
  <c r="AX79" i="14"/>
  <c r="AH74" i="5"/>
  <c r="AG74" i="5"/>
  <c r="AF74" i="5"/>
  <c r="CE159" i="5"/>
  <c r="CD159" i="5"/>
  <c r="BF107" i="5"/>
  <c r="BH107" i="5" s="1"/>
  <c r="BK107" i="5" s="1"/>
  <c r="BG107" i="5"/>
  <c r="K80" i="15"/>
  <c r="M79" i="15"/>
  <c r="AY156" i="5"/>
  <c r="BQ157" i="5"/>
  <c r="BO157" i="5"/>
  <c r="BS56" i="25"/>
  <c r="BU56" i="25"/>
  <c r="BT55" i="25"/>
  <c r="AZ79" i="14"/>
  <c r="AY78" i="14"/>
  <c r="AF80" i="5"/>
  <c r="AH80" i="5"/>
  <c r="AG80" i="5"/>
  <c r="BT144" i="5"/>
  <c r="BW144" i="5" s="1"/>
  <c r="BS144" i="5"/>
  <c r="AB59" i="9"/>
  <c r="L60" i="9"/>
  <c r="AG75" i="5"/>
  <c r="AF75" i="5"/>
  <c r="AH75" i="5"/>
  <c r="AT158" i="5"/>
  <c r="AU158" i="5"/>
  <c r="AJ60" i="8"/>
  <c r="AI59" i="8"/>
  <c r="CZ62" i="5"/>
  <c r="DA62" i="5" s="1"/>
  <c r="DC62" i="5" s="1"/>
  <c r="AH78" i="5"/>
  <c r="AF78" i="5"/>
  <c r="AI78" i="5" s="1"/>
  <c r="AM78" i="5" s="1"/>
  <c r="CY78" i="5" s="1"/>
  <c r="AG78" i="5"/>
  <c r="BT143" i="5"/>
  <c r="BW143" i="5" s="1"/>
  <c r="F63" i="24"/>
  <c r="K62" i="24"/>
  <c r="EG82" i="25"/>
  <c r="W196" i="5"/>
  <c r="H55" i="27"/>
  <c r="M54" i="27"/>
  <c r="J55" i="11"/>
  <c r="L54" i="11"/>
  <c r="G62" i="11"/>
  <c r="AH79" i="5"/>
  <c r="AG79" i="5"/>
  <c r="AF79" i="5"/>
  <c r="AF92" i="5"/>
  <c r="AH92" i="5"/>
  <c r="AG92" i="5"/>
  <c r="G96" i="15"/>
  <c r="H95" i="15"/>
  <c r="AH95" i="5"/>
  <c r="AG95" i="5"/>
  <c r="AF95" i="5"/>
  <c r="J66" i="16"/>
  <c r="L65" i="16"/>
  <c r="N59" i="11"/>
  <c r="AE58" i="11"/>
  <c r="J108" i="9"/>
  <c r="H109" i="9"/>
  <c r="AF68" i="5"/>
  <c r="AH68" i="5"/>
  <c r="AG68" i="5"/>
  <c r="AY94" i="5"/>
  <c r="AO99" i="5"/>
  <c r="BI60" i="8"/>
  <c r="BJ60" i="8" s="1"/>
  <c r="BK60" i="8" s="1"/>
  <c r="BL60" i="8" s="1"/>
  <c r="J99" i="5" s="1"/>
  <c r="AH60" i="8"/>
  <c r="AF93" i="5"/>
  <c r="AH93" i="5"/>
  <c r="AG93" i="5"/>
  <c r="AF76" i="5"/>
  <c r="AH76" i="5"/>
  <c r="AG76" i="5"/>
  <c r="K57" i="22"/>
  <c r="P56" i="22"/>
  <c r="AF84" i="5"/>
  <c r="AH84" i="5"/>
  <c r="AG84" i="5"/>
  <c r="AG85" i="5"/>
  <c r="AF85" i="5"/>
  <c r="AH85" i="5"/>
  <c r="AI96" i="5"/>
  <c r="AM96" i="5" s="1"/>
  <c r="AI67" i="5"/>
  <c r="AM67" i="5" s="1"/>
  <c r="CY67" i="5" s="1"/>
  <c r="AV157" i="5"/>
  <c r="AY157" i="5" s="1"/>
  <c r="H97" i="5"/>
  <c r="I97" i="5"/>
  <c r="AW80" i="14"/>
  <c r="AQ81" i="14"/>
  <c r="AH94" i="5"/>
  <c r="AG94" i="5"/>
  <c r="AF94" i="5"/>
  <c r="AH77" i="5"/>
  <c r="AF77" i="5"/>
  <c r="AG77" i="5"/>
  <c r="CA159" i="5"/>
  <c r="CC159" i="5"/>
  <c r="CB159" i="5"/>
  <c r="AF70" i="5"/>
  <c r="AH70" i="5"/>
  <c r="AG70" i="5"/>
  <c r="AF82" i="5"/>
  <c r="AH82" i="5"/>
  <c r="AG82" i="5"/>
  <c r="N62" i="8"/>
  <c r="AG61" i="8"/>
  <c r="AG89" i="5"/>
  <c r="AF89" i="5"/>
  <c r="AH89" i="5"/>
  <c r="AR96" i="5"/>
  <c r="AQ96" i="5"/>
  <c r="AS96" i="5"/>
  <c r="DG158" i="5"/>
  <c r="DH158" i="5"/>
  <c r="CF158" i="5"/>
  <c r="CJ158" i="5" s="1"/>
  <c r="BH106" i="5"/>
  <c r="BK106" i="5" s="1"/>
  <c r="AH69" i="5"/>
  <c r="AG69" i="5"/>
  <c r="AF69" i="5"/>
  <c r="U160" i="5"/>
  <c r="X160" i="5" s="1"/>
  <c r="V160" i="5"/>
  <c r="AH90" i="5"/>
  <c r="AF90" i="5"/>
  <c r="AG90" i="5"/>
  <c r="DF156" i="5"/>
  <c r="DE156" i="5"/>
  <c r="AG81" i="5"/>
  <c r="AF81" i="5"/>
  <c r="AH81" i="5"/>
  <c r="P158" i="5"/>
  <c r="S158" i="5" s="1"/>
  <c r="BP158" i="5" s="1"/>
  <c r="Q158" i="5"/>
  <c r="AG83" i="5"/>
  <c r="AF83" i="5"/>
  <c r="AH83" i="5"/>
  <c r="AH91" i="5"/>
  <c r="AG91" i="5"/>
  <c r="AF91" i="5"/>
  <c r="AI69" i="5" l="1"/>
  <c r="AM69" i="5" s="1"/>
  <c r="CY69" i="5" s="1"/>
  <c r="AI94" i="5"/>
  <c r="AM94" i="5" s="1"/>
  <c r="AI77" i="5"/>
  <c r="AM77" i="5" s="1"/>
  <c r="CY77" i="5" s="1"/>
  <c r="AI95" i="5"/>
  <c r="AM95" i="5" s="1"/>
  <c r="CY95" i="5" s="1"/>
  <c r="AG71" i="5"/>
  <c r="AI90" i="5"/>
  <c r="AM90" i="5" s="1"/>
  <c r="CY90" i="5" s="1"/>
  <c r="AI81" i="5"/>
  <c r="AM81" i="5" s="1"/>
  <c r="CY81" i="5" s="1"/>
  <c r="AI70" i="5"/>
  <c r="AF71" i="5"/>
  <c r="BM164" i="5"/>
  <c r="CN80" i="14"/>
  <c r="CO80" i="14" s="1"/>
  <c r="CP80" i="14" s="1"/>
  <c r="AX80" i="14"/>
  <c r="AI76" i="5"/>
  <c r="AM76" i="5" s="1"/>
  <c r="CY76" i="5" s="1"/>
  <c r="AI60" i="8"/>
  <c r="AJ61" i="8"/>
  <c r="CY94" i="5"/>
  <c r="H110" i="9"/>
  <c r="J109" i="9"/>
  <c r="BS145" i="5"/>
  <c r="BS146" i="5" s="1"/>
  <c r="AI92" i="5"/>
  <c r="AM92" i="5" s="1"/>
  <c r="CY92" i="5" s="1"/>
  <c r="CE160" i="5"/>
  <c r="CE161" i="5" s="1"/>
  <c r="CD160" i="5"/>
  <c r="CD161" i="5" s="1"/>
  <c r="H98" i="5"/>
  <c r="I98" i="5"/>
  <c r="DE157" i="5"/>
  <c r="DF157" i="5"/>
  <c r="AG86" i="5"/>
  <c r="AZ80" i="14"/>
  <c r="AY79" i="14"/>
  <c r="CQ80" i="14"/>
  <c r="R160" i="5"/>
  <c r="BQ158" i="5"/>
  <c r="BO158" i="5"/>
  <c r="CC160" i="5"/>
  <c r="CC161" i="5" s="1"/>
  <c r="CA160" i="5"/>
  <c r="CB160" i="5"/>
  <c r="CB161" i="5" s="1"/>
  <c r="AH101" i="5"/>
  <c r="P57" i="22"/>
  <c r="K58" i="22"/>
  <c r="AT159" i="5"/>
  <c r="AU159" i="5"/>
  <c r="J67" i="16"/>
  <c r="L66" i="16"/>
  <c r="AI79" i="5"/>
  <c r="AM79" i="5" s="1"/>
  <c r="CY79" i="5" s="1"/>
  <c r="G63" i="11"/>
  <c r="H56" i="27"/>
  <c r="M55" i="27"/>
  <c r="F64" i="24"/>
  <c r="K63" i="24"/>
  <c r="AI75" i="5"/>
  <c r="AM75" i="5" s="1"/>
  <c r="CY75" i="5" s="1"/>
  <c r="AI80" i="5"/>
  <c r="AM80" i="5" s="1"/>
  <c r="CY80" i="5" s="1"/>
  <c r="V164" i="5"/>
  <c r="U164" i="5"/>
  <c r="X164" i="5" s="1"/>
  <c r="AH86" i="5"/>
  <c r="BI61" i="8"/>
  <c r="BJ61" i="8" s="1"/>
  <c r="BK61" i="8" s="1"/>
  <c r="BL61" i="8" s="1"/>
  <c r="J100" i="5" s="1"/>
  <c r="AO100" i="5"/>
  <c r="AO101" i="5" s="1"/>
  <c r="AH61" i="8"/>
  <c r="AQ97" i="5"/>
  <c r="AS97" i="5"/>
  <c r="AR97" i="5"/>
  <c r="BG108" i="5"/>
  <c r="BF108" i="5"/>
  <c r="K81" i="15"/>
  <c r="M80" i="15"/>
  <c r="AF101" i="5"/>
  <c r="AI89" i="5"/>
  <c r="AI91" i="5"/>
  <c r="AM91" i="5" s="1"/>
  <c r="CY91" i="5" s="1"/>
  <c r="AI83" i="5"/>
  <c r="AM83" i="5" s="1"/>
  <c r="CY83" i="5" s="1"/>
  <c r="AV96" i="5"/>
  <c r="AG101" i="5"/>
  <c r="N63" i="8"/>
  <c r="AG62" i="8"/>
  <c r="AI82" i="5"/>
  <c r="AM82" i="5" s="1"/>
  <c r="CY82" i="5" s="1"/>
  <c r="AH71" i="5"/>
  <c r="DH159" i="5"/>
  <c r="DG159" i="5"/>
  <c r="CF159" i="5"/>
  <c r="CJ159" i="5" s="1"/>
  <c r="AW81" i="14"/>
  <c r="AQ82" i="14"/>
  <c r="AI85" i="5"/>
  <c r="AM85" i="5" s="1"/>
  <c r="CY85" i="5" s="1"/>
  <c r="AI84" i="5"/>
  <c r="AM84" i="5" s="1"/>
  <c r="CY84" i="5" s="1"/>
  <c r="AI93" i="5"/>
  <c r="AM93" i="5" s="1"/>
  <c r="CY93" i="5" s="1"/>
  <c r="AI68" i="5"/>
  <c r="AM68" i="5" s="1"/>
  <c r="CY68" i="5" s="1"/>
  <c r="N60" i="11"/>
  <c r="AE59" i="11"/>
  <c r="G97" i="15"/>
  <c r="H96" i="15"/>
  <c r="J56" i="11"/>
  <c r="L55" i="11"/>
  <c r="W197" i="5"/>
  <c r="EG83" i="25"/>
  <c r="CZ63" i="5"/>
  <c r="DA63" i="5" s="1"/>
  <c r="DC63" i="5" s="1"/>
  <c r="AV158" i="5"/>
  <c r="AY158" i="5" s="1"/>
  <c r="L61" i="9"/>
  <c r="AB60" i="9"/>
  <c r="Q159" i="5"/>
  <c r="P159" i="5"/>
  <c r="S159" i="5" s="1"/>
  <c r="BP159" i="5" s="1"/>
  <c r="BS57" i="25"/>
  <c r="BU57" i="25"/>
  <c r="BT56" i="25"/>
  <c r="AF86" i="5"/>
  <c r="AI74" i="5"/>
  <c r="AV159" i="5" l="1"/>
  <c r="AY159" i="5" s="1"/>
  <c r="AQ83" i="14"/>
  <c r="AW82" i="14"/>
  <c r="AG63" i="8"/>
  <c r="N64" i="8"/>
  <c r="AG64" i="8" s="1"/>
  <c r="CE164" i="5"/>
  <c r="CD164" i="5"/>
  <c r="Q160" i="5"/>
  <c r="P160" i="5"/>
  <c r="S160" i="5" s="1"/>
  <c r="BP160" i="5" s="1"/>
  <c r="AQ98" i="5"/>
  <c r="AS98" i="5"/>
  <c r="AR98" i="5"/>
  <c r="W198" i="5"/>
  <c r="EG84" i="25"/>
  <c r="G98" i="15"/>
  <c r="H97" i="15"/>
  <c r="BM165" i="5"/>
  <c r="CN81" i="14"/>
  <c r="CO81" i="14" s="1"/>
  <c r="CP81" i="14" s="1"/>
  <c r="AX81" i="14"/>
  <c r="BH108" i="5"/>
  <c r="H57" i="27"/>
  <c r="M56" i="27"/>
  <c r="BS149" i="5"/>
  <c r="K59" i="22"/>
  <c r="P58" i="22"/>
  <c r="DG160" i="5"/>
  <c r="DH160" i="5"/>
  <c r="CF160" i="5"/>
  <c r="CA161" i="5"/>
  <c r="BT145" i="5"/>
  <c r="BR146" i="5"/>
  <c r="AB61" i="9"/>
  <c r="L62" i="9"/>
  <c r="BQ159" i="5"/>
  <c r="BO159" i="5"/>
  <c r="V165" i="5"/>
  <c r="U165" i="5"/>
  <c r="X165" i="5" s="1"/>
  <c r="BF109" i="5"/>
  <c r="BH109" i="5" s="1"/>
  <c r="BK109" i="5" s="1"/>
  <c r="BG109" i="5"/>
  <c r="AY96" i="5"/>
  <c r="CY96" i="5" s="1"/>
  <c r="AI101" i="5"/>
  <c r="AM89" i="5"/>
  <c r="K82" i="15"/>
  <c r="M81" i="15"/>
  <c r="AV97" i="5"/>
  <c r="AY97" i="5" s="1"/>
  <c r="CY97" i="5" s="1"/>
  <c r="CA164" i="5"/>
  <c r="CB164" i="5"/>
  <c r="CC164" i="5"/>
  <c r="G64" i="11"/>
  <c r="J68" i="16"/>
  <c r="L67" i="16"/>
  <c r="AU160" i="5"/>
  <c r="AU161" i="5" s="1"/>
  <c r="AT160" i="5"/>
  <c r="H99" i="5"/>
  <c r="I99" i="5"/>
  <c r="AY80" i="14"/>
  <c r="AZ81" i="14"/>
  <c r="AM70" i="5"/>
  <c r="AI71" i="5"/>
  <c r="BS58" i="25"/>
  <c r="BU58" i="25"/>
  <c r="BT57" i="25"/>
  <c r="AM74" i="5"/>
  <c r="AI86" i="5"/>
  <c r="CZ64" i="5"/>
  <c r="DA64" i="5" s="1"/>
  <c r="DC64" i="5" s="1"/>
  <c r="J57" i="11"/>
  <c r="L56" i="11"/>
  <c r="N61" i="11"/>
  <c r="AE60" i="11"/>
  <c r="BI62" i="8"/>
  <c r="BJ62" i="8" s="1"/>
  <c r="BK62" i="8" s="1"/>
  <c r="BL62" i="8" s="1"/>
  <c r="J104" i="5" s="1"/>
  <c r="AO104" i="5"/>
  <c r="AH62" i="8"/>
  <c r="AI61" i="8"/>
  <c r="AJ62" i="8"/>
  <c r="F65" i="24"/>
  <c r="K64" i="24"/>
  <c r="DF158" i="5"/>
  <c r="DE158" i="5"/>
  <c r="R164" i="5"/>
  <c r="CQ81" i="14"/>
  <c r="H111" i="9"/>
  <c r="J110" i="9"/>
  <c r="AJ63" i="8" l="1"/>
  <c r="AI62" i="8"/>
  <c r="AV160" i="5"/>
  <c r="AT161" i="5"/>
  <c r="BS150" i="5"/>
  <c r="BT150" i="5"/>
  <c r="BW150" i="5" s="1"/>
  <c r="AZ82" i="14"/>
  <c r="AY81" i="14"/>
  <c r="G99" i="15"/>
  <c r="H98" i="15"/>
  <c r="AO105" i="5"/>
  <c r="AO116" i="5" s="1"/>
  <c r="BI63" i="8"/>
  <c r="BJ63" i="8" s="1"/>
  <c r="BK63" i="8" s="1"/>
  <c r="BL63" i="8" s="1"/>
  <c r="J105" i="5" s="1"/>
  <c r="AH63" i="8"/>
  <c r="N62" i="11"/>
  <c r="AE61" i="11"/>
  <c r="F66" i="24"/>
  <c r="K65" i="24"/>
  <c r="BF110" i="5"/>
  <c r="BG110" i="5"/>
  <c r="BS59" i="25"/>
  <c r="BT58" i="25"/>
  <c r="BU59" i="25"/>
  <c r="Q164" i="5"/>
  <c r="P164" i="5"/>
  <c r="S164" i="5" s="1"/>
  <c r="BP164" i="5" s="1"/>
  <c r="J69" i="16"/>
  <c r="L68" i="16"/>
  <c r="K83" i="15"/>
  <c r="M82" i="15"/>
  <c r="CC165" i="5"/>
  <c r="CB165" i="5"/>
  <c r="CA165" i="5"/>
  <c r="BW145" i="5"/>
  <c r="BT146" i="5"/>
  <c r="BT149" i="5"/>
  <c r="BK108" i="5"/>
  <c r="EG85" i="25"/>
  <c r="W199" i="5"/>
  <c r="CF164" i="5"/>
  <c r="CN82" i="14"/>
  <c r="CO82" i="14" s="1"/>
  <c r="CP82" i="14" s="1"/>
  <c r="BM166" i="5"/>
  <c r="AX82" i="14"/>
  <c r="AT164" i="5"/>
  <c r="AU164" i="5"/>
  <c r="H112" i="9"/>
  <c r="J111" i="9"/>
  <c r="J58" i="11"/>
  <c r="L57" i="11"/>
  <c r="AM86" i="5"/>
  <c r="CY74" i="5"/>
  <c r="DG164" i="5"/>
  <c r="DH164" i="5"/>
  <c r="AM101" i="5"/>
  <c r="CY89" i="5"/>
  <c r="L63" i="9"/>
  <c r="AB62" i="9"/>
  <c r="CE165" i="5"/>
  <c r="CD165" i="5"/>
  <c r="AV98" i="5"/>
  <c r="AY98" i="5" s="1"/>
  <c r="CY98" i="5" s="1"/>
  <c r="AW83" i="14"/>
  <c r="AQ84" i="14"/>
  <c r="CQ82" i="14"/>
  <c r="R165" i="5"/>
  <c r="H100" i="5"/>
  <c r="I100" i="5"/>
  <c r="CZ65" i="5"/>
  <c r="DA65" i="5"/>
  <c r="DC65" i="5" s="1"/>
  <c r="U166" i="5"/>
  <c r="X166" i="5" s="1"/>
  <c r="V166" i="5"/>
  <c r="CY70" i="5"/>
  <c r="AM71" i="5"/>
  <c r="AQ99" i="5"/>
  <c r="AV99" i="5" s="1"/>
  <c r="AY99" i="5" s="1"/>
  <c r="CY99" i="5" s="1"/>
  <c r="AR99" i="5"/>
  <c r="AS99" i="5"/>
  <c r="G65" i="11"/>
  <c r="DE159" i="5"/>
  <c r="DF159" i="5"/>
  <c r="CJ160" i="5"/>
  <c r="CF161" i="5"/>
  <c r="K60" i="22"/>
  <c r="P59" i="22"/>
  <c r="H58" i="27"/>
  <c r="M57" i="27"/>
  <c r="BP161" i="5"/>
  <c r="BQ160" i="5"/>
  <c r="BQ161" i="5" s="1"/>
  <c r="BO160" i="5"/>
  <c r="BI64" i="8"/>
  <c r="BJ64" i="8" s="1"/>
  <c r="BK64" i="8" s="1"/>
  <c r="AO106" i="5"/>
  <c r="AH77" i="8"/>
  <c r="AH68" i="8"/>
  <c r="AH66" i="8"/>
  <c r="AH75" i="8"/>
  <c r="AH76" i="8"/>
  <c r="AH79" i="8"/>
  <c r="AH69" i="8"/>
  <c r="AH82" i="8"/>
  <c r="AI82" i="8" s="1"/>
  <c r="AH70" i="8"/>
  <c r="AH81" i="8"/>
  <c r="AH71" i="8"/>
  <c r="AH80" i="8"/>
  <c r="AH72" i="8"/>
  <c r="AH74" i="8"/>
  <c r="AH67" i="8"/>
  <c r="AH65" i="8"/>
  <c r="AH73" i="8"/>
  <c r="AH78" i="8"/>
  <c r="AH64" i="8"/>
  <c r="AI78" i="8" l="1"/>
  <c r="AJ79" i="8"/>
  <c r="AJ75" i="8"/>
  <c r="AI74" i="8"/>
  <c r="AI81" i="8"/>
  <c r="AJ82" i="8"/>
  <c r="AI79" i="8"/>
  <c r="AJ80" i="8"/>
  <c r="AJ69" i="8"/>
  <c r="AI68" i="8"/>
  <c r="DF160" i="5"/>
  <c r="DE160" i="5"/>
  <c r="BO161" i="5"/>
  <c r="CE166" i="5"/>
  <c r="CD166" i="5"/>
  <c r="AW84" i="14"/>
  <c r="AQ85" i="14"/>
  <c r="CF165" i="5"/>
  <c r="CJ165" i="5" s="1"/>
  <c r="H113" i="9"/>
  <c r="J112" i="9"/>
  <c r="BW149" i="5"/>
  <c r="DG165" i="5"/>
  <c r="DH165" i="5"/>
  <c r="K84" i="15"/>
  <c r="M83" i="15"/>
  <c r="BO164" i="5"/>
  <c r="BQ164" i="5"/>
  <c r="BS60" i="25"/>
  <c r="BU60" i="25"/>
  <c r="BT59" i="25"/>
  <c r="AJ64" i="8"/>
  <c r="AI63" i="8"/>
  <c r="G100" i="15"/>
  <c r="H99" i="15"/>
  <c r="AY160" i="5"/>
  <c r="AY161" i="5" s="1"/>
  <c r="AV161" i="5"/>
  <c r="AJ73" i="8"/>
  <c r="AI72" i="8"/>
  <c r="AJ71" i="8"/>
  <c r="AI70" i="8"/>
  <c r="AJ77" i="8"/>
  <c r="AI76" i="8"/>
  <c r="AJ78" i="8"/>
  <c r="AI77" i="8"/>
  <c r="H59" i="27"/>
  <c r="M58" i="27"/>
  <c r="CJ161" i="5"/>
  <c r="G66" i="11"/>
  <c r="CC166" i="5"/>
  <c r="CA166" i="5"/>
  <c r="CB166" i="5"/>
  <c r="AS100" i="5"/>
  <c r="AS101" i="5" s="1"/>
  <c r="AR100" i="5"/>
  <c r="AR101" i="5" s="1"/>
  <c r="AQ100" i="5"/>
  <c r="CN83" i="14"/>
  <c r="CO83" i="14" s="1"/>
  <c r="CP83" i="14" s="1"/>
  <c r="BM167" i="5"/>
  <c r="AX83" i="14"/>
  <c r="AB63" i="9"/>
  <c r="L64" i="9"/>
  <c r="BF111" i="5"/>
  <c r="BG111" i="5"/>
  <c r="W200" i="5"/>
  <c r="EG86" i="25"/>
  <c r="F67" i="24"/>
  <c r="K66" i="24"/>
  <c r="P165" i="5"/>
  <c r="S165" i="5" s="1"/>
  <c r="BP165" i="5" s="1"/>
  <c r="Q165" i="5"/>
  <c r="H104" i="5"/>
  <c r="I104" i="5"/>
  <c r="AJ66" i="8"/>
  <c r="AI65" i="8"/>
  <c r="I127" i="5"/>
  <c r="H127" i="5"/>
  <c r="AI75" i="8"/>
  <c r="AJ76" i="8"/>
  <c r="J59" i="11"/>
  <c r="L58" i="11"/>
  <c r="AV164" i="5"/>
  <c r="BS151" i="5"/>
  <c r="BH110" i="5"/>
  <c r="AJ74" i="8"/>
  <c r="AI73" i="8"/>
  <c r="AJ81" i="8"/>
  <c r="AI80" i="8"/>
  <c r="AJ65" i="8"/>
  <c r="AI64" i="8"/>
  <c r="AJ68" i="8"/>
  <c r="AI67" i="8"/>
  <c r="AJ72" i="8"/>
  <c r="AI71" i="8"/>
  <c r="AJ70" i="8"/>
  <c r="AI69" i="8"/>
  <c r="AI66" i="8"/>
  <c r="AJ67" i="8"/>
  <c r="BL82" i="8"/>
  <c r="J127" i="5" s="1"/>
  <c r="BL69" i="8"/>
  <c r="J111" i="5" s="1"/>
  <c r="BL67" i="8"/>
  <c r="J109" i="5" s="1"/>
  <c r="BL77" i="8"/>
  <c r="J122" i="5" s="1"/>
  <c r="BL81" i="8"/>
  <c r="J126" i="5" s="1"/>
  <c r="BL73" i="8"/>
  <c r="J115" i="5" s="1"/>
  <c r="BL70" i="8"/>
  <c r="J112" i="5" s="1"/>
  <c r="BL71" i="8"/>
  <c r="J113" i="5" s="1"/>
  <c r="BL75" i="8"/>
  <c r="J120" i="5" s="1"/>
  <c r="BL65" i="8"/>
  <c r="J107" i="5" s="1"/>
  <c r="BL76" i="8"/>
  <c r="J121" i="5" s="1"/>
  <c r="BL78" i="8"/>
  <c r="J123" i="5" s="1"/>
  <c r="BL64" i="8"/>
  <c r="J106" i="5" s="1"/>
  <c r="BL80" i="8"/>
  <c r="J125" i="5" s="1"/>
  <c r="BL68" i="8"/>
  <c r="J110" i="5" s="1"/>
  <c r="BL74" i="8"/>
  <c r="J119" i="5" s="1"/>
  <c r="BL79" i="8"/>
  <c r="J124" i="5" s="1"/>
  <c r="BL66" i="8"/>
  <c r="J108" i="5" s="1"/>
  <c r="BL72" i="8"/>
  <c r="J114" i="5" s="1"/>
  <c r="K61" i="22"/>
  <c r="P60" i="22"/>
  <c r="CZ66" i="5"/>
  <c r="DA66" i="5" s="1"/>
  <c r="DC66" i="5" s="1"/>
  <c r="CQ83" i="14"/>
  <c r="R166" i="5"/>
  <c r="AU165" i="5"/>
  <c r="AT165" i="5"/>
  <c r="AV165" i="5" s="1"/>
  <c r="AY165" i="5" s="1"/>
  <c r="AY82" i="14"/>
  <c r="AZ83" i="14"/>
  <c r="CJ164" i="5"/>
  <c r="BW146" i="5"/>
  <c r="J70" i="16"/>
  <c r="L69" i="16"/>
  <c r="U167" i="5"/>
  <c r="X167" i="5" s="1"/>
  <c r="V167" i="5"/>
  <c r="N63" i="11"/>
  <c r="AE62" i="11"/>
  <c r="BS152" i="5" l="1"/>
  <c r="CZ67" i="5"/>
  <c r="DA67" i="5" s="1"/>
  <c r="DC67" i="5" s="1"/>
  <c r="I111" i="5"/>
  <c r="H111" i="5"/>
  <c r="I109" i="5"/>
  <c r="H109" i="5"/>
  <c r="I125" i="5"/>
  <c r="H125" i="5"/>
  <c r="BK110" i="5"/>
  <c r="AY164" i="5"/>
  <c r="AR127" i="5"/>
  <c r="AQ127" i="5"/>
  <c r="AS127" i="5"/>
  <c r="BO165" i="5"/>
  <c r="BQ165" i="5"/>
  <c r="L65" i="9"/>
  <c r="AB64" i="9"/>
  <c r="G67" i="11"/>
  <c r="H60" i="27"/>
  <c r="M59" i="27"/>
  <c r="G101" i="15"/>
  <c r="H100" i="15"/>
  <c r="DE164" i="5"/>
  <c r="DF164" i="5"/>
  <c r="J113" i="9"/>
  <c r="H114" i="9"/>
  <c r="I119" i="5"/>
  <c r="H119" i="5"/>
  <c r="CA167" i="5"/>
  <c r="CC167" i="5"/>
  <c r="CB167" i="5"/>
  <c r="N64" i="11"/>
  <c r="AE63" i="11"/>
  <c r="J71" i="16"/>
  <c r="L70" i="16"/>
  <c r="AS104" i="5"/>
  <c r="AR104" i="5"/>
  <c r="AQ104" i="5"/>
  <c r="AV100" i="5"/>
  <c r="AQ101" i="5"/>
  <c r="DH166" i="5"/>
  <c r="DG166" i="5"/>
  <c r="CF166" i="5"/>
  <c r="I122" i="5"/>
  <c r="H122" i="5"/>
  <c r="H112" i="5"/>
  <c r="I112" i="5"/>
  <c r="I105" i="5"/>
  <c r="H105" i="5"/>
  <c r="BS61" i="25"/>
  <c r="BT60" i="25"/>
  <c r="BU61" i="25"/>
  <c r="I124" i="5"/>
  <c r="H124" i="5"/>
  <c r="P166" i="5"/>
  <c r="S166" i="5" s="1"/>
  <c r="BP166" i="5" s="1"/>
  <c r="Q166" i="5"/>
  <c r="R167" i="5"/>
  <c r="P61" i="22"/>
  <c r="K62" i="22"/>
  <c r="I113" i="5"/>
  <c r="H113" i="5"/>
  <c r="H106" i="5"/>
  <c r="I106" i="5"/>
  <c r="H115" i="5"/>
  <c r="I115" i="5"/>
  <c r="BT151" i="5"/>
  <c r="BG112" i="5"/>
  <c r="BF112" i="5"/>
  <c r="I107" i="5"/>
  <c r="H107" i="5"/>
  <c r="F68" i="24"/>
  <c r="K67" i="24"/>
  <c r="AY83" i="14"/>
  <c r="AZ84" i="14"/>
  <c r="K85" i="15"/>
  <c r="M84" i="15"/>
  <c r="AW85" i="14"/>
  <c r="AQ86" i="14"/>
  <c r="H110" i="5"/>
  <c r="I110" i="5"/>
  <c r="I108" i="5"/>
  <c r="H108" i="5"/>
  <c r="J60" i="11"/>
  <c r="L59" i="11"/>
  <c r="I120" i="5"/>
  <c r="H120" i="5"/>
  <c r="EG87" i="25"/>
  <c r="W201" i="5"/>
  <c r="BH111" i="5"/>
  <c r="BK111" i="5" s="1"/>
  <c r="CD167" i="5"/>
  <c r="CE167" i="5"/>
  <c r="I121" i="5"/>
  <c r="H121" i="5"/>
  <c r="H114" i="5"/>
  <c r="I114" i="5"/>
  <c r="V168" i="5"/>
  <c r="U168" i="5"/>
  <c r="X168" i="5" s="1"/>
  <c r="AU166" i="5"/>
  <c r="AT166" i="5"/>
  <c r="AV166" i="5" s="1"/>
  <c r="AY166" i="5" s="1"/>
  <c r="BM168" i="5"/>
  <c r="CN84" i="14"/>
  <c r="CO84" i="14" s="1"/>
  <c r="CP84" i="14" s="1"/>
  <c r="CQ84" i="14" s="1"/>
  <c r="AX84" i="14"/>
  <c r="I126" i="5"/>
  <c r="H126" i="5"/>
  <c r="I123" i="5"/>
  <c r="H123" i="5"/>
  <c r="R168" i="5" l="1"/>
  <c r="AQ123" i="5"/>
  <c r="AR123" i="5"/>
  <c r="AS123" i="5"/>
  <c r="J61" i="11"/>
  <c r="L60" i="11"/>
  <c r="AS110" i="5"/>
  <c r="AR110" i="5"/>
  <c r="AQ110" i="5"/>
  <c r="AQ107" i="5"/>
  <c r="AR107" i="5"/>
  <c r="AS107" i="5"/>
  <c r="P62" i="22"/>
  <c r="K63" i="22"/>
  <c r="BS62" i="25"/>
  <c r="BU62" i="25"/>
  <c r="BT61" i="25"/>
  <c r="AR112" i="5"/>
  <c r="AQ112" i="5"/>
  <c r="AS112" i="5"/>
  <c r="CJ166" i="5"/>
  <c r="AY100" i="5"/>
  <c r="CY100" i="5" s="1"/>
  <c r="AV101" i="5"/>
  <c r="AY101" i="5" s="1"/>
  <c r="BS153" i="5"/>
  <c r="G102" i="15"/>
  <c r="H101" i="15"/>
  <c r="G68" i="11"/>
  <c r="DF165" i="5"/>
  <c r="DE165" i="5"/>
  <c r="AZ85" i="14"/>
  <c r="AY84" i="14"/>
  <c r="W202" i="5"/>
  <c r="AR126" i="5"/>
  <c r="AQ126" i="5"/>
  <c r="AS126" i="5"/>
  <c r="CA168" i="5"/>
  <c r="CC168" i="5"/>
  <c r="CB168" i="5"/>
  <c r="AS114" i="5"/>
  <c r="AR114" i="5"/>
  <c r="AQ114" i="5"/>
  <c r="AS120" i="5"/>
  <c r="AR120" i="5"/>
  <c r="AQ120" i="5"/>
  <c r="AQ108" i="5"/>
  <c r="AR108" i="5"/>
  <c r="AS108" i="5"/>
  <c r="AQ87" i="14"/>
  <c r="AW86" i="14"/>
  <c r="P167" i="5"/>
  <c r="S167" i="5" s="1"/>
  <c r="BP167" i="5" s="1"/>
  <c r="Q167" i="5"/>
  <c r="BW151" i="5"/>
  <c r="AS106" i="5"/>
  <c r="AQ106" i="5"/>
  <c r="AR106" i="5"/>
  <c r="BO166" i="5"/>
  <c r="BQ166" i="5"/>
  <c r="AQ105" i="5"/>
  <c r="AS105" i="5"/>
  <c r="AR105" i="5"/>
  <c r="AR122" i="5"/>
  <c r="AQ122" i="5"/>
  <c r="AS122" i="5"/>
  <c r="AV104" i="5"/>
  <c r="J72" i="16"/>
  <c r="L71" i="16"/>
  <c r="J114" i="9"/>
  <c r="H115" i="9"/>
  <c r="CD168" i="5"/>
  <c r="CE168" i="5"/>
  <c r="AS125" i="5"/>
  <c r="AR125" i="5"/>
  <c r="AQ125" i="5"/>
  <c r="AR111" i="5"/>
  <c r="AS111" i="5"/>
  <c r="AQ111" i="5"/>
  <c r="AS121" i="5"/>
  <c r="AR121" i="5"/>
  <c r="AQ121" i="5"/>
  <c r="CN85" i="14"/>
  <c r="CO85" i="14" s="1"/>
  <c r="CP85" i="14" s="1"/>
  <c r="CQ85" i="14" s="1"/>
  <c r="BM169" i="5"/>
  <c r="AX85" i="14"/>
  <c r="K86" i="15"/>
  <c r="M85" i="15"/>
  <c r="BH112" i="5"/>
  <c r="BK112" i="5" s="1"/>
  <c r="AS113" i="5"/>
  <c r="AQ113" i="5"/>
  <c r="AR113" i="5"/>
  <c r="AQ124" i="5"/>
  <c r="AR124" i="5"/>
  <c r="AS124" i="5"/>
  <c r="DH167" i="5"/>
  <c r="DG167" i="5"/>
  <c r="CF167" i="5"/>
  <c r="CJ167" i="5" s="1"/>
  <c r="AT167" i="5"/>
  <c r="AV167" i="5" s="1"/>
  <c r="AY167" i="5" s="1"/>
  <c r="AU167" i="5"/>
  <c r="H61" i="27"/>
  <c r="M60" i="27"/>
  <c r="AB65" i="9"/>
  <c r="L66" i="9"/>
  <c r="BF113" i="5"/>
  <c r="BG113" i="5"/>
  <c r="F69" i="24"/>
  <c r="K68" i="24"/>
  <c r="AS115" i="5"/>
  <c r="AR115" i="5"/>
  <c r="AQ115" i="5"/>
  <c r="U169" i="5"/>
  <c r="X169" i="5" s="1"/>
  <c r="V169" i="5"/>
  <c r="N65" i="11"/>
  <c r="AE64" i="11"/>
  <c r="AS119" i="5"/>
  <c r="AQ119" i="5"/>
  <c r="AR119" i="5"/>
  <c r="AV127" i="5"/>
  <c r="AY127" i="5" s="1"/>
  <c r="AR109" i="5"/>
  <c r="AS109" i="5"/>
  <c r="AQ109" i="5"/>
  <c r="CZ68" i="5"/>
  <c r="DA68" i="5" s="1"/>
  <c r="DC68" i="5" s="1"/>
  <c r="BT152" i="5"/>
  <c r="BW152" i="5" s="1"/>
  <c r="AV111" i="5" l="1"/>
  <c r="AY111" i="5" s="1"/>
  <c r="CY111" i="5" s="1"/>
  <c r="AR131" i="5"/>
  <c r="AV126" i="5"/>
  <c r="AY126" i="5" s="1"/>
  <c r="AS116" i="5"/>
  <c r="AV108" i="5"/>
  <c r="AY108" i="5" s="1"/>
  <c r="CY108" i="5" s="1"/>
  <c r="AV107" i="5"/>
  <c r="AY107" i="5" s="1"/>
  <c r="CY107" i="5" s="1"/>
  <c r="AV125" i="5"/>
  <c r="AY125" i="5" s="1"/>
  <c r="AV106" i="5"/>
  <c r="AY106" i="5" s="1"/>
  <c r="CY106" i="5" s="1"/>
  <c r="AS131" i="5"/>
  <c r="AV123" i="5"/>
  <c r="AY123" i="5" s="1"/>
  <c r="AR116" i="5"/>
  <c r="AV110" i="5"/>
  <c r="AY110" i="5" s="1"/>
  <c r="CY110" i="5" s="1"/>
  <c r="R169" i="5"/>
  <c r="CZ69" i="5"/>
  <c r="DA69" i="5" s="1"/>
  <c r="DC69" i="5" s="1"/>
  <c r="N66" i="11"/>
  <c r="AE65" i="11"/>
  <c r="AV115" i="5"/>
  <c r="AY115" i="5" s="1"/>
  <c r="F70" i="24"/>
  <c r="K69" i="24"/>
  <c r="AB66" i="9"/>
  <c r="L67" i="9"/>
  <c r="AV124" i="5"/>
  <c r="AY124" i="5" s="1"/>
  <c r="AT168" i="5"/>
  <c r="AU168" i="5"/>
  <c r="AY104" i="5"/>
  <c r="CY104" i="5" s="1"/>
  <c r="EG89" i="25"/>
  <c r="W203" i="5"/>
  <c r="BT153" i="5"/>
  <c r="BW153" i="5" s="1"/>
  <c r="K64" i="22"/>
  <c r="P63" i="22"/>
  <c r="BG114" i="5"/>
  <c r="BF114" i="5"/>
  <c r="BH114" i="5" s="1"/>
  <c r="BK114" i="5" s="1"/>
  <c r="BS154" i="5"/>
  <c r="DF166" i="5"/>
  <c r="DE166" i="5"/>
  <c r="CN86" i="14"/>
  <c r="CO86" i="14" s="1"/>
  <c r="CP86" i="14" s="1"/>
  <c r="CQ86" i="14" s="1"/>
  <c r="BM170" i="5"/>
  <c r="AX86" i="14"/>
  <c r="P168" i="5"/>
  <c r="S168" i="5" s="1"/>
  <c r="BP168" i="5" s="1"/>
  <c r="Q168" i="5"/>
  <c r="U170" i="5"/>
  <c r="X170" i="5" s="1"/>
  <c r="V170" i="5"/>
  <c r="J62" i="11"/>
  <c r="L61" i="11"/>
  <c r="BH113" i="5"/>
  <c r="BK113" i="5" s="1"/>
  <c r="CD169" i="5"/>
  <c r="CE169" i="5"/>
  <c r="AV113" i="5"/>
  <c r="AY113" i="5" s="1"/>
  <c r="K87" i="15"/>
  <c r="M86" i="15"/>
  <c r="J73" i="16"/>
  <c r="L72" i="16"/>
  <c r="AV122" i="5"/>
  <c r="AY122" i="5" s="1"/>
  <c r="AV105" i="5"/>
  <c r="AY105" i="5" s="1"/>
  <c r="CY105" i="5" s="1"/>
  <c r="BQ167" i="5"/>
  <c r="BO167" i="5"/>
  <c r="AQ88" i="14"/>
  <c r="AW87" i="14"/>
  <c r="AV120" i="5"/>
  <c r="AY120" i="5" s="1"/>
  <c r="AV114" i="5"/>
  <c r="AY114" i="5" s="1"/>
  <c r="G103" i="15"/>
  <c r="H102" i="15"/>
  <c r="AV119" i="5"/>
  <c r="AQ131" i="5"/>
  <c r="AV109" i="5"/>
  <c r="AY109" i="5" s="1"/>
  <c r="CY109" i="5" s="1"/>
  <c r="CB169" i="5"/>
  <c r="CA169" i="5"/>
  <c r="CC169" i="5"/>
  <c r="H62" i="27"/>
  <c r="M61" i="27"/>
  <c r="AY85" i="14"/>
  <c r="AZ86" i="14"/>
  <c r="AV121" i="5"/>
  <c r="AY121" i="5" s="1"/>
  <c r="H116" i="9"/>
  <c r="J115" i="9"/>
  <c r="AQ116" i="5"/>
  <c r="DH168" i="5"/>
  <c r="DG168" i="5"/>
  <c r="CF168" i="5"/>
  <c r="CJ168" i="5" s="1"/>
  <c r="G69" i="11"/>
  <c r="AV112" i="5"/>
  <c r="AY112" i="5" s="1"/>
  <c r="CY112" i="5" s="1"/>
  <c r="BS63" i="25"/>
  <c r="BT62" i="25"/>
  <c r="BU63" i="25"/>
  <c r="R170" i="5" l="1"/>
  <c r="BS64" i="25"/>
  <c r="BT63" i="25"/>
  <c r="BU64" i="25"/>
  <c r="G70" i="11"/>
  <c r="AU169" i="5"/>
  <c r="AT169" i="5"/>
  <c r="P169" i="5"/>
  <c r="S169" i="5" s="1"/>
  <c r="BP169" i="5" s="1"/>
  <c r="Q169" i="5"/>
  <c r="DE167" i="5"/>
  <c r="DF167" i="5"/>
  <c r="K88" i="15"/>
  <c r="M87" i="15"/>
  <c r="BO168" i="5"/>
  <c r="BQ168" i="5"/>
  <c r="CY114" i="5"/>
  <c r="EG90" i="25"/>
  <c r="W204" i="5"/>
  <c r="AV116" i="5"/>
  <c r="AY116" i="5" s="1"/>
  <c r="N67" i="11"/>
  <c r="AE66" i="11"/>
  <c r="H117" i="9"/>
  <c r="J116" i="9"/>
  <c r="CD170" i="5"/>
  <c r="CE170" i="5"/>
  <c r="DG169" i="5"/>
  <c r="DH169" i="5"/>
  <c r="CF169" i="5"/>
  <c r="CJ169" i="5" s="1"/>
  <c r="AV131" i="5"/>
  <c r="AY131" i="5" s="1"/>
  <c r="AY119" i="5"/>
  <c r="BT155" i="5"/>
  <c r="BW155" i="5" s="1"/>
  <c r="BS155" i="5"/>
  <c r="CY113" i="5"/>
  <c r="AY86" i="14"/>
  <c r="AZ87" i="14"/>
  <c r="BT154" i="5"/>
  <c r="F71" i="24"/>
  <c r="K70" i="24"/>
  <c r="H63" i="27"/>
  <c r="M62" i="27"/>
  <c r="BM171" i="5"/>
  <c r="CN87" i="14"/>
  <c r="CO87" i="14" s="1"/>
  <c r="CP87" i="14" s="1"/>
  <c r="CQ87" i="14" s="1"/>
  <c r="AX87" i="14"/>
  <c r="J74" i="16"/>
  <c r="L73" i="16"/>
  <c r="BF115" i="5"/>
  <c r="BG115" i="5"/>
  <c r="BG116" i="5" s="1"/>
  <c r="L68" i="9"/>
  <c r="AB67" i="9"/>
  <c r="U171" i="5"/>
  <c r="X171" i="5" s="1"/>
  <c r="V171" i="5"/>
  <c r="G104" i="15"/>
  <c r="H103" i="15"/>
  <c r="AW88" i="14"/>
  <c r="AQ89" i="14"/>
  <c r="J63" i="11"/>
  <c r="L62" i="11"/>
  <c r="CB170" i="5"/>
  <c r="CC170" i="5"/>
  <c r="CA170" i="5"/>
  <c r="K65" i="22"/>
  <c r="P64" i="22"/>
  <c r="AV168" i="5"/>
  <c r="CZ70" i="5"/>
  <c r="DA70" i="5" s="1"/>
  <c r="DC70" i="5" s="1"/>
  <c r="DC71" i="5" s="1"/>
  <c r="R171" i="5" l="1"/>
  <c r="J75" i="16"/>
  <c r="L74" i="16"/>
  <c r="AU170" i="5"/>
  <c r="AT170" i="5"/>
  <c r="AV169" i="5"/>
  <c r="AY169" i="5" s="1"/>
  <c r="G105" i="15"/>
  <c r="H104" i="15"/>
  <c r="AB68" i="9"/>
  <c r="L69" i="9"/>
  <c r="AZ88" i="14"/>
  <c r="AY87" i="14"/>
  <c r="CD171" i="5"/>
  <c r="CE171" i="5"/>
  <c r="F72" i="24"/>
  <c r="K71" i="24"/>
  <c r="P170" i="5"/>
  <c r="S170" i="5" s="1"/>
  <c r="BP170" i="5" s="1"/>
  <c r="Q170" i="5"/>
  <c r="H118" i="9"/>
  <c r="J117" i="9"/>
  <c r="V172" i="5"/>
  <c r="U172" i="5"/>
  <c r="X172" i="5" s="1"/>
  <c r="BG119" i="5"/>
  <c r="BF119" i="5"/>
  <c r="BH115" i="5"/>
  <c r="BF116" i="5"/>
  <c r="H64" i="27"/>
  <c r="M63" i="27"/>
  <c r="W205" i="5"/>
  <c r="EG91" i="25"/>
  <c r="K89" i="15"/>
  <c r="M88" i="15"/>
  <c r="BS65" i="25"/>
  <c r="BT64" i="25"/>
  <c r="BU65" i="25"/>
  <c r="AY168" i="5"/>
  <c r="P65" i="22"/>
  <c r="K66" i="22"/>
  <c r="AW89" i="14"/>
  <c r="AQ90" i="14"/>
  <c r="CZ73" i="5"/>
  <c r="DH170" i="5"/>
  <c r="DG170" i="5"/>
  <c r="CF170" i="5"/>
  <c r="CJ170" i="5" s="1"/>
  <c r="J64" i="11"/>
  <c r="L63" i="11"/>
  <c r="CN88" i="14"/>
  <c r="CO88" i="14" s="1"/>
  <c r="CP88" i="14" s="1"/>
  <c r="CQ88" i="14" s="1"/>
  <c r="BM172" i="5"/>
  <c r="AX88" i="14"/>
  <c r="CB171" i="5"/>
  <c r="CA171" i="5"/>
  <c r="CC171" i="5"/>
  <c r="BS156" i="5"/>
  <c r="BW154" i="5"/>
  <c r="N68" i="11"/>
  <c r="AE67" i="11"/>
  <c r="DF168" i="5"/>
  <c r="DE168" i="5"/>
  <c r="BQ169" i="5"/>
  <c r="BO169" i="5"/>
  <c r="G71" i="11"/>
  <c r="AV170" i="5" l="1"/>
  <c r="AY170" i="5" s="1"/>
  <c r="R172" i="5"/>
  <c r="G72" i="11"/>
  <c r="CZ74" i="5"/>
  <c r="DA74" i="5" s="1"/>
  <c r="DC74" i="5" s="1"/>
  <c r="V173" i="5"/>
  <c r="U173" i="5"/>
  <c r="X173" i="5" s="1"/>
  <c r="W209" i="5"/>
  <c r="EG92" i="25"/>
  <c r="H65" i="27"/>
  <c r="M64" i="27"/>
  <c r="BQ170" i="5"/>
  <c r="BO170" i="5"/>
  <c r="J76" i="16"/>
  <c r="L75" i="16"/>
  <c r="DG171" i="5"/>
  <c r="DH171" i="5"/>
  <c r="CF171" i="5"/>
  <c r="CJ171" i="5" s="1"/>
  <c r="AW90" i="14"/>
  <c r="AQ91" i="14"/>
  <c r="BS66" i="25"/>
  <c r="BT65" i="25"/>
  <c r="BU66" i="25"/>
  <c r="CB172" i="5"/>
  <c r="CC172" i="5"/>
  <c r="CA172" i="5"/>
  <c r="AU171" i="5"/>
  <c r="AT171" i="5"/>
  <c r="AV171" i="5" s="1"/>
  <c r="Q171" i="5"/>
  <c r="P171" i="5"/>
  <c r="S171" i="5" s="1"/>
  <c r="BP171" i="5" s="1"/>
  <c r="DE169" i="5"/>
  <c r="DF169" i="5"/>
  <c r="N69" i="11"/>
  <c r="AE68" i="11"/>
  <c r="BT156" i="5"/>
  <c r="BG120" i="5"/>
  <c r="BF120" i="5"/>
  <c r="BH120" i="5" s="1"/>
  <c r="BK120" i="5" s="1"/>
  <c r="CY120" i="5" s="1"/>
  <c r="CN89" i="14"/>
  <c r="CO89" i="14" s="1"/>
  <c r="CP89" i="14" s="1"/>
  <c r="CQ89" i="14" s="1"/>
  <c r="BM173" i="5"/>
  <c r="AX89" i="14"/>
  <c r="BK115" i="5"/>
  <c r="CY115" i="5" s="1"/>
  <c r="BH116" i="5"/>
  <c r="BK116" i="5" s="1"/>
  <c r="H119" i="9"/>
  <c r="J118" i="9"/>
  <c r="F73" i="24"/>
  <c r="K72" i="24"/>
  <c r="G106" i="15"/>
  <c r="H105" i="15"/>
  <c r="AY88" i="14"/>
  <c r="AZ89" i="14"/>
  <c r="J65" i="11"/>
  <c r="L64" i="11"/>
  <c r="K67" i="22"/>
  <c r="P66" i="22"/>
  <c r="K90" i="15"/>
  <c r="M89" i="15"/>
  <c r="CE172" i="5"/>
  <c r="CD172" i="5"/>
  <c r="BH119" i="5"/>
  <c r="AB69" i="9"/>
  <c r="L70" i="9"/>
  <c r="BS157" i="5"/>
  <c r="R173" i="5" l="1"/>
  <c r="P67" i="22"/>
  <c r="K68" i="22"/>
  <c r="P172" i="5"/>
  <c r="S172" i="5" s="1"/>
  <c r="BP172" i="5" s="1"/>
  <c r="Q172" i="5"/>
  <c r="F74" i="24"/>
  <c r="K73" i="24"/>
  <c r="AZ90" i="14"/>
  <c r="AY89" i="14"/>
  <c r="BM174" i="5"/>
  <c r="CN90" i="14"/>
  <c r="CO90" i="14" s="1"/>
  <c r="CP90" i="14" s="1"/>
  <c r="CQ90" i="14" s="1"/>
  <c r="AX90" i="14"/>
  <c r="J77" i="16"/>
  <c r="L76" i="16"/>
  <c r="L71" i="9"/>
  <c r="AB70" i="9"/>
  <c r="BT157" i="5"/>
  <c r="BW157" i="5" s="1"/>
  <c r="BK119" i="5"/>
  <c r="CY119" i="5" s="1"/>
  <c r="BG121" i="5"/>
  <c r="BF121" i="5"/>
  <c r="AU172" i="5"/>
  <c r="AT172" i="5"/>
  <c r="BW156" i="5"/>
  <c r="BO171" i="5"/>
  <c r="BQ171" i="5"/>
  <c r="DH172" i="5"/>
  <c r="DG172" i="5"/>
  <c r="CF172" i="5"/>
  <c r="CJ172" i="5" s="1"/>
  <c r="U174" i="5"/>
  <c r="X174" i="5" s="1"/>
  <c r="V174" i="5"/>
  <c r="CE173" i="5"/>
  <c r="CD173" i="5"/>
  <c r="CB173" i="5"/>
  <c r="CA173" i="5"/>
  <c r="CC173" i="5"/>
  <c r="K91" i="15"/>
  <c r="M90" i="15"/>
  <c r="J66" i="11"/>
  <c r="L65" i="11"/>
  <c r="G107" i="15"/>
  <c r="H106" i="15"/>
  <c r="H120" i="9"/>
  <c r="J119" i="9"/>
  <c r="BS67" i="25"/>
  <c r="BU67" i="25"/>
  <c r="BT66" i="25"/>
  <c r="DE170" i="5"/>
  <c r="DF170" i="5"/>
  <c r="H66" i="27"/>
  <c r="M65" i="27"/>
  <c r="CZ75" i="5"/>
  <c r="DA75" i="5" s="1"/>
  <c r="DC75" i="5" s="1"/>
  <c r="N70" i="11"/>
  <c r="AE69" i="11"/>
  <c r="AY171" i="5"/>
  <c r="AW91" i="14"/>
  <c r="AQ92" i="14"/>
  <c r="BS158" i="5"/>
  <c r="W210" i="5"/>
  <c r="EG93" i="25"/>
  <c r="G73" i="11"/>
  <c r="R174" i="5" l="1"/>
  <c r="BT158" i="5"/>
  <c r="BW158" i="5" s="1"/>
  <c r="H67" i="27"/>
  <c r="M66" i="27"/>
  <c r="AU173" i="5"/>
  <c r="AT173" i="5"/>
  <c r="BG122" i="5"/>
  <c r="BF122" i="5"/>
  <c r="BH122" i="5" s="1"/>
  <c r="BK122" i="5" s="1"/>
  <c r="CY122" i="5" s="1"/>
  <c r="DE171" i="5"/>
  <c r="DF171" i="5"/>
  <c r="J78" i="16"/>
  <c r="L77" i="16"/>
  <c r="Q173" i="5"/>
  <c r="P173" i="5"/>
  <c r="S173" i="5" s="1"/>
  <c r="BP173" i="5" s="1"/>
  <c r="W211" i="5"/>
  <c r="EG94" i="25"/>
  <c r="AQ93" i="14"/>
  <c r="AW93" i="14" s="1"/>
  <c r="AW92" i="14"/>
  <c r="U175" i="5"/>
  <c r="X175" i="5" s="1"/>
  <c r="V175" i="5"/>
  <c r="H121" i="9"/>
  <c r="J120" i="9"/>
  <c r="J67" i="11"/>
  <c r="L66" i="11"/>
  <c r="DG173" i="5"/>
  <c r="DH173" i="5"/>
  <c r="AZ91" i="14"/>
  <c r="AY90" i="14"/>
  <c r="BO172" i="5"/>
  <c r="BQ172" i="5"/>
  <c r="BM175" i="5"/>
  <c r="BM176" i="5" s="1"/>
  <c r="CN91" i="14"/>
  <c r="CO91" i="14" s="1"/>
  <c r="CP91" i="14" s="1"/>
  <c r="CQ91" i="14" s="1"/>
  <c r="AX91" i="14"/>
  <c r="N71" i="11"/>
  <c r="AE70" i="11"/>
  <c r="CZ76" i="5"/>
  <c r="DA76" i="5"/>
  <c r="DC76" i="5" s="1"/>
  <c r="CB174" i="5"/>
  <c r="CC174" i="5"/>
  <c r="CA174" i="5"/>
  <c r="BH121" i="5"/>
  <c r="L72" i="9"/>
  <c r="AB71" i="9"/>
  <c r="K69" i="22"/>
  <c r="P68" i="22"/>
  <c r="G74" i="11"/>
  <c r="CE174" i="5"/>
  <c r="CD174" i="5"/>
  <c r="BS68" i="25"/>
  <c r="BT67" i="25"/>
  <c r="BU68" i="25"/>
  <c r="G108" i="15"/>
  <c r="H107" i="15"/>
  <c r="K92" i="15"/>
  <c r="M91" i="15"/>
  <c r="CF173" i="5"/>
  <c r="CJ173" i="5" s="1"/>
  <c r="AV172" i="5"/>
  <c r="AY172" i="5" s="1"/>
  <c r="BS159" i="5"/>
  <c r="F75" i="24"/>
  <c r="K74" i="24"/>
  <c r="R175" i="5" l="1"/>
  <c r="P69" i="22"/>
  <c r="K70" i="22"/>
  <c r="BK121" i="5"/>
  <c r="CY121" i="5" s="1"/>
  <c r="AZ92" i="14"/>
  <c r="AY91" i="14"/>
  <c r="DE172" i="5"/>
  <c r="DF172" i="5"/>
  <c r="AU174" i="5"/>
  <c r="AT174" i="5"/>
  <c r="AV174" i="5" s="1"/>
  <c r="AY174" i="5" s="1"/>
  <c r="BM179" i="5"/>
  <c r="CN92" i="14"/>
  <c r="CO92" i="14" s="1"/>
  <c r="CP92" i="14" s="1"/>
  <c r="CQ92" i="14" s="1"/>
  <c r="AX92" i="14"/>
  <c r="BQ173" i="5"/>
  <c r="BO173" i="5"/>
  <c r="BT159" i="5"/>
  <c r="BW159" i="5" s="1"/>
  <c r="K93" i="15"/>
  <c r="M92" i="15"/>
  <c r="V179" i="5"/>
  <c r="U179" i="5"/>
  <c r="X179" i="5" s="1"/>
  <c r="G75" i="11"/>
  <c r="CZ77" i="5"/>
  <c r="DA77" i="5"/>
  <c r="DC77" i="5" s="1"/>
  <c r="H122" i="9"/>
  <c r="J121" i="9"/>
  <c r="CN93" i="14"/>
  <c r="CO93" i="14" s="1"/>
  <c r="CP93" i="14" s="1"/>
  <c r="BM180" i="5"/>
  <c r="AX94" i="14"/>
  <c r="AX95" i="14"/>
  <c r="AX93" i="14"/>
  <c r="AX97" i="14"/>
  <c r="AY97" i="14" s="1"/>
  <c r="AX96" i="14"/>
  <c r="CE175" i="5"/>
  <c r="CE176" i="5" s="1"/>
  <c r="CD175" i="5"/>
  <c r="CD176" i="5" s="1"/>
  <c r="BS69" i="25"/>
  <c r="BU69" i="25"/>
  <c r="BT68" i="25"/>
  <c r="AB72" i="9"/>
  <c r="L73" i="9"/>
  <c r="DG174" i="5"/>
  <c r="DH174" i="5"/>
  <c r="CF174" i="5"/>
  <c r="CJ174" i="5" s="1"/>
  <c r="P174" i="5"/>
  <c r="S174" i="5" s="1"/>
  <c r="BP174" i="5" s="1"/>
  <c r="Q174" i="5"/>
  <c r="BG123" i="5"/>
  <c r="BF123" i="5"/>
  <c r="W212" i="5"/>
  <c r="EG95" i="25"/>
  <c r="BS160" i="5"/>
  <c r="BS161" i="5" s="1"/>
  <c r="H68" i="27"/>
  <c r="M67" i="27"/>
  <c r="F76" i="24"/>
  <c r="K75" i="24"/>
  <c r="G109" i="15"/>
  <c r="H108" i="15"/>
  <c r="N72" i="11"/>
  <c r="AE71" i="11"/>
  <c r="J68" i="11"/>
  <c r="L67" i="11"/>
  <c r="CB175" i="5"/>
  <c r="CB176" i="5" s="1"/>
  <c r="CA175" i="5"/>
  <c r="CC175" i="5"/>
  <c r="CC176" i="5" s="1"/>
  <c r="J79" i="16"/>
  <c r="L78" i="16"/>
  <c r="AV173" i="5"/>
  <c r="AY173" i="5" s="1"/>
  <c r="CQ93" i="14" l="1"/>
  <c r="R179" i="5"/>
  <c r="BS164" i="5"/>
  <c r="G110" i="15"/>
  <c r="H109" i="15"/>
  <c r="BT160" i="5"/>
  <c r="BR161" i="5"/>
  <c r="V180" i="5"/>
  <c r="U180" i="5"/>
  <c r="X180" i="5" s="1"/>
  <c r="AY93" i="14"/>
  <c r="AZ94" i="14"/>
  <c r="CZ78" i="5"/>
  <c r="DA78" i="5" s="1"/>
  <c r="DC78" i="5" s="1"/>
  <c r="N73" i="11"/>
  <c r="AE72" i="11"/>
  <c r="J80" i="16"/>
  <c r="L79" i="16"/>
  <c r="BG124" i="5"/>
  <c r="BF124" i="5"/>
  <c r="BH124" i="5" s="1"/>
  <c r="BK124" i="5" s="1"/>
  <c r="CY124" i="5" s="1"/>
  <c r="CE179" i="5"/>
  <c r="CD179" i="5"/>
  <c r="W213" i="5"/>
  <c r="EG96" i="25"/>
  <c r="AY95" i="14"/>
  <c r="AZ96" i="14"/>
  <c r="AU175" i="5"/>
  <c r="AU176" i="5" s="1"/>
  <c r="AT175" i="5"/>
  <c r="G76" i="11"/>
  <c r="DE173" i="5"/>
  <c r="DF173" i="5"/>
  <c r="BM191" i="5"/>
  <c r="DG175" i="5"/>
  <c r="DH175" i="5"/>
  <c r="CF175" i="5"/>
  <c r="CA176" i="5"/>
  <c r="J69" i="11"/>
  <c r="L68" i="11"/>
  <c r="F77" i="24"/>
  <c r="K76" i="24"/>
  <c r="H69" i="27"/>
  <c r="M68" i="27"/>
  <c r="BO174" i="5"/>
  <c r="BQ174" i="5"/>
  <c r="AB73" i="9"/>
  <c r="L74" i="9"/>
  <c r="BS70" i="25"/>
  <c r="BU70" i="25"/>
  <c r="BT69" i="25"/>
  <c r="AY96" i="14"/>
  <c r="AZ97" i="14"/>
  <c r="AZ95" i="14"/>
  <c r="AY94" i="14"/>
  <c r="H123" i="9"/>
  <c r="J122" i="9"/>
  <c r="K94" i="15"/>
  <c r="M93" i="15"/>
  <c r="BH123" i="5"/>
  <c r="P184" i="5"/>
  <c r="S184" i="5" s="1"/>
  <c r="Q184" i="5"/>
  <c r="CC179" i="5"/>
  <c r="CA179" i="5"/>
  <c r="CB179" i="5"/>
  <c r="AZ93" i="14"/>
  <c r="AY92" i="14"/>
  <c r="P175" i="5"/>
  <c r="S175" i="5" s="1"/>
  <c r="BP175" i="5" s="1"/>
  <c r="Q175" i="5"/>
  <c r="K71" i="22"/>
  <c r="P70" i="22"/>
  <c r="BQ175" i="5" l="1"/>
  <c r="BQ176" i="5" s="1"/>
  <c r="BP176" i="5"/>
  <c r="BO175" i="5"/>
  <c r="AB74" i="9"/>
  <c r="L75" i="9"/>
  <c r="K72" i="22"/>
  <c r="P71" i="22"/>
  <c r="K95" i="15"/>
  <c r="M94" i="15"/>
  <c r="H70" i="27"/>
  <c r="M69" i="27"/>
  <c r="J70" i="11"/>
  <c r="L69" i="11"/>
  <c r="G77" i="11"/>
  <c r="P182" i="5"/>
  <c r="Q182" i="5"/>
  <c r="BT165" i="5"/>
  <c r="BW165" i="5" s="1"/>
  <c r="BS165" i="5"/>
  <c r="BT164" i="5"/>
  <c r="P179" i="5"/>
  <c r="S179" i="5" s="1"/>
  <c r="BP179" i="5" s="1"/>
  <c r="Q179" i="5"/>
  <c r="BK123" i="5"/>
  <c r="CY123" i="5" s="1"/>
  <c r="AT179" i="5"/>
  <c r="AU179" i="5"/>
  <c r="BS71" i="25"/>
  <c r="BU71" i="25"/>
  <c r="BT70" i="25"/>
  <c r="DF174" i="5"/>
  <c r="DE174" i="5"/>
  <c r="AV175" i="5"/>
  <c r="AT176" i="5"/>
  <c r="W214" i="5"/>
  <c r="EG97" i="25"/>
  <c r="J81" i="16"/>
  <c r="L80" i="16"/>
  <c r="P180" i="5"/>
  <c r="Q180" i="5"/>
  <c r="BW160" i="5"/>
  <c r="BT161" i="5"/>
  <c r="P183" i="5"/>
  <c r="Q183" i="5"/>
  <c r="F78" i="24"/>
  <c r="K77" i="24"/>
  <c r="CJ175" i="5"/>
  <c r="CF176" i="5"/>
  <c r="CC180" i="5"/>
  <c r="CA180" i="5"/>
  <c r="CB180" i="5"/>
  <c r="J123" i="9"/>
  <c r="H124" i="9"/>
  <c r="DH179" i="5"/>
  <c r="DG179" i="5"/>
  <c r="CF179" i="5"/>
  <c r="Q181" i="5"/>
  <c r="P181" i="5"/>
  <c r="V181" i="5"/>
  <c r="U181" i="5"/>
  <c r="X181" i="5" s="1"/>
  <c r="CE180" i="5"/>
  <c r="CD180" i="5"/>
  <c r="BG125" i="5"/>
  <c r="BF125" i="5"/>
  <c r="N74" i="11"/>
  <c r="AE73" i="11"/>
  <c r="CZ79" i="5"/>
  <c r="DA79" i="5" s="1"/>
  <c r="DC79" i="5" s="1"/>
  <c r="G111" i="15"/>
  <c r="H110" i="15"/>
  <c r="R180" i="5"/>
  <c r="CQ94" i="14"/>
  <c r="AT180" i="5" l="1"/>
  <c r="AU180" i="5"/>
  <c r="F79" i="24"/>
  <c r="K78" i="24"/>
  <c r="S180" i="5"/>
  <c r="BP180" i="5" s="1"/>
  <c r="BS72" i="25"/>
  <c r="BU72" i="25"/>
  <c r="BT71" i="25"/>
  <c r="BF126" i="5"/>
  <c r="BG126" i="5"/>
  <c r="K73" i="22"/>
  <c r="P72" i="22"/>
  <c r="CQ95" i="14"/>
  <c r="R181" i="5"/>
  <c r="CZ80" i="5"/>
  <c r="DA80" i="5" s="1"/>
  <c r="DC80" i="5" s="1"/>
  <c r="BH125" i="5"/>
  <c r="CC181" i="5"/>
  <c r="CA181" i="5"/>
  <c r="CB181" i="5"/>
  <c r="BT166" i="5"/>
  <c r="BW166" i="5" s="1"/>
  <c r="BS166" i="5"/>
  <c r="J71" i="11"/>
  <c r="L70" i="11"/>
  <c r="K96" i="15"/>
  <c r="M95" i="15"/>
  <c r="DF175" i="5"/>
  <c r="DE175" i="5"/>
  <c r="BO176" i="5"/>
  <c r="CJ176" i="5"/>
  <c r="BW161" i="5"/>
  <c r="J82" i="16"/>
  <c r="L81" i="16"/>
  <c r="AY175" i="5"/>
  <c r="AY176" i="5" s="1"/>
  <c r="AV176" i="5"/>
  <c r="U182" i="5"/>
  <c r="X182" i="5" s="1"/>
  <c r="V182" i="5"/>
  <c r="AV179" i="5"/>
  <c r="BO179" i="5"/>
  <c r="BQ179" i="5"/>
  <c r="CD181" i="5"/>
  <c r="CE181" i="5"/>
  <c r="G112" i="15"/>
  <c r="H111" i="15"/>
  <c r="N75" i="11"/>
  <c r="AE74" i="11"/>
  <c r="CF180" i="5"/>
  <c r="CJ180" i="5" s="1"/>
  <c r="S181" i="5"/>
  <c r="BP181" i="5" s="1"/>
  <c r="CJ179" i="5"/>
  <c r="H125" i="9"/>
  <c r="J124" i="9"/>
  <c r="DG180" i="5"/>
  <c r="DH180" i="5"/>
  <c r="W215" i="5"/>
  <c r="EG98" i="25"/>
  <c r="BW164" i="5"/>
  <c r="G78" i="11"/>
  <c r="H71" i="27"/>
  <c r="M70" i="27"/>
  <c r="AB75" i="9"/>
  <c r="L76" i="9"/>
  <c r="AV180" i="5" l="1"/>
  <c r="AY180" i="5" s="1"/>
  <c r="W216" i="5"/>
  <c r="EG99" i="25"/>
  <c r="J125" i="9"/>
  <c r="H126" i="9"/>
  <c r="G113" i="15"/>
  <c r="H112" i="15"/>
  <c r="AY179" i="5"/>
  <c r="J72" i="11"/>
  <c r="L71" i="11"/>
  <c r="BO180" i="5"/>
  <c r="BQ180" i="5"/>
  <c r="BQ181" i="5"/>
  <c r="BO181" i="5"/>
  <c r="L77" i="9"/>
  <c r="AB76" i="9"/>
  <c r="CD182" i="5"/>
  <c r="CE182" i="5"/>
  <c r="BK125" i="5"/>
  <c r="CY125" i="5" s="1"/>
  <c r="CQ96" i="14"/>
  <c r="R182" i="5"/>
  <c r="S182" i="5" s="1"/>
  <c r="BP182" i="5" s="1"/>
  <c r="V183" i="5"/>
  <c r="U183" i="5"/>
  <c r="X183" i="5" s="1"/>
  <c r="AT181" i="5"/>
  <c r="AU181" i="5"/>
  <c r="G79" i="11"/>
  <c r="H72" i="27"/>
  <c r="M71" i="27"/>
  <c r="N76" i="11"/>
  <c r="AE75" i="11"/>
  <c r="BS167" i="5"/>
  <c r="BT167" i="5"/>
  <c r="K97" i="15"/>
  <c r="M96" i="15"/>
  <c r="DG181" i="5"/>
  <c r="DH181" i="5"/>
  <c r="CF181" i="5"/>
  <c r="CJ181" i="5" s="1"/>
  <c r="F80" i="24"/>
  <c r="K79" i="24"/>
  <c r="DF179" i="5"/>
  <c r="DE179" i="5"/>
  <c r="CB182" i="5"/>
  <c r="CC182" i="5"/>
  <c r="CA182" i="5"/>
  <c r="J83" i="16"/>
  <c r="L82" i="16"/>
  <c r="BG127" i="5"/>
  <c r="BF127" i="5"/>
  <c r="CZ81" i="5"/>
  <c r="DA81" i="5" s="1"/>
  <c r="DC81" i="5" s="1"/>
  <c r="P73" i="22"/>
  <c r="K74" i="22"/>
  <c r="BH126" i="5"/>
  <c r="BK126" i="5" s="1"/>
  <c r="CY126" i="5" s="1"/>
  <c r="BS73" i="25"/>
  <c r="BU73" i="25"/>
  <c r="BT72" i="25"/>
  <c r="V184" i="5" l="1"/>
  <c r="U184" i="5"/>
  <c r="X184" i="5" s="1"/>
  <c r="DG182" i="5"/>
  <c r="DH182" i="5"/>
  <c r="CF182" i="5"/>
  <c r="CJ182" i="5" s="1"/>
  <c r="DE181" i="5"/>
  <c r="DF181" i="5"/>
  <c r="DE180" i="5"/>
  <c r="DF180" i="5"/>
  <c r="J73" i="11"/>
  <c r="L72" i="11"/>
  <c r="G114" i="15"/>
  <c r="H113" i="15"/>
  <c r="BH127" i="5"/>
  <c r="BK127" i="5" s="1"/>
  <c r="CY127" i="5" s="1"/>
  <c r="BS74" i="25"/>
  <c r="BU74" i="25"/>
  <c r="BT73" i="25"/>
  <c r="CZ82" i="5"/>
  <c r="DA82" i="5" s="1"/>
  <c r="DC82" i="5" s="1"/>
  <c r="CE183" i="5"/>
  <c r="CD183" i="5"/>
  <c r="BQ182" i="5"/>
  <c r="BO182" i="5"/>
  <c r="BP191" i="5"/>
  <c r="J126" i="9"/>
  <c r="H127" i="9"/>
  <c r="BS168" i="5"/>
  <c r="F81" i="24"/>
  <c r="K80" i="24"/>
  <c r="K98" i="15"/>
  <c r="M97" i="15"/>
  <c r="H73" i="27"/>
  <c r="M72" i="27"/>
  <c r="AV181" i="5"/>
  <c r="CQ97" i="14"/>
  <c r="R183" i="5"/>
  <c r="S183" i="5" s="1"/>
  <c r="BQ183" i="5" s="1"/>
  <c r="L78" i="9"/>
  <c r="AB77" i="9"/>
  <c r="AU182" i="5"/>
  <c r="AT182" i="5"/>
  <c r="K75" i="22"/>
  <c r="P74" i="22"/>
  <c r="J84" i="16"/>
  <c r="L83" i="16"/>
  <c r="BW167" i="5"/>
  <c r="N77" i="11"/>
  <c r="AE76" i="11"/>
  <c r="G80" i="11"/>
  <c r="CC183" i="5"/>
  <c r="CA183" i="5"/>
  <c r="CB183" i="5"/>
  <c r="BG128" i="5"/>
  <c r="BF128" i="5"/>
  <c r="BH128" i="5" s="1"/>
  <c r="BK128" i="5" s="1"/>
  <c r="CY128" i="5" s="1"/>
  <c r="W217" i="5"/>
  <c r="EG100" i="25"/>
  <c r="DG183" i="5" l="1"/>
  <c r="DH183" i="5"/>
  <c r="CF183" i="5"/>
  <c r="CJ183" i="5" s="1"/>
  <c r="BT169" i="5"/>
  <c r="BW169" i="5" s="1"/>
  <c r="BS169" i="5"/>
  <c r="AV182" i="5"/>
  <c r="AY182" i="5" s="1"/>
  <c r="L79" i="9"/>
  <c r="AB78" i="9"/>
  <c r="AY181" i="5"/>
  <c r="K99" i="15"/>
  <c r="M98" i="15"/>
  <c r="BT168" i="5"/>
  <c r="V185" i="5"/>
  <c r="U185" i="5"/>
  <c r="X185" i="5" s="1"/>
  <c r="J74" i="11"/>
  <c r="L73" i="11"/>
  <c r="W218" i="5"/>
  <c r="EG101" i="25"/>
  <c r="J85" i="16"/>
  <c r="L84" i="16"/>
  <c r="CE184" i="5"/>
  <c r="CD184" i="5"/>
  <c r="CA184" i="5"/>
  <c r="CB184" i="5"/>
  <c r="CC184" i="5"/>
  <c r="H74" i="27"/>
  <c r="M73" i="27"/>
  <c r="H128" i="9"/>
  <c r="J127" i="9"/>
  <c r="DF182" i="5"/>
  <c r="DE182" i="5"/>
  <c r="BO191" i="5"/>
  <c r="BS75" i="25"/>
  <c r="BU75" i="25"/>
  <c r="BT74" i="25"/>
  <c r="G115" i="15"/>
  <c r="H114" i="15"/>
  <c r="N78" i="11"/>
  <c r="AE77" i="11"/>
  <c r="G81" i="11"/>
  <c r="P75" i="22"/>
  <c r="K76" i="22"/>
  <c r="F82" i="24"/>
  <c r="K81" i="24"/>
  <c r="AU183" i="5"/>
  <c r="AT183" i="5"/>
  <c r="BQ191" i="5"/>
  <c r="CZ83" i="5"/>
  <c r="BF129" i="5"/>
  <c r="BG129" i="5"/>
  <c r="K77" i="22" l="1"/>
  <c r="P76" i="22"/>
  <c r="BH129" i="5"/>
  <c r="BK129" i="5" s="1"/>
  <c r="CY129" i="5" s="1"/>
  <c r="AV183" i="5"/>
  <c r="G82" i="11"/>
  <c r="G116" i="15"/>
  <c r="H115" i="15"/>
  <c r="AU184" i="5"/>
  <c r="AT184" i="5"/>
  <c r="DH184" i="5"/>
  <c r="DG184" i="5"/>
  <c r="BS170" i="5"/>
  <c r="BG130" i="5"/>
  <c r="BG131" i="5" s="1"/>
  <c r="BF130" i="5"/>
  <c r="CZ84" i="5"/>
  <c r="DA84" i="5" s="1"/>
  <c r="DC84" i="5" s="1"/>
  <c r="F83" i="24"/>
  <c r="K82" i="24"/>
  <c r="DA83" i="5"/>
  <c r="DC83" i="5" s="1"/>
  <c r="V186" i="5"/>
  <c r="U186" i="5"/>
  <c r="X186" i="5" s="1"/>
  <c r="J128" i="9"/>
  <c r="H129" i="9"/>
  <c r="CF184" i="5"/>
  <c r="J86" i="16"/>
  <c r="L85" i="16"/>
  <c r="J75" i="11"/>
  <c r="L74" i="11"/>
  <c r="BW168" i="5"/>
  <c r="N79" i="11"/>
  <c r="AE78" i="11"/>
  <c r="CD185" i="5"/>
  <c r="CE185" i="5"/>
  <c r="W219" i="5"/>
  <c r="EG102" i="25"/>
  <c r="CC185" i="5"/>
  <c r="CA185" i="5"/>
  <c r="CB185" i="5"/>
  <c r="BS76" i="25"/>
  <c r="BT75" i="25"/>
  <c r="BU76" i="25"/>
  <c r="H75" i="27"/>
  <c r="M74" i="27"/>
  <c r="K100" i="15"/>
  <c r="M99" i="15"/>
  <c r="AB79" i="9"/>
  <c r="L80" i="9"/>
  <c r="H76" i="27" l="1"/>
  <c r="M75" i="27"/>
  <c r="N80" i="11"/>
  <c r="AE79" i="11"/>
  <c r="BG134" i="5"/>
  <c r="BF134" i="5"/>
  <c r="CJ184" i="5"/>
  <c r="BT170" i="5"/>
  <c r="AV184" i="5"/>
  <c r="AY184" i="5" s="1"/>
  <c r="AY183" i="5"/>
  <c r="DG185" i="5"/>
  <c r="DH185" i="5"/>
  <c r="CF185" i="5"/>
  <c r="CJ185" i="5" s="1"/>
  <c r="J76" i="11"/>
  <c r="L75" i="11"/>
  <c r="J129" i="9"/>
  <c r="H130" i="9"/>
  <c r="CZ85" i="5"/>
  <c r="DA85" i="5" s="1"/>
  <c r="DC85" i="5" s="1"/>
  <c r="DC86" i="5" s="1"/>
  <c r="G83" i="11"/>
  <c r="BT186" i="5"/>
  <c r="BW186" i="5" s="1"/>
  <c r="BS186" i="5"/>
  <c r="K101" i="15"/>
  <c r="M100" i="15"/>
  <c r="BS171" i="5"/>
  <c r="AU185" i="5"/>
  <c r="AT185" i="5"/>
  <c r="BH130" i="5"/>
  <c r="BF131" i="5"/>
  <c r="V187" i="5"/>
  <c r="U187" i="5"/>
  <c r="X187" i="5" s="1"/>
  <c r="L81" i="9"/>
  <c r="AB80" i="9"/>
  <c r="CD186" i="5"/>
  <c r="CE186" i="5"/>
  <c r="BS77" i="25"/>
  <c r="BU77" i="25"/>
  <c r="BT76" i="25"/>
  <c r="W220" i="5"/>
  <c r="EG103" i="25"/>
  <c r="EG104" i="25" s="1"/>
  <c r="EG105" i="25" s="1"/>
  <c r="EG106" i="25" s="1"/>
  <c r="EG107" i="25" s="1"/>
  <c r="J87" i="16"/>
  <c r="L86" i="16"/>
  <c r="CB186" i="5"/>
  <c r="CC186" i="5"/>
  <c r="CA186" i="5"/>
  <c r="F84" i="24"/>
  <c r="K83" i="24"/>
  <c r="G117" i="15"/>
  <c r="H116" i="15"/>
  <c r="P77" i="22"/>
  <c r="K78" i="22"/>
  <c r="DH186" i="5" l="1"/>
  <c r="DG186" i="5"/>
  <c r="J88" i="16"/>
  <c r="L87" i="16"/>
  <c r="CB187" i="5"/>
  <c r="CC187" i="5"/>
  <c r="CA187" i="5"/>
  <c r="K102" i="15"/>
  <c r="M101" i="15"/>
  <c r="G84" i="11"/>
  <c r="AU186" i="5"/>
  <c r="AT186" i="5"/>
  <c r="AV186" i="5" s="1"/>
  <c r="AY186" i="5" s="1"/>
  <c r="G118" i="15"/>
  <c r="H117" i="15"/>
  <c r="V188" i="5"/>
  <c r="U188" i="5"/>
  <c r="X188" i="5" s="1"/>
  <c r="CF186" i="5"/>
  <c r="CJ186" i="5" s="1"/>
  <c r="BT171" i="5"/>
  <c r="BW171" i="5" s="1"/>
  <c r="BG135" i="5"/>
  <c r="BF135" i="5"/>
  <c r="BH135" i="5" s="1"/>
  <c r="BK135" i="5" s="1"/>
  <c r="CY135" i="5" s="1"/>
  <c r="N81" i="11"/>
  <c r="AE80" i="11"/>
  <c r="K79" i="22"/>
  <c r="P78" i="22"/>
  <c r="BK130" i="5"/>
  <c r="CY130" i="5" s="1"/>
  <c r="BH131" i="5"/>
  <c r="BK131" i="5" s="1"/>
  <c r="CZ88" i="5"/>
  <c r="J77" i="11"/>
  <c r="L76" i="11"/>
  <c r="BH134" i="5"/>
  <c r="CE187" i="5"/>
  <c r="CD187" i="5"/>
  <c r="F85" i="24"/>
  <c r="K84" i="24"/>
  <c r="BS172" i="5"/>
  <c r="BU78" i="25"/>
  <c r="BT77" i="25"/>
  <c r="BS78" i="25"/>
  <c r="AB81" i="9"/>
  <c r="L82" i="9"/>
  <c r="AV185" i="5"/>
  <c r="AY185" i="5" s="1"/>
  <c r="BS187" i="5"/>
  <c r="BT187" i="5"/>
  <c r="BW187" i="5" s="1"/>
  <c r="J130" i="9"/>
  <c r="H131" i="9"/>
  <c r="BW170" i="5"/>
  <c r="H77" i="27"/>
  <c r="M76" i="27"/>
  <c r="H78" i="27" l="1"/>
  <c r="M77" i="27"/>
  <c r="BT78" i="25"/>
  <c r="BU79" i="25"/>
  <c r="BS79" i="25"/>
  <c r="BT172" i="5"/>
  <c r="K80" i="22"/>
  <c r="P79" i="22"/>
  <c r="G85" i="11"/>
  <c r="V189" i="5"/>
  <c r="U189" i="5"/>
  <c r="X189" i="5" s="1"/>
  <c r="BG136" i="5"/>
  <c r="BF136" i="5"/>
  <c r="BS188" i="5"/>
  <c r="H132" i="9"/>
  <c r="J131" i="9"/>
  <c r="AT187" i="5"/>
  <c r="AU187" i="5"/>
  <c r="AB82" i="9"/>
  <c r="L83" i="9"/>
  <c r="F86" i="24"/>
  <c r="K85" i="24"/>
  <c r="J78" i="11"/>
  <c r="L77" i="11"/>
  <c r="N82" i="11"/>
  <c r="AE81" i="11"/>
  <c r="G119" i="15"/>
  <c r="H118" i="15"/>
  <c r="K103" i="15"/>
  <c r="M102" i="15"/>
  <c r="BS173" i="5"/>
  <c r="BT173" i="5"/>
  <c r="BW173" i="5" s="1"/>
  <c r="CE188" i="5"/>
  <c r="CD188" i="5"/>
  <c r="BK134" i="5"/>
  <c r="CZ89" i="5"/>
  <c r="CC188" i="5"/>
  <c r="CA188" i="5"/>
  <c r="CB188" i="5"/>
  <c r="DG187" i="5"/>
  <c r="DH187" i="5"/>
  <c r="CF187" i="5"/>
  <c r="CJ187" i="5" s="1"/>
  <c r="J89" i="16"/>
  <c r="L88" i="16"/>
  <c r="AV187" i="5" l="1"/>
  <c r="AY187" i="5" s="1"/>
  <c r="K104" i="15"/>
  <c r="M103" i="15"/>
  <c r="N83" i="11"/>
  <c r="AE82" i="11"/>
  <c r="F87" i="24"/>
  <c r="K86" i="24"/>
  <c r="BT79" i="25"/>
  <c r="BS80" i="25"/>
  <c r="BU80" i="25"/>
  <c r="CE189" i="5"/>
  <c r="CD189" i="5"/>
  <c r="BS174" i="5"/>
  <c r="BT174" i="5"/>
  <c r="BW174" i="5" s="1"/>
  <c r="BG137" i="5"/>
  <c r="L84" i="9"/>
  <c r="AB83" i="9"/>
  <c r="AU188" i="5"/>
  <c r="AT188" i="5"/>
  <c r="AV188" i="5" s="1"/>
  <c r="AY188" i="5" s="1"/>
  <c r="CC189" i="5"/>
  <c r="CA189" i="5"/>
  <c r="CB189" i="5"/>
  <c r="H79" i="27"/>
  <c r="M78" i="27"/>
  <c r="CZ90" i="5"/>
  <c r="DA90" i="5" s="1"/>
  <c r="DC90" i="5" s="1"/>
  <c r="J90" i="16"/>
  <c r="L90" i="16" s="1"/>
  <c r="L89" i="16"/>
  <c r="CY134" i="5"/>
  <c r="G120" i="15"/>
  <c r="H119" i="15"/>
  <c r="J79" i="11"/>
  <c r="L78" i="11"/>
  <c r="J132" i="9"/>
  <c r="H133" i="9"/>
  <c r="P80" i="22"/>
  <c r="K81" i="22"/>
  <c r="U190" i="5"/>
  <c r="X190" i="5" s="1"/>
  <c r="V190" i="5"/>
  <c r="DG188" i="5"/>
  <c r="DH188" i="5"/>
  <c r="CF188" i="5"/>
  <c r="CJ188" i="5" s="1"/>
  <c r="DA89" i="5"/>
  <c r="DC89" i="5" s="1"/>
  <c r="BS189" i="5"/>
  <c r="BT189" i="5"/>
  <c r="BW189" i="5" s="1"/>
  <c r="BT188" i="5"/>
  <c r="BW188" i="5" s="1"/>
  <c r="BH136" i="5"/>
  <c r="G86" i="11"/>
  <c r="BW172" i="5"/>
  <c r="CA190" i="5" l="1"/>
  <c r="CC190" i="5"/>
  <c r="CC191" i="5" s="1"/>
  <c r="CB190" i="5"/>
  <c r="CB191" i="5" s="1"/>
  <c r="AT189" i="5"/>
  <c r="AV189" i="5" s="1"/>
  <c r="AY189" i="5" s="1"/>
  <c r="AU189" i="5"/>
  <c r="G121" i="15"/>
  <c r="H120" i="15"/>
  <c r="I91" i="16"/>
  <c r="J91" i="16" s="1"/>
  <c r="BS179" i="5"/>
  <c r="H80" i="27"/>
  <c r="M79" i="27"/>
  <c r="DH189" i="5"/>
  <c r="DG189" i="5"/>
  <c r="CF189" i="5"/>
  <c r="CJ189" i="5" s="1"/>
  <c r="V194" i="5"/>
  <c r="U194" i="5"/>
  <c r="X194" i="5" s="1"/>
  <c r="G87" i="11"/>
  <c r="P81" i="22"/>
  <c r="K82" i="22"/>
  <c r="BG138" i="5"/>
  <c r="CZ91" i="5"/>
  <c r="DA91" i="5" s="1"/>
  <c r="DC91" i="5" s="1"/>
  <c r="AB84" i="9"/>
  <c r="L85" i="9"/>
  <c r="N84" i="11"/>
  <c r="AE83" i="11"/>
  <c r="BK136" i="5"/>
  <c r="J80" i="11"/>
  <c r="L79" i="11"/>
  <c r="BS190" i="5"/>
  <c r="H134" i="9"/>
  <c r="J133" i="9"/>
  <c r="BS175" i="5"/>
  <c r="BS176" i="5" s="1"/>
  <c r="CD190" i="5"/>
  <c r="CD191" i="5" s="1"/>
  <c r="CE190" i="5"/>
  <c r="CE191" i="5" s="1"/>
  <c r="BH137" i="5"/>
  <c r="BK137" i="5" s="1"/>
  <c r="CY137" i="5" s="1"/>
  <c r="BT80" i="25"/>
  <c r="BU81" i="25"/>
  <c r="BS81" i="25"/>
  <c r="F88" i="24"/>
  <c r="K87" i="24"/>
  <c r="K105" i="15"/>
  <c r="M104" i="15"/>
  <c r="F89" i="24" l="1"/>
  <c r="K88" i="24"/>
  <c r="BT175" i="5"/>
  <c r="BR176" i="5"/>
  <c r="BG139" i="5"/>
  <c r="BT179" i="5"/>
  <c r="G122" i="15"/>
  <c r="H121" i="15"/>
  <c r="BS194" i="5"/>
  <c r="J81" i="11"/>
  <c r="L80" i="11"/>
  <c r="K83" i="22"/>
  <c r="P82" i="22"/>
  <c r="CB194" i="5"/>
  <c r="CC194" i="5"/>
  <c r="CA194" i="5"/>
  <c r="DH190" i="5"/>
  <c r="DG190" i="5"/>
  <c r="CF190" i="5"/>
  <c r="CA191" i="5"/>
  <c r="BS82" i="25"/>
  <c r="BU82" i="25"/>
  <c r="BT81" i="25"/>
  <c r="K106" i="15"/>
  <c r="M105" i="15"/>
  <c r="AU190" i="5"/>
  <c r="AU191" i="5" s="1"/>
  <c r="AT190" i="5"/>
  <c r="BT190" i="5"/>
  <c r="BW190" i="5" s="1"/>
  <c r="CY136" i="5"/>
  <c r="N85" i="11"/>
  <c r="AE84" i="11"/>
  <c r="CZ92" i="5"/>
  <c r="DA92" i="5" s="1"/>
  <c r="DC92" i="5" s="1"/>
  <c r="CE194" i="5"/>
  <c r="CD194" i="5"/>
  <c r="J92" i="16"/>
  <c r="L91" i="16"/>
  <c r="U195" i="5"/>
  <c r="X195" i="5" s="1"/>
  <c r="V195" i="5"/>
  <c r="H135" i="9"/>
  <c r="J134" i="9"/>
  <c r="L86" i="9"/>
  <c r="AB85" i="9"/>
  <c r="BH138" i="5"/>
  <c r="BK138" i="5" s="1"/>
  <c r="CY138" i="5" s="1"/>
  <c r="G88" i="11"/>
  <c r="H81" i="27"/>
  <c r="M80" i="27"/>
  <c r="H82" i="27" l="1"/>
  <c r="M81" i="27"/>
  <c r="J93" i="16"/>
  <c r="L92" i="16"/>
  <c r="N86" i="11"/>
  <c r="AE85" i="11"/>
  <c r="AV190" i="5"/>
  <c r="AT191" i="5"/>
  <c r="V196" i="5"/>
  <c r="U196" i="5"/>
  <c r="X196" i="5" s="1"/>
  <c r="CJ190" i="5"/>
  <c r="CJ191" i="5" s="1"/>
  <c r="CF191" i="5"/>
  <c r="DG194" i="5"/>
  <c r="DH194" i="5"/>
  <c r="K84" i="22"/>
  <c r="P83" i="22"/>
  <c r="BW179" i="5"/>
  <c r="J135" i="9"/>
  <c r="H136" i="9"/>
  <c r="CF194" i="5"/>
  <c r="BT194" i="5"/>
  <c r="BW175" i="5"/>
  <c r="BT176" i="5"/>
  <c r="CZ93" i="5"/>
  <c r="DA93" i="5" s="1"/>
  <c r="DC93" i="5" s="1"/>
  <c r="BS195" i="5"/>
  <c r="BG140" i="5"/>
  <c r="G89" i="11"/>
  <c r="AB86" i="9"/>
  <c r="L87" i="9"/>
  <c r="CA195" i="5"/>
  <c r="CC195" i="5"/>
  <c r="CB195" i="5"/>
  <c r="BU83" i="25"/>
  <c r="BS83" i="25"/>
  <c r="BT82" i="25"/>
  <c r="CE195" i="5"/>
  <c r="CD195" i="5"/>
  <c r="AT194" i="5"/>
  <c r="AU194" i="5"/>
  <c r="BS180" i="5"/>
  <c r="K107" i="15"/>
  <c r="M106" i="15"/>
  <c r="J82" i="11"/>
  <c r="L81" i="11"/>
  <c r="G123" i="15"/>
  <c r="H122" i="15"/>
  <c r="BH139" i="5"/>
  <c r="BK139" i="5" s="1"/>
  <c r="CY139" i="5" s="1"/>
  <c r="F90" i="24"/>
  <c r="K89" i="24"/>
  <c r="I90" i="24" s="1"/>
  <c r="K90" i="24" s="1"/>
  <c r="I91" i="24" s="1"/>
  <c r="K91" i="24" s="1"/>
  <c r="I92" i="24" s="1"/>
  <c r="K92" i="24" s="1"/>
  <c r="H93" i="24" l="1"/>
  <c r="L88" i="9"/>
  <c r="AB87" i="9"/>
  <c r="K85" i="22"/>
  <c r="P84" i="22"/>
  <c r="AY190" i="5"/>
  <c r="AY191" i="5" s="1"/>
  <c r="AV191" i="5"/>
  <c r="J94" i="16"/>
  <c r="L93" i="16"/>
  <c r="BH141" i="5"/>
  <c r="BK141" i="5" s="1"/>
  <c r="CY141" i="5" s="1"/>
  <c r="BG141" i="5"/>
  <c r="BS196" i="5"/>
  <c r="BT180" i="5"/>
  <c r="BT195" i="5"/>
  <c r="BW195" i="5" s="1"/>
  <c r="CJ194" i="5"/>
  <c r="CB196" i="5"/>
  <c r="CA196" i="5"/>
  <c r="CC196" i="5"/>
  <c r="CD196" i="5"/>
  <c r="CE196" i="5"/>
  <c r="G124" i="15"/>
  <c r="H123" i="15"/>
  <c r="J83" i="11"/>
  <c r="L82" i="11"/>
  <c r="V197" i="5"/>
  <c r="U197" i="5"/>
  <c r="X197" i="5" s="1"/>
  <c r="BH140" i="5"/>
  <c r="BK140" i="5" s="1"/>
  <c r="CY140" i="5" s="1"/>
  <c r="BW176" i="5"/>
  <c r="H137" i="9"/>
  <c r="J136" i="9"/>
  <c r="N87" i="11"/>
  <c r="AE86" i="11"/>
  <c r="H83" i="27"/>
  <c r="M82" i="27"/>
  <c r="K108" i="15"/>
  <c r="M107" i="15"/>
  <c r="AV194" i="5"/>
  <c r="BT83" i="25"/>
  <c r="BU84" i="25"/>
  <c r="BS84" i="25"/>
  <c r="DG195" i="5"/>
  <c r="DH195" i="5"/>
  <c r="CF195" i="5"/>
  <c r="CJ195" i="5" s="1"/>
  <c r="G90" i="11"/>
  <c r="CZ94" i="5"/>
  <c r="DA94" i="5" s="1"/>
  <c r="DC94" i="5" s="1"/>
  <c r="BW194" i="5"/>
  <c r="AT195" i="5"/>
  <c r="AV195" i="5" s="1"/>
  <c r="AY195" i="5" s="1"/>
  <c r="AU195" i="5"/>
  <c r="BS181" i="5"/>
  <c r="I96" i="24" l="1"/>
  <c r="K96" i="24" s="1"/>
  <c r="I94" i="24"/>
  <c r="K94" i="24" s="1"/>
  <c r="I95" i="24"/>
  <c r="K95" i="24" s="1"/>
  <c r="I93" i="24"/>
  <c r="K93" i="24" s="1"/>
  <c r="BT181" i="5"/>
  <c r="BW181" i="5" s="1"/>
  <c r="BU85" i="25"/>
  <c r="BT84" i="25"/>
  <c r="BS85" i="25"/>
  <c r="AY194" i="5"/>
  <c r="CE197" i="5"/>
  <c r="CD197" i="5"/>
  <c r="AT196" i="5"/>
  <c r="AV196" i="5" s="1"/>
  <c r="AY196" i="5" s="1"/>
  <c r="AU196" i="5"/>
  <c r="BG142" i="5"/>
  <c r="J95" i="16"/>
  <c r="L94" i="16"/>
  <c r="P85" i="22"/>
  <c r="K86" i="22"/>
  <c r="AB88" i="9"/>
  <c r="L89" i="9"/>
  <c r="CZ95" i="5"/>
  <c r="DA95" i="5" s="1"/>
  <c r="DC95" i="5" s="1"/>
  <c r="H84" i="27"/>
  <c r="M83" i="27"/>
  <c r="J137" i="9"/>
  <c r="J84" i="11"/>
  <c r="L83" i="11"/>
  <c r="CF196" i="5"/>
  <c r="CJ196" i="5" s="1"/>
  <c r="U198" i="5"/>
  <c r="X198" i="5" s="1"/>
  <c r="V198" i="5"/>
  <c r="BW180" i="5"/>
  <c r="BT197" i="5"/>
  <c r="BW197" i="5" s="1"/>
  <c r="BS197" i="5"/>
  <c r="CB197" i="5"/>
  <c r="CA197" i="5"/>
  <c r="CC197" i="5"/>
  <c r="G91" i="11"/>
  <c r="K109" i="15"/>
  <c r="M108" i="15"/>
  <c r="N88" i="11"/>
  <c r="AE87" i="11"/>
  <c r="G125" i="15"/>
  <c r="H124" i="15"/>
  <c r="DG196" i="5"/>
  <c r="DH196" i="5"/>
  <c r="BT196" i="5"/>
  <c r="BS182" i="5"/>
  <c r="G126" i="15" l="1"/>
  <c r="H125" i="15"/>
  <c r="K110" i="15"/>
  <c r="M109" i="15"/>
  <c r="CB198" i="5"/>
  <c r="CC198" i="5"/>
  <c r="CA198" i="5"/>
  <c r="BG143" i="5"/>
  <c r="CD198" i="5"/>
  <c r="CE198" i="5"/>
  <c r="U199" i="5"/>
  <c r="X199" i="5" s="1"/>
  <c r="V199" i="5"/>
  <c r="BT182" i="5"/>
  <c r="J85" i="11"/>
  <c r="L84" i="11"/>
  <c r="H85" i="27"/>
  <c r="M84" i="27"/>
  <c r="AB89" i="9"/>
  <c r="L90" i="9"/>
  <c r="BS183" i="5"/>
  <c r="BW196" i="5"/>
  <c r="N89" i="11"/>
  <c r="AE88" i="11"/>
  <c r="G138" i="9"/>
  <c r="H138" i="9" s="1"/>
  <c r="AU197" i="5"/>
  <c r="AT197" i="5"/>
  <c r="J96" i="16"/>
  <c r="L95" i="16"/>
  <c r="BS198" i="5"/>
  <c r="G92" i="11"/>
  <c r="DG197" i="5"/>
  <c r="DH197" i="5"/>
  <c r="CZ96" i="5"/>
  <c r="DA96" i="5" s="1"/>
  <c r="DC96" i="5" s="1"/>
  <c r="K87" i="22"/>
  <c r="P86" i="22"/>
  <c r="BH142" i="5"/>
  <c r="BK142" i="5" s="1"/>
  <c r="CF197" i="5"/>
  <c r="BU86" i="25"/>
  <c r="BT85" i="25"/>
  <c r="BS86" i="25"/>
  <c r="N90" i="11" l="1"/>
  <c r="AE89" i="11"/>
  <c r="BT183" i="5"/>
  <c r="BW183" i="5" s="1"/>
  <c r="CE199" i="5"/>
  <c r="CD199" i="5"/>
  <c r="BH143" i="5"/>
  <c r="BK143" i="5" s="1"/>
  <c r="CY143" i="5" s="1"/>
  <c r="K111" i="15"/>
  <c r="M110" i="15"/>
  <c r="BT198" i="5"/>
  <c r="BT184" i="5"/>
  <c r="BW184" i="5" s="1"/>
  <c r="BS184" i="5"/>
  <c r="J138" i="9"/>
  <c r="H139" i="9"/>
  <c r="H86" i="27"/>
  <c r="M85" i="27"/>
  <c r="BW182" i="5"/>
  <c r="CJ197" i="5"/>
  <c r="BS87" i="25"/>
  <c r="BU87" i="25"/>
  <c r="BT86" i="25"/>
  <c r="J97" i="16"/>
  <c r="L96" i="16"/>
  <c r="L91" i="9"/>
  <c r="AB90" i="9"/>
  <c r="BH144" i="5"/>
  <c r="BK144" i="5" s="1"/>
  <c r="CY144" i="5" s="1"/>
  <c r="BG144" i="5"/>
  <c r="DG198" i="5"/>
  <c r="DH198" i="5"/>
  <c r="G127" i="15"/>
  <c r="H126" i="15"/>
  <c r="K88" i="22"/>
  <c r="P87" i="22"/>
  <c r="U200" i="5"/>
  <c r="X200" i="5" s="1"/>
  <c r="V200" i="5"/>
  <c r="CY142" i="5"/>
  <c r="CZ97" i="5"/>
  <c r="DA97" i="5" s="1"/>
  <c r="DC97" i="5" s="1"/>
  <c r="G93" i="11"/>
  <c r="AV197" i="5"/>
  <c r="J86" i="11"/>
  <c r="L85" i="11"/>
  <c r="CB199" i="5"/>
  <c r="CC199" i="5"/>
  <c r="CA199" i="5"/>
  <c r="CF198" i="5"/>
  <c r="CJ198" i="5" s="1"/>
  <c r="BS199" i="5"/>
  <c r="H87" i="27" l="1"/>
  <c r="M86" i="27"/>
  <c r="K112" i="15"/>
  <c r="M111" i="15"/>
  <c r="AY197" i="5"/>
  <c r="CZ98" i="5"/>
  <c r="DA98" i="5" s="1"/>
  <c r="DC98" i="5" s="1"/>
  <c r="CB200" i="5"/>
  <c r="CC200" i="5"/>
  <c r="CA200" i="5"/>
  <c r="BS185" i="5"/>
  <c r="BS191" i="5" s="1"/>
  <c r="BT87" i="25"/>
  <c r="BS88" i="25"/>
  <c r="BU88" i="25"/>
  <c r="H140" i="9"/>
  <c r="J139" i="9"/>
  <c r="BG145" i="5"/>
  <c r="BG146" i="5" s="1"/>
  <c r="L92" i="9"/>
  <c r="AB91" i="9"/>
  <c r="AT198" i="5"/>
  <c r="AU198" i="5"/>
  <c r="BW198" i="5"/>
  <c r="BT199" i="5"/>
  <c r="BW199" i="5" s="1"/>
  <c r="DG199" i="5"/>
  <c r="DH199" i="5"/>
  <c r="J87" i="11"/>
  <c r="L86" i="11"/>
  <c r="G94" i="11"/>
  <c r="P88" i="22"/>
  <c r="K89" i="22"/>
  <c r="G128" i="15"/>
  <c r="H127" i="15"/>
  <c r="U201" i="5"/>
  <c r="X201" i="5" s="1"/>
  <c r="V201" i="5"/>
  <c r="CE200" i="5"/>
  <c r="CD200" i="5"/>
  <c r="BS200" i="5"/>
  <c r="CF199" i="5"/>
  <c r="CJ199" i="5" s="1"/>
  <c r="N91" i="11"/>
  <c r="AE90" i="11"/>
  <c r="G95" i="11" l="1"/>
  <c r="BS201" i="5"/>
  <c r="H88" i="27"/>
  <c r="M87" i="27"/>
  <c r="G129" i="15"/>
  <c r="H128" i="15"/>
  <c r="BT200" i="5"/>
  <c r="K90" i="22"/>
  <c r="P89" i="22"/>
  <c r="BG149" i="5"/>
  <c r="AV198" i="5"/>
  <c r="AT199" i="5"/>
  <c r="AU199" i="5"/>
  <c r="BT88" i="25"/>
  <c r="BS89" i="25"/>
  <c r="BU89" i="25"/>
  <c r="DH200" i="5"/>
  <c r="DG200" i="5"/>
  <c r="CF200" i="5"/>
  <c r="CJ200" i="5" s="1"/>
  <c r="CZ99" i="5"/>
  <c r="DA99" i="5" s="1"/>
  <c r="DC99" i="5" s="1"/>
  <c r="K113" i="15"/>
  <c r="M112" i="15"/>
  <c r="N92" i="11"/>
  <c r="AE91" i="11"/>
  <c r="CB201" i="5"/>
  <c r="CC201" i="5"/>
  <c r="CA201" i="5"/>
  <c r="J88" i="11"/>
  <c r="L87" i="11"/>
  <c r="AB92" i="9"/>
  <c r="L93" i="9"/>
  <c r="H141" i="9"/>
  <c r="J141" i="9" s="1"/>
  <c r="J140" i="9"/>
  <c r="U202" i="5"/>
  <c r="X202" i="5" s="1"/>
  <c r="V202" i="5"/>
  <c r="BH145" i="5"/>
  <c r="BF146" i="5"/>
  <c r="BT185" i="5"/>
  <c r="BR191" i="5"/>
  <c r="CE201" i="5"/>
  <c r="CD201" i="5"/>
  <c r="AV199" i="5" l="1"/>
  <c r="AY199" i="5" s="1"/>
  <c r="BK145" i="5"/>
  <c r="BH146" i="5"/>
  <c r="AB93" i="9"/>
  <c r="L94" i="9"/>
  <c r="K114" i="15"/>
  <c r="M113" i="15"/>
  <c r="V203" i="5"/>
  <c r="U203" i="5"/>
  <c r="X203" i="5" s="1"/>
  <c r="AY198" i="5"/>
  <c r="G130" i="15"/>
  <c r="H129" i="15"/>
  <c r="AU201" i="5"/>
  <c r="AT201" i="5"/>
  <c r="BW185" i="5"/>
  <c r="BT191" i="5"/>
  <c r="CB202" i="5"/>
  <c r="CC202" i="5"/>
  <c r="CA202" i="5"/>
  <c r="K91" i="22"/>
  <c r="P90" i="22"/>
  <c r="CD202" i="5"/>
  <c r="CE202" i="5"/>
  <c r="AT200" i="5"/>
  <c r="AU200" i="5"/>
  <c r="BH150" i="5"/>
  <c r="BK150" i="5" s="1"/>
  <c r="CY150" i="5" s="1"/>
  <c r="BG150" i="5"/>
  <c r="DH201" i="5"/>
  <c r="DG201" i="5"/>
  <c r="CF201" i="5"/>
  <c r="CJ201" i="5" s="1"/>
  <c r="N93" i="11"/>
  <c r="AE92" i="11"/>
  <c r="CZ100" i="5"/>
  <c r="BH149" i="5"/>
  <c r="BW200" i="5"/>
  <c r="H89" i="27"/>
  <c r="M88" i="27"/>
  <c r="G96" i="11"/>
  <c r="J89" i="11"/>
  <c r="L88" i="11"/>
  <c r="BS202" i="5"/>
  <c r="BT202" i="5"/>
  <c r="BW202" i="5" s="1"/>
  <c r="BU90" i="25"/>
  <c r="BS90" i="25"/>
  <c r="BT89" i="25"/>
  <c r="BT201" i="5"/>
  <c r="BW201" i="5" s="1"/>
  <c r="AV201" i="5" l="1"/>
  <c r="AY201" i="5" s="1"/>
  <c r="CA203" i="5"/>
  <c r="CB203" i="5"/>
  <c r="CC203" i="5"/>
  <c r="AB94" i="9"/>
  <c r="L95" i="9"/>
  <c r="U204" i="5"/>
  <c r="X204" i="5" s="1"/>
  <c r="V204" i="5"/>
  <c r="G97" i="11"/>
  <c r="DA100" i="5"/>
  <c r="DC100" i="5" s="1"/>
  <c r="DC101" i="5" s="1"/>
  <c r="CZ103" i="5" s="1"/>
  <c r="AU206" i="5"/>
  <c r="BS91" i="25"/>
  <c r="BU91" i="25"/>
  <c r="BT90" i="25"/>
  <c r="BG151" i="5"/>
  <c r="CD203" i="5"/>
  <c r="CE203" i="5"/>
  <c r="BK149" i="5"/>
  <c r="AV200" i="5"/>
  <c r="AT206" i="5"/>
  <c r="P91" i="22"/>
  <c r="K92" i="22"/>
  <c r="BS203" i="5"/>
  <c r="J90" i="11"/>
  <c r="L89" i="11"/>
  <c r="H90" i="27"/>
  <c r="M89" i="27"/>
  <c r="N94" i="11"/>
  <c r="AE93" i="11"/>
  <c r="DH202" i="5"/>
  <c r="DG202" i="5"/>
  <c r="CF202" i="5"/>
  <c r="CJ202" i="5" s="1"/>
  <c r="BW191" i="5"/>
  <c r="G131" i="15"/>
  <c r="H130" i="15"/>
  <c r="K115" i="15"/>
  <c r="M114" i="15"/>
  <c r="CY145" i="5"/>
  <c r="BK146" i="5"/>
  <c r="CZ104" i="5" l="1"/>
  <c r="DA104" i="5" s="1"/>
  <c r="DC104" i="5" s="1"/>
  <c r="H91" i="27"/>
  <c r="M90" i="27"/>
  <c r="V205" i="5"/>
  <c r="U205" i="5"/>
  <c r="X205" i="5" s="1"/>
  <c r="BH152" i="5"/>
  <c r="BK152" i="5" s="1"/>
  <c r="CY152" i="5" s="1"/>
  <c r="BG152" i="5"/>
  <c r="AY200" i="5"/>
  <c r="AV206" i="5"/>
  <c r="G98" i="11"/>
  <c r="AB95" i="9"/>
  <c r="L96" i="9"/>
  <c r="DG203" i="5"/>
  <c r="DH203" i="5"/>
  <c r="CF203" i="5"/>
  <c r="CJ203" i="5" s="1"/>
  <c r="N95" i="11"/>
  <c r="AE94" i="11"/>
  <c r="J91" i="11"/>
  <c r="L90" i="11"/>
  <c r="P92" i="22"/>
  <c r="K93" i="22"/>
  <c r="BS92" i="25"/>
  <c r="BU92" i="25"/>
  <c r="BT91" i="25"/>
  <c r="BS204" i="5"/>
  <c r="G132" i="15"/>
  <c r="H131" i="15"/>
  <c r="K116" i="15"/>
  <c r="M115" i="15"/>
  <c r="CD204" i="5"/>
  <c r="CE204" i="5"/>
  <c r="BT203" i="5"/>
  <c r="BW203" i="5" s="1"/>
  <c r="CY149" i="5"/>
  <c r="BH151" i="5"/>
  <c r="CB204" i="5"/>
  <c r="CA204" i="5"/>
  <c r="CC204" i="5"/>
  <c r="DG204" i="5" l="1"/>
  <c r="DH204" i="5"/>
  <c r="G133" i="15"/>
  <c r="H132" i="15"/>
  <c r="N96" i="11"/>
  <c r="AE95" i="11"/>
  <c r="G99" i="11"/>
  <c r="CD205" i="5"/>
  <c r="CD206" i="5" s="1"/>
  <c r="CE205" i="5"/>
  <c r="CE206" i="5" s="1"/>
  <c r="BK151" i="5"/>
  <c r="BS205" i="5"/>
  <c r="BS206" i="5" s="1"/>
  <c r="BT204" i="5"/>
  <c r="BW204" i="5" s="1"/>
  <c r="BS93" i="25"/>
  <c r="BU93" i="25"/>
  <c r="BT92" i="25"/>
  <c r="BG153" i="5"/>
  <c r="AB96" i="9"/>
  <c r="L97" i="9"/>
  <c r="H92" i="27"/>
  <c r="M91" i="27"/>
  <c r="K117" i="15"/>
  <c r="M116" i="15"/>
  <c r="J92" i="11"/>
  <c r="L91" i="11"/>
  <c r="AY206" i="5"/>
  <c r="CB205" i="5"/>
  <c r="CB206" i="5" s="1"/>
  <c r="CC205" i="5"/>
  <c r="CC206" i="5" s="1"/>
  <c r="CA205" i="5"/>
  <c r="CF204" i="5"/>
  <c r="CJ204" i="5" s="1"/>
  <c r="U209" i="5"/>
  <c r="X209" i="5" s="1"/>
  <c r="V209" i="5"/>
  <c r="P93" i="22"/>
  <c r="K94" i="22"/>
  <c r="CZ105" i="5"/>
  <c r="U210" i="5" l="1"/>
  <c r="X210" i="5" s="1"/>
  <c r="V210" i="5"/>
  <c r="K118" i="15"/>
  <c r="M117" i="15"/>
  <c r="CZ106" i="5"/>
  <c r="DA106" i="5" s="1"/>
  <c r="DC106" i="5" s="1"/>
  <c r="BG154" i="5"/>
  <c r="BH154" i="5"/>
  <c r="BK154" i="5" s="1"/>
  <c r="CY154" i="5" s="1"/>
  <c r="BT205" i="5"/>
  <c r="BR206" i="5"/>
  <c r="N97" i="11"/>
  <c r="AE96" i="11"/>
  <c r="G134" i="15"/>
  <c r="H133" i="15"/>
  <c r="DA105" i="5"/>
  <c r="DC105" i="5" s="1"/>
  <c r="DH205" i="5"/>
  <c r="DG205" i="5"/>
  <c r="CF205" i="5"/>
  <c r="CA206" i="5"/>
  <c r="J93" i="11"/>
  <c r="L92" i="11"/>
  <c r="CD209" i="5"/>
  <c r="CE209" i="5"/>
  <c r="BS94" i="25"/>
  <c r="BT93" i="25"/>
  <c r="BU94" i="25"/>
  <c r="G100" i="11"/>
  <c r="AB97" i="9"/>
  <c r="L98" i="9"/>
  <c r="CB209" i="5"/>
  <c r="CC209" i="5"/>
  <c r="CA209" i="5"/>
  <c r="K95" i="22"/>
  <c r="P94" i="22"/>
  <c r="BS209" i="5"/>
  <c r="H93" i="27"/>
  <c r="M92" i="27"/>
  <c r="BH153" i="5"/>
  <c r="CY151" i="5"/>
  <c r="U211" i="5" l="1"/>
  <c r="X211" i="5" s="1"/>
  <c r="V211" i="5"/>
  <c r="BK153" i="5"/>
  <c r="H94" i="27"/>
  <c r="M93" i="27"/>
  <c r="CJ205" i="5"/>
  <c r="CF206" i="5"/>
  <c r="BT209" i="5"/>
  <c r="K96" i="22"/>
  <c r="P95" i="22"/>
  <c r="L99" i="9"/>
  <c r="AB98" i="9"/>
  <c r="BU95" i="25"/>
  <c r="BS95" i="25"/>
  <c r="BT94" i="25"/>
  <c r="BG155" i="5"/>
  <c r="G135" i="15"/>
  <c r="H134" i="15"/>
  <c r="BW205" i="5"/>
  <c r="BT206" i="5"/>
  <c r="CZ107" i="5"/>
  <c r="G101" i="11"/>
  <c r="J94" i="11"/>
  <c r="L93" i="11"/>
  <c r="BS210" i="5"/>
  <c r="CB210" i="5"/>
  <c r="CA210" i="5"/>
  <c r="CC210" i="5"/>
  <c r="DG209" i="5"/>
  <c r="CF209" i="5"/>
  <c r="DH209" i="5"/>
  <c r="CD210" i="5"/>
  <c r="CE210" i="5"/>
  <c r="N98" i="11"/>
  <c r="AE97" i="11"/>
  <c r="K119" i="15"/>
  <c r="M118" i="15"/>
  <c r="BR211" i="5" s="1"/>
  <c r="K120" i="15" l="1"/>
  <c r="M119" i="15"/>
  <c r="BR212" i="5" s="1"/>
  <c r="P96" i="22"/>
  <c r="K97" i="22"/>
  <c r="CJ206" i="5"/>
  <c r="H95" i="27"/>
  <c r="M94" i="27"/>
  <c r="N99" i="11"/>
  <c r="AE98" i="11"/>
  <c r="CF210" i="5"/>
  <c r="CJ210" i="5" s="1"/>
  <c r="DG210" i="5"/>
  <c r="DH210" i="5"/>
  <c r="BG156" i="5"/>
  <c r="BW206" i="5"/>
  <c r="BH155" i="5"/>
  <c r="BW209" i="5"/>
  <c r="CB211" i="5"/>
  <c r="CA211" i="5"/>
  <c r="CC211" i="5"/>
  <c r="CJ209" i="5"/>
  <c r="J95" i="11"/>
  <c r="L94" i="11"/>
  <c r="CZ108" i="5"/>
  <c r="DA108" i="5" s="1"/>
  <c r="DC108" i="5" s="1"/>
  <c r="U212" i="5"/>
  <c r="X212" i="5" s="1"/>
  <c r="V212" i="5"/>
  <c r="AB99" i="9"/>
  <c r="L100" i="9"/>
  <c r="CY153" i="5"/>
  <c r="BS211" i="5"/>
  <c r="BT210" i="5"/>
  <c r="BW210" i="5" s="1"/>
  <c r="G102" i="11"/>
  <c r="DA107" i="5"/>
  <c r="DC107" i="5" s="1"/>
  <c r="G136" i="15"/>
  <c r="H135" i="15"/>
  <c r="BT95" i="25"/>
  <c r="BU96" i="25"/>
  <c r="BS96" i="25"/>
  <c r="CD211" i="5"/>
  <c r="CE211" i="5"/>
  <c r="BT211" i="5" l="1"/>
  <c r="BW211" i="5" s="1"/>
  <c r="G103" i="11"/>
  <c r="BH156" i="5"/>
  <c r="BK156" i="5" s="1"/>
  <c r="CY156" i="5" s="1"/>
  <c r="BS212" i="5"/>
  <c r="BS97" i="25"/>
  <c r="BU97" i="25"/>
  <c r="BT96" i="25"/>
  <c r="G137" i="15"/>
  <c r="H136" i="15"/>
  <c r="CB212" i="5"/>
  <c r="CA212" i="5"/>
  <c r="CC212" i="5"/>
  <c r="BG157" i="5"/>
  <c r="N100" i="11"/>
  <c r="AE99" i="11"/>
  <c r="K121" i="15"/>
  <c r="M120" i="15"/>
  <c r="BR213" i="5" s="1"/>
  <c r="L101" i="9"/>
  <c r="AB100" i="9"/>
  <c r="J96" i="11"/>
  <c r="L95" i="11"/>
  <c r="CF211" i="5"/>
  <c r="DG211" i="5"/>
  <c r="DH211" i="5"/>
  <c r="CD212" i="5"/>
  <c r="CE212" i="5"/>
  <c r="P97" i="22"/>
  <c r="K98" i="22"/>
  <c r="U213" i="5"/>
  <c r="X213" i="5" s="1"/>
  <c r="V213" i="5"/>
  <c r="CZ109" i="5"/>
  <c r="DA109" i="5" s="1"/>
  <c r="DC109" i="5" s="1"/>
  <c r="BK155" i="5"/>
  <c r="H96" i="27"/>
  <c r="M95" i="27"/>
  <c r="BG158" i="5" l="1"/>
  <c r="N101" i="11"/>
  <c r="AE100" i="11"/>
  <c r="G138" i="15"/>
  <c r="H137" i="15"/>
  <c r="CY155" i="5"/>
  <c r="CD213" i="5"/>
  <c r="CE213" i="5"/>
  <c r="K99" i="22"/>
  <c r="P98" i="22"/>
  <c r="H97" i="27"/>
  <c r="M96" i="27"/>
  <c r="CZ110" i="5"/>
  <c r="DA110" i="5" s="1"/>
  <c r="DC110" i="5" s="1"/>
  <c r="J97" i="11"/>
  <c r="L96" i="11"/>
  <c r="BS213" i="5"/>
  <c r="CF212" i="5"/>
  <c r="CJ212" i="5" s="1"/>
  <c r="DG212" i="5"/>
  <c r="DH212" i="5"/>
  <c r="U214" i="5"/>
  <c r="X214" i="5" s="1"/>
  <c r="V214" i="5"/>
  <c r="BT212" i="5"/>
  <c r="G104" i="11"/>
  <c r="K122" i="15"/>
  <c r="M121" i="15"/>
  <c r="BR214" i="5" s="1"/>
  <c r="BH157" i="5"/>
  <c r="CB213" i="5"/>
  <c r="CA213" i="5"/>
  <c r="CC213" i="5"/>
  <c r="CJ211" i="5"/>
  <c r="AB101" i="9"/>
  <c r="L102" i="9"/>
  <c r="BS98" i="25"/>
  <c r="BT97" i="25"/>
  <c r="BU98" i="25"/>
  <c r="CF213" i="5" l="1"/>
  <c r="DG213" i="5"/>
  <c r="DH213" i="5"/>
  <c r="BW212" i="5"/>
  <c r="BG159" i="5"/>
  <c r="U215" i="5"/>
  <c r="X215" i="5" s="1"/>
  <c r="V215" i="5"/>
  <c r="BS214" i="5"/>
  <c r="BU99" i="25"/>
  <c r="BS99" i="25"/>
  <c r="BT98" i="25"/>
  <c r="K123" i="15"/>
  <c r="M122" i="15"/>
  <c r="BR215" i="5" s="1"/>
  <c r="J98" i="11"/>
  <c r="L97" i="11"/>
  <c r="CZ111" i="5"/>
  <c r="DA111" i="5" s="1"/>
  <c r="DC111" i="5" s="1"/>
  <c r="K100" i="22"/>
  <c r="P99" i="22"/>
  <c r="N102" i="11"/>
  <c r="AE101" i="11"/>
  <c r="CB214" i="5"/>
  <c r="CA214" i="5"/>
  <c r="CC214" i="5"/>
  <c r="CD214" i="5"/>
  <c r="CE214" i="5"/>
  <c r="BT213" i="5"/>
  <c r="BW213" i="5" s="1"/>
  <c r="AB102" i="9"/>
  <c r="L103" i="9"/>
  <c r="BK157" i="5"/>
  <c r="G105" i="11"/>
  <c r="M97" i="27"/>
  <c r="H98" i="27"/>
  <c r="G139" i="15"/>
  <c r="H138" i="15"/>
  <c r="BH158" i="5"/>
  <c r="BK158" i="5" s="1"/>
  <c r="CY158" i="5" s="1"/>
  <c r="BT214" i="5" l="1"/>
  <c r="BW214" i="5" s="1"/>
  <c r="CD215" i="5"/>
  <c r="CE215" i="5"/>
  <c r="CY157" i="5"/>
  <c r="K101" i="22"/>
  <c r="P100" i="22"/>
  <c r="J99" i="11"/>
  <c r="L98" i="11"/>
  <c r="BT99" i="25"/>
  <c r="BU100" i="25"/>
  <c r="BS100" i="25"/>
  <c r="G106" i="11"/>
  <c r="L104" i="9"/>
  <c r="AB103" i="9"/>
  <c r="CF214" i="5"/>
  <c r="CJ214" i="5" s="1"/>
  <c r="DG214" i="5"/>
  <c r="DH214" i="5"/>
  <c r="BS215" i="5"/>
  <c r="CB215" i="5"/>
  <c r="CC215" i="5"/>
  <c r="CA215" i="5"/>
  <c r="BH159" i="5"/>
  <c r="BK159" i="5" s="1"/>
  <c r="CY159" i="5" s="1"/>
  <c r="N103" i="11"/>
  <c r="AE102" i="11"/>
  <c r="CZ112" i="5"/>
  <c r="DA112" i="5" s="1"/>
  <c r="DC112" i="5" s="1"/>
  <c r="K124" i="15"/>
  <c r="M123" i="15"/>
  <c r="BR216" i="5" s="1"/>
  <c r="G140" i="15"/>
  <c r="H139" i="15"/>
  <c r="M98" i="27"/>
  <c r="H99" i="27"/>
  <c r="BG160" i="5"/>
  <c r="BG161" i="5" s="1"/>
  <c r="U216" i="5"/>
  <c r="X216" i="5" s="1"/>
  <c r="V216" i="5"/>
  <c r="CJ213" i="5"/>
  <c r="BH160" i="5" l="1"/>
  <c r="BF161" i="5"/>
  <c r="CD216" i="5"/>
  <c r="CE216" i="5"/>
  <c r="BS216" i="5"/>
  <c r="L105" i="9"/>
  <c r="AB104" i="9"/>
  <c r="BS101" i="25"/>
  <c r="BT100" i="25"/>
  <c r="BU101" i="25"/>
  <c r="J100" i="11"/>
  <c r="L99" i="11"/>
  <c r="K125" i="15"/>
  <c r="M124" i="15"/>
  <c r="BR217" i="5" s="1"/>
  <c r="N104" i="11"/>
  <c r="AE103" i="11"/>
  <c r="CB216" i="5"/>
  <c r="CC216" i="5"/>
  <c r="CA216" i="5"/>
  <c r="G107" i="11"/>
  <c r="U217" i="5"/>
  <c r="X217" i="5" s="1"/>
  <c r="V217" i="5"/>
  <c r="K102" i="22"/>
  <c r="P101" i="22"/>
  <c r="G141" i="15"/>
  <c r="H140" i="15"/>
  <c r="M99" i="27"/>
  <c r="H100" i="27"/>
  <c r="CZ113" i="5"/>
  <c r="DA113" i="5" s="1"/>
  <c r="DC113" i="5" s="1"/>
  <c r="CF215" i="5"/>
  <c r="DH215" i="5"/>
  <c r="DG215" i="5"/>
  <c r="BT215" i="5"/>
  <c r="BG164" i="5"/>
  <c r="G142" i="15" l="1"/>
  <c r="H141" i="15"/>
  <c r="K103" i="22"/>
  <c r="P102" i="22"/>
  <c r="BS217" i="5"/>
  <c r="J101" i="11"/>
  <c r="L100" i="11"/>
  <c r="M100" i="27"/>
  <c r="H101" i="27"/>
  <c r="CF216" i="5"/>
  <c r="CJ216" i="5" s="1"/>
  <c r="DH216" i="5"/>
  <c r="DG216" i="5"/>
  <c r="K126" i="15"/>
  <c r="M125" i="15"/>
  <c r="BR218" i="5" s="1"/>
  <c r="AB105" i="9"/>
  <c r="L106" i="9"/>
  <c r="BH164" i="5"/>
  <c r="CJ215" i="5"/>
  <c r="CD217" i="5"/>
  <c r="CE217" i="5"/>
  <c r="CB217" i="5"/>
  <c r="CA217" i="5"/>
  <c r="CC217" i="5"/>
  <c r="U218" i="5"/>
  <c r="X218" i="5" s="1"/>
  <c r="V218" i="5"/>
  <c r="BW215" i="5"/>
  <c r="CZ114" i="5"/>
  <c r="G108" i="11"/>
  <c r="N105" i="11"/>
  <c r="AE104" i="11"/>
  <c r="BH165" i="5"/>
  <c r="BK165" i="5" s="1"/>
  <c r="CY165" i="5" s="1"/>
  <c r="BG165" i="5"/>
  <c r="BS102" i="25"/>
  <c r="BU102" i="25"/>
  <c r="BT101" i="25"/>
  <c r="BT216" i="5"/>
  <c r="BW216" i="5" s="1"/>
  <c r="BK160" i="5"/>
  <c r="BH161" i="5"/>
  <c r="BT217" i="5" l="1"/>
  <c r="BW217" i="5" s="1"/>
  <c r="G109" i="11"/>
  <c r="CZ115" i="5"/>
  <c r="CB218" i="5"/>
  <c r="CA218" i="5"/>
  <c r="CC218" i="5"/>
  <c r="BK164" i="5"/>
  <c r="BS218" i="5"/>
  <c r="BG166" i="5"/>
  <c r="BH166" i="5"/>
  <c r="BK166" i="5" s="1"/>
  <c r="CY166" i="5" s="1"/>
  <c r="K127" i="15"/>
  <c r="M126" i="15"/>
  <c r="BR219" i="5" s="1"/>
  <c r="M101" i="27"/>
  <c r="H102" i="27"/>
  <c r="J102" i="11"/>
  <c r="L101" i="11"/>
  <c r="K104" i="22"/>
  <c r="P103" i="22"/>
  <c r="CY160" i="5"/>
  <c r="BK161" i="5"/>
  <c r="N106" i="11"/>
  <c r="AE105" i="11"/>
  <c r="CF217" i="5"/>
  <c r="DG217" i="5"/>
  <c r="DH217" i="5"/>
  <c r="AB106" i="9"/>
  <c r="L107" i="9"/>
  <c r="CD218" i="5"/>
  <c r="U219" i="5"/>
  <c r="X219" i="5" s="1"/>
  <c r="V219" i="5"/>
  <c r="BS103" i="25"/>
  <c r="BU103" i="25"/>
  <c r="BT102" i="25"/>
  <c r="DA114" i="5"/>
  <c r="DC114" i="5" s="1"/>
  <c r="G143" i="15"/>
  <c r="H142" i="15"/>
  <c r="L108" i="9" l="1"/>
  <c r="AB107" i="9"/>
  <c r="CJ217" i="5"/>
  <c r="N107" i="11"/>
  <c r="AE106" i="11"/>
  <c r="P104" i="22"/>
  <c r="K105" i="22"/>
  <c r="CD219" i="5"/>
  <c r="G144" i="15"/>
  <c r="H143" i="15"/>
  <c r="U220" i="5"/>
  <c r="X220" i="5" s="1"/>
  <c r="V220" i="5"/>
  <c r="CB219" i="5"/>
  <c r="CA219" i="5"/>
  <c r="CC219" i="5"/>
  <c r="BG167" i="5"/>
  <c r="BS219" i="5"/>
  <c r="BT218" i="5"/>
  <c r="BW218" i="5" s="1"/>
  <c r="DH218" i="5"/>
  <c r="CF218" i="5"/>
  <c r="CJ218" i="5" s="1"/>
  <c r="DG218" i="5"/>
  <c r="J103" i="11"/>
  <c r="L102" i="11"/>
  <c r="K128" i="15"/>
  <c r="M127" i="15"/>
  <c r="BR220" i="5" s="1"/>
  <c r="CY164" i="5"/>
  <c r="G110" i="11"/>
  <c r="BU104" i="25"/>
  <c r="BT103" i="25"/>
  <c r="BS104" i="25"/>
  <c r="M102" i="27"/>
  <c r="H103" i="27"/>
  <c r="DA115" i="5"/>
  <c r="DC115" i="5" s="1"/>
  <c r="DC116" i="5" s="1"/>
  <c r="CZ118" i="5" s="1"/>
  <c r="CZ119" i="5" l="1"/>
  <c r="DA119" i="5" s="1"/>
  <c r="DC119" i="5" s="1"/>
  <c r="BT104" i="25"/>
  <c r="BS105" i="25"/>
  <c r="BU105" i="25"/>
  <c r="M103" i="27"/>
  <c r="H104" i="27"/>
  <c r="J104" i="11"/>
  <c r="L103" i="11"/>
  <c r="CD220" i="5"/>
  <c r="CD221" i="5" s="1"/>
  <c r="CE221" i="5"/>
  <c r="BS220" i="5"/>
  <c r="BS221" i="5" s="1"/>
  <c r="BT219" i="5"/>
  <c r="BW219" i="5" s="1"/>
  <c r="CB220" i="5"/>
  <c r="CB221" i="5" s="1"/>
  <c r="CC220" i="5"/>
  <c r="CA220" i="5"/>
  <c r="CF219" i="5"/>
  <c r="CJ219" i="5" s="1"/>
  <c r="DG219" i="5"/>
  <c r="DH219" i="5"/>
  <c r="N108" i="11"/>
  <c r="AE107" i="11"/>
  <c r="AB108" i="9"/>
  <c r="L109" i="9"/>
  <c r="G111" i="11"/>
  <c r="K129" i="15"/>
  <c r="M128" i="15"/>
  <c r="BG168" i="5"/>
  <c r="BH167" i="5"/>
  <c r="G145" i="15"/>
  <c r="H144" i="15"/>
  <c r="P105" i="22"/>
  <c r="K106" i="22"/>
  <c r="CD224" i="5" l="1"/>
  <c r="CF224" i="5" s="1"/>
  <c r="CJ224" i="5" s="1"/>
  <c r="BS224" i="5"/>
  <c r="BR224" i="5"/>
  <c r="G146" i="15"/>
  <c r="H145" i="15"/>
  <c r="L110" i="9"/>
  <c r="AB109" i="9"/>
  <c r="DG220" i="5"/>
  <c r="CC221" i="5"/>
  <c r="J105" i="11"/>
  <c r="L104" i="11"/>
  <c r="BS106" i="25"/>
  <c r="BU106" i="25"/>
  <c r="BT105" i="25"/>
  <c r="K107" i="22"/>
  <c r="P106" i="22"/>
  <c r="BK167" i="5"/>
  <c r="K130" i="15"/>
  <c r="M129" i="15"/>
  <c r="M104" i="27"/>
  <c r="H105" i="27"/>
  <c r="BH168" i="5"/>
  <c r="BK168" i="5" s="1"/>
  <c r="CY168" i="5" s="1"/>
  <c r="G112" i="11"/>
  <c r="N109" i="11"/>
  <c r="AE108" i="11"/>
  <c r="DH220" i="5"/>
  <c r="CF220" i="5"/>
  <c r="CA221" i="5"/>
  <c r="BT220" i="5"/>
  <c r="BR221" i="5"/>
  <c r="BH169" i="5"/>
  <c r="BK169" i="5" s="1"/>
  <c r="CY169" i="5" s="1"/>
  <c r="BG169" i="5"/>
  <c r="CZ120" i="5"/>
  <c r="DA120" i="5" s="1"/>
  <c r="DC120" i="5" s="1"/>
  <c r="CD225" i="5" l="1"/>
  <c r="CF225" i="5" s="1"/>
  <c r="CJ225" i="5" s="1"/>
  <c r="BT224" i="5"/>
  <c r="BS225" i="5"/>
  <c r="BR225" i="5"/>
  <c r="CZ121" i="5"/>
  <c r="DA121" i="5" s="1"/>
  <c r="DC121" i="5" s="1"/>
  <c r="BW220" i="5"/>
  <c r="H15" i="20" s="1"/>
  <c r="BT221" i="5"/>
  <c r="G113" i="11"/>
  <c r="J106" i="11"/>
  <c r="L105" i="11"/>
  <c r="AB110" i="9"/>
  <c r="L111" i="9"/>
  <c r="N110" i="11"/>
  <c r="AE109" i="11"/>
  <c r="CY167" i="5"/>
  <c r="CJ220" i="5"/>
  <c r="H16" i="20" s="1"/>
  <c r="CF221" i="5"/>
  <c r="BU107" i="25"/>
  <c r="BS107" i="25"/>
  <c r="BT106" i="25"/>
  <c r="G147" i="15"/>
  <c r="H146" i="15"/>
  <c r="M105" i="27"/>
  <c r="H106" i="27"/>
  <c r="K131" i="15"/>
  <c r="M130" i="15"/>
  <c r="K108" i="22"/>
  <c r="P107" i="22"/>
  <c r="BG170" i="5"/>
  <c r="BH170" i="5"/>
  <c r="BK170" i="5" s="1"/>
  <c r="CY170" i="5" s="1"/>
  <c r="BT225" i="5" l="1"/>
  <c r="BW225" i="5" s="1"/>
  <c r="CD226" i="5"/>
  <c r="BS226" i="5"/>
  <c r="BR226" i="5"/>
  <c r="BT226" i="5" s="1"/>
  <c r="BW226" i="5" s="1"/>
  <c r="BW224" i="5"/>
  <c r="L112" i="9"/>
  <c r="AB111" i="9"/>
  <c r="BW221" i="5"/>
  <c r="K132" i="15"/>
  <c r="M131" i="15"/>
  <c r="CJ221" i="5"/>
  <c r="BG171" i="5"/>
  <c r="BH171" i="5"/>
  <c r="BK171" i="5" s="1"/>
  <c r="CY171" i="5" s="1"/>
  <c r="G114" i="11"/>
  <c r="CZ122" i="5"/>
  <c r="DA122" i="5" s="1"/>
  <c r="DC122" i="5" s="1"/>
  <c r="G148" i="15"/>
  <c r="H147" i="15"/>
  <c r="M106" i="27"/>
  <c r="H107" i="27"/>
  <c r="K109" i="22"/>
  <c r="P108" i="22"/>
  <c r="BT107" i="25"/>
  <c r="BS108" i="25"/>
  <c r="BU108" i="25"/>
  <c r="N111" i="11"/>
  <c r="AE110" i="11"/>
  <c r="J107" i="11"/>
  <c r="L106" i="11"/>
  <c r="CD227" i="5" l="1"/>
  <c r="CF226" i="5"/>
  <c r="CJ226" i="5" s="1"/>
  <c r="BR227" i="5"/>
  <c r="BS227" i="5"/>
  <c r="BT108" i="25"/>
  <c r="BU109" i="25"/>
  <c r="BS109" i="25"/>
  <c r="N112" i="11"/>
  <c r="AE111" i="11"/>
  <c r="CZ123" i="5"/>
  <c r="DA123" i="5" s="1"/>
  <c r="DC123" i="5" s="1"/>
  <c r="K133" i="15"/>
  <c r="M132" i="15"/>
  <c r="L113" i="9"/>
  <c r="AB112" i="9"/>
  <c r="M107" i="27"/>
  <c r="H108" i="27"/>
  <c r="BG172" i="5"/>
  <c r="J108" i="11"/>
  <c r="L107" i="11"/>
  <c r="P109" i="22"/>
  <c r="K110" i="22"/>
  <c r="G149" i="15"/>
  <c r="H148" i="15"/>
  <c r="G115" i="11"/>
  <c r="CF227" i="5" l="1"/>
  <c r="CJ227" i="5" s="1"/>
  <c r="CD228" i="5"/>
  <c r="CF228" i="5" s="1"/>
  <c r="CJ228" i="5" s="1"/>
  <c r="BS228" i="5"/>
  <c r="BR228" i="5"/>
  <c r="BT228" i="5" s="1"/>
  <c r="BW228" i="5" s="1"/>
  <c r="BT227" i="5"/>
  <c r="K134" i="15"/>
  <c r="M133" i="15"/>
  <c r="N113" i="11"/>
  <c r="AE112" i="11"/>
  <c r="G116" i="11"/>
  <c r="BH172" i="5"/>
  <c r="BK172" i="5" s="1"/>
  <c r="BS110" i="25"/>
  <c r="BU110" i="25"/>
  <c r="BT109" i="25"/>
  <c r="K111" i="22"/>
  <c r="P110" i="22"/>
  <c r="L114" i="9"/>
  <c r="AB113" i="9"/>
  <c r="CZ124" i="5"/>
  <c r="DA124" i="5"/>
  <c r="DC124" i="5" s="1"/>
  <c r="BG173" i="5"/>
  <c r="G150" i="15"/>
  <c r="H149" i="15"/>
  <c r="J109" i="11"/>
  <c r="L108" i="11"/>
  <c r="M108" i="27"/>
  <c r="H109" i="27"/>
  <c r="CD229" i="5" l="1"/>
  <c r="BW227" i="5"/>
  <c r="BS229" i="5"/>
  <c r="BR229" i="5"/>
  <c r="H110" i="27"/>
  <c r="M109" i="27"/>
  <c r="BS111" i="25"/>
  <c r="BT110" i="25"/>
  <c r="BU111" i="25"/>
  <c r="G151" i="15"/>
  <c r="H150" i="15"/>
  <c r="CZ125" i="5"/>
  <c r="K112" i="22"/>
  <c r="P111" i="22"/>
  <c r="CY172" i="5"/>
  <c r="N114" i="11"/>
  <c r="AE113" i="11"/>
  <c r="BH174" i="5"/>
  <c r="BK174" i="5" s="1"/>
  <c r="CY174" i="5" s="1"/>
  <c r="BG174" i="5"/>
  <c r="J110" i="11"/>
  <c r="L109" i="11"/>
  <c r="BH173" i="5"/>
  <c r="BK173" i="5" s="1"/>
  <c r="CY173" i="5" s="1"/>
  <c r="AB114" i="9"/>
  <c r="L115" i="9"/>
  <c r="G117" i="11"/>
  <c r="K135" i="15"/>
  <c r="M134" i="15"/>
  <c r="CD230" i="5" l="1"/>
  <c r="CF229" i="5"/>
  <c r="CJ229" i="5" s="1"/>
  <c r="BS230" i="5"/>
  <c r="BR230" i="5"/>
  <c r="BT230" i="5" s="1"/>
  <c r="BW230" i="5" s="1"/>
  <c r="BT229" i="5"/>
  <c r="CZ126" i="5"/>
  <c r="G118" i="11"/>
  <c r="BG175" i="5"/>
  <c r="BG176" i="5" s="1"/>
  <c r="BT111" i="25"/>
  <c r="BS112" i="25"/>
  <c r="BU112" i="25"/>
  <c r="L116" i="9"/>
  <c r="AB115" i="9"/>
  <c r="J111" i="11"/>
  <c r="L110" i="11"/>
  <c r="N115" i="11"/>
  <c r="AE114" i="11"/>
  <c r="K113" i="22"/>
  <c r="P112" i="22"/>
  <c r="G152" i="15"/>
  <c r="H151" i="15"/>
  <c r="K136" i="15"/>
  <c r="M135" i="15"/>
  <c r="DA125" i="5"/>
  <c r="DC125" i="5" s="1"/>
  <c r="M110" i="27"/>
  <c r="H111" i="27"/>
  <c r="CD231" i="5" l="1"/>
  <c r="CF230" i="5"/>
  <c r="CJ230" i="5" s="1"/>
  <c r="BR231" i="5"/>
  <c r="BS231" i="5"/>
  <c r="BW229" i="5"/>
  <c r="M111" i="27"/>
  <c r="H112" i="27"/>
  <c r="K137" i="15"/>
  <c r="M136" i="15"/>
  <c r="P113" i="22"/>
  <c r="K114" i="22"/>
  <c r="J112" i="11"/>
  <c r="L111" i="11"/>
  <c r="BT112" i="25"/>
  <c r="BU113" i="25"/>
  <c r="BS113" i="25"/>
  <c r="G119" i="11"/>
  <c r="G153" i="15"/>
  <c r="H152" i="15"/>
  <c r="N116" i="11"/>
  <c r="AE115" i="11"/>
  <c r="L117" i="9"/>
  <c r="AB116" i="9"/>
  <c r="CZ127" i="5"/>
  <c r="DA127" i="5" s="1"/>
  <c r="DC127" i="5" s="1"/>
  <c r="BG179" i="5"/>
  <c r="BH175" i="5"/>
  <c r="BF176" i="5"/>
  <c r="DA126" i="5"/>
  <c r="DC126" i="5" s="1"/>
  <c r="CF231" i="5" l="1"/>
  <c r="CJ231" i="5" s="1"/>
  <c r="CD232" i="5"/>
  <c r="CF232" i="5" s="1"/>
  <c r="CJ232" i="5" s="1"/>
  <c r="BS232" i="5"/>
  <c r="BR232" i="5"/>
  <c r="BT232" i="5" s="1"/>
  <c r="BW232" i="5" s="1"/>
  <c r="BT231" i="5"/>
  <c r="BK175" i="5"/>
  <c r="BH176" i="5"/>
  <c r="N117" i="11"/>
  <c r="AE116" i="11"/>
  <c r="G120" i="11"/>
  <c r="BG180" i="5"/>
  <c r="BU114" i="25"/>
  <c r="BS114" i="25"/>
  <c r="BT113" i="25"/>
  <c r="J113" i="11"/>
  <c r="L112" i="11"/>
  <c r="K138" i="15"/>
  <c r="M137" i="15"/>
  <c r="AB117" i="9"/>
  <c r="L118" i="9"/>
  <c r="G154" i="15"/>
  <c r="H153" i="15"/>
  <c r="K115" i="22"/>
  <c r="P114" i="22"/>
  <c r="M112" i="27"/>
  <c r="H113" i="27"/>
  <c r="BH179" i="5"/>
  <c r="CZ128" i="5"/>
  <c r="DA128" i="5" s="1"/>
  <c r="DC128" i="5" s="1"/>
  <c r="CD233" i="5" l="1"/>
  <c r="BS233" i="5"/>
  <c r="BR233" i="5"/>
  <c r="BW231" i="5"/>
  <c r="J114" i="11"/>
  <c r="L113" i="11"/>
  <c r="CZ129" i="5"/>
  <c r="DA129" i="5" s="1"/>
  <c r="DC129" i="5" s="1"/>
  <c r="G155" i="15"/>
  <c r="H154" i="15"/>
  <c r="BH180" i="5"/>
  <c r="BK180" i="5" s="1"/>
  <c r="CY180" i="5" s="1"/>
  <c r="N118" i="11"/>
  <c r="AE117" i="11"/>
  <c r="BK179" i="5"/>
  <c r="L119" i="9"/>
  <c r="AB118" i="9"/>
  <c r="M138" i="15"/>
  <c r="BS115" i="25"/>
  <c r="BT114" i="25"/>
  <c r="BU115" i="25"/>
  <c r="M113" i="27"/>
  <c r="H114" i="27"/>
  <c r="P115" i="22"/>
  <c r="K116" i="22"/>
  <c r="BG181" i="5"/>
  <c r="G121" i="11"/>
  <c r="CY175" i="5"/>
  <c r="BK176" i="5"/>
  <c r="CD234" i="5" l="1"/>
  <c r="CF233" i="5"/>
  <c r="CJ233" i="5" s="1"/>
  <c r="J139" i="15"/>
  <c r="K139" i="15" s="1"/>
  <c r="M139" i="15" s="1"/>
  <c r="BS234" i="5"/>
  <c r="BR234" i="5"/>
  <c r="BT234" i="5" s="1"/>
  <c r="BW234" i="5" s="1"/>
  <c r="BT233" i="5"/>
  <c r="BW233" i="5" s="1"/>
  <c r="M114" i="27"/>
  <c r="H115" i="27"/>
  <c r="BS116" i="25"/>
  <c r="BU116" i="25"/>
  <c r="BT115" i="25"/>
  <c r="L120" i="9"/>
  <c r="AB119" i="9"/>
  <c r="N119" i="11"/>
  <c r="AE118" i="11"/>
  <c r="BH181" i="5"/>
  <c r="CZ130" i="5"/>
  <c r="DA130" i="5" s="1"/>
  <c r="DC130" i="5" s="1"/>
  <c r="DC131" i="5" s="1"/>
  <c r="BG182" i="5"/>
  <c r="BH182" i="5"/>
  <c r="BK182" i="5" s="1"/>
  <c r="CY182" i="5" s="1"/>
  <c r="G122" i="11"/>
  <c r="P116" i="22"/>
  <c r="K117" i="22"/>
  <c r="CY179" i="5"/>
  <c r="G156" i="15"/>
  <c r="H155" i="15"/>
  <c r="J115" i="11"/>
  <c r="L114" i="11"/>
  <c r="CF234" i="5" l="1"/>
  <c r="CJ234" i="5" s="1"/>
  <c r="CD235" i="5"/>
  <c r="CE236" i="5"/>
  <c r="BR235" i="5"/>
  <c r="BS235" i="5"/>
  <c r="BS236" i="5" s="1"/>
  <c r="N120" i="11"/>
  <c r="AE119" i="11"/>
  <c r="K118" i="22"/>
  <c r="P117" i="22"/>
  <c r="G157" i="15"/>
  <c r="H157" i="15" s="1"/>
  <c r="H156" i="15"/>
  <c r="BS117" i="25"/>
  <c r="BU117" i="25"/>
  <c r="BT116" i="25"/>
  <c r="BK181" i="5"/>
  <c r="AB120" i="9"/>
  <c r="L121" i="9"/>
  <c r="J115" i="27"/>
  <c r="K115" i="27" s="1"/>
  <c r="M115" i="27" s="1"/>
  <c r="BG183" i="5"/>
  <c r="BH183" i="5"/>
  <c r="BK183" i="5" s="1"/>
  <c r="CY183" i="5" s="1"/>
  <c r="G123" i="11"/>
  <c r="J116" i="11"/>
  <c r="L115" i="11"/>
  <c r="CZ133" i="5"/>
  <c r="CD236" i="5" l="1"/>
  <c r="CF235" i="5"/>
  <c r="BT235" i="5"/>
  <c r="BR236" i="5"/>
  <c r="BG184" i="5"/>
  <c r="J117" i="11"/>
  <c r="L116" i="11"/>
  <c r="G124" i="11"/>
  <c r="BU118" i="25"/>
  <c r="BT117" i="25"/>
  <c r="BS118" i="25"/>
  <c r="CY181" i="5"/>
  <c r="P118" i="22"/>
  <c r="K119" i="22"/>
  <c r="L122" i="9"/>
  <c r="AB121" i="9"/>
  <c r="CZ134" i="5"/>
  <c r="N121" i="11"/>
  <c r="AE120" i="11"/>
  <c r="CJ235" i="5" l="1"/>
  <c r="CF236" i="5"/>
  <c r="BW235" i="5"/>
  <c r="BT236" i="5"/>
  <c r="AB122" i="9"/>
  <c r="L123" i="9"/>
  <c r="BG185" i="5"/>
  <c r="CZ135" i="5"/>
  <c r="DA135" i="5" s="1"/>
  <c r="DC135" i="5" s="1"/>
  <c r="K120" i="22"/>
  <c r="P119" i="22"/>
  <c r="J118" i="11"/>
  <c r="L117" i="11"/>
  <c r="DA134" i="5"/>
  <c r="DC134" i="5" s="1"/>
  <c r="BT118" i="25"/>
  <c r="BS119" i="25"/>
  <c r="BT119" i="25" s="1"/>
  <c r="BU119" i="25"/>
  <c r="N122" i="11"/>
  <c r="AE121" i="11"/>
  <c r="G125" i="11"/>
  <c r="BH184" i="5"/>
  <c r="H29" i="20" l="1"/>
  <c r="CJ236" i="5"/>
  <c r="BW236" i="5"/>
  <c r="H28" i="20"/>
  <c r="BH185" i="5"/>
  <c r="BK185" i="5" s="1"/>
  <c r="CY185" i="5" s="1"/>
  <c r="P120" i="22"/>
  <c r="M121" i="22" s="1"/>
  <c r="N121" i="22" s="1"/>
  <c r="N122" i="22" s="1"/>
  <c r="N123" i="22" s="1"/>
  <c r="N124" i="22" s="1"/>
  <c r="N125" i="22" s="1"/>
  <c r="N126" i="22" s="1"/>
  <c r="N127" i="22" s="1"/>
  <c r="N128" i="22" s="1"/>
  <c r="N129" i="22" s="1"/>
  <c r="N130" i="22" s="1"/>
  <c r="N131" i="22" s="1"/>
  <c r="N132" i="22" s="1"/>
  <c r="N133" i="22" s="1"/>
  <c r="N134" i="22" s="1"/>
  <c r="N135" i="22" s="1"/>
  <c r="N136" i="22" s="1"/>
  <c r="N137" i="22" s="1"/>
  <c r="N138" i="22" s="1"/>
  <c r="N139" i="22" s="1"/>
  <c r="N140" i="22" s="1"/>
  <c r="N141" i="22" s="1"/>
  <c r="N142" i="22" s="1"/>
  <c r="N143" i="22" s="1"/>
  <c r="N144" i="22" s="1"/>
  <c r="N145" i="22" s="1"/>
  <c r="N146" i="22" s="1"/>
  <c r="N147" i="22" s="1"/>
  <c r="N148" i="22" s="1"/>
  <c r="N149" i="22" s="1"/>
  <c r="N150" i="22" s="1"/>
  <c r="N151" i="22" s="1"/>
  <c r="N152" i="22" s="1"/>
  <c r="N153" i="22" s="1"/>
  <c r="N154" i="22" s="1"/>
  <c r="N155" i="22" s="1"/>
  <c r="N156" i="22" s="1"/>
  <c r="N157" i="22" s="1"/>
  <c r="N158" i="22" s="1"/>
  <c r="N159" i="22" s="1"/>
  <c r="N160" i="22" s="1"/>
  <c r="N161" i="22" s="1"/>
  <c r="N162" i="22" s="1"/>
  <c r="N163" i="22" s="1"/>
  <c r="K121" i="22"/>
  <c r="BG186" i="5"/>
  <c r="L124" i="9"/>
  <c r="AB124" i="9" s="1"/>
  <c r="AB123" i="9"/>
  <c r="BK184" i="5"/>
  <c r="N123" i="11"/>
  <c r="AE122" i="11"/>
  <c r="G126" i="11"/>
  <c r="J119" i="11"/>
  <c r="L118" i="11"/>
  <c r="CZ136" i="5"/>
  <c r="DA136" i="5" s="1"/>
  <c r="DC136" i="5" s="1"/>
  <c r="J120" i="11" l="1"/>
  <c r="L119" i="11"/>
  <c r="BG187" i="5"/>
  <c r="K122" i="22"/>
  <c r="P121" i="22"/>
  <c r="N124" i="11"/>
  <c r="AE123" i="11"/>
  <c r="G127" i="11"/>
  <c r="CZ137" i="5"/>
  <c r="DA137" i="5" s="1"/>
  <c r="DC137" i="5" s="1"/>
  <c r="CY184" i="5"/>
  <c r="BH186" i="5"/>
  <c r="N125" i="11" l="1"/>
  <c r="AE124" i="11"/>
  <c r="BH187" i="5"/>
  <c r="BK187" i="5" s="1"/>
  <c r="CY187" i="5" s="1"/>
  <c r="BK186" i="5"/>
  <c r="BG188" i="5"/>
  <c r="BH188" i="5"/>
  <c r="BK188" i="5" s="1"/>
  <c r="CY188" i="5" s="1"/>
  <c r="CZ138" i="5"/>
  <c r="G128" i="11"/>
  <c r="P122" i="22"/>
  <c r="K123" i="22"/>
  <c r="J121" i="11"/>
  <c r="L120" i="11"/>
  <c r="CZ139" i="5" l="1"/>
  <c r="DA139" i="5" s="1"/>
  <c r="DC139" i="5" s="1"/>
  <c r="CY186" i="5"/>
  <c r="J122" i="11"/>
  <c r="L121" i="11"/>
  <c r="BG189" i="5"/>
  <c r="BH189" i="5"/>
  <c r="BK189" i="5" s="1"/>
  <c r="CY189" i="5" s="1"/>
  <c r="G129" i="11"/>
  <c r="P123" i="22"/>
  <c r="K124" i="22"/>
  <c r="DA138" i="5"/>
  <c r="DC138" i="5" s="1"/>
  <c r="N126" i="11"/>
  <c r="AE126" i="11" s="1"/>
  <c r="AE125" i="11"/>
  <c r="K125" i="22" l="1"/>
  <c r="P124" i="22"/>
  <c r="BG190" i="5"/>
  <c r="BG191" i="5" s="1"/>
  <c r="G130" i="11"/>
  <c r="J123" i="11"/>
  <c r="L122" i="11"/>
  <c r="CZ140" i="5"/>
  <c r="DA140" i="5" s="1"/>
  <c r="DC140" i="5" s="1"/>
  <c r="J124" i="11" l="1"/>
  <c r="L123" i="11"/>
  <c r="CZ141" i="5"/>
  <c r="DA141" i="5" s="1"/>
  <c r="DC141" i="5" s="1"/>
  <c r="G131" i="11"/>
  <c r="K126" i="22"/>
  <c r="P125" i="22"/>
  <c r="BG194" i="5"/>
  <c r="BH190" i="5"/>
  <c r="BF191" i="5"/>
  <c r="BK190" i="5" l="1"/>
  <c r="BH191" i="5"/>
  <c r="P126" i="22"/>
  <c r="K127" i="22"/>
  <c r="CZ142" i="5"/>
  <c r="DA142" i="5" s="1"/>
  <c r="DC142" i="5" s="1"/>
  <c r="BH194" i="5"/>
  <c r="BG195" i="5"/>
  <c r="BH195" i="5"/>
  <c r="BK195" i="5" s="1"/>
  <c r="CY195" i="5" s="1"/>
  <c r="G132" i="11"/>
  <c r="J125" i="11"/>
  <c r="L124" i="11"/>
  <c r="BK194" i="5" l="1"/>
  <c r="K128" i="22"/>
  <c r="P127" i="22"/>
  <c r="BG196" i="5"/>
  <c r="J126" i="11"/>
  <c r="L125" i="11"/>
  <c r="G133" i="11"/>
  <c r="CZ143" i="5"/>
  <c r="DA143" i="5" s="1"/>
  <c r="DC143" i="5" s="1"/>
  <c r="CY190" i="5"/>
  <c r="BK191" i="5"/>
  <c r="J127" i="11" l="1"/>
  <c r="L126" i="11"/>
  <c r="K129" i="22"/>
  <c r="P128" i="22"/>
  <c r="BH196" i="5"/>
  <c r="G134" i="11"/>
  <c r="CZ144" i="5"/>
  <c r="BG197" i="5"/>
  <c r="CY194" i="5"/>
  <c r="K130" i="22" l="1"/>
  <c r="P129" i="22"/>
  <c r="BH197" i="5"/>
  <c r="BK197" i="5" s="1"/>
  <c r="CY197" i="5" s="1"/>
  <c r="G135" i="11"/>
  <c r="BK196" i="5"/>
  <c r="BG198" i="5"/>
  <c r="CZ145" i="5"/>
  <c r="DA145" i="5" s="1"/>
  <c r="DC145" i="5" s="1"/>
  <c r="DA144" i="5"/>
  <c r="DC144" i="5" s="1"/>
  <c r="J128" i="11"/>
  <c r="L127" i="11"/>
  <c r="DC146" i="5" l="1"/>
  <c r="CZ148" i="5" s="1"/>
  <c r="CZ149" i="5" s="1"/>
  <c r="J129" i="11"/>
  <c r="L128" i="11"/>
  <c r="CY196" i="5"/>
  <c r="BG199" i="5"/>
  <c r="K131" i="22"/>
  <c r="P130" i="22"/>
  <c r="BH198" i="5"/>
  <c r="BK198" i="5" s="1"/>
  <c r="CY198" i="5" s="1"/>
  <c r="G136" i="11"/>
  <c r="DA149" i="5" l="1"/>
  <c r="DC149" i="5" s="1"/>
  <c r="CZ150" i="5"/>
  <c r="CZ151" i="5" s="1"/>
  <c r="BH199" i="5"/>
  <c r="BK199" i="5" s="1"/>
  <c r="CY199" i="5" s="1"/>
  <c r="BG200" i="5"/>
  <c r="J130" i="11"/>
  <c r="L129" i="11"/>
  <c r="G137" i="11"/>
  <c r="K132" i="22"/>
  <c r="P131" i="22"/>
  <c r="BH200" i="5" l="1"/>
  <c r="BK200" i="5" s="1"/>
  <c r="CY200" i="5" s="1"/>
  <c r="DA150" i="5"/>
  <c r="DC150" i="5" s="1"/>
  <c r="DA151" i="5"/>
  <c r="DC151" i="5" s="1"/>
  <c r="CZ152" i="5"/>
  <c r="DA152" i="5" s="1"/>
  <c r="DC152" i="5" s="1"/>
  <c r="BG201" i="5"/>
  <c r="K133" i="22"/>
  <c r="P132" i="22"/>
  <c r="J131" i="11"/>
  <c r="L130" i="11"/>
  <c r="K134" i="22" l="1"/>
  <c r="P133" i="22"/>
  <c r="CZ153" i="5"/>
  <c r="CZ154" i="5" s="1"/>
  <c r="BG202" i="5"/>
  <c r="BH202" i="5"/>
  <c r="BK202" i="5" s="1"/>
  <c r="CY202" i="5" s="1"/>
  <c r="J132" i="11"/>
  <c r="L131" i="11"/>
  <c r="BH201" i="5"/>
  <c r="BK201" i="5" s="1"/>
  <c r="CY201" i="5" s="1"/>
  <c r="DA153" i="5" l="1"/>
  <c r="DC153" i="5" s="1"/>
  <c r="BG203" i="5"/>
  <c r="BH203" i="5"/>
  <c r="BK203" i="5" s="1"/>
  <c r="J133" i="11"/>
  <c r="L132" i="11"/>
  <c r="DA154" i="5"/>
  <c r="DC154" i="5" s="1"/>
  <c r="CZ155" i="5"/>
  <c r="K135" i="22"/>
  <c r="P134" i="22"/>
  <c r="BG204" i="5" l="1"/>
  <c r="BH204" i="5"/>
  <c r="BK204" i="5" s="1"/>
  <c r="K136" i="22"/>
  <c r="P135" i="22"/>
  <c r="J134" i="11"/>
  <c r="L133" i="11"/>
  <c r="CY203" i="5"/>
  <c r="DA155" i="5"/>
  <c r="DC155" i="5" s="1"/>
  <c r="CZ156" i="5"/>
  <c r="CY204" i="5" l="1"/>
  <c r="DA156" i="5"/>
  <c r="DC156" i="5" s="1"/>
  <c r="CZ157" i="5"/>
  <c r="CZ158" i="5" s="1"/>
  <c r="BG205" i="5"/>
  <c r="BG206" i="5" s="1"/>
  <c r="K137" i="22"/>
  <c r="P136" i="22"/>
  <c r="J135" i="11"/>
  <c r="J136" i="11" s="1"/>
  <c r="J137" i="11" s="1"/>
  <c r="L134" i="11"/>
  <c r="L137" i="11" l="1"/>
  <c r="J138" i="11"/>
  <c r="DA157" i="5"/>
  <c r="DC157" i="5" s="1"/>
  <c r="K138" i="22"/>
  <c r="P137" i="22"/>
  <c r="DA158" i="5"/>
  <c r="DC158" i="5" s="1"/>
  <c r="CZ159" i="5"/>
  <c r="BG209" i="5"/>
  <c r="L136" i="11"/>
  <c r="BF211" i="5" s="1"/>
  <c r="L135" i="11"/>
  <c r="BH205" i="5"/>
  <c r="BF206" i="5"/>
  <c r="L138" i="11" l="1"/>
  <c r="BF213" i="5" s="1"/>
  <c r="BF212" i="5"/>
  <c r="J139" i="11"/>
  <c r="BG210" i="5"/>
  <c r="DA159" i="5"/>
  <c r="DC159" i="5" s="1"/>
  <c r="CZ160" i="5"/>
  <c r="BG211" i="5"/>
  <c r="BK205" i="5"/>
  <c r="BH206" i="5"/>
  <c r="BH209" i="5"/>
  <c r="K139" i="22"/>
  <c r="P138" i="22"/>
  <c r="BG213" i="5" l="1"/>
  <c r="BH213" i="5" s="1"/>
  <c r="BK213" i="5" s="1"/>
  <c r="L139" i="11"/>
  <c r="BH211" i="5"/>
  <c r="BK211" i="5" s="1"/>
  <c r="DA160" i="5"/>
  <c r="DC160" i="5" s="1"/>
  <c r="DC161" i="5" s="1"/>
  <c r="CZ163" i="5" s="1"/>
  <c r="BG212" i="5"/>
  <c r="BK209" i="5"/>
  <c r="K140" i="22"/>
  <c r="P139" i="22"/>
  <c r="CY205" i="5"/>
  <c r="BK206" i="5"/>
  <c r="BH210" i="5"/>
  <c r="BK210" i="5" s="1"/>
  <c r="I140" i="11" l="1"/>
  <c r="J140" i="11" s="1"/>
  <c r="L140" i="11" s="1"/>
  <c r="BF215" i="5" s="1"/>
  <c r="BF214" i="5"/>
  <c r="BG214" i="5"/>
  <c r="CZ164" i="5"/>
  <c r="CZ165" i="5" s="1"/>
  <c r="K141" i="22"/>
  <c r="P140" i="22"/>
  <c r="BH212" i="5"/>
  <c r="BK212" i="5" s="1"/>
  <c r="BG215" i="5" l="1"/>
  <c r="BG221" i="5"/>
  <c r="BH215" i="5"/>
  <c r="BK215" i="5" s="1"/>
  <c r="H14" i="20" s="1"/>
  <c r="BH214" i="5"/>
  <c r="BK214" i="5" s="1"/>
  <c r="BF221" i="5"/>
  <c r="DA164" i="5"/>
  <c r="DC164" i="5" s="1"/>
  <c r="K142" i="22"/>
  <c r="P141" i="22"/>
  <c r="DA165" i="5"/>
  <c r="DC165" i="5" s="1"/>
  <c r="CZ166" i="5"/>
  <c r="DA166" i="5" s="1"/>
  <c r="DC166" i="5" s="1"/>
  <c r="BK221" i="5" l="1"/>
  <c r="BH221" i="5"/>
  <c r="CZ167" i="5"/>
  <c r="DA167" i="5" s="1"/>
  <c r="DC167" i="5" s="1"/>
  <c r="K143" i="22"/>
  <c r="P142" i="22"/>
  <c r="K144" i="22" l="1"/>
  <c r="P143" i="22"/>
  <c r="CZ168" i="5"/>
  <c r="DA168" i="5" s="1"/>
  <c r="DC168" i="5" s="1"/>
  <c r="CZ169" i="5" l="1"/>
  <c r="DA169" i="5" s="1"/>
  <c r="DC169" i="5" s="1"/>
  <c r="K145" i="22"/>
  <c r="P144" i="22"/>
  <c r="K146" i="22" l="1"/>
  <c r="P145" i="22"/>
  <c r="CZ170" i="5"/>
  <c r="CZ171" i="5" l="1"/>
  <c r="CZ172" i="5" s="1"/>
  <c r="DA170" i="5"/>
  <c r="DC170" i="5" s="1"/>
  <c r="K147" i="22"/>
  <c r="P146" i="22"/>
  <c r="DA171" i="5" l="1"/>
  <c r="DC171" i="5" s="1"/>
  <c r="K148" i="22"/>
  <c r="P147" i="22"/>
  <c r="DA172" i="5"/>
  <c r="DC172" i="5" s="1"/>
  <c r="CZ173" i="5"/>
  <c r="DA173" i="5" s="1"/>
  <c r="DC173" i="5" s="1"/>
  <c r="CZ174" i="5" l="1"/>
  <c r="CZ175" i="5" s="1"/>
  <c r="DA175" i="5" s="1"/>
  <c r="DC175" i="5" s="1"/>
  <c r="K149" i="22"/>
  <c r="P148" i="22"/>
  <c r="K150" i="22" l="1"/>
  <c r="P149" i="22"/>
  <c r="DA174" i="5"/>
  <c r="DC174" i="5" s="1"/>
  <c r="DC176" i="5" s="1"/>
  <c r="CZ178" i="5" s="1"/>
  <c r="CZ179" i="5" s="1"/>
  <c r="DA179" i="5" l="1"/>
  <c r="DC179" i="5" s="1"/>
  <c r="CZ180" i="5"/>
  <c r="DA180" i="5" s="1"/>
  <c r="DC180" i="5" s="1"/>
  <c r="K151" i="22"/>
  <c r="P150" i="22"/>
  <c r="K152" i="22" l="1"/>
  <c r="P151" i="22"/>
  <c r="CZ181" i="5"/>
  <c r="DA181" i="5" s="1"/>
  <c r="DC181" i="5" s="1"/>
  <c r="CZ182" i="5" l="1"/>
  <c r="CZ183" i="5" s="1"/>
  <c r="K153" i="22"/>
  <c r="P152" i="22"/>
  <c r="DA182" i="5" l="1"/>
  <c r="DC182" i="5" s="1"/>
  <c r="DA183" i="5"/>
  <c r="DC183" i="5" s="1"/>
  <c r="CZ184" i="5"/>
  <c r="K154" i="22"/>
  <c r="P153" i="22"/>
  <c r="DA184" i="5" l="1"/>
  <c r="DC184" i="5" s="1"/>
  <c r="CZ185" i="5"/>
  <c r="K155" i="22"/>
  <c r="P154" i="22"/>
  <c r="K156" i="22" l="1"/>
  <c r="P155" i="22"/>
  <c r="DA185" i="5"/>
  <c r="DC185" i="5" s="1"/>
  <c r="CZ186" i="5"/>
  <c r="DA186" i="5" l="1"/>
  <c r="DC186" i="5" s="1"/>
  <c r="CZ187" i="5"/>
  <c r="K157" i="22"/>
  <c r="P156" i="22"/>
  <c r="K158" i="22" l="1"/>
  <c r="P157" i="22"/>
  <c r="DA187" i="5"/>
  <c r="DC187" i="5" s="1"/>
  <c r="CZ188" i="5"/>
  <c r="DA188" i="5" s="1"/>
  <c r="DC188" i="5" s="1"/>
  <c r="CZ189" i="5" l="1"/>
  <c r="CZ190" i="5" s="1"/>
  <c r="DA190" i="5" s="1"/>
  <c r="DC190" i="5" s="1"/>
  <c r="K159" i="22"/>
  <c r="P158" i="22"/>
  <c r="K160" i="22" l="1"/>
  <c r="P159" i="22"/>
  <c r="DA189" i="5"/>
  <c r="DC189" i="5" s="1"/>
  <c r="DC191" i="5" s="1"/>
  <c r="CZ193" i="5" s="1"/>
  <c r="CZ194" i="5" s="1"/>
  <c r="DA194" i="5" l="1"/>
  <c r="DC194" i="5" s="1"/>
  <c r="CZ195" i="5"/>
  <c r="K161" i="22"/>
  <c r="P160" i="22"/>
  <c r="K162" i="22" l="1"/>
  <c r="P161" i="22"/>
  <c r="DA195" i="5"/>
  <c r="DC195" i="5" s="1"/>
  <c r="CZ196" i="5"/>
  <c r="DA196" i="5" l="1"/>
  <c r="DC196" i="5" s="1"/>
  <c r="CZ197" i="5"/>
  <c r="K163" i="22"/>
  <c r="P163" i="22" s="1"/>
  <c r="P162" i="22"/>
  <c r="DA197" i="5" l="1"/>
  <c r="DC197" i="5" s="1"/>
  <c r="CZ198" i="5"/>
  <c r="DA198" i="5" l="1"/>
  <c r="DC198" i="5" s="1"/>
  <c r="CZ199" i="5"/>
  <c r="DA199" i="5" l="1"/>
  <c r="DC199" i="5" s="1"/>
  <c r="CZ200" i="5"/>
  <c r="CZ201" i="5" s="1"/>
  <c r="DA201" i="5" l="1"/>
  <c r="DC201" i="5" s="1"/>
  <c r="CZ202" i="5"/>
  <c r="DA200" i="5"/>
  <c r="DC200" i="5" s="1"/>
  <c r="DA202" i="5" l="1"/>
  <c r="DC202" i="5" s="1"/>
  <c r="CZ203" i="5"/>
  <c r="DA203" i="5" l="1"/>
  <c r="DC203" i="5" s="1"/>
  <c r="CZ204" i="5"/>
  <c r="CZ205" i="5" s="1"/>
  <c r="DA205" i="5" s="1"/>
  <c r="DC205" i="5" s="1"/>
  <c r="DA204" i="5" l="1"/>
  <c r="DC204" i="5" s="1"/>
  <c r="DC206" i="5" l="1"/>
  <c r="CZ208" i="5" s="1"/>
  <c r="AB220" i="5" l="1"/>
  <c r="CY220" i="5" s="1"/>
  <c r="F102" i="28"/>
  <c r="AB217" i="5"/>
  <c r="CY217" i="5" s="1"/>
  <c r="F100" i="28"/>
  <c r="F95" i="28"/>
  <c r="AB212" i="5"/>
  <c r="CY212" i="5" s="1"/>
  <c r="AB210" i="5"/>
  <c r="CY210" i="5" s="1"/>
  <c r="F93" i="28"/>
  <c r="F98" i="28"/>
  <c r="F94" i="28"/>
  <c r="AB213" i="5"/>
  <c r="CY213" i="5" s="1"/>
  <c r="AB218" i="5"/>
  <c r="CY218" i="5" s="1"/>
  <c r="F101" i="28"/>
  <c r="F97" i="28"/>
  <c r="F92" i="28"/>
  <c r="AB216" i="5"/>
  <c r="CY216" i="5" s="1"/>
  <c r="F99" i="28" l="1"/>
  <c r="F103" i="28"/>
  <c r="AB209" i="5"/>
  <c r="F96" i="28"/>
  <c r="AB211" i="5"/>
  <c r="CY211" i="5" s="1"/>
  <c r="AB214" i="5"/>
  <c r="CY214" i="5" s="1"/>
  <c r="AB215" i="5"/>
  <c r="AB219" i="5"/>
  <c r="CY219" i="5" s="1"/>
  <c r="F104" i="28" l="1"/>
  <c r="CY209" i="5"/>
  <c r="CZ209" i="5" s="1"/>
  <c r="AB221" i="5"/>
  <c r="CY215" i="5"/>
  <c r="H19" i="20"/>
  <c r="CZ210" i="5" l="1"/>
  <c r="DA210" i="5" s="1"/>
  <c r="DC210" i="5" s="1"/>
  <c r="DA209" i="5"/>
  <c r="DC209" i="5" s="1"/>
  <c r="CZ211" i="5" l="1"/>
  <c r="DA211" i="5" s="1"/>
  <c r="DC211" i="5" s="1"/>
  <c r="CZ212" i="5" l="1"/>
  <c r="CZ213" i="5" l="1"/>
  <c r="DA213" i="5" s="1"/>
  <c r="DC213" i="5" s="1"/>
  <c r="DA212" i="5"/>
  <c r="DC212" i="5" s="1"/>
  <c r="CZ214" i="5" l="1"/>
  <c r="CZ215" i="5" l="1"/>
  <c r="DA214" i="5"/>
  <c r="DC214" i="5" s="1"/>
  <c r="H10" i="20" s="1"/>
  <c r="CZ216" i="5" l="1"/>
  <c r="DA216" i="5" s="1"/>
  <c r="DC216" i="5" s="1"/>
  <c r="DA215" i="5"/>
  <c r="DC215" i="5" s="1"/>
  <c r="CZ217" i="5" l="1"/>
  <c r="CZ218" i="5" l="1"/>
  <c r="DA218" i="5" s="1"/>
  <c r="DC218" i="5" s="1"/>
  <c r="DA217" i="5"/>
  <c r="DC217" i="5" s="1"/>
  <c r="CZ219" i="5" l="1"/>
  <c r="CZ220" i="5" l="1"/>
  <c r="DA219" i="5"/>
  <c r="DC219" i="5" s="1"/>
  <c r="DA220" i="5" l="1"/>
  <c r="DC220" i="5" s="1"/>
  <c r="DC221" i="5" s="1"/>
  <c r="CZ223" i="5" s="1"/>
  <c r="H21" i="20" l="1"/>
  <c r="H23" i="20" s="1"/>
  <c r="H32" i="20" s="1"/>
  <c r="H37" i="20" s="1"/>
  <c r="H38" i="20" l="1"/>
  <c r="H44" i="20" s="1"/>
  <c r="E112" i="28" l="1"/>
  <c r="E111" i="28"/>
  <c r="E110" i="28"/>
  <c r="E115" i="28"/>
  <c r="E106" i="28"/>
  <c r="E114" i="28"/>
  <c r="E108" i="28"/>
  <c r="E113" i="28"/>
  <c r="E116" i="28"/>
  <c r="E109" i="28"/>
  <c r="H43" i="20"/>
  <c r="E117" i="28"/>
  <c r="E107" i="28"/>
  <c r="AA232" i="5" l="1"/>
  <c r="AB232" i="5" s="1"/>
  <c r="CY232" i="5" s="1"/>
  <c r="F114" i="28"/>
  <c r="F117" i="28"/>
  <c r="AA235" i="5"/>
  <c r="AB235" i="5" s="1"/>
  <c r="CY235" i="5" s="1"/>
  <c r="F110" i="28"/>
  <c r="AA228" i="5"/>
  <c r="AB228" i="5" s="1"/>
  <c r="CY228" i="5" s="1"/>
  <c r="F113" i="28"/>
  <c r="AA231" i="5"/>
  <c r="AB231" i="5" s="1"/>
  <c r="CY231" i="5" s="1"/>
  <c r="AA224" i="5"/>
  <c r="AB224" i="5" s="1"/>
  <c r="CY224" i="5" s="1"/>
  <c r="F106" i="28"/>
  <c r="AA227" i="5"/>
  <c r="AB227" i="5" s="1"/>
  <c r="CY227" i="5" s="1"/>
  <c r="F109" i="28"/>
  <c r="AA229" i="5"/>
  <c r="AB229" i="5" s="1"/>
  <c r="CY229" i="5" s="1"/>
  <c r="F111" i="28"/>
  <c r="AA226" i="5"/>
  <c r="AB226" i="5" s="1"/>
  <c r="CY226" i="5" s="1"/>
  <c r="F108" i="28"/>
  <c r="F107" i="28"/>
  <c r="AA225" i="5"/>
  <c r="AB225" i="5" s="1"/>
  <c r="CY225" i="5" s="1"/>
  <c r="F115" i="28"/>
  <c r="AA233" i="5"/>
  <c r="AB233" i="5" s="1"/>
  <c r="CY233" i="5" s="1"/>
  <c r="AA234" i="5"/>
  <c r="AB234" i="5" s="1"/>
  <c r="CY234" i="5" s="1"/>
  <c r="F116" i="28"/>
  <c r="F112" i="28"/>
  <c r="AA230" i="5"/>
  <c r="AB230" i="5" s="1"/>
  <c r="CY230" i="5" s="1"/>
  <c r="F118" i="28" l="1"/>
  <c r="CZ224" i="5"/>
  <c r="AB236" i="5"/>
  <c r="DA224" i="5" l="1"/>
  <c r="DC224" i="5" s="1"/>
  <c r="CZ225" i="5"/>
  <c r="DA225" i="5" l="1"/>
  <c r="DC225" i="5" s="1"/>
  <c r="CZ226" i="5"/>
  <c r="CZ227" i="5" s="1"/>
  <c r="DA226" i="5" l="1"/>
  <c r="DC226" i="5" s="1"/>
  <c r="DA227" i="5"/>
  <c r="DC227" i="5" s="1"/>
  <c r="CZ228" i="5"/>
  <c r="DA228" i="5" l="1"/>
  <c r="DC228" i="5" s="1"/>
  <c r="CZ229" i="5"/>
  <c r="CZ230" i="5" s="1"/>
  <c r="DA229" i="5" l="1"/>
  <c r="DC229" i="5" s="1"/>
  <c r="DA230" i="5"/>
  <c r="DC230" i="5" s="1"/>
  <c r="CZ231" i="5"/>
  <c r="DA231" i="5" l="1"/>
  <c r="DC231" i="5" s="1"/>
  <c r="CZ232" i="5"/>
  <c r="CZ233" i="5" l="1"/>
  <c r="DA232" i="5"/>
  <c r="DC232" i="5" s="1"/>
  <c r="DA233" i="5" l="1"/>
  <c r="DC233" i="5" s="1"/>
  <c r="CZ234" i="5"/>
  <c r="CZ235" i="5" s="1"/>
  <c r="DA235" i="5" s="1"/>
  <c r="DC235" i="5" s="1"/>
  <c r="DA234" i="5" l="1"/>
  <c r="DC234" i="5" s="1"/>
  <c r="DC236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mammanaj</author>
    <author>DeSalvatore Judy</author>
  </authors>
  <commentList>
    <comment ref="AV2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mammanaj:</t>
        </r>
        <r>
          <rPr>
            <sz val="8"/>
            <color indexed="81"/>
            <rFont val="Tahoma"/>
            <family val="2"/>
          </rPr>
          <t xml:space="preserve">
ADD 4561.11 to 15851 for august. 480K added to from Financing Upfront page to calculate margin. 
</t>
        </r>
      </text>
    </comment>
    <comment ref="AL34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>mammanaj:</t>
        </r>
        <r>
          <rPr>
            <sz val="8"/>
            <color indexed="81"/>
            <rFont val="Tahoma"/>
            <family val="2"/>
          </rPr>
          <t xml:space="preserve">
SUBTRACTED THE G/L EXPENSE PORTION WHICH BELONGS TO RGGI BASED ON ALLOCATION PERCENTAGE PROVIDED BY EE MGR. </t>
        </r>
      </text>
    </comment>
    <comment ref="DB158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DeSalvatore Judy:
changed in June 2022-found the rate had been incorrect back up files in my fix folder
</t>
        </r>
      </text>
    </comment>
    <comment ref="BW181" authorId="1" shapeId="0" xr:uid="{00000000-0006-0000-0100-00000B000000}">
      <text>
        <r>
          <rPr>
            <b/>
            <sz val="9"/>
            <color indexed="81"/>
            <rFont val="Tahoma"/>
            <family val="2"/>
          </rPr>
          <t xml:space="preserve">DeSalvatore Judy:
difference is being caused because Maria hasn't moved the 2916 from 5 year to 10 year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mammanaj</author>
  </authors>
  <commentList>
    <comment ref="J26" authorId="0" shapeId="0" xr:uid="{00000000-0006-0000-0300-000001000000}">
      <text>
        <r>
          <rPr>
            <b/>
            <sz val="14"/>
            <color indexed="81"/>
            <rFont val="Tahoma"/>
            <family val="2"/>
          </rPr>
          <t>mammanaj:</t>
        </r>
        <r>
          <rPr>
            <sz val="14"/>
            <color indexed="81"/>
            <rFont val="Tahoma"/>
            <family val="2"/>
          </rPr>
          <t xml:space="preserve">
added invoices paid through april. 
There was a 12K difference from what was paid on  last invoice 144K 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DeSalvatore Judy</author>
  </authors>
  <commentList>
    <comment ref="D1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The additional 6,000 was added to this cell in august 2021 for Di Amato  This loan was never recorded due to an error, payments have been recorded correctly</t>
        </r>
      </text>
    </comment>
    <comment ref="D1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DeSalvatore Judy:
negative 12,000 is to corrrect loans for camaro 220013582628 and dyckman 034516147010 these loans were never taken out or billed in UCIS</t>
        </r>
      </text>
    </comment>
    <comment ref="G25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changed to fix payments that belonged in RGGI 2 and RGGI 3
</t>
        </r>
      </text>
    </comment>
    <comment ref="G2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in 4/2022 both Sept and Oct 2012 original payment amounts were corrected.  The orginally amount belonged in RGGI 2 and the payments in RGGI 2 belonged here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DeSalvatore Judy</author>
  </authors>
  <commentList>
    <comment ref="D9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This green highlighting indicates that investments and payments were moved from 2013 5 year loand to 2013 10 year loan
</t>
        </r>
      </text>
    </comment>
    <comment ref="I43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:
  Orange highlighting  For the periods of 11/16 - 7/17 &amp; 11/15 adjs were made to reduce payments that belonged to 2015 5 yr loan and placed in 2013 in error.</t>
        </r>
      </text>
    </comment>
    <comment ref="I75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changed in May 2021..previous total was missing payments of 40,722.85
</t>
        </r>
      </text>
    </comment>
    <comment ref="I79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missing payments of 28,101.67
</t>
        </r>
      </text>
    </comment>
    <comment ref="I86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DeSalvatore Judy:</t>
        </r>
        <r>
          <rPr>
            <sz val="9"/>
            <color indexed="81"/>
            <rFont val="Tahoma"/>
            <family val="2"/>
          </rPr>
          <t xml:space="preserve">
missing payments of 
10,100.00
</t>
        </r>
      </text>
    </comment>
  </commentList>
</comments>
</file>

<file path=xl/sharedStrings.xml><?xml version="1.0" encoding="utf-8"?>
<sst xmlns="http://schemas.openxmlformats.org/spreadsheetml/2006/main" count="5718" uniqueCount="354">
  <si>
    <t xml:space="preserve"> </t>
  </si>
  <si>
    <t xml:space="preserve">Total </t>
  </si>
  <si>
    <t>E3</t>
  </si>
  <si>
    <t>RGGI</t>
  </si>
  <si>
    <t>EE Extension</t>
  </si>
  <si>
    <t>July 2013 Programs</t>
  </si>
  <si>
    <t>Commercial</t>
  </si>
  <si>
    <t>2013 Program</t>
  </si>
  <si>
    <t xml:space="preserve">Net Investment to </t>
  </si>
  <si>
    <t>E3 Costs</t>
  </si>
  <si>
    <t>RGGI Costs</t>
  </si>
  <si>
    <t>Under</t>
  </si>
  <si>
    <t>Cumulative</t>
  </si>
  <si>
    <t>Paper</t>
  </si>
  <si>
    <t>Debt/</t>
  </si>
  <si>
    <t>Debt/Tax/</t>
  </si>
  <si>
    <t>Actual/</t>
  </si>
  <si>
    <t>determine Debt, Equity</t>
  </si>
  <si>
    <t>Unamort</t>
  </si>
  <si>
    <t>Accumulated</t>
  </si>
  <si>
    <t>Rider</t>
  </si>
  <si>
    <t>HPES</t>
  </si>
  <si>
    <t>0% Repayment Plan</t>
  </si>
  <si>
    <t>(Over)</t>
  </si>
  <si>
    <t>Average</t>
  </si>
  <si>
    <t>Interest</t>
  </si>
  <si>
    <t>Equity</t>
  </si>
  <si>
    <t>Period</t>
  </si>
  <si>
    <t>Estimate</t>
  </si>
  <si>
    <t>and Taxes</t>
  </si>
  <si>
    <t>Reg Asset</t>
  </si>
  <si>
    <t>Deferred FIT</t>
  </si>
  <si>
    <t>Net Investment</t>
  </si>
  <si>
    <t>Volumes</t>
  </si>
  <si>
    <t>Rate</t>
  </si>
  <si>
    <t>Revenue</t>
  </si>
  <si>
    <t>Amortization</t>
  </si>
  <si>
    <t>Debt</t>
  </si>
  <si>
    <t>Taxes</t>
  </si>
  <si>
    <t>Total Margin</t>
  </si>
  <si>
    <t>Audit Expenses</t>
  </si>
  <si>
    <t>O&amp;M</t>
  </si>
  <si>
    <t>Total Costs</t>
  </si>
  <si>
    <t>Return</t>
  </si>
  <si>
    <t>Balance</t>
  </si>
  <si>
    <t>Check</t>
  </si>
  <si>
    <t>Aug</t>
  </si>
  <si>
    <t>A</t>
  </si>
  <si>
    <t>Sep</t>
  </si>
  <si>
    <t>Beginning Balance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</si>
  <si>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</si>
  <si>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</si>
  <si>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</si>
  <si>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</si>
  <si>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</si>
  <si>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</si>
  <si>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</si>
  <si>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</si>
  <si>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</si>
  <si>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</si>
  <si>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Est</t>
  </si>
  <si>
    <t>HPES Financing Upfront payment</t>
  </si>
  <si>
    <t xml:space="preserve">       HPES Financing PRIOR MONTHS BUYDOWN</t>
  </si>
  <si>
    <t>Net</t>
  </si>
  <si>
    <t xml:space="preserve">Cumulative </t>
  </si>
  <si>
    <t>Honeywell Financing Upfront payment</t>
  </si>
  <si>
    <t xml:space="preserve">TRC DIRECT INSTALL </t>
  </si>
  <si>
    <t>INPUT</t>
  </si>
  <si>
    <t>e</t>
  </si>
  <si>
    <t>Total</t>
  </si>
  <si>
    <t>fy09</t>
  </si>
  <si>
    <t>fy10</t>
  </si>
  <si>
    <t>fy11</t>
  </si>
  <si>
    <t>fy12</t>
  </si>
  <si>
    <t>fy13</t>
  </si>
  <si>
    <t>fy14</t>
  </si>
  <si>
    <t>fy15</t>
  </si>
  <si>
    <t>Investments</t>
  </si>
  <si>
    <t>Amortizations - Book</t>
  </si>
  <si>
    <t>Amortizations - Tax</t>
  </si>
  <si>
    <t xml:space="preserve">       HPES Seal-Up Rebate</t>
  </si>
  <si>
    <t xml:space="preserve">       HPES Tier II and III Rebate</t>
  </si>
  <si>
    <t xml:space="preserve">       HPES Financing ENTER PRIOR MONTHS BUYDOWN</t>
  </si>
  <si>
    <t xml:space="preserve">  Total HPES</t>
  </si>
  <si>
    <t xml:space="preserve">  HVAC Rebate</t>
  </si>
  <si>
    <t xml:space="preserve">  C&amp;I Direct Install Rebate</t>
  </si>
  <si>
    <t>Cumulative Investment</t>
  </si>
  <si>
    <t>Cumulative Amortization</t>
  </si>
  <si>
    <t>Net Investment to determine Debt, Equity, Taxes</t>
  </si>
  <si>
    <t>Tax</t>
  </si>
  <si>
    <t>Book</t>
  </si>
  <si>
    <t>Difference</t>
  </si>
  <si>
    <t>Deferred Tax</t>
  </si>
  <si>
    <t>a</t>
  </si>
  <si>
    <t xml:space="preserve">Tier II Rebate </t>
  </si>
  <si>
    <t xml:space="preserve">INPUT </t>
  </si>
  <si>
    <t>Act</t>
  </si>
  <si>
    <t>On-bill Financing</t>
  </si>
  <si>
    <t>Cumulative On-bill financing</t>
  </si>
  <si>
    <t>Customer Repayments</t>
  </si>
  <si>
    <t>Cumulative Customer Payments</t>
  </si>
  <si>
    <t>Cumulative Net Investment</t>
  </si>
  <si>
    <t>E</t>
  </si>
  <si>
    <t>HPwES Cumulative On-bill financing</t>
  </si>
  <si>
    <t>Total On-Bill Financing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</si>
  <si>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</si>
  <si>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</si>
  <si>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</si>
  <si>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</si>
  <si>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</si>
  <si>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</si>
  <si>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</si>
  <si>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</si>
  <si>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</si>
  <si>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CHP</t>
  </si>
  <si>
    <t>New Jersey Natural Gas</t>
  </si>
  <si>
    <t>Economic Stimulus Energy Efficiency Investments</t>
  </si>
  <si>
    <t>Cost of Capital and Tax Rates</t>
  </si>
  <si>
    <t>Effective</t>
  </si>
  <si>
    <t>Weighted</t>
  </si>
  <si>
    <t>Component</t>
  </si>
  <si>
    <t>Amount</t>
  </si>
  <si>
    <t>Ratio</t>
  </si>
  <si>
    <t>Cost</t>
  </si>
  <si>
    <t>Cost of Capital</t>
  </si>
  <si>
    <t xml:space="preserve">  Long-Term Debt</t>
  </si>
  <si>
    <t xml:space="preserve">  Short-Term Debt</t>
  </si>
  <si>
    <t xml:space="preserve">  Customer Deposit</t>
  </si>
  <si>
    <t xml:space="preserve">  Common Equity</t>
  </si>
  <si>
    <t>Total Debt Cost:</t>
  </si>
  <si>
    <t>Tax Effects</t>
  </si>
  <si>
    <t xml:space="preserve">  Federal Income Tax</t>
  </si>
  <si>
    <t xml:space="preserve">  NJ Corporate Income Tax</t>
  </si>
  <si>
    <t>Combined Tax Rate</t>
  </si>
  <si>
    <t>Weighted-Return on Equity</t>
  </si>
  <si>
    <t>Tax Rate</t>
  </si>
  <si>
    <t>After-Tax Return</t>
  </si>
  <si>
    <t xml:space="preserve">Effective state </t>
  </si>
  <si>
    <t xml:space="preserve">Fed </t>
  </si>
  <si>
    <t xml:space="preserve">Combined </t>
  </si>
  <si>
    <t xml:space="preserve">  Gas Furnace &amp; Boiler Rebate</t>
  </si>
  <si>
    <t>Water Heater</t>
  </si>
  <si>
    <t>Comm'l Small Grants</t>
  </si>
  <si>
    <t>Comm'l Large Grants</t>
  </si>
  <si>
    <t>Customer Repayments - Estimate for Forecast</t>
  </si>
  <si>
    <t>WA HPwES On-Bill Repayment 10 yr</t>
  </si>
  <si>
    <t>HPwES On-Bill Repayment Tier II</t>
  </si>
  <si>
    <t>HPwES On-Bill Repayment Tier III</t>
  </si>
  <si>
    <t>OBRP Grant Trans. To HPwES 10 yr</t>
  </si>
  <si>
    <t>Cumulative Total Financing</t>
  </si>
  <si>
    <t>W/A On-Bill Repayment with Water Heater 5 yr</t>
  </si>
  <si>
    <t>HPwES</t>
  </si>
  <si>
    <t>Direct Install</t>
  </si>
  <si>
    <t>Customers</t>
  </si>
  <si>
    <t>Program Incentive</t>
  </si>
  <si>
    <t>Program O&amp;M Expenditure</t>
  </si>
  <si>
    <t>Year 2013</t>
  </si>
  <si>
    <t>Audits</t>
  </si>
  <si>
    <t>Gas Furnance &amp; Boiler Grants</t>
  </si>
  <si>
    <t>Gas Furnance,Boiler, HW Grants</t>
  </si>
  <si>
    <t>Water Heater Grants</t>
  </si>
  <si>
    <t xml:space="preserve">W/A OBRP </t>
  </si>
  <si>
    <t>W/A OBRP  w WH to HPwES</t>
  </si>
  <si>
    <t xml:space="preserve">OBRP Grant Trans. To HPwES </t>
  </si>
  <si>
    <t>Tier II Rebate</t>
  </si>
  <si>
    <t>Tier III Rebate</t>
  </si>
  <si>
    <t>Comm'l Small</t>
  </si>
  <si>
    <t>Comm'l Large</t>
  </si>
  <si>
    <t>Direct Install 30%</t>
  </si>
  <si>
    <t>Oil to Gas Conv. Above</t>
  </si>
  <si>
    <t>Oil to Gas Conv. Below</t>
  </si>
  <si>
    <t>W/AOn-Bill Repayment with Water Heater 5 yr</t>
  </si>
  <si>
    <t>Labor Admin</t>
  </si>
  <si>
    <t>Labor Audit</t>
  </si>
  <si>
    <t>Labor Overhead</t>
  </si>
  <si>
    <t>Non-Labor Expense</t>
  </si>
  <si>
    <t>Proactive Audits</t>
  </si>
  <si>
    <t>Grand Total O&amp;M</t>
  </si>
  <si>
    <t>July</t>
  </si>
  <si>
    <t>-</t>
  </si>
  <si>
    <t>Forecast</t>
  </si>
  <si>
    <t>August</t>
  </si>
  <si>
    <t>Grants</t>
  </si>
  <si>
    <t>Financing</t>
  </si>
  <si>
    <t>Year 2014</t>
  </si>
  <si>
    <t>Year 2015</t>
  </si>
  <si>
    <t>Year 2016</t>
  </si>
  <si>
    <t>Year 2017</t>
  </si>
  <si>
    <t>August 2015 Programs</t>
  </si>
  <si>
    <t>2015 Program</t>
  </si>
  <si>
    <t>($000)</t>
  </si>
  <si>
    <t>Estimated Recovery</t>
  </si>
  <si>
    <t>Estimated Interest</t>
  </si>
  <si>
    <t>Total Amount to be Recovered</t>
  </si>
  <si>
    <t>Per Therm Recovery</t>
  </si>
  <si>
    <t>Firm Throughput (000 therms)</t>
  </si>
  <si>
    <t>Proposed Pre-tax EE Recovery Rate $ per Therm</t>
  </si>
  <si>
    <t>Proposed After-tax EE Recovery Rate $ per Therm</t>
  </si>
  <si>
    <t>Current Pre-tax EE Recovery Rate $ per Therm</t>
  </si>
  <si>
    <t>Current After-tax EE Recovery Rate $ per Therm</t>
  </si>
  <si>
    <t>Pre-tax EE Recovery Rate $ per Therm Increase/ (Decrease)</t>
  </si>
  <si>
    <t>After-tax EE Recovery Rate $ per Therm Increase/ (Decrease)</t>
  </si>
  <si>
    <t>OBRP Non HPwES to HPwES Rebate</t>
  </si>
  <si>
    <t>Year</t>
  </si>
  <si>
    <t>OBRP Tier III Level I (Tier III Level I)</t>
  </si>
  <si>
    <t>OBRP Tier II (Tier II)</t>
  </si>
  <si>
    <t>OBRP Tier III Level II (Tier III Level II)</t>
  </si>
  <si>
    <t xml:space="preserve">Energy Efficiency Recovery Rates </t>
  </si>
  <si>
    <t>Amortization - Tax</t>
  </si>
  <si>
    <t>Amortization - Book</t>
  </si>
  <si>
    <t xml:space="preserve">Customer Repayments </t>
  </si>
  <si>
    <t xml:space="preserve">OBRP T2 7YR </t>
  </si>
  <si>
    <t xml:space="preserve">OBRP T3 7YR </t>
  </si>
  <si>
    <t>Total Financing</t>
  </si>
  <si>
    <t>HPES Seal-Up Rebate</t>
  </si>
  <si>
    <t>HPES Tier III Rebate</t>
  </si>
  <si>
    <t>HVAC Rebate</t>
  </si>
  <si>
    <t xml:space="preserve">Enhanced Rebate </t>
  </si>
  <si>
    <t>Tier II       7 Year Rebate</t>
  </si>
  <si>
    <t>Tier III     7 Year Rebate</t>
  </si>
  <si>
    <t>10 Year OBRP Smart Start</t>
  </si>
  <si>
    <t>5 Year  OBRP</t>
  </si>
  <si>
    <t xml:space="preserve">3 Year OBRP Direct Install </t>
  </si>
  <si>
    <t>HPES Tier II Rebate</t>
  </si>
  <si>
    <t>HPES     Tier II Rebate</t>
  </si>
  <si>
    <t>HPES     Tier III Rebate</t>
  </si>
  <si>
    <t>Total HPES</t>
  </si>
  <si>
    <t>Equity and Taxes</t>
  </si>
  <si>
    <t xml:space="preserve">determine Debt, </t>
  </si>
  <si>
    <t>Gas Furnance &amp; Boiler Rebate</t>
  </si>
  <si>
    <t>Page 3 of 3</t>
  </si>
  <si>
    <t>ACTUAL</t>
  </si>
  <si>
    <t>FORECAST</t>
  </si>
  <si>
    <t>Residential  Non-Heat</t>
  </si>
  <si>
    <t>Residential Space Heat</t>
  </si>
  <si>
    <t>General Service Small</t>
  </si>
  <si>
    <t>General Service Large</t>
  </si>
  <si>
    <t>FEED</t>
  </si>
  <si>
    <t xml:space="preserve">DGSS </t>
  </si>
  <si>
    <t>Total Firm Sales</t>
  </si>
  <si>
    <t>Residential Transp Heat</t>
  </si>
  <si>
    <t>Residential Transp Non-Heat</t>
  </si>
  <si>
    <t>Firm Transportation  - LLF</t>
  </si>
  <si>
    <t>Firm Transportation  - HLF</t>
  </si>
  <si>
    <t>GSL - Transport</t>
  </si>
  <si>
    <t>GSS - Transport</t>
  </si>
  <si>
    <t>DG (FT&amp;GSL)</t>
  </si>
  <si>
    <t>Total Firm Transport</t>
  </si>
  <si>
    <t>IT(incl IGS)</t>
  </si>
  <si>
    <t>Total Therms</t>
  </si>
  <si>
    <t>Schedule NJNG-2</t>
  </si>
  <si>
    <t>Schedule NJNG-3</t>
  </si>
  <si>
    <t>Page 2 of 3</t>
  </si>
  <si>
    <t>FY 2018 TOTAL</t>
  </si>
  <si>
    <t>FY 2019 TOTAL</t>
  </si>
  <si>
    <t>SAVEGREEN 2018</t>
  </si>
  <si>
    <t>NGV-Transport</t>
  </si>
  <si>
    <t>CNG/NGV</t>
  </si>
  <si>
    <t>FEED/FT sales service</t>
  </si>
  <si>
    <t>EE Extension -RGGI II</t>
  </si>
  <si>
    <t>SUMMARY</t>
  </si>
  <si>
    <t>OBRP -BUDGET</t>
  </si>
  <si>
    <t>OBRP - ACTUAL</t>
  </si>
  <si>
    <t xml:space="preserve">Embedded </t>
  </si>
  <si>
    <t xml:space="preserve">Weighted </t>
  </si>
  <si>
    <t>Budget</t>
  </si>
  <si>
    <t>Actual</t>
  </si>
  <si>
    <t>2 year</t>
  </si>
  <si>
    <t>3 year</t>
  </si>
  <si>
    <t>5 year</t>
  </si>
  <si>
    <t>7 year</t>
  </si>
  <si>
    <t>10 year</t>
  </si>
  <si>
    <t>Total Budget</t>
  </si>
  <si>
    <t>Repayments</t>
  </si>
  <si>
    <t>Percent</t>
  </si>
  <si>
    <t>Net of Tax</t>
  </si>
  <si>
    <t>Pre-tax</t>
  </si>
  <si>
    <t xml:space="preserve">Annual </t>
  </si>
  <si>
    <t>Federal Tax Rate</t>
  </si>
  <si>
    <t>State Tax Rate</t>
  </si>
  <si>
    <t>Composite Tax Rate</t>
  </si>
  <si>
    <t>UNAMORTIZED REGULATORY ASSET</t>
  </si>
  <si>
    <t>ACCUMULATED DEFERRED INCOME TAXES</t>
  </si>
  <si>
    <t>NET INVESTMENT TO DETERMINE DEBT, EQUITY &amp; TAXES</t>
  </si>
  <si>
    <t xml:space="preserve">RESIDENTIAL </t>
  </si>
  <si>
    <t>COMMERCIAL RETROFIT</t>
  </si>
  <si>
    <t>COMMERCIAL RETROFIT - PERFORMANCE INCENTIVES</t>
  </si>
  <si>
    <t>TOTAL MONTHLY AMORTIZATION</t>
  </si>
  <si>
    <t>DEBT</t>
  </si>
  <si>
    <t>TAXES</t>
  </si>
  <si>
    <t>EQUITY</t>
  </si>
  <si>
    <t>OBRP</t>
  </si>
  <si>
    <t>TOTAL MARGIN</t>
  </si>
  <si>
    <t>4.99%             INTEREST CREDIT</t>
  </si>
  <si>
    <t>OPERATION &amp; MAINTENANCE EXPENSE</t>
  </si>
  <si>
    <t>TOTAL COSTS</t>
  </si>
  <si>
    <t>Debt/Equity Check</t>
  </si>
  <si>
    <t>Debt/Taxes/Equity Check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</si>
  <si>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</si>
  <si>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</si>
  <si>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</si>
  <si>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</si>
  <si>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</si>
  <si>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</si>
  <si>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</si>
  <si>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</si>
  <si>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</si>
  <si>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</si>
  <si>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</si>
  <si>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</si>
  <si>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2018 PROGRAM</t>
  </si>
  <si>
    <t>FY 2020 TOTAL</t>
  </si>
  <si>
    <t>FEED/Firm CoGen</t>
  </si>
  <si>
    <t>Page 3 of 11</t>
  </si>
  <si>
    <t>Page 6 of 11</t>
  </si>
  <si>
    <t>Jan.</t>
  </si>
  <si>
    <t>Nov 1 2019</t>
  </si>
  <si>
    <t>Long-Term Debt</t>
  </si>
  <si>
    <t>Short-Term Debt</t>
  </si>
  <si>
    <t>Common Equity</t>
  </si>
  <si>
    <t>RETURN</t>
  </si>
  <si>
    <t>IT(incl IS &amp;IGS)</t>
  </si>
  <si>
    <t>FY 2021 TOTAL</t>
  </si>
  <si>
    <t xml:space="preserve">A </t>
  </si>
  <si>
    <t>Frim co gen</t>
  </si>
  <si>
    <t>FEED/FT Sales</t>
  </si>
  <si>
    <t>DGSS</t>
  </si>
  <si>
    <t>FY 2022TOTAL</t>
  </si>
  <si>
    <t xml:space="preserve">Aug </t>
  </si>
  <si>
    <t xml:space="preserve">RGGI </t>
  </si>
  <si>
    <t>Dec 1 2021</t>
  </si>
  <si>
    <t xml:space="preserve">Oct </t>
  </si>
  <si>
    <t>FY 2023TOTAL</t>
  </si>
  <si>
    <t>moved to RGGI II</t>
  </si>
  <si>
    <t>in Col I row 137</t>
  </si>
  <si>
    <t>Rggi 1</t>
  </si>
  <si>
    <t>RGGI 2</t>
  </si>
  <si>
    <t>RGGI 3</t>
  </si>
  <si>
    <t>RGGi 4,5,6</t>
  </si>
  <si>
    <t>For 1/1/2018 on</t>
  </si>
  <si>
    <t>Jan 1 2018</t>
  </si>
  <si>
    <t>Actual Under/(Over) recovery at March 31, 2023</t>
  </si>
  <si>
    <t>Estimated Revenue Requirements (April 1, 2023 to September 30, 2023)</t>
  </si>
  <si>
    <t>Estimated Under/(Over) recovery at September 30, 2023</t>
  </si>
  <si>
    <t>FY 2024TOTAL</t>
  </si>
  <si>
    <t>Estimated Revenue Requirements (Oct 2023 through Sept 2024):</t>
  </si>
  <si>
    <t>Page 2 of 9</t>
  </si>
  <si>
    <t>Page 3 of 9</t>
  </si>
  <si>
    <t>Page 4 of 9</t>
  </si>
  <si>
    <t>Page 5 of 9</t>
  </si>
  <si>
    <t>Page 6 of 9</t>
  </si>
  <si>
    <t>Page 7 of 9</t>
  </si>
  <si>
    <t>Page 8 of 9</t>
  </si>
  <si>
    <t>Page 9 of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</si>
</sst>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_(&quot;$&quot;* #,##0_);_(&quot;$&quot;* \(#,##0\);_(&quot;$&quot;* &quot;-&quot;??_);_(@_)"/>
    <numFmt numFmtId="167" formatCode="_(&quot;$&quot;* #,##0.0000_);_(&quot;$&quot;* \(#,##0.0000\);_(&quot;$&quot;* &quot;-&quot;??_);_(@_)"/>
    <numFmt numFmtId="168" formatCode="0.0%"/>
    <numFmt numFmtId="169" formatCode="0.000%"/>
    <numFmt numFmtId="170" formatCode="_(* #,##0.0_);_(* \(#,##0.0\);_(* &quot;-&quot;??_);_(@_)"/>
    <numFmt numFmtId="171" formatCode="_(* #,##0.00000_);_(* \(#,##0.00000\);_(* &quot;-&quot;??_);_(@_)"/>
    <numFmt numFmtId="172" formatCode="_(&quot;$&quot;* #,##0.000_);_(&quot;$&quot;* \(#,##0.000\);_(&quot;$&quot;* &quot;-&quot;??_);_(@_)"/>
    <numFmt numFmtId="173" formatCode="0.000"/>
    <numFmt numFmtId="174" formatCode="0.0000%"/>
  </numFmts>
  <fonts count="6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sz val="10"/>
      <name val="Times New Roman"/>
      <family val="1"/>
    </font>
    <font>
      <b/>
      <sz val="8"/>
      <color indexed="81"/>
      <name val="Tahoma"/>
      <family val="2"/>
    </font>
    <font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1"/>
      <name val="Tahoma"/>
      <family val="2"/>
    </font>
    <font>
      <b/>
      <sz val="12"/>
      <color indexed="8"/>
      <name val="Arial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4"/>
      <name val="Times New Roman"/>
      <family val="1"/>
    </font>
    <font>
      <b/>
      <sz val="16"/>
      <name val="Times New Roman"/>
      <family val="1"/>
    </font>
    <font>
      <b/>
      <sz val="14"/>
      <color indexed="9"/>
      <name val="Times New Roman"/>
      <family val="1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sz val="14"/>
      <color indexed="8"/>
      <name val="Times New Roman"/>
      <family val="1"/>
    </font>
    <font>
      <sz val="14"/>
      <name val="Arial"/>
      <family val="2"/>
    </font>
    <font>
      <sz val="10"/>
      <color indexed="8"/>
      <name val="Times New Roman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sz val="12"/>
      <name val="Arial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u/>
      <sz val="13"/>
      <name val="Arial"/>
      <family val="2"/>
    </font>
    <font>
      <sz val="13"/>
      <name val="Times New Roman"/>
      <family val="1"/>
    </font>
    <font>
      <b/>
      <sz val="12"/>
      <name val="Times New Roman"/>
      <family val="1"/>
    </font>
    <font>
      <b/>
      <sz val="1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u/>
      <sz val="12"/>
      <name val="Arial"/>
      <family val="2"/>
    </font>
    <font>
      <sz val="12"/>
      <color indexed="8"/>
      <name val="Arial"/>
      <family val="2"/>
    </font>
    <font>
      <u val="singleAccounting"/>
      <sz val="12"/>
      <color indexed="8"/>
      <name val="Arial"/>
      <family val="2"/>
    </font>
    <font>
      <u val="singleAccounting"/>
      <sz val="12"/>
      <name val="Arial"/>
      <family val="2"/>
    </font>
    <font>
      <u/>
      <sz val="12"/>
      <color indexed="8"/>
      <name val="Arial"/>
      <family val="2"/>
    </font>
    <font>
      <sz val="12"/>
      <color rgb="FFFF0000"/>
      <name val="Arial"/>
      <family val="2"/>
    </font>
    <font>
      <sz val="11"/>
      <color indexed="8"/>
      <name val="Calibri"/>
      <family val="2"/>
    </font>
    <font>
      <sz val="10"/>
      <name val="DUTCH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Arial"/>
      <family val="2"/>
    </font>
    <font>
      <sz val="10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7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3778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" fillId="0" borderId="0"/>
    <xf numFmtId="0" fontId="29" fillId="0" borderId="0"/>
    <xf numFmtId="0" fontId="3" fillId="0" borderId="0"/>
    <xf numFmtId="0" fontId="7" fillId="0" borderId="0"/>
    <xf numFmtId="0" fontId="29" fillId="0" borderId="0"/>
    <xf numFmtId="0" fontId="3" fillId="0" borderId="0"/>
    <xf numFmtId="0" fontId="29" fillId="0" borderId="0"/>
    <xf numFmtId="0" fontId="30" fillId="0" borderId="0"/>
    <xf numFmtId="0" fontId="28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8" fillId="0" borderId="0"/>
    <xf numFmtId="0" fontId="30" fillId="0" borderId="0"/>
    <xf numFmtId="0" fontId="7" fillId="0" borderId="0"/>
    <xf numFmtId="0" fontId="7" fillId="0" borderId="0"/>
    <xf numFmtId="0" fontId="50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30" fillId="0" borderId="0"/>
    <xf numFmtId="0" fontId="7" fillId="0" borderId="0"/>
    <xf numFmtId="0" fontId="50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8" fillId="0" borderId="0"/>
    <xf numFmtId="0" fontId="28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9" fillId="0" borderId="0"/>
    <xf numFmtId="0" fontId="1" fillId="0" borderId="0"/>
    <xf numFmtId="0" fontId="3" fillId="0" borderId="0"/>
    <xf numFmtId="0" fontId="29" fillId="0" borderId="0"/>
    <xf numFmtId="0" fontId="3" fillId="0" borderId="0"/>
    <xf numFmtId="0" fontId="30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8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32" applyNumberFormat="0" applyFill="0" applyProtection="0">
      <alignment horizontal="center" vertical="center"/>
    </xf>
    <xf numFmtId="3" fontId="52" fillId="0" borderId="33" applyFont="0" applyFill="0" applyAlignment="0" applyProtection="0"/>
    <xf numFmtId="3" fontId="52" fillId="0" borderId="33" applyFont="0" applyFill="0" applyAlignment="0" applyProtection="0"/>
    <xf numFmtId="3" fontId="52" fillId="0" borderId="33" applyFont="0" applyFill="0" applyAlignment="0" applyProtection="0"/>
    <xf numFmtId="3" fontId="52" fillId="0" borderId="33" applyFont="0" applyFill="0" applyAlignment="0" applyProtection="0"/>
    <xf numFmtId="3" fontId="52" fillId="0" borderId="33" applyFont="0" applyFill="0" applyAlignment="0" applyProtection="0"/>
    <xf numFmtId="3" fontId="52" fillId="0" borderId="33" applyFont="0" applyFill="0" applyAlignment="0" applyProtection="0"/>
    <xf numFmtId="3" fontId="52" fillId="0" borderId="33" applyFont="0" applyFill="0" applyAlignment="0" applyProtection="0"/>
    <xf numFmtId="3" fontId="52" fillId="0" borderId="33" applyFont="0" applyFill="0" applyAlignment="0" applyProtection="0"/>
    <xf numFmtId="3" fontId="51" fillId="0" borderId="32" applyNumberFormat="0" applyFill="0" applyAlignment="0" applyProtection="0"/>
    <xf numFmtId="0" fontId="51" fillId="0" borderId="32" applyNumberFormat="0" applyFill="0" applyAlignment="0" applyProtection="0"/>
    <xf numFmtId="3" fontId="51" fillId="0" borderId="32" applyNumberFormat="0" applyFill="0" applyAlignment="0" applyProtection="0"/>
    <xf numFmtId="0" fontId="51" fillId="0" borderId="32" applyNumberFormat="0" applyFill="0" applyAlignment="0" applyProtection="0"/>
    <xf numFmtId="0" fontId="51" fillId="0" borderId="32" applyNumberFormat="0" applyFill="0" applyAlignment="0" applyProtection="0"/>
    <xf numFmtId="0" fontId="51" fillId="0" borderId="32" applyNumberFormat="0" applyFill="0" applyAlignment="0" applyProtection="0"/>
    <xf numFmtId="0" fontId="51" fillId="0" borderId="32" applyNumberFormat="0" applyFill="0" applyAlignment="0" applyProtection="0"/>
    <xf numFmtId="0" fontId="51" fillId="0" borderId="32" applyNumberFormat="0" applyFill="0" applyAlignment="0" applyProtection="0"/>
    <xf numFmtId="3" fontId="52" fillId="0" borderId="0" applyNumberFormat="0" applyBorder="0" applyAlignment="0" applyProtection="0"/>
    <xf numFmtId="3" fontId="52" fillId="0" borderId="0" applyNumberFormat="0" applyBorder="0" applyAlignment="0" applyProtection="0"/>
    <xf numFmtId="3" fontId="52" fillId="0" borderId="0" applyNumberFormat="0" applyBorder="0" applyAlignment="0" applyProtection="0"/>
    <xf numFmtId="3" fontId="52" fillId="0" borderId="0" applyNumberFormat="0" applyBorder="0" applyAlignment="0" applyProtection="0"/>
    <xf numFmtId="3" fontId="52" fillId="0" borderId="0" applyNumberFormat="0" applyBorder="0" applyAlignment="0" applyProtection="0"/>
    <xf numFmtId="3" fontId="52" fillId="0" borderId="33" applyNumberFormat="0" applyBorder="0" applyAlignment="0" applyProtection="0"/>
    <xf numFmtId="3" fontId="52" fillId="0" borderId="33" applyNumberFormat="0" applyBorder="0" applyAlignment="0" applyProtection="0"/>
    <xf numFmtId="3" fontId="52" fillId="0" borderId="33" applyNumberFormat="0" applyBorder="0" applyAlignment="0" applyProtection="0"/>
    <xf numFmtId="0" fontId="52" fillId="0" borderId="33" applyNumberFormat="0" applyFill="0" applyAlignment="0" applyProtection="0"/>
    <xf numFmtId="0" fontId="52" fillId="0" borderId="33" applyNumberFormat="0" applyFill="0" applyAlignment="0" applyProtection="0"/>
    <xf numFmtId="0" fontId="52" fillId="0" borderId="33">
      <alignment horizontal="right" vertical="center"/>
    </xf>
    <xf numFmtId="3" fontId="52" fillId="12" borderId="33">
      <alignment horizontal="center" vertical="center"/>
    </xf>
    <xf numFmtId="0" fontId="52" fillId="12" borderId="33">
      <alignment horizontal="right" vertical="center"/>
    </xf>
    <xf numFmtId="0" fontId="51" fillId="0" borderId="34">
      <alignment horizontal="left" vertical="center"/>
    </xf>
    <xf numFmtId="0" fontId="51" fillId="0" borderId="35">
      <alignment horizontal="center" vertical="center"/>
    </xf>
    <xf numFmtId="0" fontId="53" fillId="0" borderId="36">
      <alignment horizontal="center" vertical="center"/>
    </xf>
    <xf numFmtId="0" fontId="52" fillId="13" borderId="33"/>
    <xf numFmtId="3" fontId="54" fillId="0" borderId="33"/>
    <xf numFmtId="3" fontId="55" fillId="0" borderId="33"/>
    <xf numFmtId="0" fontId="51" fillId="0" borderId="35">
      <alignment horizontal="left" vertical="top"/>
    </xf>
    <xf numFmtId="0" fontId="56" fillId="0" borderId="33"/>
    <xf numFmtId="0" fontId="51" fillId="0" borderId="35">
      <alignment horizontal="left" vertical="center"/>
    </xf>
    <xf numFmtId="0" fontId="52" fillId="12" borderId="37"/>
    <xf numFmtId="3" fontId="52" fillId="0" borderId="33">
      <alignment horizontal="right" vertical="center"/>
    </xf>
    <xf numFmtId="0" fontId="51" fillId="0" borderId="35">
      <alignment horizontal="right" vertical="center"/>
    </xf>
    <xf numFmtId="0" fontId="52" fillId="0" borderId="36">
      <alignment horizontal="center" vertical="center"/>
    </xf>
    <xf numFmtId="3" fontId="52" fillId="0" borderId="33"/>
    <xf numFmtId="3" fontId="52" fillId="0" borderId="33"/>
    <xf numFmtId="0" fontId="52" fillId="0" borderId="36">
      <alignment horizontal="center" vertical="center" wrapText="1"/>
    </xf>
    <xf numFmtId="0" fontId="57" fillId="0" borderId="36">
      <alignment horizontal="left" vertical="center" indent="1"/>
    </xf>
    <xf numFmtId="0" fontId="58" fillId="0" borderId="33"/>
    <xf numFmtId="0" fontId="51" fillId="0" borderId="34">
      <alignment horizontal="left" vertical="center"/>
    </xf>
    <xf numFmtId="3" fontId="52" fillId="0" borderId="33">
      <alignment horizontal="center" vertical="center"/>
    </xf>
    <xf numFmtId="0" fontId="51" fillId="0" borderId="35">
      <alignment horizontal="center" vertical="center"/>
    </xf>
    <xf numFmtId="0" fontId="51" fillId="0" borderId="35">
      <alignment horizontal="center" vertical="center"/>
    </xf>
    <xf numFmtId="0" fontId="51" fillId="0" borderId="34">
      <alignment horizontal="left" vertical="center"/>
    </xf>
    <xf numFmtId="0" fontId="51" fillId="0" borderId="34">
      <alignment horizontal="left" vertical="center"/>
    </xf>
    <xf numFmtId="0" fontId="59" fillId="0" borderId="33"/>
    <xf numFmtId="44" fontId="1" fillId="0" borderId="0" applyFont="0" applyFill="0" applyBorder="0" applyAlignment="0" applyProtection="0"/>
  </cellStyleXfs>
  <cellXfs count="741">
    <xf numFmtId="0" fontId="0" fillId="0" borderId="0" xfId="0"/>
    <xf numFmtId="0" fontId="0" fillId="0" borderId="0" xfId="0" applyProtection="1"/>
    <xf numFmtId="43" fontId="0" fillId="0" borderId="0" xfId="0" applyNumberFormat="1" applyProtection="1"/>
    <xf numFmtId="0" fontId="0" fillId="0" borderId="0" xfId="0" applyFill="1" applyProtection="1"/>
    <xf numFmtId="0" fontId="0" fillId="0" borderId="0" xfId="0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ill="1" applyAlignment="1" applyProtection="1">
      <alignment horizont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5" fillId="0" borderId="8" xfId="0" applyFont="1" applyBorder="1" applyAlignment="1" applyProtection="1">
      <alignment horizontal="center"/>
    </xf>
    <xf numFmtId="5" fontId="0" fillId="0" borderId="0" xfId="0" applyNumberFormat="1" applyProtection="1"/>
    <xf numFmtId="5" fontId="0" fillId="0" borderId="0" xfId="0" applyNumberFormat="1" applyBorder="1" applyProtection="1"/>
    <xf numFmtId="165" fontId="3" fillId="0" borderId="0" xfId="1" applyNumberFormat="1" applyProtection="1"/>
    <xf numFmtId="165" fontId="3" fillId="0" borderId="0" xfId="1" applyNumberFormat="1" applyBorder="1" applyProtection="1"/>
    <xf numFmtId="165" fontId="3" fillId="0" borderId="0" xfId="7" applyNumberFormat="1" applyFill="1" applyProtection="1"/>
    <xf numFmtId="0" fontId="0" fillId="0" borderId="0" xfId="0" applyBorder="1" applyAlignment="1" applyProtection="1">
      <alignment horizontal="center"/>
    </xf>
    <xf numFmtId="165" fontId="3" fillId="0" borderId="0" xfId="7" applyNumberFormat="1" applyFill="1" applyBorder="1" applyProtection="1"/>
    <xf numFmtId="165" fontId="0" fillId="0" borderId="0" xfId="0" applyNumberFormat="1" applyProtection="1"/>
    <xf numFmtId="165" fontId="0" fillId="0" borderId="0" xfId="0" applyNumberFormat="1" applyFill="1" applyProtection="1"/>
    <xf numFmtId="1" fontId="10" fillId="0" borderId="0" xfId="0" applyNumberFormat="1" applyFont="1" applyFill="1" applyBorder="1" applyProtection="1"/>
    <xf numFmtId="0" fontId="0" fillId="0" borderId="8" xfId="0" applyBorder="1" applyAlignment="1" applyProtection="1">
      <alignment horizontal="center"/>
    </xf>
    <xf numFmtId="165" fontId="3" fillId="0" borderId="8" xfId="1" applyNumberFormat="1" applyBorder="1" applyProtection="1"/>
    <xf numFmtId="0" fontId="0" fillId="0" borderId="8" xfId="0" applyBorder="1" applyProtection="1"/>
    <xf numFmtId="0" fontId="3" fillId="0" borderId="8" xfId="0" applyFont="1" applyBorder="1" applyAlignment="1" applyProtection="1">
      <alignment horizontal="center"/>
    </xf>
    <xf numFmtId="166" fontId="0" fillId="0" borderId="0" xfId="0" applyNumberFormat="1" applyProtection="1"/>
    <xf numFmtId="0" fontId="0" fillId="0" borderId="0" xfId="0" applyFill="1" applyBorder="1" applyAlignment="1" applyProtection="1">
      <alignment horizontal="center"/>
    </xf>
    <xf numFmtId="165" fontId="3" fillId="0" borderId="0" xfId="1" applyNumberFormat="1" applyFill="1" applyProtection="1"/>
    <xf numFmtId="165" fontId="3" fillId="0" borderId="0" xfId="1" applyNumberFormat="1" applyFill="1" applyBorder="1" applyProtection="1"/>
    <xf numFmtId="165" fontId="3" fillId="0" borderId="0" xfId="1" applyNumberFormat="1" applyFont="1" applyFill="1" applyProtection="1"/>
    <xf numFmtId="0" fontId="3" fillId="0" borderId="0" xfId="0" applyFont="1" applyFill="1" applyBorder="1" applyAlignment="1" applyProtection="1">
      <alignment horizontal="center"/>
    </xf>
    <xf numFmtId="165" fontId="0" fillId="0" borderId="0" xfId="0" applyNumberFormat="1" applyBorder="1" applyProtection="1"/>
    <xf numFmtId="165" fontId="0" fillId="0" borderId="0" xfId="0" applyNumberFormat="1" applyFill="1" applyBorder="1" applyProtection="1"/>
    <xf numFmtId="165" fontId="3" fillId="0" borderId="8" xfId="1" applyNumberFormat="1" applyFont="1" applyFill="1" applyBorder="1" applyProtection="1"/>
    <xf numFmtId="165" fontId="3" fillId="0" borderId="8" xfId="7" applyNumberFormat="1" applyFont="1" applyFill="1" applyBorder="1" applyProtection="1"/>
    <xf numFmtId="165" fontId="0" fillId="0" borderId="0" xfId="1" applyNumberFormat="1" applyFont="1" applyProtection="1"/>
    <xf numFmtId="165" fontId="0" fillId="0" borderId="0" xfId="7" applyNumberFormat="1" applyFont="1" applyFill="1" applyProtection="1"/>
    <xf numFmtId="165" fontId="3" fillId="0" borderId="0" xfId="1" applyNumberFormat="1" applyFont="1" applyBorder="1" applyProtection="1"/>
    <xf numFmtId="0" fontId="3" fillId="0" borderId="0" xfId="0" applyFont="1" applyBorder="1" applyProtection="1"/>
    <xf numFmtId="0" fontId="3" fillId="0" borderId="0" xfId="0" applyFont="1" applyProtection="1"/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center"/>
    </xf>
    <xf numFmtId="165" fontId="10" fillId="0" borderId="0" xfId="0" applyNumberFormat="1" applyFont="1" applyFill="1" applyBorder="1"/>
    <xf numFmtId="0" fontId="0" fillId="4" borderId="0" xfId="0" applyFill="1" applyProtection="1"/>
    <xf numFmtId="165" fontId="0" fillId="0" borderId="0" xfId="0" applyNumberFormat="1"/>
    <xf numFmtId="0" fontId="0" fillId="0" borderId="0" xfId="0" applyFill="1"/>
    <xf numFmtId="0" fontId="0" fillId="0" borderId="0" xfId="0" applyAlignment="1" applyProtection="1">
      <alignment horizontal="center" wrapText="1"/>
    </xf>
    <xf numFmtId="0" fontId="10" fillId="6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Alignment="1" applyProtection="1">
      <alignment horizontal="center" wrapText="1"/>
    </xf>
    <xf numFmtId="0" fontId="11" fillId="0" borderId="0" xfId="0" applyFont="1" applyFill="1" applyBorder="1" applyAlignment="1" applyProtection="1">
      <alignment horizontal="center" wrapText="1"/>
    </xf>
    <xf numFmtId="0" fontId="13" fillId="6" borderId="8" xfId="0" applyFont="1" applyFill="1" applyBorder="1" applyAlignment="1" applyProtection="1">
      <alignment horizontal="center"/>
    </xf>
    <xf numFmtId="0" fontId="13" fillId="0" borderId="8" xfId="0" applyFont="1" applyFill="1" applyBorder="1" applyAlignment="1" applyProtection="1">
      <alignment horizontal="center"/>
    </xf>
    <xf numFmtId="165" fontId="3" fillId="6" borderId="0" xfId="1" applyNumberFormat="1" applyFill="1" applyProtection="1"/>
    <xf numFmtId="165" fontId="10" fillId="0" borderId="0" xfId="1" applyNumberFormat="1" applyFont="1" applyFill="1" applyBorder="1" applyProtection="1"/>
    <xf numFmtId="165" fontId="10" fillId="6" borderId="0" xfId="1" applyNumberFormat="1" applyFont="1" applyFill="1" applyBorder="1" applyProtection="1"/>
    <xf numFmtId="165" fontId="3" fillId="6" borderId="8" xfId="1" applyNumberFormat="1" applyFill="1" applyBorder="1" applyProtection="1"/>
    <xf numFmtId="165" fontId="3" fillId="0" borderId="8" xfId="1" applyNumberFormat="1" applyFill="1" applyBorder="1" applyProtection="1"/>
    <xf numFmtId="165" fontId="10" fillId="0" borderId="8" xfId="1" applyNumberFormat="1" applyFont="1" applyFill="1" applyBorder="1" applyProtection="1"/>
    <xf numFmtId="165" fontId="3" fillId="0" borderId="0" xfId="1" applyNumberFormat="1" applyFont="1" applyFill="1" applyBorder="1" applyProtection="1"/>
    <xf numFmtId="0" fontId="11" fillId="6" borderId="0" xfId="0" applyFont="1" applyFill="1" applyBorder="1" applyAlignment="1" applyProtection="1">
      <alignment horizontal="center" wrapText="1"/>
    </xf>
    <xf numFmtId="164" fontId="0" fillId="0" borderId="0" xfId="0" applyNumberFormat="1" applyAlignment="1" applyProtection="1">
      <alignment horizontal="center" wrapText="1"/>
    </xf>
    <xf numFmtId="43" fontId="3" fillId="0" borderId="0" xfId="1" applyFont="1" applyAlignment="1" applyProtection="1">
      <alignment horizontal="center" wrapText="1"/>
    </xf>
    <xf numFmtId="165" fontId="3" fillId="6" borderId="0" xfId="1" applyNumberFormat="1" applyFill="1" applyBorder="1" applyProtection="1"/>
    <xf numFmtId="39" fontId="10" fillId="6" borderId="0" xfId="1" applyNumberFormat="1" applyFont="1" applyFill="1" applyBorder="1" applyProtection="1"/>
    <xf numFmtId="43" fontId="10" fillId="6" borderId="0" xfId="1" applyNumberFormat="1" applyFont="1" applyFill="1" applyBorder="1" applyProtection="1"/>
    <xf numFmtId="165" fontId="10" fillId="6" borderId="8" xfId="1" applyNumberFormat="1" applyFont="1" applyFill="1" applyBorder="1" applyProtection="1"/>
    <xf numFmtId="43" fontId="3" fillId="6" borderId="8" xfId="1" applyNumberFormat="1" applyFill="1" applyBorder="1" applyProtection="1"/>
    <xf numFmtId="43" fontId="3" fillId="0" borderId="0" xfId="1" applyNumberFormat="1" applyProtection="1"/>
    <xf numFmtId="165" fontId="3" fillId="6" borderId="0" xfId="1" applyNumberFormat="1" applyFont="1" applyFill="1" applyProtection="1"/>
    <xf numFmtId="43" fontId="3" fillId="6" borderId="0" xfId="1" applyFont="1" applyFill="1" applyBorder="1" applyProtection="1"/>
    <xf numFmtId="0" fontId="3" fillId="0" borderId="0" xfId="0" applyFont="1" applyFill="1" applyAlignment="1" applyProtection="1">
      <alignment horizontal="center"/>
    </xf>
    <xf numFmtId="0" fontId="0" fillId="4" borderId="0" xfId="0" applyFill="1" applyAlignment="1" applyProtection="1">
      <alignment horizontal="center"/>
    </xf>
    <xf numFmtId="165" fontId="10" fillId="4" borderId="0" xfId="1" applyNumberFormat="1" applyFont="1" applyFill="1" applyBorder="1" applyProtection="1"/>
    <xf numFmtId="165" fontId="3" fillId="4" borderId="0" xfId="1" applyNumberFormat="1" applyFill="1" applyProtection="1"/>
    <xf numFmtId="165" fontId="3" fillId="4" borderId="0" xfId="1" applyNumberFormat="1" applyFill="1" applyBorder="1" applyProtection="1"/>
    <xf numFmtId="165" fontId="0" fillId="4" borderId="0" xfId="0" applyNumberFormat="1" applyFill="1" applyProtection="1"/>
    <xf numFmtId="37" fontId="10" fillId="6" borderId="0" xfId="1" applyNumberFormat="1" applyFont="1" applyFill="1" applyBorder="1" applyProtection="1"/>
    <xf numFmtId="165" fontId="3" fillId="0" borderId="8" xfId="1" applyNumberFormat="1" applyFont="1" applyBorder="1" applyProtection="1"/>
    <xf numFmtId="165" fontId="0" fillId="0" borderId="8" xfId="0" applyNumberFormat="1" applyBorder="1" applyProtection="1"/>
    <xf numFmtId="165" fontId="10" fillId="6" borderId="0" xfId="4" applyNumberFormat="1" applyFont="1" applyFill="1" applyBorder="1" applyProtection="1"/>
    <xf numFmtId="165" fontId="3" fillId="0" borderId="0" xfId="0" applyNumberFormat="1" applyFont="1" applyBorder="1" applyProtection="1"/>
    <xf numFmtId="165" fontId="3" fillId="6" borderId="8" xfId="1" applyNumberFormat="1" applyFont="1" applyFill="1" applyBorder="1" applyProtection="1"/>
    <xf numFmtId="0" fontId="3" fillId="0" borderId="8" xfId="0" applyFont="1" applyBorder="1" applyProtection="1"/>
    <xf numFmtId="165" fontId="3" fillId="0" borderId="8" xfId="0" applyNumberFormat="1" applyFont="1" applyBorder="1" applyProtection="1"/>
    <xf numFmtId="165" fontId="3" fillId="0" borderId="0" xfId="0" applyNumberFormat="1" applyFont="1" applyProtection="1"/>
    <xf numFmtId="165" fontId="5" fillId="0" borderId="0" xfId="0" applyNumberFormat="1" applyFont="1" applyAlignment="1" applyProtection="1">
      <alignment horizontal="right"/>
    </xf>
    <xf numFmtId="165" fontId="10" fillId="0" borderId="0" xfId="1" applyNumberFormat="1" applyFont="1" applyFill="1" applyBorder="1" applyAlignment="1" applyProtection="1">
      <alignment horizontal="center" wrapText="1"/>
    </xf>
    <xf numFmtId="165" fontId="13" fillId="0" borderId="8" xfId="1" applyNumberFormat="1" applyFont="1" applyFill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165" fontId="0" fillId="0" borderId="0" xfId="1" applyNumberFormat="1" applyFont="1" applyFill="1" applyProtection="1"/>
    <xf numFmtId="0" fontId="5" fillId="0" borderId="0" xfId="0" applyFont="1" applyProtection="1"/>
    <xf numFmtId="0" fontId="16" fillId="0" borderId="0" xfId="0" applyFont="1" applyProtection="1"/>
    <xf numFmtId="0" fontId="5" fillId="0" borderId="0" xfId="0" applyFont="1" applyAlignment="1" applyProtection="1">
      <alignment horizontal="centerContinuous"/>
    </xf>
    <xf numFmtId="5" fontId="0" fillId="0" borderId="0" xfId="0" applyNumberFormat="1" applyAlignment="1" applyProtection="1">
      <alignment horizontal="centerContinuous"/>
    </xf>
    <xf numFmtId="0" fontId="0" fillId="0" borderId="0" xfId="0" applyAlignment="1" applyProtection="1">
      <alignment horizontal="centerContinuous"/>
    </xf>
    <xf numFmtId="6" fontId="5" fillId="0" borderId="0" xfId="0" quotePrefix="1" applyNumberFormat="1" applyFont="1" applyAlignment="1" applyProtection="1">
      <alignment horizontal="centerContinuous"/>
    </xf>
    <xf numFmtId="5" fontId="0" fillId="0" borderId="0" xfId="0" quotePrefix="1" applyNumberFormat="1" applyAlignment="1" applyProtection="1">
      <alignment horizontal="centerContinuous"/>
    </xf>
    <xf numFmtId="0" fontId="5" fillId="0" borderId="0" xfId="0" applyFont="1" applyAlignment="1" applyProtection="1">
      <alignment horizontal="center"/>
    </xf>
    <xf numFmtId="164" fontId="5" fillId="0" borderId="0" xfId="0" applyNumberFormat="1" applyFont="1" applyAlignment="1" applyProtection="1">
      <alignment horizontal="center"/>
    </xf>
    <xf numFmtId="0" fontId="5" fillId="0" borderId="0" xfId="0" applyFont="1" applyAlignment="1" applyProtection="1">
      <alignment horizontal="right"/>
    </xf>
    <xf numFmtId="165" fontId="17" fillId="0" borderId="0" xfId="20" applyNumberFormat="1" applyFont="1" applyProtection="1"/>
    <xf numFmtId="0" fontId="4" fillId="0" borderId="0" xfId="0" applyFont="1" applyProtection="1"/>
    <xf numFmtId="166" fontId="3" fillId="0" borderId="0" xfId="22" applyNumberFormat="1" applyFont="1" applyProtection="1"/>
    <xf numFmtId="10" fontId="0" fillId="0" borderId="0" xfId="0" applyNumberFormat="1" applyProtection="1"/>
    <xf numFmtId="169" fontId="0" fillId="0" borderId="0" xfId="0" applyNumberFormat="1" applyProtection="1"/>
    <xf numFmtId="165" fontId="3" fillId="0" borderId="0" xfId="20" applyNumberFormat="1" applyFont="1" applyProtection="1"/>
    <xf numFmtId="165" fontId="3" fillId="0" borderId="8" xfId="20" applyNumberFormat="1" applyFont="1" applyBorder="1" applyProtection="1"/>
    <xf numFmtId="166" fontId="5" fillId="0" borderId="0" xfId="22" applyNumberFormat="1" applyFont="1" applyProtection="1"/>
    <xf numFmtId="10" fontId="0" fillId="0" borderId="0" xfId="23" applyNumberFormat="1" applyFont="1" applyProtection="1"/>
    <xf numFmtId="10" fontId="3" fillId="0" borderId="8" xfId="2" applyNumberFormat="1" applyFont="1" applyFill="1" applyBorder="1" applyProtection="1"/>
    <xf numFmtId="10" fontId="3" fillId="0" borderId="8" xfId="23" applyNumberFormat="1" applyFont="1" applyFill="1" applyBorder="1" applyProtection="1"/>
    <xf numFmtId="165" fontId="10" fillId="0" borderId="0" xfId="7" applyNumberFormat="1" applyFont="1" applyFill="1" applyBorder="1" applyProtection="1"/>
    <xf numFmtId="165" fontId="3" fillId="0" borderId="0" xfId="7" applyNumberFormat="1" applyProtection="1"/>
    <xf numFmtId="165" fontId="10" fillId="0" borderId="8" xfId="7" applyNumberFormat="1" applyFont="1" applyFill="1" applyBorder="1" applyProtection="1"/>
    <xf numFmtId="165" fontId="3" fillId="0" borderId="8" xfId="7" applyNumberFormat="1" applyBorder="1" applyProtection="1"/>
    <xf numFmtId="165" fontId="3" fillId="0" borderId="8" xfId="7" applyNumberFormat="1" applyFont="1" applyBorder="1" applyProtection="1"/>
    <xf numFmtId="165" fontId="3" fillId="0" borderId="0" xfId="7" applyNumberFormat="1" applyBorder="1" applyProtection="1"/>
    <xf numFmtId="0" fontId="10" fillId="0" borderId="0" xfId="26" applyFont="1" applyFill="1" applyBorder="1" applyAlignment="1">
      <alignment horizontal="center" wrapText="1"/>
    </xf>
    <xf numFmtId="165" fontId="3" fillId="0" borderId="8" xfId="7" applyNumberFormat="1" applyFill="1" applyBorder="1" applyProtection="1"/>
    <xf numFmtId="0" fontId="10" fillId="0" borderId="0" xfId="29" applyFont="1" applyFill="1" applyBorder="1" applyAlignment="1">
      <alignment horizontal="center" wrapText="1"/>
    </xf>
    <xf numFmtId="165" fontId="3" fillId="0" borderId="0" xfId="30" applyNumberFormat="1" applyFill="1"/>
    <xf numFmtId="0" fontId="0" fillId="0" borderId="8" xfId="0" applyFill="1" applyBorder="1" applyAlignment="1" applyProtection="1">
      <alignment horizontal="center"/>
    </xf>
    <xf numFmtId="165" fontId="3" fillId="0" borderId="8" xfId="30" applyNumberFormat="1" applyFill="1" applyBorder="1"/>
    <xf numFmtId="0" fontId="0" fillId="0" borderId="8" xfId="0" applyFill="1" applyBorder="1" applyProtection="1"/>
    <xf numFmtId="0" fontId="10" fillId="0" borderId="0" xfId="34" applyFont="1" applyFill="1" applyBorder="1" applyAlignment="1">
      <alignment horizontal="center" wrapText="1"/>
    </xf>
    <xf numFmtId="165" fontId="3" fillId="0" borderId="0" xfId="35" applyNumberFormat="1" applyFill="1"/>
    <xf numFmtId="165" fontId="10" fillId="6" borderId="0" xfId="37" applyNumberFormat="1" applyFont="1" applyFill="1" applyBorder="1"/>
    <xf numFmtId="165" fontId="10" fillId="6" borderId="8" xfId="37" applyNumberFormat="1" applyFont="1" applyFill="1" applyBorder="1"/>
    <xf numFmtId="0" fontId="18" fillId="0" borderId="0" xfId="0" applyFont="1" applyProtection="1"/>
    <xf numFmtId="0" fontId="19" fillId="0" borderId="0" xfId="0" applyFont="1" applyAlignment="1" applyProtection="1">
      <alignment horizontal="left"/>
    </xf>
    <xf numFmtId="0" fontId="19" fillId="0" borderId="0" xfId="0" quotePrefix="1" applyFont="1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0" borderId="0" xfId="0" applyBorder="1" applyAlignment="1" applyProtection="1"/>
    <xf numFmtId="0" fontId="0" fillId="0" borderId="0" xfId="0" applyAlignment="1" applyProtection="1"/>
    <xf numFmtId="0" fontId="21" fillId="0" borderId="0" xfId="0" applyFont="1" applyProtection="1"/>
    <xf numFmtId="0" fontId="22" fillId="8" borderId="19" xfId="0" applyFont="1" applyFill="1" applyBorder="1" applyAlignment="1" applyProtection="1">
      <alignment horizontal="center" wrapText="1"/>
    </xf>
    <xf numFmtId="0" fontId="22" fillId="8" borderId="19" xfId="0" applyFont="1" applyFill="1" applyBorder="1" applyAlignment="1" applyProtection="1">
      <alignment horizontal="left" wrapText="1"/>
    </xf>
    <xf numFmtId="0" fontId="22" fillId="8" borderId="20" xfId="0" applyFont="1" applyFill="1" applyBorder="1" applyAlignment="1" applyProtection="1">
      <alignment horizontal="center" wrapText="1"/>
    </xf>
    <xf numFmtId="0" fontId="23" fillId="0" borderId="0" xfId="0" applyFont="1" applyProtection="1"/>
    <xf numFmtId="168" fontId="18" fillId="0" borderId="0" xfId="23" applyNumberFormat="1" applyFont="1" applyAlignment="1" applyProtection="1">
      <alignment horizontal="center"/>
    </xf>
    <xf numFmtId="0" fontId="22" fillId="8" borderId="4" xfId="0" applyFont="1" applyFill="1" applyBorder="1" applyAlignment="1" applyProtection="1">
      <alignment horizontal="left"/>
    </xf>
    <xf numFmtId="0" fontId="18" fillId="0" borderId="3" xfId="0" applyFont="1" applyBorder="1" applyProtection="1"/>
    <xf numFmtId="165" fontId="18" fillId="0" borderId="3" xfId="7" applyNumberFormat="1" applyFont="1" applyBorder="1" applyProtection="1"/>
    <xf numFmtId="165" fontId="18" fillId="0" borderId="6" xfId="7" applyNumberFormat="1" applyFont="1" applyBorder="1" applyProtection="1"/>
    <xf numFmtId="0" fontId="18" fillId="0" borderId="6" xfId="0" applyFont="1" applyBorder="1" applyProtection="1"/>
    <xf numFmtId="0" fontId="0" fillId="0" borderId="3" xfId="0" applyBorder="1" applyProtection="1"/>
    <xf numFmtId="166" fontId="18" fillId="0" borderId="3" xfId="8" applyNumberFormat="1" applyFont="1" applyBorder="1" applyProtection="1"/>
    <xf numFmtId="166" fontId="18" fillId="0" borderId="6" xfId="8" applyNumberFormat="1" applyFont="1" applyBorder="1" applyProtection="1"/>
    <xf numFmtId="166" fontId="18" fillId="0" borderId="3" xfId="8" applyNumberFormat="1" applyFont="1" applyFill="1" applyBorder="1" applyAlignment="1" applyProtection="1"/>
    <xf numFmtId="170" fontId="18" fillId="0" borderId="6" xfId="7" applyNumberFormat="1" applyFont="1" applyBorder="1" applyProtection="1"/>
    <xf numFmtId="0" fontId="18" fillId="0" borderId="7" xfId="0" applyFont="1" applyBorder="1" applyProtection="1"/>
    <xf numFmtId="165" fontId="18" fillId="0" borderId="7" xfId="7" applyNumberFormat="1" applyFont="1" applyBorder="1" applyProtection="1"/>
    <xf numFmtId="165" fontId="18" fillId="0" borderId="2" xfId="7" applyNumberFormat="1" applyFont="1" applyBorder="1" applyProtection="1"/>
    <xf numFmtId="0" fontId="0" fillId="0" borderId="7" xfId="0" applyBorder="1" applyProtection="1"/>
    <xf numFmtId="0" fontId="22" fillId="8" borderId="21" xfId="0" applyFont="1" applyFill="1" applyBorder="1" applyAlignment="1" applyProtection="1">
      <alignment horizontal="left"/>
    </xf>
    <xf numFmtId="1" fontId="18" fillId="0" borderId="1" xfId="0" applyNumberFormat="1" applyFont="1" applyFill="1" applyBorder="1" applyAlignment="1" applyProtection="1">
      <alignment horizontal="right"/>
    </xf>
    <xf numFmtId="0" fontId="18" fillId="0" borderId="1" xfId="0" applyFont="1" applyBorder="1" applyProtection="1"/>
    <xf numFmtId="165" fontId="18" fillId="0" borderId="1" xfId="7" applyNumberFormat="1" applyFont="1" applyFill="1" applyBorder="1" applyAlignment="1" applyProtection="1">
      <alignment horizontal="right"/>
    </xf>
    <xf numFmtId="1" fontId="0" fillId="0" borderId="0" xfId="0" applyNumberFormat="1" applyProtection="1"/>
    <xf numFmtId="1" fontId="18" fillId="0" borderId="22" xfId="0" applyNumberFormat="1" applyFont="1" applyFill="1" applyBorder="1" applyAlignment="1" applyProtection="1">
      <alignment horizontal="right"/>
    </xf>
    <xf numFmtId="165" fontId="18" fillId="0" borderId="22" xfId="7" applyNumberFormat="1" applyFont="1" applyFill="1" applyBorder="1" applyAlignment="1" applyProtection="1">
      <alignment horizontal="right"/>
    </xf>
    <xf numFmtId="168" fontId="0" fillId="0" borderId="0" xfId="0" applyNumberFormat="1" applyProtection="1"/>
    <xf numFmtId="1" fontId="23" fillId="0" borderId="0" xfId="0" applyNumberFormat="1" applyFont="1" applyProtection="1"/>
    <xf numFmtId="165" fontId="23" fillId="0" borderId="0" xfId="7" applyNumberFormat="1" applyFont="1" applyProtection="1"/>
    <xf numFmtId="166" fontId="18" fillId="0" borderId="9" xfId="8" applyNumberFormat="1" applyFont="1" applyFill="1" applyBorder="1" applyAlignment="1" applyProtection="1"/>
    <xf numFmtId="166" fontId="22" fillId="0" borderId="3" xfId="8" applyNumberFormat="1" applyFont="1" applyFill="1" applyBorder="1" applyAlignment="1" applyProtection="1"/>
    <xf numFmtId="166" fontId="18" fillId="0" borderId="0" xfId="0" applyNumberFormat="1" applyFont="1" applyProtection="1"/>
    <xf numFmtId="166" fontId="18" fillId="0" borderId="0" xfId="8" applyNumberFormat="1" applyFont="1" applyFill="1" applyBorder="1" applyAlignment="1" applyProtection="1"/>
    <xf numFmtId="171" fontId="18" fillId="0" borderId="9" xfId="7" applyNumberFormat="1" applyFont="1" applyFill="1" applyBorder="1" applyAlignment="1" applyProtection="1"/>
    <xf numFmtId="0" fontId="22" fillId="8" borderId="0" xfId="0" applyFont="1" applyFill="1" applyBorder="1" applyAlignment="1" applyProtection="1">
      <alignment horizontal="left"/>
    </xf>
    <xf numFmtId="171" fontId="18" fillId="0" borderId="0" xfId="7" applyNumberFormat="1" applyFont="1" applyFill="1" applyBorder="1" applyAlignment="1" applyProtection="1"/>
    <xf numFmtId="166" fontId="18" fillId="0" borderId="3" xfId="38" applyNumberFormat="1" applyFont="1" applyFill="1" applyBorder="1" applyAlignment="1"/>
    <xf numFmtId="166" fontId="18" fillId="0" borderId="3" xfId="39" applyNumberFormat="1" applyFont="1" applyFill="1" applyBorder="1" applyAlignment="1"/>
    <xf numFmtId="166" fontId="24" fillId="0" borderId="0" xfId="0" applyNumberFormat="1" applyFont="1" applyProtection="1"/>
    <xf numFmtId="166" fontId="0" fillId="0" borderId="0" xfId="0" applyNumberFormat="1" applyAlignment="1" applyProtection="1">
      <alignment horizontal="centerContinuous"/>
    </xf>
    <xf numFmtId="0" fontId="0" fillId="0" borderId="0" xfId="0" applyFill="1" applyAlignment="1">
      <alignment horizontal="center"/>
    </xf>
    <xf numFmtId="167" fontId="3" fillId="0" borderId="0" xfId="10" applyNumberFormat="1" applyFill="1"/>
    <xf numFmtId="0" fontId="5" fillId="0" borderId="8" xfId="0" applyFont="1" applyBorder="1" applyAlignment="1" applyProtection="1">
      <alignment horizontal="center"/>
    </xf>
    <xf numFmtId="0" fontId="31" fillId="0" borderId="0" xfId="0" applyFont="1"/>
    <xf numFmtId="5" fontId="31" fillId="0" borderId="0" xfId="0" applyNumberFormat="1" applyFont="1"/>
    <xf numFmtId="5" fontId="31" fillId="0" borderId="0" xfId="0" applyNumberFormat="1" applyFont="1" applyBorder="1"/>
    <xf numFmtId="0" fontId="32" fillId="0" borderId="0" xfId="0" applyFont="1" applyAlignment="1">
      <alignment horizontal="centerContinuous"/>
    </xf>
    <xf numFmtId="5" fontId="31" fillId="0" borderId="0" xfId="0" applyNumberFormat="1" applyFont="1" applyAlignment="1">
      <alignment horizontal="centerContinuous"/>
    </xf>
    <xf numFmtId="5" fontId="31" fillId="0" borderId="0" xfId="0" applyNumberFormat="1" applyFont="1" applyBorder="1" applyAlignment="1">
      <alignment horizontal="centerContinuous"/>
    </xf>
    <xf numFmtId="0" fontId="31" fillId="0" borderId="0" xfId="0" applyFont="1" applyAlignment="1">
      <alignment horizontal="centerContinuous"/>
    </xf>
    <xf numFmtId="0" fontId="32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Continuous"/>
    </xf>
    <xf numFmtId="6" fontId="32" fillId="0" borderId="8" xfId="0" quotePrefix="1" applyNumberFormat="1" applyFont="1" applyBorder="1" applyAlignment="1">
      <alignment horizontal="centerContinuous"/>
    </xf>
    <xf numFmtId="5" fontId="31" fillId="0" borderId="8" xfId="0" quotePrefix="1" applyNumberFormat="1" applyFont="1" applyBorder="1" applyAlignment="1">
      <alignment horizontal="centerContinuous"/>
    </xf>
    <xf numFmtId="0" fontId="31" fillId="0" borderId="8" xfId="0" applyFont="1" applyBorder="1" applyAlignment="1">
      <alignment horizontal="centerContinuous"/>
    </xf>
    <xf numFmtId="6" fontId="32" fillId="0" borderId="0" xfId="0" quotePrefix="1" applyNumberFormat="1" applyFont="1" applyAlignment="1">
      <alignment horizontal="centerContinuous"/>
    </xf>
    <xf numFmtId="5" fontId="31" fillId="0" borderId="0" xfId="0" quotePrefix="1" applyNumberFormat="1" applyFont="1" applyAlignment="1">
      <alignment horizontal="centerContinuous"/>
    </xf>
    <xf numFmtId="5" fontId="31" fillId="0" borderId="0" xfId="0" quotePrefix="1" applyNumberFormat="1" applyFont="1" applyBorder="1" applyAlignment="1">
      <alignment horizontal="centerContinuous"/>
    </xf>
    <xf numFmtId="5" fontId="32" fillId="0" borderId="0" xfId="0" applyNumberFormat="1" applyFont="1" applyBorder="1" applyAlignment="1">
      <alignment horizontal="center"/>
    </xf>
    <xf numFmtId="0" fontId="33" fillId="0" borderId="0" xfId="0" applyFont="1"/>
    <xf numFmtId="166" fontId="31" fillId="0" borderId="0" xfId="450" applyNumberFormat="1" applyFont="1" applyBorder="1" applyAlignment="1">
      <alignment horizontal="center"/>
    </xf>
    <xf numFmtId="0" fontId="31" fillId="0" borderId="0" xfId="0" applyFont="1" applyAlignment="1">
      <alignment horizontal="left"/>
    </xf>
    <xf numFmtId="165" fontId="31" fillId="0" borderId="0" xfId="1" applyNumberFormat="1" applyFont="1" applyAlignment="1">
      <alignment horizontal="center"/>
    </xf>
    <xf numFmtId="165" fontId="31" fillId="0" borderId="0" xfId="1" applyNumberFormat="1" applyFont="1" applyBorder="1" applyAlignment="1">
      <alignment horizontal="center"/>
    </xf>
    <xf numFmtId="167" fontId="31" fillId="0" borderId="0" xfId="0" applyNumberFormat="1" applyFont="1" applyAlignment="1">
      <alignment horizontal="right"/>
    </xf>
    <xf numFmtId="167" fontId="32" fillId="0" borderId="0" xfId="0" applyNumberFormat="1" applyFont="1" applyAlignment="1">
      <alignment horizontal="right"/>
    </xf>
    <xf numFmtId="43" fontId="0" fillId="0" borderId="0" xfId="0" applyNumberFormat="1"/>
    <xf numFmtId="0" fontId="0" fillId="0" borderId="0" xfId="0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0" fontId="0" fillId="0" borderId="0" xfId="0" applyFont="1" applyFill="1" applyBorder="1" applyAlignment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3" fillId="0" borderId="8" xfId="0" applyFont="1" applyFill="1" applyBorder="1" applyAlignment="1" applyProtection="1">
      <alignment horizontal="center"/>
    </xf>
    <xf numFmtId="0" fontId="3" fillId="0" borderId="0" xfId="0" applyFont="1" applyFill="1" applyBorder="1" applyProtection="1"/>
    <xf numFmtId="165" fontId="0" fillId="0" borderId="8" xfId="0" applyNumberFormat="1" applyFill="1" applyBorder="1" applyProtection="1"/>
    <xf numFmtId="165" fontId="0" fillId="0" borderId="8" xfId="7" applyNumberFormat="1" applyFont="1" applyFill="1" applyBorder="1" applyProtection="1"/>
    <xf numFmtId="0" fontId="10" fillId="0" borderId="5" xfId="0" applyFont="1" applyFill="1" applyBorder="1" applyAlignment="1" applyProtection="1">
      <alignment horizontal="center" wrapText="1"/>
    </xf>
    <xf numFmtId="0" fontId="10" fillId="0" borderId="5" xfId="26" applyFont="1" applyFill="1" applyBorder="1" applyAlignment="1">
      <alignment horizontal="center" wrapText="1"/>
    </xf>
    <xf numFmtId="165" fontId="3" fillId="0" borderId="0" xfId="30" applyNumberFormat="1" applyFill="1" applyBorder="1"/>
    <xf numFmtId="0" fontId="5" fillId="0" borderId="0" xfId="0" applyFont="1" applyFill="1" applyBorder="1" applyAlignment="1" applyProtection="1"/>
    <xf numFmtId="165" fontId="3" fillId="0" borderId="8" xfId="35" applyNumberFormat="1" applyFill="1" applyBorder="1"/>
    <xf numFmtId="0" fontId="0" fillId="0" borderId="0" xfId="0" applyBorder="1" applyAlignment="1">
      <alignment horizontal="center"/>
    </xf>
    <xf numFmtId="0" fontId="10" fillId="0" borderId="0" xfId="329" applyFont="1" applyFill="1" applyBorder="1" applyAlignment="1" applyProtection="1">
      <alignment horizontal="center" wrapText="1"/>
    </xf>
    <xf numFmtId="164" fontId="0" fillId="0" borderId="0" xfId="0" applyNumberFormat="1" applyFill="1" applyAlignment="1" applyProtection="1">
      <alignment horizontal="center" wrapText="1"/>
    </xf>
    <xf numFmtId="165" fontId="3" fillId="0" borderId="0" xfId="31" applyNumberFormat="1" applyFill="1"/>
    <xf numFmtId="165" fontId="3" fillId="0" borderId="0" xfId="36" applyNumberFormat="1" applyFill="1"/>
    <xf numFmtId="0" fontId="31" fillId="0" borderId="0" xfId="0" applyFont="1" applyAlignment="1">
      <alignment horizontal="left"/>
    </xf>
    <xf numFmtId="0" fontId="3" fillId="0" borderId="8" xfId="0" applyFont="1" applyFill="1" applyBorder="1" applyAlignment="1" applyProtection="1">
      <alignment horizontal="center"/>
    </xf>
    <xf numFmtId="165" fontId="3" fillId="0" borderId="8" xfId="36" applyNumberFormat="1" applyFill="1" applyBorder="1"/>
    <xf numFmtId="165" fontId="3" fillId="0" borderId="0" xfId="35" applyNumberFormat="1" applyFill="1" applyBorder="1"/>
    <xf numFmtId="0" fontId="11" fillId="6" borderId="0" xfId="0" applyFont="1" applyFill="1" applyBorder="1" applyAlignment="1" applyProtection="1">
      <alignment horizontal="center" vertical="center" wrapText="1"/>
    </xf>
    <xf numFmtId="165" fontId="3" fillId="0" borderId="8" xfId="31" applyNumberFormat="1" applyFill="1" applyBorder="1"/>
    <xf numFmtId="0" fontId="5" fillId="0" borderId="8" xfId="0" applyFont="1" applyFill="1" applyBorder="1" applyAlignment="1" applyProtection="1">
      <alignment horizontal="center"/>
    </xf>
    <xf numFmtId="166" fontId="10" fillId="0" borderId="0" xfId="13" applyNumberFormat="1" applyFont="1" applyFill="1" applyBorder="1"/>
    <xf numFmtId="166" fontId="10" fillId="0" borderId="8" xfId="13" applyNumberFormat="1" applyFont="1" applyFill="1" applyBorder="1"/>
    <xf numFmtId="5" fontId="35" fillId="0" borderId="0" xfId="0" applyNumberFormat="1" applyFont="1" applyBorder="1" applyAlignment="1" applyProtection="1">
      <alignment horizontal="right"/>
    </xf>
    <xf numFmtId="0" fontId="36" fillId="0" borderId="0" xfId="0" applyFont="1"/>
    <xf numFmtId="17" fontId="37" fillId="0" borderId="24" xfId="0" quotePrefix="1" applyNumberFormat="1" applyFont="1" applyFill="1" applyBorder="1" applyAlignment="1">
      <alignment horizontal="center" wrapText="1"/>
    </xf>
    <xf numFmtId="37" fontId="0" fillId="0" borderId="0" xfId="0" applyNumberFormat="1"/>
    <xf numFmtId="37" fontId="0" fillId="0" borderId="0" xfId="0" applyNumberFormat="1" applyBorder="1"/>
    <xf numFmtId="0" fontId="38" fillId="0" borderId="0" xfId="0" applyFont="1"/>
    <xf numFmtId="37" fontId="0" fillId="0" borderId="8" xfId="0" applyNumberFormat="1" applyBorder="1"/>
    <xf numFmtId="165" fontId="0" fillId="0" borderId="0" xfId="1" applyNumberFormat="1" applyFont="1"/>
    <xf numFmtId="37" fontId="0" fillId="0" borderId="14" xfId="0" applyNumberFormat="1" applyBorder="1"/>
    <xf numFmtId="37" fontId="0" fillId="0" borderId="0" xfId="0" applyNumberFormat="1" applyFill="1"/>
    <xf numFmtId="37" fontId="0" fillId="0" borderId="14" xfId="0" applyNumberFormat="1" applyFill="1" applyBorder="1"/>
    <xf numFmtId="165" fontId="0" fillId="0" borderId="0" xfId="1" applyNumberFormat="1" applyFont="1" applyBorder="1"/>
    <xf numFmtId="37" fontId="0" fillId="0" borderId="0" xfId="0" applyNumberFormat="1" applyFill="1" applyBorder="1"/>
    <xf numFmtId="0" fontId="0" fillId="0" borderId="0" xfId="0" applyBorder="1"/>
    <xf numFmtId="0" fontId="5" fillId="0" borderId="8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44" fontId="0" fillId="0" borderId="0" xfId="450" applyFont="1"/>
    <xf numFmtId="10" fontId="0" fillId="0" borderId="0" xfId="2" applyNumberFormat="1" applyFont="1"/>
    <xf numFmtId="5" fontId="0" fillId="0" borderId="0" xfId="0" applyNumberFormat="1" applyFill="1" applyBorder="1" applyProtection="1"/>
    <xf numFmtId="0" fontId="0" fillId="4" borderId="0" xfId="0" applyFill="1" applyBorder="1" applyProtection="1"/>
    <xf numFmtId="0" fontId="5" fillId="0" borderId="8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165" fontId="3" fillId="4" borderId="0" xfId="7" applyNumberFormat="1" applyFill="1" applyProtection="1"/>
    <xf numFmtId="166" fontId="31" fillId="0" borderId="8" xfId="450" applyNumberFormat="1" applyFont="1" applyBorder="1" applyAlignment="1">
      <alignment horizontal="center"/>
    </xf>
    <xf numFmtId="0" fontId="38" fillId="0" borderId="0" xfId="0" applyFont="1" applyBorder="1"/>
    <xf numFmtId="166" fontId="0" fillId="0" borderId="0" xfId="450" applyNumberFormat="1" applyFont="1" applyFill="1" applyBorder="1" applyProtection="1"/>
    <xf numFmtId="165" fontId="0" fillId="0" borderId="0" xfId="1" applyNumberFormat="1" applyFont="1" applyFill="1"/>
    <xf numFmtId="37" fontId="0" fillId="0" borderId="8" xfId="0" applyNumberFormat="1" applyFill="1" applyBorder="1"/>
    <xf numFmtId="5" fontId="35" fillId="0" borderId="0" xfId="0" applyNumberFormat="1" applyFont="1" applyBorder="1" applyAlignment="1" applyProtection="1"/>
    <xf numFmtId="17" fontId="37" fillId="0" borderId="26" xfId="0" quotePrefix="1" applyNumberFormat="1" applyFont="1" applyFill="1" applyBorder="1" applyAlignment="1">
      <alignment horizontal="center" wrapText="1"/>
    </xf>
    <xf numFmtId="0" fontId="0" fillId="0" borderId="0" xfId="0" applyFill="1" applyBorder="1"/>
    <xf numFmtId="0" fontId="36" fillId="0" borderId="0" xfId="0" applyFont="1" applyFill="1" applyBorder="1" applyAlignment="1"/>
    <xf numFmtId="38" fontId="0" fillId="0" borderId="0" xfId="0" applyNumberFormat="1"/>
    <xf numFmtId="38" fontId="0" fillId="0" borderId="8" xfId="0" applyNumberFormat="1" applyBorder="1"/>
    <xf numFmtId="3" fontId="0" fillId="0" borderId="0" xfId="0" applyNumberFormat="1"/>
    <xf numFmtId="0" fontId="32" fillId="0" borderId="0" xfId="0" applyFont="1" applyBorder="1" applyAlignment="1">
      <alignment horizontal="center"/>
    </xf>
    <xf numFmtId="164" fontId="39" fillId="0" borderId="0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6" fontId="0" fillId="0" borderId="0" xfId="450" applyNumberFormat="1" applyFont="1" applyAlignment="1">
      <alignment horizontal="center"/>
    </xf>
    <xf numFmtId="0" fontId="40" fillId="0" borderId="27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1" fillId="0" borderId="0" xfId="0" applyFont="1" applyBorder="1"/>
    <xf numFmtId="166" fontId="40" fillId="0" borderId="8" xfId="450" applyNumberFormat="1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164" fontId="40" fillId="0" borderId="23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450" applyNumberFormat="1" applyFont="1"/>
    <xf numFmtId="166" fontId="0" fillId="0" borderId="0" xfId="450" applyNumberFormat="1" applyFont="1" applyBorder="1"/>
    <xf numFmtId="164" fontId="0" fillId="0" borderId="28" xfId="0" applyNumberFormat="1" applyBorder="1" applyAlignment="1">
      <alignment horizontal="center"/>
    </xf>
    <xf numFmtId="0" fontId="41" fillId="0" borderId="0" xfId="0" applyFont="1"/>
    <xf numFmtId="10" fontId="41" fillId="0" borderId="0" xfId="2" applyNumberFormat="1" applyFont="1" applyFill="1" applyBorder="1"/>
    <xf numFmtId="0" fontId="42" fillId="0" borderId="0" xfId="0" applyFont="1"/>
    <xf numFmtId="10" fontId="41" fillId="0" borderId="0" xfId="2" applyNumberFormat="1" applyFont="1" applyBorder="1"/>
    <xf numFmtId="10" fontId="31" fillId="0" borderId="0" xfId="0" applyNumberFormat="1" applyFont="1" applyBorder="1"/>
    <xf numFmtId="10" fontId="31" fillId="0" borderId="0" xfId="2" applyNumberFormat="1" applyFont="1" applyBorder="1"/>
    <xf numFmtId="10" fontId="42" fillId="0" borderId="8" xfId="2" applyNumberFormat="1" applyFont="1" applyBorder="1"/>
    <xf numFmtId="10" fontId="41" fillId="0" borderId="8" xfId="2" applyNumberFormat="1" applyFont="1" applyFill="1" applyBorder="1"/>
    <xf numFmtId="10" fontId="42" fillId="0" borderId="0" xfId="0" applyNumberFormat="1" applyFont="1"/>
    <xf numFmtId="44" fontId="0" fillId="0" borderId="0" xfId="450" applyFont="1" applyBorder="1"/>
    <xf numFmtId="166" fontId="0" fillId="0" borderId="8" xfId="450" applyNumberFormat="1" applyFont="1" applyBorder="1"/>
    <xf numFmtId="164" fontId="40" fillId="0" borderId="25" xfId="0" applyNumberFormat="1" applyFont="1" applyBorder="1" applyAlignment="1">
      <alignment horizontal="center"/>
    </xf>
    <xf numFmtId="0" fontId="40" fillId="0" borderId="0" xfId="0" applyFont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/>
    </xf>
    <xf numFmtId="166" fontId="0" fillId="0" borderId="0" xfId="450" applyNumberFormat="1" applyFont="1" applyFill="1"/>
    <xf numFmtId="166" fontId="0" fillId="0" borderId="0" xfId="450" applyNumberFormat="1" applyFont="1" applyFill="1" applyBorder="1"/>
    <xf numFmtId="1" fontId="0" fillId="0" borderId="0" xfId="0" applyNumberFormat="1" applyFill="1" applyAlignment="1">
      <alignment horizontal="center"/>
    </xf>
    <xf numFmtId="0" fontId="5" fillId="0" borderId="0" xfId="0" applyFont="1" applyAlignment="1" applyProtection="1">
      <alignment horizontal="center"/>
    </xf>
    <xf numFmtId="14" fontId="31" fillId="0" borderId="0" xfId="0" applyNumberFormat="1" applyFont="1"/>
    <xf numFmtId="38" fontId="0" fillId="0" borderId="0" xfId="0" applyNumberFormat="1" applyFill="1"/>
    <xf numFmtId="38" fontId="0" fillId="0" borderId="0" xfId="0" applyNumberFormat="1" applyFill="1" applyBorder="1"/>
    <xf numFmtId="38" fontId="0" fillId="0" borderId="8" xfId="0" applyNumberFormat="1" applyFill="1" applyBorder="1"/>
    <xf numFmtId="0" fontId="0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167" fontId="31" fillId="0" borderId="0" xfId="0" applyNumberFormat="1" applyFont="1" applyBorder="1" applyAlignment="1">
      <alignment horizontal="right"/>
    </xf>
    <xf numFmtId="167" fontId="32" fillId="0" borderId="0" xfId="0" applyNumberFormat="1" applyFont="1" applyBorder="1" applyAlignment="1">
      <alignment horizontal="right"/>
    </xf>
    <xf numFmtId="165" fontId="0" fillId="0" borderId="14" xfId="0" applyNumberFormat="1" applyBorder="1"/>
    <xf numFmtId="165" fontId="0" fillId="0" borderId="0" xfId="0" applyNumberFormat="1" applyFill="1" applyBorder="1"/>
    <xf numFmtId="165" fontId="0" fillId="0" borderId="8" xfId="0" applyNumberFormat="1" applyBorder="1"/>
    <xf numFmtId="37" fontId="0" fillId="0" borderId="14" xfId="0" applyNumberFormat="1" applyBorder="1" applyAlignment="1">
      <alignment wrapText="1"/>
    </xf>
    <xf numFmtId="17" fontId="5" fillId="0" borderId="0" xfId="0" applyNumberFormat="1" applyFont="1" applyAlignment="1">
      <alignment horizontal="center"/>
    </xf>
    <xf numFmtId="0" fontId="0" fillId="0" borderId="0" xfId="0" applyBorder="1" applyAlignment="1">
      <alignment horizontal="left"/>
    </xf>
    <xf numFmtId="38" fontId="0" fillId="0" borderId="0" xfId="1" applyNumberFormat="1" applyFont="1"/>
    <xf numFmtId="38" fontId="0" fillId="0" borderId="8" xfId="1" applyNumberFormat="1" applyFont="1" applyBorder="1"/>
    <xf numFmtId="3" fontId="0" fillId="0" borderId="0" xfId="0" applyNumberFormat="1" applyFill="1" applyBorder="1"/>
    <xf numFmtId="0" fontId="3" fillId="0" borderId="8" xfId="0" applyFont="1" applyFill="1" applyBorder="1" applyAlignment="1" applyProtection="1">
      <alignment horizontal="center"/>
    </xf>
    <xf numFmtId="5" fontId="35" fillId="0" borderId="0" xfId="0" applyNumberFormat="1" applyFont="1" applyBorder="1" applyAlignment="1" applyProtection="1">
      <alignment horizontal="right"/>
    </xf>
    <xf numFmtId="5" fontId="35" fillId="0" borderId="0" xfId="0" applyNumberFormat="1" applyFont="1" applyFill="1" applyBorder="1" applyAlignment="1" applyProtection="1">
      <alignment horizontal="right"/>
    </xf>
    <xf numFmtId="0" fontId="0" fillId="0" borderId="0" xfId="0" applyFill="1" applyAlignment="1" applyProtection="1">
      <alignment horizontal="center" wrapText="1"/>
    </xf>
    <xf numFmtId="165" fontId="10" fillId="0" borderId="0" xfId="18" applyNumberFormat="1" applyFont="1" applyFill="1" applyBorder="1"/>
    <xf numFmtId="0" fontId="0" fillId="0" borderId="0" xfId="0" applyFont="1" applyFill="1" applyAlignment="1" applyProtection="1">
      <alignment horizontal="center"/>
    </xf>
    <xf numFmtId="165" fontId="10" fillId="0" borderId="0" xfId="19" applyNumberFormat="1" applyFont="1" applyFill="1" applyBorder="1"/>
    <xf numFmtId="165" fontId="0" fillId="0" borderId="0" xfId="7" applyNumberFormat="1" applyFont="1" applyFill="1" applyAlignment="1" applyProtection="1">
      <alignment horizontal="center" wrapText="1"/>
    </xf>
    <xf numFmtId="43" fontId="3" fillId="0" borderId="0" xfId="7" applyFont="1" applyFill="1" applyAlignment="1" applyProtection="1">
      <alignment horizontal="center" wrapText="1"/>
    </xf>
    <xf numFmtId="39" fontId="10" fillId="0" borderId="0" xfId="7" applyNumberFormat="1" applyFont="1" applyFill="1" applyBorder="1" applyProtection="1"/>
    <xf numFmtId="0" fontId="0" fillId="0" borderId="8" xfId="0" applyFont="1" applyFill="1" applyBorder="1" applyAlignment="1" applyProtection="1">
      <alignment horizontal="center"/>
    </xf>
    <xf numFmtId="0" fontId="0" fillId="0" borderId="8" xfId="0" applyFont="1" applyFill="1" applyBorder="1" applyProtection="1"/>
    <xf numFmtId="165" fontId="0" fillId="0" borderId="8" xfId="0" applyNumberFormat="1" applyFont="1" applyFill="1" applyBorder="1" applyProtection="1"/>
    <xf numFmtId="0" fontId="0" fillId="0" borderId="0" xfId="0" applyFont="1" applyFill="1" applyProtection="1"/>
    <xf numFmtId="0" fontId="5" fillId="0" borderId="8" xfId="0" applyFont="1" applyFill="1" applyBorder="1" applyAlignment="1" applyProtection="1">
      <alignment horizontal="center" wrapText="1"/>
    </xf>
    <xf numFmtId="0" fontId="5" fillId="0" borderId="8" xfId="0" applyFont="1" applyFill="1" applyBorder="1" applyAlignment="1" applyProtection="1"/>
    <xf numFmtId="0" fontId="0" fillId="0" borderId="0" xfId="0" applyFill="1" applyBorder="1" applyAlignment="1" applyProtection="1">
      <alignment horizontal="center" wrapText="1"/>
    </xf>
    <xf numFmtId="165" fontId="10" fillId="0" borderId="0" xfId="32" applyNumberFormat="1" applyFont="1" applyFill="1" applyBorder="1"/>
    <xf numFmtId="165" fontId="10" fillId="0" borderId="8" xfId="32" applyNumberFormat="1" applyFont="1" applyFill="1" applyBorder="1"/>
    <xf numFmtId="164" fontId="0" fillId="0" borderId="0" xfId="0" applyNumberFormat="1" applyFill="1" applyBorder="1" applyAlignment="1" applyProtection="1">
      <alignment horizontal="center" wrapText="1"/>
    </xf>
    <xf numFmtId="165" fontId="10" fillId="4" borderId="0" xfId="18" applyNumberFormat="1" applyFont="1" applyFill="1" applyBorder="1"/>
    <xf numFmtId="0" fontId="0" fillId="4" borderId="0" xfId="0" applyFont="1" applyFill="1" applyAlignment="1" applyProtection="1">
      <alignment horizontal="center"/>
    </xf>
    <xf numFmtId="165" fontId="10" fillId="4" borderId="0" xfId="7" applyNumberFormat="1" applyFont="1" applyFill="1" applyBorder="1" applyProtection="1"/>
    <xf numFmtId="165" fontId="3" fillId="4" borderId="0" xfId="7" applyNumberFormat="1" applyFill="1" applyBorder="1" applyProtection="1"/>
    <xf numFmtId="165" fontId="10" fillId="4" borderId="0" xfId="32" applyNumberFormat="1" applyFont="1" applyFill="1" applyBorder="1"/>
    <xf numFmtId="165" fontId="3" fillId="4" borderId="0" xfId="30" applyNumberFormat="1" applyFill="1"/>
    <xf numFmtId="0" fontId="28" fillId="0" borderId="0" xfId="0" applyFont="1" applyProtection="1"/>
    <xf numFmtId="5" fontId="28" fillId="0" borderId="0" xfId="0" applyNumberFormat="1" applyFont="1" applyProtection="1"/>
    <xf numFmtId="5" fontId="28" fillId="0" borderId="0" xfId="0" applyNumberFormat="1" applyFont="1" applyBorder="1" applyProtection="1"/>
    <xf numFmtId="0" fontId="28" fillId="0" borderId="0" xfId="0" applyFont="1" applyFill="1" applyProtection="1"/>
    <xf numFmtId="0" fontId="28" fillId="0" borderId="0" xfId="0" applyFont="1" applyBorder="1" applyProtection="1"/>
    <xf numFmtId="0" fontId="28" fillId="0" borderId="0" xfId="0" applyFont="1" applyFill="1" applyBorder="1" applyProtection="1"/>
    <xf numFmtId="0" fontId="16" fillId="0" borderId="0" xfId="0" applyFont="1" applyFill="1" applyBorder="1" applyAlignment="1" applyProtection="1">
      <alignment horizontal="center"/>
    </xf>
    <xf numFmtId="0" fontId="28" fillId="0" borderId="13" xfId="0" applyFont="1" applyBorder="1" applyProtection="1"/>
    <xf numFmtId="0" fontId="28" fillId="0" borderId="0" xfId="0" applyFont="1" applyFill="1" applyAlignment="1" applyProtection="1">
      <alignment horizontal="center"/>
    </xf>
    <xf numFmtId="0" fontId="43" fillId="0" borderId="0" xfId="0" applyFont="1" applyBorder="1" applyAlignment="1" applyProtection="1">
      <alignment horizontal="centerContinuous"/>
    </xf>
    <xf numFmtId="0" fontId="28" fillId="0" borderId="0" xfId="0" applyFont="1" applyBorder="1" applyAlignment="1" applyProtection="1">
      <alignment horizontal="centerContinuous"/>
    </xf>
    <xf numFmtId="5" fontId="44" fillId="0" borderId="0" xfId="0" applyNumberFormat="1" applyFont="1" applyFill="1" applyBorder="1" applyProtection="1"/>
    <xf numFmtId="0" fontId="44" fillId="0" borderId="0" xfId="0" applyFont="1" applyFill="1" applyBorder="1" applyProtection="1"/>
    <xf numFmtId="0" fontId="13" fillId="2" borderId="15" xfId="0" applyFont="1" applyFill="1" applyBorder="1" applyAlignment="1" applyProtection="1">
      <alignment horizontal="centerContinuous"/>
    </xf>
    <xf numFmtId="0" fontId="13" fillId="2" borderId="16" xfId="0" applyFont="1" applyFill="1" applyBorder="1" applyAlignment="1" applyProtection="1">
      <alignment horizontal="centerContinuous"/>
    </xf>
    <xf numFmtId="0" fontId="44" fillId="2" borderId="17" xfId="0" applyFont="1" applyFill="1" applyBorder="1" applyAlignment="1" applyProtection="1">
      <alignment horizontal="centerContinuous"/>
    </xf>
    <xf numFmtId="0" fontId="44" fillId="0" borderId="0" xfId="0" applyFont="1" applyFill="1" applyBorder="1" applyAlignment="1" applyProtection="1">
      <alignment horizontal="centerContinuous"/>
    </xf>
    <xf numFmtId="0" fontId="44" fillId="0" borderId="0" xfId="0" applyFont="1" applyFill="1" applyBorder="1" applyAlignment="1" applyProtection="1">
      <alignment horizontal="center"/>
    </xf>
    <xf numFmtId="0" fontId="28" fillId="0" borderId="0" xfId="0" applyFont="1" applyAlignment="1" applyProtection="1">
      <alignment horizontal="center"/>
    </xf>
    <xf numFmtId="0" fontId="16" fillId="0" borderId="0" xfId="0" applyFont="1" applyBorder="1" applyAlignment="1" applyProtection="1">
      <alignment horizontal="center"/>
    </xf>
    <xf numFmtId="0" fontId="44" fillId="0" borderId="0" xfId="0" quotePrefix="1" applyFont="1" applyFill="1" applyBorder="1" applyAlignment="1" applyProtection="1">
      <alignment horizontal="center"/>
    </xf>
    <xf numFmtId="165" fontId="44" fillId="0" borderId="0" xfId="0" applyNumberFormat="1" applyFont="1" applyFill="1" applyBorder="1" applyAlignment="1" applyProtection="1">
      <alignment horizontal="center"/>
    </xf>
    <xf numFmtId="5" fontId="28" fillId="0" borderId="0" xfId="0" applyNumberFormat="1" applyFont="1" applyFill="1" applyProtection="1"/>
    <xf numFmtId="166" fontId="44" fillId="0" borderId="0" xfId="0" applyNumberFormat="1" applyFont="1" applyFill="1" applyBorder="1" applyProtection="1"/>
    <xf numFmtId="166" fontId="44" fillId="0" borderId="0" xfId="6" applyNumberFormat="1" applyFont="1" applyFill="1" applyBorder="1" applyProtection="1"/>
    <xf numFmtId="165" fontId="44" fillId="0" borderId="0" xfId="0" applyNumberFormat="1" applyFont="1" applyFill="1" applyBorder="1" applyProtection="1"/>
    <xf numFmtId="165" fontId="28" fillId="0" borderId="0" xfId="7" applyNumberFormat="1" applyFont="1" applyFill="1" applyProtection="1"/>
    <xf numFmtId="168" fontId="44" fillId="0" borderId="0" xfId="2" applyNumberFormat="1" applyFont="1" applyFill="1" applyBorder="1" applyProtection="1"/>
    <xf numFmtId="165" fontId="28" fillId="0" borderId="0" xfId="7" applyNumberFormat="1" applyFont="1" applyFill="1" applyBorder="1" applyProtection="1"/>
    <xf numFmtId="166" fontId="45" fillId="0" borderId="0" xfId="6" applyNumberFormat="1" applyFont="1" applyFill="1" applyBorder="1" applyProtection="1"/>
    <xf numFmtId="165" fontId="45" fillId="0" borderId="0" xfId="0" applyNumberFormat="1" applyFont="1" applyFill="1" applyBorder="1" applyProtection="1"/>
    <xf numFmtId="165" fontId="44" fillId="0" borderId="8" xfId="0" applyNumberFormat="1" applyFont="1" applyFill="1" applyBorder="1" applyProtection="1"/>
    <xf numFmtId="43" fontId="44" fillId="0" borderId="8" xfId="6" applyNumberFormat="1" applyFont="1" applyFill="1" applyBorder="1" applyProtection="1"/>
    <xf numFmtId="44" fontId="44" fillId="0" borderId="8" xfId="6" applyNumberFormat="1" applyFont="1" applyFill="1" applyBorder="1" applyProtection="1"/>
    <xf numFmtId="0" fontId="46" fillId="0" borderId="0" xfId="0" applyFont="1" applyFill="1" applyBorder="1" applyProtection="1"/>
    <xf numFmtId="166" fontId="44" fillId="0" borderId="8" xfId="6" applyNumberFormat="1" applyFont="1" applyFill="1" applyBorder="1" applyProtection="1"/>
    <xf numFmtId="165" fontId="28" fillId="0" borderId="0" xfId="0" applyNumberFormat="1" applyFont="1" applyFill="1" applyProtection="1"/>
    <xf numFmtId="1" fontId="44" fillId="0" borderId="0" xfId="0" applyNumberFormat="1" applyFont="1" applyFill="1" applyBorder="1" applyProtection="1"/>
    <xf numFmtId="165" fontId="28" fillId="0" borderId="0" xfId="0" applyNumberFormat="1" applyFont="1" applyFill="1" applyAlignment="1" applyProtection="1">
      <alignment horizontal="right"/>
    </xf>
    <xf numFmtId="44" fontId="44" fillId="0" borderId="0" xfId="6" applyNumberFormat="1" applyFont="1" applyFill="1" applyBorder="1" applyProtection="1"/>
    <xf numFmtId="165" fontId="28" fillId="0" borderId="8" xfId="7" applyNumberFormat="1" applyFont="1" applyFill="1" applyBorder="1" applyProtection="1"/>
    <xf numFmtId="166" fontId="44" fillId="0" borderId="0" xfId="450" applyNumberFormat="1" applyFont="1" applyFill="1" applyBorder="1" applyProtection="1"/>
    <xf numFmtId="166" fontId="28" fillId="0" borderId="0" xfId="0" applyNumberFormat="1" applyFont="1" applyFill="1" applyProtection="1"/>
    <xf numFmtId="165" fontId="46" fillId="0" borderId="0" xfId="7" applyNumberFormat="1" applyFont="1" applyFill="1" applyProtection="1"/>
    <xf numFmtId="0" fontId="28" fillId="0" borderId="0" xfId="0" applyFont="1" applyFill="1" applyBorder="1" applyAlignment="1" applyProtection="1">
      <alignment horizontal="center"/>
    </xf>
    <xf numFmtId="165" fontId="28" fillId="0" borderId="0" xfId="1" applyNumberFormat="1" applyFont="1" applyFill="1" applyProtection="1"/>
    <xf numFmtId="165" fontId="28" fillId="0" borderId="0" xfId="1" applyNumberFormat="1" applyFont="1" applyFill="1" applyBorder="1" applyProtection="1"/>
    <xf numFmtId="166" fontId="44" fillId="0" borderId="0" xfId="8" applyNumberFormat="1" applyFont="1" applyFill="1" applyBorder="1" applyProtection="1"/>
    <xf numFmtId="44" fontId="44" fillId="0" borderId="0" xfId="8" applyNumberFormat="1" applyFont="1" applyFill="1" applyBorder="1" applyProtection="1"/>
    <xf numFmtId="165" fontId="28" fillId="0" borderId="0" xfId="0" applyNumberFormat="1" applyFont="1" applyFill="1" applyBorder="1" applyProtection="1"/>
    <xf numFmtId="166" fontId="28" fillId="0" borderId="0" xfId="0" applyNumberFormat="1" applyFont="1" applyFill="1" applyBorder="1" applyProtection="1"/>
    <xf numFmtId="44" fontId="28" fillId="0" borderId="0" xfId="0" applyNumberFormat="1" applyFont="1" applyFill="1" applyBorder="1" applyProtection="1"/>
    <xf numFmtId="43" fontId="28" fillId="0" borderId="0" xfId="0" applyNumberFormat="1" applyFont="1" applyFill="1" applyBorder="1" applyProtection="1"/>
    <xf numFmtId="165" fontId="46" fillId="0" borderId="0" xfId="1" applyNumberFormat="1" applyFont="1" applyFill="1" applyProtection="1"/>
    <xf numFmtId="166" fontId="44" fillId="0" borderId="8" xfId="8" applyNumberFormat="1" applyFont="1" applyFill="1" applyBorder="1" applyProtection="1"/>
    <xf numFmtId="166" fontId="28" fillId="0" borderId="0" xfId="6" applyNumberFormat="1" applyFont="1" applyFill="1" applyProtection="1"/>
    <xf numFmtId="10" fontId="28" fillId="0" borderId="0" xfId="9" applyNumberFormat="1" applyFont="1" applyFill="1" applyBorder="1" applyProtection="1"/>
    <xf numFmtId="166" fontId="47" fillId="0" borderId="0" xfId="6" applyNumberFormat="1" applyFont="1" applyFill="1" applyBorder="1" applyProtection="1"/>
    <xf numFmtId="165" fontId="47" fillId="0" borderId="0" xfId="0" applyNumberFormat="1" applyFont="1" applyFill="1" applyBorder="1" applyProtection="1"/>
    <xf numFmtId="10" fontId="44" fillId="0" borderId="0" xfId="2" applyNumberFormat="1" applyFont="1" applyFill="1" applyBorder="1" applyProtection="1"/>
    <xf numFmtId="44" fontId="44" fillId="0" borderId="0" xfId="450" applyFont="1" applyFill="1" applyBorder="1" applyProtection="1"/>
    <xf numFmtId="10" fontId="28" fillId="0" borderId="0" xfId="0" applyNumberFormat="1" applyFont="1" applyFill="1" applyProtection="1"/>
    <xf numFmtId="165" fontId="28" fillId="0" borderId="0" xfId="0" applyNumberFormat="1" applyFont="1" applyFill="1" applyAlignment="1" applyProtection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165" fontId="44" fillId="0" borderId="0" xfId="0" applyNumberFormat="1" applyFont="1" applyFill="1" applyBorder="1"/>
    <xf numFmtId="165" fontId="28" fillId="0" borderId="0" xfId="11" applyNumberFormat="1" applyFont="1" applyFill="1"/>
    <xf numFmtId="165" fontId="28" fillId="0" borderId="0" xfId="11" applyNumberFormat="1" applyFont="1" applyFill="1" applyBorder="1"/>
    <xf numFmtId="166" fontId="44" fillId="0" borderId="0" xfId="10" applyNumberFormat="1" applyFont="1" applyFill="1" applyBorder="1"/>
    <xf numFmtId="165" fontId="44" fillId="0" borderId="0" xfId="14" applyNumberFormat="1" applyFont="1" applyFill="1" applyBorder="1"/>
    <xf numFmtId="10" fontId="44" fillId="0" borderId="0" xfId="16" applyNumberFormat="1" applyFont="1" applyFill="1" applyBorder="1"/>
    <xf numFmtId="165" fontId="44" fillId="0" borderId="0" xfId="1" applyNumberFormat="1" applyFont="1" applyFill="1" applyBorder="1"/>
    <xf numFmtId="0" fontId="28" fillId="0" borderId="0" xfId="0" applyFont="1" applyFill="1"/>
    <xf numFmtId="10" fontId="28" fillId="0" borderId="0" xfId="9" applyNumberFormat="1" applyFont="1" applyFill="1" applyBorder="1"/>
    <xf numFmtId="0" fontId="28" fillId="0" borderId="0" xfId="0" applyFont="1" applyFill="1" applyBorder="1"/>
    <xf numFmtId="166" fontId="47" fillId="0" borderId="0" xfId="10" applyNumberFormat="1" applyFont="1" applyFill="1" applyBorder="1"/>
    <xf numFmtId="165" fontId="45" fillId="0" borderId="0" xfId="0" applyNumberFormat="1" applyFont="1" applyFill="1" applyBorder="1"/>
    <xf numFmtId="165" fontId="44" fillId="0" borderId="8" xfId="0" applyNumberFormat="1" applyFont="1" applyFill="1" applyBorder="1"/>
    <xf numFmtId="165" fontId="28" fillId="0" borderId="0" xfId="12" applyNumberFormat="1" applyFont="1" applyFill="1"/>
    <xf numFmtId="165" fontId="46" fillId="0" borderId="0" xfId="12" applyNumberFormat="1" applyFont="1" applyFill="1"/>
    <xf numFmtId="44" fontId="44" fillId="0" borderId="0" xfId="450" applyFont="1" applyFill="1" applyBorder="1"/>
    <xf numFmtId="10" fontId="28" fillId="0" borderId="0" xfId="0" applyNumberFormat="1" applyFont="1" applyFill="1"/>
    <xf numFmtId="0" fontId="48" fillId="0" borderId="0" xfId="0" applyFont="1" applyFill="1" applyBorder="1" applyProtection="1"/>
    <xf numFmtId="0" fontId="28" fillId="0" borderId="0" xfId="0" applyFont="1" applyFill="1" applyAlignment="1">
      <alignment horizontal="center"/>
    </xf>
    <xf numFmtId="166" fontId="44" fillId="0" borderId="0" xfId="15" applyNumberFormat="1" applyFont="1" applyFill="1" applyBorder="1"/>
    <xf numFmtId="165" fontId="44" fillId="0" borderId="8" xfId="1" applyNumberFormat="1" applyFont="1" applyFill="1" applyBorder="1" applyProtection="1"/>
    <xf numFmtId="166" fontId="44" fillId="0" borderId="0" xfId="450" applyNumberFormat="1" applyFont="1" applyFill="1" applyBorder="1"/>
    <xf numFmtId="165" fontId="44" fillId="0" borderId="0" xfId="1" applyNumberFormat="1" applyFont="1" applyFill="1" applyBorder="1" applyProtection="1"/>
    <xf numFmtId="5" fontId="28" fillId="0" borderId="0" xfId="0" applyNumberFormat="1" applyFont="1" applyFill="1" applyBorder="1" applyProtection="1"/>
    <xf numFmtId="165" fontId="28" fillId="0" borderId="0" xfId="0" applyNumberFormat="1" applyFont="1" applyFill="1" applyBorder="1"/>
    <xf numFmtId="44" fontId="28" fillId="0" borderId="0" xfId="450" applyFont="1" applyFill="1" applyBorder="1" applyProtection="1"/>
    <xf numFmtId="43" fontId="28" fillId="0" borderId="0" xfId="1" applyFont="1" applyFill="1" applyBorder="1" applyProtection="1"/>
    <xf numFmtId="166" fontId="44" fillId="0" borderId="0" xfId="13" applyNumberFormat="1" applyFont="1" applyFill="1" applyBorder="1"/>
    <xf numFmtId="166" fontId="44" fillId="0" borderId="8" xfId="10" applyNumberFormat="1" applyFont="1" applyFill="1" applyBorder="1"/>
    <xf numFmtId="166" fontId="44" fillId="0" borderId="8" xfId="15" applyNumberFormat="1" applyFont="1" applyFill="1" applyBorder="1"/>
    <xf numFmtId="44" fontId="28" fillId="0" borderId="8" xfId="450" applyFont="1" applyFill="1" applyBorder="1" applyProtection="1"/>
    <xf numFmtId="43" fontId="28" fillId="0" borderId="8" xfId="1" applyFont="1" applyFill="1" applyBorder="1" applyProtection="1"/>
    <xf numFmtId="0" fontId="28" fillId="0" borderId="8" xfId="0" applyFont="1" applyFill="1" applyBorder="1" applyProtection="1"/>
    <xf numFmtId="44" fontId="28" fillId="0" borderId="0" xfId="0" applyNumberFormat="1" applyFont="1" applyFill="1" applyProtection="1"/>
    <xf numFmtId="43" fontId="28" fillId="0" borderId="0" xfId="0" applyNumberFormat="1" applyFont="1" applyFill="1" applyProtection="1"/>
    <xf numFmtId="43" fontId="10" fillId="0" borderId="0" xfId="453" applyFont="1" applyFill="1" applyBorder="1" applyProtection="1"/>
    <xf numFmtId="165" fontId="3" fillId="0" borderId="0" xfId="7" applyNumberFormat="1" applyFill="1" applyProtection="1"/>
    <xf numFmtId="0" fontId="0" fillId="4" borderId="0" xfId="0" applyFont="1" applyFill="1" applyBorder="1" applyAlignment="1" applyProtection="1">
      <alignment horizontal="center"/>
    </xf>
    <xf numFmtId="49" fontId="0" fillId="0" borderId="0" xfId="0" applyNumberFormat="1" applyFill="1" applyAlignment="1">
      <alignment horizontal="center"/>
    </xf>
    <xf numFmtId="166" fontId="0" fillId="0" borderId="0" xfId="450" applyNumberFormat="1" applyFont="1" applyFill="1" applyAlignment="1">
      <alignment horizontal="center"/>
    </xf>
    <xf numFmtId="10" fontId="0" fillId="0" borderId="0" xfId="2" applyNumberFormat="1" applyFont="1" applyFill="1"/>
    <xf numFmtId="164" fontId="0" fillId="0" borderId="0" xfId="0" applyNumberFormat="1" applyFill="1" applyAlignment="1">
      <alignment horizontal="center"/>
    </xf>
    <xf numFmtId="0" fontId="0" fillId="4" borderId="8" xfId="0" applyFill="1" applyBorder="1" applyAlignment="1" applyProtection="1">
      <alignment horizontal="center"/>
    </xf>
    <xf numFmtId="0" fontId="0" fillId="4" borderId="8" xfId="0" applyFill="1" applyBorder="1" applyProtection="1"/>
    <xf numFmtId="165" fontId="3" fillId="4" borderId="8" xfId="7" applyNumberFormat="1" applyFill="1" applyBorder="1" applyProtection="1"/>
    <xf numFmtId="165" fontId="0" fillId="4" borderId="8" xfId="0" applyNumberFormat="1" applyFill="1" applyBorder="1" applyProtection="1"/>
    <xf numFmtId="165" fontId="10" fillId="4" borderId="8" xfId="7" applyNumberFormat="1" applyFont="1" applyFill="1" applyBorder="1" applyProtection="1"/>
    <xf numFmtId="165" fontId="0" fillId="0" borderId="0" xfId="0" applyNumberFormat="1" applyFont="1" applyFill="1" applyBorder="1"/>
    <xf numFmtId="165" fontId="0" fillId="0" borderId="13" xfId="0" applyNumberFormat="1" applyBorder="1"/>
    <xf numFmtId="165" fontId="10" fillId="14" borderId="0" xfId="32" applyNumberFormat="1" applyFont="1" applyFill="1" applyBorder="1"/>
    <xf numFmtId="43" fontId="63" fillId="6" borderId="0" xfId="453" applyFont="1" applyFill="1" applyBorder="1" applyProtection="1"/>
    <xf numFmtId="43" fontId="63" fillId="6" borderId="8" xfId="453" applyFont="1" applyFill="1" applyBorder="1" applyProtection="1"/>
    <xf numFmtId="165" fontId="3" fillId="5" borderId="0" xfId="7" applyNumberFormat="1" applyFill="1" applyProtection="1"/>
    <xf numFmtId="165" fontId="3" fillId="5" borderId="8" xfId="7" applyNumberFormat="1" applyFill="1" applyBorder="1" applyProtection="1"/>
    <xf numFmtId="165" fontId="3" fillId="5" borderId="0" xfId="31" applyNumberFormat="1" applyFill="1" applyBorder="1"/>
    <xf numFmtId="165" fontId="3" fillId="5" borderId="0" xfId="31" applyNumberFormat="1" applyFill="1"/>
    <xf numFmtId="165" fontId="10" fillId="5" borderId="0" xfId="7" applyNumberFormat="1" applyFont="1" applyFill="1" applyBorder="1" applyProtection="1"/>
    <xf numFmtId="165" fontId="10" fillId="5" borderId="8" xfId="7" applyNumberFormat="1" applyFont="1" applyFill="1" applyBorder="1" applyProtection="1"/>
    <xf numFmtId="165" fontId="10" fillId="5" borderId="0" xfId="32" applyNumberFormat="1" applyFont="1" applyFill="1" applyBorder="1"/>
    <xf numFmtId="165" fontId="10" fillId="15" borderId="0" xfId="32" applyNumberFormat="1" applyFont="1" applyFill="1" applyBorder="1"/>
    <xf numFmtId="165" fontId="10" fillId="15" borderId="8" xfId="32" applyNumberFormat="1" applyFont="1" applyFill="1" applyBorder="1"/>
    <xf numFmtId="38" fontId="0" fillId="0" borderId="13" xfId="0" applyNumberFormat="1" applyBorder="1"/>
    <xf numFmtId="172" fontId="44" fillId="0" borderId="0" xfId="0" applyNumberFormat="1" applyFont="1" applyFill="1" applyBorder="1" applyProtection="1"/>
    <xf numFmtId="43" fontId="44" fillId="0" borderId="0" xfId="0" applyNumberFormat="1" applyFont="1" applyFill="1" applyBorder="1" applyProtection="1"/>
    <xf numFmtId="173" fontId="0" fillId="0" borderId="0" xfId="0" applyNumberFormat="1" applyProtection="1"/>
    <xf numFmtId="173" fontId="16" fillId="0" borderId="0" xfId="0" applyNumberFormat="1" applyFont="1" applyProtection="1"/>
    <xf numFmtId="173" fontId="5" fillId="0" borderId="0" xfId="0" applyNumberFormat="1" applyFont="1" applyProtection="1"/>
    <xf numFmtId="165" fontId="10" fillId="4" borderId="0" xfId="453" applyNumberFormat="1" applyFont="1" applyFill="1" applyBorder="1" applyProtection="1"/>
    <xf numFmtId="167" fontId="28" fillId="0" borderId="0" xfId="0" applyNumberFormat="1" applyFont="1" applyFill="1" applyBorder="1" applyProtection="1"/>
    <xf numFmtId="165" fontId="28" fillId="0" borderId="8" xfId="1" applyNumberFormat="1" applyFont="1" applyFill="1" applyBorder="1" applyProtection="1"/>
    <xf numFmtId="166" fontId="44" fillId="0" borderId="8" xfId="13" applyNumberFormat="1" applyFont="1" applyFill="1" applyBorder="1"/>
    <xf numFmtId="5" fontId="31" fillId="0" borderId="0" xfId="0" applyNumberFormat="1" applyFont="1" applyFill="1" applyBorder="1"/>
    <xf numFmtId="165" fontId="31" fillId="0" borderId="0" xfId="1" applyNumberFormat="1" applyFont="1" applyFill="1" applyAlignment="1">
      <alignment horizontal="center"/>
    </xf>
    <xf numFmtId="0" fontId="31" fillId="0" borderId="0" xfId="0" applyFont="1" applyFill="1" applyAlignment="1">
      <alignment horizontal="left"/>
    </xf>
    <xf numFmtId="5" fontId="31" fillId="0" borderId="0" xfId="0" applyNumberFormat="1" applyFont="1" applyFill="1"/>
    <xf numFmtId="166" fontId="31" fillId="0" borderId="0" xfId="450" applyNumberFormat="1" applyFont="1" applyFill="1" applyBorder="1" applyAlignment="1">
      <alignment horizontal="center"/>
    </xf>
    <xf numFmtId="0" fontId="31" fillId="0" borderId="0" xfId="0" applyFont="1" applyFill="1"/>
    <xf numFmtId="0" fontId="32" fillId="0" borderId="0" xfId="0" applyFont="1" applyFill="1" applyAlignment="1">
      <alignment horizontal="left"/>
    </xf>
    <xf numFmtId="0" fontId="33" fillId="0" borderId="0" xfId="0" applyFont="1" applyFill="1" applyAlignment="1">
      <alignment horizontal="center"/>
    </xf>
    <xf numFmtId="166" fontId="32" fillId="0" borderId="14" xfId="0" applyNumberFormat="1" applyFont="1" applyFill="1" applyBorder="1" applyAlignment="1">
      <alignment horizontal="center"/>
    </xf>
    <xf numFmtId="0" fontId="33" fillId="0" borderId="0" xfId="0" applyFont="1" applyFill="1"/>
    <xf numFmtId="172" fontId="33" fillId="0" borderId="0" xfId="0" applyNumberFormat="1" applyFont="1" applyFill="1" applyAlignment="1">
      <alignment horizontal="center"/>
    </xf>
    <xf numFmtId="167" fontId="31" fillId="0" borderId="0" xfId="0" applyNumberFormat="1" applyFont="1" applyFill="1" applyAlignment="1">
      <alignment horizontal="right"/>
    </xf>
    <xf numFmtId="5" fontId="32" fillId="0" borderId="0" xfId="0" applyNumberFormat="1" applyFont="1" applyFill="1" applyBorder="1"/>
    <xf numFmtId="167" fontId="32" fillId="0" borderId="0" xfId="0" applyNumberFormat="1" applyFont="1" applyFill="1" applyAlignment="1">
      <alignment horizontal="right"/>
    </xf>
    <xf numFmtId="5" fontId="32" fillId="0" borderId="0" xfId="0" applyNumberFormat="1" applyFont="1" applyFill="1"/>
    <xf numFmtId="5" fontId="31" fillId="0" borderId="0" xfId="0" applyNumberFormat="1" applyFont="1" applyFill="1" applyAlignment="1">
      <alignment horizontal="left"/>
    </xf>
    <xf numFmtId="0" fontId="32" fillId="0" borderId="0" xfId="0" applyFont="1" applyFill="1"/>
    <xf numFmtId="5" fontId="32" fillId="0" borderId="0" xfId="0" applyNumberFormat="1" applyFont="1" applyFill="1" applyAlignment="1">
      <alignment horizontal="left"/>
    </xf>
    <xf numFmtId="0" fontId="34" fillId="0" borderId="0" xfId="354" applyFont="1" applyFill="1"/>
    <xf numFmtId="166" fontId="31" fillId="0" borderId="0" xfId="450" applyNumberFormat="1" applyFont="1" applyFill="1"/>
    <xf numFmtId="0" fontId="0" fillId="0" borderId="0" xfId="0" applyFill="1" applyBorder="1" applyAlignment="1">
      <alignment horizontal="left"/>
    </xf>
    <xf numFmtId="165" fontId="0" fillId="0" borderId="0" xfId="0" applyNumberFormat="1" applyFill="1"/>
    <xf numFmtId="165" fontId="0" fillId="0" borderId="13" xfId="1" applyNumberFormat="1" applyFont="1" applyBorder="1"/>
    <xf numFmtId="165" fontId="10" fillId="16" borderId="0" xfId="1" applyNumberFormat="1" applyFont="1" applyFill="1" applyBorder="1" applyProtection="1"/>
    <xf numFmtId="43" fontId="10" fillId="6" borderId="0" xfId="453" applyFont="1" applyFill="1" applyBorder="1" applyProtection="1"/>
    <xf numFmtId="43" fontId="10" fillId="0" borderId="0" xfId="1" applyFont="1" applyFill="1" applyBorder="1" applyProtection="1"/>
    <xf numFmtId="165" fontId="10" fillId="0" borderId="0" xfId="4" applyNumberFormat="1" applyFont="1" applyFill="1" applyBorder="1" applyProtection="1"/>
    <xf numFmtId="165" fontId="10" fillId="17" borderId="0" xfId="1" applyNumberFormat="1" applyFont="1" applyFill="1" applyBorder="1" applyProtection="1"/>
    <xf numFmtId="165" fontId="0" fillId="0" borderId="0" xfId="30" applyNumberFormat="1" applyFont="1" applyFill="1" applyAlignment="1">
      <alignment wrapText="1"/>
    </xf>
    <xf numFmtId="165" fontId="3" fillId="0" borderId="0" xfId="30" applyNumberFormat="1" applyFill="1" applyAlignment="1">
      <alignment wrapText="1"/>
    </xf>
    <xf numFmtId="0" fontId="0" fillId="0" borderId="0" xfId="0" applyAlignment="1" applyProtection="1"/>
    <xf numFmtId="166" fontId="0" fillId="0" borderId="0" xfId="0" applyNumberFormat="1"/>
    <xf numFmtId="165" fontId="0" fillId="0" borderId="0" xfId="7" applyNumberFormat="1" applyFont="1" applyFill="1" applyBorder="1" applyAlignment="1" applyProtection="1">
      <alignment horizontal="center" wrapText="1"/>
    </xf>
    <xf numFmtId="43" fontId="3" fillId="0" borderId="0" xfId="7" applyFont="1" applyFill="1" applyBorder="1" applyAlignment="1" applyProtection="1">
      <alignment horizontal="center" wrapText="1"/>
    </xf>
    <xf numFmtId="10" fontId="13" fillId="0" borderId="0" xfId="0" applyNumberFormat="1" applyFont="1" applyFill="1" applyBorder="1" applyAlignment="1" applyProtection="1">
      <alignment horizontal="center"/>
    </xf>
    <xf numFmtId="165" fontId="0" fillId="0" borderId="0" xfId="7" applyNumberFormat="1" applyFont="1" applyFill="1" applyBorder="1" applyProtection="1"/>
    <xf numFmtId="165" fontId="0" fillId="0" borderId="0" xfId="0" applyNumberFormat="1" applyFont="1" applyFill="1" applyBorder="1" applyProtection="1"/>
    <xf numFmtId="0" fontId="13" fillId="0" borderId="0" xfId="329" applyFont="1" applyFill="1" applyBorder="1" applyAlignment="1" applyProtection="1">
      <alignment horizontal="center"/>
    </xf>
    <xf numFmtId="10" fontId="44" fillId="0" borderId="8" xfId="16" applyNumberFormat="1" applyFont="1" applyFill="1" applyBorder="1"/>
    <xf numFmtId="165" fontId="0" fillId="0" borderId="0" xfId="0" applyNumberFormat="1" applyFont="1" applyFill="1"/>
    <xf numFmtId="165" fontId="0" fillId="0" borderId="0" xfId="0" applyNumberFormat="1" applyFont="1"/>
    <xf numFmtId="165" fontId="0" fillId="0" borderId="13" xfId="0" applyNumberFormat="1" applyFont="1" applyBorder="1"/>
    <xf numFmtId="5" fontId="0" fillId="0" borderId="0" xfId="0" applyNumberFormat="1"/>
    <xf numFmtId="172" fontId="0" fillId="0" borderId="0" xfId="0" applyNumberFormat="1"/>
    <xf numFmtId="0" fontId="32" fillId="0" borderId="0" xfId="0" applyFont="1" applyFill="1" applyBorder="1" applyAlignment="1">
      <alignment horizontal="right"/>
    </xf>
    <xf numFmtId="165" fontId="28" fillId="0" borderId="0" xfId="1" applyNumberFormat="1" applyFont="1" applyFill="1" applyBorder="1" applyAlignment="1" applyProtection="1">
      <alignment horizontal="center"/>
    </xf>
    <xf numFmtId="0" fontId="28" fillId="0" borderId="8" xfId="0" applyFont="1" applyFill="1" applyBorder="1" applyAlignment="1" applyProtection="1">
      <alignment horizontal="center"/>
    </xf>
    <xf numFmtId="167" fontId="28" fillId="0" borderId="0" xfId="6" applyNumberFormat="1" applyFont="1" applyFill="1" applyProtection="1"/>
    <xf numFmtId="165" fontId="28" fillId="0" borderId="8" xfId="0" applyNumberFormat="1" applyFont="1" applyFill="1" applyBorder="1" applyProtection="1"/>
    <xf numFmtId="167" fontId="28" fillId="0" borderId="0" xfId="6" applyNumberFormat="1" applyFont="1" applyFill="1" applyBorder="1" applyProtection="1"/>
    <xf numFmtId="167" fontId="28" fillId="0" borderId="8" xfId="6" applyNumberFormat="1" applyFont="1" applyFill="1" applyBorder="1" applyProtection="1"/>
    <xf numFmtId="166" fontId="44" fillId="0" borderId="8" xfId="450" applyNumberFormat="1" applyFont="1" applyFill="1" applyBorder="1" applyProtection="1"/>
    <xf numFmtId="172" fontId="44" fillId="0" borderId="0" xfId="15" applyNumberFormat="1" applyFont="1" applyFill="1" applyBorder="1"/>
    <xf numFmtId="165" fontId="43" fillId="0" borderId="0" xfId="1" applyNumberFormat="1" applyFont="1" applyFill="1" applyBorder="1" applyProtection="1"/>
    <xf numFmtId="166" fontId="44" fillId="0" borderId="8" xfId="1" applyNumberFormat="1" applyFont="1" applyFill="1" applyBorder="1" applyProtection="1"/>
    <xf numFmtId="0" fontId="43" fillId="0" borderId="0" xfId="0" applyFont="1" applyFill="1" applyBorder="1" applyProtection="1"/>
    <xf numFmtId="0" fontId="43" fillId="0" borderId="8" xfId="0" applyFont="1" applyFill="1" applyBorder="1" applyProtection="1"/>
    <xf numFmtId="165" fontId="45" fillId="0" borderId="8" xfId="0" applyNumberFormat="1" applyFont="1" applyFill="1" applyBorder="1" applyProtection="1"/>
    <xf numFmtId="172" fontId="44" fillId="0" borderId="8" xfId="15" applyNumberFormat="1" applyFont="1" applyFill="1" applyBorder="1"/>
    <xf numFmtId="165" fontId="46" fillId="0" borderId="0" xfId="0" applyNumberFormat="1" applyFont="1" applyFill="1" applyProtection="1"/>
    <xf numFmtId="43" fontId="44" fillId="0" borderId="0" xfId="1" applyFont="1" applyFill="1" applyBorder="1" applyProtection="1"/>
    <xf numFmtId="43" fontId="44" fillId="0" borderId="0" xfId="15" applyNumberFormat="1" applyFont="1" applyFill="1" applyBorder="1"/>
    <xf numFmtId="43" fontId="44" fillId="0" borderId="8" xfId="1" applyFont="1" applyFill="1" applyBorder="1" applyProtection="1"/>
    <xf numFmtId="43" fontId="44" fillId="0" borderId="8" xfId="15" applyNumberFormat="1" applyFont="1" applyFill="1" applyBorder="1"/>
    <xf numFmtId="165" fontId="28" fillId="0" borderId="0" xfId="0" applyNumberFormat="1" applyFont="1" applyFill="1"/>
    <xf numFmtId="167" fontId="28" fillId="0" borderId="0" xfId="10" applyNumberFormat="1" applyFont="1" applyFill="1"/>
    <xf numFmtId="167" fontId="28" fillId="0" borderId="0" xfId="10" applyNumberFormat="1" applyFont="1" applyFill="1" applyBorder="1"/>
    <xf numFmtId="165" fontId="43" fillId="0" borderId="0" xfId="11" applyNumberFormat="1" applyFont="1" applyFill="1" applyBorder="1"/>
    <xf numFmtId="165" fontId="46" fillId="0" borderId="0" xfId="11" applyNumberFormat="1" applyFont="1" applyFill="1"/>
    <xf numFmtId="165" fontId="28" fillId="0" borderId="8" xfId="0" applyNumberFormat="1" applyFont="1" applyFill="1" applyBorder="1"/>
    <xf numFmtId="0" fontId="43" fillId="0" borderId="0" xfId="0" applyFont="1" applyFill="1" applyBorder="1"/>
    <xf numFmtId="0" fontId="46" fillId="0" borderId="0" xfId="0" applyFont="1" applyFill="1" applyBorder="1"/>
    <xf numFmtId="165" fontId="28" fillId="0" borderId="8" xfId="12" applyNumberFormat="1" applyFont="1" applyFill="1" applyBorder="1"/>
    <xf numFmtId="44" fontId="28" fillId="0" borderId="0" xfId="450" applyFont="1" applyFill="1"/>
    <xf numFmtId="44" fontId="28" fillId="0" borderId="8" xfId="450" applyFont="1" applyFill="1" applyBorder="1"/>
    <xf numFmtId="44" fontId="28" fillId="0" borderId="0" xfId="450" applyFont="1" applyFill="1" applyProtection="1"/>
    <xf numFmtId="166" fontId="28" fillId="0" borderId="0" xfId="450" applyNumberFormat="1" applyFont="1" applyFill="1" applyProtection="1"/>
    <xf numFmtId="43" fontId="28" fillId="0" borderId="0" xfId="1" applyFont="1" applyFill="1" applyProtection="1"/>
    <xf numFmtId="166" fontId="28" fillId="0" borderId="0" xfId="15" applyNumberFormat="1" applyFont="1" applyFill="1" applyBorder="1"/>
    <xf numFmtId="165" fontId="44" fillId="0" borderId="0" xfId="15" applyNumberFormat="1" applyFont="1" applyFill="1" applyBorder="1"/>
    <xf numFmtId="165" fontId="62" fillId="0" borderId="0" xfId="1" applyNumberFormat="1" applyFont="1" applyFill="1" applyBorder="1" applyProtection="1"/>
    <xf numFmtId="167" fontId="62" fillId="0" borderId="0" xfId="0" applyNumberFormat="1" applyFont="1" applyFill="1" applyBorder="1" applyProtection="1"/>
    <xf numFmtId="166" fontId="62" fillId="0" borderId="0" xfId="13" applyNumberFormat="1" applyFont="1" applyFill="1" applyBorder="1"/>
    <xf numFmtId="43" fontId="44" fillId="0" borderId="0" xfId="0" applyNumberFormat="1" applyFont="1" applyFill="1" applyBorder="1"/>
    <xf numFmtId="165" fontId="44" fillId="0" borderId="8" xfId="15" applyNumberFormat="1" applyFont="1" applyFill="1" applyBorder="1"/>
    <xf numFmtId="10" fontId="28" fillId="0" borderId="0" xfId="16" applyNumberFormat="1" applyFont="1" applyFill="1" applyBorder="1"/>
    <xf numFmtId="166" fontId="28" fillId="0" borderId="0" xfId="13" applyNumberFormat="1" applyFont="1" applyFill="1" applyBorder="1"/>
    <xf numFmtId="165" fontId="28" fillId="0" borderId="13" xfId="1" applyNumberFormat="1" applyFont="1" applyFill="1" applyBorder="1" applyProtection="1"/>
    <xf numFmtId="166" fontId="44" fillId="0" borderId="13" xfId="13" applyNumberFormat="1" applyFont="1" applyFill="1" applyBorder="1"/>
    <xf numFmtId="166" fontId="28" fillId="0" borderId="0" xfId="10" applyNumberFormat="1" applyFont="1" applyFill="1" applyBorder="1"/>
    <xf numFmtId="165" fontId="32" fillId="0" borderId="0" xfId="0" applyNumberFormat="1" applyFont="1" applyFill="1" applyAlignment="1">
      <alignment horizontal="right"/>
    </xf>
    <xf numFmtId="167" fontId="3" fillId="0" borderId="0" xfId="10" applyNumberFormat="1" applyFont="1" applyFill="1"/>
    <xf numFmtId="167" fontId="3" fillId="0" borderId="0" xfId="10" applyNumberFormat="1" applyFont="1" applyFill="1" applyBorder="1"/>
    <xf numFmtId="165" fontId="0" fillId="0" borderId="8" xfId="0" applyNumberFormat="1" applyFill="1" applyBorder="1"/>
    <xf numFmtId="167" fontId="0" fillId="0" borderId="0" xfId="10" applyNumberFormat="1" applyFont="1" applyFill="1" applyBorder="1"/>
    <xf numFmtId="165" fontId="3" fillId="0" borderId="0" xfId="11" applyNumberFormat="1" applyFill="1" applyBorder="1"/>
    <xf numFmtId="165" fontId="3" fillId="0" borderId="0" xfId="0" applyNumberFormat="1" applyFont="1" applyFill="1"/>
    <xf numFmtId="165" fontId="3" fillId="0" borderId="0" xfId="0" applyNumberFormat="1" applyFont="1" applyFill="1" applyBorder="1"/>
    <xf numFmtId="165" fontId="0" fillId="0" borderId="8" xfId="0" applyNumberFormat="1" applyFont="1" applyFill="1" applyBorder="1"/>
    <xf numFmtId="166" fontId="0" fillId="0" borderId="0" xfId="450" applyNumberFormat="1" applyFont="1" applyFill="1" applyProtection="1"/>
    <xf numFmtId="165" fontId="0" fillId="0" borderId="0" xfId="1" applyNumberFormat="1" applyFont="1" applyFill="1" applyBorder="1" applyProtection="1"/>
    <xf numFmtId="1" fontId="0" fillId="0" borderId="0" xfId="0" applyNumberFormat="1" applyFont="1" applyFill="1" applyBorder="1" applyProtection="1"/>
    <xf numFmtId="0" fontId="0" fillId="0" borderId="0" xfId="0" applyFont="1" applyFill="1" applyBorder="1" applyProtection="1"/>
    <xf numFmtId="165" fontId="0" fillId="0" borderId="0" xfId="0" applyNumberFormat="1" applyFont="1" applyFill="1" applyProtection="1"/>
    <xf numFmtId="43" fontId="0" fillId="0" borderId="0" xfId="453" applyFont="1" applyFill="1" applyBorder="1" applyProtection="1"/>
    <xf numFmtId="165" fontId="0" fillId="0" borderId="8" xfId="1" applyNumberFormat="1" applyFont="1" applyFill="1" applyBorder="1" applyProtection="1"/>
    <xf numFmtId="43" fontId="0" fillId="0" borderId="8" xfId="453" applyFont="1" applyFill="1" applyBorder="1" applyProtection="1"/>
    <xf numFmtId="165" fontId="0" fillId="0" borderId="0" xfId="19" applyNumberFormat="1" applyFont="1" applyFill="1" applyBorder="1"/>
    <xf numFmtId="165" fontId="0" fillId="0" borderId="8" xfId="19" applyNumberFormat="1" applyFont="1" applyFill="1" applyBorder="1"/>
    <xf numFmtId="165" fontId="17" fillId="0" borderId="0" xfId="20" applyNumberFormat="1" applyFont="1" applyFill="1" applyProtection="1"/>
    <xf numFmtId="168" fontId="0" fillId="0" borderId="0" xfId="21" applyNumberFormat="1" applyFont="1" applyFill="1" applyProtection="1"/>
    <xf numFmtId="173" fontId="0" fillId="0" borderId="0" xfId="0" applyNumberFormat="1" applyFill="1" applyProtection="1"/>
    <xf numFmtId="10" fontId="3" fillId="0" borderId="0" xfId="2" applyNumberFormat="1" applyFont="1" applyFill="1" applyProtection="1"/>
    <xf numFmtId="169" fontId="0" fillId="0" borderId="0" xfId="0" applyNumberFormat="1" applyFill="1" applyProtection="1"/>
    <xf numFmtId="169" fontId="0" fillId="0" borderId="8" xfId="0" applyNumberFormat="1" applyFill="1" applyBorder="1" applyProtection="1"/>
    <xf numFmtId="169" fontId="9" fillId="0" borderId="0" xfId="0" applyNumberFormat="1" applyFont="1" applyFill="1" applyProtection="1"/>
    <xf numFmtId="168" fontId="3" fillId="0" borderId="0" xfId="2" applyNumberFormat="1" applyFont="1" applyFill="1" applyProtection="1"/>
    <xf numFmtId="166" fontId="5" fillId="0" borderId="0" xfId="22" applyNumberFormat="1" applyFont="1" applyFill="1" applyProtection="1"/>
    <xf numFmtId="10" fontId="5" fillId="0" borderId="0" xfId="2" applyNumberFormat="1" applyFont="1" applyFill="1" applyProtection="1"/>
    <xf numFmtId="169" fontId="5" fillId="0" borderId="0" xfId="2" applyNumberFormat="1" applyFont="1" applyFill="1" applyProtection="1"/>
    <xf numFmtId="169" fontId="5" fillId="0" borderId="0" xfId="23" applyNumberFormat="1" applyFont="1" applyFill="1" applyProtection="1"/>
    <xf numFmtId="0" fontId="5" fillId="0" borderId="0" xfId="0" applyFont="1" applyFill="1" applyAlignment="1" applyProtection="1">
      <alignment horizontal="right"/>
    </xf>
    <xf numFmtId="10" fontId="5" fillId="0" borderId="0" xfId="0" applyNumberFormat="1" applyFont="1" applyFill="1" applyProtection="1"/>
    <xf numFmtId="169" fontId="5" fillId="0" borderId="0" xfId="0" applyNumberFormat="1" applyFont="1" applyFill="1" applyProtection="1"/>
    <xf numFmtId="10" fontId="0" fillId="0" borderId="0" xfId="0" applyNumberFormat="1" applyFill="1" applyProtection="1"/>
    <xf numFmtId="10" fontId="0" fillId="0" borderId="0" xfId="2" applyNumberFormat="1" applyFont="1" applyFill="1" applyProtection="1"/>
    <xf numFmtId="10" fontId="0" fillId="0" borderId="0" xfId="23" applyNumberFormat="1" applyFont="1" applyFill="1" applyProtection="1"/>
    <xf numFmtId="17" fontId="0" fillId="0" borderId="0" xfId="0" applyNumberFormat="1" applyFill="1" applyAlignment="1" applyProtection="1"/>
    <xf numFmtId="0" fontId="0" fillId="0" borderId="0" xfId="0" applyFill="1" applyAlignment="1" applyProtection="1"/>
    <xf numFmtId="174" fontId="0" fillId="0" borderId="0" xfId="0" applyNumberFormat="1" applyFill="1" applyProtection="1"/>
    <xf numFmtId="165" fontId="0" fillId="0" borderId="8" xfId="27" applyNumberFormat="1" applyFont="1" applyFill="1" applyBorder="1"/>
    <xf numFmtId="165" fontId="0" fillId="0" borderId="0" xfId="28" applyNumberFormat="1" applyFont="1" applyFill="1" applyBorder="1"/>
    <xf numFmtId="165" fontId="0" fillId="0" borderId="0" xfId="453" applyNumberFormat="1" applyFont="1" applyFill="1" applyBorder="1" applyProtection="1"/>
    <xf numFmtId="165" fontId="0" fillId="0" borderId="0" xfId="27" applyNumberFormat="1" applyFont="1" applyFill="1"/>
    <xf numFmtId="165" fontId="0" fillId="0" borderId="8" xfId="28" applyNumberFormat="1" applyFont="1" applyFill="1" applyBorder="1"/>
    <xf numFmtId="165" fontId="0" fillId="0" borderId="0" xfId="24" applyNumberFormat="1" applyFont="1" applyFill="1" applyBorder="1"/>
    <xf numFmtId="43" fontId="0" fillId="0" borderId="0" xfId="7" applyNumberFormat="1" applyFont="1" applyFill="1" applyBorder="1" applyProtection="1"/>
    <xf numFmtId="43" fontId="0" fillId="0" borderId="0" xfId="7" applyFont="1" applyFill="1" applyBorder="1" applyProtection="1"/>
    <xf numFmtId="43" fontId="0" fillId="0" borderId="0" xfId="0" applyNumberFormat="1" applyFont="1" applyFill="1" applyBorder="1" applyProtection="1"/>
    <xf numFmtId="165" fontId="0" fillId="0" borderId="0" xfId="1" applyNumberFormat="1" applyFont="1" applyFill="1" applyBorder="1"/>
    <xf numFmtId="43" fontId="0" fillId="0" borderId="0" xfId="1" applyFont="1" applyFill="1" applyBorder="1"/>
    <xf numFmtId="164" fontId="0" fillId="0" borderId="0" xfId="0" applyNumberFormat="1" applyFont="1" applyFill="1" applyBorder="1" applyAlignment="1" applyProtection="1">
      <alignment horizontal="center" wrapText="1"/>
    </xf>
    <xf numFmtId="165" fontId="0" fillId="0" borderId="0" xfId="1" applyNumberFormat="1" applyFont="1" applyFill="1" applyBorder="1" applyAlignment="1" applyProtection="1">
      <alignment horizontal="center" wrapText="1"/>
    </xf>
    <xf numFmtId="165" fontId="0" fillId="0" borderId="0" xfId="27" applyNumberFormat="1" applyFont="1" applyFill="1" applyBorder="1"/>
    <xf numFmtId="0" fontId="0" fillId="0" borderId="0" xfId="0" applyFont="1" applyFill="1" applyBorder="1" applyAlignment="1" applyProtection="1">
      <alignment horizontal="center" wrapText="1"/>
    </xf>
    <xf numFmtId="17" fontId="0" fillId="0" borderId="0" xfId="0" applyNumberFormat="1" applyFont="1" applyFill="1" applyBorder="1" applyAlignment="1" applyProtection="1">
      <alignment horizontal="center"/>
    </xf>
    <xf numFmtId="165" fontId="0" fillId="0" borderId="0" xfId="27" applyNumberFormat="1" applyFont="1" applyFill="1" applyBorder="1" applyProtection="1"/>
    <xf numFmtId="43" fontId="0" fillId="0" borderId="0" xfId="27" applyNumberFormat="1" applyFont="1" applyFill="1" applyBorder="1" applyProtection="1"/>
    <xf numFmtId="43" fontId="0" fillId="0" borderId="0" xfId="7" applyNumberFormat="1" applyFont="1" applyFill="1" applyProtection="1"/>
    <xf numFmtId="17" fontId="0" fillId="0" borderId="0" xfId="0" applyNumberFormat="1" applyFont="1" applyFill="1" applyAlignment="1" applyProtection="1">
      <alignment horizontal="center"/>
    </xf>
    <xf numFmtId="0" fontId="0" fillId="0" borderId="0" xfId="7" applyNumberFormat="1" applyFont="1" applyFill="1" applyBorder="1" applyProtection="1"/>
    <xf numFmtId="17" fontId="0" fillId="0" borderId="0" xfId="7" applyNumberFormat="1" applyFont="1" applyFill="1" applyBorder="1" applyProtection="1"/>
    <xf numFmtId="44" fontId="0" fillId="0" borderId="0" xfId="450" applyNumberFormat="1" applyFont="1" applyFill="1" applyBorder="1"/>
    <xf numFmtId="49" fontId="0" fillId="0" borderId="0" xfId="0" applyNumberFormat="1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35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164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/>
    <xf numFmtId="166" fontId="0" fillId="0" borderId="0" xfId="0" applyNumberFormat="1" applyFont="1" applyFill="1"/>
    <xf numFmtId="0" fontId="16" fillId="0" borderId="0" xfId="0" applyFont="1" applyFill="1" applyAlignment="1" applyProtection="1">
      <alignment wrapText="1"/>
    </xf>
    <xf numFmtId="0" fontId="28" fillId="0" borderId="0" xfId="0" applyFont="1" applyAlignment="1" applyProtection="1">
      <alignment wrapText="1"/>
    </xf>
    <xf numFmtId="0" fontId="28" fillId="0" borderId="0" xfId="0" applyFont="1" applyFill="1" applyAlignment="1" applyProtection="1">
      <alignment horizontal="center" wrapText="1"/>
    </xf>
    <xf numFmtId="0" fontId="44" fillId="0" borderId="8" xfId="0" applyFont="1" applyFill="1" applyBorder="1" applyAlignment="1" applyProtection="1">
      <alignment horizontal="center" wrapText="1"/>
    </xf>
    <xf numFmtId="0" fontId="44" fillId="0" borderId="0" xfId="0" applyFont="1" applyFill="1" applyBorder="1" applyAlignment="1" applyProtection="1">
      <alignment horizontal="center" wrapText="1"/>
    </xf>
    <xf numFmtId="0" fontId="16" fillId="0" borderId="8" xfId="0" applyFont="1" applyFill="1" applyBorder="1" applyAlignment="1" applyProtection="1">
      <alignment horizontal="center" wrapText="1"/>
    </xf>
    <xf numFmtId="0" fontId="16" fillId="0" borderId="8" xfId="0" applyFont="1" applyBorder="1" applyAlignment="1" applyProtection="1">
      <alignment horizontal="center" wrapText="1"/>
    </xf>
    <xf numFmtId="0" fontId="44" fillId="3" borderId="8" xfId="0" applyFont="1" applyFill="1" applyBorder="1" applyAlignment="1" applyProtection="1">
      <alignment horizontal="center" wrapText="1"/>
    </xf>
    <xf numFmtId="10" fontId="44" fillId="0" borderId="8" xfId="0" applyNumberFormat="1" applyFont="1" applyFill="1" applyBorder="1" applyAlignment="1" applyProtection="1">
      <alignment horizontal="center" wrapText="1"/>
    </xf>
    <xf numFmtId="0" fontId="28" fillId="0" borderId="0" xfId="0" applyFont="1" applyFill="1" applyAlignment="1" applyProtection="1">
      <alignment wrapText="1"/>
    </xf>
    <xf numFmtId="0" fontId="32" fillId="0" borderId="0" xfId="0" applyFont="1" applyFill="1" applyAlignment="1">
      <alignment horizontal="left"/>
    </xf>
    <xf numFmtId="0" fontId="31" fillId="0" borderId="0" xfId="0" applyFont="1" applyFill="1" applyAlignment="1">
      <alignment horizontal="left"/>
    </xf>
    <xf numFmtId="5" fontId="35" fillId="0" borderId="0" xfId="0" applyNumberFormat="1" applyFont="1" applyBorder="1" applyAlignment="1" applyProtection="1">
      <alignment horizontal="right"/>
    </xf>
    <xf numFmtId="0" fontId="32" fillId="0" borderId="0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16" fillId="9" borderId="15" xfId="0" applyFont="1" applyFill="1" applyBorder="1" applyAlignment="1" applyProtection="1">
      <alignment horizontal="center"/>
    </xf>
    <xf numFmtId="0" fontId="16" fillId="9" borderId="16" xfId="0" applyFont="1" applyFill="1" applyBorder="1" applyAlignment="1" applyProtection="1">
      <alignment horizontal="center"/>
    </xf>
    <xf numFmtId="0" fontId="16" fillId="9" borderId="17" xfId="0" applyFont="1" applyFill="1" applyBorder="1" applyAlignment="1" applyProtection="1">
      <alignment horizontal="center"/>
    </xf>
    <xf numFmtId="0" fontId="16" fillId="5" borderId="15" xfId="0" applyFont="1" applyFill="1" applyBorder="1" applyAlignment="1" applyProtection="1">
      <alignment horizontal="center"/>
    </xf>
    <xf numFmtId="0" fontId="16" fillId="5" borderId="16" xfId="0" applyFont="1" applyFill="1" applyBorder="1" applyAlignment="1" applyProtection="1">
      <alignment horizontal="center"/>
    </xf>
    <xf numFmtId="0" fontId="16" fillId="5" borderId="17" xfId="0" applyFont="1" applyFill="1" applyBorder="1" applyAlignment="1" applyProtection="1">
      <alignment horizontal="center"/>
    </xf>
    <xf numFmtId="0" fontId="28" fillId="0" borderId="8" xfId="0" applyFont="1" applyFill="1" applyBorder="1" applyAlignment="1" applyProtection="1">
      <alignment horizontal="center"/>
    </xf>
    <xf numFmtId="0" fontId="16" fillId="4" borderId="15" xfId="0" applyFont="1" applyFill="1" applyBorder="1" applyAlignment="1" applyProtection="1">
      <alignment horizontal="center"/>
    </xf>
    <xf numFmtId="0" fontId="16" fillId="4" borderId="16" xfId="0" applyFont="1" applyFill="1" applyBorder="1" applyAlignment="1" applyProtection="1">
      <alignment horizontal="center"/>
    </xf>
    <xf numFmtId="0" fontId="16" fillId="4" borderId="17" xfId="0" applyFont="1" applyFill="1" applyBorder="1" applyAlignment="1" applyProtection="1">
      <alignment horizontal="center"/>
    </xf>
    <xf numFmtId="0" fontId="16" fillId="0" borderId="15" xfId="0" applyFont="1" applyFill="1" applyBorder="1" applyAlignment="1" applyProtection="1">
      <alignment horizontal="center"/>
    </xf>
    <xf numFmtId="0" fontId="16" fillId="0" borderId="16" xfId="0" applyFont="1" applyFill="1" applyBorder="1" applyAlignment="1" applyProtection="1">
      <alignment horizontal="center"/>
    </xf>
    <xf numFmtId="0" fontId="16" fillId="0" borderId="17" xfId="0" applyFont="1" applyFill="1" applyBorder="1" applyAlignment="1" applyProtection="1">
      <alignment horizontal="center"/>
    </xf>
    <xf numFmtId="0" fontId="16" fillId="10" borderId="15" xfId="0" applyFont="1" applyFill="1" applyBorder="1" applyAlignment="1" applyProtection="1">
      <alignment horizontal="center"/>
    </xf>
    <xf numFmtId="0" fontId="16" fillId="10" borderId="16" xfId="0" applyFont="1" applyFill="1" applyBorder="1" applyAlignment="1" applyProtection="1">
      <alignment horizontal="center"/>
    </xf>
    <xf numFmtId="0" fontId="16" fillId="10" borderId="17" xfId="0" applyFont="1" applyFill="1" applyBorder="1" applyAlignment="1" applyProtection="1">
      <alignment horizontal="center"/>
    </xf>
    <xf numFmtId="0" fontId="28" fillId="0" borderId="8" xfId="0" applyFont="1" applyBorder="1" applyAlignment="1" applyProtection="1">
      <alignment horizontal="center"/>
    </xf>
    <xf numFmtId="0" fontId="13" fillId="10" borderId="15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13" fillId="10" borderId="17" xfId="0" applyFont="1" applyFill="1" applyBorder="1" applyAlignment="1" applyProtection="1">
      <alignment horizontal="center"/>
    </xf>
    <xf numFmtId="5" fontId="35" fillId="0" borderId="0" xfId="0" applyNumberFormat="1" applyFont="1" applyFill="1" applyBorder="1" applyAlignment="1" applyProtection="1">
      <alignment horizontal="right"/>
    </xf>
    <xf numFmtId="5" fontId="28" fillId="0" borderId="13" xfId="0" applyNumberFormat="1" applyFont="1" applyBorder="1" applyAlignment="1" applyProtection="1">
      <alignment horizontal="center"/>
    </xf>
    <xf numFmtId="0" fontId="5" fillId="0" borderId="8" xfId="0" applyFont="1" applyBorder="1" applyAlignment="1" applyProtection="1">
      <alignment horizontal="center"/>
    </xf>
    <xf numFmtId="0" fontId="36" fillId="0" borderId="0" xfId="0" applyFont="1" applyAlignment="1">
      <alignment horizontal="center"/>
    </xf>
    <xf numFmtId="0" fontId="36" fillId="4" borderId="0" xfId="0" applyFont="1" applyFill="1" applyAlignment="1">
      <alignment horizontal="center"/>
    </xf>
    <xf numFmtId="0" fontId="36" fillId="10" borderId="0" xfId="0" applyFont="1" applyFill="1" applyBorder="1" applyAlignment="1">
      <alignment horizontal="center" wrapText="1"/>
    </xf>
    <xf numFmtId="0" fontId="36" fillId="5" borderId="0" xfId="0" applyFont="1" applyFill="1" applyAlignment="1">
      <alignment horizontal="center"/>
    </xf>
    <xf numFmtId="0" fontId="36" fillId="10" borderId="23" xfId="0" applyFont="1" applyFill="1" applyBorder="1" applyAlignment="1">
      <alignment horizontal="center" vertical="center" wrapText="1"/>
    </xf>
    <xf numFmtId="0" fontId="36" fillId="10" borderId="25" xfId="0" applyFont="1" applyFill="1" applyBorder="1" applyAlignment="1">
      <alignment horizontal="center" vertical="center" wrapText="1"/>
    </xf>
    <xf numFmtId="0" fontId="36" fillId="5" borderId="11" xfId="0" applyFont="1" applyFill="1" applyBorder="1" applyAlignment="1">
      <alignment horizontal="center"/>
    </xf>
    <xf numFmtId="0" fontId="36" fillId="5" borderId="0" xfId="0" applyFont="1" applyFill="1" applyBorder="1" applyAlignment="1">
      <alignment horizontal="center"/>
    </xf>
    <xf numFmtId="0" fontId="36" fillId="5" borderId="12" xfId="0" applyFont="1" applyFill="1" applyBorder="1" applyAlignment="1">
      <alignment horizontal="center"/>
    </xf>
    <xf numFmtId="0" fontId="36" fillId="5" borderId="15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17" xfId="0" applyFont="1" applyFill="1" applyBorder="1" applyAlignment="1">
      <alignment horizontal="center"/>
    </xf>
    <xf numFmtId="0" fontId="5" fillId="0" borderId="8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 wrapText="1"/>
    </xf>
    <xf numFmtId="0" fontId="20" fillId="7" borderId="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0" fillId="0" borderId="12" xfId="0" applyBorder="1" applyAlignment="1" applyProtection="1"/>
    <xf numFmtId="0" fontId="20" fillId="7" borderId="15" xfId="0" applyFont="1" applyFill="1" applyBorder="1" applyAlignment="1" applyProtection="1">
      <alignment horizontal="center" vertical="center"/>
    </xf>
    <xf numFmtId="0" fontId="20" fillId="7" borderId="16" xfId="0" applyFont="1" applyFill="1" applyBorder="1" applyAlignment="1" applyProtection="1">
      <alignment horizontal="center" vertical="center"/>
    </xf>
    <xf numFmtId="0" fontId="20" fillId="7" borderId="18" xfId="0" applyFont="1" applyFill="1" applyBorder="1" applyAlignment="1" applyProtection="1">
      <alignment horizontal="center" vertical="center" wrapText="1"/>
    </xf>
    <xf numFmtId="0" fontId="20" fillId="7" borderId="8" xfId="0" applyFont="1" applyFill="1" applyBorder="1" applyAlignment="1" applyProtection="1">
      <alignment horizontal="center" vertical="center" wrapText="1"/>
    </xf>
    <xf numFmtId="0" fontId="0" fillId="0" borderId="8" xfId="0" applyBorder="1" applyAlignment="1" applyProtection="1"/>
    <xf numFmtId="0" fontId="19" fillId="0" borderId="0" xfId="0" quotePrefix="1" applyFont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/>
    </xf>
    <xf numFmtId="0" fontId="5" fillId="0" borderId="16" xfId="0" applyFont="1" applyFill="1" applyBorder="1" applyAlignment="1" applyProtection="1">
      <alignment horizontal="center"/>
    </xf>
    <xf numFmtId="0" fontId="5" fillId="0" borderId="1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center"/>
    </xf>
    <xf numFmtId="165" fontId="0" fillId="0" borderId="0" xfId="7" applyNumberFormat="1" applyFont="1" applyFill="1" applyBorder="1" applyAlignment="1" applyProtection="1">
      <alignment horizontal="center"/>
    </xf>
    <xf numFmtId="0" fontId="40" fillId="0" borderId="29" xfId="0" applyFont="1" applyBorder="1" applyAlignment="1">
      <alignment horizontal="center" vertical="center"/>
    </xf>
    <xf numFmtId="0" fontId="40" fillId="0" borderId="30" xfId="0" applyFont="1" applyBorder="1" applyAlignment="1">
      <alignment horizontal="center" vertical="center"/>
    </xf>
    <xf numFmtId="164" fontId="39" fillId="11" borderId="15" xfId="0" applyNumberFormat="1" applyFont="1" applyFill="1" applyBorder="1" applyAlignment="1">
      <alignment horizontal="center"/>
    </xf>
    <xf numFmtId="164" fontId="39" fillId="11" borderId="16" xfId="0" applyNumberFormat="1" applyFont="1" applyFill="1" applyBorder="1" applyAlignment="1">
      <alignment horizontal="center"/>
    </xf>
    <xf numFmtId="164" fontId="39" fillId="11" borderId="17" xfId="0" applyNumberFormat="1" applyFont="1" applyFill="1" applyBorder="1" applyAlignment="1">
      <alignment horizontal="center"/>
    </xf>
    <xf numFmtId="166" fontId="40" fillId="0" borderId="15" xfId="450" applyNumberFormat="1" applyFont="1" applyBorder="1" applyAlignment="1">
      <alignment horizontal="center"/>
    </xf>
    <xf numFmtId="166" fontId="40" fillId="0" borderId="16" xfId="450" applyNumberFormat="1" applyFont="1" applyBorder="1" applyAlignment="1">
      <alignment horizontal="center"/>
    </xf>
    <xf numFmtId="166" fontId="40" fillId="0" borderId="17" xfId="450" applyNumberFormat="1" applyFont="1" applyBorder="1" applyAlignment="1">
      <alignment horizontal="center"/>
    </xf>
    <xf numFmtId="166" fontId="40" fillId="0" borderId="23" xfId="450" applyNumberFormat="1" applyFont="1" applyBorder="1" applyAlignment="1">
      <alignment horizontal="center" vertical="center" wrapText="1"/>
    </xf>
    <xf numFmtId="166" fontId="40" fillId="0" borderId="25" xfId="450" applyNumberFormat="1" applyFont="1" applyBorder="1" applyAlignment="1">
      <alignment horizontal="center" vertical="center" wrapText="1"/>
    </xf>
    <xf numFmtId="166" fontId="40" fillId="0" borderId="29" xfId="450" applyNumberFormat="1" applyFont="1" applyBorder="1" applyAlignment="1">
      <alignment horizontal="center" vertical="center" wrapText="1"/>
    </xf>
    <xf numFmtId="166" fontId="40" fillId="0" borderId="30" xfId="450" applyNumberFormat="1" applyFont="1" applyBorder="1" applyAlignment="1">
      <alignment horizontal="center" vertical="center" wrapText="1"/>
    </xf>
    <xf numFmtId="166" fontId="40" fillId="0" borderId="31" xfId="450" applyNumberFormat="1" applyFont="1" applyBorder="1" applyAlignment="1">
      <alignment horizontal="center" vertical="center" wrapText="1"/>
    </xf>
    <xf numFmtId="166" fontId="40" fillId="0" borderId="7" xfId="450" applyNumberFormat="1" applyFont="1" applyBorder="1" applyAlignment="1">
      <alignment horizontal="center" vertical="center" wrapText="1"/>
    </xf>
    <xf numFmtId="166" fontId="40" fillId="0" borderId="0" xfId="450" applyNumberFormat="1" applyFont="1" applyFill="1" applyBorder="1" applyAlignment="1">
      <alignment horizontal="center" vertical="center" wrapText="1"/>
    </xf>
    <xf numFmtId="166" fontId="40" fillId="0" borderId="0" xfId="450" applyNumberFormat="1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/>
    </xf>
    <xf numFmtId="0" fontId="40" fillId="0" borderId="25" xfId="0" applyFont="1" applyBorder="1" applyAlignment="1">
      <alignment horizontal="center" vertical="center"/>
    </xf>
    <xf numFmtId="0" fontId="40" fillId="0" borderId="23" xfId="0" applyFont="1" applyFill="1" applyBorder="1" applyAlignment="1">
      <alignment horizontal="center" vertical="center"/>
    </xf>
    <xf numFmtId="0" fontId="40" fillId="0" borderId="25" xfId="0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40" fillId="0" borderId="8" xfId="0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</cellXfs>
  <cellStyles count="33778">
    <cellStyle name="AF Column - IBM Cognos" xfId="33722" xr:uid="{00000000-0005-0000-0000-000000000000}"/>
    <cellStyle name="AF Data - IBM Cognos" xfId="33723" xr:uid="{00000000-0005-0000-0000-000001000000}"/>
    <cellStyle name="AF Data 0 - IBM Cognos" xfId="33724" xr:uid="{00000000-0005-0000-0000-000002000000}"/>
    <cellStyle name="AF Data 1 - IBM Cognos" xfId="33725" xr:uid="{00000000-0005-0000-0000-000003000000}"/>
    <cellStyle name="AF Data 2 - IBM Cognos" xfId="33726" xr:uid="{00000000-0005-0000-0000-000004000000}"/>
    <cellStyle name="AF Data 3 - IBM Cognos" xfId="33727" xr:uid="{00000000-0005-0000-0000-000005000000}"/>
    <cellStyle name="AF Data 4 - IBM Cognos" xfId="33728" xr:uid="{00000000-0005-0000-0000-000006000000}"/>
    <cellStyle name="AF Data 5 - IBM Cognos" xfId="33729" xr:uid="{00000000-0005-0000-0000-000007000000}"/>
    <cellStyle name="AF Data Leaf - IBM Cognos" xfId="33730" xr:uid="{00000000-0005-0000-0000-000008000000}"/>
    <cellStyle name="AF Header - IBM Cognos" xfId="33731" xr:uid="{00000000-0005-0000-0000-000009000000}"/>
    <cellStyle name="AF Header 0 - IBM Cognos" xfId="33732" xr:uid="{00000000-0005-0000-0000-00000A000000}"/>
    <cellStyle name="AF Header 1 - IBM Cognos" xfId="33733" xr:uid="{00000000-0005-0000-0000-00000B000000}"/>
    <cellStyle name="AF Header 2 - IBM Cognos" xfId="33734" xr:uid="{00000000-0005-0000-0000-00000C000000}"/>
    <cellStyle name="AF Header 3 - IBM Cognos" xfId="33735" xr:uid="{00000000-0005-0000-0000-00000D000000}"/>
    <cellStyle name="AF Header 4 - IBM Cognos" xfId="33736" xr:uid="{00000000-0005-0000-0000-00000E000000}"/>
    <cellStyle name="AF Header 5 - IBM Cognos" xfId="33737" xr:uid="{00000000-0005-0000-0000-00000F000000}"/>
    <cellStyle name="AF Header Leaf - IBM Cognos" xfId="33738" xr:uid="{00000000-0005-0000-0000-000010000000}"/>
    <cellStyle name="AF Row - IBM Cognos" xfId="33739" xr:uid="{00000000-0005-0000-0000-000011000000}"/>
    <cellStyle name="AF Row 0 - IBM Cognos" xfId="33740" xr:uid="{00000000-0005-0000-0000-000012000000}"/>
    <cellStyle name="AF Row 1 - IBM Cognos" xfId="33741" xr:uid="{00000000-0005-0000-0000-000013000000}"/>
    <cellStyle name="AF Row 2 - IBM Cognos" xfId="33742" xr:uid="{00000000-0005-0000-0000-000014000000}"/>
    <cellStyle name="AF Row 3 - IBM Cognos" xfId="33743" xr:uid="{00000000-0005-0000-0000-000015000000}"/>
    <cellStyle name="AF Row 4 - IBM Cognos" xfId="33744" xr:uid="{00000000-0005-0000-0000-000016000000}"/>
    <cellStyle name="AF Row 5 - IBM Cognos" xfId="33745" xr:uid="{00000000-0005-0000-0000-000017000000}"/>
    <cellStyle name="AF Row Leaf - IBM Cognos" xfId="33746" xr:uid="{00000000-0005-0000-0000-000018000000}"/>
    <cellStyle name="AF Subnm - IBM Cognos" xfId="33747" xr:uid="{00000000-0005-0000-0000-000019000000}"/>
    <cellStyle name="AF Title - IBM Cognos" xfId="33748" xr:uid="{00000000-0005-0000-0000-00001A000000}"/>
    <cellStyle name="Calculated Column - IBM Cognos" xfId="33749" xr:uid="{00000000-0005-0000-0000-00001B000000}"/>
    <cellStyle name="Calculated Column Name - IBM Cognos" xfId="33750" xr:uid="{00000000-0005-0000-0000-00001C000000}"/>
    <cellStyle name="Calculated Row - IBM Cognos" xfId="33751" xr:uid="{00000000-0005-0000-0000-00001D000000}"/>
    <cellStyle name="Calculated Row Name - IBM Cognos" xfId="33752" xr:uid="{00000000-0005-0000-0000-00001E000000}"/>
    <cellStyle name="Column Name - IBM Cognos" xfId="33753" xr:uid="{00000000-0005-0000-0000-00001F000000}"/>
    <cellStyle name="Column Template - IBM Cognos" xfId="33754" xr:uid="{00000000-0005-0000-0000-000020000000}"/>
    <cellStyle name="Comma" xfId="1" builtinId="3"/>
    <cellStyle name="Comma 10" xfId="453" xr:uid="{00000000-0005-0000-0000-000022000000}"/>
    <cellStyle name="Comma 10 2" xfId="457" xr:uid="{00000000-0005-0000-0000-000023000000}"/>
    <cellStyle name="Comma 10 2 2" xfId="458" xr:uid="{00000000-0005-0000-0000-000024000000}"/>
    <cellStyle name="Comma 10 2 3" xfId="5049" xr:uid="{00000000-0005-0000-0000-000025000000}"/>
    <cellStyle name="Comma 10 3" xfId="459" xr:uid="{00000000-0005-0000-0000-000026000000}"/>
    <cellStyle name="Comma 10 3 2" xfId="5048" xr:uid="{00000000-0005-0000-0000-000027000000}"/>
    <cellStyle name="Comma 11" xfId="575" xr:uid="{00000000-0005-0000-0000-000028000000}"/>
    <cellStyle name="Comma 11 2" xfId="460" xr:uid="{00000000-0005-0000-0000-000029000000}"/>
    <cellStyle name="Comma 11 2 2" xfId="461" xr:uid="{00000000-0005-0000-0000-00002A000000}"/>
    <cellStyle name="Comma 11 2 2 2" xfId="5050" xr:uid="{00000000-0005-0000-0000-00002B000000}"/>
    <cellStyle name="Comma 11 3" xfId="462" xr:uid="{00000000-0005-0000-0000-00002C000000}"/>
    <cellStyle name="Comma 12" xfId="574" xr:uid="{00000000-0005-0000-0000-00002D000000}"/>
    <cellStyle name="Comma 12 2" xfId="678" xr:uid="{00000000-0005-0000-0000-00002E000000}"/>
    <cellStyle name="Comma 12 2 2" xfId="805" xr:uid="{00000000-0005-0000-0000-00002F000000}"/>
    <cellStyle name="Comma 12 3" xfId="640" xr:uid="{00000000-0005-0000-0000-000030000000}"/>
    <cellStyle name="Comma 12 3 2" xfId="806" xr:uid="{00000000-0005-0000-0000-000031000000}"/>
    <cellStyle name="Comma 12 4" xfId="804" xr:uid="{00000000-0005-0000-0000-000032000000}"/>
    <cellStyle name="Comma 13" xfId="18" xr:uid="{00000000-0005-0000-0000-000033000000}"/>
    <cellStyle name="Comma 13 2" xfId="40" xr:uid="{00000000-0005-0000-0000-000034000000}"/>
    <cellStyle name="Comma 13 2 2" xfId="1817" xr:uid="{00000000-0005-0000-0000-000035000000}"/>
    <cellStyle name="Comma 13 2 2 2" xfId="5052" xr:uid="{00000000-0005-0000-0000-000036000000}"/>
    <cellStyle name="Comma 13 3" xfId="1054" xr:uid="{00000000-0005-0000-0000-000037000000}"/>
    <cellStyle name="Comma 13 3 2" xfId="1818" xr:uid="{00000000-0005-0000-0000-000038000000}"/>
    <cellStyle name="Comma 13 3 2 2" xfId="5051" xr:uid="{00000000-0005-0000-0000-000039000000}"/>
    <cellStyle name="Comma 13 3 2 3" xfId="18552" xr:uid="{00000000-0005-0000-0000-00003A000000}"/>
    <cellStyle name="Comma 13 3 3" xfId="3425" xr:uid="{00000000-0005-0000-0000-00003B000000}"/>
    <cellStyle name="Comma 13 3 3 2" xfId="20148" xr:uid="{00000000-0005-0000-0000-00003C000000}"/>
    <cellStyle name="Comma 13 4" xfId="1819" xr:uid="{00000000-0005-0000-0000-00003D000000}"/>
    <cellStyle name="Comma 14" xfId="19" xr:uid="{00000000-0005-0000-0000-00003E000000}"/>
    <cellStyle name="Comma 14 2" xfId="41" xr:uid="{00000000-0005-0000-0000-00003F000000}"/>
    <cellStyle name="Comma 14 3" xfId="1820" xr:uid="{00000000-0005-0000-0000-000040000000}"/>
    <cellStyle name="Comma 14 3 2" xfId="5053" xr:uid="{00000000-0005-0000-0000-000041000000}"/>
    <cellStyle name="Comma 14 3 3" xfId="3426" xr:uid="{00000000-0005-0000-0000-000042000000}"/>
    <cellStyle name="Comma 14 3 3 2" xfId="20149" xr:uid="{00000000-0005-0000-0000-000043000000}"/>
    <cellStyle name="Comma 14 3 4" xfId="18553" xr:uid="{00000000-0005-0000-0000-000044000000}"/>
    <cellStyle name="Comma 14 4" xfId="6794" xr:uid="{00000000-0005-0000-0000-000045000000}"/>
    <cellStyle name="Comma 14 5" xfId="6721" xr:uid="{00000000-0005-0000-0000-000046000000}"/>
    <cellStyle name="Comma 14 6" xfId="5023" xr:uid="{00000000-0005-0000-0000-000047000000}"/>
    <cellStyle name="Comma 15" xfId="1816" xr:uid="{00000000-0005-0000-0000-000048000000}"/>
    <cellStyle name="Comma 15 2" xfId="6817" xr:uid="{00000000-0005-0000-0000-000049000000}"/>
    <cellStyle name="Comma 15 2 2" xfId="10130" xr:uid="{00000000-0005-0000-0000-00004A000000}"/>
    <cellStyle name="Comma 15 2 2 2" xfId="17393" xr:uid="{00000000-0005-0000-0000-00004B000000}"/>
    <cellStyle name="Comma 15 2 2 2 2" xfId="33708" xr:uid="{00000000-0005-0000-0000-00004C000000}"/>
    <cellStyle name="Comma 15 2 2 3" xfId="26743" xr:uid="{00000000-0005-0000-0000-00004D000000}"/>
    <cellStyle name="Comma 15 2 3" xfId="13475" xr:uid="{00000000-0005-0000-0000-00004E000000}"/>
    <cellStyle name="Comma 15 2 3 2" xfId="30047" xr:uid="{00000000-0005-0000-0000-00004F000000}"/>
    <cellStyle name="Comma 15 2 4" xfId="14093" xr:uid="{00000000-0005-0000-0000-000050000000}"/>
    <cellStyle name="Comma 15 2 4 2" xfId="30410" xr:uid="{00000000-0005-0000-0000-000051000000}"/>
    <cellStyle name="Comma 15 2 5" xfId="13693" xr:uid="{00000000-0005-0000-0000-000052000000}"/>
    <cellStyle name="Comma 15 2 6" xfId="23443" xr:uid="{00000000-0005-0000-0000-000053000000}"/>
    <cellStyle name="Comma 15 3" xfId="8452" xr:uid="{00000000-0005-0000-0000-000054000000}"/>
    <cellStyle name="Comma 15 3 2" xfId="15715" xr:uid="{00000000-0005-0000-0000-000055000000}"/>
    <cellStyle name="Comma 15 3 2 2" xfId="32030" xr:uid="{00000000-0005-0000-0000-000056000000}"/>
    <cellStyle name="Comma 15 3 3" xfId="25065" xr:uid="{00000000-0005-0000-0000-000057000000}"/>
    <cellStyle name="Comma 15 4" xfId="11767" xr:uid="{00000000-0005-0000-0000-000058000000}"/>
    <cellStyle name="Comma 15 4 2" xfId="28365" xr:uid="{00000000-0005-0000-0000-000059000000}"/>
    <cellStyle name="Comma 15 5" xfId="13872" xr:uid="{00000000-0005-0000-0000-00005A000000}"/>
    <cellStyle name="Comma 15 5 2" xfId="30219" xr:uid="{00000000-0005-0000-0000-00005B000000}"/>
    <cellStyle name="Comma 15 6" xfId="13547" xr:uid="{00000000-0005-0000-0000-00005C000000}"/>
    <cellStyle name="Comma 15 7" xfId="5046" xr:uid="{00000000-0005-0000-0000-00005D000000}"/>
    <cellStyle name="Comma 15 7 2" xfId="21765" xr:uid="{00000000-0005-0000-0000-00005E000000}"/>
    <cellStyle name="Comma 15 8" xfId="18551" xr:uid="{00000000-0005-0000-0000-00005F000000}"/>
    <cellStyle name="Comma 16" xfId="11769" xr:uid="{00000000-0005-0000-0000-000060000000}"/>
    <cellStyle name="Comma 16 2" xfId="28366" xr:uid="{00000000-0005-0000-0000-000061000000}"/>
    <cellStyle name="Comma 17" xfId="3424" xr:uid="{00000000-0005-0000-0000-000062000000}"/>
    <cellStyle name="Comma 17 2" xfId="20147" xr:uid="{00000000-0005-0000-0000-000063000000}"/>
    <cellStyle name="Comma 2" xfId="20" xr:uid="{00000000-0005-0000-0000-000064000000}"/>
    <cellStyle name="Comma 2 10" xfId="42" xr:uid="{00000000-0005-0000-0000-000065000000}"/>
    <cellStyle name="Comma 2 11" xfId="43" xr:uid="{00000000-0005-0000-0000-000066000000}"/>
    <cellStyle name="Comma 2 12" xfId="44" xr:uid="{00000000-0005-0000-0000-000067000000}"/>
    <cellStyle name="Comma 2 13" xfId="45" xr:uid="{00000000-0005-0000-0000-000068000000}"/>
    <cellStyle name="Comma 2 14" xfId="46" xr:uid="{00000000-0005-0000-0000-000069000000}"/>
    <cellStyle name="Comma 2 15" xfId="47" xr:uid="{00000000-0005-0000-0000-00006A000000}"/>
    <cellStyle name="Comma 2 16" xfId="48" xr:uid="{00000000-0005-0000-0000-00006B000000}"/>
    <cellStyle name="Comma 2 17" xfId="49" xr:uid="{00000000-0005-0000-0000-00006C000000}"/>
    <cellStyle name="Comma 2 18" xfId="50" xr:uid="{00000000-0005-0000-0000-00006D000000}"/>
    <cellStyle name="Comma 2 19" xfId="51" xr:uid="{00000000-0005-0000-0000-00006E000000}"/>
    <cellStyle name="Comma 2 2" xfId="52" xr:uid="{00000000-0005-0000-0000-00006F000000}"/>
    <cellStyle name="Comma 2 2 2" xfId="463" xr:uid="{00000000-0005-0000-0000-000070000000}"/>
    <cellStyle name="Comma 2 2 2 2" xfId="464" xr:uid="{00000000-0005-0000-0000-000071000000}"/>
    <cellStyle name="Comma 2 2 3" xfId="465" xr:uid="{00000000-0005-0000-0000-000072000000}"/>
    <cellStyle name="Comma 2 2 4" xfId="466" xr:uid="{00000000-0005-0000-0000-000073000000}"/>
    <cellStyle name="Comma 2 2 4 2" xfId="5055" xr:uid="{00000000-0005-0000-0000-000074000000}"/>
    <cellStyle name="Comma 2 20" xfId="53" xr:uid="{00000000-0005-0000-0000-000075000000}"/>
    <cellStyle name="Comma 2 21" xfId="54" xr:uid="{00000000-0005-0000-0000-000076000000}"/>
    <cellStyle name="Comma 2 22" xfId="55" xr:uid="{00000000-0005-0000-0000-000077000000}"/>
    <cellStyle name="Comma 2 23" xfId="56" xr:uid="{00000000-0005-0000-0000-000078000000}"/>
    <cellStyle name="Comma 2 24" xfId="57" xr:uid="{00000000-0005-0000-0000-000079000000}"/>
    <cellStyle name="Comma 2 25" xfId="58" xr:uid="{00000000-0005-0000-0000-00007A000000}"/>
    <cellStyle name="Comma 2 26" xfId="59" xr:uid="{00000000-0005-0000-0000-00007B000000}"/>
    <cellStyle name="Comma 2 27" xfId="60" xr:uid="{00000000-0005-0000-0000-00007C000000}"/>
    <cellStyle name="Comma 2 28" xfId="61" xr:uid="{00000000-0005-0000-0000-00007D000000}"/>
    <cellStyle name="Comma 2 29" xfId="62" xr:uid="{00000000-0005-0000-0000-00007E000000}"/>
    <cellStyle name="Comma 2 3" xfId="63" xr:uid="{00000000-0005-0000-0000-00007F000000}"/>
    <cellStyle name="Comma 2 3 2" xfId="467" xr:uid="{00000000-0005-0000-0000-000080000000}"/>
    <cellStyle name="Comma 2 3 3" xfId="807" xr:uid="{00000000-0005-0000-0000-000081000000}"/>
    <cellStyle name="Comma 2 3 4" xfId="5056" xr:uid="{00000000-0005-0000-0000-000082000000}"/>
    <cellStyle name="Comma 2 30" xfId="64" xr:uid="{00000000-0005-0000-0000-000083000000}"/>
    <cellStyle name="Comma 2 31" xfId="65" xr:uid="{00000000-0005-0000-0000-000084000000}"/>
    <cellStyle name="Comma 2 32" xfId="66" xr:uid="{00000000-0005-0000-0000-000085000000}"/>
    <cellStyle name="Comma 2 33" xfId="5054" xr:uid="{00000000-0005-0000-0000-000086000000}"/>
    <cellStyle name="Comma 2 4" xfId="67" xr:uid="{00000000-0005-0000-0000-000087000000}"/>
    <cellStyle name="Comma 2 4 2" xfId="468" xr:uid="{00000000-0005-0000-0000-000088000000}"/>
    <cellStyle name="Comma 2 4 2 2" xfId="808" xr:uid="{00000000-0005-0000-0000-000089000000}"/>
    <cellStyle name="Comma 2 4 3" xfId="809" xr:uid="{00000000-0005-0000-0000-00008A000000}"/>
    <cellStyle name="Comma 2 4 3 2" xfId="5057" xr:uid="{00000000-0005-0000-0000-00008B000000}"/>
    <cellStyle name="Comma 2 49" xfId="469" xr:uid="{00000000-0005-0000-0000-00008C000000}"/>
    <cellStyle name="Comma 2 5" xfId="68" xr:uid="{00000000-0005-0000-0000-00008D000000}"/>
    <cellStyle name="Comma 2 5 2" xfId="810" xr:uid="{00000000-0005-0000-0000-00008E000000}"/>
    <cellStyle name="Comma 2 5 2 2" xfId="1055" xr:uid="{00000000-0005-0000-0000-00008F000000}"/>
    <cellStyle name="Comma 2 5 3" xfId="1821" xr:uid="{00000000-0005-0000-0000-000090000000}"/>
    <cellStyle name="Comma 2 5 3 2" xfId="6839" xr:uid="{00000000-0005-0000-0000-000091000000}"/>
    <cellStyle name="Comma 2 5 3 2 2" xfId="14104" xr:uid="{00000000-0005-0000-0000-000092000000}"/>
    <cellStyle name="Comma 2 5 3 2 3" xfId="13662" xr:uid="{00000000-0005-0000-0000-000093000000}"/>
    <cellStyle name="Comma 2 5 3 3" xfId="6768" xr:uid="{00000000-0005-0000-0000-000094000000}"/>
    <cellStyle name="Comma 2 5 3 4" xfId="13785" xr:uid="{00000000-0005-0000-0000-000095000000}"/>
    <cellStyle name="Comma 2 5 4" xfId="5058" xr:uid="{00000000-0005-0000-0000-000096000000}"/>
    <cellStyle name="Comma 2 5 5" xfId="6717" xr:uid="{00000000-0005-0000-0000-000097000000}"/>
    <cellStyle name="Comma 2 5 5 2" xfId="14040" xr:uid="{00000000-0005-0000-0000-000098000000}"/>
    <cellStyle name="Comma 2 5 5 3" xfId="13655" xr:uid="{00000000-0005-0000-0000-000099000000}"/>
    <cellStyle name="Comma 2 5 6" xfId="13737" xr:uid="{00000000-0005-0000-0000-00009A000000}"/>
    <cellStyle name="Comma 2 6" xfId="69" xr:uid="{00000000-0005-0000-0000-00009B000000}"/>
    <cellStyle name="Comma 2 7" xfId="70" xr:uid="{00000000-0005-0000-0000-00009C000000}"/>
    <cellStyle name="Comma 2 8" xfId="71" xr:uid="{00000000-0005-0000-0000-00009D000000}"/>
    <cellStyle name="Comma 2 9" xfId="72" xr:uid="{00000000-0005-0000-0000-00009E000000}"/>
    <cellStyle name="Comma 3" xfId="4" xr:uid="{00000000-0005-0000-0000-00009F000000}"/>
    <cellStyle name="Comma 3 10" xfId="73" xr:uid="{00000000-0005-0000-0000-0000A0000000}"/>
    <cellStyle name="Comma 3 11" xfId="74" xr:uid="{00000000-0005-0000-0000-0000A1000000}"/>
    <cellStyle name="Comma 3 12" xfId="470" xr:uid="{00000000-0005-0000-0000-0000A2000000}"/>
    <cellStyle name="Comma 3 12 2" xfId="471" xr:uid="{00000000-0005-0000-0000-0000A3000000}"/>
    <cellStyle name="Comma 3 12 3" xfId="472" xr:uid="{00000000-0005-0000-0000-0000A4000000}"/>
    <cellStyle name="Comma 3 12 4" xfId="473" xr:uid="{00000000-0005-0000-0000-0000A5000000}"/>
    <cellStyle name="Comma 3 13" xfId="474" xr:uid="{00000000-0005-0000-0000-0000A6000000}"/>
    <cellStyle name="Comma 3 13 2" xfId="576" xr:uid="{00000000-0005-0000-0000-0000A7000000}"/>
    <cellStyle name="Comma 3 13 3" xfId="811" xr:uid="{00000000-0005-0000-0000-0000A8000000}"/>
    <cellStyle name="Comma 3 14" xfId="475" xr:uid="{00000000-0005-0000-0000-0000A9000000}"/>
    <cellStyle name="Comma 3 14 2" xfId="812" xr:uid="{00000000-0005-0000-0000-0000AA000000}"/>
    <cellStyle name="Comma 3 14 3" xfId="813" xr:uid="{00000000-0005-0000-0000-0000AB000000}"/>
    <cellStyle name="Comma 3 15" xfId="814" xr:uid="{00000000-0005-0000-0000-0000AC000000}"/>
    <cellStyle name="Comma 3 15 2" xfId="1056" xr:uid="{00000000-0005-0000-0000-0000AD000000}"/>
    <cellStyle name="Comma 3 15 3" xfId="1822" xr:uid="{00000000-0005-0000-0000-0000AE000000}"/>
    <cellStyle name="Comma 3 15 3 2" xfId="5144" xr:uid="{00000000-0005-0000-0000-0000AF000000}"/>
    <cellStyle name="Comma 3 15 3 2 2" xfId="13910" xr:uid="{00000000-0005-0000-0000-0000B0000000}"/>
    <cellStyle name="Comma 3 15 3 2 3" xfId="11772" xr:uid="{00000000-0005-0000-0000-0000B1000000}"/>
    <cellStyle name="Comma 3 15 3 3" xfId="6780" xr:uid="{00000000-0005-0000-0000-0000B2000000}"/>
    <cellStyle name="Comma 3 15 3 4" xfId="13786" xr:uid="{00000000-0005-0000-0000-0000B3000000}"/>
    <cellStyle name="Comma 3 15 4" xfId="6826" xr:uid="{00000000-0005-0000-0000-0000B4000000}"/>
    <cellStyle name="Comma 3 15 4 2" xfId="14098" xr:uid="{00000000-0005-0000-0000-0000B5000000}"/>
    <cellStyle name="Comma 3 15 4 3" xfId="11792" xr:uid="{00000000-0005-0000-0000-0000B6000000}"/>
    <cellStyle name="Comma 3 15 5" xfId="13738" xr:uid="{00000000-0005-0000-0000-0000B7000000}"/>
    <cellStyle name="Comma 3 2" xfId="75" xr:uid="{00000000-0005-0000-0000-0000B8000000}"/>
    <cellStyle name="Comma 3 3" xfId="76" xr:uid="{00000000-0005-0000-0000-0000B9000000}"/>
    <cellStyle name="Comma 3 4" xfId="77" xr:uid="{00000000-0005-0000-0000-0000BA000000}"/>
    <cellStyle name="Comma 3 5" xfId="78" xr:uid="{00000000-0005-0000-0000-0000BB000000}"/>
    <cellStyle name="Comma 3 6" xfId="79" xr:uid="{00000000-0005-0000-0000-0000BC000000}"/>
    <cellStyle name="Comma 3 7" xfId="80" xr:uid="{00000000-0005-0000-0000-0000BD000000}"/>
    <cellStyle name="Comma 3 8" xfId="81" xr:uid="{00000000-0005-0000-0000-0000BE000000}"/>
    <cellStyle name="Comma 3 9" xfId="82" xr:uid="{00000000-0005-0000-0000-0000BF000000}"/>
    <cellStyle name="Comma 36" xfId="476" xr:uid="{00000000-0005-0000-0000-0000C0000000}"/>
    <cellStyle name="Comma 36 2" xfId="477" xr:uid="{00000000-0005-0000-0000-0000C1000000}"/>
    <cellStyle name="Comma 36 3" xfId="5059" xr:uid="{00000000-0005-0000-0000-0000C2000000}"/>
    <cellStyle name="Comma 37" xfId="478" xr:uid="{00000000-0005-0000-0000-0000C3000000}"/>
    <cellStyle name="Comma 37 2" xfId="479" xr:uid="{00000000-0005-0000-0000-0000C4000000}"/>
    <cellStyle name="Comma 38" xfId="480" xr:uid="{00000000-0005-0000-0000-0000C5000000}"/>
    <cellStyle name="Comma 39" xfId="481" xr:uid="{00000000-0005-0000-0000-0000C6000000}"/>
    <cellStyle name="Comma 4" xfId="83" xr:uid="{00000000-0005-0000-0000-0000C7000000}"/>
    <cellStyle name="Comma 4 10" xfId="5060" xr:uid="{00000000-0005-0000-0000-0000C8000000}"/>
    <cellStyle name="Comma 4 2" xfId="84" xr:uid="{00000000-0005-0000-0000-0000C9000000}"/>
    <cellStyle name="Comma 4 2 10" xfId="5061" xr:uid="{00000000-0005-0000-0000-0000CA000000}"/>
    <cellStyle name="Comma 4 2 2" xfId="482" xr:uid="{00000000-0005-0000-0000-0000CB000000}"/>
    <cellStyle name="Comma 4 2 2 10" xfId="3427" xr:uid="{00000000-0005-0000-0000-0000CC000000}"/>
    <cellStyle name="Comma 4 2 2 10 2" xfId="20150" xr:uid="{00000000-0005-0000-0000-0000CD000000}"/>
    <cellStyle name="Comma 4 2 2 11" xfId="17408" xr:uid="{00000000-0005-0000-0000-0000CE000000}"/>
    <cellStyle name="Comma 4 2 2 2" xfId="483" xr:uid="{00000000-0005-0000-0000-0000CF000000}"/>
    <cellStyle name="Comma 4 2 2 3" xfId="577" xr:uid="{00000000-0005-0000-0000-0000D0000000}"/>
    <cellStyle name="Comma 4 2 2 3 2" xfId="679" xr:uid="{00000000-0005-0000-0000-0000D1000000}"/>
    <cellStyle name="Comma 4 2 2 3 2 2" xfId="1291" xr:uid="{00000000-0005-0000-0000-0000D2000000}"/>
    <cellStyle name="Comma 4 2 2 3 2 2 2" xfId="1810" xr:uid="{00000000-0005-0000-0000-0000D3000000}"/>
    <cellStyle name="Comma 4 2 2 3 2 2 2 2" xfId="18545" xr:uid="{00000000-0005-0000-0000-0000D4000000}"/>
    <cellStyle name="Comma 4 2 2 3 2 2 3" xfId="18026" xr:uid="{00000000-0005-0000-0000-0000D5000000}"/>
    <cellStyle name="Comma 4 2 2 3 2 3" xfId="785" xr:uid="{00000000-0005-0000-0000-0000D6000000}"/>
    <cellStyle name="Comma 4 2 2 3 2 3 2" xfId="17598" xr:uid="{00000000-0005-0000-0000-0000D7000000}"/>
    <cellStyle name="Comma 4 2 2 3 2 4" xfId="1382" xr:uid="{00000000-0005-0000-0000-0000D8000000}"/>
    <cellStyle name="Comma 4 2 2 3 2 4 2" xfId="18117" xr:uid="{00000000-0005-0000-0000-0000D9000000}"/>
    <cellStyle name="Comma 4 2 2 3 2 5" xfId="17493" xr:uid="{00000000-0005-0000-0000-0000DA000000}"/>
    <cellStyle name="Comma 4 2 2 3 3" xfId="641" xr:uid="{00000000-0005-0000-0000-0000DB000000}"/>
    <cellStyle name="Comma 4 2 2 3 3 2" xfId="1281" xr:uid="{00000000-0005-0000-0000-0000DC000000}"/>
    <cellStyle name="Comma 4 2 2 3 3 2 2" xfId="1800" xr:uid="{00000000-0005-0000-0000-0000DD000000}"/>
    <cellStyle name="Comma 4 2 2 3 3 2 2 2" xfId="18535" xr:uid="{00000000-0005-0000-0000-0000DE000000}"/>
    <cellStyle name="Comma 4 2 2 3 3 2 3" xfId="18016" xr:uid="{00000000-0005-0000-0000-0000DF000000}"/>
    <cellStyle name="Comma 4 2 2 3 3 3" xfId="750" xr:uid="{00000000-0005-0000-0000-0000E0000000}"/>
    <cellStyle name="Comma 4 2 2 3 3 3 2" xfId="17563" xr:uid="{00000000-0005-0000-0000-0000E1000000}"/>
    <cellStyle name="Comma 4 2 2 3 3 4" xfId="1347" xr:uid="{00000000-0005-0000-0000-0000E2000000}"/>
    <cellStyle name="Comma 4 2 2 3 3 4 2" xfId="18082" xr:uid="{00000000-0005-0000-0000-0000E3000000}"/>
    <cellStyle name="Comma 4 2 2 3 3 5" xfId="17458" xr:uid="{00000000-0005-0000-0000-0000E4000000}"/>
    <cellStyle name="Comma 4 2 2 3 4" xfId="1271" xr:uid="{00000000-0005-0000-0000-0000E5000000}"/>
    <cellStyle name="Comma 4 2 2 3 4 2" xfId="1790" xr:uid="{00000000-0005-0000-0000-0000E6000000}"/>
    <cellStyle name="Comma 4 2 2 3 4 2 2" xfId="18525" xr:uid="{00000000-0005-0000-0000-0000E7000000}"/>
    <cellStyle name="Comma 4 2 2 3 4 3" xfId="18006" xr:uid="{00000000-0005-0000-0000-0000E8000000}"/>
    <cellStyle name="Comma 4 2 2 3 5" xfId="715" xr:uid="{00000000-0005-0000-0000-0000E9000000}"/>
    <cellStyle name="Comma 4 2 2 3 5 2" xfId="17528" xr:uid="{00000000-0005-0000-0000-0000EA000000}"/>
    <cellStyle name="Comma 4 2 2 3 6" xfId="1312" xr:uid="{00000000-0005-0000-0000-0000EB000000}"/>
    <cellStyle name="Comma 4 2 2 3 6 2" xfId="18047" xr:uid="{00000000-0005-0000-0000-0000EC000000}"/>
    <cellStyle name="Comma 4 2 2 3 7" xfId="17423" xr:uid="{00000000-0005-0000-0000-0000ED000000}"/>
    <cellStyle name="Comma 4 2 2 4" xfId="662" xr:uid="{00000000-0005-0000-0000-0000EE000000}"/>
    <cellStyle name="Comma 4 2 2 4 2" xfId="1286" xr:uid="{00000000-0005-0000-0000-0000EF000000}"/>
    <cellStyle name="Comma 4 2 2 4 2 2" xfId="1805" xr:uid="{00000000-0005-0000-0000-0000F0000000}"/>
    <cellStyle name="Comma 4 2 2 4 2 2 2" xfId="18540" xr:uid="{00000000-0005-0000-0000-0000F1000000}"/>
    <cellStyle name="Comma 4 2 2 4 2 3" xfId="18021" xr:uid="{00000000-0005-0000-0000-0000F2000000}"/>
    <cellStyle name="Comma 4 2 2 4 3" xfId="770" xr:uid="{00000000-0005-0000-0000-0000F3000000}"/>
    <cellStyle name="Comma 4 2 2 4 3 2" xfId="17583" xr:uid="{00000000-0005-0000-0000-0000F4000000}"/>
    <cellStyle name="Comma 4 2 2 4 4" xfId="1367" xr:uid="{00000000-0005-0000-0000-0000F5000000}"/>
    <cellStyle name="Comma 4 2 2 4 4 2" xfId="18102" xr:uid="{00000000-0005-0000-0000-0000F6000000}"/>
    <cellStyle name="Comma 4 2 2 4 5" xfId="17478" xr:uid="{00000000-0005-0000-0000-0000F7000000}"/>
    <cellStyle name="Comma 4 2 2 5" xfId="624" xr:uid="{00000000-0005-0000-0000-0000F8000000}"/>
    <cellStyle name="Comma 4 2 2 5 2" xfId="1276" xr:uid="{00000000-0005-0000-0000-0000F9000000}"/>
    <cellStyle name="Comma 4 2 2 5 2 2" xfId="1795" xr:uid="{00000000-0005-0000-0000-0000FA000000}"/>
    <cellStyle name="Comma 4 2 2 5 2 2 2" xfId="18530" xr:uid="{00000000-0005-0000-0000-0000FB000000}"/>
    <cellStyle name="Comma 4 2 2 5 2 3" xfId="18011" xr:uid="{00000000-0005-0000-0000-0000FC000000}"/>
    <cellStyle name="Comma 4 2 2 5 3" xfId="735" xr:uid="{00000000-0005-0000-0000-0000FD000000}"/>
    <cellStyle name="Comma 4 2 2 5 3 2" xfId="17548" xr:uid="{00000000-0005-0000-0000-0000FE000000}"/>
    <cellStyle name="Comma 4 2 2 5 4" xfId="1332" xr:uid="{00000000-0005-0000-0000-0000FF000000}"/>
    <cellStyle name="Comma 4 2 2 5 4 2" xfId="18067" xr:uid="{00000000-0005-0000-0000-000000010000}"/>
    <cellStyle name="Comma 4 2 2 5 5" xfId="17443" xr:uid="{00000000-0005-0000-0000-000001010000}"/>
    <cellStyle name="Comma 4 2 2 6" xfId="815" xr:uid="{00000000-0005-0000-0000-000002010000}"/>
    <cellStyle name="Comma 4 2 2 6 2" xfId="1401" xr:uid="{00000000-0005-0000-0000-000003010000}"/>
    <cellStyle name="Comma 4 2 2 6 2 2" xfId="18136" xr:uid="{00000000-0005-0000-0000-000004010000}"/>
    <cellStyle name="Comma 4 2 2 6 3" xfId="17617" xr:uid="{00000000-0005-0000-0000-000005010000}"/>
    <cellStyle name="Comma 4 2 2 7" xfId="700" xr:uid="{00000000-0005-0000-0000-000006010000}"/>
    <cellStyle name="Comma 4 2 2 7 2" xfId="17513" xr:uid="{00000000-0005-0000-0000-000007010000}"/>
    <cellStyle name="Comma 4 2 2 8" xfId="1297" xr:uid="{00000000-0005-0000-0000-000008010000}"/>
    <cellStyle name="Comma 4 2 2 8 2" xfId="18032" xr:uid="{00000000-0005-0000-0000-000009010000}"/>
    <cellStyle name="Comma 4 2 2 9" xfId="1823" xr:uid="{00000000-0005-0000-0000-00000A010000}"/>
    <cellStyle name="Comma 4 2 2 9 2" xfId="18554" xr:uid="{00000000-0005-0000-0000-00000B010000}"/>
    <cellStyle name="Comma 4 2 3" xfId="484" xr:uid="{00000000-0005-0000-0000-00000C010000}"/>
    <cellStyle name="Comma 4 2 4" xfId="485" xr:uid="{00000000-0005-0000-0000-00000D010000}"/>
    <cellStyle name="Comma 4 2 4 2" xfId="578" xr:uid="{00000000-0005-0000-0000-00000E010000}"/>
    <cellStyle name="Comma 4 2 4 3" xfId="816" xr:uid="{00000000-0005-0000-0000-00000F010000}"/>
    <cellStyle name="Comma 4 2 5" xfId="486" xr:uid="{00000000-0005-0000-0000-000010010000}"/>
    <cellStyle name="Comma 4 2 5 10" xfId="17409" xr:uid="{00000000-0005-0000-0000-000011010000}"/>
    <cellStyle name="Comma 4 2 5 2" xfId="579" xr:uid="{00000000-0005-0000-0000-000012010000}"/>
    <cellStyle name="Comma 4 2 5 2 2" xfId="680" xr:uid="{00000000-0005-0000-0000-000013010000}"/>
    <cellStyle name="Comma 4 2 5 2 2 2" xfId="1292" xr:uid="{00000000-0005-0000-0000-000014010000}"/>
    <cellStyle name="Comma 4 2 5 2 2 2 2" xfId="1811" xr:uid="{00000000-0005-0000-0000-000015010000}"/>
    <cellStyle name="Comma 4 2 5 2 2 2 2 2" xfId="18546" xr:uid="{00000000-0005-0000-0000-000016010000}"/>
    <cellStyle name="Comma 4 2 5 2 2 2 3" xfId="18027" xr:uid="{00000000-0005-0000-0000-000017010000}"/>
    <cellStyle name="Comma 4 2 5 2 2 3" xfId="786" xr:uid="{00000000-0005-0000-0000-000018010000}"/>
    <cellStyle name="Comma 4 2 5 2 2 3 2" xfId="17599" xr:uid="{00000000-0005-0000-0000-000019010000}"/>
    <cellStyle name="Comma 4 2 5 2 2 4" xfId="1383" xr:uid="{00000000-0005-0000-0000-00001A010000}"/>
    <cellStyle name="Comma 4 2 5 2 2 4 2" xfId="18118" xr:uid="{00000000-0005-0000-0000-00001B010000}"/>
    <cellStyle name="Comma 4 2 5 2 2 5" xfId="17494" xr:uid="{00000000-0005-0000-0000-00001C010000}"/>
    <cellStyle name="Comma 4 2 5 2 3" xfId="642" xr:uid="{00000000-0005-0000-0000-00001D010000}"/>
    <cellStyle name="Comma 4 2 5 2 3 2" xfId="1282" xr:uid="{00000000-0005-0000-0000-00001E010000}"/>
    <cellStyle name="Comma 4 2 5 2 3 2 2" xfId="1801" xr:uid="{00000000-0005-0000-0000-00001F010000}"/>
    <cellStyle name="Comma 4 2 5 2 3 2 2 2" xfId="18536" xr:uid="{00000000-0005-0000-0000-000020010000}"/>
    <cellStyle name="Comma 4 2 5 2 3 2 3" xfId="18017" xr:uid="{00000000-0005-0000-0000-000021010000}"/>
    <cellStyle name="Comma 4 2 5 2 3 3" xfId="751" xr:uid="{00000000-0005-0000-0000-000022010000}"/>
    <cellStyle name="Comma 4 2 5 2 3 3 2" xfId="17564" xr:uid="{00000000-0005-0000-0000-000023010000}"/>
    <cellStyle name="Comma 4 2 5 2 3 4" xfId="1348" xr:uid="{00000000-0005-0000-0000-000024010000}"/>
    <cellStyle name="Comma 4 2 5 2 3 4 2" xfId="18083" xr:uid="{00000000-0005-0000-0000-000025010000}"/>
    <cellStyle name="Comma 4 2 5 2 3 5" xfId="17459" xr:uid="{00000000-0005-0000-0000-000026010000}"/>
    <cellStyle name="Comma 4 2 5 2 4" xfId="818" xr:uid="{00000000-0005-0000-0000-000027010000}"/>
    <cellStyle name="Comma 4 2 5 2 5" xfId="1272" xr:uid="{00000000-0005-0000-0000-000028010000}"/>
    <cellStyle name="Comma 4 2 5 2 5 2" xfId="1791" xr:uid="{00000000-0005-0000-0000-000029010000}"/>
    <cellStyle name="Comma 4 2 5 2 5 2 2" xfId="18526" xr:uid="{00000000-0005-0000-0000-00002A010000}"/>
    <cellStyle name="Comma 4 2 5 2 5 3" xfId="18007" xr:uid="{00000000-0005-0000-0000-00002B010000}"/>
    <cellStyle name="Comma 4 2 5 2 6" xfId="716" xr:uid="{00000000-0005-0000-0000-00002C010000}"/>
    <cellStyle name="Comma 4 2 5 2 6 2" xfId="17529" xr:uid="{00000000-0005-0000-0000-00002D010000}"/>
    <cellStyle name="Comma 4 2 5 2 7" xfId="1313" xr:uid="{00000000-0005-0000-0000-00002E010000}"/>
    <cellStyle name="Comma 4 2 5 2 7 2" xfId="18048" xr:uid="{00000000-0005-0000-0000-00002F010000}"/>
    <cellStyle name="Comma 4 2 5 2 8" xfId="17424" xr:uid="{00000000-0005-0000-0000-000030010000}"/>
    <cellStyle name="Comma 4 2 5 3" xfId="663" xr:uid="{00000000-0005-0000-0000-000031010000}"/>
    <cellStyle name="Comma 4 2 5 3 2" xfId="819" xr:uid="{00000000-0005-0000-0000-000032010000}"/>
    <cellStyle name="Comma 4 2 5 3 3" xfId="1287" xr:uid="{00000000-0005-0000-0000-000033010000}"/>
    <cellStyle name="Comma 4 2 5 3 3 2" xfId="1806" xr:uid="{00000000-0005-0000-0000-000034010000}"/>
    <cellStyle name="Comma 4 2 5 3 3 2 2" xfId="18541" xr:uid="{00000000-0005-0000-0000-000035010000}"/>
    <cellStyle name="Comma 4 2 5 3 3 3" xfId="18022" xr:uid="{00000000-0005-0000-0000-000036010000}"/>
    <cellStyle name="Comma 4 2 5 3 4" xfId="771" xr:uid="{00000000-0005-0000-0000-000037010000}"/>
    <cellStyle name="Comma 4 2 5 3 4 2" xfId="17584" xr:uid="{00000000-0005-0000-0000-000038010000}"/>
    <cellStyle name="Comma 4 2 5 3 5" xfId="1368" xr:uid="{00000000-0005-0000-0000-000039010000}"/>
    <cellStyle name="Comma 4 2 5 3 5 2" xfId="18103" xr:uid="{00000000-0005-0000-0000-00003A010000}"/>
    <cellStyle name="Comma 4 2 5 3 6" xfId="17479" xr:uid="{00000000-0005-0000-0000-00003B010000}"/>
    <cellStyle name="Comma 4 2 5 4" xfId="625" xr:uid="{00000000-0005-0000-0000-00003C010000}"/>
    <cellStyle name="Comma 4 2 5 4 2" xfId="1277" xr:uid="{00000000-0005-0000-0000-00003D010000}"/>
    <cellStyle name="Comma 4 2 5 4 2 2" xfId="1796" xr:uid="{00000000-0005-0000-0000-00003E010000}"/>
    <cellStyle name="Comma 4 2 5 4 2 2 2" xfId="18531" xr:uid="{00000000-0005-0000-0000-00003F010000}"/>
    <cellStyle name="Comma 4 2 5 4 2 3" xfId="18012" xr:uid="{00000000-0005-0000-0000-000040010000}"/>
    <cellStyle name="Comma 4 2 5 4 3" xfId="736" xr:uid="{00000000-0005-0000-0000-000041010000}"/>
    <cellStyle name="Comma 4 2 5 4 3 2" xfId="17549" xr:uid="{00000000-0005-0000-0000-000042010000}"/>
    <cellStyle name="Comma 4 2 5 4 4" xfId="1333" xr:uid="{00000000-0005-0000-0000-000043010000}"/>
    <cellStyle name="Comma 4 2 5 4 4 2" xfId="18068" xr:uid="{00000000-0005-0000-0000-000044010000}"/>
    <cellStyle name="Comma 4 2 5 4 5" xfId="17444" xr:uid="{00000000-0005-0000-0000-000045010000}"/>
    <cellStyle name="Comma 4 2 5 5" xfId="817" xr:uid="{00000000-0005-0000-0000-000046010000}"/>
    <cellStyle name="Comma 4 2 5 5 2" xfId="1402" xr:uid="{00000000-0005-0000-0000-000047010000}"/>
    <cellStyle name="Comma 4 2 5 5 2 2" xfId="18137" xr:uid="{00000000-0005-0000-0000-000048010000}"/>
    <cellStyle name="Comma 4 2 5 5 3" xfId="17618" xr:uid="{00000000-0005-0000-0000-000049010000}"/>
    <cellStyle name="Comma 4 2 5 6" xfId="701" xr:uid="{00000000-0005-0000-0000-00004A010000}"/>
    <cellStyle name="Comma 4 2 5 6 2" xfId="17514" xr:uid="{00000000-0005-0000-0000-00004B010000}"/>
    <cellStyle name="Comma 4 2 5 7" xfId="1298" xr:uid="{00000000-0005-0000-0000-00004C010000}"/>
    <cellStyle name="Comma 4 2 5 7 2" xfId="18033" xr:uid="{00000000-0005-0000-0000-00004D010000}"/>
    <cellStyle name="Comma 4 2 5 8" xfId="1824" xr:uid="{00000000-0005-0000-0000-00004E010000}"/>
    <cellStyle name="Comma 4 2 5 8 2" xfId="18555" xr:uid="{00000000-0005-0000-0000-00004F010000}"/>
    <cellStyle name="Comma 4 2 5 9" xfId="3428" xr:uid="{00000000-0005-0000-0000-000050010000}"/>
    <cellStyle name="Comma 4 2 5 9 2" xfId="20151" xr:uid="{00000000-0005-0000-0000-000051010000}"/>
    <cellStyle name="Comma 4 2 6" xfId="820" xr:uid="{00000000-0005-0000-0000-000052010000}"/>
    <cellStyle name="Comma 4 2 6 10" xfId="10147" xr:uid="{00000000-0005-0000-0000-000053010000}"/>
    <cellStyle name="Comma 4 2 6 10 2" xfId="26758" xr:uid="{00000000-0005-0000-0000-000054010000}"/>
    <cellStyle name="Comma 4 2 6 11" xfId="13739" xr:uid="{00000000-0005-0000-0000-000055010000}"/>
    <cellStyle name="Comma 4 2 6 11 2" xfId="30096" xr:uid="{00000000-0005-0000-0000-000056010000}"/>
    <cellStyle name="Comma 4 2 6 12" xfId="3429" xr:uid="{00000000-0005-0000-0000-000057010000}"/>
    <cellStyle name="Comma 4 2 6 12 2" xfId="20152" xr:uid="{00000000-0005-0000-0000-000058010000}"/>
    <cellStyle name="Comma 4 2 6 13" xfId="17619" xr:uid="{00000000-0005-0000-0000-000059010000}"/>
    <cellStyle name="Comma 4 2 6 2" xfId="821" xr:uid="{00000000-0005-0000-0000-00005A010000}"/>
    <cellStyle name="Comma 4 2 6 2 10" xfId="13749" xr:uid="{00000000-0005-0000-0000-00005B010000}"/>
    <cellStyle name="Comma 4 2 6 2 10 2" xfId="30099" xr:uid="{00000000-0005-0000-0000-00005C010000}"/>
    <cellStyle name="Comma 4 2 6 2 11" xfId="3430" xr:uid="{00000000-0005-0000-0000-00005D010000}"/>
    <cellStyle name="Comma 4 2 6 2 11 2" xfId="20153" xr:uid="{00000000-0005-0000-0000-00005E010000}"/>
    <cellStyle name="Comma 4 2 6 2 12" xfId="17620" xr:uid="{00000000-0005-0000-0000-00005F010000}"/>
    <cellStyle name="Comma 4 2 6 2 2" xfId="926" xr:uid="{00000000-0005-0000-0000-000060010000}"/>
    <cellStyle name="Comma 4 2 6 2 2 10" xfId="3431" xr:uid="{00000000-0005-0000-0000-000061010000}"/>
    <cellStyle name="Comma 4 2 6 2 2 10 2" xfId="20154" xr:uid="{00000000-0005-0000-0000-000062010000}"/>
    <cellStyle name="Comma 4 2 6 2 2 11" xfId="17704" xr:uid="{00000000-0005-0000-0000-000063010000}"/>
    <cellStyle name="Comma 4 2 6 2 2 2" xfId="1033" xr:uid="{00000000-0005-0000-0000-000064010000}"/>
    <cellStyle name="Comma 4 2 6 2 2 2 10" xfId="17810" xr:uid="{00000000-0005-0000-0000-000065010000}"/>
    <cellStyle name="Comma 4 2 6 2 2 2 2" xfId="1060" xr:uid="{00000000-0005-0000-0000-000066010000}"/>
    <cellStyle name="Comma 4 2 6 2 2 2 3" xfId="1594" xr:uid="{00000000-0005-0000-0000-000067010000}"/>
    <cellStyle name="Comma 4 2 6 2 2 2 3 10" xfId="18329" xr:uid="{00000000-0005-0000-0000-000068010000}"/>
    <cellStyle name="Comma 4 2 6 2 2 2 3 2" xfId="1830" xr:uid="{00000000-0005-0000-0000-000069010000}"/>
    <cellStyle name="Comma 4 2 6 2 2 2 3 2 2" xfId="6132" xr:uid="{00000000-0005-0000-0000-00006A010000}"/>
    <cellStyle name="Comma 4 2 6 2 2 2 3 2 2 2" xfId="9483" xr:uid="{00000000-0005-0000-0000-00006B010000}"/>
    <cellStyle name="Comma 4 2 6 2 2 2 3 2 2 2 2" xfId="16746" xr:uid="{00000000-0005-0000-0000-00006C010000}"/>
    <cellStyle name="Comma 4 2 6 2 2 2 3 2 2 2 2 2" xfId="33061" xr:uid="{00000000-0005-0000-0000-00006D010000}"/>
    <cellStyle name="Comma 4 2 6 2 2 2 3 2 2 2 3" xfId="26096" xr:uid="{00000000-0005-0000-0000-00006E010000}"/>
    <cellStyle name="Comma 4 2 6 2 2 2 3 2 2 3" xfId="12825" xr:uid="{00000000-0005-0000-0000-00006F010000}"/>
    <cellStyle name="Comma 4 2 6 2 2 2 3 2 2 3 2" xfId="29400" xr:uid="{00000000-0005-0000-0000-000070010000}"/>
    <cellStyle name="Comma 4 2 6 2 2 2 3 2 2 4" xfId="14018" xr:uid="{00000000-0005-0000-0000-000071010000}"/>
    <cellStyle name="Comma 4 2 6 2 2 2 3 2 2 4 2" xfId="30338" xr:uid="{00000000-0005-0000-0000-000072010000}"/>
    <cellStyle name="Comma 4 2 6 2 2 2 3 2 2 5" xfId="13663" xr:uid="{00000000-0005-0000-0000-000073010000}"/>
    <cellStyle name="Comma 4 2 6 2 2 2 3 2 2 6" xfId="22796" xr:uid="{00000000-0005-0000-0000-000074010000}"/>
    <cellStyle name="Comma 4 2 6 2 2 2 3 2 3" xfId="7862" xr:uid="{00000000-0005-0000-0000-000075010000}"/>
    <cellStyle name="Comma 4 2 6 2 2 2 3 2 3 2" xfId="15125" xr:uid="{00000000-0005-0000-0000-000076010000}"/>
    <cellStyle name="Comma 4 2 6 2 2 2 3 2 3 2 2" xfId="31440" xr:uid="{00000000-0005-0000-0000-000077010000}"/>
    <cellStyle name="Comma 4 2 6 2 2 2 3 2 3 3" xfId="24475" xr:uid="{00000000-0005-0000-0000-000078010000}"/>
    <cellStyle name="Comma 4 2 6 2 2 2 3 2 4" xfId="11177" xr:uid="{00000000-0005-0000-0000-000079010000}"/>
    <cellStyle name="Comma 4 2 6 2 2 2 3 2 4 2" xfId="27775" xr:uid="{00000000-0005-0000-0000-00007A010000}"/>
    <cellStyle name="Comma 4 2 6 2 2 2 3 2 5" xfId="13857" xr:uid="{00000000-0005-0000-0000-00007B010000}"/>
    <cellStyle name="Comma 4 2 6 2 2 2 3 2 5 2" xfId="30204" xr:uid="{00000000-0005-0000-0000-00007C010000}"/>
    <cellStyle name="Comma 4 2 6 2 2 2 3 2 6" xfId="13572" xr:uid="{00000000-0005-0000-0000-00007D010000}"/>
    <cellStyle name="Comma 4 2 6 2 2 2 3 2 7" xfId="3434" xr:uid="{00000000-0005-0000-0000-00007E010000}"/>
    <cellStyle name="Comma 4 2 6 2 2 2 3 2 7 2" xfId="20157" xr:uid="{00000000-0005-0000-0000-00007F010000}"/>
    <cellStyle name="Comma 4 2 6 2 2 2 3 2 8" xfId="18561" xr:uid="{00000000-0005-0000-0000-000080010000}"/>
    <cellStyle name="Comma 4 2 6 2 2 2 3 3" xfId="1829" xr:uid="{00000000-0005-0000-0000-000081010000}"/>
    <cellStyle name="Comma 4 2 6 2 2 2 3 3 2" xfId="9077" xr:uid="{00000000-0005-0000-0000-000082010000}"/>
    <cellStyle name="Comma 4 2 6 2 2 2 3 3 2 2" xfId="16340" xr:uid="{00000000-0005-0000-0000-000083010000}"/>
    <cellStyle name="Comma 4 2 6 2 2 2 3 3 2 2 2" xfId="32655" xr:uid="{00000000-0005-0000-0000-000084010000}"/>
    <cellStyle name="Comma 4 2 6 2 2 2 3 3 2 3" xfId="25690" xr:uid="{00000000-0005-0000-0000-000085010000}"/>
    <cellStyle name="Comma 4 2 6 2 2 2 3 3 3" xfId="12419" xr:uid="{00000000-0005-0000-0000-000086010000}"/>
    <cellStyle name="Comma 4 2 6 2 2 2 3 3 3 2" xfId="28994" xr:uid="{00000000-0005-0000-0000-000087010000}"/>
    <cellStyle name="Comma 4 2 6 2 2 2 3 3 4" xfId="13979" xr:uid="{00000000-0005-0000-0000-000088010000}"/>
    <cellStyle name="Comma 4 2 6 2 2 2 3 3 4 2" xfId="30299" xr:uid="{00000000-0005-0000-0000-000089010000}"/>
    <cellStyle name="Comma 4 2 6 2 2 2 3 3 5" xfId="13512" xr:uid="{00000000-0005-0000-0000-00008A010000}"/>
    <cellStyle name="Comma 4 2 6 2 2 2 3 3 6" xfId="5726" xr:uid="{00000000-0005-0000-0000-00008B010000}"/>
    <cellStyle name="Comma 4 2 6 2 2 2 3 3 6 2" xfId="22390" xr:uid="{00000000-0005-0000-0000-00008C010000}"/>
    <cellStyle name="Comma 4 2 6 2 2 2 3 3 7" xfId="18560" xr:uid="{00000000-0005-0000-0000-00008D010000}"/>
    <cellStyle name="Comma 4 2 6 2 2 2 3 4" xfId="6761" xr:uid="{00000000-0005-0000-0000-00008E010000}"/>
    <cellStyle name="Comma 4 2 6 2 2 2 3 4 2" xfId="10090" xr:uid="{00000000-0005-0000-0000-00008F010000}"/>
    <cellStyle name="Comma 4 2 6 2 2 2 3 4 2 2" xfId="17353" xr:uid="{00000000-0005-0000-0000-000090010000}"/>
    <cellStyle name="Comma 4 2 6 2 2 2 3 4 2 2 2" xfId="33668" xr:uid="{00000000-0005-0000-0000-000091010000}"/>
    <cellStyle name="Comma 4 2 6 2 2 2 3 4 2 3" xfId="26703" xr:uid="{00000000-0005-0000-0000-000092010000}"/>
    <cellStyle name="Comma 4 2 6 2 2 2 3 4 3" xfId="13433" xr:uid="{00000000-0005-0000-0000-000093010000}"/>
    <cellStyle name="Comma 4 2 6 2 2 2 3 4 3 2" xfId="30007" xr:uid="{00000000-0005-0000-0000-000094010000}"/>
    <cellStyle name="Comma 4 2 6 2 2 2 3 4 4" xfId="14069" xr:uid="{00000000-0005-0000-0000-000095010000}"/>
    <cellStyle name="Comma 4 2 6 2 2 2 3 4 4 2" xfId="30387" xr:uid="{00000000-0005-0000-0000-000096010000}"/>
    <cellStyle name="Comma 4 2 6 2 2 2 3 4 5" xfId="11786" xr:uid="{00000000-0005-0000-0000-000097010000}"/>
    <cellStyle name="Comma 4 2 6 2 2 2 3 4 6" xfId="23403" xr:uid="{00000000-0005-0000-0000-000098010000}"/>
    <cellStyle name="Comma 4 2 6 2 2 2 3 5" xfId="5101" xr:uid="{00000000-0005-0000-0000-000099010000}"/>
    <cellStyle name="Comma 4 2 6 2 2 2 3 6" xfId="7456" xr:uid="{00000000-0005-0000-0000-00009A010000}"/>
    <cellStyle name="Comma 4 2 6 2 2 2 3 6 2" xfId="14719" xr:uid="{00000000-0005-0000-0000-00009B010000}"/>
    <cellStyle name="Comma 4 2 6 2 2 2 3 6 2 2" xfId="31034" xr:uid="{00000000-0005-0000-0000-00009C010000}"/>
    <cellStyle name="Comma 4 2 6 2 2 2 3 6 3" xfId="24069" xr:uid="{00000000-0005-0000-0000-00009D010000}"/>
    <cellStyle name="Comma 4 2 6 2 2 2 3 7" xfId="10771" xr:uid="{00000000-0005-0000-0000-00009E010000}"/>
    <cellStyle name="Comma 4 2 6 2 2 2 3 7 2" xfId="27369" xr:uid="{00000000-0005-0000-0000-00009F010000}"/>
    <cellStyle name="Comma 4 2 6 2 2 2 3 8" xfId="13818" xr:uid="{00000000-0005-0000-0000-0000A0010000}"/>
    <cellStyle name="Comma 4 2 6 2 2 2 3 8 2" xfId="30165" xr:uid="{00000000-0005-0000-0000-0000A1010000}"/>
    <cellStyle name="Comma 4 2 6 2 2 2 3 9" xfId="3433" xr:uid="{00000000-0005-0000-0000-0000A2010000}"/>
    <cellStyle name="Comma 4 2 6 2 2 2 3 9 2" xfId="20156" xr:uid="{00000000-0005-0000-0000-0000A3010000}"/>
    <cellStyle name="Comma 4 2 6 2 2 2 4" xfId="1828" xr:uid="{00000000-0005-0000-0000-0000A4010000}"/>
    <cellStyle name="Comma 4 2 6 2 2 2 4 2" xfId="8655" xr:uid="{00000000-0005-0000-0000-0000A5010000}"/>
    <cellStyle name="Comma 4 2 6 2 2 2 4 2 2" xfId="15918" xr:uid="{00000000-0005-0000-0000-0000A6010000}"/>
    <cellStyle name="Comma 4 2 6 2 2 2 4 2 2 2" xfId="32233" xr:uid="{00000000-0005-0000-0000-0000A7010000}"/>
    <cellStyle name="Comma 4 2 6 2 2 2 4 2 3" xfId="25268" xr:uid="{00000000-0005-0000-0000-0000A8010000}"/>
    <cellStyle name="Comma 4 2 6 2 2 2 4 3" xfId="11997" xr:uid="{00000000-0005-0000-0000-0000A9010000}"/>
    <cellStyle name="Comma 4 2 6 2 2 2 4 3 2" xfId="28572" xr:uid="{00000000-0005-0000-0000-0000AA010000}"/>
    <cellStyle name="Comma 4 2 6 2 2 2 4 4" xfId="13938" xr:uid="{00000000-0005-0000-0000-0000AB010000}"/>
    <cellStyle name="Comma 4 2 6 2 2 2 4 4 2" xfId="30258" xr:uid="{00000000-0005-0000-0000-0000AC010000}"/>
    <cellStyle name="Comma 4 2 6 2 2 2 4 5" xfId="13644" xr:uid="{00000000-0005-0000-0000-0000AD010000}"/>
    <cellStyle name="Comma 4 2 6 2 2 2 4 6" xfId="5304" xr:uid="{00000000-0005-0000-0000-0000AE010000}"/>
    <cellStyle name="Comma 4 2 6 2 2 2 4 6 2" xfId="21968" xr:uid="{00000000-0005-0000-0000-0000AF010000}"/>
    <cellStyle name="Comma 4 2 6 2 2 2 4 7" xfId="18559" xr:uid="{00000000-0005-0000-0000-0000B0010000}"/>
    <cellStyle name="Comma 4 2 6 2 2 2 5" xfId="6745" xr:uid="{00000000-0005-0000-0000-0000B1010000}"/>
    <cellStyle name="Comma 4 2 6 2 2 2 5 2" xfId="10082" xr:uid="{00000000-0005-0000-0000-0000B2010000}"/>
    <cellStyle name="Comma 4 2 6 2 2 2 5 2 2" xfId="17345" xr:uid="{00000000-0005-0000-0000-0000B3010000}"/>
    <cellStyle name="Comma 4 2 6 2 2 2 5 2 2 2" xfId="33660" xr:uid="{00000000-0005-0000-0000-0000B4010000}"/>
    <cellStyle name="Comma 4 2 6 2 2 2 5 2 3" xfId="26695" xr:uid="{00000000-0005-0000-0000-0000B5010000}"/>
    <cellStyle name="Comma 4 2 6 2 2 2 5 3" xfId="13425" xr:uid="{00000000-0005-0000-0000-0000B6010000}"/>
    <cellStyle name="Comma 4 2 6 2 2 2 5 3 2" xfId="29999" xr:uid="{00000000-0005-0000-0000-0000B7010000}"/>
    <cellStyle name="Comma 4 2 6 2 2 2 5 4" xfId="14061" xr:uid="{00000000-0005-0000-0000-0000B8010000}"/>
    <cellStyle name="Comma 4 2 6 2 2 2 5 4 2" xfId="30379" xr:uid="{00000000-0005-0000-0000-0000B9010000}"/>
    <cellStyle name="Comma 4 2 6 2 2 2 5 5" xfId="13686" xr:uid="{00000000-0005-0000-0000-0000BA010000}"/>
    <cellStyle name="Comma 4 2 6 2 2 2 5 6" xfId="23395" xr:uid="{00000000-0005-0000-0000-0000BB010000}"/>
    <cellStyle name="Comma 4 2 6 2 2 2 6" xfId="7036" xr:uid="{00000000-0005-0000-0000-0000BC010000}"/>
    <cellStyle name="Comma 4 2 6 2 2 2 6 2" xfId="14299" xr:uid="{00000000-0005-0000-0000-0000BD010000}"/>
    <cellStyle name="Comma 4 2 6 2 2 2 6 2 2" xfId="30614" xr:uid="{00000000-0005-0000-0000-0000BE010000}"/>
    <cellStyle name="Comma 4 2 6 2 2 2 6 3" xfId="23649" xr:uid="{00000000-0005-0000-0000-0000BF010000}"/>
    <cellStyle name="Comma 4 2 6 2 2 2 7" xfId="10350" xr:uid="{00000000-0005-0000-0000-0000C0010000}"/>
    <cellStyle name="Comma 4 2 6 2 2 2 7 2" xfId="26949" xr:uid="{00000000-0005-0000-0000-0000C1010000}"/>
    <cellStyle name="Comma 4 2 6 2 2 2 8" xfId="13776" xr:uid="{00000000-0005-0000-0000-0000C2010000}"/>
    <cellStyle name="Comma 4 2 6 2 2 2 8 2" xfId="30126" xr:uid="{00000000-0005-0000-0000-0000C3010000}"/>
    <cellStyle name="Comma 4 2 6 2 2 2 9" xfId="3432" xr:uid="{00000000-0005-0000-0000-0000C4010000}"/>
    <cellStyle name="Comma 4 2 6 2 2 2 9 2" xfId="20155" xr:uid="{00000000-0005-0000-0000-0000C5010000}"/>
    <cellStyle name="Comma 4 2 6 2 2 3" xfId="1059" xr:uid="{00000000-0005-0000-0000-0000C6010000}"/>
    <cellStyle name="Comma 4 2 6 2 2 4" xfId="1488" xr:uid="{00000000-0005-0000-0000-0000C7010000}"/>
    <cellStyle name="Comma 4 2 6 2 2 4 10" xfId="18223" xr:uid="{00000000-0005-0000-0000-0000C8010000}"/>
    <cellStyle name="Comma 4 2 6 2 2 4 2" xfId="1832" xr:uid="{00000000-0005-0000-0000-0000C9010000}"/>
    <cellStyle name="Comma 4 2 6 2 2 4 2 2" xfId="6114" xr:uid="{00000000-0005-0000-0000-0000CA010000}"/>
    <cellStyle name="Comma 4 2 6 2 2 4 2 2 2" xfId="9465" xr:uid="{00000000-0005-0000-0000-0000CB010000}"/>
    <cellStyle name="Comma 4 2 6 2 2 4 2 2 2 2" xfId="16728" xr:uid="{00000000-0005-0000-0000-0000CC010000}"/>
    <cellStyle name="Comma 4 2 6 2 2 4 2 2 2 2 2" xfId="33043" xr:uid="{00000000-0005-0000-0000-0000CD010000}"/>
    <cellStyle name="Comma 4 2 6 2 2 4 2 2 2 3" xfId="26078" xr:uid="{00000000-0005-0000-0000-0000CE010000}"/>
    <cellStyle name="Comma 4 2 6 2 2 4 2 2 3" xfId="12807" xr:uid="{00000000-0005-0000-0000-0000CF010000}"/>
    <cellStyle name="Comma 4 2 6 2 2 4 2 2 3 2" xfId="29382" xr:uid="{00000000-0005-0000-0000-0000D0010000}"/>
    <cellStyle name="Comma 4 2 6 2 2 4 2 2 4" xfId="14000" xr:uid="{00000000-0005-0000-0000-0000D1010000}"/>
    <cellStyle name="Comma 4 2 6 2 2 4 2 2 4 2" xfId="30320" xr:uid="{00000000-0005-0000-0000-0000D2010000}"/>
    <cellStyle name="Comma 4 2 6 2 2 4 2 2 5" xfId="13615" xr:uid="{00000000-0005-0000-0000-0000D3010000}"/>
    <cellStyle name="Comma 4 2 6 2 2 4 2 2 6" xfId="22778" xr:uid="{00000000-0005-0000-0000-0000D4010000}"/>
    <cellStyle name="Comma 4 2 6 2 2 4 2 3" xfId="7844" xr:uid="{00000000-0005-0000-0000-0000D5010000}"/>
    <cellStyle name="Comma 4 2 6 2 2 4 2 3 2" xfId="15107" xr:uid="{00000000-0005-0000-0000-0000D6010000}"/>
    <cellStyle name="Comma 4 2 6 2 2 4 2 3 2 2" xfId="31422" xr:uid="{00000000-0005-0000-0000-0000D7010000}"/>
    <cellStyle name="Comma 4 2 6 2 2 4 2 3 3" xfId="24457" xr:uid="{00000000-0005-0000-0000-0000D8010000}"/>
    <cellStyle name="Comma 4 2 6 2 2 4 2 4" xfId="11159" xr:uid="{00000000-0005-0000-0000-0000D9010000}"/>
    <cellStyle name="Comma 4 2 6 2 2 4 2 4 2" xfId="27757" xr:uid="{00000000-0005-0000-0000-0000DA010000}"/>
    <cellStyle name="Comma 4 2 6 2 2 4 2 5" xfId="13839" xr:uid="{00000000-0005-0000-0000-0000DB010000}"/>
    <cellStyle name="Comma 4 2 6 2 2 4 2 5 2" xfId="30186" xr:uid="{00000000-0005-0000-0000-0000DC010000}"/>
    <cellStyle name="Comma 4 2 6 2 2 4 2 6" xfId="13579" xr:uid="{00000000-0005-0000-0000-0000DD010000}"/>
    <cellStyle name="Comma 4 2 6 2 2 4 2 7" xfId="3436" xr:uid="{00000000-0005-0000-0000-0000DE010000}"/>
    <cellStyle name="Comma 4 2 6 2 2 4 2 7 2" xfId="20159" xr:uid="{00000000-0005-0000-0000-0000DF010000}"/>
    <cellStyle name="Comma 4 2 6 2 2 4 2 8" xfId="18563" xr:uid="{00000000-0005-0000-0000-0000E0010000}"/>
    <cellStyle name="Comma 4 2 6 2 2 4 3" xfId="1831" xr:uid="{00000000-0005-0000-0000-0000E1010000}"/>
    <cellStyle name="Comma 4 2 6 2 2 4 3 2" xfId="9059" xr:uid="{00000000-0005-0000-0000-0000E2010000}"/>
    <cellStyle name="Comma 4 2 6 2 2 4 3 2 2" xfId="16322" xr:uid="{00000000-0005-0000-0000-0000E3010000}"/>
    <cellStyle name="Comma 4 2 6 2 2 4 3 2 2 2" xfId="32637" xr:uid="{00000000-0005-0000-0000-0000E4010000}"/>
    <cellStyle name="Comma 4 2 6 2 2 4 3 2 3" xfId="25672" xr:uid="{00000000-0005-0000-0000-0000E5010000}"/>
    <cellStyle name="Comma 4 2 6 2 2 4 3 3" xfId="12401" xr:uid="{00000000-0005-0000-0000-0000E6010000}"/>
    <cellStyle name="Comma 4 2 6 2 2 4 3 3 2" xfId="28976" xr:uid="{00000000-0005-0000-0000-0000E7010000}"/>
    <cellStyle name="Comma 4 2 6 2 2 4 3 4" xfId="13961" xr:uid="{00000000-0005-0000-0000-0000E8010000}"/>
    <cellStyle name="Comma 4 2 6 2 2 4 3 4 2" xfId="30281" xr:uid="{00000000-0005-0000-0000-0000E9010000}"/>
    <cellStyle name="Comma 4 2 6 2 2 4 3 5" xfId="13498" xr:uid="{00000000-0005-0000-0000-0000EA010000}"/>
    <cellStyle name="Comma 4 2 6 2 2 4 3 6" xfId="5708" xr:uid="{00000000-0005-0000-0000-0000EB010000}"/>
    <cellStyle name="Comma 4 2 6 2 2 4 3 6 2" xfId="22372" xr:uid="{00000000-0005-0000-0000-0000EC010000}"/>
    <cellStyle name="Comma 4 2 6 2 2 4 3 7" xfId="18562" xr:uid="{00000000-0005-0000-0000-0000ED010000}"/>
    <cellStyle name="Comma 4 2 6 2 2 4 4" xfId="6784" xr:uid="{00000000-0005-0000-0000-0000EE010000}"/>
    <cellStyle name="Comma 4 2 6 2 2 4 4 2" xfId="10102" xr:uid="{00000000-0005-0000-0000-0000EF010000}"/>
    <cellStyle name="Comma 4 2 6 2 2 4 4 2 2" xfId="17365" xr:uid="{00000000-0005-0000-0000-0000F0010000}"/>
    <cellStyle name="Comma 4 2 6 2 2 4 4 2 2 2" xfId="33680" xr:uid="{00000000-0005-0000-0000-0000F1010000}"/>
    <cellStyle name="Comma 4 2 6 2 2 4 4 2 3" xfId="26715" xr:uid="{00000000-0005-0000-0000-0000F2010000}"/>
    <cellStyle name="Comma 4 2 6 2 2 4 4 3" xfId="13446" xr:uid="{00000000-0005-0000-0000-0000F3010000}"/>
    <cellStyle name="Comma 4 2 6 2 2 4 4 3 2" xfId="30019" xr:uid="{00000000-0005-0000-0000-0000F4010000}"/>
    <cellStyle name="Comma 4 2 6 2 2 4 4 4" xfId="14082" xr:uid="{00000000-0005-0000-0000-0000F5010000}"/>
    <cellStyle name="Comma 4 2 6 2 2 4 4 4 2" xfId="30399" xr:uid="{00000000-0005-0000-0000-0000F6010000}"/>
    <cellStyle name="Comma 4 2 6 2 2 4 4 5" xfId="13501" xr:uid="{00000000-0005-0000-0000-0000F7010000}"/>
    <cellStyle name="Comma 4 2 6 2 2 4 4 6" xfId="23415" xr:uid="{00000000-0005-0000-0000-0000F8010000}"/>
    <cellStyle name="Comma 4 2 6 2 2 4 5" xfId="6823" xr:uid="{00000000-0005-0000-0000-0000F9010000}"/>
    <cellStyle name="Comma 4 2 6 2 2 4 6" xfId="7438" xr:uid="{00000000-0005-0000-0000-0000FA010000}"/>
    <cellStyle name="Comma 4 2 6 2 2 4 6 2" xfId="14701" xr:uid="{00000000-0005-0000-0000-0000FB010000}"/>
    <cellStyle name="Comma 4 2 6 2 2 4 6 2 2" xfId="31016" xr:uid="{00000000-0005-0000-0000-0000FC010000}"/>
    <cellStyle name="Comma 4 2 6 2 2 4 6 3" xfId="24051" xr:uid="{00000000-0005-0000-0000-0000FD010000}"/>
    <cellStyle name="Comma 4 2 6 2 2 4 7" xfId="10753" xr:uid="{00000000-0005-0000-0000-0000FE010000}"/>
    <cellStyle name="Comma 4 2 6 2 2 4 7 2" xfId="27351" xr:uid="{00000000-0005-0000-0000-0000FF010000}"/>
    <cellStyle name="Comma 4 2 6 2 2 4 8" xfId="13800" xr:uid="{00000000-0005-0000-0000-000000020000}"/>
    <cellStyle name="Comma 4 2 6 2 2 4 8 2" xfId="30147" xr:uid="{00000000-0005-0000-0000-000001020000}"/>
    <cellStyle name="Comma 4 2 6 2 2 4 9" xfId="3435" xr:uid="{00000000-0005-0000-0000-000002020000}"/>
    <cellStyle name="Comma 4 2 6 2 2 4 9 2" xfId="20158" xr:uid="{00000000-0005-0000-0000-000003020000}"/>
    <cellStyle name="Comma 4 2 6 2 2 5" xfId="1827" xr:uid="{00000000-0005-0000-0000-000004020000}"/>
    <cellStyle name="Comma 4 2 6 2 2 5 2" xfId="8549" xr:uid="{00000000-0005-0000-0000-000005020000}"/>
    <cellStyle name="Comma 4 2 6 2 2 5 2 2" xfId="15812" xr:uid="{00000000-0005-0000-0000-000006020000}"/>
    <cellStyle name="Comma 4 2 6 2 2 5 2 2 2" xfId="32127" xr:uid="{00000000-0005-0000-0000-000007020000}"/>
    <cellStyle name="Comma 4 2 6 2 2 5 2 3" xfId="25162" xr:uid="{00000000-0005-0000-0000-000008020000}"/>
    <cellStyle name="Comma 4 2 6 2 2 5 3" xfId="11891" xr:uid="{00000000-0005-0000-0000-000009020000}"/>
    <cellStyle name="Comma 4 2 6 2 2 5 3 2" xfId="28466" xr:uid="{00000000-0005-0000-0000-00000A020000}"/>
    <cellStyle name="Comma 4 2 6 2 2 5 4" xfId="13920" xr:uid="{00000000-0005-0000-0000-00000B020000}"/>
    <cellStyle name="Comma 4 2 6 2 2 5 4 2" xfId="30240" xr:uid="{00000000-0005-0000-0000-00000C020000}"/>
    <cellStyle name="Comma 4 2 6 2 2 5 5" xfId="13541" xr:uid="{00000000-0005-0000-0000-00000D020000}"/>
    <cellStyle name="Comma 4 2 6 2 2 5 6" xfId="5198" xr:uid="{00000000-0005-0000-0000-00000E020000}"/>
    <cellStyle name="Comma 4 2 6 2 2 5 6 2" xfId="21862" xr:uid="{00000000-0005-0000-0000-00000F020000}"/>
    <cellStyle name="Comma 4 2 6 2 2 5 7" xfId="18558" xr:uid="{00000000-0005-0000-0000-000010020000}"/>
    <cellStyle name="Comma 4 2 6 2 2 6" xfId="5113" xr:uid="{00000000-0005-0000-0000-000011020000}"/>
    <cellStyle name="Comma 4 2 6 2 2 6 2" xfId="8466" xr:uid="{00000000-0005-0000-0000-000012020000}"/>
    <cellStyle name="Comma 4 2 6 2 2 6 2 2" xfId="15729" xr:uid="{00000000-0005-0000-0000-000013020000}"/>
    <cellStyle name="Comma 4 2 6 2 2 6 2 2 2" xfId="32044" xr:uid="{00000000-0005-0000-0000-000014020000}"/>
    <cellStyle name="Comma 4 2 6 2 2 6 2 3" xfId="25079" xr:uid="{00000000-0005-0000-0000-000015020000}"/>
    <cellStyle name="Comma 4 2 6 2 2 6 3" xfId="11807" xr:uid="{00000000-0005-0000-0000-000016020000}"/>
    <cellStyle name="Comma 4 2 6 2 2 6 3 2" xfId="28383" xr:uid="{00000000-0005-0000-0000-000017020000}"/>
    <cellStyle name="Comma 4 2 6 2 2 6 4" xfId="13905" xr:uid="{00000000-0005-0000-0000-000018020000}"/>
    <cellStyle name="Comma 4 2 6 2 2 6 4 2" xfId="30226" xr:uid="{00000000-0005-0000-0000-000019020000}"/>
    <cellStyle name="Comma 4 2 6 2 2 6 5" xfId="13497" xr:uid="{00000000-0005-0000-0000-00001A020000}"/>
    <cellStyle name="Comma 4 2 6 2 2 6 6" xfId="21779" xr:uid="{00000000-0005-0000-0000-00001B020000}"/>
    <cellStyle name="Comma 4 2 6 2 2 7" xfId="6930" xr:uid="{00000000-0005-0000-0000-00001C020000}"/>
    <cellStyle name="Comma 4 2 6 2 2 7 2" xfId="14193" xr:uid="{00000000-0005-0000-0000-00001D020000}"/>
    <cellStyle name="Comma 4 2 6 2 2 7 2 2" xfId="30508" xr:uid="{00000000-0005-0000-0000-00001E020000}"/>
    <cellStyle name="Comma 4 2 6 2 2 7 3" xfId="23543" xr:uid="{00000000-0005-0000-0000-00001F020000}"/>
    <cellStyle name="Comma 4 2 6 2 2 8" xfId="10244" xr:uid="{00000000-0005-0000-0000-000020020000}"/>
    <cellStyle name="Comma 4 2 6 2 2 8 2" xfId="26843" xr:uid="{00000000-0005-0000-0000-000021020000}"/>
    <cellStyle name="Comma 4 2 6 2 2 9" xfId="13758" xr:uid="{00000000-0005-0000-0000-000022020000}"/>
    <cellStyle name="Comma 4 2 6 2 2 9 2" xfId="30108" xr:uid="{00000000-0005-0000-0000-000023020000}"/>
    <cellStyle name="Comma 4 2 6 2 3" xfId="980" xr:uid="{00000000-0005-0000-0000-000024020000}"/>
    <cellStyle name="Comma 4 2 6 2 3 10" xfId="17757" xr:uid="{00000000-0005-0000-0000-000025020000}"/>
    <cellStyle name="Comma 4 2 6 2 3 2" xfId="1061" xr:uid="{00000000-0005-0000-0000-000026020000}"/>
    <cellStyle name="Comma 4 2 6 2 3 3" xfId="1541" xr:uid="{00000000-0005-0000-0000-000027020000}"/>
    <cellStyle name="Comma 4 2 6 2 3 3 10" xfId="18276" xr:uid="{00000000-0005-0000-0000-000028020000}"/>
    <cellStyle name="Comma 4 2 6 2 3 3 2" xfId="1835" xr:uid="{00000000-0005-0000-0000-000029020000}"/>
    <cellStyle name="Comma 4 2 6 2 3 3 2 2" xfId="6123" xr:uid="{00000000-0005-0000-0000-00002A020000}"/>
    <cellStyle name="Comma 4 2 6 2 3 3 2 2 2" xfId="9474" xr:uid="{00000000-0005-0000-0000-00002B020000}"/>
    <cellStyle name="Comma 4 2 6 2 3 3 2 2 2 2" xfId="16737" xr:uid="{00000000-0005-0000-0000-00002C020000}"/>
    <cellStyle name="Comma 4 2 6 2 3 3 2 2 2 2 2" xfId="33052" xr:uid="{00000000-0005-0000-0000-00002D020000}"/>
    <cellStyle name="Comma 4 2 6 2 3 3 2 2 2 3" xfId="26087" xr:uid="{00000000-0005-0000-0000-00002E020000}"/>
    <cellStyle name="Comma 4 2 6 2 3 3 2 2 3" xfId="12816" xr:uid="{00000000-0005-0000-0000-00002F020000}"/>
    <cellStyle name="Comma 4 2 6 2 3 3 2 2 3 2" xfId="29391" xr:uid="{00000000-0005-0000-0000-000030020000}"/>
    <cellStyle name="Comma 4 2 6 2 3 3 2 2 4" xfId="14009" xr:uid="{00000000-0005-0000-0000-000031020000}"/>
    <cellStyle name="Comma 4 2 6 2 3 3 2 2 4 2" xfId="30329" xr:uid="{00000000-0005-0000-0000-000032020000}"/>
    <cellStyle name="Comma 4 2 6 2 3 3 2 2 5" xfId="13695" xr:uid="{00000000-0005-0000-0000-000033020000}"/>
    <cellStyle name="Comma 4 2 6 2 3 3 2 2 6" xfId="22787" xr:uid="{00000000-0005-0000-0000-000034020000}"/>
    <cellStyle name="Comma 4 2 6 2 3 3 2 3" xfId="7853" xr:uid="{00000000-0005-0000-0000-000035020000}"/>
    <cellStyle name="Comma 4 2 6 2 3 3 2 3 2" xfId="15116" xr:uid="{00000000-0005-0000-0000-000036020000}"/>
    <cellStyle name="Comma 4 2 6 2 3 3 2 3 2 2" xfId="31431" xr:uid="{00000000-0005-0000-0000-000037020000}"/>
    <cellStyle name="Comma 4 2 6 2 3 3 2 3 3" xfId="24466" xr:uid="{00000000-0005-0000-0000-000038020000}"/>
    <cellStyle name="Comma 4 2 6 2 3 3 2 4" xfId="11168" xr:uid="{00000000-0005-0000-0000-000039020000}"/>
    <cellStyle name="Comma 4 2 6 2 3 3 2 4 2" xfId="27766" xr:uid="{00000000-0005-0000-0000-00003A020000}"/>
    <cellStyle name="Comma 4 2 6 2 3 3 2 5" xfId="13848" xr:uid="{00000000-0005-0000-0000-00003B020000}"/>
    <cellStyle name="Comma 4 2 6 2 3 3 2 5 2" xfId="30195" xr:uid="{00000000-0005-0000-0000-00003C020000}"/>
    <cellStyle name="Comma 4 2 6 2 3 3 2 6" xfId="13612" xr:uid="{00000000-0005-0000-0000-00003D020000}"/>
    <cellStyle name="Comma 4 2 6 2 3 3 2 7" xfId="3439" xr:uid="{00000000-0005-0000-0000-00003E020000}"/>
    <cellStyle name="Comma 4 2 6 2 3 3 2 7 2" xfId="20162" xr:uid="{00000000-0005-0000-0000-00003F020000}"/>
    <cellStyle name="Comma 4 2 6 2 3 3 2 8" xfId="18566" xr:uid="{00000000-0005-0000-0000-000040020000}"/>
    <cellStyle name="Comma 4 2 6 2 3 3 3" xfId="1834" xr:uid="{00000000-0005-0000-0000-000041020000}"/>
    <cellStyle name="Comma 4 2 6 2 3 3 3 2" xfId="9068" xr:uid="{00000000-0005-0000-0000-000042020000}"/>
    <cellStyle name="Comma 4 2 6 2 3 3 3 2 2" xfId="16331" xr:uid="{00000000-0005-0000-0000-000043020000}"/>
    <cellStyle name="Comma 4 2 6 2 3 3 3 2 2 2" xfId="32646" xr:uid="{00000000-0005-0000-0000-000044020000}"/>
    <cellStyle name="Comma 4 2 6 2 3 3 3 2 3" xfId="25681" xr:uid="{00000000-0005-0000-0000-000045020000}"/>
    <cellStyle name="Comma 4 2 6 2 3 3 3 3" xfId="12410" xr:uid="{00000000-0005-0000-0000-000046020000}"/>
    <cellStyle name="Comma 4 2 6 2 3 3 3 3 2" xfId="28985" xr:uid="{00000000-0005-0000-0000-000047020000}"/>
    <cellStyle name="Comma 4 2 6 2 3 3 3 4" xfId="13970" xr:uid="{00000000-0005-0000-0000-000048020000}"/>
    <cellStyle name="Comma 4 2 6 2 3 3 3 4 2" xfId="30290" xr:uid="{00000000-0005-0000-0000-000049020000}"/>
    <cellStyle name="Comma 4 2 6 2 3 3 3 5" xfId="13659" xr:uid="{00000000-0005-0000-0000-00004A020000}"/>
    <cellStyle name="Comma 4 2 6 2 3 3 3 6" xfId="5717" xr:uid="{00000000-0005-0000-0000-00004B020000}"/>
    <cellStyle name="Comma 4 2 6 2 3 3 3 6 2" xfId="22381" xr:uid="{00000000-0005-0000-0000-00004C020000}"/>
    <cellStyle name="Comma 4 2 6 2 3 3 3 7" xfId="18565" xr:uid="{00000000-0005-0000-0000-00004D020000}"/>
    <cellStyle name="Comma 4 2 6 2 3 3 4" xfId="6702" xr:uid="{00000000-0005-0000-0000-00004E020000}"/>
    <cellStyle name="Comma 4 2 6 2 3 3 4 2" xfId="10053" xr:uid="{00000000-0005-0000-0000-00004F020000}"/>
    <cellStyle name="Comma 4 2 6 2 3 3 4 2 2" xfId="17316" xr:uid="{00000000-0005-0000-0000-000050020000}"/>
    <cellStyle name="Comma 4 2 6 2 3 3 4 2 2 2" xfId="33631" xr:uid="{00000000-0005-0000-0000-000051020000}"/>
    <cellStyle name="Comma 4 2 6 2 3 3 4 2 3" xfId="26666" xr:uid="{00000000-0005-0000-0000-000052020000}"/>
    <cellStyle name="Comma 4 2 6 2 3 3 4 3" xfId="13395" xr:uid="{00000000-0005-0000-0000-000053020000}"/>
    <cellStyle name="Comma 4 2 6 2 3 3 4 3 2" xfId="29970" xr:uid="{00000000-0005-0000-0000-000054020000}"/>
    <cellStyle name="Comma 4 2 6 2 3 3 4 4" xfId="14030" xr:uid="{00000000-0005-0000-0000-000055020000}"/>
    <cellStyle name="Comma 4 2 6 2 3 3 4 4 2" xfId="30350" xr:uid="{00000000-0005-0000-0000-000056020000}"/>
    <cellStyle name="Comma 4 2 6 2 3 3 4 5" xfId="13602" xr:uid="{00000000-0005-0000-0000-000057020000}"/>
    <cellStyle name="Comma 4 2 6 2 3 3 4 6" xfId="23366" xr:uid="{00000000-0005-0000-0000-000058020000}"/>
    <cellStyle name="Comma 4 2 6 2 3 3 5" xfId="6758" xr:uid="{00000000-0005-0000-0000-000059020000}"/>
    <cellStyle name="Comma 4 2 6 2 3 3 6" xfId="7447" xr:uid="{00000000-0005-0000-0000-00005A020000}"/>
    <cellStyle name="Comma 4 2 6 2 3 3 6 2" xfId="14710" xr:uid="{00000000-0005-0000-0000-00005B020000}"/>
    <cellStyle name="Comma 4 2 6 2 3 3 6 2 2" xfId="31025" xr:uid="{00000000-0005-0000-0000-00005C020000}"/>
    <cellStyle name="Comma 4 2 6 2 3 3 6 3" xfId="24060" xr:uid="{00000000-0005-0000-0000-00005D020000}"/>
    <cellStyle name="Comma 4 2 6 2 3 3 7" xfId="10762" xr:uid="{00000000-0005-0000-0000-00005E020000}"/>
    <cellStyle name="Comma 4 2 6 2 3 3 7 2" xfId="27360" xr:uid="{00000000-0005-0000-0000-00005F020000}"/>
    <cellStyle name="Comma 4 2 6 2 3 3 8" xfId="13809" xr:uid="{00000000-0005-0000-0000-000060020000}"/>
    <cellStyle name="Comma 4 2 6 2 3 3 8 2" xfId="30156" xr:uid="{00000000-0005-0000-0000-000061020000}"/>
    <cellStyle name="Comma 4 2 6 2 3 3 9" xfId="3438" xr:uid="{00000000-0005-0000-0000-000062020000}"/>
    <cellStyle name="Comma 4 2 6 2 3 3 9 2" xfId="20161" xr:uid="{00000000-0005-0000-0000-000063020000}"/>
    <cellStyle name="Comma 4 2 6 2 3 4" xfId="1833" xr:uid="{00000000-0005-0000-0000-000064020000}"/>
    <cellStyle name="Comma 4 2 6 2 3 4 2" xfId="8602" xr:uid="{00000000-0005-0000-0000-000065020000}"/>
    <cellStyle name="Comma 4 2 6 2 3 4 2 2" xfId="15865" xr:uid="{00000000-0005-0000-0000-000066020000}"/>
    <cellStyle name="Comma 4 2 6 2 3 4 2 2 2" xfId="32180" xr:uid="{00000000-0005-0000-0000-000067020000}"/>
    <cellStyle name="Comma 4 2 6 2 3 4 2 3" xfId="25215" xr:uid="{00000000-0005-0000-0000-000068020000}"/>
    <cellStyle name="Comma 4 2 6 2 3 4 3" xfId="11944" xr:uid="{00000000-0005-0000-0000-000069020000}"/>
    <cellStyle name="Comma 4 2 6 2 3 4 3 2" xfId="28519" xr:uid="{00000000-0005-0000-0000-00006A020000}"/>
    <cellStyle name="Comma 4 2 6 2 3 4 4" xfId="13929" xr:uid="{00000000-0005-0000-0000-00006B020000}"/>
    <cellStyle name="Comma 4 2 6 2 3 4 4 2" xfId="30249" xr:uid="{00000000-0005-0000-0000-00006C020000}"/>
    <cellStyle name="Comma 4 2 6 2 3 4 5" xfId="10151" xr:uid="{00000000-0005-0000-0000-00006D020000}"/>
    <cellStyle name="Comma 4 2 6 2 3 4 6" xfId="5251" xr:uid="{00000000-0005-0000-0000-00006E020000}"/>
    <cellStyle name="Comma 4 2 6 2 3 4 6 2" xfId="21915" xr:uid="{00000000-0005-0000-0000-00006F020000}"/>
    <cellStyle name="Comma 4 2 6 2 3 4 7" xfId="18564" xr:uid="{00000000-0005-0000-0000-000070020000}"/>
    <cellStyle name="Comma 4 2 6 2 3 5" xfId="6822" xr:uid="{00000000-0005-0000-0000-000071020000}"/>
    <cellStyle name="Comma 4 2 6 2 3 5 2" xfId="10132" xr:uid="{00000000-0005-0000-0000-000072020000}"/>
    <cellStyle name="Comma 4 2 6 2 3 5 2 2" xfId="17395" xr:uid="{00000000-0005-0000-0000-000073020000}"/>
    <cellStyle name="Comma 4 2 6 2 3 5 2 2 2" xfId="33710" xr:uid="{00000000-0005-0000-0000-000074020000}"/>
    <cellStyle name="Comma 4 2 6 2 3 5 2 3" xfId="26745" xr:uid="{00000000-0005-0000-0000-000075020000}"/>
    <cellStyle name="Comma 4 2 6 2 3 5 3" xfId="13477" xr:uid="{00000000-0005-0000-0000-000076020000}"/>
    <cellStyle name="Comma 4 2 6 2 3 5 3 2" xfId="30049" xr:uid="{00000000-0005-0000-0000-000077020000}"/>
    <cellStyle name="Comma 4 2 6 2 3 5 4" xfId="14095" xr:uid="{00000000-0005-0000-0000-000078020000}"/>
    <cellStyle name="Comma 4 2 6 2 3 5 4 2" xfId="30412" xr:uid="{00000000-0005-0000-0000-000079020000}"/>
    <cellStyle name="Comma 4 2 6 2 3 5 5" xfId="13706" xr:uid="{00000000-0005-0000-0000-00007A020000}"/>
    <cellStyle name="Comma 4 2 6 2 3 5 6" xfId="23445" xr:uid="{00000000-0005-0000-0000-00007B020000}"/>
    <cellStyle name="Comma 4 2 6 2 3 6" xfId="6983" xr:uid="{00000000-0005-0000-0000-00007C020000}"/>
    <cellStyle name="Comma 4 2 6 2 3 6 2" xfId="14246" xr:uid="{00000000-0005-0000-0000-00007D020000}"/>
    <cellStyle name="Comma 4 2 6 2 3 6 2 2" xfId="30561" xr:uid="{00000000-0005-0000-0000-00007E020000}"/>
    <cellStyle name="Comma 4 2 6 2 3 6 3" xfId="23596" xr:uid="{00000000-0005-0000-0000-00007F020000}"/>
    <cellStyle name="Comma 4 2 6 2 3 7" xfId="10297" xr:uid="{00000000-0005-0000-0000-000080020000}"/>
    <cellStyle name="Comma 4 2 6 2 3 7 2" xfId="26896" xr:uid="{00000000-0005-0000-0000-000081020000}"/>
    <cellStyle name="Comma 4 2 6 2 3 8" xfId="13767" xr:uid="{00000000-0005-0000-0000-000082020000}"/>
    <cellStyle name="Comma 4 2 6 2 3 8 2" xfId="30117" xr:uid="{00000000-0005-0000-0000-000083020000}"/>
    <cellStyle name="Comma 4 2 6 2 3 9" xfId="3437" xr:uid="{00000000-0005-0000-0000-000084020000}"/>
    <cellStyle name="Comma 4 2 6 2 3 9 2" xfId="20160" xr:uid="{00000000-0005-0000-0000-000085020000}"/>
    <cellStyle name="Comma 4 2 6 2 4" xfId="1058" xr:uid="{00000000-0005-0000-0000-000086020000}"/>
    <cellStyle name="Comma 4 2 6 2 5" xfId="1404" xr:uid="{00000000-0005-0000-0000-000087020000}"/>
    <cellStyle name="Comma 4 2 6 2 5 10" xfId="18139" xr:uid="{00000000-0005-0000-0000-000088020000}"/>
    <cellStyle name="Comma 4 2 6 2 5 2" xfId="1837" xr:uid="{00000000-0005-0000-0000-000089020000}"/>
    <cellStyle name="Comma 4 2 6 2 5 2 2" xfId="6105" xr:uid="{00000000-0005-0000-0000-00008A020000}"/>
    <cellStyle name="Comma 4 2 6 2 5 2 2 2" xfId="9456" xr:uid="{00000000-0005-0000-0000-00008B020000}"/>
    <cellStyle name="Comma 4 2 6 2 5 2 2 2 2" xfId="16719" xr:uid="{00000000-0005-0000-0000-00008C020000}"/>
    <cellStyle name="Comma 4 2 6 2 5 2 2 2 2 2" xfId="33034" xr:uid="{00000000-0005-0000-0000-00008D020000}"/>
    <cellStyle name="Comma 4 2 6 2 5 2 2 2 3" xfId="26069" xr:uid="{00000000-0005-0000-0000-00008E020000}"/>
    <cellStyle name="Comma 4 2 6 2 5 2 2 3" xfId="12798" xr:uid="{00000000-0005-0000-0000-00008F020000}"/>
    <cellStyle name="Comma 4 2 6 2 5 2 2 3 2" xfId="29373" xr:uid="{00000000-0005-0000-0000-000090020000}"/>
    <cellStyle name="Comma 4 2 6 2 5 2 2 4" xfId="13991" xr:uid="{00000000-0005-0000-0000-000091020000}"/>
    <cellStyle name="Comma 4 2 6 2 5 2 2 4 2" xfId="30311" xr:uid="{00000000-0005-0000-0000-000092020000}"/>
    <cellStyle name="Comma 4 2 6 2 5 2 2 5" xfId="13707" xr:uid="{00000000-0005-0000-0000-000093020000}"/>
    <cellStyle name="Comma 4 2 6 2 5 2 2 6" xfId="22769" xr:uid="{00000000-0005-0000-0000-000094020000}"/>
    <cellStyle name="Comma 4 2 6 2 5 2 3" xfId="7835" xr:uid="{00000000-0005-0000-0000-000095020000}"/>
    <cellStyle name="Comma 4 2 6 2 5 2 3 2" xfId="15098" xr:uid="{00000000-0005-0000-0000-000096020000}"/>
    <cellStyle name="Comma 4 2 6 2 5 2 3 2 2" xfId="31413" xr:uid="{00000000-0005-0000-0000-000097020000}"/>
    <cellStyle name="Comma 4 2 6 2 5 2 3 3" xfId="24448" xr:uid="{00000000-0005-0000-0000-000098020000}"/>
    <cellStyle name="Comma 4 2 6 2 5 2 4" xfId="11150" xr:uid="{00000000-0005-0000-0000-000099020000}"/>
    <cellStyle name="Comma 4 2 6 2 5 2 4 2" xfId="27748" xr:uid="{00000000-0005-0000-0000-00009A020000}"/>
    <cellStyle name="Comma 4 2 6 2 5 2 5" xfId="13830" xr:uid="{00000000-0005-0000-0000-00009B020000}"/>
    <cellStyle name="Comma 4 2 6 2 5 2 5 2" xfId="30177" xr:uid="{00000000-0005-0000-0000-00009C020000}"/>
    <cellStyle name="Comma 4 2 6 2 5 2 6" xfId="13548" xr:uid="{00000000-0005-0000-0000-00009D020000}"/>
    <cellStyle name="Comma 4 2 6 2 5 2 7" xfId="3441" xr:uid="{00000000-0005-0000-0000-00009E020000}"/>
    <cellStyle name="Comma 4 2 6 2 5 2 7 2" xfId="20164" xr:uid="{00000000-0005-0000-0000-00009F020000}"/>
    <cellStyle name="Comma 4 2 6 2 5 2 8" xfId="18568" xr:uid="{00000000-0005-0000-0000-0000A0020000}"/>
    <cellStyle name="Comma 4 2 6 2 5 3" xfId="1836" xr:uid="{00000000-0005-0000-0000-0000A1020000}"/>
    <cellStyle name="Comma 4 2 6 2 5 3 2" xfId="9050" xr:uid="{00000000-0005-0000-0000-0000A2020000}"/>
    <cellStyle name="Comma 4 2 6 2 5 3 2 2" xfId="16313" xr:uid="{00000000-0005-0000-0000-0000A3020000}"/>
    <cellStyle name="Comma 4 2 6 2 5 3 2 2 2" xfId="32628" xr:uid="{00000000-0005-0000-0000-0000A4020000}"/>
    <cellStyle name="Comma 4 2 6 2 5 3 2 3" xfId="25663" xr:uid="{00000000-0005-0000-0000-0000A5020000}"/>
    <cellStyle name="Comma 4 2 6 2 5 3 3" xfId="12392" xr:uid="{00000000-0005-0000-0000-0000A6020000}"/>
    <cellStyle name="Comma 4 2 6 2 5 3 3 2" xfId="28967" xr:uid="{00000000-0005-0000-0000-0000A7020000}"/>
    <cellStyle name="Comma 4 2 6 2 5 3 4" xfId="13952" xr:uid="{00000000-0005-0000-0000-0000A8020000}"/>
    <cellStyle name="Comma 4 2 6 2 5 3 4 2" xfId="30272" xr:uid="{00000000-0005-0000-0000-0000A9020000}"/>
    <cellStyle name="Comma 4 2 6 2 5 3 5" xfId="13599" xr:uid="{00000000-0005-0000-0000-0000AA020000}"/>
    <cellStyle name="Comma 4 2 6 2 5 3 6" xfId="5699" xr:uid="{00000000-0005-0000-0000-0000AB020000}"/>
    <cellStyle name="Comma 4 2 6 2 5 3 6 2" xfId="22363" xr:uid="{00000000-0005-0000-0000-0000AC020000}"/>
    <cellStyle name="Comma 4 2 6 2 5 3 7" xfId="18567" xr:uid="{00000000-0005-0000-0000-0000AD020000}"/>
    <cellStyle name="Comma 4 2 6 2 5 4" xfId="6763" xr:uid="{00000000-0005-0000-0000-0000AE020000}"/>
    <cellStyle name="Comma 4 2 6 2 5 4 2" xfId="10091" xr:uid="{00000000-0005-0000-0000-0000AF020000}"/>
    <cellStyle name="Comma 4 2 6 2 5 4 2 2" xfId="17354" xr:uid="{00000000-0005-0000-0000-0000B0020000}"/>
    <cellStyle name="Comma 4 2 6 2 5 4 2 2 2" xfId="33669" xr:uid="{00000000-0005-0000-0000-0000B1020000}"/>
    <cellStyle name="Comma 4 2 6 2 5 4 2 3" xfId="26704" xr:uid="{00000000-0005-0000-0000-0000B2020000}"/>
    <cellStyle name="Comma 4 2 6 2 5 4 3" xfId="13434" xr:uid="{00000000-0005-0000-0000-0000B3020000}"/>
    <cellStyle name="Comma 4 2 6 2 5 4 3 2" xfId="30008" xr:uid="{00000000-0005-0000-0000-0000B4020000}"/>
    <cellStyle name="Comma 4 2 6 2 5 4 4" xfId="14071" xr:uid="{00000000-0005-0000-0000-0000B5020000}"/>
    <cellStyle name="Comma 4 2 6 2 5 4 4 2" xfId="30388" xr:uid="{00000000-0005-0000-0000-0000B6020000}"/>
    <cellStyle name="Comma 4 2 6 2 5 4 5" xfId="13638" xr:uid="{00000000-0005-0000-0000-0000B7020000}"/>
    <cellStyle name="Comma 4 2 6 2 5 4 6" xfId="23404" xr:uid="{00000000-0005-0000-0000-0000B8020000}"/>
    <cellStyle name="Comma 4 2 6 2 5 5" xfId="5096" xr:uid="{00000000-0005-0000-0000-0000B9020000}"/>
    <cellStyle name="Comma 4 2 6 2 5 6" xfId="7429" xr:uid="{00000000-0005-0000-0000-0000BA020000}"/>
    <cellStyle name="Comma 4 2 6 2 5 6 2" xfId="14692" xr:uid="{00000000-0005-0000-0000-0000BB020000}"/>
    <cellStyle name="Comma 4 2 6 2 5 6 2 2" xfId="31007" xr:uid="{00000000-0005-0000-0000-0000BC020000}"/>
    <cellStyle name="Comma 4 2 6 2 5 6 3" xfId="24042" xr:uid="{00000000-0005-0000-0000-0000BD020000}"/>
    <cellStyle name="Comma 4 2 6 2 5 7" xfId="10744" xr:uid="{00000000-0005-0000-0000-0000BE020000}"/>
    <cellStyle name="Comma 4 2 6 2 5 7 2" xfId="27342" xr:uid="{00000000-0005-0000-0000-0000BF020000}"/>
    <cellStyle name="Comma 4 2 6 2 5 8" xfId="13791" xr:uid="{00000000-0005-0000-0000-0000C0020000}"/>
    <cellStyle name="Comma 4 2 6 2 5 8 2" xfId="30138" xr:uid="{00000000-0005-0000-0000-0000C1020000}"/>
    <cellStyle name="Comma 4 2 6 2 5 9" xfId="3440" xr:uid="{00000000-0005-0000-0000-0000C2020000}"/>
    <cellStyle name="Comma 4 2 6 2 5 9 2" xfId="20163" xr:uid="{00000000-0005-0000-0000-0000C3020000}"/>
    <cellStyle name="Comma 4 2 6 2 6" xfId="1826" xr:uid="{00000000-0005-0000-0000-0000C4020000}"/>
    <cellStyle name="Comma 4 2 6 2 6 2" xfId="8496" xr:uid="{00000000-0005-0000-0000-0000C5020000}"/>
    <cellStyle name="Comma 4 2 6 2 6 2 2" xfId="15759" xr:uid="{00000000-0005-0000-0000-0000C6020000}"/>
    <cellStyle name="Comma 4 2 6 2 6 2 2 2" xfId="32074" xr:uid="{00000000-0005-0000-0000-0000C7020000}"/>
    <cellStyle name="Comma 4 2 6 2 6 2 3" xfId="25109" xr:uid="{00000000-0005-0000-0000-0000C8020000}"/>
    <cellStyle name="Comma 4 2 6 2 6 3" xfId="11838" xr:uid="{00000000-0005-0000-0000-0000C9020000}"/>
    <cellStyle name="Comma 4 2 6 2 6 3 2" xfId="28413" xr:uid="{00000000-0005-0000-0000-0000CA020000}"/>
    <cellStyle name="Comma 4 2 6 2 6 4" xfId="13911" xr:uid="{00000000-0005-0000-0000-0000CB020000}"/>
    <cellStyle name="Comma 4 2 6 2 6 4 2" xfId="30231" xr:uid="{00000000-0005-0000-0000-0000CC020000}"/>
    <cellStyle name="Comma 4 2 6 2 6 5" xfId="13570" xr:uid="{00000000-0005-0000-0000-0000CD020000}"/>
    <cellStyle name="Comma 4 2 6 2 6 6" xfId="5145" xr:uid="{00000000-0005-0000-0000-0000CE020000}"/>
    <cellStyle name="Comma 4 2 6 2 6 6 2" xfId="21809" xr:uid="{00000000-0005-0000-0000-0000CF020000}"/>
    <cellStyle name="Comma 4 2 6 2 6 7" xfId="18557" xr:uid="{00000000-0005-0000-0000-0000D0020000}"/>
    <cellStyle name="Comma 4 2 6 2 7" xfId="6727" xr:uid="{00000000-0005-0000-0000-0000D1020000}"/>
    <cellStyle name="Comma 4 2 6 2 7 2" xfId="10069" xr:uid="{00000000-0005-0000-0000-0000D2020000}"/>
    <cellStyle name="Comma 4 2 6 2 7 2 2" xfId="17332" xr:uid="{00000000-0005-0000-0000-0000D3020000}"/>
    <cellStyle name="Comma 4 2 6 2 7 2 2 2" xfId="33647" xr:uid="{00000000-0005-0000-0000-0000D4020000}"/>
    <cellStyle name="Comma 4 2 6 2 7 2 3" xfId="26682" xr:uid="{00000000-0005-0000-0000-0000D5020000}"/>
    <cellStyle name="Comma 4 2 6 2 7 3" xfId="13412" xr:uid="{00000000-0005-0000-0000-0000D6020000}"/>
    <cellStyle name="Comma 4 2 6 2 7 3 2" xfId="29986" xr:uid="{00000000-0005-0000-0000-0000D7020000}"/>
    <cellStyle name="Comma 4 2 6 2 7 4" xfId="14048" xr:uid="{00000000-0005-0000-0000-0000D8020000}"/>
    <cellStyle name="Comma 4 2 6 2 7 4 2" xfId="30366" xr:uid="{00000000-0005-0000-0000-0000D9020000}"/>
    <cellStyle name="Comma 4 2 6 2 7 5" xfId="10370" xr:uid="{00000000-0005-0000-0000-0000DA020000}"/>
    <cellStyle name="Comma 4 2 6 2 7 6" xfId="23382" xr:uid="{00000000-0005-0000-0000-0000DB020000}"/>
    <cellStyle name="Comma 4 2 6 2 8" xfId="6877" xr:uid="{00000000-0005-0000-0000-0000DC020000}"/>
    <cellStyle name="Comma 4 2 6 2 8 2" xfId="14140" xr:uid="{00000000-0005-0000-0000-0000DD020000}"/>
    <cellStyle name="Comma 4 2 6 2 8 2 2" xfId="30455" xr:uid="{00000000-0005-0000-0000-0000DE020000}"/>
    <cellStyle name="Comma 4 2 6 2 8 3" xfId="23490" xr:uid="{00000000-0005-0000-0000-0000DF020000}"/>
    <cellStyle name="Comma 4 2 6 2 9" xfId="10191" xr:uid="{00000000-0005-0000-0000-0000E0020000}"/>
    <cellStyle name="Comma 4 2 6 2 9 2" xfId="26790" xr:uid="{00000000-0005-0000-0000-0000E1020000}"/>
    <cellStyle name="Comma 4 2 6 3" xfId="894" xr:uid="{00000000-0005-0000-0000-0000E2020000}"/>
    <cellStyle name="Comma 4 2 6 3 10" xfId="3442" xr:uid="{00000000-0005-0000-0000-0000E3020000}"/>
    <cellStyle name="Comma 4 2 6 3 10 2" xfId="20165" xr:uid="{00000000-0005-0000-0000-0000E4020000}"/>
    <cellStyle name="Comma 4 2 6 3 11" xfId="17672" xr:uid="{00000000-0005-0000-0000-0000E5020000}"/>
    <cellStyle name="Comma 4 2 6 3 2" xfId="1001" xr:uid="{00000000-0005-0000-0000-0000E6020000}"/>
    <cellStyle name="Comma 4 2 6 3 2 10" xfId="17778" xr:uid="{00000000-0005-0000-0000-0000E7020000}"/>
    <cellStyle name="Comma 4 2 6 3 2 2" xfId="1063" xr:uid="{00000000-0005-0000-0000-0000E8020000}"/>
    <cellStyle name="Comma 4 2 6 3 2 3" xfId="1562" xr:uid="{00000000-0005-0000-0000-0000E9020000}"/>
    <cellStyle name="Comma 4 2 6 3 2 3 10" xfId="18297" xr:uid="{00000000-0005-0000-0000-0000EA020000}"/>
    <cellStyle name="Comma 4 2 6 3 2 3 2" xfId="1841" xr:uid="{00000000-0005-0000-0000-0000EB020000}"/>
    <cellStyle name="Comma 4 2 6 3 2 3 2 2" xfId="6129" xr:uid="{00000000-0005-0000-0000-0000EC020000}"/>
    <cellStyle name="Comma 4 2 6 3 2 3 2 2 2" xfId="9480" xr:uid="{00000000-0005-0000-0000-0000ED020000}"/>
    <cellStyle name="Comma 4 2 6 3 2 3 2 2 2 2" xfId="16743" xr:uid="{00000000-0005-0000-0000-0000EE020000}"/>
    <cellStyle name="Comma 4 2 6 3 2 3 2 2 2 2 2" xfId="33058" xr:uid="{00000000-0005-0000-0000-0000EF020000}"/>
    <cellStyle name="Comma 4 2 6 3 2 3 2 2 2 3" xfId="26093" xr:uid="{00000000-0005-0000-0000-0000F0020000}"/>
    <cellStyle name="Comma 4 2 6 3 2 3 2 2 3" xfId="12822" xr:uid="{00000000-0005-0000-0000-0000F1020000}"/>
    <cellStyle name="Comma 4 2 6 3 2 3 2 2 3 2" xfId="29397" xr:uid="{00000000-0005-0000-0000-0000F2020000}"/>
    <cellStyle name="Comma 4 2 6 3 2 3 2 2 4" xfId="14015" xr:uid="{00000000-0005-0000-0000-0000F3020000}"/>
    <cellStyle name="Comma 4 2 6 3 2 3 2 2 4 2" xfId="30335" xr:uid="{00000000-0005-0000-0000-0000F4020000}"/>
    <cellStyle name="Comma 4 2 6 3 2 3 2 2 5" xfId="13495" xr:uid="{00000000-0005-0000-0000-0000F5020000}"/>
    <cellStyle name="Comma 4 2 6 3 2 3 2 2 6" xfId="22793" xr:uid="{00000000-0005-0000-0000-0000F6020000}"/>
    <cellStyle name="Comma 4 2 6 3 2 3 2 3" xfId="7859" xr:uid="{00000000-0005-0000-0000-0000F7020000}"/>
    <cellStyle name="Comma 4 2 6 3 2 3 2 3 2" xfId="15122" xr:uid="{00000000-0005-0000-0000-0000F8020000}"/>
    <cellStyle name="Comma 4 2 6 3 2 3 2 3 2 2" xfId="31437" xr:uid="{00000000-0005-0000-0000-0000F9020000}"/>
    <cellStyle name="Comma 4 2 6 3 2 3 2 3 3" xfId="24472" xr:uid="{00000000-0005-0000-0000-0000FA020000}"/>
    <cellStyle name="Comma 4 2 6 3 2 3 2 4" xfId="11174" xr:uid="{00000000-0005-0000-0000-0000FB020000}"/>
    <cellStyle name="Comma 4 2 6 3 2 3 2 4 2" xfId="27772" xr:uid="{00000000-0005-0000-0000-0000FC020000}"/>
    <cellStyle name="Comma 4 2 6 3 2 3 2 5" xfId="13854" xr:uid="{00000000-0005-0000-0000-0000FD020000}"/>
    <cellStyle name="Comma 4 2 6 3 2 3 2 5 2" xfId="30201" xr:uid="{00000000-0005-0000-0000-0000FE020000}"/>
    <cellStyle name="Comma 4 2 6 3 2 3 2 6" xfId="13518" xr:uid="{00000000-0005-0000-0000-0000FF020000}"/>
    <cellStyle name="Comma 4 2 6 3 2 3 2 7" xfId="3445" xr:uid="{00000000-0005-0000-0000-000000030000}"/>
    <cellStyle name="Comma 4 2 6 3 2 3 2 7 2" xfId="20168" xr:uid="{00000000-0005-0000-0000-000001030000}"/>
    <cellStyle name="Comma 4 2 6 3 2 3 2 8" xfId="18572" xr:uid="{00000000-0005-0000-0000-000002030000}"/>
    <cellStyle name="Comma 4 2 6 3 2 3 3" xfId="1840" xr:uid="{00000000-0005-0000-0000-000003030000}"/>
    <cellStyle name="Comma 4 2 6 3 2 3 3 2" xfId="9074" xr:uid="{00000000-0005-0000-0000-000004030000}"/>
    <cellStyle name="Comma 4 2 6 3 2 3 3 2 2" xfId="16337" xr:uid="{00000000-0005-0000-0000-000005030000}"/>
    <cellStyle name="Comma 4 2 6 3 2 3 3 2 2 2" xfId="32652" xr:uid="{00000000-0005-0000-0000-000006030000}"/>
    <cellStyle name="Comma 4 2 6 3 2 3 3 2 3" xfId="25687" xr:uid="{00000000-0005-0000-0000-000007030000}"/>
    <cellStyle name="Comma 4 2 6 3 2 3 3 3" xfId="12416" xr:uid="{00000000-0005-0000-0000-000008030000}"/>
    <cellStyle name="Comma 4 2 6 3 2 3 3 3 2" xfId="28991" xr:uid="{00000000-0005-0000-0000-000009030000}"/>
    <cellStyle name="Comma 4 2 6 3 2 3 3 4" xfId="13976" xr:uid="{00000000-0005-0000-0000-00000A030000}"/>
    <cellStyle name="Comma 4 2 6 3 2 3 3 4 2" xfId="30296" xr:uid="{00000000-0005-0000-0000-00000B030000}"/>
    <cellStyle name="Comma 4 2 6 3 2 3 3 5" xfId="13677" xr:uid="{00000000-0005-0000-0000-00000C030000}"/>
    <cellStyle name="Comma 4 2 6 3 2 3 3 6" xfId="5723" xr:uid="{00000000-0005-0000-0000-00000D030000}"/>
    <cellStyle name="Comma 4 2 6 3 2 3 3 6 2" xfId="22387" xr:uid="{00000000-0005-0000-0000-00000E030000}"/>
    <cellStyle name="Comma 4 2 6 3 2 3 3 7" xfId="18571" xr:uid="{00000000-0005-0000-0000-00000F030000}"/>
    <cellStyle name="Comma 4 2 6 3 2 3 4" xfId="6744" xr:uid="{00000000-0005-0000-0000-000010030000}"/>
    <cellStyle name="Comma 4 2 6 3 2 3 4 2" xfId="10081" xr:uid="{00000000-0005-0000-0000-000011030000}"/>
    <cellStyle name="Comma 4 2 6 3 2 3 4 2 2" xfId="17344" xr:uid="{00000000-0005-0000-0000-000012030000}"/>
    <cellStyle name="Comma 4 2 6 3 2 3 4 2 2 2" xfId="33659" xr:uid="{00000000-0005-0000-0000-000013030000}"/>
    <cellStyle name="Comma 4 2 6 3 2 3 4 2 3" xfId="26694" xr:uid="{00000000-0005-0000-0000-000014030000}"/>
    <cellStyle name="Comma 4 2 6 3 2 3 4 3" xfId="13424" xr:uid="{00000000-0005-0000-0000-000015030000}"/>
    <cellStyle name="Comma 4 2 6 3 2 3 4 3 2" xfId="29998" xr:uid="{00000000-0005-0000-0000-000016030000}"/>
    <cellStyle name="Comma 4 2 6 3 2 3 4 4" xfId="14060" xr:uid="{00000000-0005-0000-0000-000017030000}"/>
    <cellStyle name="Comma 4 2 6 3 2 3 4 4 2" xfId="30378" xr:uid="{00000000-0005-0000-0000-000018030000}"/>
    <cellStyle name="Comma 4 2 6 3 2 3 4 5" xfId="13517" xr:uid="{00000000-0005-0000-0000-000019030000}"/>
    <cellStyle name="Comma 4 2 6 3 2 3 4 6" xfId="23394" xr:uid="{00000000-0005-0000-0000-00001A030000}"/>
    <cellStyle name="Comma 4 2 6 3 2 3 5" xfId="6836" xr:uid="{00000000-0005-0000-0000-00001B030000}"/>
    <cellStyle name="Comma 4 2 6 3 2 3 6" xfId="7453" xr:uid="{00000000-0005-0000-0000-00001C030000}"/>
    <cellStyle name="Comma 4 2 6 3 2 3 6 2" xfId="14716" xr:uid="{00000000-0005-0000-0000-00001D030000}"/>
    <cellStyle name="Comma 4 2 6 3 2 3 6 2 2" xfId="31031" xr:uid="{00000000-0005-0000-0000-00001E030000}"/>
    <cellStyle name="Comma 4 2 6 3 2 3 6 3" xfId="24066" xr:uid="{00000000-0005-0000-0000-00001F030000}"/>
    <cellStyle name="Comma 4 2 6 3 2 3 7" xfId="10768" xr:uid="{00000000-0005-0000-0000-000020030000}"/>
    <cellStyle name="Comma 4 2 6 3 2 3 7 2" xfId="27366" xr:uid="{00000000-0005-0000-0000-000021030000}"/>
    <cellStyle name="Comma 4 2 6 3 2 3 8" xfId="13815" xr:uid="{00000000-0005-0000-0000-000022030000}"/>
    <cellStyle name="Comma 4 2 6 3 2 3 8 2" xfId="30162" xr:uid="{00000000-0005-0000-0000-000023030000}"/>
    <cellStyle name="Comma 4 2 6 3 2 3 9" xfId="3444" xr:uid="{00000000-0005-0000-0000-000024030000}"/>
    <cellStyle name="Comma 4 2 6 3 2 3 9 2" xfId="20167" xr:uid="{00000000-0005-0000-0000-000025030000}"/>
    <cellStyle name="Comma 4 2 6 3 2 4" xfId="1839" xr:uid="{00000000-0005-0000-0000-000026030000}"/>
    <cellStyle name="Comma 4 2 6 3 2 4 2" xfId="8623" xr:uid="{00000000-0005-0000-0000-000027030000}"/>
    <cellStyle name="Comma 4 2 6 3 2 4 2 2" xfId="15886" xr:uid="{00000000-0005-0000-0000-000028030000}"/>
    <cellStyle name="Comma 4 2 6 3 2 4 2 2 2" xfId="32201" xr:uid="{00000000-0005-0000-0000-000029030000}"/>
    <cellStyle name="Comma 4 2 6 3 2 4 2 3" xfId="25236" xr:uid="{00000000-0005-0000-0000-00002A030000}"/>
    <cellStyle name="Comma 4 2 6 3 2 4 3" xfId="11965" xr:uid="{00000000-0005-0000-0000-00002B030000}"/>
    <cellStyle name="Comma 4 2 6 3 2 4 3 2" xfId="28540" xr:uid="{00000000-0005-0000-0000-00002C030000}"/>
    <cellStyle name="Comma 4 2 6 3 2 4 4" xfId="13935" xr:uid="{00000000-0005-0000-0000-00002D030000}"/>
    <cellStyle name="Comma 4 2 6 3 2 4 4 2" xfId="30255" xr:uid="{00000000-0005-0000-0000-00002E030000}"/>
    <cellStyle name="Comma 4 2 6 3 2 4 5" xfId="13542" xr:uid="{00000000-0005-0000-0000-00002F030000}"/>
    <cellStyle name="Comma 4 2 6 3 2 4 6" xfId="5272" xr:uid="{00000000-0005-0000-0000-000030030000}"/>
    <cellStyle name="Comma 4 2 6 3 2 4 6 2" xfId="21936" xr:uid="{00000000-0005-0000-0000-000031030000}"/>
    <cellStyle name="Comma 4 2 6 3 2 4 7" xfId="18570" xr:uid="{00000000-0005-0000-0000-000032030000}"/>
    <cellStyle name="Comma 4 2 6 3 2 5" xfId="6708" xr:uid="{00000000-0005-0000-0000-000033030000}"/>
    <cellStyle name="Comma 4 2 6 3 2 5 2" xfId="10056" xr:uid="{00000000-0005-0000-0000-000034030000}"/>
    <cellStyle name="Comma 4 2 6 3 2 5 2 2" xfId="17319" xr:uid="{00000000-0005-0000-0000-000035030000}"/>
    <cellStyle name="Comma 4 2 6 3 2 5 2 2 2" xfId="33634" xr:uid="{00000000-0005-0000-0000-000036030000}"/>
    <cellStyle name="Comma 4 2 6 3 2 5 2 3" xfId="26669" xr:uid="{00000000-0005-0000-0000-000037030000}"/>
    <cellStyle name="Comma 4 2 6 3 2 5 3" xfId="13398" xr:uid="{00000000-0005-0000-0000-000038030000}"/>
    <cellStyle name="Comma 4 2 6 3 2 5 3 2" xfId="29973" xr:uid="{00000000-0005-0000-0000-000039030000}"/>
    <cellStyle name="Comma 4 2 6 3 2 5 4" xfId="14033" xr:uid="{00000000-0005-0000-0000-00003A030000}"/>
    <cellStyle name="Comma 4 2 6 3 2 5 4 2" xfId="30353" xr:uid="{00000000-0005-0000-0000-00003B030000}"/>
    <cellStyle name="Comma 4 2 6 3 2 5 5" xfId="13680" xr:uid="{00000000-0005-0000-0000-00003C030000}"/>
    <cellStyle name="Comma 4 2 6 3 2 5 6" xfId="23369" xr:uid="{00000000-0005-0000-0000-00003D030000}"/>
    <cellStyle name="Comma 4 2 6 3 2 6" xfId="7004" xr:uid="{00000000-0005-0000-0000-00003E030000}"/>
    <cellStyle name="Comma 4 2 6 3 2 6 2" xfId="14267" xr:uid="{00000000-0005-0000-0000-00003F030000}"/>
    <cellStyle name="Comma 4 2 6 3 2 6 2 2" xfId="30582" xr:uid="{00000000-0005-0000-0000-000040030000}"/>
    <cellStyle name="Comma 4 2 6 3 2 6 3" xfId="23617" xr:uid="{00000000-0005-0000-0000-000041030000}"/>
    <cellStyle name="Comma 4 2 6 3 2 7" xfId="10318" xr:uid="{00000000-0005-0000-0000-000042030000}"/>
    <cellStyle name="Comma 4 2 6 3 2 7 2" xfId="26917" xr:uid="{00000000-0005-0000-0000-000043030000}"/>
    <cellStyle name="Comma 4 2 6 3 2 8" xfId="13773" xr:uid="{00000000-0005-0000-0000-000044030000}"/>
    <cellStyle name="Comma 4 2 6 3 2 8 2" xfId="30123" xr:uid="{00000000-0005-0000-0000-000045030000}"/>
    <cellStyle name="Comma 4 2 6 3 2 9" xfId="3443" xr:uid="{00000000-0005-0000-0000-000046030000}"/>
    <cellStyle name="Comma 4 2 6 3 2 9 2" xfId="20166" xr:uid="{00000000-0005-0000-0000-000047030000}"/>
    <cellStyle name="Comma 4 2 6 3 3" xfId="1062" xr:uid="{00000000-0005-0000-0000-000048030000}"/>
    <cellStyle name="Comma 4 2 6 3 4" xfId="1456" xr:uid="{00000000-0005-0000-0000-000049030000}"/>
    <cellStyle name="Comma 4 2 6 3 4 10" xfId="18191" xr:uid="{00000000-0005-0000-0000-00004A030000}"/>
    <cellStyle name="Comma 4 2 6 3 4 2" xfId="1843" xr:uid="{00000000-0005-0000-0000-00004B030000}"/>
    <cellStyle name="Comma 4 2 6 3 4 2 2" xfId="6111" xr:uid="{00000000-0005-0000-0000-00004C030000}"/>
    <cellStyle name="Comma 4 2 6 3 4 2 2 2" xfId="9462" xr:uid="{00000000-0005-0000-0000-00004D030000}"/>
    <cellStyle name="Comma 4 2 6 3 4 2 2 2 2" xfId="16725" xr:uid="{00000000-0005-0000-0000-00004E030000}"/>
    <cellStyle name="Comma 4 2 6 3 4 2 2 2 2 2" xfId="33040" xr:uid="{00000000-0005-0000-0000-00004F030000}"/>
    <cellStyle name="Comma 4 2 6 3 4 2 2 2 3" xfId="26075" xr:uid="{00000000-0005-0000-0000-000050030000}"/>
    <cellStyle name="Comma 4 2 6 3 4 2 2 3" xfId="12804" xr:uid="{00000000-0005-0000-0000-000051030000}"/>
    <cellStyle name="Comma 4 2 6 3 4 2 2 3 2" xfId="29379" xr:uid="{00000000-0005-0000-0000-000052030000}"/>
    <cellStyle name="Comma 4 2 6 3 4 2 2 4" xfId="13997" xr:uid="{00000000-0005-0000-0000-000053030000}"/>
    <cellStyle name="Comma 4 2 6 3 4 2 2 4 2" xfId="30317" xr:uid="{00000000-0005-0000-0000-000054030000}"/>
    <cellStyle name="Comma 4 2 6 3 4 2 2 5" xfId="13490" xr:uid="{00000000-0005-0000-0000-000055030000}"/>
    <cellStyle name="Comma 4 2 6 3 4 2 2 6" xfId="22775" xr:uid="{00000000-0005-0000-0000-000056030000}"/>
    <cellStyle name="Comma 4 2 6 3 4 2 3" xfId="7841" xr:uid="{00000000-0005-0000-0000-000057030000}"/>
    <cellStyle name="Comma 4 2 6 3 4 2 3 2" xfId="15104" xr:uid="{00000000-0005-0000-0000-000058030000}"/>
    <cellStyle name="Comma 4 2 6 3 4 2 3 2 2" xfId="31419" xr:uid="{00000000-0005-0000-0000-000059030000}"/>
    <cellStyle name="Comma 4 2 6 3 4 2 3 3" xfId="24454" xr:uid="{00000000-0005-0000-0000-00005A030000}"/>
    <cellStyle name="Comma 4 2 6 3 4 2 4" xfId="11156" xr:uid="{00000000-0005-0000-0000-00005B030000}"/>
    <cellStyle name="Comma 4 2 6 3 4 2 4 2" xfId="27754" xr:uid="{00000000-0005-0000-0000-00005C030000}"/>
    <cellStyle name="Comma 4 2 6 3 4 2 5" xfId="13836" xr:uid="{00000000-0005-0000-0000-00005D030000}"/>
    <cellStyle name="Comma 4 2 6 3 4 2 5 2" xfId="30183" xr:uid="{00000000-0005-0000-0000-00005E030000}"/>
    <cellStyle name="Comma 4 2 6 3 4 2 6" xfId="13454" xr:uid="{00000000-0005-0000-0000-00005F030000}"/>
    <cellStyle name="Comma 4 2 6 3 4 2 7" xfId="3447" xr:uid="{00000000-0005-0000-0000-000060030000}"/>
    <cellStyle name="Comma 4 2 6 3 4 2 7 2" xfId="20170" xr:uid="{00000000-0005-0000-0000-000061030000}"/>
    <cellStyle name="Comma 4 2 6 3 4 2 8" xfId="18574" xr:uid="{00000000-0005-0000-0000-000062030000}"/>
    <cellStyle name="Comma 4 2 6 3 4 3" xfId="1842" xr:uid="{00000000-0005-0000-0000-000063030000}"/>
    <cellStyle name="Comma 4 2 6 3 4 3 2" xfId="9056" xr:uid="{00000000-0005-0000-0000-000064030000}"/>
    <cellStyle name="Comma 4 2 6 3 4 3 2 2" xfId="16319" xr:uid="{00000000-0005-0000-0000-000065030000}"/>
    <cellStyle name="Comma 4 2 6 3 4 3 2 2 2" xfId="32634" xr:uid="{00000000-0005-0000-0000-000066030000}"/>
    <cellStyle name="Comma 4 2 6 3 4 3 2 3" xfId="25669" xr:uid="{00000000-0005-0000-0000-000067030000}"/>
    <cellStyle name="Comma 4 2 6 3 4 3 3" xfId="12398" xr:uid="{00000000-0005-0000-0000-000068030000}"/>
    <cellStyle name="Comma 4 2 6 3 4 3 3 2" xfId="28973" xr:uid="{00000000-0005-0000-0000-000069030000}"/>
    <cellStyle name="Comma 4 2 6 3 4 3 4" xfId="13958" xr:uid="{00000000-0005-0000-0000-00006A030000}"/>
    <cellStyle name="Comma 4 2 6 3 4 3 4 2" xfId="30278" xr:uid="{00000000-0005-0000-0000-00006B030000}"/>
    <cellStyle name="Comma 4 2 6 3 4 3 5" xfId="13633" xr:uid="{00000000-0005-0000-0000-00006C030000}"/>
    <cellStyle name="Comma 4 2 6 3 4 3 6" xfId="5705" xr:uid="{00000000-0005-0000-0000-00006D030000}"/>
    <cellStyle name="Comma 4 2 6 3 4 3 6 2" xfId="22369" xr:uid="{00000000-0005-0000-0000-00006E030000}"/>
    <cellStyle name="Comma 4 2 6 3 4 3 7" xfId="18573" xr:uid="{00000000-0005-0000-0000-00006F030000}"/>
    <cellStyle name="Comma 4 2 6 3 4 4" xfId="6759" xr:uid="{00000000-0005-0000-0000-000070030000}"/>
    <cellStyle name="Comma 4 2 6 3 4 4 2" xfId="10089" xr:uid="{00000000-0005-0000-0000-000071030000}"/>
    <cellStyle name="Comma 4 2 6 3 4 4 2 2" xfId="17352" xr:uid="{00000000-0005-0000-0000-000072030000}"/>
    <cellStyle name="Comma 4 2 6 3 4 4 2 2 2" xfId="33667" xr:uid="{00000000-0005-0000-0000-000073030000}"/>
    <cellStyle name="Comma 4 2 6 3 4 4 2 3" xfId="26702" xr:uid="{00000000-0005-0000-0000-000074030000}"/>
    <cellStyle name="Comma 4 2 6 3 4 4 3" xfId="13432" xr:uid="{00000000-0005-0000-0000-000075030000}"/>
    <cellStyle name="Comma 4 2 6 3 4 4 3 2" xfId="30006" xr:uid="{00000000-0005-0000-0000-000076030000}"/>
    <cellStyle name="Comma 4 2 6 3 4 4 4" xfId="14068" xr:uid="{00000000-0005-0000-0000-000077030000}"/>
    <cellStyle name="Comma 4 2 6 3 4 4 4 2" xfId="30386" xr:uid="{00000000-0005-0000-0000-000078030000}"/>
    <cellStyle name="Comma 4 2 6 3 4 4 5" xfId="13519" xr:uid="{00000000-0005-0000-0000-000079030000}"/>
    <cellStyle name="Comma 4 2 6 3 4 4 6" xfId="23402" xr:uid="{00000000-0005-0000-0000-00007A030000}"/>
    <cellStyle name="Comma 4 2 6 3 4 5" xfId="5099" xr:uid="{00000000-0005-0000-0000-00007B030000}"/>
    <cellStyle name="Comma 4 2 6 3 4 6" xfId="7435" xr:uid="{00000000-0005-0000-0000-00007C030000}"/>
    <cellStyle name="Comma 4 2 6 3 4 6 2" xfId="14698" xr:uid="{00000000-0005-0000-0000-00007D030000}"/>
    <cellStyle name="Comma 4 2 6 3 4 6 2 2" xfId="31013" xr:uid="{00000000-0005-0000-0000-00007E030000}"/>
    <cellStyle name="Comma 4 2 6 3 4 6 3" xfId="24048" xr:uid="{00000000-0005-0000-0000-00007F030000}"/>
    <cellStyle name="Comma 4 2 6 3 4 7" xfId="10750" xr:uid="{00000000-0005-0000-0000-000080030000}"/>
    <cellStyle name="Comma 4 2 6 3 4 7 2" xfId="27348" xr:uid="{00000000-0005-0000-0000-000081030000}"/>
    <cellStyle name="Comma 4 2 6 3 4 8" xfId="13797" xr:uid="{00000000-0005-0000-0000-000082030000}"/>
    <cellStyle name="Comma 4 2 6 3 4 8 2" xfId="30144" xr:uid="{00000000-0005-0000-0000-000083030000}"/>
    <cellStyle name="Comma 4 2 6 3 4 9" xfId="3446" xr:uid="{00000000-0005-0000-0000-000084030000}"/>
    <cellStyle name="Comma 4 2 6 3 4 9 2" xfId="20169" xr:uid="{00000000-0005-0000-0000-000085030000}"/>
    <cellStyle name="Comma 4 2 6 3 5" xfId="1838" xr:uid="{00000000-0005-0000-0000-000086030000}"/>
    <cellStyle name="Comma 4 2 6 3 5 2" xfId="8517" xr:uid="{00000000-0005-0000-0000-000087030000}"/>
    <cellStyle name="Comma 4 2 6 3 5 2 2" xfId="15780" xr:uid="{00000000-0005-0000-0000-000088030000}"/>
    <cellStyle name="Comma 4 2 6 3 5 2 2 2" xfId="32095" xr:uid="{00000000-0005-0000-0000-000089030000}"/>
    <cellStyle name="Comma 4 2 6 3 5 2 3" xfId="25130" xr:uid="{00000000-0005-0000-0000-00008A030000}"/>
    <cellStyle name="Comma 4 2 6 3 5 3" xfId="11859" xr:uid="{00000000-0005-0000-0000-00008B030000}"/>
    <cellStyle name="Comma 4 2 6 3 5 3 2" xfId="28434" xr:uid="{00000000-0005-0000-0000-00008C030000}"/>
    <cellStyle name="Comma 4 2 6 3 5 4" xfId="13917" xr:uid="{00000000-0005-0000-0000-00008D030000}"/>
    <cellStyle name="Comma 4 2 6 3 5 4 2" xfId="30237" xr:uid="{00000000-0005-0000-0000-00008E030000}"/>
    <cellStyle name="Comma 4 2 6 3 5 5" xfId="13614" xr:uid="{00000000-0005-0000-0000-00008F030000}"/>
    <cellStyle name="Comma 4 2 6 3 5 6" xfId="5166" xr:uid="{00000000-0005-0000-0000-000090030000}"/>
    <cellStyle name="Comma 4 2 6 3 5 6 2" xfId="21830" xr:uid="{00000000-0005-0000-0000-000091030000}"/>
    <cellStyle name="Comma 4 2 6 3 5 7" xfId="18569" xr:uid="{00000000-0005-0000-0000-000092030000}"/>
    <cellStyle name="Comma 4 2 6 3 6" xfId="6828" xr:uid="{00000000-0005-0000-0000-000093030000}"/>
    <cellStyle name="Comma 4 2 6 3 6 2" xfId="10135" xr:uid="{00000000-0005-0000-0000-000094030000}"/>
    <cellStyle name="Comma 4 2 6 3 6 2 2" xfId="17398" xr:uid="{00000000-0005-0000-0000-000095030000}"/>
    <cellStyle name="Comma 4 2 6 3 6 2 2 2" xfId="33713" xr:uid="{00000000-0005-0000-0000-000096030000}"/>
    <cellStyle name="Comma 4 2 6 3 6 2 3" xfId="26748" xr:uid="{00000000-0005-0000-0000-000097030000}"/>
    <cellStyle name="Comma 4 2 6 3 6 3" xfId="13480" xr:uid="{00000000-0005-0000-0000-000098030000}"/>
    <cellStyle name="Comma 4 2 6 3 6 3 2" xfId="30052" xr:uid="{00000000-0005-0000-0000-000099030000}"/>
    <cellStyle name="Comma 4 2 6 3 6 4" xfId="14099" xr:uid="{00000000-0005-0000-0000-00009A030000}"/>
    <cellStyle name="Comma 4 2 6 3 6 4 2" xfId="30415" xr:uid="{00000000-0005-0000-0000-00009B030000}"/>
    <cellStyle name="Comma 4 2 6 3 6 5" xfId="10162" xr:uid="{00000000-0005-0000-0000-00009C030000}"/>
    <cellStyle name="Comma 4 2 6 3 6 6" xfId="23448" xr:uid="{00000000-0005-0000-0000-00009D030000}"/>
    <cellStyle name="Comma 4 2 6 3 7" xfId="6898" xr:uid="{00000000-0005-0000-0000-00009E030000}"/>
    <cellStyle name="Comma 4 2 6 3 7 2" xfId="14161" xr:uid="{00000000-0005-0000-0000-00009F030000}"/>
    <cellStyle name="Comma 4 2 6 3 7 2 2" xfId="30476" xr:uid="{00000000-0005-0000-0000-0000A0030000}"/>
    <cellStyle name="Comma 4 2 6 3 7 3" xfId="23511" xr:uid="{00000000-0005-0000-0000-0000A1030000}"/>
    <cellStyle name="Comma 4 2 6 3 8" xfId="10212" xr:uid="{00000000-0005-0000-0000-0000A2030000}"/>
    <cellStyle name="Comma 4 2 6 3 8 2" xfId="26811" xr:uid="{00000000-0005-0000-0000-0000A3030000}"/>
    <cellStyle name="Comma 4 2 6 3 9" xfId="13755" xr:uid="{00000000-0005-0000-0000-0000A4030000}"/>
    <cellStyle name="Comma 4 2 6 3 9 2" xfId="30105" xr:uid="{00000000-0005-0000-0000-0000A5030000}"/>
    <cellStyle name="Comma 4 2 6 4" xfId="946" xr:uid="{00000000-0005-0000-0000-0000A6030000}"/>
    <cellStyle name="Comma 4 2 6 4 10" xfId="17724" xr:uid="{00000000-0005-0000-0000-0000A7030000}"/>
    <cellStyle name="Comma 4 2 6 4 2" xfId="1064" xr:uid="{00000000-0005-0000-0000-0000A8030000}"/>
    <cellStyle name="Comma 4 2 6 4 3" xfId="1508" xr:uid="{00000000-0005-0000-0000-0000A9030000}"/>
    <cellStyle name="Comma 4 2 6 4 3 10" xfId="18243" xr:uid="{00000000-0005-0000-0000-0000AA030000}"/>
    <cellStyle name="Comma 4 2 6 4 3 2" xfId="1846" xr:uid="{00000000-0005-0000-0000-0000AB030000}"/>
    <cellStyle name="Comma 4 2 6 4 3 2 2" xfId="6120" xr:uid="{00000000-0005-0000-0000-0000AC030000}"/>
    <cellStyle name="Comma 4 2 6 4 3 2 2 2" xfId="9471" xr:uid="{00000000-0005-0000-0000-0000AD030000}"/>
    <cellStyle name="Comma 4 2 6 4 3 2 2 2 2" xfId="16734" xr:uid="{00000000-0005-0000-0000-0000AE030000}"/>
    <cellStyle name="Comma 4 2 6 4 3 2 2 2 2 2" xfId="33049" xr:uid="{00000000-0005-0000-0000-0000AF030000}"/>
    <cellStyle name="Comma 4 2 6 4 3 2 2 2 3" xfId="26084" xr:uid="{00000000-0005-0000-0000-0000B0030000}"/>
    <cellStyle name="Comma 4 2 6 4 3 2 2 3" xfId="12813" xr:uid="{00000000-0005-0000-0000-0000B1030000}"/>
    <cellStyle name="Comma 4 2 6 4 3 2 2 3 2" xfId="29388" xr:uid="{00000000-0005-0000-0000-0000B2030000}"/>
    <cellStyle name="Comma 4 2 6 4 3 2 2 4" xfId="14006" xr:uid="{00000000-0005-0000-0000-0000B3030000}"/>
    <cellStyle name="Comma 4 2 6 4 3 2 2 4 2" xfId="30326" xr:uid="{00000000-0005-0000-0000-0000B4030000}"/>
    <cellStyle name="Comma 4 2 6 4 3 2 2 5" xfId="13600" xr:uid="{00000000-0005-0000-0000-0000B5030000}"/>
    <cellStyle name="Comma 4 2 6 4 3 2 2 6" xfId="22784" xr:uid="{00000000-0005-0000-0000-0000B6030000}"/>
    <cellStyle name="Comma 4 2 6 4 3 2 3" xfId="7850" xr:uid="{00000000-0005-0000-0000-0000B7030000}"/>
    <cellStyle name="Comma 4 2 6 4 3 2 3 2" xfId="15113" xr:uid="{00000000-0005-0000-0000-0000B8030000}"/>
    <cellStyle name="Comma 4 2 6 4 3 2 3 2 2" xfId="31428" xr:uid="{00000000-0005-0000-0000-0000B9030000}"/>
    <cellStyle name="Comma 4 2 6 4 3 2 3 3" xfId="24463" xr:uid="{00000000-0005-0000-0000-0000BA030000}"/>
    <cellStyle name="Comma 4 2 6 4 3 2 4" xfId="11165" xr:uid="{00000000-0005-0000-0000-0000BB030000}"/>
    <cellStyle name="Comma 4 2 6 4 3 2 4 2" xfId="27763" xr:uid="{00000000-0005-0000-0000-0000BC030000}"/>
    <cellStyle name="Comma 4 2 6 4 3 2 5" xfId="13845" xr:uid="{00000000-0005-0000-0000-0000BD030000}"/>
    <cellStyle name="Comma 4 2 6 4 3 2 5 2" xfId="30192" xr:uid="{00000000-0005-0000-0000-0000BE030000}"/>
    <cellStyle name="Comma 4 2 6 4 3 2 6" xfId="13574" xr:uid="{00000000-0005-0000-0000-0000BF030000}"/>
    <cellStyle name="Comma 4 2 6 4 3 2 7" xfId="3450" xr:uid="{00000000-0005-0000-0000-0000C0030000}"/>
    <cellStyle name="Comma 4 2 6 4 3 2 7 2" xfId="20173" xr:uid="{00000000-0005-0000-0000-0000C1030000}"/>
    <cellStyle name="Comma 4 2 6 4 3 2 8" xfId="18577" xr:uid="{00000000-0005-0000-0000-0000C2030000}"/>
    <cellStyle name="Comma 4 2 6 4 3 3" xfId="1845" xr:uid="{00000000-0005-0000-0000-0000C3030000}"/>
    <cellStyle name="Comma 4 2 6 4 3 3 2" xfId="9065" xr:uid="{00000000-0005-0000-0000-0000C4030000}"/>
    <cellStyle name="Comma 4 2 6 4 3 3 2 2" xfId="16328" xr:uid="{00000000-0005-0000-0000-0000C5030000}"/>
    <cellStyle name="Comma 4 2 6 4 3 3 2 2 2" xfId="32643" xr:uid="{00000000-0005-0000-0000-0000C6030000}"/>
    <cellStyle name="Comma 4 2 6 4 3 3 2 3" xfId="25678" xr:uid="{00000000-0005-0000-0000-0000C7030000}"/>
    <cellStyle name="Comma 4 2 6 4 3 3 3" xfId="12407" xr:uid="{00000000-0005-0000-0000-0000C8030000}"/>
    <cellStyle name="Comma 4 2 6 4 3 3 3 2" xfId="28982" xr:uid="{00000000-0005-0000-0000-0000C9030000}"/>
    <cellStyle name="Comma 4 2 6 4 3 3 4" xfId="13967" xr:uid="{00000000-0005-0000-0000-0000CA030000}"/>
    <cellStyle name="Comma 4 2 6 4 3 3 4 2" xfId="30287" xr:uid="{00000000-0005-0000-0000-0000CB030000}"/>
    <cellStyle name="Comma 4 2 6 4 3 3 5" xfId="13652" xr:uid="{00000000-0005-0000-0000-0000CC030000}"/>
    <cellStyle name="Comma 4 2 6 4 3 3 6" xfId="5714" xr:uid="{00000000-0005-0000-0000-0000CD030000}"/>
    <cellStyle name="Comma 4 2 6 4 3 3 6 2" xfId="22378" xr:uid="{00000000-0005-0000-0000-0000CE030000}"/>
    <cellStyle name="Comma 4 2 6 4 3 3 7" xfId="18576" xr:uid="{00000000-0005-0000-0000-0000CF030000}"/>
    <cellStyle name="Comma 4 2 6 4 3 4" xfId="6843" xr:uid="{00000000-0005-0000-0000-0000D0030000}"/>
    <cellStyle name="Comma 4 2 6 4 3 4 2" xfId="10143" xr:uid="{00000000-0005-0000-0000-0000D1030000}"/>
    <cellStyle name="Comma 4 2 6 4 3 4 2 2" xfId="17406" xr:uid="{00000000-0005-0000-0000-0000D2030000}"/>
    <cellStyle name="Comma 4 2 6 4 3 4 2 2 2" xfId="33721" xr:uid="{00000000-0005-0000-0000-0000D3030000}"/>
    <cellStyle name="Comma 4 2 6 4 3 4 2 3" xfId="26756" xr:uid="{00000000-0005-0000-0000-0000D4030000}"/>
    <cellStyle name="Comma 4 2 6 4 3 4 3" xfId="13489" xr:uid="{00000000-0005-0000-0000-0000D5030000}"/>
    <cellStyle name="Comma 4 2 6 4 3 4 3 2" xfId="30060" xr:uid="{00000000-0005-0000-0000-0000D6030000}"/>
    <cellStyle name="Comma 4 2 6 4 3 4 4" xfId="14106" xr:uid="{00000000-0005-0000-0000-0000D7030000}"/>
    <cellStyle name="Comma 4 2 6 4 3 4 4 2" xfId="30421" xr:uid="{00000000-0005-0000-0000-0000D8030000}"/>
    <cellStyle name="Comma 4 2 6 4 3 4 5" xfId="13682" xr:uid="{00000000-0005-0000-0000-0000D9030000}"/>
    <cellStyle name="Comma 4 2 6 4 3 4 6" xfId="23456" xr:uid="{00000000-0005-0000-0000-0000DA030000}"/>
    <cellStyle name="Comma 4 2 6 4 3 5" xfId="6790" xr:uid="{00000000-0005-0000-0000-0000DB030000}"/>
    <cellStyle name="Comma 4 2 6 4 3 6" xfId="7444" xr:uid="{00000000-0005-0000-0000-0000DC030000}"/>
    <cellStyle name="Comma 4 2 6 4 3 6 2" xfId="14707" xr:uid="{00000000-0005-0000-0000-0000DD030000}"/>
    <cellStyle name="Comma 4 2 6 4 3 6 2 2" xfId="31022" xr:uid="{00000000-0005-0000-0000-0000DE030000}"/>
    <cellStyle name="Comma 4 2 6 4 3 6 3" xfId="24057" xr:uid="{00000000-0005-0000-0000-0000DF030000}"/>
    <cellStyle name="Comma 4 2 6 4 3 7" xfId="10759" xr:uid="{00000000-0005-0000-0000-0000E0030000}"/>
    <cellStyle name="Comma 4 2 6 4 3 7 2" xfId="27357" xr:uid="{00000000-0005-0000-0000-0000E1030000}"/>
    <cellStyle name="Comma 4 2 6 4 3 8" xfId="13806" xr:uid="{00000000-0005-0000-0000-0000E2030000}"/>
    <cellStyle name="Comma 4 2 6 4 3 8 2" xfId="30153" xr:uid="{00000000-0005-0000-0000-0000E3030000}"/>
    <cellStyle name="Comma 4 2 6 4 3 9" xfId="3449" xr:uid="{00000000-0005-0000-0000-0000E4030000}"/>
    <cellStyle name="Comma 4 2 6 4 3 9 2" xfId="20172" xr:uid="{00000000-0005-0000-0000-0000E5030000}"/>
    <cellStyle name="Comma 4 2 6 4 4" xfId="1844" xr:uid="{00000000-0005-0000-0000-0000E6030000}"/>
    <cellStyle name="Comma 4 2 6 4 4 2" xfId="8569" xr:uid="{00000000-0005-0000-0000-0000E7030000}"/>
    <cellStyle name="Comma 4 2 6 4 4 2 2" xfId="15832" xr:uid="{00000000-0005-0000-0000-0000E8030000}"/>
    <cellStyle name="Comma 4 2 6 4 4 2 2 2" xfId="32147" xr:uid="{00000000-0005-0000-0000-0000E9030000}"/>
    <cellStyle name="Comma 4 2 6 4 4 2 3" xfId="25182" xr:uid="{00000000-0005-0000-0000-0000EA030000}"/>
    <cellStyle name="Comma 4 2 6 4 4 3" xfId="11911" xr:uid="{00000000-0005-0000-0000-0000EB030000}"/>
    <cellStyle name="Comma 4 2 6 4 4 3 2" xfId="28486" xr:uid="{00000000-0005-0000-0000-0000EC030000}"/>
    <cellStyle name="Comma 4 2 6 4 4 4" xfId="13926" xr:uid="{00000000-0005-0000-0000-0000ED030000}"/>
    <cellStyle name="Comma 4 2 6 4 4 4 2" xfId="30246" xr:uid="{00000000-0005-0000-0000-0000EE030000}"/>
    <cellStyle name="Comma 4 2 6 4 4 5" xfId="13654" xr:uid="{00000000-0005-0000-0000-0000EF030000}"/>
    <cellStyle name="Comma 4 2 6 4 4 6" xfId="5218" xr:uid="{00000000-0005-0000-0000-0000F0030000}"/>
    <cellStyle name="Comma 4 2 6 4 4 6 2" xfId="21882" xr:uid="{00000000-0005-0000-0000-0000F1030000}"/>
    <cellStyle name="Comma 4 2 6 4 4 7" xfId="18575" xr:uid="{00000000-0005-0000-0000-0000F2030000}"/>
    <cellStyle name="Comma 4 2 6 4 5" xfId="6728" xr:uid="{00000000-0005-0000-0000-0000F3030000}"/>
    <cellStyle name="Comma 4 2 6 4 5 2" xfId="10070" xr:uid="{00000000-0005-0000-0000-0000F4030000}"/>
    <cellStyle name="Comma 4 2 6 4 5 2 2" xfId="17333" xr:uid="{00000000-0005-0000-0000-0000F5030000}"/>
    <cellStyle name="Comma 4 2 6 4 5 2 2 2" xfId="33648" xr:uid="{00000000-0005-0000-0000-0000F6030000}"/>
    <cellStyle name="Comma 4 2 6 4 5 2 3" xfId="26683" xr:uid="{00000000-0005-0000-0000-0000F7030000}"/>
    <cellStyle name="Comma 4 2 6 4 5 3" xfId="13413" xr:uid="{00000000-0005-0000-0000-0000F8030000}"/>
    <cellStyle name="Comma 4 2 6 4 5 3 2" xfId="29987" xr:uid="{00000000-0005-0000-0000-0000F9030000}"/>
    <cellStyle name="Comma 4 2 6 4 5 4" xfId="14049" xr:uid="{00000000-0005-0000-0000-0000FA030000}"/>
    <cellStyle name="Comma 4 2 6 4 5 4 2" xfId="30367" xr:uid="{00000000-0005-0000-0000-0000FB030000}"/>
    <cellStyle name="Comma 4 2 6 4 5 5" xfId="13571" xr:uid="{00000000-0005-0000-0000-0000FC030000}"/>
    <cellStyle name="Comma 4 2 6 4 5 6" xfId="23383" xr:uid="{00000000-0005-0000-0000-0000FD030000}"/>
    <cellStyle name="Comma 4 2 6 4 6" xfId="6950" xr:uid="{00000000-0005-0000-0000-0000FE030000}"/>
    <cellStyle name="Comma 4 2 6 4 6 2" xfId="14213" xr:uid="{00000000-0005-0000-0000-0000FF030000}"/>
    <cellStyle name="Comma 4 2 6 4 6 2 2" xfId="30528" xr:uid="{00000000-0005-0000-0000-000000040000}"/>
    <cellStyle name="Comma 4 2 6 4 6 3" xfId="23563" xr:uid="{00000000-0005-0000-0000-000001040000}"/>
    <cellStyle name="Comma 4 2 6 4 7" xfId="10264" xr:uid="{00000000-0005-0000-0000-000002040000}"/>
    <cellStyle name="Comma 4 2 6 4 7 2" xfId="26863" xr:uid="{00000000-0005-0000-0000-000003040000}"/>
    <cellStyle name="Comma 4 2 6 4 8" xfId="13764" xr:uid="{00000000-0005-0000-0000-000004040000}"/>
    <cellStyle name="Comma 4 2 6 4 8 2" xfId="30114" xr:uid="{00000000-0005-0000-0000-000005040000}"/>
    <cellStyle name="Comma 4 2 6 4 9" xfId="3448" xr:uid="{00000000-0005-0000-0000-000006040000}"/>
    <cellStyle name="Comma 4 2 6 4 9 2" xfId="20171" xr:uid="{00000000-0005-0000-0000-000007040000}"/>
    <cellStyle name="Comma 4 2 6 5" xfId="1057" xr:uid="{00000000-0005-0000-0000-000008040000}"/>
    <cellStyle name="Comma 4 2 6 6" xfId="1403" xr:uid="{00000000-0005-0000-0000-000009040000}"/>
    <cellStyle name="Comma 4 2 6 6 10" xfId="18138" xr:uid="{00000000-0005-0000-0000-00000A040000}"/>
    <cellStyle name="Comma 4 2 6 6 2" xfId="1848" xr:uid="{00000000-0005-0000-0000-00000B040000}"/>
    <cellStyle name="Comma 4 2 6 6 2 2" xfId="6102" xr:uid="{00000000-0005-0000-0000-00000C040000}"/>
    <cellStyle name="Comma 4 2 6 6 2 2 2" xfId="9453" xr:uid="{00000000-0005-0000-0000-00000D040000}"/>
    <cellStyle name="Comma 4 2 6 6 2 2 2 2" xfId="16716" xr:uid="{00000000-0005-0000-0000-00000E040000}"/>
    <cellStyle name="Comma 4 2 6 6 2 2 2 2 2" xfId="33031" xr:uid="{00000000-0005-0000-0000-00000F040000}"/>
    <cellStyle name="Comma 4 2 6 6 2 2 2 3" xfId="26066" xr:uid="{00000000-0005-0000-0000-000010040000}"/>
    <cellStyle name="Comma 4 2 6 6 2 2 3" xfId="12795" xr:uid="{00000000-0005-0000-0000-000011040000}"/>
    <cellStyle name="Comma 4 2 6 6 2 2 3 2" xfId="29370" xr:uid="{00000000-0005-0000-0000-000012040000}"/>
    <cellStyle name="Comma 4 2 6 6 2 2 4" xfId="13988" xr:uid="{00000000-0005-0000-0000-000013040000}"/>
    <cellStyle name="Comma 4 2 6 6 2 2 4 2" xfId="30308" xr:uid="{00000000-0005-0000-0000-000014040000}"/>
    <cellStyle name="Comma 4 2 6 6 2 2 5" xfId="11791" xr:uid="{00000000-0005-0000-0000-000015040000}"/>
    <cellStyle name="Comma 4 2 6 6 2 2 6" xfId="22766" xr:uid="{00000000-0005-0000-0000-000016040000}"/>
    <cellStyle name="Comma 4 2 6 6 2 3" xfId="7832" xr:uid="{00000000-0005-0000-0000-000017040000}"/>
    <cellStyle name="Comma 4 2 6 6 2 3 2" xfId="15095" xr:uid="{00000000-0005-0000-0000-000018040000}"/>
    <cellStyle name="Comma 4 2 6 6 2 3 2 2" xfId="31410" xr:uid="{00000000-0005-0000-0000-000019040000}"/>
    <cellStyle name="Comma 4 2 6 6 2 3 3" xfId="24445" xr:uid="{00000000-0005-0000-0000-00001A040000}"/>
    <cellStyle name="Comma 4 2 6 6 2 4" xfId="11147" xr:uid="{00000000-0005-0000-0000-00001B040000}"/>
    <cellStyle name="Comma 4 2 6 6 2 4 2" xfId="27745" xr:uid="{00000000-0005-0000-0000-00001C040000}"/>
    <cellStyle name="Comma 4 2 6 6 2 5" xfId="13827" xr:uid="{00000000-0005-0000-0000-00001D040000}"/>
    <cellStyle name="Comma 4 2 6 6 2 5 2" xfId="30174" xr:uid="{00000000-0005-0000-0000-00001E040000}"/>
    <cellStyle name="Comma 4 2 6 6 2 6" xfId="13621" xr:uid="{00000000-0005-0000-0000-00001F040000}"/>
    <cellStyle name="Comma 4 2 6 6 2 7" xfId="3452" xr:uid="{00000000-0005-0000-0000-000020040000}"/>
    <cellStyle name="Comma 4 2 6 6 2 7 2" xfId="20175" xr:uid="{00000000-0005-0000-0000-000021040000}"/>
    <cellStyle name="Comma 4 2 6 6 2 8" xfId="18579" xr:uid="{00000000-0005-0000-0000-000022040000}"/>
    <cellStyle name="Comma 4 2 6 6 3" xfId="1847" xr:uid="{00000000-0005-0000-0000-000023040000}"/>
    <cellStyle name="Comma 4 2 6 6 3 2" xfId="9047" xr:uid="{00000000-0005-0000-0000-000024040000}"/>
    <cellStyle name="Comma 4 2 6 6 3 2 2" xfId="16310" xr:uid="{00000000-0005-0000-0000-000025040000}"/>
    <cellStyle name="Comma 4 2 6 6 3 2 2 2" xfId="32625" xr:uid="{00000000-0005-0000-0000-000026040000}"/>
    <cellStyle name="Comma 4 2 6 6 3 2 3" xfId="25660" xr:uid="{00000000-0005-0000-0000-000027040000}"/>
    <cellStyle name="Comma 4 2 6 6 3 3" xfId="12389" xr:uid="{00000000-0005-0000-0000-000028040000}"/>
    <cellStyle name="Comma 4 2 6 6 3 3 2" xfId="28964" xr:uid="{00000000-0005-0000-0000-000029040000}"/>
    <cellStyle name="Comma 4 2 6 6 3 4" xfId="13949" xr:uid="{00000000-0005-0000-0000-00002A040000}"/>
    <cellStyle name="Comma 4 2 6 6 3 4 2" xfId="30269" xr:uid="{00000000-0005-0000-0000-00002B040000}"/>
    <cellStyle name="Comma 4 2 6 6 3 5" xfId="13506" xr:uid="{00000000-0005-0000-0000-00002C040000}"/>
    <cellStyle name="Comma 4 2 6 6 3 6" xfId="5696" xr:uid="{00000000-0005-0000-0000-00002D040000}"/>
    <cellStyle name="Comma 4 2 6 6 3 6 2" xfId="22360" xr:uid="{00000000-0005-0000-0000-00002E040000}"/>
    <cellStyle name="Comma 4 2 6 6 3 7" xfId="18578" xr:uid="{00000000-0005-0000-0000-00002F040000}"/>
    <cellStyle name="Comma 4 2 6 6 4" xfId="6732" xr:uid="{00000000-0005-0000-0000-000030040000}"/>
    <cellStyle name="Comma 4 2 6 6 4 2" xfId="10072" xr:uid="{00000000-0005-0000-0000-000031040000}"/>
    <cellStyle name="Comma 4 2 6 6 4 2 2" xfId="17335" xr:uid="{00000000-0005-0000-0000-000032040000}"/>
    <cellStyle name="Comma 4 2 6 6 4 2 2 2" xfId="33650" xr:uid="{00000000-0005-0000-0000-000033040000}"/>
    <cellStyle name="Comma 4 2 6 6 4 2 3" xfId="26685" xr:uid="{00000000-0005-0000-0000-000034040000}"/>
    <cellStyle name="Comma 4 2 6 6 4 3" xfId="13415" xr:uid="{00000000-0005-0000-0000-000035040000}"/>
    <cellStyle name="Comma 4 2 6 6 4 3 2" xfId="29989" xr:uid="{00000000-0005-0000-0000-000036040000}"/>
    <cellStyle name="Comma 4 2 6 6 4 4" xfId="14051" xr:uid="{00000000-0005-0000-0000-000037040000}"/>
    <cellStyle name="Comma 4 2 6 6 4 4 2" xfId="30369" xr:uid="{00000000-0005-0000-0000-000038040000}"/>
    <cellStyle name="Comma 4 2 6 6 4 5" xfId="11787" xr:uid="{00000000-0005-0000-0000-000039040000}"/>
    <cellStyle name="Comma 4 2 6 6 4 6" xfId="23385" xr:uid="{00000000-0005-0000-0000-00003A040000}"/>
    <cellStyle name="Comma 4 2 6 6 5" xfId="6821" xr:uid="{00000000-0005-0000-0000-00003B040000}"/>
    <cellStyle name="Comma 4 2 6 6 6" xfId="7426" xr:uid="{00000000-0005-0000-0000-00003C040000}"/>
    <cellStyle name="Comma 4 2 6 6 6 2" xfId="14689" xr:uid="{00000000-0005-0000-0000-00003D040000}"/>
    <cellStyle name="Comma 4 2 6 6 6 2 2" xfId="31004" xr:uid="{00000000-0005-0000-0000-00003E040000}"/>
    <cellStyle name="Comma 4 2 6 6 6 3" xfId="24039" xr:uid="{00000000-0005-0000-0000-00003F040000}"/>
    <cellStyle name="Comma 4 2 6 6 7" xfId="10741" xr:uid="{00000000-0005-0000-0000-000040040000}"/>
    <cellStyle name="Comma 4 2 6 6 7 2" xfId="27339" xr:uid="{00000000-0005-0000-0000-000041040000}"/>
    <cellStyle name="Comma 4 2 6 6 8" xfId="13787" xr:uid="{00000000-0005-0000-0000-000042040000}"/>
    <cellStyle name="Comma 4 2 6 6 8 2" xfId="30135" xr:uid="{00000000-0005-0000-0000-000043040000}"/>
    <cellStyle name="Comma 4 2 6 6 9" xfId="3451" xr:uid="{00000000-0005-0000-0000-000044040000}"/>
    <cellStyle name="Comma 4 2 6 6 9 2" xfId="20174" xr:uid="{00000000-0005-0000-0000-000045040000}"/>
    <cellStyle name="Comma 4 2 6 7" xfId="1825" xr:uid="{00000000-0005-0000-0000-000046040000}"/>
    <cellStyle name="Comma 4 2 6 7 2" xfId="8457" xr:uid="{00000000-0005-0000-0000-000047040000}"/>
    <cellStyle name="Comma 4 2 6 7 2 2" xfId="15720" xr:uid="{00000000-0005-0000-0000-000048040000}"/>
    <cellStyle name="Comma 4 2 6 7 2 2 2" xfId="32035" xr:uid="{00000000-0005-0000-0000-000049040000}"/>
    <cellStyle name="Comma 4 2 6 7 2 3" xfId="25070" xr:uid="{00000000-0005-0000-0000-00004A040000}"/>
    <cellStyle name="Comma 4 2 6 7 3" xfId="11798" xr:uid="{00000000-0005-0000-0000-00004B040000}"/>
    <cellStyle name="Comma 4 2 6 7 3 2" xfId="28374" xr:uid="{00000000-0005-0000-0000-00004C040000}"/>
    <cellStyle name="Comma 4 2 6 7 4" xfId="13900" xr:uid="{00000000-0005-0000-0000-00004D040000}"/>
    <cellStyle name="Comma 4 2 6 7 4 2" xfId="30221" xr:uid="{00000000-0005-0000-0000-00004E040000}"/>
    <cellStyle name="Comma 4 2 6 7 5" xfId="10157" xr:uid="{00000000-0005-0000-0000-00004F040000}"/>
    <cellStyle name="Comma 4 2 6 7 6" xfId="5102" xr:uid="{00000000-0005-0000-0000-000050040000}"/>
    <cellStyle name="Comma 4 2 6 7 6 2" xfId="21770" xr:uid="{00000000-0005-0000-0000-000051040000}"/>
    <cellStyle name="Comma 4 2 6 7 7" xfId="18556" xr:uid="{00000000-0005-0000-0000-000052040000}"/>
    <cellStyle name="Comma 4 2 6 8" xfId="6775" xr:uid="{00000000-0005-0000-0000-000053040000}"/>
    <cellStyle name="Comma 4 2 6 8 2" xfId="10097" xr:uid="{00000000-0005-0000-0000-000054040000}"/>
    <cellStyle name="Comma 4 2 6 8 2 2" xfId="17360" xr:uid="{00000000-0005-0000-0000-000055040000}"/>
    <cellStyle name="Comma 4 2 6 8 2 2 2" xfId="33675" xr:uid="{00000000-0005-0000-0000-000056040000}"/>
    <cellStyle name="Comma 4 2 6 8 2 3" xfId="26710" xr:uid="{00000000-0005-0000-0000-000057040000}"/>
    <cellStyle name="Comma 4 2 6 8 3" xfId="13440" xr:uid="{00000000-0005-0000-0000-000058040000}"/>
    <cellStyle name="Comma 4 2 6 8 3 2" xfId="30014" xr:uid="{00000000-0005-0000-0000-000059040000}"/>
    <cellStyle name="Comma 4 2 6 8 4" xfId="14077" xr:uid="{00000000-0005-0000-0000-00005A040000}"/>
    <cellStyle name="Comma 4 2 6 8 4 2" xfId="30394" xr:uid="{00000000-0005-0000-0000-00005B040000}"/>
    <cellStyle name="Comma 4 2 6 8 5" xfId="13559" xr:uid="{00000000-0005-0000-0000-00005C040000}"/>
    <cellStyle name="Comma 4 2 6 8 6" xfId="23410" xr:uid="{00000000-0005-0000-0000-00005D040000}"/>
    <cellStyle name="Comma 4 2 6 9" xfId="6845" xr:uid="{00000000-0005-0000-0000-00005E040000}"/>
    <cellStyle name="Comma 4 2 6 9 2" xfId="14108" xr:uid="{00000000-0005-0000-0000-00005F040000}"/>
    <cellStyle name="Comma 4 2 6 9 2 2" xfId="30423" xr:uid="{00000000-0005-0000-0000-000060040000}"/>
    <cellStyle name="Comma 4 2 6 9 3" xfId="23458" xr:uid="{00000000-0005-0000-0000-000061040000}"/>
    <cellStyle name="Comma 4 2 7" xfId="883" xr:uid="{00000000-0005-0000-0000-000062040000}"/>
    <cellStyle name="Comma 4 2 7 10" xfId="13753" xr:uid="{00000000-0005-0000-0000-000063040000}"/>
    <cellStyle name="Comma 4 2 7 10 2" xfId="30103" xr:uid="{00000000-0005-0000-0000-000064040000}"/>
    <cellStyle name="Comma 4 2 7 11" xfId="3453" xr:uid="{00000000-0005-0000-0000-000065040000}"/>
    <cellStyle name="Comma 4 2 7 11 2" xfId="20176" xr:uid="{00000000-0005-0000-0000-000066040000}"/>
    <cellStyle name="Comma 4 2 7 12" xfId="17661" xr:uid="{00000000-0005-0000-0000-000067040000}"/>
    <cellStyle name="Comma 4 2 7 2" xfId="936" xr:uid="{00000000-0005-0000-0000-000068040000}"/>
    <cellStyle name="Comma 4 2 7 2 10" xfId="3454" xr:uid="{00000000-0005-0000-0000-000069040000}"/>
    <cellStyle name="Comma 4 2 7 2 10 2" xfId="20177" xr:uid="{00000000-0005-0000-0000-00006A040000}"/>
    <cellStyle name="Comma 4 2 7 2 11" xfId="17714" xr:uid="{00000000-0005-0000-0000-00006B040000}"/>
    <cellStyle name="Comma 4 2 7 2 2" xfId="1043" xr:uid="{00000000-0005-0000-0000-00006C040000}"/>
    <cellStyle name="Comma 4 2 7 2 2 10" xfId="17820" xr:uid="{00000000-0005-0000-0000-00006D040000}"/>
    <cellStyle name="Comma 4 2 7 2 2 2" xfId="1067" xr:uid="{00000000-0005-0000-0000-00006E040000}"/>
    <cellStyle name="Comma 4 2 7 2 2 3" xfId="1604" xr:uid="{00000000-0005-0000-0000-00006F040000}"/>
    <cellStyle name="Comma 4 2 7 2 2 3 10" xfId="18339" xr:uid="{00000000-0005-0000-0000-000070040000}"/>
    <cellStyle name="Comma 4 2 7 2 2 3 2" xfId="1853" xr:uid="{00000000-0005-0000-0000-000071040000}"/>
    <cellStyle name="Comma 4 2 7 2 2 3 2 2" xfId="6136" xr:uid="{00000000-0005-0000-0000-000072040000}"/>
    <cellStyle name="Comma 4 2 7 2 2 3 2 2 2" xfId="9487" xr:uid="{00000000-0005-0000-0000-000073040000}"/>
    <cellStyle name="Comma 4 2 7 2 2 3 2 2 2 2" xfId="16750" xr:uid="{00000000-0005-0000-0000-000074040000}"/>
    <cellStyle name="Comma 4 2 7 2 2 3 2 2 2 2 2" xfId="33065" xr:uid="{00000000-0005-0000-0000-000075040000}"/>
    <cellStyle name="Comma 4 2 7 2 2 3 2 2 2 3" xfId="26100" xr:uid="{00000000-0005-0000-0000-000076040000}"/>
    <cellStyle name="Comma 4 2 7 2 2 3 2 2 3" xfId="12829" xr:uid="{00000000-0005-0000-0000-000077040000}"/>
    <cellStyle name="Comma 4 2 7 2 2 3 2 2 3 2" xfId="29404" xr:uid="{00000000-0005-0000-0000-000078040000}"/>
    <cellStyle name="Comma 4 2 7 2 2 3 2 2 4" xfId="14022" xr:uid="{00000000-0005-0000-0000-000079040000}"/>
    <cellStyle name="Comma 4 2 7 2 2 3 2 2 4 2" xfId="30342" xr:uid="{00000000-0005-0000-0000-00007A040000}"/>
    <cellStyle name="Comma 4 2 7 2 2 3 2 2 5" xfId="13618" xr:uid="{00000000-0005-0000-0000-00007B040000}"/>
    <cellStyle name="Comma 4 2 7 2 2 3 2 2 6" xfId="22800" xr:uid="{00000000-0005-0000-0000-00007C040000}"/>
    <cellStyle name="Comma 4 2 7 2 2 3 2 3" xfId="7866" xr:uid="{00000000-0005-0000-0000-00007D040000}"/>
    <cellStyle name="Comma 4 2 7 2 2 3 2 3 2" xfId="15129" xr:uid="{00000000-0005-0000-0000-00007E040000}"/>
    <cellStyle name="Comma 4 2 7 2 2 3 2 3 2 2" xfId="31444" xr:uid="{00000000-0005-0000-0000-00007F040000}"/>
    <cellStyle name="Comma 4 2 7 2 2 3 2 3 3" xfId="24479" xr:uid="{00000000-0005-0000-0000-000080040000}"/>
    <cellStyle name="Comma 4 2 7 2 2 3 2 4" xfId="11181" xr:uid="{00000000-0005-0000-0000-000081040000}"/>
    <cellStyle name="Comma 4 2 7 2 2 3 2 4 2" xfId="27779" xr:uid="{00000000-0005-0000-0000-000082040000}"/>
    <cellStyle name="Comma 4 2 7 2 2 3 2 5" xfId="13861" xr:uid="{00000000-0005-0000-0000-000083040000}"/>
    <cellStyle name="Comma 4 2 7 2 2 3 2 5 2" xfId="30208" xr:uid="{00000000-0005-0000-0000-000084040000}"/>
    <cellStyle name="Comma 4 2 7 2 2 3 2 6" xfId="13613" xr:uid="{00000000-0005-0000-0000-000085040000}"/>
    <cellStyle name="Comma 4 2 7 2 2 3 2 7" xfId="3457" xr:uid="{00000000-0005-0000-0000-000086040000}"/>
    <cellStyle name="Comma 4 2 7 2 2 3 2 7 2" xfId="20180" xr:uid="{00000000-0005-0000-0000-000087040000}"/>
    <cellStyle name="Comma 4 2 7 2 2 3 2 8" xfId="18584" xr:uid="{00000000-0005-0000-0000-000088040000}"/>
    <cellStyle name="Comma 4 2 7 2 2 3 3" xfId="1852" xr:uid="{00000000-0005-0000-0000-000089040000}"/>
    <cellStyle name="Comma 4 2 7 2 2 3 3 2" xfId="9081" xr:uid="{00000000-0005-0000-0000-00008A040000}"/>
    <cellStyle name="Comma 4 2 7 2 2 3 3 2 2" xfId="16344" xr:uid="{00000000-0005-0000-0000-00008B040000}"/>
    <cellStyle name="Comma 4 2 7 2 2 3 3 2 2 2" xfId="32659" xr:uid="{00000000-0005-0000-0000-00008C040000}"/>
    <cellStyle name="Comma 4 2 7 2 2 3 3 2 3" xfId="25694" xr:uid="{00000000-0005-0000-0000-00008D040000}"/>
    <cellStyle name="Comma 4 2 7 2 2 3 3 3" xfId="12423" xr:uid="{00000000-0005-0000-0000-00008E040000}"/>
    <cellStyle name="Comma 4 2 7 2 2 3 3 3 2" xfId="28998" xr:uid="{00000000-0005-0000-0000-00008F040000}"/>
    <cellStyle name="Comma 4 2 7 2 2 3 3 4" xfId="13983" xr:uid="{00000000-0005-0000-0000-000090040000}"/>
    <cellStyle name="Comma 4 2 7 2 2 3 3 4 2" xfId="30303" xr:uid="{00000000-0005-0000-0000-000091040000}"/>
    <cellStyle name="Comma 4 2 7 2 2 3 3 5" xfId="13582" xr:uid="{00000000-0005-0000-0000-000092040000}"/>
    <cellStyle name="Comma 4 2 7 2 2 3 3 6" xfId="5730" xr:uid="{00000000-0005-0000-0000-000093040000}"/>
    <cellStyle name="Comma 4 2 7 2 2 3 3 6 2" xfId="22394" xr:uid="{00000000-0005-0000-0000-000094040000}"/>
    <cellStyle name="Comma 4 2 7 2 2 3 3 7" xfId="18583" xr:uid="{00000000-0005-0000-0000-000095040000}"/>
    <cellStyle name="Comma 4 2 7 2 2 3 4" xfId="6786" xr:uid="{00000000-0005-0000-0000-000096040000}"/>
    <cellStyle name="Comma 4 2 7 2 2 3 4 2" xfId="10104" xr:uid="{00000000-0005-0000-0000-000097040000}"/>
    <cellStyle name="Comma 4 2 7 2 2 3 4 2 2" xfId="17367" xr:uid="{00000000-0005-0000-0000-000098040000}"/>
    <cellStyle name="Comma 4 2 7 2 2 3 4 2 2 2" xfId="33682" xr:uid="{00000000-0005-0000-0000-000099040000}"/>
    <cellStyle name="Comma 4 2 7 2 2 3 4 2 3" xfId="26717" xr:uid="{00000000-0005-0000-0000-00009A040000}"/>
    <cellStyle name="Comma 4 2 7 2 2 3 4 3" xfId="13448" xr:uid="{00000000-0005-0000-0000-00009B040000}"/>
    <cellStyle name="Comma 4 2 7 2 2 3 4 3 2" xfId="30021" xr:uid="{00000000-0005-0000-0000-00009C040000}"/>
    <cellStyle name="Comma 4 2 7 2 2 3 4 4" xfId="14084" xr:uid="{00000000-0005-0000-0000-00009D040000}"/>
    <cellStyle name="Comma 4 2 7 2 2 3 4 4 2" xfId="30401" xr:uid="{00000000-0005-0000-0000-00009E040000}"/>
    <cellStyle name="Comma 4 2 7 2 2 3 4 5" xfId="11775" xr:uid="{00000000-0005-0000-0000-00009F040000}"/>
    <cellStyle name="Comma 4 2 7 2 2 3 4 6" xfId="23417" xr:uid="{00000000-0005-0000-0000-0000A0040000}"/>
    <cellStyle name="Comma 4 2 7 2 2 3 5" xfId="6841" xr:uid="{00000000-0005-0000-0000-0000A1040000}"/>
    <cellStyle name="Comma 4 2 7 2 2 3 6" xfId="7460" xr:uid="{00000000-0005-0000-0000-0000A2040000}"/>
    <cellStyle name="Comma 4 2 7 2 2 3 6 2" xfId="14723" xr:uid="{00000000-0005-0000-0000-0000A3040000}"/>
    <cellStyle name="Comma 4 2 7 2 2 3 6 2 2" xfId="31038" xr:uid="{00000000-0005-0000-0000-0000A4040000}"/>
    <cellStyle name="Comma 4 2 7 2 2 3 6 3" xfId="24073" xr:uid="{00000000-0005-0000-0000-0000A5040000}"/>
    <cellStyle name="Comma 4 2 7 2 2 3 7" xfId="10775" xr:uid="{00000000-0005-0000-0000-0000A6040000}"/>
    <cellStyle name="Comma 4 2 7 2 2 3 7 2" xfId="27373" xr:uid="{00000000-0005-0000-0000-0000A7040000}"/>
    <cellStyle name="Comma 4 2 7 2 2 3 8" xfId="13822" xr:uid="{00000000-0005-0000-0000-0000A8040000}"/>
    <cellStyle name="Comma 4 2 7 2 2 3 8 2" xfId="30169" xr:uid="{00000000-0005-0000-0000-0000A9040000}"/>
    <cellStyle name="Comma 4 2 7 2 2 3 9" xfId="3456" xr:uid="{00000000-0005-0000-0000-0000AA040000}"/>
    <cellStyle name="Comma 4 2 7 2 2 3 9 2" xfId="20179" xr:uid="{00000000-0005-0000-0000-0000AB040000}"/>
    <cellStyle name="Comma 4 2 7 2 2 4" xfId="1851" xr:uid="{00000000-0005-0000-0000-0000AC040000}"/>
    <cellStyle name="Comma 4 2 7 2 2 4 2" xfId="8665" xr:uid="{00000000-0005-0000-0000-0000AD040000}"/>
    <cellStyle name="Comma 4 2 7 2 2 4 2 2" xfId="15928" xr:uid="{00000000-0005-0000-0000-0000AE040000}"/>
    <cellStyle name="Comma 4 2 7 2 2 4 2 2 2" xfId="32243" xr:uid="{00000000-0005-0000-0000-0000AF040000}"/>
    <cellStyle name="Comma 4 2 7 2 2 4 2 3" xfId="25278" xr:uid="{00000000-0005-0000-0000-0000B0040000}"/>
    <cellStyle name="Comma 4 2 7 2 2 4 3" xfId="12007" xr:uid="{00000000-0005-0000-0000-0000B1040000}"/>
    <cellStyle name="Comma 4 2 7 2 2 4 3 2" xfId="28582" xr:uid="{00000000-0005-0000-0000-0000B2040000}"/>
    <cellStyle name="Comma 4 2 7 2 2 4 4" xfId="13942" xr:uid="{00000000-0005-0000-0000-0000B3040000}"/>
    <cellStyle name="Comma 4 2 7 2 2 4 4 2" xfId="30262" xr:uid="{00000000-0005-0000-0000-0000B4040000}"/>
    <cellStyle name="Comma 4 2 7 2 2 4 5" xfId="13681" xr:uid="{00000000-0005-0000-0000-0000B5040000}"/>
    <cellStyle name="Comma 4 2 7 2 2 4 6" xfId="5314" xr:uid="{00000000-0005-0000-0000-0000B6040000}"/>
    <cellStyle name="Comma 4 2 7 2 2 4 6 2" xfId="21978" xr:uid="{00000000-0005-0000-0000-0000B7040000}"/>
    <cellStyle name="Comma 4 2 7 2 2 4 7" xfId="18582" xr:uid="{00000000-0005-0000-0000-0000B8040000}"/>
    <cellStyle name="Comma 4 2 7 2 2 5" xfId="6769" xr:uid="{00000000-0005-0000-0000-0000B9040000}"/>
    <cellStyle name="Comma 4 2 7 2 2 5 2" xfId="10094" xr:uid="{00000000-0005-0000-0000-0000BA040000}"/>
    <cellStyle name="Comma 4 2 7 2 2 5 2 2" xfId="17357" xr:uid="{00000000-0005-0000-0000-0000BB040000}"/>
    <cellStyle name="Comma 4 2 7 2 2 5 2 2 2" xfId="33672" xr:uid="{00000000-0005-0000-0000-0000BC040000}"/>
    <cellStyle name="Comma 4 2 7 2 2 5 2 3" xfId="26707" xr:uid="{00000000-0005-0000-0000-0000BD040000}"/>
    <cellStyle name="Comma 4 2 7 2 2 5 3" xfId="13437" xr:uid="{00000000-0005-0000-0000-0000BE040000}"/>
    <cellStyle name="Comma 4 2 7 2 2 5 3 2" xfId="30011" xr:uid="{00000000-0005-0000-0000-0000BF040000}"/>
    <cellStyle name="Comma 4 2 7 2 2 5 4" xfId="14074" xr:uid="{00000000-0005-0000-0000-0000C0040000}"/>
    <cellStyle name="Comma 4 2 7 2 2 5 4 2" xfId="30391" xr:uid="{00000000-0005-0000-0000-0000C1040000}"/>
    <cellStyle name="Comma 4 2 7 2 2 5 5" xfId="13573" xr:uid="{00000000-0005-0000-0000-0000C2040000}"/>
    <cellStyle name="Comma 4 2 7 2 2 5 6" xfId="23407" xr:uid="{00000000-0005-0000-0000-0000C3040000}"/>
    <cellStyle name="Comma 4 2 7 2 2 6" xfId="7046" xr:uid="{00000000-0005-0000-0000-0000C4040000}"/>
    <cellStyle name="Comma 4 2 7 2 2 6 2" xfId="14309" xr:uid="{00000000-0005-0000-0000-0000C5040000}"/>
    <cellStyle name="Comma 4 2 7 2 2 6 2 2" xfId="30624" xr:uid="{00000000-0005-0000-0000-0000C6040000}"/>
    <cellStyle name="Comma 4 2 7 2 2 6 3" xfId="23659" xr:uid="{00000000-0005-0000-0000-0000C7040000}"/>
    <cellStyle name="Comma 4 2 7 2 2 7" xfId="10360" xr:uid="{00000000-0005-0000-0000-0000C8040000}"/>
    <cellStyle name="Comma 4 2 7 2 2 7 2" xfId="26959" xr:uid="{00000000-0005-0000-0000-0000C9040000}"/>
    <cellStyle name="Comma 4 2 7 2 2 8" xfId="13780" xr:uid="{00000000-0005-0000-0000-0000CA040000}"/>
    <cellStyle name="Comma 4 2 7 2 2 8 2" xfId="30130" xr:uid="{00000000-0005-0000-0000-0000CB040000}"/>
    <cellStyle name="Comma 4 2 7 2 2 9" xfId="3455" xr:uid="{00000000-0005-0000-0000-0000CC040000}"/>
    <cellStyle name="Comma 4 2 7 2 2 9 2" xfId="20178" xr:uid="{00000000-0005-0000-0000-0000CD040000}"/>
    <cellStyle name="Comma 4 2 7 2 3" xfId="1066" xr:uid="{00000000-0005-0000-0000-0000CE040000}"/>
    <cellStyle name="Comma 4 2 7 2 4" xfId="1498" xr:uid="{00000000-0005-0000-0000-0000CF040000}"/>
    <cellStyle name="Comma 4 2 7 2 4 10" xfId="18233" xr:uid="{00000000-0005-0000-0000-0000D0040000}"/>
    <cellStyle name="Comma 4 2 7 2 4 2" xfId="1855" xr:uid="{00000000-0005-0000-0000-0000D1040000}"/>
    <cellStyle name="Comma 4 2 7 2 4 2 2" xfId="6118" xr:uid="{00000000-0005-0000-0000-0000D2040000}"/>
    <cellStyle name="Comma 4 2 7 2 4 2 2 2" xfId="9469" xr:uid="{00000000-0005-0000-0000-0000D3040000}"/>
    <cellStyle name="Comma 4 2 7 2 4 2 2 2 2" xfId="16732" xr:uid="{00000000-0005-0000-0000-0000D4040000}"/>
    <cellStyle name="Comma 4 2 7 2 4 2 2 2 2 2" xfId="33047" xr:uid="{00000000-0005-0000-0000-0000D5040000}"/>
    <cellStyle name="Comma 4 2 7 2 4 2 2 2 3" xfId="26082" xr:uid="{00000000-0005-0000-0000-0000D6040000}"/>
    <cellStyle name="Comma 4 2 7 2 4 2 2 3" xfId="12811" xr:uid="{00000000-0005-0000-0000-0000D7040000}"/>
    <cellStyle name="Comma 4 2 7 2 4 2 2 3 2" xfId="29386" xr:uid="{00000000-0005-0000-0000-0000D8040000}"/>
    <cellStyle name="Comma 4 2 7 2 4 2 2 4" xfId="14004" xr:uid="{00000000-0005-0000-0000-0000D9040000}"/>
    <cellStyle name="Comma 4 2 7 2 4 2 2 4 2" xfId="30324" xr:uid="{00000000-0005-0000-0000-0000DA040000}"/>
    <cellStyle name="Comma 4 2 7 2 4 2 2 5" xfId="13596" xr:uid="{00000000-0005-0000-0000-0000DB040000}"/>
    <cellStyle name="Comma 4 2 7 2 4 2 2 6" xfId="22782" xr:uid="{00000000-0005-0000-0000-0000DC040000}"/>
    <cellStyle name="Comma 4 2 7 2 4 2 3" xfId="7848" xr:uid="{00000000-0005-0000-0000-0000DD040000}"/>
    <cellStyle name="Comma 4 2 7 2 4 2 3 2" xfId="15111" xr:uid="{00000000-0005-0000-0000-0000DE040000}"/>
    <cellStyle name="Comma 4 2 7 2 4 2 3 2 2" xfId="31426" xr:uid="{00000000-0005-0000-0000-0000DF040000}"/>
    <cellStyle name="Comma 4 2 7 2 4 2 3 3" xfId="24461" xr:uid="{00000000-0005-0000-0000-0000E0040000}"/>
    <cellStyle name="Comma 4 2 7 2 4 2 4" xfId="11163" xr:uid="{00000000-0005-0000-0000-0000E1040000}"/>
    <cellStyle name="Comma 4 2 7 2 4 2 4 2" xfId="27761" xr:uid="{00000000-0005-0000-0000-0000E2040000}"/>
    <cellStyle name="Comma 4 2 7 2 4 2 5" xfId="13843" xr:uid="{00000000-0005-0000-0000-0000E3040000}"/>
    <cellStyle name="Comma 4 2 7 2 4 2 5 2" xfId="30190" xr:uid="{00000000-0005-0000-0000-0000E4040000}"/>
    <cellStyle name="Comma 4 2 7 2 4 2 6" xfId="13553" xr:uid="{00000000-0005-0000-0000-0000E5040000}"/>
    <cellStyle name="Comma 4 2 7 2 4 2 7" xfId="3459" xr:uid="{00000000-0005-0000-0000-0000E6040000}"/>
    <cellStyle name="Comma 4 2 7 2 4 2 7 2" xfId="20182" xr:uid="{00000000-0005-0000-0000-0000E7040000}"/>
    <cellStyle name="Comma 4 2 7 2 4 2 8" xfId="18586" xr:uid="{00000000-0005-0000-0000-0000E8040000}"/>
    <cellStyle name="Comma 4 2 7 2 4 3" xfId="1854" xr:uid="{00000000-0005-0000-0000-0000E9040000}"/>
    <cellStyle name="Comma 4 2 7 2 4 3 2" xfId="9063" xr:uid="{00000000-0005-0000-0000-0000EA040000}"/>
    <cellStyle name="Comma 4 2 7 2 4 3 2 2" xfId="16326" xr:uid="{00000000-0005-0000-0000-0000EB040000}"/>
    <cellStyle name="Comma 4 2 7 2 4 3 2 2 2" xfId="32641" xr:uid="{00000000-0005-0000-0000-0000EC040000}"/>
    <cellStyle name="Comma 4 2 7 2 4 3 2 3" xfId="25676" xr:uid="{00000000-0005-0000-0000-0000ED040000}"/>
    <cellStyle name="Comma 4 2 7 2 4 3 3" xfId="12405" xr:uid="{00000000-0005-0000-0000-0000EE040000}"/>
    <cellStyle name="Comma 4 2 7 2 4 3 3 2" xfId="28980" xr:uid="{00000000-0005-0000-0000-0000EF040000}"/>
    <cellStyle name="Comma 4 2 7 2 4 3 4" xfId="13965" xr:uid="{00000000-0005-0000-0000-0000F0040000}"/>
    <cellStyle name="Comma 4 2 7 2 4 3 4 2" xfId="30285" xr:uid="{00000000-0005-0000-0000-0000F1040000}"/>
    <cellStyle name="Comma 4 2 7 2 4 3 5" xfId="13718" xr:uid="{00000000-0005-0000-0000-0000F2040000}"/>
    <cellStyle name="Comma 4 2 7 2 4 3 6" xfId="5712" xr:uid="{00000000-0005-0000-0000-0000F3040000}"/>
    <cellStyle name="Comma 4 2 7 2 4 3 6 2" xfId="22376" xr:uid="{00000000-0005-0000-0000-0000F4040000}"/>
    <cellStyle name="Comma 4 2 7 2 4 3 7" xfId="18585" xr:uid="{00000000-0005-0000-0000-0000F5040000}"/>
    <cellStyle name="Comma 4 2 7 2 4 4" xfId="6785" xr:uid="{00000000-0005-0000-0000-0000F6040000}"/>
    <cellStyle name="Comma 4 2 7 2 4 4 2" xfId="10103" xr:uid="{00000000-0005-0000-0000-0000F7040000}"/>
    <cellStyle name="Comma 4 2 7 2 4 4 2 2" xfId="17366" xr:uid="{00000000-0005-0000-0000-0000F8040000}"/>
    <cellStyle name="Comma 4 2 7 2 4 4 2 2 2" xfId="33681" xr:uid="{00000000-0005-0000-0000-0000F9040000}"/>
    <cellStyle name="Comma 4 2 7 2 4 4 2 3" xfId="26716" xr:uid="{00000000-0005-0000-0000-0000FA040000}"/>
    <cellStyle name="Comma 4 2 7 2 4 4 3" xfId="13447" xr:uid="{00000000-0005-0000-0000-0000FB040000}"/>
    <cellStyle name="Comma 4 2 7 2 4 4 3 2" xfId="30020" xr:uid="{00000000-0005-0000-0000-0000FC040000}"/>
    <cellStyle name="Comma 4 2 7 2 4 4 4" xfId="14083" xr:uid="{00000000-0005-0000-0000-0000FD040000}"/>
    <cellStyle name="Comma 4 2 7 2 4 4 4 2" xfId="30400" xr:uid="{00000000-0005-0000-0000-0000FE040000}"/>
    <cellStyle name="Comma 4 2 7 2 4 4 5" xfId="13632" xr:uid="{00000000-0005-0000-0000-0000FF040000}"/>
    <cellStyle name="Comma 4 2 7 2 4 4 6" xfId="23416" xr:uid="{00000000-0005-0000-0000-000000050000}"/>
    <cellStyle name="Comma 4 2 7 2 4 5" xfId="6795" xr:uid="{00000000-0005-0000-0000-000001050000}"/>
    <cellStyle name="Comma 4 2 7 2 4 6" xfId="7442" xr:uid="{00000000-0005-0000-0000-000002050000}"/>
    <cellStyle name="Comma 4 2 7 2 4 6 2" xfId="14705" xr:uid="{00000000-0005-0000-0000-000003050000}"/>
    <cellStyle name="Comma 4 2 7 2 4 6 2 2" xfId="31020" xr:uid="{00000000-0005-0000-0000-000004050000}"/>
    <cellStyle name="Comma 4 2 7 2 4 6 3" xfId="24055" xr:uid="{00000000-0005-0000-0000-000005050000}"/>
    <cellStyle name="Comma 4 2 7 2 4 7" xfId="10757" xr:uid="{00000000-0005-0000-0000-000006050000}"/>
    <cellStyle name="Comma 4 2 7 2 4 7 2" xfId="27355" xr:uid="{00000000-0005-0000-0000-000007050000}"/>
    <cellStyle name="Comma 4 2 7 2 4 8" xfId="13804" xr:uid="{00000000-0005-0000-0000-000008050000}"/>
    <cellStyle name="Comma 4 2 7 2 4 8 2" xfId="30151" xr:uid="{00000000-0005-0000-0000-000009050000}"/>
    <cellStyle name="Comma 4 2 7 2 4 9" xfId="3458" xr:uid="{00000000-0005-0000-0000-00000A050000}"/>
    <cellStyle name="Comma 4 2 7 2 4 9 2" xfId="20181" xr:uid="{00000000-0005-0000-0000-00000B050000}"/>
    <cellStyle name="Comma 4 2 7 2 5" xfId="1850" xr:uid="{00000000-0005-0000-0000-00000C050000}"/>
    <cellStyle name="Comma 4 2 7 2 5 2" xfId="8559" xr:uid="{00000000-0005-0000-0000-00000D050000}"/>
    <cellStyle name="Comma 4 2 7 2 5 2 2" xfId="15822" xr:uid="{00000000-0005-0000-0000-00000E050000}"/>
    <cellStyle name="Comma 4 2 7 2 5 2 2 2" xfId="32137" xr:uid="{00000000-0005-0000-0000-00000F050000}"/>
    <cellStyle name="Comma 4 2 7 2 5 2 3" xfId="25172" xr:uid="{00000000-0005-0000-0000-000010050000}"/>
    <cellStyle name="Comma 4 2 7 2 5 3" xfId="11901" xr:uid="{00000000-0005-0000-0000-000011050000}"/>
    <cellStyle name="Comma 4 2 7 2 5 3 2" xfId="28476" xr:uid="{00000000-0005-0000-0000-000012050000}"/>
    <cellStyle name="Comma 4 2 7 2 5 4" xfId="13924" xr:uid="{00000000-0005-0000-0000-000013050000}"/>
    <cellStyle name="Comma 4 2 7 2 5 4 2" xfId="30244" xr:uid="{00000000-0005-0000-0000-000014050000}"/>
    <cellStyle name="Comma 4 2 7 2 5 5" xfId="13672" xr:uid="{00000000-0005-0000-0000-000015050000}"/>
    <cellStyle name="Comma 4 2 7 2 5 6" xfId="5208" xr:uid="{00000000-0005-0000-0000-000016050000}"/>
    <cellStyle name="Comma 4 2 7 2 5 6 2" xfId="21872" xr:uid="{00000000-0005-0000-0000-000017050000}"/>
    <cellStyle name="Comma 4 2 7 2 5 7" xfId="18581" xr:uid="{00000000-0005-0000-0000-000018050000}"/>
    <cellStyle name="Comma 4 2 7 2 6" xfId="6783" xr:uid="{00000000-0005-0000-0000-000019050000}"/>
    <cellStyle name="Comma 4 2 7 2 6 2" xfId="10101" xr:uid="{00000000-0005-0000-0000-00001A050000}"/>
    <cellStyle name="Comma 4 2 7 2 6 2 2" xfId="17364" xr:uid="{00000000-0005-0000-0000-00001B050000}"/>
    <cellStyle name="Comma 4 2 7 2 6 2 2 2" xfId="33679" xr:uid="{00000000-0005-0000-0000-00001C050000}"/>
    <cellStyle name="Comma 4 2 7 2 6 2 3" xfId="26714" xr:uid="{00000000-0005-0000-0000-00001D050000}"/>
    <cellStyle name="Comma 4 2 7 2 6 3" xfId="13445" xr:uid="{00000000-0005-0000-0000-00001E050000}"/>
    <cellStyle name="Comma 4 2 7 2 6 3 2" xfId="30018" xr:uid="{00000000-0005-0000-0000-00001F050000}"/>
    <cellStyle name="Comma 4 2 7 2 6 4" xfId="14081" xr:uid="{00000000-0005-0000-0000-000020050000}"/>
    <cellStyle name="Comma 4 2 7 2 6 4 2" xfId="30398" xr:uid="{00000000-0005-0000-0000-000021050000}"/>
    <cellStyle name="Comma 4 2 7 2 6 5" xfId="13595" xr:uid="{00000000-0005-0000-0000-000022050000}"/>
    <cellStyle name="Comma 4 2 7 2 6 6" xfId="23414" xr:uid="{00000000-0005-0000-0000-000023050000}"/>
    <cellStyle name="Comma 4 2 7 2 7" xfId="6940" xr:uid="{00000000-0005-0000-0000-000024050000}"/>
    <cellStyle name="Comma 4 2 7 2 7 2" xfId="14203" xr:uid="{00000000-0005-0000-0000-000025050000}"/>
    <cellStyle name="Comma 4 2 7 2 7 2 2" xfId="30518" xr:uid="{00000000-0005-0000-0000-000026050000}"/>
    <cellStyle name="Comma 4 2 7 2 7 3" xfId="23553" xr:uid="{00000000-0005-0000-0000-000027050000}"/>
    <cellStyle name="Comma 4 2 7 2 8" xfId="10254" xr:uid="{00000000-0005-0000-0000-000028050000}"/>
    <cellStyle name="Comma 4 2 7 2 8 2" xfId="26853" xr:uid="{00000000-0005-0000-0000-000029050000}"/>
    <cellStyle name="Comma 4 2 7 2 9" xfId="13762" xr:uid="{00000000-0005-0000-0000-00002A050000}"/>
    <cellStyle name="Comma 4 2 7 2 9 2" xfId="30112" xr:uid="{00000000-0005-0000-0000-00002B050000}"/>
    <cellStyle name="Comma 4 2 7 3" xfId="990" xr:uid="{00000000-0005-0000-0000-00002C050000}"/>
    <cellStyle name="Comma 4 2 7 3 10" xfId="17767" xr:uid="{00000000-0005-0000-0000-00002D050000}"/>
    <cellStyle name="Comma 4 2 7 3 2" xfId="1068" xr:uid="{00000000-0005-0000-0000-00002E050000}"/>
    <cellStyle name="Comma 4 2 7 3 3" xfId="1551" xr:uid="{00000000-0005-0000-0000-00002F050000}"/>
    <cellStyle name="Comma 4 2 7 3 3 10" xfId="18286" xr:uid="{00000000-0005-0000-0000-000030050000}"/>
    <cellStyle name="Comma 4 2 7 3 3 2" xfId="1858" xr:uid="{00000000-0005-0000-0000-000031050000}"/>
    <cellStyle name="Comma 4 2 7 3 3 2 2" xfId="6127" xr:uid="{00000000-0005-0000-0000-000032050000}"/>
    <cellStyle name="Comma 4 2 7 3 3 2 2 2" xfId="9478" xr:uid="{00000000-0005-0000-0000-000033050000}"/>
    <cellStyle name="Comma 4 2 7 3 3 2 2 2 2" xfId="16741" xr:uid="{00000000-0005-0000-0000-000034050000}"/>
    <cellStyle name="Comma 4 2 7 3 3 2 2 2 2 2" xfId="33056" xr:uid="{00000000-0005-0000-0000-000035050000}"/>
    <cellStyle name="Comma 4 2 7 3 3 2 2 2 3" xfId="26091" xr:uid="{00000000-0005-0000-0000-000036050000}"/>
    <cellStyle name="Comma 4 2 7 3 3 2 2 3" xfId="12820" xr:uid="{00000000-0005-0000-0000-000037050000}"/>
    <cellStyle name="Comma 4 2 7 3 3 2 2 3 2" xfId="29395" xr:uid="{00000000-0005-0000-0000-000038050000}"/>
    <cellStyle name="Comma 4 2 7 3 3 2 2 4" xfId="14013" xr:uid="{00000000-0005-0000-0000-000039050000}"/>
    <cellStyle name="Comma 4 2 7 3 3 2 2 4 2" xfId="30333" xr:uid="{00000000-0005-0000-0000-00003A050000}"/>
    <cellStyle name="Comma 4 2 7 3 3 2 2 5" xfId="10150" xr:uid="{00000000-0005-0000-0000-00003B050000}"/>
    <cellStyle name="Comma 4 2 7 3 3 2 2 6" xfId="22791" xr:uid="{00000000-0005-0000-0000-00003C050000}"/>
    <cellStyle name="Comma 4 2 7 3 3 2 3" xfId="7857" xr:uid="{00000000-0005-0000-0000-00003D050000}"/>
    <cellStyle name="Comma 4 2 7 3 3 2 3 2" xfId="15120" xr:uid="{00000000-0005-0000-0000-00003E050000}"/>
    <cellStyle name="Comma 4 2 7 3 3 2 3 2 2" xfId="31435" xr:uid="{00000000-0005-0000-0000-00003F050000}"/>
    <cellStyle name="Comma 4 2 7 3 3 2 3 3" xfId="24470" xr:uid="{00000000-0005-0000-0000-000040050000}"/>
    <cellStyle name="Comma 4 2 7 3 3 2 4" xfId="11172" xr:uid="{00000000-0005-0000-0000-000041050000}"/>
    <cellStyle name="Comma 4 2 7 3 3 2 4 2" xfId="27770" xr:uid="{00000000-0005-0000-0000-000042050000}"/>
    <cellStyle name="Comma 4 2 7 3 3 2 5" xfId="13852" xr:uid="{00000000-0005-0000-0000-000043050000}"/>
    <cellStyle name="Comma 4 2 7 3 3 2 5 2" xfId="30199" xr:uid="{00000000-0005-0000-0000-000044050000}"/>
    <cellStyle name="Comma 4 2 7 3 3 2 6" xfId="10146" xr:uid="{00000000-0005-0000-0000-000045050000}"/>
    <cellStyle name="Comma 4 2 7 3 3 2 7" xfId="3462" xr:uid="{00000000-0005-0000-0000-000046050000}"/>
    <cellStyle name="Comma 4 2 7 3 3 2 7 2" xfId="20185" xr:uid="{00000000-0005-0000-0000-000047050000}"/>
    <cellStyle name="Comma 4 2 7 3 3 2 8" xfId="18589" xr:uid="{00000000-0005-0000-0000-000048050000}"/>
    <cellStyle name="Comma 4 2 7 3 3 3" xfId="1857" xr:uid="{00000000-0005-0000-0000-000049050000}"/>
    <cellStyle name="Comma 4 2 7 3 3 3 2" xfId="9072" xr:uid="{00000000-0005-0000-0000-00004A050000}"/>
    <cellStyle name="Comma 4 2 7 3 3 3 2 2" xfId="16335" xr:uid="{00000000-0005-0000-0000-00004B050000}"/>
    <cellStyle name="Comma 4 2 7 3 3 3 2 2 2" xfId="32650" xr:uid="{00000000-0005-0000-0000-00004C050000}"/>
    <cellStyle name="Comma 4 2 7 3 3 3 2 3" xfId="25685" xr:uid="{00000000-0005-0000-0000-00004D050000}"/>
    <cellStyle name="Comma 4 2 7 3 3 3 3" xfId="12414" xr:uid="{00000000-0005-0000-0000-00004E050000}"/>
    <cellStyle name="Comma 4 2 7 3 3 3 3 2" xfId="28989" xr:uid="{00000000-0005-0000-0000-00004F050000}"/>
    <cellStyle name="Comma 4 2 7 3 3 3 4" xfId="13974" xr:uid="{00000000-0005-0000-0000-000050050000}"/>
    <cellStyle name="Comma 4 2 7 3 3 3 4 2" xfId="30294" xr:uid="{00000000-0005-0000-0000-000051050000}"/>
    <cellStyle name="Comma 4 2 7 3 3 3 5" xfId="11782" xr:uid="{00000000-0005-0000-0000-000052050000}"/>
    <cellStyle name="Comma 4 2 7 3 3 3 6" xfId="5721" xr:uid="{00000000-0005-0000-0000-000053050000}"/>
    <cellStyle name="Comma 4 2 7 3 3 3 6 2" xfId="22385" xr:uid="{00000000-0005-0000-0000-000054050000}"/>
    <cellStyle name="Comma 4 2 7 3 3 3 7" xfId="18588" xr:uid="{00000000-0005-0000-0000-000055050000}"/>
    <cellStyle name="Comma 4 2 7 3 3 4" xfId="5125" xr:uid="{00000000-0005-0000-0000-000056050000}"/>
    <cellStyle name="Comma 4 2 7 3 3 4 2" xfId="8478" xr:uid="{00000000-0005-0000-0000-000057050000}"/>
    <cellStyle name="Comma 4 2 7 3 3 4 2 2" xfId="15741" xr:uid="{00000000-0005-0000-0000-000058050000}"/>
    <cellStyle name="Comma 4 2 7 3 3 4 2 2 2" xfId="32056" xr:uid="{00000000-0005-0000-0000-000059050000}"/>
    <cellStyle name="Comma 4 2 7 3 3 4 2 3" xfId="25091" xr:uid="{00000000-0005-0000-0000-00005A050000}"/>
    <cellStyle name="Comma 4 2 7 3 3 4 3" xfId="11819" xr:uid="{00000000-0005-0000-0000-00005B050000}"/>
    <cellStyle name="Comma 4 2 7 3 3 4 3 2" xfId="28395" xr:uid="{00000000-0005-0000-0000-00005C050000}"/>
    <cellStyle name="Comma 4 2 7 3 3 4 4" xfId="13907" xr:uid="{00000000-0005-0000-0000-00005D050000}"/>
    <cellStyle name="Comma 4 2 7 3 3 4 4 2" xfId="30228" xr:uid="{00000000-0005-0000-0000-00005E050000}"/>
    <cellStyle name="Comma 4 2 7 3 3 4 5" xfId="13669" xr:uid="{00000000-0005-0000-0000-00005F050000}"/>
    <cellStyle name="Comma 4 2 7 3 3 4 6" xfId="21791" xr:uid="{00000000-0005-0000-0000-000060050000}"/>
    <cellStyle name="Comma 4 2 7 3 3 5" xfId="6835" xr:uid="{00000000-0005-0000-0000-000061050000}"/>
    <cellStyle name="Comma 4 2 7 3 3 6" xfId="7451" xr:uid="{00000000-0005-0000-0000-000062050000}"/>
    <cellStyle name="Comma 4 2 7 3 3 6 2" xfId="14714" xr:uid="{00000000-0005-0000-0000-000063050000}"/>
    <cellStyle name="Comma 4 2 7 3 3 6 2 2" xfId="31029" xr:uid="{00000000-0005-0000-0000-000064050000}"/>
    <cellStyle name="Comma 4 2 7 3 3 6 3" xfId="24064" xr:uid="{00000000-0005-0000-0000-000065050000}"/>
    <cellStyle name="Comma 4 2 7 3 3 7" xfId="10766" xr:uid="{00000000-0005-0000-0000-000066050000}"/>
    <cellStyle name="Comma 4 2 7 3 3 7 2" xfId="27364" xr:uid="{00000000-0005-0000-0000-000067050000}"/>
    <cellStyle name="Comma 4 2 7 3 3 8" xfId="13813" xr:uid="{00000000-0005-0000-0000-000068050000}"/>
    <cellStyle name="Comma 4 2 7 3 3 8 2" xfId="30160" xr:uid="{00000000-0005-0000-0000-000069050000}"/>
    <cellStyle name="Comma 4 2 7 3 3 9" xfId="3461" xr:uid="{00000000-0005-0000-0000-00006A050000}"/>
    <cellStyle name="Comma 4 2 7 3 3 9 2" xfId="20184" xr:uid="{00000000-0005-0000-0000-00006B050000}"/>
    <cellStyle name="Comma 4 2 7 3 4" xfId="1856" xr:uid="{00000000-0005-0000-0000-00006C050000}"/>
    <cellStyle name="Comma 4 2 7 3 4 2" xfId="8612" xr:uid="{00000000-0005-0000-0000-00006D050000}"/>
    <cellStyle name="Comma 4 2 7 3 4 2 2" xfId="15875" xr:uid="{00000000-0005-0000-0000-00006E050000}"/>
    <cellStyle name="Comma 4 2 7 3 4 2 2 2" xfId="32190" xr:uid="{00000000-0005-0000-0000-00006F050000}"/>
    <cellStyle name="Comma 4 2 7 3 4 2 3" xfId="25225" xr:uid="{00000000-0005-0000-0000-000070050000}"/>
    <cellStyle name="Comma 4 2 7 3 4 3" xfId="11954" xr:uid="{00000000-0005-0000-0000-000071050000}"/>
    <cellStyle name="Comma 4 2 7 3 4 3 2" xfId="28529" xr:uid="{00000000-0005-0000-0000-000072050000}"/>
    <cellStyle name="Comma 4 2 7 3 4 4" xfId="13933" xr:uid="{00000000-0005-0000-0000-000073050000}"/>
    <cellStyle name="Comma 4 2 7 3 4 4 2" xfId="30253" xr:uid="{00000000-0005-0000-0000-000074050000}"/>
    <cellStyle name="Comma 4 2 7 3 4 5" xfId="13641" xr:uid="{00000000-0005-0000-0000-000075050000}"/>
    <cellStyle name="Comma 4 2 7 3 4 6" xfId="5261" xr:uid="{00000000-0005-0000-0000-000076050000}"/>
    <cellStyle name="Comma 4 2 7 3 4 6 2" xfId="21925" xr:uid="{00000000-0005-0000-0000-000077050000}"/>
    <cellStyle name="Comma 4 2 7 3 4 7" xfId="18587" xr:uid="{00000000-0005-0000-0000-000078050000}"/>
    <cellStyle name="Comma 4 2 7 3 5" xfId="6719" xr:uid="{00000000-0005-0000-0000-000079050000}"/>
    <cellStyle name="Comma 4 2 7 3 5 2" xfId="10063" xr:uid="{00000000-0005-0000-0000-00007A050000}"/>
    <cellStyle name="Comma 4 2 7 3 5 2 2" xfId="17326" xr:uid="{00000000-0005-0000-0000-00007B050000}"/>
    <cellStyle name="Comma 4 2 7 3 5 2 2 2" xfId="33641" xr:uid="{00000000-0005-0000-0000-00007C050000}"/>
    <cellStyle name="Comma 4 2 7 3 5 2 3" xfId="26676" xr:uid="{00000000-0005-0000-0000-00007D050000}"/>
    <cellStyle name="Comma 4 2 7 3 5 3" xfId="13405" xr:uid="{00000000-0005-0000-0000-00007E050000}"/>
    <cellStyle name="Comma 4 2 7 3 5 3 2" xfId="29980" xr:uid="{00000000-0005-0000-0000-00007F050000}"/>
    <cellStyle name="Comma 4 2 7 3 5 4" xfId="14042" xr:uid="{00000000-0005-0000-0000-000080050000}"/>
    <cellStyle name="Comma 4 2 7 3 5 4 2" xfId="30360" xr:uid="{00000000-0005-0000-0000-000081050000}"/>
    <cellStyle name="Comma 4 2 7 3 5 5" xfId="13516" xr:uid="{00000000-0005-0000-0000-000082050000}"/>
    <cellStyle name="Comma 4 2 7 3 5 6" xfId="23376" xr:uid="{00000000-0005-0000-0000-000083050000}"/>
    <cellStyle name="Comma 4 2 7 3 6" xfId="6993" xr:uid="{00000000-0005-0000-0000-000084050000}"/>
    <cellStyle name="Comma 4 2 7 3 6 2" xfId="14256" xr:uid="{00000000-0005-0000-0000-000085050000}"/>
    <cellStyle name="Comma 4 2 7 3 6 2 2" xfId="30571" xr:uid="{00000000-0005-0000-0000-000086050000}"/>
    <cellStyle name="Comma 4 2 7 3 6 3" xfId="23606" xr:uid="{00000000-0005-0000-0000-000087050000}"/>
    <cellStyle name="Comma 4 2 7 3 7" xfId="10307" xr:uid="{00000000-0005-0000-0000-000088050000}"/>
    <cellStyle name="Comma 4 2 7 3 7 2" xfId="26906" xr:uid="{00000000-0005-0000-0000-000089050000}"/>
    <cellStyle name="Comma 4 2 7 3 8" xfId="13771" xr:uid="{00000000-0005-0000-0000-00008A050000}"/>
    <cellStyle name="Comma 4 2 7 3 8 2" xfId="30121" xr:uid="{00000000-0005-0000-0000-00008B050000}"/>
    <cellStyle name="Comma 4 2 7 3 9" xfId="3460" xr:uid="{00000000-0005-0000-0000-00008C050000}"/>
    <cellStyle name="Comma 4 2 7 3 9 2" xfId="20183" xr:uid="{00000000-0005-0000-0000-00008D050000}"/>
    <cellStyle name="Comma 4 2 7 4" xfId="1065" xr:uid="{00000000-0005-0000-0000-00008E050000}"/>
    <cellStyle name="Comma 4 2 7 5" xfId="1445" xr:uid="{00000000-0005-0000-0000-00008F050000}"/>
    <cellStyle name="Comma 4 2 7 5 10" xfId="18180" xr:uid="{00000000-0005-0000-0000-000090050000}"/>
    <cellStyle name="Comma 4 2 7 5 2" xfId="1860" xr:uid="{00000000-0005-0000-0000-000091050000}"/>
    <cellStyle name="Comma 4 2 7 5 2 2" xfId="6109" xr:uid="{00000000-0005-0000-0000-000092050000}"/>
    <cellStyle name="Comma 4 2 7 5 2 2 2" xfId="9460" xr:uid="{00000000-0005-0000-0000-000093050000}"/>
    <cellStyle name="Comma 4 2 7 5 2 2 2 2" xfId="16723" xr:uid="{00000000-0005-0000-0000-000094050000}"/>
    <cellStyle name="Comma 4 2 7 5 2 2 2 2 2" xfId="33038" xr:uid="{00000000-0005-0000-0000-000095050000}"/>
    <cellStyle name="Comma 4 2 7 5 2 2 2 3" xfId="26073" xr:uid="{00000000-0005-0000-0000-000096050000}"/>
    <cellStyle name="Comma 4 2 7 5 2 2 3" xfId="12802" xr:uid="{00000000-0005-0000-0000-000097050000}"/>
    <cellStyle name="Comma 4 2 7 5 2 2 3 2" xfId="29377" xr:uid="{00000000-0005-0000-0000-000098050000}"/>
    <cellStyle name="Comma 4 2 7 5 2 2 4" xfId="13995" xr:uid="{00000000-0005-0000-0000-000099050000}"/>
    <cellStyle name="Comma 4 2 7 5 2 2 4 2" xfId="30315" xr:uid="{00000000-0005-0000-0000-00009A050000}"/>
    <cellStyle name="Comma 4 2 7 5 2 2 5" xfId="13667" xr:uid="{00000000-0005-0000-0000-00009B050000}"/>
    <cellStyle name="Comma 4 2 7 5 2 2 6" xfId="22773" xr:uid="{00000000-0005-0000-0000-00009C050000}"/>
    <cellStyle name="Comma 4 2 7 5 2 3" xfId="7839" xr:uid="{00000000-0005-0000-0000-00009D050000}"/>
    <cellStyle name="Comma 4 2 7 5 2 3 2" xfId="15102" xr:uid="{00000000-0005-0000-0000-00009E050000}"/>
    <cellStyle name="Comma 4 2 7 5 2 3 2 2" xfId="31417" xr:uid="{00000000-0005-0000-0000-00009F050000}"/>
    <cellStyle name="Comma 4 2 7 5 2 3 3" xfId="24452" xr:uid="{00000000-0005-0000-0000-0000A0050000}"/>
    <cellStyle name="Comma 4 2 7 5 2 4" xfId="11154" xr:uid="{00000000-0005-0000-0000-0000A1050000}"/>
    <cellStyle name="Comma 4 2 7 5 2 4 2" xfId="27752" xr:uid="{00000000-0005-0000-0000-0000A2050000}"/>
    <cellStyle name="Comma 4 2 7 5 2 5" xfId="13834" xr:uid="{00000000-0005-0000-0000-0000A3050000}"/>
    <cellStyle name="Comma 4 2 7 5 2 5 2" xfId="30181" xr:uid="{00000000-0005-0000-0000-0000A4050000}"/>
    <cellStyle name="Comma 4 2 7 5 2 6" xfId="10145" xr:uid="{00000000-0005-0000-0000-0000A5050000}"/>
    <cellStyle name="Comma 4 2 7 5 2 7" xfId="3464" xr:uid="{00000000-0005-0000-0000-0000A6050000}"/>
    <cellStyle name="Comma 4 2 7 5 2 7 2" xfId="20187" xr:uid="{00000000-0005-0000-0000-0000A7050000}"/>
    <cellStyle name="Comma 4 2 7 5 2 8" xfId="18591" xr:uid="{00000000-0005-0000-0000-0000A8050000}"/>
    <cellStyle name="Comma 4 2 7 5 3" xfId="1859" xr:uid="{00000000-0005-0000-0000-0000A9050000}"/>
    <cellStyle name="Comma 4 2 7 5 3 2" xfId="9054" xr:uid="{00000000-0005-0000-0000-0000AA050000}"/>
    <cellStyle name="Comma 4 2 7 5 3 2 2" xfId="16317" xr:uid="{00000000-0005-0000-0000-0000AB050000}"/>
    <cellStyle name="Comma 4 2 7 5 3 2 2 2" xfId="32632" xr:uid="{00000000-0005-0000-0000-0000AC050000}"/>
    <cellStyle name="Comma 4 2 7 5 3 2 3" xfId="25667" xr:uid="{00000000-0005-0000-0000-0000AD050000}"/>
    <cellStyle name="Comma 4 2 7 5 3 3" xfId="12396" xr:uid="{00000000-0005-0000-0000-0000AE050000}"/>
    <cellStyle name="Comma 4 2 7 5 3 3 2" xfId="28971" xr:uid="{00000000-0005-0000-0000-0000AF050000}"/>
    <cellStyle name="Comma 4 2 7 5 3 4" xfId="13956" xr:uid="{00000000-0005-0000-0000-0000B0050000}"/>
    <cellStyle name="Comma 4 2 7 5 3 4 2" xfId="30276" xr:uid="{00000000-0005-0000-0000-0000B1050000}"/>
    <cellStyle name="Comma 4 2 7 5 3 5" xfId="10190" xr:uid="{00000000-0005-0000-0000-0000B2050000}"/>
    <cellStyle name="Comma 4 2 7 5 3 6" xfId="5703" xr:uid="{00000000-0005-0000-0000-0000B3050000}"/>
    <cellStyle name="Comma 4 2 7 5 3 6 2" xfId="22367" xr:uid="{00000000-0005-0000-0000-0000B4050000}"/>
    <cellStyle name="Comma 4 2 7 5 3 7" xfId="18590" xr:uid="{00000000-0005-0000-0000-0000B5050000}"/>
    <cellStyle name="Comma 4 2 7 5 4" xfId="6757" xr:uid="{00000000-0005-0000-0000-0000B6050000}"/>
    <cellStyle name="Comma 4 2 7 5 4 2" xfId="10088" xr:uid="{00000000-0005-0000-0000-0000B7050000}"/>
    <cellStyle name="Comma 4 2 7 5 4 2 2" xfId="17351" xr:uid="{00000000-0005-0000-0000-0000B8050000}"/>
    <cellStyle name="Comma 4 2 7 5 4 2 2 2" xfId="33666" xr:uid="{00000000-0005-0000-0000-0000B9050000}"/>
    <cellStyle name="Comma 4 2 7 5 4 2 3" xfId="26701" xr:uid="{00000000-0005-0000-0000-0000BA050000}"/>
    <cellStyle name="Comma 4 2 7 5 4 3" xfId="13431" xr:uid="{00000000-0005-0000-0000-0000BB050000}"/>
    <cellStyle name="Comma 4 2 7 5 4 3 2" xfId="30005" xr:uid="{00000000-0005-0000-0000-0000BC050000}"/>
    <cellStyle name="Comma 4 2 7 5 4 4" xfId="14067" xr:uid="{00000000-0005-0000-0000-0000BD050000}"/>
    <cellStyle name="Comma 4 2 7 5 4 4 2" xfId="30385" xr:uid="{00000000-0005-0000-0000-0000BE050000}"/>
    <cellStyle name="Comma 4 2 7 5 4 5" xfId="13716" xr:uid="{00000000-0005-0000-0000-0000BF050000}"/>
    <cellStyle name="Comma 4 2 7 5 4 6" xfId="23401" xr:uid="{00000000-0005-0000-0000-0000C0050000}"/>
    <cellStyle name="Comma 4 2 7 5 5" xfId="5100" xr:uid="{00000000-0005-0000-0000-0000C1050000}"/>
    <cellStyle name="Comma 4 2 7 5 6" xfId="7433" xr:uid="{00000000-0005-0000-0000-0000C2050000}"/>
    <cellStyle name="Comma 4 2 7 5 6 2" xfId="14696" xr:uid="{00000000-0005-0000-0000-0000C3050000}"/>
    <cellStyle name="Comma 4 2 7 5 6 2 2" xfId="31011" xr:uid="{00000000-0005-0000-0000-0000C4050000}"/>
    <cellStyle name="Comma 4 2 7 5 6 3" xfId="24046" xr:uid="{00000000-0005-0000-0000-0000C5050000}"/>
    <cellStyle name="Comma 4 2 7 5 7" xfId="10748" xr:uid="{00000000-0005-0000-0000-0000C6050000}"/>
    <cellStyle name="Comma 4 2 7 5 7 2" xfId="27346" xr:uid="{00000000-0005-0000-0000-0000C7050000}"/>
    <cellStyle name="Comma 4 2 7 5 8" xfId="13795" xr:uid="{00000000-0005-0000-0000-0000C8050000}"/>
    <cellStyle name="Comma 4 2 7 5 8 2" xfId="30142" xr:uid="{00000000-0005-0000-0000-0000C9050000}"/>
    <cellStyle name="Comma 4 2 7 5 9" xfId="3463" xr:uid="{00000000-0005-0000-0000-0000CA050000}"/>
    <cellStyle name="Comma 4 2 7 5 9 2" xfId="20186" xr:uid="{00000000-0005-0000-0000-0000CB050000}"/>
    <cellStyle name="Comma 4 2 7 6" xfId="1849" xr:uid="{00000000-0005-0000-0000-0000CC050000}"/>
    <cellStyle name="Comma 4 2 7 6 2" xfId="8506" xr:uid="{00000000-0005-0000-0000-0000CD050000}"/>
    <cellStyle name="Comma 4 2 7 6 2 2" xfId="15769" xr:uid="{00000000-0005-0000-0000-0000CE050000}"/>
    <cellStyle name="Comma 4 2 7 6 2 2 2" xfId="32084" xr:uid="{00000000-0005-0000-0000-0000CF050000}"/>
    <cellStyle name="Comma 4 2 7 6 2 3" xfId="25119" xr:uid="{00000000-0005-0000-0000-0000D0050000}"/>
    <cellStyle name="Comma 4 2 7 6 3" xfId="11848" xr:uid="{00000000-0005-0000-0000-0000D1050000}"/>
    <cellStyle name="Comma 4 2 7 6 3 2" xfId="28423" xr:uid="{00000000-0005-0000-0000-0000D2050000}"/>
    <cellStyle name="Comma 4 2 7 6 4" xfId="13915" xr:uid="{00000000-0005-0000-0000-0000D3050000}"/>
    <cellStyle name="Comma 4 2 7 6 4 2" xfId="30235" xr:uid="{00000000-0005-0000-0000-0000D4050000}"/>
    <cellStyle name="Comma 4 2 7 6 5" xfId="13564" xr:uid="{00000000-0005-0000-0000-0000D5050000}"/>
    <cellStyle name="Comma 4 2 7 6 6" xfId="5155" xr:uid="{00000000-0005-0000-0000-0000D6050000}"/>
    <cellStyle name="Comma 4 2 7 6 6 2" xfId="21819" xr:uid="{00000000-0005-0000-0000-0000D7050000}"/>
    <cellStyle name="Comma 4 2 7 6 7" xfId="18580" xr:uid="{00000000-0005-0000-0000-0000D8050000}"/>
    <cellStyle name="Comma 4 2 7 7" xfId="6756" xr:uid="{00000000-0005-0000-0000-0000D9050000}"/>
    <cellStyle name="Comma 4 2 7 7 2" xfId="10087" xr:uid="{00000000-0005-0000-0000-0000DA050000}"/>
    <cellStyle name="Comma 4 2 7 7 2 2" xfId="17350" xr:uid="{00000000-0005-0000-0000-0000DB050000}"/>
    <cellStyle name="Comma 4 2 7 7 2 2 2" xfId="33665" xr:uid="{00000000-0005-0000-0000-0000DC050000}"/>
    <cellStyle name="Comma 4 2 7 7 2 3" xfId="26700" xr:uid="{00000000-0005-0000-0000-0000DD050000}"/>
    <cellStyle name="Comma 4 2 7 7 3" xfId="13430" xr:uid="{00000000-0005-0000-0000-0000DE050000}"/>
    <cellStyle name="Comma 4 2 7 7 3 2" xfId="30004" xr:uid="{00000000-0005-0000-0000-0000DF050000}"/>
    <cellStyle name="Comma 4 2 7 7 4" xfId="14066" xr:uid="{00000000-0005-0000-0000-0000E0050000}"/>
    <cellStyle name="Comma 4 2 7 7 4 2" xfId="30384" xr:uid="{00000000-0005-0000-0000-0000E1050000}"/>
    <cellStyle name="Comma 4 2 7 7 5" xfId="13625" xr:uid="{00000000-0005-0000-0000-0000E2050000}"/>
    <cellStyle name="Comma 4 2 7 7 6" xfId="23400" xr:uid="{00000000-0005-0000-0000-0000E3050000}"/>
    <cellStyle name="Comma 4 2 7 8" xfId="6887" xr:uid="{00000000-0005-0000-0000-0000E4050000}"/>
    <cellStyle name="Comma 4 2 7 8 2" xfId="14150" xr:uid="{00000000-0005-0000-0000-0000E5050000}"/>
    <cellStyle name="Comma 4 2 7 8 2 2" xfId="30465" xr:uid="{00000000-0005-0000-0000-0000E6050000}"/>
    <cellStyle name="Comma 4 2 7 8 3" xfId="23500" xr:uid="{00000000-0005-0000-0000-0000E7050000}"/>
    <cellStyle name="Comma 4 2 7 9" xfId="10201" xr:uid="{00000000-0005-0000-0000-0000E8050000}"/>
    <cellStyle name="Comma 4 2 7 9 2" xfId="26800" xr:uid="{00000000-0005-0000-0000-0000E9050000}"/>
    <cellStyle name="Comma 4 2 8" xfId="1861" xr:uid="{00000000-0005-0000-0000-0000EA050000}"/>
    <cellStyle name="Comma 4 2 8 10" xfId="3465" xr:uid="{00000000-0005-0000-0000-0000EB050000}"/>
    <cellStyle name="Comma 4 2 8 10 2" xfId="20188" xr:uid="{00000000-0005-0000-0000-0000EC050000}"/>
    <cellStyle name="Comma 4 2 8 11" xfId="18592" xr:uid="{00000000-0005-0000-0000-0000ED050000}"/>
    <cellStyle name="Comma 4 2 8 2" xfId="1862" xr:uid="{00000000-0005-0000-0000-0000EE050000}"/>
    <cellStyle name="Comma 4 2 8 2 10" xfId="18593" xr:uid="{00000000-0005-0000-0000-0000EF050000}"/>
    <cellStyle name="Comma 4 2 8 2 2" xfId="1863" xr:uid="{00000000-0005-0000-0000-0000F0050000}"/>
    <cellStyle name="Comma 4 2 8 2 2 2" xfId="6691" xr:uid="{00000000-0005-0000-0000-0000F1050000}"/>
    <cellStyle name="Comma 4 2 8 2 2 2 2" xfId="10042" xr:uid="{00000000-0005-0000-0000-0000F2050000}"/>
    <cellStyle name="Comma 4 2 8 2 2 2 2 2" xfId="17305" xr:uid="{00000000-0005-0000-0000-0000F3050000}"/>
    <cellStyle name="Comma 4 2 8 2 2 2 2 2 2" xfId="33620" xr:uid="{00000000-0005-0000-0000-0000F4050000}"/>
    <cellStyle name="Comma 4 2 8 2 2 2 2 3" xfId="26655" xr:uid="{00000000-0005-0000-0000-0000F5050000}"/>
    <cellStyle name="Comma 4 2 8 2 2 2 3" xfId="13384" xr:uid="{00000000-0005-0000-0000-0000F6050000}"/>
    <cellStyle name="Comma 4 2 8 2 2 2 3 2" xfId="29959" xr:uid="{00000000-0005-0000-0000-0000F7050000}"/>
    <cellStyle name="Comma 4 2 8 2 2 2 4" xfId="14028" xr:uid="{00000000-0005-0000-0000-0000F8050000}"/>
    <cellStyle name="Comma 4 2 8 2 2 2 4 2" xfId="30348" xr:uid="{00000000-0005-0000-0000-0000F9050000}"/>
    <cellStyle name="Comma 4 2 8 2 2 2 5" xfId="13616" xr:uid="{00000000-0005-0000-0000-0000FA050000}"/>
    <cellStyle name="Comma 4 2 8 2 2 2 6" xfId="23355" xr:uid="{00000000-0005-0000-0000-0000FB050000}"/>
    <cellStyle name="Comma 4 2 8 2 2 3" xfId="8421" xr:uid="{00000000-0005-0000-0000-0000FC050000}"/>
    <cellStyle name="Comma 4 2 8 2 2 3 2" xfId="15684" xr:uid="{00000000-0005-0000-0000-0000FD050000}"/>
    <cellStyle name="Comma 4 2 8 2 2 3 2 2" xfId="31999" xr:uid="{00000000-0005-0000-0000-0000FE050000}"/>
    <cellStyle name="Comma 4 2 8 2 2 3 3" xfId="25034" xr:uid="{00000000-0005-0000-0000-0000FF050000}"/>
    <cellStyle name="Comma 4 2 8 2 2 4" xfId="11736" xr:uid="{00000000-0005-0000-0000-000000060000}"/>
    <cellStyle name="Comma 4 2 8 2 2 4 2" xfId="28334" xr:uid="{00000000-0005-0000-0000-000001060000}"/>
    <cellStyle name="Comma 4 2 8 2 2 5" xfId="13867" xr:uid="{00000000-0005-0000-0000-000002060000}"/>
    <cellStyle name="Comma 4 2 8 2 2 5 2" xfId="30214" xr:uid="{00000000-0005-0000-0000-000003060000}"/>
    <cellStyle name="Comma 4 2 8 2 2 6" xfId="13603" xr:uid="{00000000-0005-0000-0000-000004060000}"/>
    <cellStyle name="Comma 4 2 8 2 2 7" xfId="3467" xr:uid="{00000000-0005-0000-0000-000005060000}"/>
    <cellStyle name="Comma 4 2 8 2 2 7 2" xfId="20190" xr:uid="{00000000-0005-0000-0000-000006060000}"/>
    <cellStyle name="Comma 4 2 8 2 2 8" xfId="18594" xr:uid="{00000000-0005-0000-0000-000007060000}"/>
    <cellStyle name="Comma 4 2 8 2 3" xfId="5915" xr:uid="{00000000-0005-0000-0000-000008060000}"/>
    <cellStyle name="Comma 4 2 8 2 3 2" xfId="9266" xr:uid="{00000000-0005-0000-0000-000009060000}"/>
    <cellStyle name="Comma 4 2 8 2 3 2 2" xfId="16529" xr:uid="{00000000-0005-0000-0000-00000A060000}"/>
    <cellStyle name="Comma 4 2 8 2 3 2 2 2" xfId="32844" xr:uid="{00000000-0005-0000-0000-00000B060000}"/>
    <cellStyle name="Comma 4 2 8 2 3 2 3" xfId="25879" xr:uid="{00000000-0005-0000-0000-00000C060000}"/>
    <cellStyle name="Comma 4 2 8 2 3 3" xfId="12608" xr:uid="{00000000-0005-0000-0000-00000D060000}"/>
    <cellStyle name="Comma 4 2 8 2 3 3 2" xfId="29183" xr:uid="{00000000-0005-0000-0000-00000E060000}"/>
    <cellStyle name="Comma 4 2 8 2 3 4" xfId="13986" xr:uid="{00000000-0005-0000-0000-00000F060000}"/>
    <cellStyle name="Comma 4 2 8 2 3 4 2" xfId="30306" xr:uid="{00000000-0005-0000-0000-000010060000}"/>
    <cellStyle name="Comma 4 2 8 2 3 5" xfId="13486" xr:uid="{00000000-0005-0000-0000-000011060000}"/>
    <cellStyle name="Comma 4 2 8 2 3 6" xfId="22579" xr:uid="{00000000-0005-0000-0000-000012060000}"/>
    <cellStyle name="Comma 4 2 8 2 4" xfId="6820" xr:uid="{00000000-0005-0000-0000-000013060000}"/>
    <cellStyle name="Comma 4 2 8 2 4 2" xfId="10131" xr:uid="{00000000-0005-0000-0000-000014060000}"/>
    <cellStyle name="Comma 4 2 8 2 4 2 2" xfId="17394" xr:uid="{00000000-0005-0000-0000-000015060000}"/>
    <cellStyle name="Comma 4 2 8 2 4 2 2 2" xfId="33709" xr:uid="{00000000-0005-0000-0000-000016060000}"/>
    <cellStyle name="Comma 4 2 8 2 4 2 3" xfId="26744" xr:uid="{00000000-0005-0000-0000-000017060000}"/>
    <cellStyle name="Comma 4 2 8 2 4 3" xfId="13476" xr:uid="{00000000-0005-0000-0000-000018060000}"/>
    <cellStyle name="Comma 4 2 8 2 4 3 2" xfId="30048" xr:uid="{00000000-0005-0000-0000-000019060000}"/>
    <cellStyle name="Comma 4 2 8 2 4 4" xfId="14094" xr:uid="{00000000-0005-0000-0000-00001A060000}"/>
    <cellStyle name="Comma 4 2 8 2 4 4 2" xfId="30411" xr:uid="{00000000-0005-0000-0000-00001B060000}"/>
    <cellStyle name="Comma 4 2 8 2 4 5" xfId="13524" xr:uid="{00000000-0005-0000-0000-00001C060000}"/>
    <cellStyle name="Comma 4 2 8 2 4 6" xfId="23444" xr:uid="{00000000-0005-0000-0000-00001D060000}"/>
    <cellStyle name="Comma 4 2 8 2 5" xfId="6760" xr:uid="{00000000-0005-0000-0000-00001E060000}"/>
    <cellStyle name="Comma 4 2 8 2 6" xfId="7645" xr:uid="{00000000-0005-0000-0000-00001F060000}"/>
    <cellStyle name="Comma 4 2 8 2 6 2" xfId="14908" xr:uid="{00000000-0005-0000-0000-000020060000}"/>
    <cellStyle name="Comma 4 2 8 2 6 2 2" xfId="31223" xr:uid="{00000000-0005-0000-0000-000021060000}"/>
    <cellStyle name="Comma 4 2 8 2 6 3" xfId="24258" xr:uid="{00000000-0005-0000-0000-000022060000}"/>
    <cellStyle name="Comma 4 2 8 2 7" xfId="10960" xr:uid="{00000000-0005-0000-0000-000023060000}"/>
    <cellStyle name="Comma 4 2 8 2 7 2" xfId="27558" xr:uid="{00000000-0005-0000-0000-000024060000}"/>
    <cellStyle name="Comma 4 2 8 2 8" xfId="13825" xr:uid="{00000000-0005-0000-0000-000025060000}"/>
    <cellStyle name="Comma 4 2 8 2 8 2" xfId="30172" xr:uid="{00000000-0005-0000-0000-000026060000}"/>
    <cellStyle name="Comma 4 2 8 2 9" xfId="3466" xr:uid="{00000000-0005-0000-0000-000027060000}"/>
    <cellStyle name="Comma 4 2 8 2 9 2" xfId="20189" xr:uid="{00000000-0005-0000-0000-000028060000}"/>
    <cellStyle name="Comma 4 2 8 3" xfId="1864" xr:uid="{00000000-0005-0000-0000-000029060000}"/>
    <cellStyle name="Comma 4 2 8 3 2" xfId="6321" xr:uid="{00000000-0005-0000-0000-00002A060000}"/>
    <cellStyle name="Comma 4 2 8 3 2 2" xfId="9672" xr:uid="{00000000-0005-0000-0000-00002B060000}"/>
    <cellStyle name="Comma 4 2 8 3 2 2 2" xfId="16935" xr:uid="{00000000-0005-0000-0000-00002C060000}"/>
    <cellStyle name="Comma 4 2 8 3 2 2 2 2" xfId="33250" xr:uid="{00000000-0005-0000-0000-00002D060000}"/>
    <cellStyle name="Comma 4 2 8 3 2 2 3" xfId="26285" xr:uid="{00000000-0005-0000-0000-00002E060000}"/>
    <cellStyle name="Comma 4 2 8 3 2 3" xfId="13014" xr:uid="{00000000-0005-0000-0000-00002F060000}"/>
    <cellStyle name="Comma 4 2 8 3 2 3 2" xfId="29589" xr:uid="{00000000-0005-0000-0000-000030060000}"/>
    <cellStyle name="Comma 4 2 8 3 2 4" xfId="14025" xr:uid="{00000000-0005-0000-0000-000031060000}"/>
    <cellStyle name="Comma 4 2 8 3 2 4 2" xfId="30345" xr:uid="{00000000-0005-0000-0000-000032060000}"/>
    <cellStyle name="Comma 4 2 8 3 2 5" xfId="13673" xr:uid="{00000000-0005-0000-0000-000033060000}"/>
    <cellStyle name="Comma 4 2 8 3 2 6" xfId="22985" xr:uid="{00000000-0005-0000-0000-000034060000}"/>
    <cellStyle name="Comma 4 2 8 3 3" xfId="8051" xr:uid="{00000000-0005-0000-0000-000035060000}"/>
    <cellStyle name="Comma 4 2 8 3 3 2" xfId="15314" xr:uid="{00000000-0005-0000-0000-000036060000}"/>
    <cellStyle name="Comma 4 2 8 3 3 2 2" xfId="31629" xr:uid="{00000000-0005-0000-0000-000037060000}"/>
    <cellStyle name="Comma 4 2 8 3 3 3" xfId="24664" xr:uid="{00000000-0005-0000-0000-000038060000}"/>
    <cellStyle name="Comma 4 2 8 3 4" xfId="11366" xr:uid="{00000000-0005-0000-0000-000039060000}"/>
    <cellStyle name="Comma 4 2 8 3 4 2" xfId="27964" xr:uid="{00000000-0005-0000-0000-00003A060000}"/>
    <cellStyle name="Comma 4 2 8 3 5" xfId="13864" xr:uid="{00000000-0005-0000-0000-00003B060000}"/>
    <cellStyle name="Comma 4 2 8 3 5 2" xfId="30211" xr:uid="{00000000-0005-0000-0000-00003C060000}"/>
    <cellStyle name="Comma 4 2 8 3 6" xfId="13610" xr:uid="{00000000-0005-0000-0000-00003D060000}"/>
    <cellStyle name="Comma 4 2 8 3 7" xfId="3468" xr:uid="{00000000-0005-0000-0000-00003E060000}"/>
    <cellStyle name="Comma 4 2 8 3 7 2" xfId="20191" xr:uid="{00000000-0005-0000-0000-00003F060000}"/>
    <cellStyle name="Comma 4 2 8 3 8" xfId="18595" xr:uid="{00000000-0005-0000-0000-000040060000}"/>
    <cellStyle name="Comma 4 2 8 4" xfId="5508" xr:uid="{00000000-0005-0000-0000-000041060000}"/>
    <cellStyle name="Comma 4 2 8 4 2" xfId="8859" xr:uid="{00000000-0005-0000-0000-000042060000}"/>
    <cellStyle name="Comma 4 2 8 4 2 2" xfId="16122" xr:uid="{00000000-0005-0000-0000-000043060000}"/>
    <cellStyle name="Comma 4 2 8 4 2 2 2" xfId="32437" xr:uid="{00000000-0005-0000-0000-000044060000}"/>
    <cellStyle name="Comma 4 2 8 4 2 3" xfId="25472" xr:uid="{00000000-0005-0000-0000-000045060000}"/>
    <cellStyle name="Comma 4 2 8 4 3" xfId="12201" xr:uid="{00000000-0005-0000-0000-000046060000}"/>
    <cellStyle name="Comma 4 2 8 4 3 2" xfId="28776" xr:uid="{00000000-0005-0000-0000-000047060000}"/>
    <cellStyle name="Comma 4 2 8 4 4" xfId="13946" xr:uid="{00000000-0005-0000-0000-000048060000}"/>
    <cellStyle name="Comma 4 2 8 4 4 2" xfId="30266" xr:uid="{00000000-0005-0000-0000-000049060000}"/>
    <cellStyle name="Comma 4 2 8 4 5" xfId="13563" xr:uid="{00000000-0005-0000-0000-00004A060000}"/>
    <cellStyle name="Comma 4 2 8 4 6" xfId="22172" xr:uid="{00000000-0005-0000-0000-00004B060000}"/>
    <cellStyle name="Comma 4 2 8 5" xfId="6724" xr:uid="{00000000-0005-0000-0000-00004C060000}"/>
    <cellStyle name="Comma 4 2 8 5 2" xfId="10067" xr:uid="{00000000-0005-0000-0000-00004D060000}"/>
    <cellStyle name="Comma 4 2 8 5 2 2" xfId="17330" xr:uid="{00000000-0005-0000-0000-00004E060000}"/>
    <cellStyle name="Comma 4 2 8 5 2 2 2" xfId="33645" xr:uid="{00000000-0005-0000-0000-00004F060000}"/>
    <cellStyle name="Comma 4 2 8 5 2 3" xfId="26680" xr:uid="{00000000-0005-0000-0000-000050060000}"/>
    <cellStyle name="Comma 4 2 8 5 3" xfId="13410" xr:uid="{00000000-0005-0000-0000-000051060000}"/>
    <cellStyle name="Comma 4 2 8 5 3 2" xfId="29984" xr:uid="{00000000-0005-0000-0000-000052060000}"/>
    <cellStyle name="Comma 4 2 8 5 4" xfId="14046" xr:uid="{00000000-0005-0000-0000-000053060000}"/>
    <cellStyle name="Comma 4 2 8 5 4 2" xfId="30364" xr:uid="{00000000-0005-0000-0000-000054060000}"/>
    <cellStyle name="Comma 4 2 8 5 5" xfId="13699" xr:uid="{00000000-0005-0000-0000-000055060000}"/>
    <cellStyle name="Comma 4 2 8 5 6" xfId="23380" xr:uid="{00000000-0005-0000-0000-000056060000}"/>
    <cellStyle name="Comma 4 2 8 6" xfId="5108" xr:uid="{00000000-0005-0000-0000-000057060000}"/>
    <cellStyle name="Comma 4 2 8 7" xfId="7239" xr:uid="{00000000-0005-0000-0000-000058060000}"/>
    <cellStyle name="Comma 4 2 8 7 2" xfId="14502" xr:uid="{00000000-0005-0000-0000-000059060000}"/>
    <cellStyle name="Comma 4 2 8 7 2 2" xfId="30817" xr:uid="{00000000-0005-0000-0000-00005A060000}"/>
    <cellStyle name="Comma 4 2 8 7 3" xfId="23852" xr:uid="{00000000-0005-0000-0000-00005B060000}"/>
    <cellStyle name="Comma 4 2 8 8" xfId="10554" xr:uid="{00000000-0005-0000-0000-00005C060000}"/>
    <cellStyle name="Comma 4 2 8 8 2" xfId="27152" xr:uid="{00000000-0005-0000-0000-00005D060000}"/>
    <cellStyle name="Comma 4 2 8 9" xfId="13783" xr:uid="{00000000-0005-0000-0000-00005E060000}"/>
    <cellStyle name="Comma 4 2 8 9 2" xfId="30133" xr:uid="{00000000-0005-0000-0000-00005F060000}"/>
    <cellStyle name="Comma 4 2 9" xfId="5033" xr:uid="{00000000-0005-0000-0000-000060060000}"/>
    <cellStyle name="Comma 4 2 9 2" xfId="6804" xr:uid="{00000000-0005-0000-0000-000061060000}"/>
    <cellStyle name="Comma 4 2 9 2 2" xfId="10117" xr:uid="{00000000-0005-0000-0000-000062060000}"/>
    <cellStyle name="Comma 4 2 9 2 2 2" xfId="17380" xr:uid="{00000000-0005-0000-0000-000063060000}"/>
    <cellStyle name="Comma 4 2 9 2 2 2 2" xfId="33695" xr:uid="{00000000-0005-0000-0000-000064060000}"/>
    <cellStyle name="Comma 4 2 9 2 2 3" xfId="26730" xr:uid="{00000000-0005-0000-0000-000065060000}"/>
    <cellStyle name="Comma 4 2 9 2 3" xfId="13462" xr:uid="{00000000-0005-0000-0000-000066060000}"/>
    <cellStyle name="Comma 4 2 9 2 3 2" xfId="30034" xr:uid="{00000000-0005-0000-0000-000067060000}"/>
    <cellStyle name="Comma 4 2 9 2 4" xfId="14091" xr:uid="{00000000-0005-0000-0000-000068060000}"/>
    <cellStyle name="Comma 4 2 9 2 4 2" xfId="30408" xr:uid="{00000000-0005-0000-0000-000069060000}"/>
    <cellStyle name="Comma 4 2 9 2 5" xfId="13510" xr:uid="{00000000-0005-0000-0000-00006A060000}"/>
    <cellStyle name="Comma 4 2 9 2 6" xfId="23430" xr:uid="{00000000-0005-0000-0000-00006B060000}"/>
    <cellStyle name="Comma 4 2 9 3" xfId="8439" xr:uid="{00000000-0005-0000-0000-00006C060000}"/>
    <cellStyle name="Comma 4 2 9 3 2" xfId="15702" xr:uid="{00000000-0005-0000-0000-00006D060000}"/>
    <cellStyle name="Comma 4 2 9 3 2 2" xfId="32017" xr:uid="{00000000-0005-0000-0000-00006E060000}"/>
    <cellStyle name="Comma 4 2 9 3 3" xfId="25052" xr:uid="{00000000-0005-0000-0000-00006F060000}"/>
    <cellStyle name="Comma 4 2 9 4" xfId="11754" xr:uid="{00000000-0005-0000-0000-000070060000}"/>
    <cellStyle name="Comma 4 2 9 4 2" xfId="28352" xr:uid="{00000000-0005-0000-0000-000071060000}"/>
    <cellStyle name="Comma 4 2 9 5" xfId="13870" xr:uid="{00000000-0005-0000-0000-000072060000}"/>
    <cellStyle name="Comma 4 2 9 5 2" xfId="30217" xr:uid="{00000000-0005-0000-0000-000073060000}"/>
    <cellStyle name="Comma 4 2 9 6" xfId="13675" xr:uid="{00000000-0005-0000-0000-000074060000}"/>
    <cellStyle name="Comma 4 2 9 7" xfId="21752" xr:uid="{00000000-0005-0000-0000-000075060000}"/>
    <cellStyle name="Comma 4 3" xfId="85" xr:uid="{00000000-0005-0000-0000-000076060000}"/>
    <cellStyle name="Comma 4 3 2" xfId="487" xr:uid="{00000000-0005-0000-0000-000077060000}"/>
    <cellStyle name="Comma 4 3 2 10" xfId="17410" xr:uid="{00000000-0005-0000-0000-000078060000}"/>
    <cellStyle name="Comma 4 3 2 2" xfId="580" xr:uid="{00000000-0005-0000-0000-000079060000}"/>
    <cellStyle name="Comma 4 3 2 2 2" xfId="681" xr:uid="{00000000-0005-0000-0000-00007A060000}"/>
    <cellStyle name="Comma 4 3 2 2 2 2" xfId="1293" xr:uid="{00000000-0005-0000-0000-00007B060000}"/>
    <cellStyle name="Comma 4 3 2 2 2 2 2" xfId="1812" xr:uid="{00000000-0005-0000-0000-00007C060000}"/>
    <cellStyle name="Comma 4 3 2 2 2 2 2 2" xfId="18547" xr:uid="{00000000-0005-0000-0000-00007D060000}"/>
    <cellStyle name="Comma 4 3 2 2 2 2 3" xfId="18028" xr:uid="{00000000-0005-0000-0000-00007E060000}"/>
    <cellStyle name="Comma 4 3 2 2 2 3" xfId="787" xr:uid="{00000000-0005-0000-0000-00007F060000}"/>
    <cellStyle name="Comma 4 3 2 2 2 3 2" xfId="17600" xr:uid="{00000000-0005-0000-0000-000080060000}"/>
    <cellStyle name="Comma 4 3 2 2 2 4" xfId="1384" xr:uid="{00000000-0005-0000-0000-000081060000}"/>
    <cellStyle name="Comma 4 3 2 2 2 4 2" xfId="18119" xr:uid="{00000000-0005-0000-0000-000082060000}"/>
    <cellStyle name="Comma 4 3 2 2 2 5" xfId="17495" xr:uid="{00000000-0005-0000-0000-000083060000}"/>
    <cellStyle name="Comma 4 3 2 2 3" xfId="643" xr:uid="{00000000-0005-0000-0000-000084060000}"/>
    <cellStyle name="Comma 4 3 2 2 3 2" xfId="1283" xr:uid="{00000000-0005-0000-0000-000085060000}"/>
    <cellStyle name="Comma 4 3 2 2 3 2 2" xfId="1802" xr:uid="{00000000-0005-0000-0000-000086060000}"/>
    <cellStyle name="Comma 4 3 2 2 3 2 2 2" xfId="18537" xr:uid="{00000000-0005-0000-0000-000087060000}"/>
    <cellStyle name="Comma 4 3 2 2 3 2 3" xfId="18018" xr:uid="{00000000-0005-0000-0000-000088060000}"/>
    <cellStyle name="Comma 4 3 2 2 3 3" xfId="752" xr:uid="{00000000-0005-0000-0000-000089060000}"/>
    <cellStyle name="Comma 4 3 2 2 3 3 2" xfId="17565" xr:uid="{00000000-0005-0000-0000-00008A060000}"/>
    <cellStyle name="Comma 4 3 2 2 3 4" xfId="1349" xr:uid="{00000000-0005-0000-0000-00008B060000}"/>
    <cellStyle name="Comma 4 3 2 2 3 4 2" xfId="18084" xr:uid="{00000000-0005-0000-0000-00008C060000}"/>
    <cellStyle name="Comma 4 3 2 2 3 5" xfId="17460" xr:uid="{00000000-0005-0000-0000-00008D060000}"/>
    <cellStyle name="Comma 4 3 2 2 4" xfId="823" xr:uid="{00000000-0005-0000-0000-00008E060000}"/>
    <cellStyle name="Comma 4 3 2 2 5" xfId="1273" xr:uid="{00000000-0005-0000-0000-00008F060000}"/>
    <cellStyle name="Comma 4 3 2 2 5 2" xfId="1792" xr:uid="{00000000-0005-0000-0000-000090060000}"/>
    <cellStyle name="Comma 4 3 2 2 5 2 2" xfId="18527" xr:uid="{00000000-0005-0000-0000-000091060000}"/>
    <cellStyle name="Comma 4 3 2 2 5 3" xfId="18008" xr:uid="{00000000-0005-0000-0000-000092060000}"/>
    <cellStyle name="Comma 4 3 2 2 6" xfId="717" xr:uid="{00000000-0005-0000-0000-000093060000}"/>
    <cellStyle name="Comma 4 3 2 2 6 2" xfId="17530" xr:uid="{00000000-0005-0000-0000-000094060000}"/>
    <cellStyle name="Comma 4 3 2 2 7" xfId="1314" xr:uid="{00000000-0005-0000-0000-000095060000}"/>
    <cellStyle name="Comma 4 3 2 2 7 2" xfId="18049" xr:uid="{00000000-0005-0000-0000-000096060000}"/>
    <cellStyle name="Comma 4 3 2 2 8" xfId="17425" xr:uid="{00000000-0005-0000-0000-000097060000}"/>
    <cellStyle name="Comma 4 3 2 3" xfId="664" xr:uid="{00000000-0005-0000-0000-000098060000}"/>
    <cellStyle name="Comma 4 3 2 3 2" xfId="824" xr:uid="{00000000-0005-0000-0000-000099060000}"/>
    <cellStyle name="Comma 4 3 2 3 3" xfId="1288" xr:uid="{00000000-0005-0000-0000-00009A060000}"/>
    <cellStyle name="Comma 4 3 2 3 3 2" xfId="1807" xr:uid="{00000000-0005-0000-0000-00009B060000}"/>
    <cellStyle name="Comma 4 3 2 3 3 2 2" xfId="18542" xr:uid="{00000000-0005-0000-0000-00009C060000}"/>
    <cellStyle name="Comma 4 3 2 3 3 3" xfId="18023" xr:uid="{00000000-0005-0000-0000-00009D060000}"/>
    <cellStyle name="Comma 4 3 2 3 4" xfId="772" xr:uid="{00000000-0005-0000-0000-00009E060000}"/>
    <cellStyle name="Comma 4 3 2 3 4 2" xfId="17585" xr:uid="{00000000-0005-0000-0000-00009F060000}"/>
    <cellStyle name="Comma 4 3 2 3 5" xfId="1369" xr:uid="{00000000-0005-0000-0000-0000A0060000}"/>
    <cellStyle name="Comma 4 3 2 3 5 2" xfId="18104" xr:uid="{00000000-0005-0000-0000-0000A1060000}"/>
    <cellStyle name="Comma 4 3 2 3 6" xfId="17480" xr:uid="{00000000-0005-0000-0000-0000A2060000}"/>
    <cellStyle name="Comma 4 3 2 4" xfId="626" xr:uid="{00000000-0005-0000-0000-0000A3060000}"/>
    <cellStyle name="Comma 4 3 2 4 2" xfId="1278" xr:uid="{00000000-0005-0000-0000-0000A4060000}"/>
    <cellStyle name="Comma 4 3 2 4 2 2" xfId="1797" xr:uid="{00000000-0005-0000-0000-0000A5060000}"/>
    <cellStyle name="Comma 4 3 2 4 2 2 2" xfId="18532" xr:uid="{00000000-0005-0000-0000-0000A6060000}"/>
    <cellStyle name="Comma 4 3 2 4 2 3" xfId="18013" xr:uid="{00000000-0005-0000-0000-0000A7060000}"/>
    <cellStyle name="Comma 4 3 2 4 3" xfId="737" xr:uid="{00000000-0005-0000-0000-0000A8060000}"/>
    <cellStyle name="Comma 4 3 2 4 3 2" xfId="17550" xr:uid="{00000000-0005-0000-0000-0000A9060000}"/>
    <cellStyle name="Comma 4 3 2 4 4" xfId="1334" xr:uid="{00000000-0005-0000-0000-0000AA060000}"/>
    <cellStyle name="Comma 4 3 2 4 4 2" xfId="18069" xr:uid="{00000000-0005-0000-0000-0000AB060000}"/>
    <cellStyle name="Comma 4 3 2 4 5" xfId="17445" xr:uid="{00000000-0005-0000-0000-0000AC060000}"/>
    <cellStyle name="Comma 4 3 2 5" xfId="822" xr:uid="{00000000-0005-0000-0000-0000AD060000}"/>
    <cellStyle name="Comma 4 3 2 5 2" xfId="1405" xr:uid="{00000000-0005-0000-0000-0000AE060000}"/>
    <cellStyle name="Comma 4 3 2 5 2 2" xfId="18140" xr:uid="{00000000-0005-0000-0000-0000AF060000}"/>
    <cellStyle name="Comma 4 3 2 5 3" xfId="17621" xr:uid="{00000000-0005-0000-0000-0000B0060000}"/>
    <cellStyle name="Comma 4 3 2 6" xfId="702" xr:uid="{00000000-0005-0000-0000-0000B1060000}"/>
    <cellStyle name="Comma 4 3 2 6 2" xfId="17515" xr:uid="{00000000-0005-0000-0000-0000B2060000}"/>
    <cellStyle name="Comma 4 3 2 7" xfId="1299" xr:uid="{00000000-0005-0000-0000-0000B3060000}"/>
    <cellStyle name="Comma 4 3 2 7 2" xfId="18034" xr:uid="{00000000-0005-0000-0000-0000B4060000}"/>
    <cellStyle name="Comma 4 3 2 8" xfId="1865" xr:uid="{00000000-0005-0000-0000-0000B5060000}"/>
    <cellStyle name="Comma 4 3 2 8 2" xfId="18596" xr:uid="{00000000-0005-0000-0000-0000B6060000}"/>
    <cellStyle name="Comma 4 3 2 9" xfId="3469" xr:uid="{00000000-0005-0000-0000-0000B7060000}"/>
    <cellStyle name="Comma 4 3 2 9 2" xfId="20192" xr:uid="{00000000-0005-0000-0000-0000B8060000}"/>
    <cellStyle name="Comma 4 3 3" xfId="488" xr:uid="{00000000-0005-0000-0000-0000B9060000}"/>
    <cellStyle name="Comma 4 3 4" xfId="825" xr:uid="{00000000-0005-0000-0000-0000BA060000}"/>
    <cellStyle name="Comma 4 3 5" xfId="826" xr:uid="{00000000-0005-0000-0000-0000BB060000}"/>
    <cellStyle name="Comma 4 3 5 10" xfId="10148" xr:uid="{00000000-0005-0000-0000-0000BC060000}"/>
    <cellStyle name="Comma 4 3 5 10 2" xfId="26759" xr:uid="{00000000-0005-0000-0000-0000BD060000}"/>
    <cellStyle name="Comma 4 3 5 11" xfId="13740" xr:uid="{00000000-0005-0000-0000-0000BE060000}"/>
    <cellStyle name="Comma 4 3 5 11 2" xfId="30097" xr:uid="{00000000-0005-0000-0000-0000BF060000}"/>
    <cellStyle name="Comma 4 3 5 12" xfId="3470" xr:uid="{00000000-0005-0000-0000-0000C0060000}"/>
    <cellStyle name="Comma 4 3 5 12 2" xfId="20193" xr:uid="{00000000-0005-0000-0000-0000C1060000}"/>
    <cellStyle name="Comma 4 3 5 13" xfId="17622" xr:uid="{00000000-0005-0000-0000-0000C2060000}"/>
    <cellStyle name="Comma 4 3 5 2" xfId="827" xr:uid="{00000000-0005-0000-0000-0000C3060000}"/>
    <cellStyle name="Comma 4 3 5 2 10" xfId="13750" xr:uid="{00000000-0005-0000-0000-0000C4060000}"/>
    <cellStyle name="Comma 4 3 5 2 10 2" xfId="30100" xr:uid="{00000000-0005-0000-0000-0000C5060000}"/>
    <cellStyle name="Comma 4 3 5 2 11" xfId="3471" xr:uid="{00000000-0005-0000-0000-0000C6060000}"/>
    <cellStyle name="Comma 4 3 5 2 11 2" xfId="20194" xr:uid="{00000000-0005-0000-0000-0000C7060000}"/>
    <cellStyle name="Comma 4 3 5 2 12" xfId="17623" xr:uid="{00000000-0005-0000-0000-0000C8060000}"/>
    <cellStyle name="Comma 4 3 5 2 2" xfId="927" xr:uid="{00000000-0005-0000-0000-0000C9060000}"/>
    <cellStyle name="Comma 4 3 5 2 2 10" xfId="3472" xr:uid="{00000000-0005-0000-0000-0000CA060000}"/>
    <cellStyle name="Comma 4 3 5 2 2 10 2" xfId="20195" xr:uid="{00000000-0005-0000-0000-0000CB060000}"/>
    <cellStyle name="Comma 4 3 5 2 2 11" xfId="17705" xr:uid="{00000000-0005-0000-0000-0000CC060000}"/>
    <cellStyle name="Comma 4 3 5 2 2 2" xfId="1034" xr:uid="{00000000-0005-0000-0000-0000CD060000}"/>
    <cellStyle name="Comma 4 3 5 2 2 2 10" xfId="17811" xr:uid="{00000000-0005-0000-0000-0000CE060000}"/>
    <cellStyle name="Comma 4 3 5 2 2 2 2" xfId="1072" xr:uid="{00000000-0005-0000-0000-0000CF060000}"/>
    <cellStyle name="Comma 4 3 5 2 2 2 3" xfId="1595" xr:uid="{00000000-0005-0000-0000-0000D0060000}"/>
    <cellStyle name="Comma 4 3 5 2 2 2 3 10" xfId="18330" xr:uid="{00000000-0005-0000-0000-0000D1060000}"/>
    <cellStyle name="Comma 4 3 5 2 2 2 3 2" xfId="1871" xr:uid="{00000000-0005-0000-0000-0000D2060000}"/>
    <cellStyle name="Comma 4 3 5 2 2 2 3 2 2" xfId="6133" xr:uid="{00000000-0005-0000-0000-0000D3060000}"/>
    <cellStyle name="Comma 4 3 5 2 2 2 3 2 2 2" xfId="9484" xr:uid="{00000000-0005-0000-0000-0000D4060000}"/>
    <cellStyle name="Comma 4 3 5 2 2 2 3 2 2 2 2" xfId="16747" xr:uid="{00000000-0005-0000-0000-0000D5060000}"/>
    <cellStyle name="Comma 4 3 5 2 2 2 3 2 2 2 2 2" xfId="33062" xr:uid="{00000000-0005-0000-0000-0000D6060000}"/>
    <cellStyle name="Comma 4 3 5 2 2 2 3 2 2 2 3" xfId="26097" xr:uid="{00000000-0005-0000-0000-0000D7060000}"/>
    <cellStyle name="Comma 4 3 5 2 2 2 3 2 2 3" xfId="12826" xr:uid="{00000000-0005-0000-0000-0000D8060000}"/>
    <cellStyle name="Comma 4 3 5 2 2 2 3 2 2 3 2" xfId="29401" xr:uid="{00000000-0005-0000-0000-0000D9060000}"/>
    <cellStyle name="Comma 4 3 5 2 2 2 3 2 2 4" xfId="14019" xr:uid="{00000000-0005-0000-0000-0000DA060000}"/>
    <cellStyle name="Comma 4 3 5 2 2 2 3 2 2 4 2" xfId="30339" xr:uid="{00000000-0005-0000-0000-0000DB060000}"/>
    <cellStyle name="Comma 4 3 5 2 2 2 3 2 2 5" xfId="13593" xr:uid="{00000000-0005-0000-0000-0000DC060000}"/>
    <cellStyle name="Comma 4 3 5 2 2 2 3 2 2 6" xfId="22797" xr:uid="{00000000-0005-0000-0000-0000DD060000}"/>
    <cellStyle name="Comma 4 3 5 2 2 2 3 2 3" xfId="7863" xr:uid="{00000000-0005-0000-0000-0000DE060000}"/>
    <cellStyle name="Comma 4 3 5 2 2 2 3 2 3 2" xfId="15126" xr:uid="{00000000-0005-0000-0000-0000DF060000}"/>
    <cellStyle name="Comma 4 3 5 2 2 2 3 2 3 2 2" xfId="31441" xr:uid="{00000000-0005-0000-0000-0000E0060000}"/>
    <cellStyle name="Comma 4 3 5 2 2 2 3 2 3 3" xfId="24476" xr:uid="{00000000-0005-0000-0000-0000E1060000}"/>
    <cellStyle name="Comma 4 3 5 2 2 2 3 2 4" xfId="11178" xr:uid="{00000000-0005-0000-0000-0000E2060000}"/>
    <cellStyle name="Comma 4 3 5 2 2 2 3 2 4 2" xfId="27776" xr:uid="{00000000-0005-0000-0000-0000E3060000}"/>
    <cellStyle name="Comma 4 3 5 2 2 2 3 2 5" xfId="13858" xr:uid="{00000000-0005-0000-0000-0000E4060000}"/>
    <cellStyle name="Comma 4 3 5 2 2 2 3 2 5 2" xfId="30205" xr:uid="{00000000-0005-0000-0000-0000E5060000}"/>
    <cellStyle name="Comma 4 3 5 2 2 2 3 2 6" xfId="13514" xr:uid="{00000000-0005-0000-0000-0000E6060000}"/>
    <cellStyle name="Comma 4 3 5 2 2 2 3 2 7" xfId="3475" xr:uid="{00000000-0005-0000-0000-0000E7060000}"/>
    <cellStyle name="Comma 4 3 5 2 2 2 3 2 7 2" xfId="20198" xr:uid="{00000000-0005-0000-0000-0000E8060000}"/>
    <cellStyle name="Comma 4 3 5 2 2 2 3 2 8" xfId="18602" xr:uid="{00000000-0005-0000-0000-0000E9060000}"/>
    <cellStyle name="Comma 4 3 5 2 2 2 3 3" xfId="1870" xr:uid="{00000000-0005-0000-0000-0000EA060000}"/>
    <cellStyle name="Comma 4 3 5 2 2 2 3 3 2" xfId="9078" xr:uid="{00000000-0005-0000-0000-0000EB060000}"/>
    <cellStyle name="Comma 4 3 5 2 2 2 3 3 2 2" xfId="16341" xr:uid="{00000000-0005-0000-0000-0000EC060000}"/>
    <cellStyle name="Comma 4 3 5 2 2 2 3 3 2 2 2" xfId="32656" xr:uid="{00000000-0005-0000-0000-0000ED060000}"/>
    <cellStyle name="Comma 4 3 5 2 2 2 3 3 2 3" xfId="25691" xr:uid="{00000000-0005-0000-0000-0000EE060000}"/>
    <cellStyle name="Comma 4 3 5 2 2 2 3 3 3" xfId="12420" xr:uid="{00000000-0005-0000-0000-0000EF060000}"/>
    <cellStyle name="Comma 4 3 5 2 2 2 3 3 3 2" xfId="28995" xr:uid="{00000000-0005-0000-0000-0000F0060000}"/>
    <cellStyle name="Comma 4 3 5 2 2 2 3 3 4" xfId="13980" xr:uid="{00000000-0005-0000-0000-0000F1060000}"/>
    <cellStyle name="Comma 4 3 5 2 2 2 3 3 4 2" xfId="30300" xr:uid="{00000000-0005-0000-0000-0000F2060000}"/>
    <cellStyle name="Comma 4 3 5 2 2 2 3 3 5" xfId="10171" xr:uid="{00000000-0005-0000-0000-0000F3060000}"/>
    <cellStyle name="Comma 4 3 5 2 2 2 3 3 6" xfId="5727" xr:uid="{00000000-0005-0000-0000-0000F4060000}"/>
    <cellStyle name="Comma 4 3 5 2 2 2 3 3 6 2" xfId="22391" xr:uid="{00000000-0005-0000-0000-0000F5060000}"/>
    <cellStyle name="Comma 4 3 5 2 2 2 3 3 7" xfId="18601" xr:uid="{00000000-0005-0000-0000-0000F6060000}"/>
    <cellStyle name="Comma 4 3 5 2 2 2 3 4" xfId="6789" xr:uid="{00000000-0005-0000-0000-0000F7060000}"/>
    <cellStyle name="Comma 4 3 5 2 2 2 3 4 2" xfId="10106" xr:uid="{00000000-0005-0000-0000-0000F8060000}"/>
    <cellStyle name="Comma 4 3 5 2 2 2 3 4 2 2" xfId="17369" xr:uid="{00000000-0005-0000-0000-0000F9060000}"/>
    <cellStyle name="Comma 4 3 5 2 2 2 3 4 2 2 2" xfId="33684" xr:uid="{00000000-0005-0000-0000-0000FA060000}"/>
    <cellStyle name="Comma 4 3 5 2 2 2 3 4 2 3" xfId="26719" xr:uid="{00000000-0005-0000-0000-0000FB060000}"/>
    <cellStyle name="Comma 4 3 5 2 2 2 3 4 3" xfId="13450" xr:uid="{00000000-0005-0000-0000-0000FC060000}"/>
    <cellStyle name="Comma 4 3 5 2 2 2 3 4 3 2" xfId="30023" xr:uid="{00000000-0005-0000-0000-0000FD060000}"/>
    <cellStyle name="Comma 4 3 5 2 2 2 3 4 4" xfId="14086" xr:uid="{00000000-0005-0000-0000-0000FE060000}"/>
    <cellStyle name="Comma 4 3 5 2 2 2 3 4 4 2" xfId="30403" xr:uid="{00000000-0005-0000-0000-0000FF060000}"/>
    <cellStyle name="Comma 4 3 5 2 2 2 3 4 5" xfId="13670" xr:uid="{00000000-0005-0000-0000-000000070000}"/>
    <cellStyle name="Comma 4 3 5 2 2 2 3 4 6" xfId="23419" xr:uid="{00000000-0005-0000-0000-000001070000}"/>
    <cellStyle name="Comma 4 3 5 2 2 2 3 5" xfId="6779" xr:uid="{00000000-0005-0000-0000-000002070000}"/>
    <cellStyle name="Comma 4 3 5 2 2 2 3 6" xfId="7457" xr:uid="{00000000-0005-0000-0000-000003070000}"/>
    <cellStyle name="Comma 4 3 5 2 2 2 3 6 2" xfId="14720" xr:uid="{00000000-0005-0000-0000-000004070000}"/>
    <cellStyle name="Comma 4 3 5 2 2 2 3 6 2 2" xfId="31035" xr:uid="{00000000-0005-0000-0000-000005070000}"/>
    <cellStyle name="Comma 4 3 5 2 2 2 3 6 3" xfId="24070" xr:uid="{00000000-0005-0000-0000-000006070000}"/>
    <cellStyle name="Comma 4 3 5 2 2 2 3 7" xfId="10772" xr:uid="{00000000-0005-0000-0000-000007070000}"/>
    <cellStyle name="Comma 4 3 5 2 2 2 3 7 2" xfId="27370" xr:uid="{00000000-0005-0000-0000-000008070000}"/>
    <cellStyle name="Comma 4 3 5 2 2 2 3 8" xfId="13819" xr:uid="{00000000-0005-0000-0000-000009070000}"/>
    <cellStyle name="Comma 4 3 5 2 2 2 3 8 2" xfId="30166" xr:uid="{00000000-0005-0000-0000-00000A070000}"/>
    <cellStyle name="Comma 4 3 5 2 2 2 3 9" xfId="3474" xr:uid="{00000000-0005-0000-0000-00000B070000}"/>
    <cellStyle name="Comma 4 3 5 2 2 2 3 9 2" xfId="20197" xr:uid="{00000000-0005-0000-0000-00000C070000}"/>
    <cellStyle name="Comma 4 3 5 2 2 2 4" xfId="1869" xr:uid="{00000000-0005-0000-0000-00000D070000}"/>
    <cellStyle name="Comma 4 3 5 2 2 2 4 2" xfId="8656" xr:uid="{00000000-0005-0000-0000-00000E070000}"/>
    <cellStyle name="Comma 4 3 5 2 2 2 4 2 2" xfId="15919" xr:uid="{00000000-0005-0000-0000-00000F070000}"/>
    <cellStyle name="Comma 4 3 5 2 2 2 4 2 2 2" xfId="32234" xr:uid="{00000000-0005-0000-0000-000010070000}"/>
    <cellStyle name="Comma 4 3 5 2 2 2 4 2 3" xfId="25269" xr:uid="{00000000-0005-0000-0000-000011070000}"/>
    <cellStyle name="Comma 4 3 5 2 2 2 4 3" xfId="11998" xr:uid="{00000000-0005-0000-0000-000012070000}"/>
    <cellStyle name="Comma 4 3 5 2 2 2 4 3 2" xfId="28573" xr:uid="{00000000-0005-0000-0000-000013070000}"/>
    <cellStyle name="Comma 4 3 5 2 2 2 4 4" xfId="13939" xr:uid="{00000000-0005-0000-0000-000014070000}"/>
    <cellStyle name="Comma 4 3 5 2 2 2 4 4 2" xfId="30259" xr:uid="{00000000-0005-0000-0000-000015070000}"/>
    <cellStyle name="Comma 4 3 5 2 2 2 4 5" xfId="13640" xr:uid="{00000000-0005-0000-0000-000016070000}"/>
    <cellStyle name="Comma 4 3 5 2 2 2 4 6" xfId="5305" xr:uid="{00000000-0005-0000-0000-000017070000}"/>
    <cellStyle name="Comma 4 3 5 2 2 2 4 6 2" xfId="21969" xr:uid="{00000000-0005-0000-0000-000018070000}"/>
    <cellStyle name="Comma 4 3 5 2 2 2 4 7" xfId="18600" xr:uid="{00000000-0005-0000-0000-000019070000}"/>
    <cellStyle name="Comma 4 3 5 2 2 2 5" xfId="6840" xr:uid="{00000000-0005-0000-0000-00001A070000}"/>
    <cellStyle name="Comma 4 3 5 2 2 2 5 2" xfId="10142" xr:uid="{00000000-0005-0000-0000-00001B070000}"/>
    <cellStyle name="Comma 4 3 5 2 2 2 5 2 2" xfId="17405" xr:uid="{00000000-0005-0000-0000-00001C070000}"/>
    <cellStyle name="Comma 4 3 5 2 2 2 5 2 2 2" xfId="33720" xr:uid="{00000000-0005-0000-0000-00001D070000}"/>
    <cellStyle name="Comma 4 3 5 2 2 2 5 2 3" xfId="26755" xr:uid="{00000000-0005-0000-0000-00001E070000}"/>
    <cellStyle name="Comma 4 3 5 2 2 2 5 3" xfId="13488" xr:uid="{00000000-0005-0000-0000-00001F070000}"/>
    <cellStyle name="Comma 4 3 5 2 2 2 5 3 2" xfId="30059" xr:uid="{00000000-0005-0000-0000-000020070000}"/>
    <cellStyle name="Comma 4 3 5 2 2 2 5 4" xfId="14105" xr:uid="{00000000-0005-0000-0000-000021070000}"/>
    <cellStyle name="Comma 4 3 5 2 2 2 5 4 2" xfId="30420" xr:uid="{00000000-0005-0000-0000-000022070000}"/>
    <cellStyle name="Comma 4 3 5 2 2 2 5 5" xfId="13556" xr:uid="{00000000-0005-0000-0000-000023070000}"/>
    <cellStyle name="Comma 4 3 5 2 2 2 5 6" xfId="23455" xr:uid="{00000000-0005-0000-0000-000024070000}"/>
    <cellStyle name="Comma 4 3 5 2 2 2 6" xfId="7037" xr:uid="{00000000-0005-0000-0000-000025070000}"/>
    <cellStyle name="Comma 4 3 5 2 2 2 6 2" xfId="14300" xr:uid="{00000000-0005-0000-0000-000026070000}"/>
    <cellStyle name="Comma 4 3 5 2 2 2 6 2 2" xfId="30615" xr:uid="{00000000-0005-0000-0000-000027070000}"/>
    <cellStyle name="Comma 4 3 5 2 2 2 6 3" xfId="23650" xr:uid="{00000000-0005-0000-0000-000028070000}"/>
    <cellStyle name="Comma 4 3 5 2 2 2 7" xfId="10351" xr:uid="{00000000-0005-0000-0000-000029070000}"/>
    <cellStyle name="Comma 4 3 5 2 2 2 7 2" xfId="26950" xr:uid="{00000000-0005-0000-0000-00002A070000}"/>
    <cellStyle name="Comma 4 3 5 2 2 2 8" xfId="13777" xr:uid="{00000000-0005-0000-0000-00002B070000}"/>
    <cellStyle name="Comma 4 3 5 2 2 2 8 2" xfId="30127" xr:uid="{00000000-0005-0000-0000-00002C070000}"/>
    <cellStyle name="Comma 4 3 5 2 2 2 9" xfId="3473" xr:uid="{00000000-0005-0000-0000-00002D070000}"/>
    <cellStyle name="Comma 4 3 5 2 2 2 9 2" xfId="20196" xr:uid="{00000000-0005-0000-0000-00002E070000}"/>
    <cellStyle name="Comma 4 3 5 2 2 3" xfId="1071" xr:uid="{00000000-0005-0000-0000-00002F070000}"/>
    <cellStyle name="Comma 4 3 5 2 2 4" xfId="1489" xr:uid="{00000000-0005-0000-0000-000030070000}"/>
    <cellStyle name="Comma 4 3 5 2 2 4 10" xfId="18224" xr:uid="{00000000-0005-0000-0000-000031070000}"/>
    <cellStyle name="Comma 4 3 5 2 2 4 2" xfId="1873" xr:uid="{00000000-0005-0000-0000-000032070000}"/>
    <cellStyle name="Comma 4 3 5 2 2 4 2 2" xfId="6115" xr:uid="{00000000-0005-0000-0000-000033070000}"/>
    <cellStyle name="Comma 4 3 5 2 2 4 2 2 2" xfId="9466" xr:uid="{00000000-0005-0000-0000-000034070000}"/>
    <cellStyle name="Comma 4 3 5 2 2 4 2 2 2 2" xfId="16729" xr:uid="{00000000-0005-0000-0000-000035070000}"/>
    <cellStyle name="Comma 4 3 5 2 2 4 2 2 2 2 2" xfId="33044" xr:uid="{00000000-0005-0000-0000-000036070000}"/>
    <cellStyle name="Comma 4 3 5 2 2 4 2 2 2 3" xfId="26079" xr:uid="{00000000-0005-0000-0000-000037070000}"/>
    <cellStyle name="Comma 4 3 5 2 2 4 2 2 3" xfId="12808" xr:uid="{00000000-0005-0000-0000-000038070000}"/>
    <cellStyle name="Comma 4 3 5 2 2 4 2 2 3 2" xfId="29383" xr:uid="{00000000-0005-0000-0000-000039070000}"/>
    <cellStyle name="Comma 4 3 5 2 2 4 2 2 4" xfId="14001" xr:uid="{00000000-0005-0000-0000-00003A070000}"/>
    <cellStyle name="Comma 4 3 5 2 2 4 2 2 4 2" xfId="30321" xr:uid="{00000000-0005-0000-0000-00003B070000}"/>
    <cellStyle name="Comma 4 3 5 2 2 4 2 2 5" xfId="13591" xr:uid="{00000000-0005-0000-0000-00003C070000}"/>
    <cellStyle name="Comma 4 3 5 2 2 4 2 2 6" xfId="22779" xr:uid="{00000000-0005-0000-0000-00003D070000}"/>
    <cellStyle name="Comma 4 3 5 2 2 4 2 3" xfId="7845" xr:uid="{00000000-0005-0000-0000-00003E070000}"/>
    <cellStyle name="Comma 4 3 5 2 2 4 2 3 2" xfId="15108" xr:uid="{00000000-0005-0000-0000-00003F070000}"/>
    <cellStyle name="Comma 4 3 5 2 2 4 2 3 2 2" xfId="31423" xr:uid="{00000000-0005-0000-0000-000040070000}"/>
    <cellStyle name="Comma 4 3 5 2 2 4 2 3 3" xfId="24458" xr:uid="{00000000-0005-0000-0000-000041070000}"/>
    <cellStyle name="Comma 4 3 5 2 2 4 2 4" xfId="11160" xr:uid="{00000000-0005-0000-0000-000042070000}"/>
    <cellStyle name="Comma 4 3 5 2 2 4 2 4 2" xfId="27758" xr:uid="{00000000-0005-0000-0000-000043070000}"/>
    <cellStyle name="Comma 4 3 5 2 2 4 2 5" xfId="13840" xr:uid="{00000000-0005-0000-0000-000044070000}"/>
    <cellStyle name="Comma 4 3 5 2 2 4 2 5 2" xfId="30187" xr:uid="{00000000-0005-0000-0000-000045070000}"/>
    <cellStyle name="Comma 4 3 5 2 2 4 2 6" xfId="13712" xr:uid="{00000000-0005-0000-0000-000046070000}"/>
    <cellStyle name="Comma 4 3 5 2 2 4 2 7" xfId="3477" xr:uid="{00000000-0005-0000-0000-000047070000}"/>
    <cellStyle name="Comma 4 3 5 2 2 4 2 7 2" xfId="20200" xr:uid="{00000000-0005-0000-0000-000048070000}"/>
    <cellStyle name="Comma 4 3 5 2 2 4 2 8" xfId="18604" xr:uid="{00000000-0005-0000-0000-000049070000}"/>
    <cellStyle name="Comma 4 3 5 2 2 4 3" xfId="1872" xr:uid="{00000000-0005-0000-0000-00004A070000}"/>
    <cellStyle name="Comma 4 3 5 2 2 4 3 2" xfId="9060" xr:uid="{00000000-0005-0000-0000-00004B070000}"/>
    <cellStyle name="Comma 4 3 5 2 2 4 3 2 2" xfId="16323" xr:uid="{00000000-0005-0000-0000-00004C070000}"/>
    <cellStyle name="Comma 4 3 5 2 2 4 3 2 2 2" xfId="32638" xr:uid="{00000000-0005-0000-0000-00004D070000}"/>
    <cellStyle name="Comma 4 3 5 2 2 4 3 2 3" xfId="25673" xr:uid="{00000000-0005-0000-0000-00004E070000}"/>
    <cellStyle name="Comma 4 3 5 2 2 4 3 3" xfId="12402" xr:uid="{00000000-0005-0000-0000-00004F070000}"/>
    <cellStyle name="Comma 4 3 5 2 2 4 3 3 2" xfId="28977" xr:uid="{00000000-0005-0000-0000-000050070000}"/>
    <cellStyle name="Comma 4 3 5 2 2 4 3 4" xfId="13962" xr:uid="{00000000-0005-0000-0000-000051070000}"/>
    <cellStyle name="Comma 4 3 5 2 2 4 3 4 2" xfId="30282" xr:uid="{00000000-0005-0000-0000-000052070000}"/>
    <cellStyle name="Comma 4 3 5 2 2 4 3 5" xfId="13636" xr:uid="{00000000-0005-0000-0000-000053070000}"/>
    <cellStyle name="Comma 4 3 5 2 2 4 3 6" xfId="5709" xr:uid="{00000000-0005-0000-0000-000054070000}"/>
    <cellStyle name="Comma 4 3 5 2 2 4 3 6 2" xfId="22373" xr:uid="{00000000-0005-0000-0000-000055070000}"/>
    <cellStyle name="Comma 4 3 5 2 2 4 3 7" xfId="18603" xr:uid="{00000000-0005-0000-0000-000056070000}"/>
    <cellStyle name="Comma 4 3 5 2 2 4 4" xfId="6733" xr:uid="{00000000-0005-0000-0000-000057070000}"/>
    <cellStyle name="Comma 4 3 5 2 2 4 4 2" xfId="10073" xr:uid="{00000000-0005-0000-0000-000058070000}"/>
    <cellStyle name="Comma 4 3 5 2 2 4 4 2 2" xfId="17336" xr:uid="{00000000-0005-0000-0000-000059070000}"/>
    <cellStyle name="Comma 4 3 5 2 2 4 4 2 2 2" xfId="33651" xr:uid="{00000000-0005-0000-0000-00005A070000}"/>
    <cellStyle name="Comma 4 3 5 2 2 4 4 2 3" xfId="26686" xr:uid="{00000000-0005-0000-0000-00005B070000}"/>
    <cellStyle name="Comma 4 3 5 2 2 4 4 3" xfId="13416" xr:uid="{00000000-0005-0000-0000-00005C070000}"/>
    <cellStyle name="Comma 4 3 5 2 2 4 4 3 2" xfId="29990" xr:uid="{00000000-0005-0000-0000-00005D070000}"/>
    <cellStyle name="Comma 4 3 5 2 2 4 4 4" xfId="14052" xr:uid="{00000000-0005-0000-0000-00005E070000}"/>
    <cellStyle name="Comma 4 3 5 2 2 4 4 4 2" xfId="30370" xr:uid="{00000000-0005-0000-0000-00005F070000}"/>
    <cellStyle name="Comma 4 3 5 2 2 4 4 5" xfId="11788" xr:uid="{00000000-0005-0000-0000-000060070000}"/>
    <cellStyle name="Comma 4 3 5 2 2 4 4 6" xfId="23386" xr:uid="{00000000-0005-0000-0000-000061070000}"/>
    <cellStyle name="Comma 4 3 5 2 2 4 5" xfId="6827" xr:uid="{00000000-0005-0000-0000-000062070000}"/>
    <cellStyle name="Comma 4 3 5 2 2 4 6" xfId="7439" xr:uid="{00000000-0005-0000-0000-000063070000}"/>
    <cellStyle name="Comma 4 3 5 2 2 4 6 2" xfId="14702" xr:uid="{00000000-0005-0000-0000-000064070000}"/>
    <cellStyle name="Comma 4 3 5 2 2 4 6 2 2" xfId="31017" xr:uid="{00000000-0005-0000-0000-000065070000}"/>
    <cellStyle name="Comma 4 3 5 2 2 4 6 3" xfId="24052" xr:uid="{00000000-0005-0000-0000-000066070000}"/>
    <cellStyle name="Comma 4 3 5 2 2 4 7" xfId="10754" xr:uid="{00000000-0005-0000-0000-000067070000}"/>
    <cellStyle name="Comma 4 3 5 2 2 4 7 2" xfId="27352" xr:uid="{00000000-0005-0000-0000-000068070000}"/>
    <cellStyle name="Comma 4 3 5 2 2 4 8" xfId="13801" xr:uid="{00000000-0005-0000-0000-000069070000}"/>
    <cellStyle name="Comma 4 3 5 2 2 4 8 2" xfId="30148" xr:uid="{00000000-0005-0000-0000-00006A070000}"/>
    <cellStyle name="Comma 4 3 5 2 2 4 9" xfId="3476" xr:uid="{00000000-0005-0000-0000-00006B070000}"/>
    <cellStyle name="Comma 4 3 5 2 2 4 9 2" xfId="20199" xr:uid="{00000000-0005-0000-0000-00006C070000}"/>
    <cellStyle name="Comma 4 3 5 2 2 5" xfId="1868" xr:uid="{00000000-0005-0000-0000-00006D070000}"/>
    <cellStyle name="Comma 4 3 5 2 2 5 2" xfId="8550" xr:uid="{00000000-0005-0000-0000-00006E070000}"/>
    <cellStyle name="Comma 4 3 5 2 2 5 2 2" xfId="15813" xr:uid="{00000000-0005-0000-0000-00006F070000}"/>
    <cellStyle name="Comma 4 3 5 2 2 5 2 2 2" xfId="32128" xr:uid="{00000000-0005-0000-0000-000070070000}"/>
    <cellStyle name="Comma 4 3 5 2 2 5 2 3" xfId="25163" xr:uid="{00000000-0005-0000-0000-000071070000}"/>
    <cellStyle name="Comma 4 3 5 2 2 5 3" xfId="11892" xr:uid="{00000000-0005-0000-0000-000072070000}"/>
    <cellStyle name="Comma 4 3 5 2 2 5 3 2" xfId="28467" xr:uid="{00000000-0005-0000-0000-000073070000}"/>
    <cellStyle name="Comma 4 3 5 2 2 5 4" xfId="13921" xr:uid="{00000000-0005-0000-0000-000074070000}"/>
    <cellStyle name="Comma 4 3 5 2 2 5 4 2" xfId="30241" xr:uid="{00000000-0005-0000-0000-000075070000}"/>
    <cellStyle name="Comma 4 3 5 2 2 5 5" xfId="13601" xr:uid="{00000000-0005-0000-0000-000076070000}"/>
    <cellStyle name="Comma 4 3 5 2 2 5 6" xfId="5199" xr:uid="{00000000-0005-0000-0000-000077070000}"/>
    <cellStyle name="Comma 4 3 5 2 2 5 6 2" xfId="21863" xr:uid="{00000000-0005-0000-0000-000078070000}"/>
    <cellStyle name="Comma 4 3 5 2 2 5 7" xfId="18599" xr:uid="{00000000-0005-0000-0000-000079070000}"/>
    <cellStyle name="Comma 4 3 5 2 2 6" xfId="6740" xr:uid="{00000000-0005-0000-0000-00007A070000}"/>
    <cellStyle name="Comma 4 3 5 2 2 6 2" xfId="10078" xr:uid="{00000000-0005-0000-0000-00007B070000}"/>
    <cellStyle name="Comma 4 3 5 2 2 6 2 2" xfId="17341" xr:uid="{00000000-0005-0000-0000-00007C070000}"/>
    <cellStyle name="Comma 4 3 5 2 2 6 2 2 2" xfId="33656" xr:uid="{00000000-0005-0000-0000-00007D070000}"/>
    <cellStyle name="Comma 4 3 5 2 2 6 2 3" xfId="26691" xr:uid="{00000000-0005-0000-0000-00007E070000}"/>
    <cellStyle name="Comma 4 3 5 2 2 6 3" xfId="13421" xr:uid="{00000000-0005-0000-0000-00007F070000}"/>
    <cellStyle name="Comma 4 3 5 2 2 6 3 2" xfId="29995" xr:uid="{00000000-0005-0000-0000-000080070000}"/>
    <cellStyle name="Comma 4 3 5 2 2 6 4" xfId="14057" xr:uid="{00000000-0005-0000-0000-000081070000}"/>
    <cellStyle name="Comma 4 3 5 2 2 6 4 2" xfId="30375" xr:uid="{00000000-0005-0000-0000-000082070000}"/>
    <cellStyle name="Comma 4 3 5 2 2 6 5" xfId="13639" xr:uid="{00000000-0005-0000-0000-000083070000}"/>
    <cellStyle name="Comma 4 3 5 2 2 6 6" xfId="23391" xr:uid="{00000000-0005-0000-0000-000084070000}"/>
    <cellStyle name="Comma 4 3 5 2 2 7" xfId="6931" xr:uid="{00000000-0005-0000-0000-000085070000}"/>
    <cellStyle name="Comma 4 3 5 2 2 7 2" xfId="14194" xr:uid="{00000000-0005-0000-0000-000086070000}"/>
    <cellStyle name="Comma 4 3 5 2 2 7 2 2" xfId="30509" xr:uid="{00000000-0005-0000-0000-000087070000}"/>
    <cellStyle name="Comma 4 3 5 2 2 7 3" xfId="23544" xr:uid="{00000000-0005-0000-0000-000088070000}"/>
    <cellStyle name="Comma 4 3 5 2 2 8" xfId="10245" xr:uid="{00000000-0005-0000-0000-000089070000}"/>
    <cellStyle name="Comma 4 3 5 2 2 8 2" xfId="26844" xr:uid="{00000000-0005-0000-0000-00008A070000}"/>
    <cellStyle name="Comma 4 3 5 2 2 9" xfId="13759" xr:uid="{00000000-0005-0000-0000-00008B070000}"/>
    <cellStyle name="Comma 4 3 5 2 2 9 2" xfId="30109" xr:uid="{00000000-0005-0000-0000-00008C070000}"/>
    <cellStyle name="Comma 4 3 5 2 3" xfId="981" xr:uid="{00000000-0005-0000-0000-00008D070000}"/>
    <cellStyle name="Comma 4 3 5 2 3 10" xfId="17758" xr:uid="{00000000-0005-0000-0000-00008E070000}"/>
    <cellStyle name="Comma 4 3 5 2 3 2" xfId="1073" xr:uid="{00000000-0005-0000-0000-00008F070000}"/>
    <cellStyle name="Comma 4 3 5 2 3 3" xfId="1542" xr:uid="{00000000-0005-0000-0000-000090070000}"/>
    <cellStyle name="Comma 4 3 5 2 3 3 10" xfId="18277" xr:uid="{00000000-0005-0000-0000-000091070000}"/>
    <cellStyle name="Comma 4 3 5 2 3 3 2" xfId="1876" xr:uid="{00000000-0005-0000-0000-000092070000}"/>
    <cellStyle name="Comma 4 3 5 2 3 3 2 2" xfId="6124" xr:uid="{00000000-0005-0000-0000-000093070000}"/>
    <cellStyle name="Comma 4 3 5 2 3 3 2 2 2" xfId="9475" xr:uid="{00000000-0005-0000-0000-000094070000}"/>
    <cellStyle name="Comma 4 3 5 2 3 3 2 2 2 2" xfId="16738" xr:uid="{00000000-0005-0000-0000-000095070000}"/>
    <cellStyle name="Comma 4 3 5 2 3 3 2 2 2 2 2" xfId="33053" xr:uid="{00000000-0005-0000-0000-000096070000}"/>
    <cellStyle name="Comma 4 3 5 2 3 3 2 2 2 3" xfId="26088" xr:uid="{00000000-0005-0000-0000-000097070000}"/>
    <cellStyle name="Comma 4 3 5 2 3 3 2 2 3" xfId="12817" xr:uid="{00000000-0005-0000-0000-000098070000}"/>
    <cellStyle name="Comma 4 3 5 2 3 3 2 2 3 2" xfId="29392" xr:uid="{00000000-0005-0000-0000-000099070000}"/>
    <cellStyle name="Comma 4 3 5 2 3 3 2 2 4" xfId="14010" xr:uid="{00000000-0005-0000-0000-00009A070000}"/>
    <cellStyle name="Comma 4 3 5 2 3 3 2 2 4 2" xfId="30330" xr:uid="{00000000-0005-0000-0000-00009B070000}"/>
    <cellStyle name="Comma 4 3 5 2 3 3 2 2 5" xfId="13492" xr:uid="{00000000-0005-0000-0000-00009C070000}"/>
    <cellStyle name="Comma 4 3 5 2 3 3 2 2 6" xfId="22788" xr:uid="{00000000-0005-0000-0000-00009D070000}"/>
    <cellStyle name="Comma 4 3 5 2 3 3 2 3" xfId="7854" xr:uid="{00000000-0005-0000-0000-00009E070000}"/>
    <cellStyle name="Comma 4 3 5 2 3 3 2 3 2" xfId="15117" xr:uid="{00000000-0005-0000-0000-00009F070000}"/>
    <cellStyle name="Comma 4 3 5 2 3 3 2 3 2 2" xfId="31432" xr:uid="{00000000-0005-0000-0000-0000A0070000}"/>
    <cellStyle name="Comma 4 3 5 2 3 3 2 3 3" xfId="24467" xr:uid="{00000000-0005-0000-0000-0000A1070000}"/>
    <cellStyle name="Comma 4 3 5 2 3 3 2 4" xfId="11169" xr:uid="{00000000-0005-0000-0000-0000A2070000}"/>
    <cellStyle name="Comma 4 3 5 2 3 3 2 4 2" xfId="27767" xr:uid="{00000000-0005-0000-0000-0000A3070000}"/>
    <cellStyle name="Comma 4 3 5 2 3 3 2 5" xfId="13849" xr:uid="{00000000-0005-0000-0000-0000A4070000}"/>
    <cellStyle name="Comma 4 3 5 2 3 3 2 5 2" xfId="30196" xr:uid="{00000000-0005-0000-0000-0000A5070000}"/>
    <cellStyle name="Comma 4 3 5 2 3 3 2 6" xfId="13609" xr:uid="{00000000-0005-0000-0000-0000A6070000}"/>
    <cellStyle name="Comma 4 3 5 2 3 3 2 7" xfId="3480" xr:uid="{00000000-0005-0000-0000-0000A7070000}"/>
    <cellStyle name="Comma 4 3 5 2 3 3 2 7 2" xfId="20203" xr:uid="{00000000-0005-0000-0000-0000A8070000}"/>
    <cellStyle name="Comma 4 3 5 2 3 3 2 8" xfId="18607" xr:uid="{00000000-0005-0000-0000-0000A9070000}"/>
    <cellStyle name="Comma 4 3 5 2 3 3 3" xfId="1875" xr:uid="{00000000-0005-0000-0000-0000AA070000}"/>
    <cellStyle name="Comma 4 3 5 2 3 3 3 2" xfId="9069" xr:uid="{00000000-0005-0000-0000-0000AB070000}"/>
    <cellStyle name="Comma 4 3 5 2 3 3 3 2 2" xfId="16332" xr:uid="{00000000-0005-0000-0000-0000AC070000}"/>
    <cellStyle name="Comma 4 3 5 2 3 3 3 2 2 2" xfId="32647" xr:uid="{00000000-0005-0000-0000-0000AD070000}"/>
    <cellStyle name="Comma 4 3 5 2 3 3 3 2 3" xfId="25682" xr:uid="{00000000-0005-0000-0000-0000AE070000}"/>
    <cellStyle name="Comma 4 3 5 2 3 3 3 3" xfId="12411" xr:uid="{00000000-0005-0000-0000-0000AF070000}"/>
    <cellStyle name="Comma 4 3 5 2 3 3 3 3 2" xfId="28986" xr:uid="{00000000-0005-0000-0000-0000B0070000}"/>
    <cellStyle name="Comma 4 3 5 2 3 3 3 4" xfId="13971" xr:uid="{00000000-0005-0000-0000-0000B1070000}"/>
    <cellStyle name="Comma 4 3 5 2 3 3 3 4 2" xfId="30291" xr:uid="{00000000-0005-0000-0000-0000B2070000}"/>
    <cellStyle name="Comma 4 3 5 2 3 3 3 5" xfId="13717" xr:uid="{00000000-0005-0000-0000-0000B3070000}"/>
    <cellStyle name="Comma 4 3 5 2 3 3 3 6" xfId="5718" xr:uid="{00000000-0005-0000-0000-0000B4070000}"/>
    <cellStyle name="Comma 4 3 5 2 3 3 3 6 2" xfId="22382" xr:uid="{00000000-0005-0000-0000-0000B5070000}"/>
    <cellStyle name="Comma 4 3 5 2 3 3 3 7" xfId="18606" xr:uid="{00000000-0005-0000-0000-0000B6070000}"/>
    <cellStyle name="Comma 4 3 5 2 3 3 4" xfId="6709" xr:uid="{00000000-0005-0000-0000-0000B7070000}"/>
    <cellStyle name="Comma 4 3 5 2 3 3 4 2" xfId="10057" xr:uid="{00000000-0005-0000-0000-0000B8070000}"/>
    <cellStyle name="Comma 4 3 5 2 3 3 4 2 2" xfId="17320" xr:uid="{00000000-0005-0000-0000-0000B9070000}"/>
    <cellStyle name="Comma 4 3 5 2 3 3 4 2 2 2" xfId="33635" xr:uid="{00000000-0005-0000-0000-0000BA070000}"/>
    <cellStyle name="Comma 4 3 5 2 3 3 4 2 3" xfId="26670" xr:uid="{00000000-0005-0000-0000-0000BB070000}"/>
    <cellStyle name="Comma 4 3 5 2 3 3 4 3" xfId="13399" xr:uid="{00000000-0005-0000-0000-0000BC070000}"/>
    <cellStyle name="Comma 4 3 5 2 3 3 4 3 2" xfId="29974" xr:uid="{00000000-0005-0000-0000-0000BD070000}"/>
    <cellStyle name="Comma 4 3 5 2 3 3 4 4" xfId="14034" xr:uid="{00000000-0005-0000-0000-0000BE070000}"/>
    <cellStyle name="Comma 4 3 5 2 3 3 4 4 2" xfId="30354" xr:uid="{00000000-0005-0000-0000-0000BF070000}"/>
    <cellStyle name="Comma 4 3 5 2 3 3 4 5" xfId="13624" xr:uid="{00000000-0005-0000-0000-0000C0070000}"/>
    <cellStyle name="Comma 4 3 5 2 3 3 4 6" xfId="23370" xr:uid="{00000000-0005-0000-0000-0000C1070000}"/>
    <cellStyle name="Comma 4 3 5 2 3 3 5" xfId="6766" xr:uid="{00000000-0005-0000-0000-0000C2070000}"/>
    <cellStyle name="Comma 4 3 5 2 3 3 6" xfId="7448" xr:uid="{00000000-0005-0000-0000-0000C3070000}"/>
    <cellStyle name="Comma 4 3 5 2 3 3 6 2" xfId="14711" xr:uid="{00000000-0005-0000-0000-0000C4070000}"/>
    <cellStyle name="Comma 4 3 5 2 3 3 6 2 2" xfId="31026" xr:uid="{00000000-0005-0000-0000-0000C5070000}"/>
    <cellStyle name="Comma 4 3 5 2 3 3 6 3" xfId="24061" xr:uid="{00000000-0005-0000-0000-0000C6070000}"/>
    <cellStyle name="Comma 4 3 5 2 3 3 7" xfId="10763" xr:uid="{00000000-0005-0000-0000-0000C7070000}"/>
    <cellStyle name="Comma 4 3 5 2 3 3 7 2" xfId="27361" xr:uid="{00000000-0005-0000-0000-0000C8070000}"/>
    <cellStyle name="Comma 4 3 5 2 3 3 8" xfId="13810" xr:uid="{00000000-0005-0000-0000-0000C9070000}"/>
    <cellStyle name="Comma 4 3 5 2 3 3 8 2" xfId="30157" xr:uid="{00000000-0005-0000-0000-0000CA070000}"/>
    <cellStyle name="Comma 4 3 5 2 3 3 9" xfId="3479" xr:uid="{00000000-0005-0000-0000-0000CB070000}"/>
    <cellStyle name="Comma 4 3 5 2 3 3 9 2" xfId="20202" xr:uid="{00000000-0005-0000-0000-0000CC070000}"/>
    <cellStyle name="Comma 4 3 5 2 3 4" xfId="1874" xr:uid="{00000000-0005-0000-0000-0000CD070000}"/>
    <cellStyle name="Comma 4 3 5 2 3 4 2" xfId="8603" xr:uid="{00000000-0005-0000-0000-0000CE070000}"/>
    <cellStyle name="Comma 4 3 5 2 3 4 2 2" xfId="15866" xr:uid="{00000000-0005-0000-0000-0000CF070000}"/>
    <cellStyle name="Comma 4 3 5 2 3 4 2 2 2" xfId="32181" xr:uid="{00000000-0005-0000-0000-0000D0070000}"/>
    <cellStyle name="Comma 4 3 5 2 3 4 2 3" xfId="25216" xr:uid="{00000000-0005-0000-0000-0000D1070000}"/>
    <cellStyle name="Comma 4 3 5 2 3 4 3" xfId="11945" xr:uid="{00000000-0005-0000-0000-0000D2070000}"/>
    <cellStyle name="Comma 4 3 5 2 3 4 3 2" xfId="28520" xr:uid="{00000000-0005-0000-0000-0000D3070000}"/>
    <cellStyle name="Comma 4 3 5 2 3 4 4" xfId="13930" xr:uid="{00000000-0005-0000-0000-0000D4070000}"/>
    <cellStyle name="Comma 4 3 5 2 3 4 4 2" xfId="30250" xr:uid="{00000000-0005-0000-0000-0000D5070000}"/>
    <cellStyle name="Comma 4 3 5 2 3 4 5" xfId="13634" xr:uid="{00000000-0005-0000-0000-0000D6070000}"/>
    <cellStyle name="Comma 4 3 5 2 3 4 6" xfId="5252" xr:uid="{00000000-0005-0000-0000-0000D7070000}"/>
    <cellStyle name="Comma 4 3 5 2 3 4 6 2" xfId="21916" xr:uid="{00000000-0005-0000-0000-0000D8070000}"/>
    <cellStyle name="Comma 4 3 5 2 3 4 7" xfId="18605" xr:uid="{00000000-0005-0000-0000-0000D9070000}"/>
    <cellStyle name="Comma 4 3 5 2 3 5" xfId="5324" xr:uid="{00000000-0005-0000-0000-0000DA070000}"/>
    <cellStyle name="Comma 4 3 5 2 3 5 2" xfId="8675" xr:uid="{00000000-0005-0000-0000-0000DB070000}"/>
    <cellStyle name="Comma 4 3 5 2 3 5 2 2" xfId="15938" xr:uid="{00000000-0005-0000-0000-0000DC070000}"/>
    <cellStyle name="Comma 4 3 5 2 3 5 2 2 2" xfId="32253" xr:uid="{00000000-0005-0000-0000-0000DD070000}"/>
    <cellStyle name="Comma 4 3 5 2 3 5 2 3" xfId="25288" xr:uid="{00000000-0005-0000-0000-0000DE070000}"/>
    <cellStyle name="Comma 4 3 5 2 3 5 3" xfId="12017" xr:uid="{00000000-0005-0000-0000-0000DF070000}"/>
    <cellStyle name="Comma 4 3 5 2 3 5 3 2" xfId="28592" xr:uid="{00000000-0005-0000-0000-0000E0070000}"/>
    <cellStyle name="Comma 4 3 5 2 3 5 4" xfId="13944" xr:uid="{00000000-0005-0000-0000-0000E1070000}"/>
    <cellStyle name="Comma 4 3 5 2 3 5 4 2" xfId="30264" xr:uid="{00000000-0005-0000-0000-0000E2070000}"/>
    <cellStyle name="Comma 4 3 5 2 3 5 5" xfId="13704" xr:uid="{00000000-0005-0000-0000-0000E3070000}"/>
    <cellStyle name="Comma 4 3 5 2 3 5 6" xfId="21988" xr:uid="{00000000-0005-0000-0000-0000E4070000}"/>
    <cellStyle name="Comma 4 3 5 2 3 6" xfId="6984" xr:uid="{00000000-0005-0000-0000-0000E5070000}"/>
    <cellStyle name="Comma 4 3 5 2 3 6 2" xfId="14247" xr:uid="{00000000-0005-0000-0000-0000E6070000}"/>
    <cellStyle name="Comma 4 3 5 2 3 6 2 2" xfId="30562" xr:uid="{00000000-0005-0000-0000-0000E7070000}"/>
    <cellStyle name="Comma 4 3 5 2 3 6 3" xfId="23597" xr:uid="{00000000-0005-0000-0000-0000E8070000}"/>
    <cellStyle name="Comma 4 3 5 2 3 7" xfId="10298" xr:uid="{00000000-0005-0000-0000-0000E9070000}"/>
    <cellStyle name="Comma 4 3 5 2 3 7 2" xfId="26897" xr:uid="{00000000-0005-0000-0000-0000EA070000}"/>
    <cellStyle name="Comma 4 3 5 2 3 8" xfId="13768" xr:uid="{00000000-0005-0000-0000-0000EB070000}"/>
    <cellStyle name="Comma 4 3 5 2 3 8 2" xfId="30118" xr:uid="{00000000-0005-0000-0000-0000EC070000}"/>
    <cellStyle name="Comma 4 3 5 2 3 9" xfId="3478" xr:uid="{00000000-0005-0000-0000-0000ED070000}"/>
    <cellStyle name="Comma 4 3 5 2 3 9 2" xfId="20201" xr:uid="{00000000-0005-0000-0000-0000EE070000}"/>
    <cellStyle name="Comma 4 3 5 2 4" xfId="1070" xr:uid="{00000000-0005-0000-0000-0000EF070000}"/>
    <cellStyle name="Comma 4 3 5 2 5" xfId="1407" xr:uid="{00000000-0005-0000-0000-0000F0070000}"/>
    <cellStyle name="Comma 4 3 5 2 5 10" xfId="18142" xr:uid="{00000000-0005-0000-0000-0000F1070000}"/>
    <cellStyle name="Comma 4 3 5 2 5 2" xfId="1878" xr:uid="{00000000-0005-0000-0000-0000F2070000}"/>
    <cellStyle name="Comma 4 3 5 2 5 2 2" xfId="6106" xr:uid="{00000000-0005-0000-0000-0000F3070000}"/>
    <cellStyle name="Comma 4 3 5 2 5 2 2 2" xfId="9457" xr:uid="{00000000-0005-0000-0000-0000F4070000}"/>
    <cellStyle name="Comma 4 3 5 2 5 2 2 2 2" xfId="16720" xr:uid="{00000000-0005-0000-0000-0000F5070000}"/>
    <cellStyle name="Comma 4 3 5 2 5 2 2 2 2 2" xfId="33035" xr:uid="{00000000-0005-0000-0000-0000F6070000}"/>
    <cellStyle name="Comma 4 3 5 2 5 2 2 2 3" xfId="26070" xr:uid="{00000000-0005-0000-0000-0000F7070000}"/>
    <cellStyle name="Comma 4 3 5 2 5 2 2 3" xfId="12799" xr:uid="{00000000-0005-0000-0000-0000F8070000}"/>
    <cellStyle name="Comma 4 3 5 2 5 2 2 3 2" xfId="29374" xr:uid="{00000000-0005-0000-0000-0000F9070000}"/>
    <cellStyle name="Comma 4 3 5 2 5 2 2 4" xfId="13992" xr:uid="{00000000-0005-0000-0000-0000FA070000}"/>
    <cellStyle name="Comma 4 3 5 2 5 2 2 4 2" xfId="30312" xr:uid="{00000000-0005-0000-0000-0000FB070000}"/>
    <cellStyle name="Comma 4 3 5 2 5 2 2 5" xfId="11837" xr:uid="{00000000-0005-0000-0000-0000FC070000}"/>
    <cellStyle name="Comma 4 3 5 2 5 2 2 6" xfId="22770" xr:uid="{00000000-0005-0000-0000-0000FD070000}"/>
    <cellStyle name="Comma 4 3 5 2 5 2 3" xfId="7836" xr:uid="{00000000-0005-0000-0000-0000FE070000}"/>
    <cellStyle name="Comma 4 3 5 2 5 2 3 2" xfId="15099" xr:uid="{00000000-0005-0000-0000-0000FF070000}"/>
    <cellStyle name="Comma 4 3 5 2 5 2 3 2 2" xfId="31414" xr:uid="{00000000-0005-0000-0000-000000080000}"/>
    <cellStyle name="Comma 4 3 5 2 5 2 3 3" xfId="24449" xr:uid="{00000000-0005-0000-0000-000001080000}"/>
    <cellStyle name="Comma 4 3 5 2 5 2 4" xfId="11151" xr:uid="{00000000-0005-0000-0000-000002080000}"/>
    <cellStyle name="Comma 4 3 5 2 5 2 4 2" xfId="27749" xr:uid="{00000000-0005-0000-0000-000003080000}"/>
    <cellStyle name="Comma 4 3 5 2 5 2 5" xfId="13831" xr:uid="{00000000-0005-0000-0000-000004080000}"/>
    <cellStyle name="Comma 4 3 5 2 5 2 5 2" xfId="30178" xr:uid="{00000000-0005-0000-0000-000005080000}"/>
    <cellStyle name="Comma 4 3 5 2 5 2 6" xfId="13692" xr:uid="{00000000-0005-0000-0000-000006080000}"/>
    <cellStyle name="Comma 4 3 5 2 5 2 7" xfId="3482" xr:uid="{00000000-0005-0000-0000-000007080000}"/>
    <cellStyle name="Comma 4 3 5 2 5 2 7 2" xfId="20205" xr:uid="{00000000-0005-0000-0000-000008080000}"/>
    <cellStyle name="Comma 4 3 5 2 5 2 8" xfId="18609" xr:uid="{00000000-0005-0000-0000-000009080000}"/>
    <cellStyle name="Comma 4 3 5 2 5 3" xfId="1877" xr:uid="{00000000-0005-0000-0000-00000A080000}"/>
    <cellStyle name="Comma 4 3 5 2 5 3 2" xfId="9051" xr:uid="{00000000-0005-0000-0000-00000B080000}"/>
    <cellStyle name="Comma 4 3 5 2 5 3 2 2" xfId="16314" xr:uid="{00000000-0005-0000-0000-00000C080000}"/>
    <cellStyle name="Comma 4 3 5 2 5 3 2 2 2" xfId="32629" xr:uid="{00000000-0005-0000-0000-00000D080000}"/>
    <cellStyle name="Comma 4 3 5 2 5 3 2 3" xfId="25664" xr:uid="{00000000-0005-0000-0000-00000E080000}"/>
    <cellStyle name="Comma 4 3 5 2 5 3 3" xfId="12393" xr:uid="{00000000-0005-0000-0000-00000F080000}"/>
    <cellStyle name="Comma 4 3 5 2 5 3 3 2" xfId="28968" xr:uid="{00000000-0005-0000-0000-000010080000}"/>
    <cellStyle name="Comma 4 3 5 2 5 3 4" xfId="13953" xr:uid="{00000000-0005-0000-0000-000011080000}"/>
    <cellStyle name="Comma 4 3 5 2 5 3 4 2" xfId="30273" xr:uid="{00000000-0005-0000-0000-000012080000}"/>
    <cellStyle name="Comma 4 3 5 2 5 3 5" xfId="13720" xr:uid="{00000000-0005-0000-0000-000013080000}"/>
    <cellStyle name="Comma 4 3 5 2 5 3 6" xfId="5700" xr:uid="{00000000-0005-0000-0000-000014080000}"/>
    <cellStyle name="Comma 4 3 5 2 5 3 6 2" xfId="22364" xr:uid="{00000000-0005-0000-0000-000015080000}"/>
    <cellStyle name="Comma 4 3 5 2 5 3 7" xfId="18608" xr:uid="{00000000-0005-0000-0000-000016080000}"/>
    <cellStyle name="Comma 4 3 5 2 5 4" xfId="6705" xr:uid="{00000000-0005-0000-0000-000017080000}"/>
    <cellStyle name="Comma 4 3 5 2 5 4 2" xfId="10054" xr:uid="{00000000-0005-0000-0000-000018080000}"/>
    <cellStyle name="Comma 4 3 5 2 5 4 2 2" xfId="17317" xr:uid="{00000000-0005-0000-0000-000019080000}"/>
    <cellStyle name="Comma 4 3 5 2 5 4 2 2 2" xfId="33632" xr:uid="{00000000-0005-0000-0000-00001A080000}"/>
    <cellStyle name="Comma 4 3 5 2 5 4 2 3" xfId="26667" xr:uid="{00000000-0005-0000-0000-00001B080000}"/>
    <cellStyle name="Comma 4 3 5 2 5 4 3" xfId="13396" xr:uid="{00000000-0005-0000-0000-00001C080000}"/>
    <cellStyle name="Comma 4 3 5 2 5 4 3 2" xfId="29971" xr:uid="{00000000-0005-0000-0000-00001D080000}"/>
    <cellStyle name="Comma 4 3 5 2 5 4 4" xfId="14031" xr:uid="{00000000-0005-0000-0000-00001E080000}"/>
    <cellStyle name="Comma 4 3 5 2 5 4 4 2" xfId="30351" xr:uid="{00000000-0005-0000-0000-00001F080000}"/>
    <cellStyle name="Comma 4 3 5 2 5 4 5" xfId="13715" xr:uid="{00000000-0005-0000-0000-000020080000}"/>
    <cellStyle name="Comma 4 3 5 2 5 4 6" xfId="23367" xr:uid="{00000000-0005-0000-0000-000021080000}"/>
    <cellStyle name="Comma 4 3 5 2 5 5" xfId="6837" xr:uid="{00000000-0005-0000-0000-000022080000}"/>
    <cellStyle name="Comma 4 3 5 2 5 6" xfId="7430" xr:uid="{00000000-0005-0000-0000-000023080000}"/>
    <cellStyle name="Comma 4 3 5 2 5 6 2" xfId="14693" xr:uid="{00000000-0005-0000-0000-000024080000}"/>
    <cellStyle name="Comma 4 3 5 2 5 6 2 2" xfId="31008" xr:uid="{00000000-0005-0000-0000-000025080000}"/>
    <cellStyle name="Comma 4 3 5 2 5 6 3" xfId="24043" xr:uid="{00000000-0005-0000-0000-000026080000}"/>
    <cellStyle name="Comma 4 3 5 2 5 7" xfId="10745" xr:uid="{00000000-0005-0000-0000-000027080000}"/>
    <cellStyle name="Comma 4 3 5 2 5 7 2" xfId="27343" xr:uid="{00000000-0005-0000-0000-000028080000}"/>
    <cellStyle name="Comma 4 3 5 2 5 8" xfId="13792" xr:uid="{00000000-0005-0000-0000-000029080000}"/>
    <cellStyle name="Comma 4 3 5 2 5 8 2" xfId="30139" xr:uid="{00000000-0005-0000-0000-00002A080000}"/>
    <cellStyle name="Comma 4 3 5 2 5 9" xfId="3481" xr:uid="{00000000-0005-0000-0000-00002B080000}"/>
    <cellStyle name="Comma 4 3 5 2 5 9 2" xfId="20204" xr:uid="{00000000-0005-0000-0000-00002C080000}"/>
    <cellStyle name="Comma 4 3 5 2 6" xfId="1867" xr:uid="{00000000-0005-0000-0000-00002D080000}"/>
    <cellStyle name="Comma 4 3 5 2 6 2" xfId="8497" xr:uid="{00000000-0005-0000-0000-00002E080000}"/>
    <cellStyle name="Comma 4 3 5 2 6 2 2" xfId="15760" xr:uid="{00000000-0005-0000-0000-00002F080000}"/>
    <cellStyle name="Comma 4 3 5 2 6 2 2 2" xfId="32075" xr:uid="{00000000-0005-0000-0000-000030080000}"/>
    <cellStyle name="Comma 4 3 5 2 6 2 3" xfId="25110" xr:uid="{00000000-0005-0000-0000-000031080000}"/>
    <cellStyle name="Comma 4 3 5 2 6 3" xfId="11839" xr:uid="{00000000-0005-0000-0000-000032080000}"/>
    <cellStyle name="Comma 4 3 5 2 6 3 2" xfId="28414" xr:uid="{00000000-0005-0000-0000-000033080000}"/>
    <cellStyle name="Comma 4 3 5 2 6 4" xfId="13912" xr:uid="{00000000-0005-0000-0000-000034080000}"/>
    <cellStyle name="Comma 4 3 5 2 6 4 2" xfId="30232" xr:uid="{00000000-0005-0000-0000-000035080000}"/>
    <cellStyle name="Comma 4 3 5 2 6 5" xfId="13583" xr:uid="{00000000-0005-0000-0000-000036080000}"/>
    <cellStyle name="Comma 4 3 5 2 6 6" xfId="5146" xr:uid="{00000000-0005-0000-0000-000037080000}"/>
    <cellStyle name="Comma 4 3 5 2 6 6 2" xfId="21810" xr:uid="{00000000-0005-0000-0000-000038080000}"/>
    <cellStyle name="Comma 4 3 5 2 6 7" xfId="18598" xr:uid="{00000000-0005-0000-0000-000039080000}"/>
    <cellStyle name="Comma 4 3 5 2 7" xfId="5104" xr:uid="{00000000-0005-0000-0000-00003A080000}"/>
    <cellStyle name="Comma 4 3 5 2 7 2" xfId="8459" xr:uid="{00000000-0005-0000-0000-00003B080000}"/>
    <cellStyle name="Comma 4 3 5 2 7 2 2" xfId="15722" xr:uid="{00000000-0005-0000-0000-00003C080000}"/>
    <cellStyle name="Comma 4 3 5 2 7 2 2 2" xfId="32037" xr:uid="{00000000-0005-0000-0000-00003D080000}"/>
    <cellStyle name="Comma 4 3 5 2 7 2 3" xfId="25072" xr:uid="{00000000-0005-0000-0000-00003E080000}"/>
    <cellStyle name="Comma 4 3 5 2 7 3" xfId="11800" xr:uid="{00000000-0005-0000-0000-00003F080000}"/>
    <cellStyle name="Comma 4 3 5 2 7 3 2" xfId="28376" xr:uid="{00000000-0005-0000-0000-000040080000}"/>
    <cellStyle name="Comma 4 3 5 2 7 4" xfId="13902" xr:uid="{00000000-0005-0000-0000-000041080000}"/>
    <cellStyle name="Comma 4 3 5 2 7 4 2" xfId="30223" xr:uid="{00000000-0005-0000-0000-000042080000}"/>
    <cellStyle name="Comma 4 3 5 2 7 5" xfId="13711" xr:uid="{00000000-0005-0000-0000-000043080000}"/>
    <cellStyle name="Comma 4 3 5 2 7 6" xfId="21772" xr:uid="{00000000-0005-0000-0000-000044080000}"/>
    <cellStyle name="Comma 4 3 5 2 8" xfId="6878" xr:uid="{00000000-0005-0000-0000-000045080000}"/>
    <cellStyle name="Comma 4 3 5 2 8 2" xfId="14141" xr:uid="{00000000-0005-0000-0000-000046080000}"/>
    <cellStyle name="Comma 4 3 5 2 8 2 2" xfId="30456" xr:uid="{00000000-0005-0000-0000-000047080000}"/>
    <cellStyle name="Comma 4 3 5 2 8 3" xfId="23491" xr:uid="{00000000-0005-0000-0000-000048080000}"/>
    <cellStyle name="Comma 4 3 5 2 9" xfId="10192" xr:uid="{00000000-0005-0000-0000-000049080000}"/>
    <cellStyle name="Comma 4 3 5 2 9 2" xfId="26791" xr:uid="{00000000-0005-0000-0000-00004A080000}"/>
    <cellStyle name="Comma 4 3 5 3" xfId="895" xr:uid="{00000000-0005-0000-0000-00004B080000}"/>
    <cellStyle name="Comma 4 3 5 3 10" xfId="3483" xr:uid="{00000000-0005-0000-0000-00004C080000}"/>
    <cellStyle name="Comma 4 3 5 3 10 2" xfId="20206" xr:uid="{00000000-0005-0000-0000-00004D080000}"/>
    <cellStyle name="Comma 4 3 5 3 11" xfId="17673" xr:uid="{00000000-0005-0000-0000-00004E080000}"/>
    <cellStyle name="Comma 4 3 5 3 2" xfId="1002" xr:uid="{00000000-0005-0000-0000-00004F080000}"/>
    <cellStyle name="Comma 4 3 5 3 2 10" xfId="17779" xr:uid="{00000000-0005-0000-0000-000050080000}"/>
    <cellStyle name="Comma 4 3 5 3 2 2" xfId="1075" xr:uid="{00000000-0005-0000-0000-000051080000}"/>
    <cellStyle name="Comma 4 3 5 3 2 3" xfId="1563" xr:uid="{00000000-0005-0000-0000-000052080000}"/>
    <cellStyle name="Comma 4 3 5 3 2 3 10" xfId="18298" xr:uid="{00000000-0005-0000-0000-000053080000}"/>
    <cellStyle name="Comma 4 3 5 3 2 3 2" xfId="1882" xr:uid="{00000000-0005-0000-0000-000054080000}"/>
    <cellStyle name="Comma 4 3 5 3 2 3 2 2" xfId="6130" xr:uid="{00000000-0005-0000-0000-000055080000}"/>
    <cellStyle name="Comma 4 3 5 3 2 3 2 2 2" xfId="9481" xr:uid="{00000000-0005-0000-0000-000056080000}"/>
    <cellStyle name="Comma 4 3 5 3 2 3 2 2 2 2" xfId="16744" xr:uid="{00000000-0005-0000-0000-000057080000}"/>
    <cellStyle name="Comma 4 3 5 3 2 3 2 2 2 2 2" xfId="33059" xr:uid="{00000000-0005-0000-0000-000058080000}"/>
    <cellStyle name="Comma 4 3 5 3 2 3 2 2 2 3" xfId="26094" xr:uid="{00000000-0005-0000-0000-000059080000}"/>
    <cellStyle name="Comma 4 3 5 3 2 3 2 2 3" xfId="12823" xr:uid="{00000000-0005-0000-0000-00005A080000}"/>
    <cellStyle name="Comma 4 3 5 3 2 3 2 2 3 2" xfId="29398" xr:uid="{00000000-0005-0000-0000-00005B080000}"/>
    <cellStyle name="Comma 4 3 5 3 2 3 2 2 4" xfId="14016" xr:uid="{00000000-0005-0000-0000-00005C080000}"/>
    <cellStyle name="Comma 4 3 5 3 2 3 2 2 4 2" xfId="30336" xr:uid="{00000000-0005-0000-0000-00005D080000}"/>
    <cellStyle name="Comma 4 3 5 3 2 3 2 2 5" xfId="13623" xr:uid="{00000000-0005-0000-0000-00005E080000}"/>
    <cellStyle name="Comma 4 3 5 3 2 3 2 2 6" xfId="22794" xr:uid="{00000000-0005-0000-0000-00005F080000}"/>
    <cellStyle name="Comma 4 3 5 3 2 3 2 3" xfId="7860" xr:uid="{00000000-0005-0000-0000-000060080000}"/>
    <cellStyle name="Comma 4 3 5 3 2 3 2 3 2" xfId="15123" xr:uid="{00000000-0005-0000-0000-000061080000}"/>
    <cellStyle name="Comma 4 3 5 3 2 3 2 3 2 2" xfId="31438" xr:uid="{00000000-0005-0000-0000-000062080000}"/>
    <cellStyle name="Comma 4 3 5 3 2 3 2 3 3" xfId="24473" xr:uid="{00000000-0005-0000-0000-000063080000}"/>
    <cellStyle name="Comma 4 3 5 3 2 3 2 4" xfId="11175" xr:uid="{00000000-0005-0000-0000-000064080000}"/>
    <cellStyle name="Comma 4 3 5 3 2 3 2 4 2" xfId="27773" xr:uid="{00000000-0005-0000-0000-000065080000}"/>
    <cellStyle name="Comma 4 3 5 3 2 3 2 5" xfId="13855" xr:uid="{00000000-0005-0000-0000-000066080000}"/>
    <cellStyle name="Comma 4 3 5 3 2 3 2 5 2" xfId="30202" xr:uid="{00000000-0005-0000-0000-000067080000}"/>
    <cellStyle name="Comma 4 3 5 3 2 3 2 6" xfId="13537" xr:uid="{00000000-0005-0000-0000-000068080000}"/>
    <cellStyle name="Comma 4 3 5 3 2 3 2 7" xfId="3486" xr:uid="{00000000-0005-0000-0000-000069080000}"/>
    <cellStyle name="Comma 4 3 5 3 2 3 2 7 2" xfId="20209" xr:uid="{00000000-0005-0000-0000-00006A080000}"/>
    <cellStyle name="Comma 4 3 5 3 2 3 2 8" xfId="18613" xr:uid="{00000000-0005-0000-0000-00006B080000}"/>
    <cellStyle name="Comma 4 3 5 3 2 3 3" xfId="1881" xr:uid="{00000000-0005-0000-0000-00006C080000}"/>
    <cellStyle name="Comma 4 3 5 3 2 3 3 2" xfId="9075" xr:uid="{00000000-0005-0000-0000-00006D080000}"/>
    <cellStyle name="Comma 4 3 5 3 2 3 3 2 2" xfId="16338" xr:uid="{00000000-0005-0000-0000-00006E080000}"/>
    <cellStyle name="Comma 4 3 5 3 2 3 3 2 2 2" xfId="32653" xr:uid="{00000000-0005-0000-0000-00006F080000}"/>
    <cellStyle name="Comma 4 3 5 3 2 3 3 2 3" xfId="25688" xr:uid="{00000000-0005-0000-0000-000070080000}"/>
    <cellStyle name="Comma 4 3 5 3 2 3 3 3" xfId="12417" xr:uid="{00000000-0005-0000-0000-000071080000}"/>
    <cellStyle name="Comma 4 3 5 3 2 3 3 3 2" xfId="28992" xr:uid="{00000000-0005-0000-0000-000072080000}"/>
    <cellStyle name="Comma 4 3 5 3 2 3 3 4" xfId="13977" xr:uid="{00000000-0005-0000-0000-000073080000}"/>
    <cellStyle name="Comma 4 3 5 3 2 3 3 4 2" xfId="30297" xr:uid="{00000000-0005-0000-0000-000074080000}"/>
    <cellStyle name="Comma 4 3 5 3 2 3 3 5" xfId="13505" xr:uid="{00000000-0005-0000-0000-000075080000}"/>
    <cellStyle name="Comma 4 3 5 3 2 3 3 6" xfId="5724" xr:uid="{00000000-0005-0000-0000-000076080000}"/>
    <cellStyle name="Comma 4 3 5 3 2 3 3 6 2" xfId="22388" xr:uid="{00000000-0005-0000-0000-000077080000}"/>
    <cellStyle name="Comma 4 3 5 3 2 3 3 7" xfId="18612" xr:uid="{00000000-0005-0000-0000-000078080000}"/>
    <cellStyle name="Comma 4 3 5 3 2 3 4" xfId="6743" xr:uid="{00000000-0005-0000-0000-000079080000}"/>
    <cellStyle name="Comma 4 3 5 3 2 3 4 2" xfId="10080" xr:uid="{00000000-0005-0000-0000-00007A080000}"/>
    <cellStyle name="Comma 4 3 5 3 2 3 4 2 2" xfId="17343" xr:uid="{00000000-0005-0000-0000-00007B080000}"/>
    <cellStyle name="Comma 4 3 5 3 2 3 4 2 2 2" xfId="33658" xr:uid="{00000000-0005-0000-0000-00007C080000}"/>
    <cellStyle name="Comma 4 3 5 3 2 3 4 2 3" xfId="26693" xr:uid="{00000000-0005-0000-0000-00007D080000}"/>
    <cellStyle name="Comma 4 3 5 3 2 3 4 3" xfId="13423" xr:uid="{00000000-0005-0000-0000-00007E080000}"/>
    <cellStyle name="Comma 4 3 5 3 2 3 4 3 2" xfId="29997" xr:uid="{00000000-0005-0000-0000-00007F080000}"/>
    <cellStyle name="Comma 4 3 5 3 2 3 4 4" xfId="14059" xr:uid="{00000000-0005-0000-0000-000080080000}"/>
    <cellStyle name="Comma 4 3 5 3 2 3 4 4 2" xfId="30377" xr:uid="{00000000-0005-0000-0000-000081080000}"/>
    <cellStyle name="Comma 4 3 5 3 2 3 4 5" xfId="13656" xr:uid="{00000000-0005-0000-0000-000082080000}"/>
    <cellStyle name="Comma 4 3 5 3 2 3 4 6" xfId="23393" xr:uid="{00000000-0005-0000-0000-000083080000}"/>
    <cellStyle name="Comma 4 3 5 3 2 3 5" xfId="6751" xr:uid="{00000000-0005-0000-0000-000084080000}"/>
    <cellStyle name="Comma 4 3 5 3 2 3 6" xfId="7454" xr:uid="{00000000-0005-0000-0000-000085080000}"/>
    <cellStyle name="Comma 4 3 5 3 2 3 6 2" xfId="14717" xr:uid="{00000000-0005-0000-0000-000086080000}"/>
    <cellStyle name="Comma 4 3 5 3 2 3 6 2 2" xfId="31032" xr:uid="{00000000-0005-0000-0000-000087080000}"/>
    <cellStyle name="Comma 4 3 5 3 2 3 6 3" xfId="24067" xr:uid="{00000000-0005-0000-0000-000088080000}"/>
    <cellStyle name="Comma 4 3 5 3 2 3 7" xfId="10769" xr:uid="{00000000-0005-0000-0000-000089080000}"/>
    <cellStyle name="Comma 4 3 5 3 2 3 7 2" xfId="27367" xr:uid="{00000000-0005-0000-0000-00008A080000}"/>
    <cellStyle name="Comma 4 3 5 3 2 3 8" xfId="13816" xr:uid="{00000000-0005-0000-0000-00008B080000}"/>
    <cellStyle name="Comma 4 3 5 3 2 3 8 2" xfId="30163" xr:uid="{00000000-0005-0000-0000-00008C080000}"/>
    <cellStyle name="Comma 4 3 5 3 2 3 9" xfId="3485" xr:uid="{00000000-0005-0000-0000-00008D080000}"/>
    <cellStyle name="Comma 4 3 5 3 2 3 9 2" xfId="20208" xr:uid="{00000000-0005-0000-0000-00008E080000}"/>
    <cellStyle name="Comma 4 3 5 3 2 4" xfId="1880" xr:uid="{00000000-0005-0000-0000-00008F080000}"/>
    <cellStyle name="Comma 4 3 5 3 2 4 2" xfId="8624" xr:uid="{00000000-0005-0000-0000-000090080000}"/>
    <cellStyle name="Comma 4 3 5 3 2 4 2 2" xfId="15887" xr:uid="{00000000-0005-0000-0000-000091080000}"/>
    <cellStyle name="Comma 4 3 5 3 2 4 2 2 2" xfId="32202" xr:uid="{00000000-0005-0000-0000-000092080000}"/>
    <cellStyle name="Comma 4 3 5 3 2 4 2 3" xfId="25237" xr:uid="{00000000-0005-0000-0000-000093080000}"/>
    <cellStyle name="Comma 4 3 5 3 2 4 3" xfId="11966" xr:uid="{00000000-0005-0000-0000-000094080000}"/>
    <cellStyle name="Comma 4 3 5 3 2 4 3 2" xfId="28541" xr:uid="{00000000-0005-0000-0000-000095080000}"/>
    <cellStyle name="Comma 4 3 5 3 2 4 4" xfId="13936" xr:uid="{00000000-0005-0000-0000-000096080000}"/>
    <cellStyle name="Comma 4 3 5 3 2 4 4 2" xfId="30256" xr:uid="{00000000-0005-0000-0000-000097080000}"/>
    <cellStyle name="Comma 4 3 5 3 2 4 5" xfId="13561" xr:uid="{00000000-0005-0000-0000-000098080000}"/>
    <cellStyle name="Comma 4 3 5 3 2 4 6" xfId="5273" xr:uid="{00000000-0005-0000-0000-000099080000}"/>
    <cellStyle name="Comma 4 3 5 3 2 4 6 2" xfId="21937" xr:uid="{00000000-0005-0000-0000-00009A080000}"/>
    <cellStyle name="Comma 4 3 5 3 2 4 7" xfId="18611" xr:uid="{00000000-0005-0000-0000-00009B080000}"/>
    <cellStyle name="Comma 4 3 5 3 2 5" xfId="6776" xr:uid="{00000000-0005-0000-0000-00009C080000}"/>
    <cellStyle name="Comma 4 3 5 3 2 5 2" xfId="10098" xr:uid="{00000000-0005-0000-0000-00009D080000}"/>
    <cellStyle name="Comma 4 3 5 3 2 5 2 2" xfId="17361" xr:uid="{00000000-0005-0000-0000-00009E080000}"/>
    <cellStyle name="Comma 4 3 5 3 2 5 2 2 2" xfId="33676" xr:uid="{00000000-0005-0000-0000-00009F080000}"/>
    <cellStyle name="Comma 4 3 5 3 2 5 2 3" xfId="26711" xr:uid="{00000000-0005-0000-0000-0000A0080000}"/>
    <cellStyle name="Comma 4 3 5 3 2 5 3" xfId="13441" xr:uid="{00000000-0005-0000-0000-0000A1080000}"/>
    <cellStyle name="Comma 4 3 5 3 2 5 3 2" xfId="30015" xr:uid="{00000000-0005-0000-0000-0000A2080000}"/>
    <cellStyle name="Comma 4 3 5 3 2 5 4" xfId="14078" xr:uid="{00000000-0005-0000-0000-0000A3080000}"/>
    <cellStyle name="Comma 4 3 5 3 2 5 4 2" xfId="30395" xr:uid="{00000000-0005-0000-0000-0000A4080000}"/>
    <cellStyle name="Comma 4 3 5 3 2 5 5" xfId="13597" xr:uid="{00000000-0005-0000-0000-0000A5080000}"/>
    <cellStyle name="Comma 4 3 5 3 2 5 6" xfId="23411" xr:uid="{00000000-0005-0000-0000-0000A6080000}"/>
    <cellStyle name="Comma 4 3 5 3 2 6" xfId="7005" xr:uid="{00000000-0005-0000-0000-0000A7080000}"/>
    <cellStyle name="Comma 4 3 5 3 2 6 2" xfId="14268" xr:uid="{00000000-0005-0000-0000-0000A8080000}"/>
    <cellStyle name="Comma 4 3 5 3 2 6 2 2" xfId="30583" xr:uid="{00000000-0005-0000-0000-0000A9080000}"/>
    <cellStyle name="Comma 4 3 5 3 2 6 3" xfId="23618" xr:uid="{00000000-0005-0000-0000-0000AA080000}"/>
    <cellStyle name="Comma 4 3 5 3 2 7" xfId="10319" xr:uid="{00000000-0005-0000-0000-0000AB080000}"/>
    <cellStyle name="Comma 4 3 5 3 2 7 2" xfId="26918" xr:uid="{00000000-0005-0000-0000-0000AC080000}"/>
    <cellStyle name="Comma 4 3 5 3 2 8" xfId="13774" xr:uid="{00000000-0005-0000-0000-0000AD080000}"/>
    <cellStyle name="Comma 4 3 5 3 2 8 2" xfId="30124" xr:uid="{00000000-0005-0000-0000-0000AE080000}"/>
    <cellStyle name="Comma 4 3 5 3 2 9" xfId="3484" xr:uid="{00000000-0005-0000-0000-0000AF080000}"/>
    <cellStyle name="Comma 4 3 5 3 2 9 2" xfId="20207" xr:uid="{00000000-0005-0000-0000-0000B0080000}"/>
    <cellStyle name="Comma 4 3 5 3 3" xfId="1074" xr:uid="{00000000-0005-0000-0000-0000B1080000}"/>
    <cellStyle name="Comma 4 3 5 3 4" xfId="1457" xr:uid="{00000000-0005-0000-0000-0000B2080000}"/>
    <cellStyle name="Comma 4 3 5 3 4 10" xfId="18192" xr:uid="{00000000-0005-0000-0000-0000B3080000}"/>
    <cellStyle name="Comma 4 3 5 3 4 2" xfId="1884" xr:uid="{00000000-0005-0000-0000-0000B4080000}"/>
    <cellStyle name="Comma 4 3 5 3 4 2 2" xfId="6112" xr:uid="{00000000-0005-0000-0000-0000B5080000}"/>
    <cellStyle name="Comma 4 3 5 3 4 2 2 2" xfId="9463" xr:uid="{00000000-0005-0000-0000-0000B6080000}"/>
    <cellStyle name="Comma 4 3 5 3 4 2 2 2 2" xfId="16726" xr:uid="{00000000-0005-0000-0000-0000B7080000}"/>
    <cellStyle name="Comma 4 3 5 3 4 2 2 2 2 2" xfId="33041" xr:uid="{00000000-0005-0000-0000-0000B8080000}"/>
    <cellStyle name="Comma 4 3 5 3 4 2 2 2 3" xfId="26076" xr:uid="{00000000-0005-0000-0000-0000B9080000}"/>
    <cellStyle name="Comma 4 3 5 3 4 2 2 3" xfId="12805" xr:uid="{00000000-0005-0000-0000-0000BA080000}"/>
    <cellStyle name="Comma 4 3 5 3 4 2 2 3 2" xfId="29380" xr:uid="{00000000-0005-0000-0000-0000BB080000}"/>
    <cellStyle name="Comma 4 3 5 3 4 2 2 4" xfId="13998" xr:uid="{00000000-0005-0000-0000-0000BC080000}"/>
    <cellStyle name="Comma 4 3 5 3 4 2 2 4 2" xfId="30318" xr:uid="{00000000-0005-0000-0000-0000BD080000}"/>
    <cellStyle name="Comma 4 3 5 3 4 2 2 5" xfId="13668" xr:uid="{00000000-0005-0000-0000-0000BE080000}"/>
    <cellStyle name="Comma 4 3 5 3 4 2 2 6" xfId="22776" xr:uid="{00000000-0005-0000-0000-0000BF080000}"/>
    <cellStyle name="Comma 4 3 5 3 4 2 3" xfId="7842" xr:uid="{00000000-0005-0000-0000-0000C0080000}"/>
    <cellStyle name="Comma 4 3 5 3 4 2 3 2" xfId="15105" xr:uid="{00000000-0005-0000-0000-0000C1080000}"/>
    <cellStyle name="Comma 4 3 5 3 4 2 3 2 2" xfId="31420" xr:uid="{00000000-0005-0000-0000-0000C2080000}"/>
    <cellStyle name="Comma 4 3 5 3 4 2 3 3" xfId="24455" xr:uid="{00000000-0005-0000-0000-0000C3080000}"/>
    <cellStyle name="Comma 4 3 5 3 4 2 4" xfId="11157" xr:uid="{00000000-0005-0000-0000-0000C4080000}"/>
    <cellStyle name="Comma 4 3 5 3 4 2 4 2" xfId="27755" xr:uid="{00000000-0005-0000-0000-0000C5080000}"/>
    <cellStyle name="Comma 4 3 5 3 4 2 5" xfId="13837" xr:uid="{00000000-0005-0000-0000-0000C6080000}"/>
    <cellStyle name="Comma 4 3 5 3 4 2 5 2" xfId="30184" xr:uid="{00000000-0005-0000-0000-0000C7080000}"/>
    <cellStyle name="Comma 4 3 5 3 4 2 6" xfId="13558" xr:uid="{00000000-0005-0000-0000-0000C8080000}"/>
    <cellStyle name="Comma 4 3 5 3 4 2 7" xfId="3488" xr:uid="{00000000-0005-0000-0000-0000C9080000}"/>
    <cellStyle name="Comma 4 3 5 3 4 2 7 2" xfId="20211" xr:uid="{00000000-0005-0000-0000-0000CA080000}"/>
    <cellStyle name="Comma 4 3 5 3 4 2 8" xfId="18615" xr:uid="{00000000-0005-0000-0000-0000CB080000}"/>
    <cellStyle name="Comma 4 3 5 3 4 3" xfId="1883" xr:uid="{00000000-0005-0000-0000-0000CC080000}"/>
    <cellStyle name="Comma 4 3 5 3 4 3 2" xfId="9057" xr:uid="{00000000-0005-0000-0000-0000CD080000}"/>
    <cellStyle name="Comma 4 3 5 3 4 3 2 2" xfId="16320" xr:uid="{00000000-0005-0000-0000-0000CE080000}"/>
    <cellStyle name="Comma 4 3 5 3 4 3 2 2 2" xfId="32635" xr:uid="{00000000-0005-0000-0000-0000CF080000}"/>
    <cellStyle name="Comma 4 3 5 3 4 3 2 3" xfId="25670" xr:uid="{00000000-0005-0000-0000-0000D0080000}"/>
    <cellStyle name="Comma 4 3 5 3 4 3 3" xfId="12399" xr:uid="{00000000-0005-0000-0000-0000D1080000}"/>
    <cellStyle name="Comma 4 3 5 3 4 3 3 2" xfId="28974" xr:uid="{00000000-0005-0000-0000-0000D2080000}"/>
    <cellStyle name="Comma 4 3 5 3 4 3 4" xfId="13959" xr:uid="{00000000-0005-0000-0000-0000D3080000}"/>
    <cellStyle name="Comma 4 3 5 3 4 3 4 2" xfId="30279" xr:uid="{00000000-0005-0000-0000-0000D4080000}"/>
    <cellStyle name="Comma 4 3 5 3 4 3 5" xfId="13578" xr:uid="{00000000-0005-0000-0000-0000D5080000}"/>
    <cellStyle name="Comma 4 3 5 3 4 3 6" xfId="5706" xr:uid="{00000000-0005-0000-0000-0000D6080000}"/>
    <cellStyle name="Comma 4 3 5 3 4 3 6 2" xfId="22370" xr:uid="{00000000-0005-0000-0000-0000D7080000}"/>
    <cellStyle name="Comma 4 3 5 3 4 3 7" xfId="18614" xr:uid="{00000000-0005-0000-0000-0000D8080000}"/>
    <cellStyle name="Comma 4 3 5 3 4 4" xfId="6834" xr:uid="{00000000-0005-0000-0000-0000D9080000}"/>
    <cellStyle name="Comma 4 3 5 3 4 4 2" xfId="10140" xr:uid="{00000000-0005-0000-0000-0000DA080000}"/>
    <cellStyle name="Comma 4 3 5 3 4 4 2 2" xfId="17403" xr:uid="{00000000-0005-0000-0000-0000DB080000}"/>
    <cellStyle name="Comma 4 3 5 3 4 4 2 2 2" xfId="33718" xr:uid="{00000000-0005-0000-0000-0000DC080000}"/>
    <cellStyle name="Comma 4 3 5 3 4 4 2 3" xfId="26753" xr:uid="{00000000-0005-0000-0000-0000DD080000}"/>
    <cellStyle name="Comma 4 3 5 3 4 4 3" xfId="13485" xr:uid="{00000000-0005-0000-0000-0000DE080000}"/>
    <cellStyle name="Comma 4 3 5 3 4 4 3 2" xfId="30057" xr:uid="{00000000-0005-0000-0000-0000DF080000}"/>
    <cellStyle name="Comma 4 3 5 3 4 4 4" xfId="14102" xr:uid="{00000000-0005-0000-0000-0000E0080000}"/>
    <cellStyle name="Comma 4 3 5 3 4 4 4 2" xfId="30418" xr:uid="{00000000-0005-0000-0000-0000E1080000}"/>
    <cellStyle name="Comma 4 3 5 3 4 4 5" xfId="10172" xr:uid="{00000000-0005-0000-0000-0000E2080000}"/>
    <cellStyle name="Comma 4 3 5 3 4 4 6" xfId="23453" xr:uid="{00000000-0005-0000-0000-0000E3080000}"/>
    <cellStyle name="Comma 4 3 5 3 4 5" xfId="5143" xr:uid="{00000000-0005-0000-0000-0000E4080000}"/>
    <cellStyle name="Comma 4 3 5 3 4 6" xfId="7436" xr:uid="{00000000-0005-0000-0000-0000E5080000}"/>
    <cellStyle name="Comma 4 3 5 3 4 6 2" xfId="14699" xr:uid="{00000000-0005-0000-0000-0000E6080000}"/>
    <cellStyle name="Comma 4 3 5 3 4 6 2 2" xfId="31014" xr:uid="{00000000-0005-0000-0000-0000E7080000}"/>
    <cellStyle name="Comma 4 3 5 3 4 6 3" xfId="24049" xr:uid="{00000000-0005-0000-0000-0000E8080000}"/>
    <cellStyle name="Comma 4 3 5 3 4 7" xfId="10751" xr:uid="{00000000-0005-0000-0000-0000E9080000}"/>
    <cellStyle name="Comma 4 3 5 3 4 7 2" xfId="27349" xr:uid="{00000000-0005-0000-0000-0000EA080000}"/>
    <cellStyle name="Comma 4 3 5 3 4 8" xfId="13798" xr:uid="{00000000-0005-0000-0000-0000EB080000}"/>
    <cellStyle name="Comma 4 3 5 3 4 8 2" xfId="30145" xr:uid="{00000000-0005-0000-0000-0000EC080000}"/>
    <cellStyle name="Comma 4 3 5 3 4 9" xfId="3487" xr:uid="{00000000-0005-0000-0000-0000ED080000}"/>
    <cellStyle name="Comma 4 3 5 3 4 9 2" xfId="20210" xr:uid="{00000000-0005-0000-0000-0000EE080000}"/>
    <cellStyle name="Comma 4 3 5 3 5" xfId="1879" xr:uid="{00000000-0005-0000-0000-0000EF080000}"/>
    <cellStyle name="Comma 4 3 5 3 5 2" xfId="8518" xr:uid="{00000000-0005-0000-0000-0000F0080000}"/>
    <cellStyle name="Comma 4 3 5 3 5 2 2" xfId="15781" xr:uid="{00000000-0005-0000-0000-0000F1080000}"/>
    <cellStyle name="Comma 4 3 5 3 5 2 2 2" xfId="32096" xr:uid="{00000000-0005-0000-0000-0000F2080000}"/>
    <cellStyle name="Comma 4 3 5 3 5 2 3" xfId="25131" xr:uid="{00000000-0005-0000-0000-0000F3080000}"/>
    <cellStyle name="Comma 4 3 5 3 5 3" xfId="11860" xr:uid="{00000000-0005-0000-0000-0000F4080000}"/>
    <cellStyle name="Comma 4 3 5 3 5 3 2" xfId="28435" xr:uid="{00000000-0005-0000-0000-0000F5080000}"/>
    <cellStyle name="Comma 4 3 5 3 5 4" xfId="13918" xr:uid="{00000000-0005-0000-0000-0000F6080000}"/>
    <cellStyle name="Comma 4 3 5 3 5 4 2" xfId="30238" xr:uid="{00000000-0005-0000-0000-0000F7080000}"/>
    <cellStyle name="Comma 4 3 5 3 5 5" xfId="11773" xr:uid="{00000000-0005-0000-0000-0000F8080000}"/>
    <cellStyle name="Comma 4 3 5 3 5 6" xfId="5167" xr:uid="{00000000-0005-0000-0000-0000F9080000}"/>
    <cellStyle name="Comma 4 3 5 3 5 6 2" xfId="21831" xr:uid="{00000000-0005-0000-0000-0000FA080000}"/>
    <cellStyle name="Comma 4 3 5 3 5 7" xfId="18610" xr:uid="{00000000-0005-0000-0000-0000FB080000}"/>
    <cellStyle name="Comma 4 3 5 3 6" xfId="6838" xr:uid="{00000000-0005-0000-0000-0000FC080000}"/>
    <cellStyle name="Comma 4 3 5 3 6 2" xfId="10141" xr:uid="{00000000-0005-0000-0000-0000FD080000}"/>
    <cellStyle name="Comma 4 3 5 3 6 2 2" xfId="17404" xr:uid="{00000000-0005-0000-0000-0000FE080000}"/>
    <cellStyle name="Comma 4 3 5 3 6 2 2 2" xfId="33719" xr:uid="{00000000-0005-0000-0000-0000FF080000}"/>
    <cellStyle name="Comma 4 3 5 3 6 2 3" xfId="26754" xr:uid="{00000000-0005-0000-0000-000000090000}"/>
    <cellStyle name="Comma 4 3 5 3 6 3" xfId="13487" xr:uid="{00000000-0005-0000-0000-000001090000}"/>
    <cellStyle name="Comma 4 3 5 3 6 3 2" xfId="30058" xr:uid="{00000000-0005-0000-0000-000002090000}"/>
    <cellStyle name="Comma 4 3 5 3 6 4" xfId="14103" xr:uid="{00000000-0005-0000-0000-000003090000}"/>
    <cellStyle name="Comma 4 3 5 3 6 4 2" xfId="30419" xr:uid="{00000000-0005-0000-0000-000004090000}"/>
    <cellStyle name="Comma 4 3 5 3 6 5" xfId="13698" xr:uid="{00000000-0005-0000-0000-000005090000}"/>
    <cellStyle name="Comma 4 3 5 3 6 6" xfId="23454" xr:uid="{00000000-0005-0000-0000-000006090000}"/>
    <cellStyle name="Comma 4 3 5 3 7" xfId="6899" xr:uid="{00000000-0005-0000-0000-000007090000}"/>
    <cellStyle name="Comma 4 3 5 3 7 2" xfId="14162" xr:uid="{00000000-0005-0000-0000-000008090000}"/>
    <cellStyle name="Comma 4 3 5 3 7 2 2" xfId="30477" xr:uid="{00000000-0005-0000-0000-000009090000}"/>
    <cellStyle name="Comma 4 3 5 3 7 3" xfId="23512" xr:uid="{00000000-0005-0000-0000-00000A090000}"/>
    <cellStyle name="Comma 4 3 5 3 8" xfId="10213" xr:uid="{00000000-0005-0000-0000-00000B090000}"/>
    <cellStyle name="Comma 4 3 5 3 8 2" xfId="26812" xr:uid="{00000000-0005-0000-0000-00000C090000}"/>
    <cellStyle name="Comma 4 3 5 3 9" xfId="13756" xr:uid="{00000000-0005-0000-0000-00000D090000}"/>
    <cellStyle name="Comma 4 3 5 3 9 2" xfId="30106" xr:uid="{00000000-0005-0000-0000-00000E090000}"/>
    <cellStyle name="Comma 4 3 5 4" xfId="947" xr:uid="{00000000-0005-0000-0000-00000F090000}"/>
    <cellStyle name="Comma 4 3 5 4 10" xfId="17725" xr:uid="{00000000-0005-0000-0000-000010090000}"/>
    <cellStyle name="Comma 4 3 5 4 2" xfId="1076" xr:uid="{00000000-0005-0000-0000-000011090000}"/>
    <cellStyle name="Comma 4 3 5 4 3" xfId="1509" xr:uid="{00000000-0005-0000-0000-000012090000}"/>
    <cellStyle name="Comma 4 3 5 4 3 10" xfId="18244" xr:uid="{00000000-0005-0000-0000-000013090000}"/>
    <cellStyle name="Comma 4 3 5 4 3 2" xfId="1887" xr:uid="{00000000-0005-0000-0000-000014090000}"/>
    <cellStyle name="Comma 4 3 5 4 3 2 2" xfId="6121" xr:uid="{00000000-0005-0000-0000-000015090000}"/>
    <cellStyle name="Comma 4 3 5 4 3 2 2 2" xfId="9472" xr:uid="{00000000-0005-0000-0000-000016090000}"/>
    <cellStyle name="Comma 4 3 5 4 3 2 2 2 2" xfId="16735" xr:uid="{00000000-0005-0000-0000-000017090000}"/>
    <cellStyle name="Comma 4 3 5 4 3 2 2 2 2 2" xfId="33050" xr:uid="{00000000-0005-0000-0000-000018090000}"/>
    <cellStyle name="Comma 4 3 5 4 3 2 2 2 3" xfId="26085" xr:uid="{00000000-0005-0000-0000-000019090000}"/>
    <cellStyle name="Comma 4 3 5 4 3 2 2 3" xfId="12814" xr:uid="{00000000-0005-0000-0000-00001A090000}"/>
    <cellStyle name="Comma 4 3 5 4 3 2 2 3 2" xfId="29389" xr:uid="{00000000-0005-0000-0000-00001B090000}"/>
    <cellStyle name="Comma 4 3 5 4 3 2 2 4" xfId="14007" xr:uid="{00000000-0005-0000-0000-00001C090000}"/>
    <cellStyle name="Comma 4 3 5 4 3 2 2 4 2" xfId="30327" xr:uid="{00000000-0005-0000-0000-00001D090000}"/>
    <cellStyle name="Comma 4 3 5 4 3 2 2 5" xfId="13689" xr:uid="{00000000-0005-0000-0000-00001E090000}"/>
    <cellStyle name="Comma 4 3 5 4 3 2 2 6" xfId="22785" xr:uid="{00000000-0005-0000-0000-00001F090000}"/>
    <cellStyle name="Comma 4 3 5 4 3 2 3" xfId="7851" xr:uid="{00000000-0005-0000-0000-000020090000}"/>
    <cellStyle name="Comma 4 3 5 4 3 2 3 2" xfId="15114" xr:uid="{00000000-0005-0000-0000-000021090000}"/>
    <cellStyle name="Comma 4 3 5 4 3 2 3 2 2" xfId="31429" xr:uid="{00000000-0005-0000-0000-000022090000}"/>
    <cellStyle name="Comma 4 3 5 4 3 2 3 3" xfId="24464" xr:uid="{00000000-0005-0000-0000-000023090000}"/>
    <cellStyle name="Comma 4 3 5 4 3 2 4" xfId="11166" xr:uid="{00000000-0005-0000-0000-000024090000}"/>
    <cellStyle name="Comma 4 3 5 4 3 2 4 2" xfId="27764" xr:uid="{00000000-0005-0000-0000-000025090000}"/>
    <cellStyle name="Comma 4 3 5 4 3 2 5" xfId="13846" xr:uid="{00000000-0005-0000-0000-000026090000}"/>
    <cellStyle name="Comma 4 3 5 4 3 2 5 2" xfId="30193" xr:uid="{00000000-0005-0000-0000-000027090000}"/>
    <cellStyle name="Comma 4 3 5 4 3 2 6" xfId="13622" xr:uid="{00000000-0005-0000-0000-000028090000}"/>
    <cellStyle name="Comma 4 3 5 4 3 2 7" xfId="3491" xr:uid="{00000000-0005-0000-0000-000029090000}"/>
    <cellStyle name="Comma 4 3 5 4 3 2 7 2" xfId="20214" xr:uid="{00000000-0005-0000-0000-00002A090000}"/>
    <cellStyle name="Comma 4 3 5 4 3 2 8" xfId="18618" xr:uid="{00000000-0005-0000-0000-00002B090000}"/>
    <cellStyle name="Comma 4 3 5 4 3 3" xfId="1886" xr:uid="{00000000-0005-0000-0000-00002C090000}"/>
    <cellStyle name="Comma 4 3 5 4 3 3 2" xfId="9066" xr:uid="{00000000-0005-0000-0000-00002D090000}"/>
    <cellStyle name="Comma 4 3 5 4 3 3 2 2" xfId="16329" xr:uid="{00000000-0005-0000-0000-00002E090000}"/>
    <cellStyle name="Comma 4 3 5 4 3 3 2 2 2" xfId="32644" xr:uid="{00000000-0005-0000-0000-00002F090000}"/>
    <cellStyle name="Comma 4 3 5 4 3 3 2 3" xfId="25679" xr:uid="{00000000-0005-0000-0000-000030090000}"/>
    <cellStyle name="Comma 4 3 5 4 3 3 3" xfId="12408" xr:uid="{00000000-0005-0000-0000-000031090000}"/>
    <cellStyle name="Comma 4 3 5 4 3 3 3 2" xfId="28983" xr:uid="{00000000-0005-0000-0000-000032090000}"/>
    <cellStyle name="Comma 4 3 5 4 3 3 4" xfId="13968" xr:uid="{00000000-0005-0000-0000-000033090000}"/>
    <cellStyle name="Comma 4 3 5 4 3 3 4 2" xfId="30288" xr:uid="{00000000-0005-0000-0000-000034090000}"/>
    <cellStyle name="Comma 4 3 5 4 3 3 5" xfId="13549" xr:uid="{00000000-0005-0000-0000-000035090000}"/>
    <cellStyle name="Comma 4 3 5 4 3 3 6" xfId="5715" xr:uid="{00000000-0005-0000-0000-000036090000}"/>
    <cellStyle name="Comma 4 3 5 4 3 3 6 2" xfId="22379" xr:uid="{00000000-0005-0000-0000-000037090000}"/>
    <cellStyle name="Comma 4 3 5 4 3 3 7" xfId="18617" xr:uid="{00000000-0005-0000-0000-000038090000}"/>
    <cellStyle name="Comma 4 3 5 4 3 4" xfId="6737" xr:uid="{00000000-0005-0000-0000-000039090000}"/>
    <cellStyle name="Comma 4 3 5 4 3 4 2" xfId="10076" xr:uid="{00000000-0005-0000-0000-00003A090000}"/>
    <cellStyle name="Comma 4 3 5 4 3 4 2 2" xfId="17339" xr:uid="{00000000-0005-0000-0000-00003B090000}"/>
    <cellStyle name="Comma 4 3 5 4 3 4 2 2 2" xfId="33654" xr:uid="{00000000-0005-0000-0000-00003C090000}"/>
    <cellStyle name="Comma 4 3 5 4 3 4 2 3" xfId="26689" xr:uid="{00000000-0005-0000-0000-00003D090000}"/>
    <cellStyle name="Comma 4 3 5 4 3 4 3" xfId="13419" xr:uid="{00000000-0005-0000-0000-00003E090000}"/>
    <cellStyle name="Comma 4 3 5 4 3 4 3 2" xfId="29993" xr:uid="{00000000-0005-0000-0000-00003F090000}"/>
    <cellStyle name="Comma 4 3 5 4 3 4 4" xfId="14055" xr:uid="{00000000-0005-0000-0000-000040090000}"/>
    <cellStyle name="Comma 4 3 5 4 3 4 4 2" xfId="30373" xr:uid="{00000000-0005-0000-0000-000041090000}"/>
    <cellStyle name="Comma 4 3 5 4 3 4 5" xfId="13500" xr:uid="{00000000-0005-0000-0000-000042090000}"/>
    <cellStyle name="Comma 4 3 5 4 3 4 6" xfId="23389" xr:uid="{00000000-0005-0000-0000-000043090000}"/>
    <cellStyle name="Comma 4 3 5 4 3 5" xfId="6770" xr:uid="{00000000-0005-0000-0000-000044090000}"/>
    <cellStyle name="Comma 4 3 5 4 3 6" xfId="7445" xr:uid="{00000000-0005-0000-0000-000045090000}"/>
    <cellStyle name="Comma 4 3 5 4 3 6 2" xfId="14708" xr:uid="{00000000-0005-0000-0000-000046090000}"/>
    <cellStyle name="Comma 4 3 5 4 3 6 2 2" xfId="31023" xr:uid="{00000000-0005-0000-0000-000047090000}"/>
    <cellStyle name="Comma 4 3 5 4 3 6 3" xfId="24058" xr:uid="{00000000-0005-0000-0000-000048090000}"/>
    <cellStyle name="Comma 4 3 5 4 3 7" xfId="10760" xr:uid="{00000000-0005-0000-0000-000049090000}"/>
    <cellStyle name="Comma 4 3 5 4 3 7 2" xfId="27358" xr:uid="{00000000-0005-0000-0000-00004A090000}"/>
    <cellStyle name="Comma 4 3 5 4 3 8" xfId="13807" xr:uid="{00000000-0005-0000-0000-00004B090000}"/>
    <cellStyle name="Comma 4 3 5 4 3 8 2" xfId="30154" xr:uid="{00000000-0005-0000-0000-00004C090000}"/>
    <cellStyle name="Comma 4 3 5 4 3 9" xfId="3490" xr:uid="{00000000-0005-0000-0000-00004D090000}"/>
    <cellStyle name="Comma 4 3 5 4 3 9 2" xfId="20213" xr:uid="{00000000-0005-0000-0000-00004E090000}"/>
    <cellStyle name="Comma 4 3 5 4 4" xfId="1885" xr:uid="{00000000-0005-0000-0000-00004F090000}"/>
    <cellStyle name="Comma 4 3 5 4 4 2" xfId="8570" xr:uid="{00000000-0005-0000-0000-000050090000}"/>
    <cellStyle name="Comma 4 3 5 4 4 2 2" xfId="15833" xr:uid="{00000000-0005-0000-0000-000051090000}"/>
    <cellStyle name="Comma 4 3 5 4 4 2 2 2" xfId="32148" xr:uid="{00000000-0005-0000-0000-000052090000}"/>
    <cellStyle name="Comma 4 3 5 4 4 2 3" xfId="25183" xr:uid="{00000000-0005-0000-0000-000053090000}"/>
    <cellStyle name="Comma 4 3 5 4 4 3" xfId="11912" xr:uid="{00000000-0005-0000-0000-000054090000}"/>
    <cellStyle name="Comma 4 3 5 4 4 3 2" xfId="28487" xr:uid="{00000000-0005-0000-0000-000055090000}"/>
    <cellStyle name="Comma 4 3 5 4 4 4" xfId="13927" xr:uid="{00000000-0005-0000-0000-000056090000}"/>
    <cellStyle name="Comma 4 3 5 4 4 4 2" xfId="30247" xr:uid="{00000000-0005-0000-0000-000057090000}"/>
    <cellStyle name="Comma 4 3 5 4 4 5" xfId="13604" xr:uid="{00000000-0005-0000-0000-000058090000}"/>
    <cellStyle name="Comma 4 3 5 4 4 6" xfId="5219" xr:uid="{00000000-0005-0000-0000-000059090000}"/>
    <cellStyle name="Comma 4 3 5 4 4 6 2" xfId="21883" xr:uid="{00000000-0005-0000-0000-00005A090000}"/>
    <cellStyle name="Comma 4 3 5 4 4 7" xfId="18616" xr:uid="{00000000-0005-0000-0000-00005B090000}"/>
    <cellStyle name="Comma 4 3 5 4 5" xfId="6718" xr:uid="{00000000-0005-0000-0000-00005C090000}"/>
    <cellStyle name="Comma 4 3 5 4 5 2" xfId="10062" xr:uid="{00000000-0005-0000-0000-00005D090000}"/>
    <cellStyle name="Comma 4 3 5 4 5 2 2" xfId="17325" xr:uid="{00000000-0005-0000-0000-00005E090000}"/>
    <cellStyle name="Comma 4 3 5 4 5 2 2 2" xfId="33640" xr:uid="{00000000-0005-0000-0000-00005F090000}"/>
    <cellStyle name="Comma 4 3 5 4 5 2 3" xfId="26675" xr:uid="{00000000-0005-0000-0000-000060090000}"/>
    <cellStyle name="Comma 4 3 5 4 5 3" xfId="13404" xr:uid="{00000000-0005-0000-0000-000061090000}"/>
    <cellStyle name="Comma 4 3 5 4 5 3 2" xfId="29979" xr:uid="{00000000-0005-0000-0000-000062090000}"/>
    <cellStyle name="Comma 4 3 5 4 5 4" xfId="14041" xr:uid="{00000000-0005-0000-0000-000063090000}"/>
    <cellStyle name="Comma 4 3 5 4 5 4 2" xfId="30359" xr:uid="{00000000-0005-0000-0000-000064090000}"/>
    <cellStyle name="Comma 4 3 5 4 5 5" xfId="13710" xr:uid="{00000000-0005-0000-0000-000065090000}"/>
    <cellStyle name="Comma 4 3 5 4 5 6" xfId="23375" xr:uid="{00000000-0005-0000-0000-000066090000}"/>
    <cellStyle name="Comma 4 3 5 4 6" xfId="6951" xr:uid="{00000000-0005-0000-0000-000067090000}"/>
    <cellStyle name="Comma 4 3 5 4 6 2" xfId="14214" xr:uid="{00000000-0005-0000-0000-000068090000}"/>
    <cellStyle name="Comma 4 3 5 4 6 2 2" xfId="30529" xr:uid="{00000000-0005-0000-0000-000069090000}"/>
    <cellStyle name="Comma 4 3 5 4 6 3" xfId="23564" xr:uid="{00000000-0005-0000-0000-00006A090000}"/>
    <cellStyle name="Comma 4 3 5 4 7" xfId="10265" xr:uid="{00000000-0005-0000-0000-00006B090000}"/>
    <cellStyle name="Comma 4 3 5 4 7 2" xfId="26864" xr:uid="{00000000-0005-0000-0000-00006C090000}"/>
    <cellStyle name="Comma 4 3 5 4 8" xfId="13765" xr:uid="{00000000-0005-0000-0000-00006D090000}"/>
    <cellStyle name="Comma 4 3 5 4 8 2" xfId="30115" xr:uid="{00000000-0005-0000-0000-00006E090000}"/>
    <cellStyle name="Comma 4 3 5 4 9" xfId="3489" xr:uid="{00000000-0005-0000-0000-00006F090000}"/>
    <cellStyle name="Comma 4 3 5 4 9 2" xfId="20212" xr:uid="{00000000-0005-0000-0000-000070090000}"/>
    <cellStyle name="Comma 4 3 5 5" xfId="1069" xr:uid="{00000000-0005-0000-0000-000071090000}"/>
    <cellStyle name="Comma 4 3 5 6" xfId="1406" xr:uid="{00000000-0005-0000-0000-000072090000}"/>
    <cellStyle name="Comma 4 3 5 6 10" xfId="18141" xr:uid="{00000000-0005-0000-0000-000073090000}"/>
    <cellStyle name="Comma 4 3 5 6 2" xfId="1889" xr:uid="{00000000-0005-0000-0000-000074090000}"/>
    <cellStyle name="Comma 4 3 5 6 2 2" xfId="6103" xr:uid="{00000000-0005-0000-0000-000075090000}"/>
    <cellStyle name="Comma 4 3 5 6 2 2 2" xfId="9454" xr:uid="{00000000-0005-0000-0000-000076090000}"/>
    <cellStyle name="Comma 4 3 5 6 2 2 2 2" xfId="16717" xr:uid="{00000000-0005-0000-0000-000077090000}"/>
    <cellStyle name="Comma 4 3 5 6 2 2 2 2 2" xfId="33032" xr:uid="{00000000-0005-0000-0000-000078090000}"/>
    <cellStyle name="Comma 4 3 5 6 2 2 2 3" xfId="26067" xr:uid="{00000000-0005-0000-0000-000079090000}"/>
    <cellStyle name="Comma 4 3 5 6 2 2 3" xfId="12796" xr:uid="{00000000-0005-0000-0000-00007A090000}"/>
    <cellStyle name="Comma 4 3 5 6 2 2 3 2" xfId="29371" xr:uid="{00000000-0005-0000-0000-00007B090000}"/>
    <cellStyle name="Comma 4 3 5 6 2 2 4" xfId="13989" xr:uid="{00000000-0005-0000-0000-00007C090000}"/>
    <cellStyle name="Comma 4 3 5 6 2 2 4 2" xfId="30309" xr:uid="{00000000-0005-0000-0000-00007D090000}"/>
    <cellStyle name="Comma 4 3 5 6 2 2 5" xfId="13708" xr:uid="{00000000-0005-0000-0000-00007E090000}"/>
    <cellStyle name="Comma 4 3 5 6 2 2 6" xfId="22767" xr:uid="{00000000-0005-0000-0000-00007F090000}"/>
    <cellStyle name="Comma 4 3 5 6 2 3" xfId="7833" xr:uid="{00000000-0005-0000-0000-000080090000}"/>
    <cellStyle name="Comma 4 3 5 6 2 3 2" xfId="15096" xr:uid="{00000000-0005-0000-0000-000081090000}"/>
    <cellStyle name="Comma 4 3 5 6 2 3 2 2" xfId="31411" xr:uid="{00000000-0005-0000-0000-000082090000}"/>
    <cellStyle name="Comma 4 3 5 6 2 3 3" xfId="24446" xr:uid="{00000000-0005-0000-0000-000083090000}"/>
    <cellStyle name="Comma 4 3 5 6 2 4" xfId="11148" xr:uid="{00000000-0005-0000-0000-000084090000}"/>
    <cellStyle name="Comma 4 3 5 6 2 4 2" xfId="27746" xr:uid="{00000000-0005-0000-0000-000085090000}"/>
    <cellStyle name="Comma 4 3 5 6 2 5" xfId="13828" xr:uid="{00000000-0005-0000-0000-000086090000}"/>
    <cellStyle name="Comma 4 3 5 6 2 5 2" xfId="30175" xr:uid="{00000000-0005-0000-0000-000087090000}"/>
    <cellStyle name="Comma 4 3 5 6 2 6" xfId="13567" xr:uid="{00000000-0005-0000-0000-000088090000}"/>
    <cellStyle name="Comma 4 3 5 6 2 7" xfId="3493" xr:uid="{00000000-0005-0000-0000-000089090000}"/>
    <cellStyle name="Comma 4 3 5 6 2 7 2" xfId="20216" xr:uid="{00000000-0005-0000-0000-00008A090000}"/>
    <cellStyle name="Comma 4 3 5 6 2 8" xfId="18620" xr:uid="{00000000-0005-0000-0000-00008B090000}"/>
    <cellStyle name="Comma 4 3 5 6 3" xfId="1888" xr:uid="{00000000-0005-0000-0000-00008C090000}"/>
    <cellStyle name="Comma 4 3 5 6 3 2" xfId="9048" xr:uid="{00000000-0005-0000-0000-00008D090000}"/>
    <cellStyle name="Comma 4 3 5 6 3 2 2" xfId="16311" xr:uid="{00000000-0005-0000-0000-00008E090000}"/>
    <cellStyle name="Comma 4 3 5 6 3 2 2 2" xfId="32626" xr:uid="{00000000-0005-0000-0000-00008F090000}"/>
    <cellStyle name="Comma 4 3 5 6 3 2 3" xfId="25661" xr:uid="{00000000-0005-0000-0000-000090090000}"/>
    <cellStyle name="Comma 4 3 5 6 3 3" xfId="12390" xr:uid="{00000000-0005-0000-0000-000091090000}"/>
    <cellStyle name="Comma 4 3 5 6 3 3 2" xfId="28965" xr:uid="{00000000-0005-0000-0000-000092090000}"/>
    <cellStyle name="Comma 4 3 5 6 3 4" xfId="13950" xr:uid="{00000000-0005-0000-0000-000093090000}"/>
    <cellStyle name="Comma 4 3 5 6 3 4 2" xfId="30270" xr:uid="{00000000-0005-0000-0000-000094090000}"/>
    <cellStyle name="Comma 4 3 5 6 3 5" xfId="11771" xr:uid="{00000000-0005-0000-0000-000095090000}"/>
    <cellStyle name="Comma 4 3 5 6 3 6" xfId="5697" xr:uid="{00000000-0005-0000-0000-000096090000}"/>
    <cellStyle name="Comma 4 3 5 6 3 6 2" xfId="22361" xr:uid="{00000000-0005-0000-0000-000097090000}"/>
    <cellStyle name="Comma 4 3 5 6 3 7" xfId="18619" xr:uid="{00000000-0005-0000-0000-000098090000}"/>
    <cellStyle name="Comma 4 3 5 6 4" xfId="6771" xr:uid="{00000000-0005-0000-0000-000099090000}"/>
    <cellStyle name="Comma 4 3 5 6 4 2" xfId="10095" xr:uid="{00000000-0005-0000-0000-00009A090000}"/>
    <cellStyle name="Comma 4 3 5 6 4 2 2" xfId="17358" xr:uid="{00000000-0005-0000-0000-00009B090000}"/>
    <cellStyle name="Comma 4 3 5 6 4 2 2 2" xfId="33673" xr:uid="{00000000-0005-0000-0000-00009C090000}"/>
    <cellStyle name="Comma 4 3 5 6 4 2 3" xfId="26708" xr:uid="{00000000-0005-0000-0000-00009D090000}"/>
    <cellStyle name="Comma 4 3 5 6 4 3" xfId="13438" xr:uid="{00000000-0005-0000-0000-00009E090000}"/>
    <cellStyle name="Comma 4 3 5 6 4 3 2" xfId="30012" xr:uid="{00000000-0005-0000-0000-00009F090000}"/>
    <cellStyle name="Comma 4 3 5 6 4 4" xfId="14075" xr:uid="{00000000-0005-0000-0000-0000A0090000}"/>
    <cellStyle name="Comma 4 3 5 6 4 4 2" xfId="30392" xr:uid="{00000000-0005-0000-0000-0000A1090000}"/>
    <cellStyle name="Comma 4 3 5 6 4 5" xfId="10174" xr:uid="{00000000-0005-0000-0000-0000A2090000}"/>
    <cellStyle name="Comma 4 3 5 6 4 6" xfId="23408" xr:uid="{00000000-0005-0000-0000-0000A3090000}"/>
    <cellStyle name="Comma 4 3 5 6 5" xfId="6787" xr:uid="{00000000-0005-0000-0000-0000A4090000}"/>
    <cellStyle name="Comma 4 3 5 6 6" xfId="7427" xr:uid="{00000000-0005-0000-0000-0000A5090000}"/>
    <cellStyle name="Comma 4 3 5 6 6 2" xfId="14690" xr:uid="{00000000-0005-0000-0000-0000A6090000}"/>
    <cellStyle name="Comma 4 3 5 6 6 2 2" xfId="31005" xr:uid="{00000000-0005-0000-0000-0000A7090000}"/>
    <cellStyle name="Comma 4 3 5 6 6 3" xfId="24040" xr:uid="{00000000-0005-0000-0000-0000A8090000}"/>
    <cellStyle name="Comma 4 3 5 6 7" xfId="10742" xr:uid="{00000000-0005-0000-0000-0000A9090000}"/>
    <cellStyle name="Comma 4 3 5 6 7 2" xfId="27340" xr:uid="{00000000-0005-0000-0000-0000AA090000}"/>
    <cellStyle name="Comma 4 3 5 6 8" xfId="13788" xr:uid="{00000000-0005-0000-0000-0000AB090000}"/>
    <cellStyle name="Comma 4 3 5 6 8 2" xfId="30136" xr:uid="{00000000-0005-0000-0000-0000AC090000}"/>
    <cellStyle name="Comma 4 3 5 6 9" xfId="3492" xr:uid="{00000000-0005-0000-0000-0000AD090000}"/>
    <cellStyle name="Comma 4 3 5 6 9 2" xfId="20215" xr:uid="{00000000-0005-0000-0000-0000AE090000}"/>
    <cellStyle name="Comma 4 3 5 7" xfId="1866" xr:uid="{00000000-0005-0000-0000-0000AF090000}"/>
    <cellStyle name="Comma 4 3 5 7 2" xfId="8458" xr:uid="{00000000-0005-0000-0000-0000B0090000}"/>
    <cellStyle name="Comma 4 3 5 7 2 2" xfId="15721" xr:uid="{00000000-0005-0000-0000-0000B1090000}"/>
    <cellStyle name="Comma 4 3 5 7 2 2 2" xfId="32036" xr:uid="{00000000-0005-0000-0000-0000B2090000}"/>
    <cellStyle name="Comma 4 3 5 7 2 3" xfId="25071" xr:uid="{00000000-0005-0000-0000-0000B3090000}"/>
    <cellStyle name="Comma 4 3 5 7 3" xfId="11799" xr:uid="{00000000-0005-0000-0000-0000B4090000}"/>
    <cellStyle name="Comma 4 3 5 7 3 2" xfId="28375" xr:uid="{00000000-0005-0000-0000-0000B5090000}"/>
    <cellStyle name="Comma 4 3 5 7 4" xfId="13901" xr:uid="{00000000-0005-0000-0000-0000B6090000}"/>
    <cellStyle name="Comma 4 3 5 7 4 2" xfId="30222" xr:uid="{00000000-0005-0000-0000-0000B7090000}"/>
    <cellStyle name="Comma 4 3 5 7 5" xfId="13619" xr:uid="{00000000-0005-0000-0000-0000B8090000}"/>
    <cellStyle name="Comma 4 3 5 7 6" xfId="5103" xr:uid="{00000000-0005-0000-0000-0000B9090000}"/>
    <cellStyle name="Comma 4 3 5 7 6 2" xfId="21771" xr:uid="{00000000-0005-0000-0000-0000BA090000}"/>
    <cellStyle name="Comma 4 3 5 7 7" xfId="18597" xr:uid="{00000000-0005-0000-0000-0000BB090000}"/>
    <cellStyle name="Comma 4 3 5 8" xfId="6774" xr:uid="{00000000-0005-0000-0000-0000BC090000}"/>
    <cellStyle name="Comma 4 3 5 8 2" xfId="10096" xr:uid="{00000000-0005-0000-0000-0000BD090000}"/>
    <cellStyle name="Comma 4 3 5 8 2 2" xfId="17359" xr:uid="{00000000-0005-0000-0000-0000BE090000}"/>
    <cellStyle name="Comma 4 3 5 8 2 2 2" xfId="33674" xr:uid="{00000000-0005-0000-0000-0000BF090000}"/>
    <cellStyle name="Comma 4 3 5 8 2 3" xfId="26709" xr:uid="{00000000-0005-0000-0000-0000C0090000}"/>
    <cellStyle name="Comma 4 3 5 8 3" xfId="13439" xr:uid="{00000000-0005-0000-0000-0000C1090000}"/>
    <cellStyle name="Comma 4 3 5 8 3 2" xfId="30013" xr:uid="{00000000-0005-0000-0000-0000C2090000}"/>
    <cellStyle name="Comma 4 3 5 8 4" xfId="14076" xr:uid="{00000000-0005-0000-0000-0000C3090000}"/>
    <cellStyle name="Comma 4 3 5 8 4 2" xfId="30393" xr:uid="{00000000-0005-0000-0000-0000C4090000}"/>
    <cellStyle name="Comma 4 3 5 8 5" xfId="13694" xr:uid="{00000000-0005-0000-0000-0000C5090000}"/>
    <cellStyle name="Comma 4 3 5 8 6" xfId="23409" xr:uid="{00000000-0005-0000-0000-0000C6090000}"/>
    <cellStyle name="Comma 4 3 5 9" xfId="6846" xr:uid="{00000000-0005-0000-0000-0000C7090000}"/>
    <cellStyle name="Comma 4 3 5 9 2" xfId="14109" xr:uid="{00000000-0005-0000-0000-0000C8090000}"/>
    <cellStyle name="Comma 4 3 5 9 2 2" xfId="30424" xr:uid="{00000000-0005-0000-0000-0000C9090000}"/>
    <cellStyle name="Comma 4 3 5 9 3" xfId="23459" xr:uid="{00000000-0005-0000-0000-0000CA090000}"/>
    <cellStyle name="Comma 4 3 6" xfId="888" xr:uid="{00000000-0005-0000-0000-0000CB090000}"/>
    <cellStyle name="Comma 4 3 6 10" xfId="13754" xr:uid="{00000000-0005-0000-0000-0000CC090000}"/>
    <cellStyle name="Comma 4 3 6 10 2" xfId="30104" xr:uid="{00000000-0005-0000-0000-0000CD090000}"/>
    <cellStyle name="Comma 4 3 6 11" xfId="3494" xr:uid="{00000000-0005-0000-0000-0000CE090000}"/>
    <cellStyle name="Comma 4 3 6 11 2" xfId="20217" xr:uid="{00000000-0005-0000-0000-0000CF090000}"/>
    <cellStyle name="Comma 4 3 6 12" xfId="17666" xr:uid="{00000000-0005-0000-0000-0000D0090000}"/>
    <cellStyle name="Comma 4 3 6 2" xfId="941" xr:uid="{00000000-0005-0000-0000-0000D1090000}"/>
    <cellStyle name="Comma 4 3 6 2 10" xfId="3495" xr:uid="{00000000-0005-0000-0000-0000D2090000}"/>
    <cellStyle name="Comma 4 3 6 2 10 2" xfId="20218" xr:uid="{00000000-0005-0000-0000-0000D3090000}"/>
    <cellStyle name="Comma 4 3 6 2 11" xfId="17719" xr:uid="{00000000-0005-0000-0000-0000D4090000}"/>
    <cellStyle name="Comma 4 3 6 2 2" xfId="1048" xr:uid="{00000000-0005-0000-0000-0000D5090000}"/>
    <cellStyle name="Comma 4 3 6 2 2 10" xfId="17825" xr:uid="{00000000-0005-0000-0000-0000D6090000}"/>
    <cellStyle name="Comma 4 3 6 2 2 2" xfId="1079" xr:uid="{00000000-0005-0000-0000-0000D7090000}"/>
    <cellStyle name="Comma 4 3 6 2 2 3" xfId="1609" xr:uid="{00000000-0005-0000-0000-0000D8090000}"/>
    <cellStyle name="Comma 4 3 6 2 2 3 10" xfId="18344" xr:uid="{00000000-0005-0000-0000-0000D9090000}"/>
    <cellStyle name="Comma 4 3 6 2 2 3 2" xfId="1894" xr:uid="{00000000-0005-0000-0000-0000DA090000}"/>
    <cellStyle name="Comma 4 3 6 2 2 3 2 2" xfId="6137" xr:uid="{00000000-0005-0000-0000-0000DB090000}"/>
    <cellStyle name="Comma 4 3 6 2 2 3 2 2 2" xfId="9488" xr:uid="{00000000-0005-0000-0000-0000DC090000}"/>
    <cellStyle name="Comma 4 3 6 2 2 3 2 2 2 2" xfId="16751" xr:uid="{00000000-0005-0000-0000-0000DD090000}"/>
    <cellStyle name="Comma 4 3 6 2 2 3 2 2 2 2 2" xfId="33066" xr:uid="{00000000-0005-0000-0000-0000DE090000}"/>
    <cellStyle name="Comma 4 3 6 2 2 3 2 2 2 3" xfId="26101" xr:uid="{00000000-0005-0000-0000-0000DF090000}"/>
    <cellStyle name="Comma 4 3 6 2 2 3 2 2 3" xfId="12830" xr:uid="{00000000-0005-0000-0000-0000E0090000}"/>
    <cellStyle name="Comma 4 3 6 2 2 3 2 2 3 2" xfId="29405" xr:uid="{00000000-0005-0000-0000-0000E1090000}"/>
    <cellStyle name="Comma 4 3 6 2 2 3 2 2 4" xfId="14023" xr:uid="{00000000-0005-0000-0000-0000E2090000}"/>
    <cellStyle name="Comma 4 3 6 2 2 3 2 2 4 2" xfId="30343" xr:uid="{00000000-0005-0000-0000-0000E3090000}"/>
    <cellStyle name="Comma 4 3 6 2 2 3 2 2 5" xfId="13642" xr:uid="{00000000-0005-0000-0000-0000E4090000}"/>
    <cellStyle name="Comma 4 3 6 2 2 3 2 2 6" xfId="22801" xr:uid="{00000000-0005-0000-0000-0000E5090000}"/>
    <cellStyle name="Comma 4 3 6 2 2 3 2 3" xfId="7867" xr:uid="{00000000-0005-0000-0000-0000E6090000}"/>
    <cellStyle name="Comma 4 3 6 2 2 3 2 3 2" xfId="15130" xr:uid="{00000000-0005-0000-0000-0000E7090000}"/>
    <cellStyle name="Comma 4 3 6 2 2 3 2 3 2 2" xfId="31445" xr:uid="{00000000-0005-0000-0000-0000E8090000}"/>
    <cellStyle name="Comma 4 3 6 2 2 3 2 3 3" xfId="24480" xr:uid="{00000000-0005-0000-0000-0000E9090000}"/>
    <cellStyle name="Comma 4 3 6 2 2 3 2 4" xfId="11182" xr:uid="{00000000-0005-0000-0000-0000EA090000}"/>
    <cellStyle name="Comma 4 3 6 2 2 3 2 4 2" xfId="27780" xr:uid="{00000000-0005-0000-0000-0000EB090000}"/>
    <cellStyle name="Comma 4 3 6 2 2 3 2 5" xfId="13862" xr:uid="{00000000-0005-0000-0000-0000EC090000}"/>
    <cellStyle name="Comma 4 3 6 2 2 3 2 5 2" xfId="30209" xr:uid="{00000000-0005-0000-0000-0000ED090000}"/>
    <cellStyle name="Comma 4 3 6 2 2 3 2 6" xfId="13569" xr:uid="{00000000-0005-0000-0000-0000EE090000}"/>
    <cellStyle name="Comma 4 3 6 2 2 3 2 7" xfId="3498" xr:uid="{00000000-0005-0000-0000-0000EF090000}"/>
    <cellStyle name="Comma 4 3 6 2 2 3 2 7 2" xfId="20221" xr:uid="{00000000-0005-0000-0000-0000F0090000}"/>
    <cellStyle name="Comma 4 3 6 2 2 3 2 8" xfId="18625" xr:uid="{00000000-0005-0000-0000-0000F1090000}"/>
    <cellStyle name="Comma 4 3 6 2 2 3 3" xfId="1893" xr:uid="{00000000-0005-0000-0000-0000F2090000}"/>
    <cellStyle name="Comma 4 3 6 2 2 3 3 2" xfId="9082" xr:uid="{00000000-0005-0000-0000-0000F3090000}"/>
    <cellStyle name="Comma 4 3 6 2 2 3 3 2 2" xfId="16345" xr:uid="{00000000-0005-0000-0000-0000F4090000}"/>
    <cellStyle name="Comma 4 3 6 2 2 3 3 2 2 2" xfId="32660" xr:uid="{00000000-0005-0000-0000-0000F5090000}"/>
    <cellStyle name="Comma 4 3 6 2 2 3 3 2 3" xfId="25695" xr:uid="{00000000-0005-0000-0000-0000F6090000}"/>
    <cellStyle name="Comma 4 3 6 2 2 3 3 3" xfId="12424" xr:uid="{00000000-0005-0000-0000-0000F7090000}"/>
    <cellStyle name="Comma 4 3 6 2 2 3 3 3 2" xfId="28999" xr:uid="{00000000-0005-0000-0000-0000F8090000}"/>
    <cellStyle name="Comma 4 3 6 2 2 3 3 4" xfId="13984" xr:uid="{00000000-0005-0000-0000-0000F9090000}"/>
    <cellStyle name="Comma 4 3 6 2 2 3 3 4 2" xfId="30304" xr:uid="{00000000-0005-0000-0000-0000FA090000}"/>
    <cellStyle name="Comma 4 3 6 2 2 3 3 5" xfId="13661" xr:uid="{00000000-0005-0000-0000-0000FB090000}"/>
    <cellStyle name="Comma 4 3 6 2 2 3 3 6" xfId="5731" xr:uid="{00000000-0005-0000-0000-0000FC090000}"/>
    <cellStyle name="Comma 4 3 6 2 2 3 3 6 2" xfId="22395" xr:uid="{00000000-0005-0000-0000-0000FD090000}"/>
    <cellStyle name="Comma 4 3 6 2 2 3 3 7" xfId="18624" xr:uid="{00000000-0005-0000-0000-0000FE090000}"/>
    <cellStyle name="Comma 4 3 6 2 2 3 4" xfId="6722" xr:uid="{00000000-0005-0000-0000-0000FF090000}"/>
    <cellStyle name="Comma 4 3 6 2 2 3 4 2" xfId="10065" xr:uid="{00000000-0005-0000-0000-0000000A0000}"/>
    <cellStyle name="Comma 4 3 6 2 2 3 4 2 2" xfId="17328" xr:uid="{00000000-0005-0000-0000-0000010A0000}"/>
    <cellStyle name="Comma 4 3 6 2 2 3 4 2 2 2" xfId="33643" xr:uid="{00000000-0005-0000-0000-0000020A0000}"/>
    <cellStyle name="Comma 4 3 6 2 2 3 4 2 3" xfId="26678" xr:uid="{00000000-0005-0000-0000-0000030A0000}"/>
    <cellStyle name="Comma 4 3 6 2 2 3 4 3" xfId="13408" xr:uid="{00000000-0005-0000-0000-0000040A0000}"/>
    <cellStyle name="Comma 4 3 6 2 2 3 4 3 2" xfId="29982" xr:uid="{00000000-0005-0000-0000-0000050A0000}"/>
    <cellStyle name="Comma 4 3 6 2 2 3 4 4" xfId="14044" xr:uid="{00000000-0005-0000-0000-0000060A0000}"/>
    <cellStyle name="Comma 4 3 6 2 2 3 4 4 2" xfId="30362" xr:uid="{00000000-0005-0000-0000-0000070A0000}"/>
    <cellStyle name="Comma 4 3 6 2 2 3 4 5" xfId="13653" xr:uid="{00000000-0005-0000-0000-0000080A0000}"/>
    <cellStyle name="Comma 4 3 6 2 2 3 4 6" xfId="23378" xr:uid="{00000000-0005-0000-0000-0000090A0000}"/>
    <cellStyle name="Comma 4 3 6 2 2 3 5" xfId="6713" xr:uid="{00000000-0005-0000-0000-00000A0A0000}"/>
    <cellStyle name="Comma 4 3 6 2 2 3 6" xfId="7461" xr:uid="{00000000-0005-0000-0000-00000B0A0000}"/>
    <cellStyle name="Comma 4 3 6 2 2 3 6 2" xfId="14724" xr:uid="{00000000-0005-0000-0000-00000C0A0000}"/>
    <cellStyle name="Comma 4 3 6 2 2 3 6 2 2" xfId="31039" xr:uid="{00000000-0005-0000-0000-00000D0A0000}"/>
    <cellStyle name="Comma 4 3 6 2 2 3 6 3" xfId="24074" xr:uid="{00000000-0005-0000-0000-00000E0A0000}"/>
    <cellStyle name="Comma 4 3 6 2 2 3 7" xfId="10776" xr:uid="{00000000-0005-0000-0000-00000F0A0000}"/>
    <cellStyle name="Comma 4 3 6 2 2 3 7 2" xfId="27374" xr:uid="{00000000-0005-0000-0000-0000100A0000}"/>
    <cellStyle name="Comma 4 3 6 2 2 3 8" xfId="13823" xr:uid="{00000000-0005-0000-0000-0000110A0000}"/>
    <cellStyle name="Comma 4 3 6 2 2 3 8 2" xfId="30170" xr:uid="{00000000-0005-0000-0000-0000120A0000}"/>
    <cellStyle name="Comma 4 3 6 2 2 3 9" xfId="3497" xr:uid="{00000000-0005-0000-0000-0000130A0000}"/>
    <cellStyle name="Comma 4 3 6 2 2 3 9 2" xfId="20220" xr:uid="{00000000-0005-0000-0000-0000140A0000}"/>
    <cellStyle name="Comma 4 3 6 2 2 4" xfId="1892" xr:uid="{00000000-0005-0000-0000-0000150A0000}"/>
    <cellStyle name="Comma 4 3 6 2 2 4 2" xfId="8670" xr:uid="{00000000-0005-0000-0000-0000160A0000}"/>
    <cellStyle name="Comma 4 3 6 2 2 4 2 2" xfId="15933" xr:uid="{00000000-0005-0000-0000-0000170A0000}"/>
    <cellStyle name="Comma 4 3 6 2 2 4 2 2 2" xfId="32248" xr:uid="{00000000-0005-0000-0000-0000180A0000}"/>
    <cellStyle name="Comma 4 3 6 2 2 4 2 3" xfId="25283" xr:uid="{00000000-0005-0000-0000-0000190A0000}"/>
    <cellStyle name="Comma 4 3 6 2 2 4 3" xfId="12012" xr:uid="{00000000-0005-0000-0000-00001A0A0000}"/>
    <cellStyle name="Comma 4 3 6 2 2 4 3 2" xfId="28587" xr:uid="{00000000-0005-0000-0000-00001B0A0000}"/>
    <cellStyle name="Comma 4 3 6 2 2 4 4" xfId="13943" xr:uid="{00000000-0005-0000-0000-00001C0A0000}"/>
    <cellStyle name="Comma 4 3 6 2 2 4 4 2" xfId="30263" xr:uid="{00000000-0005-0000-0000-00001D0A0000}"/>
    <cellStyle name="Comma 4 3 6 2 2 4 5" xfId="11768" xr:uid="{00000000-0005-0000-0000-00001E0A0000}"/>
    <cellStyle name="Comma 4 3 6 2 2 4 6" xfId="5319" xr:uid="{00000000-0005-0000-0000-00001F0A0000}"/>
    <cellStyle name="Comma 4 3 6 2 2 4 6 2" xfId="21983" xr:uid="{00000000-0005-0000-0000-0000200A0000}"/>
    <cellStyle name="Comma 4 3 6 2 2 4 7" xfId="18623" xr:uid="{00000000-0005-0000-0000-0000210A0000}"/>
    <cellStyle name="Comma 4 3 6 2 2 5" xfId="6723" xr:uid="{00000000-0005-0000-0000-0000220A0000}"/>
    <cellStyle name="Comma 4 3 6 2 2 5 2" xfId="10066" xr:uid="{00000000-0005-0000-0000-0000230A0000}"/>
    <cellStyle name="Comma 4 3 6 2 2 5 2 2" xfId="17329" xr:uid="{00000000-0005-0000-0000-0000240A0000}"/>
    <cellStyle name="Comma 4 3 6 2 2 5 2 2 2" xfId="33644" xr:uid="{00000000-0005-0000-0000-0000250A0000}"/>
    <cellStyle name="Comma 4 3 6 2 2 5 2 3" xfId="26679" xr:uid="{00000000-0005-0000-0000-0000260A0000}"/>
    <cellStyle name="Comma 4 3 6 2 2 5 3" xfId="13409" xr:uid="{00000000-0005-0000-0000-0000270A0000}"/>
    <cellStyle name="Comma 4 3 6 2 2 5 3 2" xfId="29983" xr:uid="{00000000-0005-0000-0000-0000280A0000}"/>
    <cellStyle name="Comma 4 3 6 2 2 5 4" xfId="14045" xr:uid="{00000000-0005-0000-0000-0000290A0000}"/>
    <cellStyle name="Comma 4 3 6 2 2 5 4 2" xfId="30363" xr:uid="{00000000-0005-0000-0000-00002A0A0000}"/>
    <cellStyle name="Comma 4 3 6 2 2 5 5" xfId="11793" xr:uid="{00000000-0005-0000-0000-00002B0A0000}"/>
    <cellStyle name="Comma 4 3 6 2 2 5 6" xfId="23379" xr:uid="{00000000-0005-0000-0000-00002C0A0000}"/>
    <cellStyle name="Comma 4 3 6 2 2 6" xfId="7051" xr:uid="{00000000-0005-0000-0000-00002D0A0000}"/>
    <cellStyle name="Comma 4 3 6 2 2 6 2" xfId="14314" xr:uid="{00000000-0005-0000-0000-00002E0A0000}"/>
    <cellStyle name="Comma 4 3 6 2 2 6 2 2" xfId="30629" xr:uid="{00000000-0005-0000-0000-00002F0A0000}"/>
    <cellStyle name="Comma 4 3 6 2 2 6 3" xfId="23664" xr:uid="{00000000-0005-0000-0000-0000300A0000}"/>
    <cellStyle name="Comma 4 3 6 2 2 7" xfId="10365" xr:uid="{00000000-0005-0000-0000-0000310A0000}"/>
    <cellStyle name="Comma 4 3 6 2 2 7 2" xfId="26964" xr:uid="{00000000-0005-0000-0000-0000320A0000}"/>
    <cellStyle name="Comma 4 3 6 2 2 8" xfId="13781" xr:uid="{00000000-0005-0000-0000-0000330A0000}"/>
    <cellStyle name="Comma 4 3 6 2 2 8 2" xfId="30131" xr:uid="{00000000-0005-0000-0000-0000340A0000}"/>
    <cellStyle name="Comma 4 3 6 2 2 9" xfId="3496" xr:uid="{00000000-0005-0000-0000-0000350A0000}"/>
    <cellStyle name="Comma 4 3 6 2 2 9 2" xfId="20219" xr:uid="{00000000-0005-0000-0000-0000360A0000}"/>
    <cellStyle name="Comma 4 3 6 2 3" xfId="1078" xr:uid="{00000000-0005-0000-0000-0000370A0000}"/>
    <cellStyle name="Comma 4 3 6 2 4" xfId="1503" xr:uid="{00000000-0005-0000-0000-0000380A0000}"/>
    <cellStyle name="Comma 4 3 6 2 4 10" xfId="18238" xr:uid="{00000000-0005-0000-0000-0000390A0000}"/>
    <cellStyle name="Comma 4 3 6 2 4 2" xfId="1896" xr:uid="{00000000-0005-0000-0000-00003A0A0000}"/>
    <cellStyle name="Comma 4 3 6 2 4 2 2" xfId="6119" xr:uid="{00000000-0005-0000-0000-00003B0A0000}"/>
    <cellStyle name="Comma 4 3 6 2 4 2 2 2" xfId="9470" xr:uid="{00000000-0005-0000-0000-00003C0A0000}"/>
    <cellStyle name="Comma 4 3 6 2 4 2 2 2 2" xfId="16733" xr:uid="{00000000-0005-0000-0000-00003D0A0000}"/>
    <cellStyle name="Comma 4 3 6 2 4 2 2 2 2 2" xfId="33048" xr:uid="{00000000-0005-0000-0000-00003E0A0000}"/>
    <cellStyle name="Comma 4 3 6 2 4 2 2 2 3" xfId="26083" xr:uid="{00000000-0005-0000-0000-00003F0A0000}"/>
    <cellStyle name="Comma 4 3 6 2 4 2 2 3" xfId="12812" xr:uid="{00000000-0005-0000-0000-0000400A0000}"/>
    <cellStyle name="Comma 4 3 6 2 4 2 2 3 2" xfId="29387" xr:uid="{00000000-0005-0000-0000-0000410A0000}"/>
    <cellStyle name="Comma 4 3 6 2 4 2 2 4" xfId="14005" xr:uid="{00000000-0005-0000-0000-0000420A0000}"/>
    <cellStyle name="Comma 4 3 6 2 4 2 2 4 2" xfId="30325" xr:uid="{00000000-0005-0000-0000-0000430A0000}"/>
    <cellStyle name="Comma 4 3 6 2 4 2 2 5" xfId="13688" xr:uid="{00000000-0005-0000-0000-0000440A0000}"/>
    <cellStyle name="Comma 4 3 6 2 4 2 2 6" xfId="22783" xr:uid="{00000000-0005-0000-0000-0000450A0000}"/>
    <cellStyle name="Comma 4 3 6 2 4 2 3" xfId="7849" xr:uid="{00000000-0005-0000-0000-0000460A0000}"/>
    <cellStyle name="Comma 4 3 6 2 4 2 3 2" xfId="15112" xr:uid="{00000000-0005-0000-0000-0000470A0000}"/>
    <cellStyle name="Comma 4 3 6 2 4 2 3 2 2" xfId="31427" xr:uid="{00000000-0005-0000-0000-0000480A0000}"/>
    <cellStyle name="Comma 4 3 6 2 4 2 3 3" xfId="24462" xr:uid="{00000000-0005-0000-0000-0000490A0000}"/>
    <cellStyle name="Comma 4 3 6 2 4 2 4" xfId="11164" xr:uid="{00000000-0005-0000-0000-00004A0A0000}"/>
    <cellStyle name="Comma 4 3 6 2 4 2 4 2" xfId="27762" xr:uid="{00000000-0005-0000-0000-00004B0A0000}"/>
    <cellStyle name="Comma 4 3 6 2 4 2 5" xfId="13844" xr:uid="{00000000-0005-0000-0000-00004C0A0000}"/>
    <cellStyle name="Comma 4 3 6 2 4 2 5 2" xfId="30191" xr:uid="{00000000-0005-0000-0000-00004D0A0000}"/>
    <cellStyle name="Comma 4 3 6 2 4 2 6" xfId="13674" xr:uid="{00000000-0005-0000-0000-00004E0A0000}"/>
    <cellStyle name="Comma 4 3 6 2 4 2 7" xfId="3500" xr:uid="{00000000-0005-0000-0000-00004F0A0000}"/>
    <cellStyle name="Comma 4 3 6 2 4 2 7 2" xfId="20223" xr:uid="{00000000-0005-0000-0000-0000500A0000}"/>
    <cellStyle name="Comma 4 3 6 2 4 2 8" xfId="18627" xr:uid="{00000000-0005-0000-0000-0000510A0000}"/>
    <cellStyle name="Comma 4 3 6 2 4 3" xfId="1895" xr:uid="{00000000-0005-0000-0000-0000520A0000}"/>
    <cellStyle name="Comma 4 3 6 2 4 3 2" xfId="9064" xr:uid="{00000000-0005-0000-0000-0000530A0000}"/>
    <cellStyle name="Comma 4 3 6 2 4 3 2 2" xfId="16327" xr:uid="{00000000-0005-0000-0000-0000540A0000}"/>
    <cellStyle name="Comma 4 3 6 2 4 3 2 2 2" xfId="32642" xr:uid="{00000000-0005-0000-0000-0000550A0000}"/>
    <cellStyle name="Comma 4 3 6 2 4 3 2 3" xfId="25677" xr:uid="{00000000-0005-0000-0000-0000560A0000}"/>
    <cellStyle name="Comma 4 3 6 2 4 3 3" xfId="12406" xr:uid="{00000000-0005-0000-0000-0000570A0000}"/>
    <cellStyle name="Comma 4 3 6 2 4 3 3 2" xfId="28981" xr:uid="{00000000-0005-0000-0000-0000580A0000}"/>
    <cellStyle name="Comma 4 3 6 2 4 3 4" xfId="13966" xr:uid="{00000000-0005-0000-0000-0000590A0000}"/>
    <cellStyle name="Comma 4 3 6 2 4 3 4 2" xfId="30286" xr:uid="{00000000-0005-0000-0000-00005A0A0000}"/>
    <cellStyle name="Comma 4 3 6 2 4 3 5" xfId="13605" xr:uid="{00000000-0005-0000-0000-00005B0A0000}"/>
    <cellStyle name="Comma 4 3 6 2 4 3 6" xfId="5713" xr:uid="{00000000-0005-0000-0000-00005C0A0000}"/>
    <cellStyle name="Comma 4 3 6 2 4 3 6 2" xfId="22377" xr:uid="{00000000-0005-0000-0000-00005D0A0000}"/>
    <cellStyle name="Comma 4 3 6 2 4 3 7" xfId="18626" xr:uid="{00000000-0005-0000-0000-00005E0A0000}"/>
    <cellStyle name="Comma 4 3 6 2 4 4" xfId="5107" xr:uid="{00000000-0005-0000-0000-00005F0A0000}"/>
    <cellStyle name="Comma 4 3 6 2 4 4 2" xfId="8461" xr:uid="{00000000-0005-0000-0000-0000600A0000}"/>
    <cellStyle name="Comma 4 3 6 2 4 4 2 2" xfId="15724" xr:uid="{00000000-0005-0000-0000-0000610A0000}"/>
    <cellStyle name="Comma 4 3 6 2 4 4 2 2 2" xfId="32039" xr:uid="{00000000-0005-0000-0000-0000620A0000}"/>
    <cellStyle name="Comma 4 3 6 2 4 4 2 3" xfId="25074" xr:uid="{00000000-0005-0000-0000-0000630A0000}"/>
    <cellStyle name="Comma 4 3 6 2 4 4 3" xfId="11802" xr:uid="{00000000-0005-0000-0000-0000640A0000}"/>
    <cellStyle name="Comma 4 3 6 2 4 4 3 2" xfId="28378" xr:uid="{00000000-0005-0000-0000-0000650A0000}"/>
    <cellStyle name="Comma 4 3 6 2 4 4 4" xfId="13904" xr:uid="{00000000-0005-0000-0000-0000660A0000}"/>
    <cellStyle name="Comma 4 3 6 2 4 4 4 2" xfId="30225" xr:uid="{00000000-0005-0000-0000-0000670A0000}"/>
    <cellStyle name="Comma 4 3 6 2 4 4 5" xfId="13627" xr:uid="{00000000-0005-0000-0000-0000680A0000}"/>
    <cellStyle name="Comma 4 3 6 2 4 4 6" xfId="21774" xr:uid="{00000000-0005-0000-0000-0000690A0000}"/>
    <cellStyle name="Comma 4 3 6 2 4 5" xfId="5106" xr:uid="{00000000-0005-0000-0000-00006A0A0000}"/>
    <cellStyle name="Comma 4 3 6 2 4 6" xfId="7443" xr:uid="{00000000-0005-0000-0000-00006B0A0000}"/>
    <cellStyle name="Comma 4 3 6 2 4 6 2" xfId="14706" xr:uid="{00000000-0005-0000-0000-00006C0A0000}"/>
    <cellStyle name="Comma 4 3 6 2 4 6 2 2" xfId="31021" xr:uid="{00000000-0005-0000-0000-00006D0A0000}"/>
    <cellStyle name="Comma 4 3 6 2 4 6 3" xfId="24056" xr:uid="{00000000-0005-0000-0000-00006E0A0000}"/>
    <cellStyle name="Comma 4 3 6 2 4 7" xfId="10758" xr:uid="{00000000-0005-0000-0000-00006F0A0000}"/>
    <cellStyle name="Comma 4 3 6 2 4 7 2" xfId="27356" xr:uid="{00000000-0005-0000-0000-0000700A0000}"/>
    <cellStyle name="Comma 4 3 6 2 4 8" xfId="13805" xr:uid="{00000000-0005-0000-0000-0000710A0000}"/>
    <cellStyle name="Comma 4 3 6 2 4 8 2" xfId="30152" xr:uid="{00000000-0005-0000-0000-0000720A0000}"/>
    <cellStyle name="Comma 4 3 6 2 4 9" xfId="3499" xr:uid="{00000000-0005-0000-0000-0000730A0000}"/>
    <cellStyle name="Comma 4 3 6 2 4 9 2" xfId="20222" xr:uid="{00000000-0005-0000-0000-0000740A0000}"/>
    <cellStyle name="Comma 4 3 6 2 5" xfId="1891" xr:uid="{00000000-0005-0000-0000-0000750A0000}"/>
    <cellStyle name="Comma 4 3 6 2 5 2" xfId="8564" xr:uid="{00000000-0005-0000-0000-0000760A0000}"/>
    <cellStyle name="Comma 4 3 6 2 5 2 2" xfId="15827" xr:uid="{00000000-0005-0000-0000-0000770A0000}"/>
    <cellStyle name="Comma 4 3 6 2 5 2 2 2" xfId="32142" xr:uid="{00000000-0005-0000-0000-0000780A0000}"/>
    <cellStyle name="Comma 4 3 6 2 5 2 3" xfId="25177" xr:uid="{00000000-0005-0000-0000-0000790A0000}"/>
    <cellStyle name="Comma 4 3 6 2 5 3" xfId="11906" xr:uid="{00000000-0005-0000-0000-00007A0A0000}"/>
    <cellStyle name="Comma 4 3 6 2 5 3 2" xfId="28481" xr:uid="{00000000-0005-0000-0000-00007B0A0000}"/>
    <cellStyle name="Comma 4 3 6 2 5 4" xfId="13925" xr:uid="{00000000-0005-0000-0000-00007C0A0000}"/>
    <cellStyle name="Comma 4 3 6 2 5 4 2" xfId="30245" xr:uid="{00000000-0005-0000-0000-00007D0A0000}"/>
    <cellStyle name="Comma 4 3 6 2 5 5" xfId="13533" xr:uid="{00000000-0005-0000-0000-00007E0A0000}"/>
    <cellStyle name="Comma 4 3 6 2 5 6" xfId="5213" xr:uid="{00000000-0005-0000-0000-00007F0A0000}"/>
    <cellStyle name="Comma 4 3 6 2 5 6 2" xfId="21877" xr:uid="{00000000-0005-0000-0000-0000800A0000}"/>
    <cellStyle name="Comma 4 3 6 2 5 7" xfId="18622" xr:uid="{00000000-0005-0000-0000-0000810A0000}"/>
    <cellStyle name="Comma 4 3 6 2 6" xfId="6754" xr:uid="{00000000-0005-0000-0000-0000820A0000}"/>
    <cellStyle name="Comma 4 3 6 2 6 2" xfId="10085" xr:uid="{00000000-0005-0000-0000-0000830A0000}"/>
    <cellStyle name="Comma 4 3 6 2 6 2 2" xfId="17348" xr:uid="{00000000-0005-0000-0000-0000840A0000}"/>
    <cellStyle name="Comma 4 3 6 2 6 2 2 2" xfId="33663" xr:uid="{00000000-0005-0000-0000-0000850A0000}"/>
    <cellStyle name="Comma 4 3 6 2 6 2 3" xfId="26698" xr:uid="{00000000-0005-0000-0000-0000860A0000}"/>
    <cellStyle name="Comma 4 3 6 2 6 3" xfId="13428" xr:uid="{00000000-0005-0000-0000-0000870A0000}"/>
    <cellStyle name="Comma 4 3 6 2 6 3 2" xfId="30002" xr:uid="{00000000-0005-0000-0000-0000880A0000}"/>
    <cellStyle name="Comma 4 3 6 2 6 4" xfId="14064" xr:uid="{00000000-0005-0000-0000-0000890A0000}"/>
    <cellStyle name="Comma 4 3 6 2 6 4 2" xfId="30382" xr:uid="{00000000-0005-0000-0000-00008A0A0000}"/>
    <cellStyle name="Comma 4 3 6 2 6 5" xfId="13643" xr:uid="{00000000-0005-0000-0000-00008B0A0000}"/>
    <cellStyle name="Comma 4 3 6 2 6 6" xfId="23398" xr:uid="{00000000-0005-0000-0000-00008C0A0000}"/>
    <cellStyle name="Comma 4 3 6 2 7" xfId="6945" xr:uid="{00000000-0005-0000-0000-00008D0A0000}"/>
    <cellStyle name="Comma 4 3 6 2 7 2" xfId="14208" xr:uid="{00000000-0005-0000-0000-00008E0A0000}"/>
    <cellStyle name="Comma 4 3 6 2 7 2 2" xfId="30523" xr:uid="{00000000-0005-0000-0000-00008F0A0000}"/>
    <cellStyle name="Comma 4 3 6 2 7 3" xfId="23558" xr:uid="{00000000-0005-0000-0000-0000900A0000}"/>
    <cellStyle name="Comma 4 3 6 2 8" xfId="10259" xr:uid="{00000000-0005-0000-0000-0000910A0000}"/>
    <cellStyle name="Comma 4 3 6 2 8 2" xfId="26858" xr:uid="{00000000-0005-0000-0000-0000920A0000}"/>
    <cellStyle name="Comma 4 3 6 2 9" xfId="13763" xr:uid="{00000000-0005-0000-0000-0000930A0000}"/>
    <cellStyle name="Comma 4 3 6 2 9 2" xfId="30113" xr:uid="{00000000-0005-0000-0000-0000940A0000}"/>
    <cellStyle name="Comma 4 3 6 3" xfId="995" xr:uid="{00000000-0005-0000-0000-0000950A0000}"/>
    <cellStyle name="Comma 4 3 6 3 10" xfId="17772" xr:uid="{00000000-0005-0000-0000-0000960A0000}"/>
    <cellStyle name="Comma 4 3 6 3 2" xfId="1080" xr:uid="{00000000-0005-0000-0000-0000970A0000}"/>
    <cellStyle name="Comma 4 3 6 3 3" xfId="1556" xr:uid="{00000000-0005-0000-0000-0000980A0000}"/>
    <cellStyle name="Comma 4 3 6 3 3 10" xfId="18291" xr:uid="{00000000-0005-0000-0000-0000990A0000}"/>
    <cellStyle name="Comma 4 3 6 3 3 2" xfId="1899" xr:uid="{00000000-0005-0000-0000-00009A0A0000}"/>
    <cellStyle name="Comma 4 3 6 3 3 2 2" xfId="6128" xr:uid="{00000000-0005-0000-0000-00009B0A0000}"/>
    <cellStyle name="Comma 4 3 6 3 3 2 2 2" xfId="9479" xr:uid="{00000000-0005-0000-0000-00009C0A0000}"/>
    <cellStyle name="Comma 4 3 6 3 3 2 2 2 2" xfId="16742" xr:uid="{00000000-0005-0000-0000-00009D0A0000}"/>
    <cellStyle name="Comma 4 3 6 3 3 2 2 2 2 2" xfId="33057" xr:uid="{00000000-0005-0000-0000-00009E0A0000}"/>
    <cellStyle name="Comma 4 3 6 3 3 2 2 2 3" xfId="26092" xr:uid="{00000000-0005-0000-0000-00009F0A0000}"/>
    <cellStyle name="Comma 4 3 6 3 3 2 2 3" xfId="12821" xr:uid="{00000000-0005-0000-0000-0000A00A0000}"/>
    <cellStyle name="Comma 4 3 6 3 3 2 2 3 2" xfId="29396" xr:uid="{00000000-0005-0000-0000-0000A10A0000}"/>
    <cellStyle name="Comma 4 3 6 3 3 2 2 4" xfId="14014" xr:uid="{00000000-0005-0000-0000-0000A20A0000}"/>
    <cellStyle name="Comma 4 3 6 3 3 2 2 4 2" xfId="30334" xr:uid="{00000000-0005-0000-0000-0000A30A0000}"/>
    <cellStyle name="Comma 4 3 6 3 3 2 2 5" xfId="13598" xr:uid="{00000000-0005-0000-0000-0000A40A0000}"/>
    <cellStyle name="Comma 4 3 6 3 3 2 2 6" xfId="22792" xr:uid="{00000000-0005-0000-0000-0000A50A0000}"/>
    <cellStyle name="Comma 4 3 6 3 3 2 3" xfId="7858" xr:uid="{00000000-0005-0000-0000-0000A60A0000}"/>
    <cellStyle name="Comma 4 3 6 3 3 2 3 2" xfId="15121" xr:uid="{00000000-0005-0000-0000-0000A70A0000}"/>
    <cellStyle name="Comma 4 3 6 3 3 2 3 2 2" xfId="31436" xr:uid="{00000000-0005-0000-0000-0000A80A0000}"/>
    <cellStyle name="Comma 4 3 6 3 3 2 3 3" xfId="24471" xr:uid="{00000000-0005-0000-0000-0000A90A0000}"/>
    <cellStyle name="Comma 4 3 6 3 3 2 4" xfId="11173" xr:uid="{00000000-0005-0000-0000-0000AA0A0000}"/>
    <cellStyle name="Comma 4 3 6 3 3 2 4 2" xfId="27771" xr:uid="{00000000-0005-0000-0000-0000AB0A0000}"/>
    <cellStyle name="Comma 4 3 6 3 3 2 5" xfId="13853" xr:uid="{00000000-0005-0000-0000-0000AC0A0000}"/>
    <cellStyle name="Comma 4 3 6 3 3 2 5 2" xfId="30200" xr:uid="{00000000-0005-0000-0000-0000AD0A0000}"/>
    <cellStyle name="Comma 4 3 6 3 3 2 6" xfId="13568" xr:uid="{00000000-0005-0000-0000-0000AE0A0000}"/>
    <cellStyle name="Comma 4 3 6 3 3 2 7" xfId="3503" xr:uid="{00000000-0005-0000-0000-0000AF0A0000}"/>
    <cellStyle name="Comma 4 3 6 3 3 2 7 2" xfId="20226" xr:uid="{00000000-0005-0000-0000-0000B00A0000}"/>
    <cellStyle name="Comma 4 3 6 3 3 2 8" xfId="18630" xr:uid="{00000000-0005-0000-0000-0000B10A0000}"/>
    <cellStyle name="Comma 4 3 6 3 3 3" xfId="1898" xr:uid="{00000000-0005-0000-0000-0000B20A0000}"/>
    <cellStyle name="Comma 4 3 6 3 3 3 2" xfId="9073" xr:uid="{00000000-0005-0000-0000-0000B30A0000}"/>
    <cellStyle name="Comma 4 3 6 3 3 3 2 2" xfId="16336" xr:uid="{00000000-0005-0000-0000-0000B40A0000}"/>
    <cellStyle name="Comma 4 3 6 3 3 3 2 2 2" xfId="32651" xr:uid="{00000000-0005-0000-0000-0000B50A0000}"/>
    <cellStyle name="Comma 4 3 6 3 3 3 2 3" xfId="25686" xr:uid="{00000000-0005-0000-0000-0000B60A0000}"/>
    <cellStyle name="Comma 4 3 6 3 3 3 3" xfId="12415" xr:uid="{00000000-0005-0000-0000-0000B70A0000}"/>
    <cellStyle name="Comma 4 3 6 3 3 3 3 2" xfId="28990" xr:uid="{00000000-0005-0000-0000-0000B80A0000}"/>
    <cellStyle name="Comma 4 3 6 3 3 3 4" xfId="13975" xr:uid="{00000000-0005-0000-0000-0000B90A0000}"/>
    <cellStyle name="Comma 4 3 6 3 3 3 4 2" xfId="30295" xr:uid="{00000000-0005-0000-0000-0000BA0A0000}"/>
    <cellStyle name="Comma 4 3 6 3 3 3 5" xfId="13577" xr:uid="{00000000-0005-0000-0000-0000BB0A0000}"/>
    <cellStyle name="Comma 4 3 6 3 3 3 6" xfId="5722" xr:uid="{00000000-0005-0000-0000-0000BC0A0000}"/>
    <cellStyle name="Comma 4 3 6 3 3 3 6 2" xfId="22386" xr:uid="{00000000-0005-0000-0000-0000BD0A0000}"/>
    <cellStyle name="Comma 4 3 6 3 3 3 7" xfId="18629" xr:uid="{00000000-0005-0000-0000-0000BE0A0000}"/>
    <cellStyle name="Comma 4 3 6 3 3 4" xfId="6706" xr:uid="{00000000-0005-0000-0000-0000BF0A0000}"/>
    <cellStyle name="Comma 4 3 6 3 3 4 2" xfId="10055" xr:uid="{00000000-0005-0000-0000-0000C00A0000}"/>
    <cellStyle name="Comma 4 3 6 3 3 4 2 2" xfId="17318" xr:uid="{00000000-0005-0000-0000-0000C10A0000}"/>
    <cellStyle name="Comma 4 3 6 3 3 4 2 2 2" xfId="33633" xr:uid="{00000000-0005-0000-0000-0000C20A0000}"/>
    <cellStyle name="Comma 4 3 6 3 3 4 2 3" xfId="26668" xr:uid="{00000000-0005-0000-0000-0000C30A0000}"/>
    <cellStyle name="Comma 4 3 6 3 3 4 3" xfId="13397" xr:uid="{00000000-0005-0000-0000-0000C40A0000}"/>
    <cellStyle name="Comma 4 3 6 3 3 4 3 2" xfId="29972" xr:uid="{00000000-0005-0000-0000-0000C50A0000}"/>
    <cellStyle name="Comma 4 3 6 3 3 4 4" xfId="14032" xr:uid="{00000000-0005-0000-0000-0000C60A0000}"/>
    <cellStyle name="Comma 4 3 6 3 3 4 4 2" xfId="30352" xr:uid="{00000000-0005-0000-0000-0000C70A0000}"/>
    <cellStyle name="Comma 4 3 6 3 3 4 5" xfId="13658" xr:uid="{00000000-0005-0000-0000-0000C80A0000}"/>
    <cellStyle name="Comma 4 3 6 3 3 4 6" xfId="23368" xr:uid="{00000000-0005-0000-0000-0000C90A0000}"/>
    <cellStyle name="Comma 4 3 6 3 3 5" xfId="6742" xr:uid="{00000000-0005-0000-0000-0000CA0A0000}"/>
    <cellStyle name="Comma 4 3 6 3 3 6" xfId="7452" xr:uid="{00000000-0005-0000-0000-0000CB0A0000}"/>
    <cellStyle name="Comma 4 3 6 3 3 6 2" xfId="14715" xr:uid="{00000000-0005-0000-0000-0000CC0A0000}"/>
    <cellStyle name="Comma 4 3 6 3 3 6 2 2" xfId="31030" xr:uid="{00000000-0005-0000-0000-0000CD0A0000}"/>
    <cellStyle name="Comma 4 3 6 3 3 6 3" xfId="24065" xr:uid="{00000000-0005-0000-0000-0000CE0A0000}"/>
    <cellStyle name="Comma 4 3 6 3 3 7" xfId="10767" xr:uid="{00000000-0005-0000-0000-0000CF0A0000}"/>
    <cellStyle name="Comma 4 3 6 3 3 7 2" xfId="27365" xr:uid="{00000000-0005-0000-0000-0000D00A0000}"/>
    <cellStyle name="Comma 4 3 6 3 3 8" xfId="13814" xr:uid="{00000000-0005-0000-0000-0000D10A0000}"/>
    <cellStyle name="Comma 4 3 6 3 3 8 2" xfId="30161" xr:uid="{00000000-0005-0000-0000-0000D20A0000}"/>
    <cellStyle name="Comma 4 3 6 3 3 9" xfId="3502" xr:uid="{00000000-0005-0000-0000-0000D30A0000}"/>
    <cellStyle name="Comma 4 3 6 3 3 9 2" xfId="20225" xr:uid="{00000000-0005-0000-0000-0000D40A0000}"/>
    <cellStyle name="Comma 4 3 6 3 4" xfId="1897" xr:uid="{00000000-0005-0000-0000-0000D50A0000}"/>
    <cellStyle name="Comma 4 3 6 3 4 2" xfId="8617" xr:uid="{00000000-0005-0000-0000-0000D60A0000}"/>
    <cellStyle name="Comma 4 3 6 3 4 2 2" xfId="15880" xr:uid="{00000000-0005-0000-0000-0000D70A0000}"/>
    <cellStyle name="Comma 4 3 6 3 4 2 2 2" xfId="32195" xr:uid="{00000000-0005-0000-0000-0000D80A0000}"/>
    <cellStyle name="Comma 4 3 6 3 4 2 3" xfId="25230" xr:uid="{00000000-0005-0000-0000-0000D90A0000}"/>
    <cellStyle name="Comma 4 3 6 3 4 3" xfId="11959" xr:uid="{00000000-0005-0000-0000-0000DA0A0000}"/>
    <cellStyle name="Comma 4 3 6 3 4 3 2" xfId="28534" xr:uid="{00000000-0005-0000-0000-0000DB0A0000}"/>
    <cellStyle name="Comma 4 3 6 3 4 4" xfId="13934" xr:uid="{00000000-0005-0000-0000-0000DC0A0000}"/>
    <cellStyle name="Comma 4 3 6 3 4 4 2" xfId="30254" xr:uid="{00000000-0005-0000-0000-0000DD0A0000}"/>
    <cellStyle name="Comma 4 3 6 3 4 5" xfId="13608" xr:uid="{00000000-0005-0000-0000-0000DE0A0000}"/>
    <cellStyle name="Comma 4 3 6 3 4 6" xfId="5266" xr:uid="{00000000-0005-0000-0000-0000DF0A0000}"/>
    <cellStyle name="Comma 4 3 6 3 4 6 2" xfId="21930" xr:uid="{00000000-0005-0000-0000-0000E00A0000}"/>
    <cellStyle name="Comma 4 3 6 3 4 7" xfId="18628" xr:uid="{00000000-0005-0000-0000-0000E10A0000}"/>
    <cellStyle name="Comma 4 3 6 3 5" xfId="6791" xr:uid="{00000000-0005-0000-0000-0000E20A0000}"/>
    <cellStyle name="Comma 4 3 6 3 5 2" xfId="10107" xr:uid="{00000000-0005-0000-0000-0000E30A0000}"/>
    <cellStyle name="Comma 4 3 6 3 5 2 2" xfId="17370" xr:uid="{00000000-0005-0000-0000-0000E40A0000}"/>
    <cellStyle name="Comma 4 3 6 3 5 2 2 2" xfId="33685" xr:uid="{00000000-0005-0000-0000-0000E50A0000}"/>
    <cellStyle name="Comma 4 3 6 3 5 2 3" xfId="26720" xr:uid="{00000000-0005-0000-0000-0000E60A0000}"/>
    <cellStyle name="Comma 4 3 6 3 5 3" xfId="13451" xr:uid="{00000000-0005-0000-0000-0000E70A0000}"/>
    <cellStyle name="Comma 4 3 6 3 5 3 2" xfId="30024" xr:uid="{00000000-0005-0000-0000-0000E80A0000}"/>
    <cellStyle name="Comma 4 3 6 3 5 4" xfId="14087" xr:uid="{00000000-0005-0000-0000-0000E90A0000}"/>
    <cellStyle name="Comma 4 3 6 3 5 4 2" xfId="30404" xr:uid="{00000000-0005-0000-0000-0000EA0A0000}"/>
    <cellStyle name="Comma 4 3 6 3 5 5" xfId="13509" xr:uid="{00000000-0005-0000-0000-0000EB0A0000}"/>
    <cellStyle name="Comma 4 3 6 3 5 6" xfId="23420" xr:uid="{00000000-0005-0000-0000-0000EC0A0000}"/>
    <cellStyle name="Comma 4 3 6 3 6" xfId="6998" xr:uid="{00000000-0005-0000-0000-0000ED0A0000}"/>
    <cellStyle name="Comma 4 3 6 3 6 2" xfId="14261" xr:uid="{00000000-0005-0000-0000-0000EE0A0000}"/>
    <cellStyle name="Comma 4 3 6 3 6 2 2" xfId="30576" xr:uid="{00000000-0005-0000-0000-0000EF0A0000}"/>
    <cellStyle name="Comma 4 3 6 3 6 3" xfId="23611" xr:uid="{00000000-0005-0000-0000-0000F00A0000}"/>
    <cellStyle name="Comma 4 3 6 3 7" xfId="10312" xr:uid="{00000000-0005-0000-0000-0000F10A0000}"/>
    <cellStyle name="Comma 4 3 6 3 7 2" xfId="26911" xr:uid="{00000000-0005-0000-0000-0000F20A0000}"/>
    <cellStyle name="Comma 4 3 6 3 8" xfId="13772" xr:uid="{00000000-0005-0000-0000-0000F30A0000}"/>
    <cellStyle name="Comma 4 3 6 3 8 2" xfId="30122" xr:uid="{00000000-0005-0000-0000-0000F40A0000}"/>
    <cellStyle name="Comma 4 3 6 3 9" xfId="3501" xr:uid="{00000000-0005-0000-0000-0000F50A0000}"/>
    <cellStyle name="Comma 4 3 6 3 9 2" xfId="20224" xr:uid="{00000000-0005-0000-0000-0000F60A0000}"/>
    <cellStyle name="Comma 4 3 6 4" xfId="1077" xr:uid="{00000000-0005-0000-0000-0000F70A0000}"/>
    <cellStyle name="Comma 4 3 6 5" xfId="1450" xr:uid="{00000000-0005-0000-0000-0000F80A0000}"/>
    <cellStyle name="Comma 4 3 6 5 10" xfId="18185" xr:uid="{00000000-0005-0000-0000-0000F90A0000}"/>
    <cellStyle name="Comma 4 3 6 5 2" xfId="1901" xr:uid="{00000000-0005-0000-0000-0000FA0A0000}"/>
    <cellStyle name="Comma 4 3 6 5 2 2" xfId="6110" xr:uid="{00000000-0005-0000-0000-0000FB0A0000}"/>
    <cellStyle name="Comma 4 3 6 5 2 2 2" xfId="9461" xr:uid="{00000000-0005-0000-0000-0000FC0A0000}"/>
    <cellStyle name="Comma 4 3 6 5 2 2 2 2" xfId="16724" xr:uid="{00000000-0005-0000-0000-0000FD0A0000}"/>
    <cellStyle name="Comma 4 3 6 5 2 2 2 2 2" xfId="33039" xr:uid="{00000000-0005-0000-0000-0000FE0A0000}"/>
    <cellStyle name="Comma 4 3 6 5 2 2 2 3" xfId="26074" xr:uid="{00000000-0005-0000-0000-0000FF0A0000}"/>
    <cellStyle name="Comma 4 3 6 5 2 2 3" xfId="12803" xr:uid="{00000000-0005-0000-0000-0000000B0000}"/>
    <cellStyle name="Comma 4 3 6 5 2 2 3 2" xfId="29378" xr:uid="{00000000-0005-0000-0000-0000010B0000}"/>
    <cellStyle name="Comma 4 3 6 5 2 2 4" xfId="13996" xr:uid="{00000000-0005-0000-0000-0000020B0000}"/>
    <cellStyle name="Comma 4 3 6 5 2 2 4 2" xfId="30316" xr:uid="{00000000-0005-0000-0000-0000030B0000}"/>
    <cellStyle name="Comma 4 3 6 5 2 2 5" xfId="13557" xr:uid="{00000000-0005-0000-0000-0000040B0000}"/>
    <cellStyle name="Comma 4 3 6 5 2 2 6" xfId="22774" xr:uid="{00000000-0005-0000-0000-0000050B0000}"/>
    <cellStyle name="Comma 4 3 6 5 2 3" xfId="7840" xr:uid="{00000000-0005-0000-0000-0000060B0000}"/>
    <cellStyle name="Comma 4 3 6 5 2 3 2" xfId="15103" xr:uid="{00000000-0005-0000-0000-0000070B0000}"/>
    <cellStyle name="Comma 4 3 6 5 2 3 2 2" xfId="31418" xr:uid="{00000000-0005-0000-0000-0000080B0000}"/>
    <cellStyle name="Comma 4 3 6 5 2 3 3" xfId="24453" xr:uid="{00000000-0005-0000-0000-0000090B0000}"/>
    <cellStyle name="Comma 4 3 6 5 2 4" xfId="11155" xr:uid="{00000000-0005-0000-0000-00000A0B0000}"/>
    <cellStyle name="Comma 4 3 6 5 2 4 2" xfId="27753" xr:uid="{00000000-0005-0000-0000-00000B0B0000}"/>
    <cellStyle name="Comma 4 3 6 5 2 5" xfId="13835" xr:uid="{00000000-0005-0000-0000-00000C0B0000}"/>
    <cellStyle name="Comma 4 3 6 5 2 5 2" xfId="30182" xr:uid="{00000000-0005-0000-0000-00000D0B0000}"/>
    <cellStyle name="Comma 4 3 6 5 2 6" xfId="13515" xr:uid="{00000000-0005-0000-0000-00000E0B0000}"/>
    <cellStyle name="Comma 4 3 6 5 2 7" xfId="3505" xr:uid="{00000000-0005-0000-0000-00000F0B0000}"/>
    <cellStyle name="Comma 4 3 6 5 2 7 2" xfId="20228" xr:uid="{00000000-0005-0000-0000-0000100B0000}"/>
    <cellStyle name="Comma 4 3 6 5 2 8" xfId="18632" xr:uid="{00000000-0005-0000-0000-0000110B0000}"/>
    <cellStyle name="Comma 4 3 6 5 3" xfId="1900" xr:uid="{00000000-0005-0000-0000-0000120B0000}"/>
    <cellStyle name="Comma 4 3 6 5 3 2" xfId="9055" xr:uid="{00000000-0005-0000-0000-0000130B0000}"/>
    <cellStyle name="Comma 4 3 6 5 3 2 2" xfId="16318" xr:uid="{00000000-0005-0000-0000-0000140B0000}"/>
    <cellStyle name="Comma 4 3 6 5 3 2 2 2" xfId="32633" xr:uid="{00000000-0005-0000-0000-0000150B0000}"/>
    <cellStyle name="Comma 4 3 6 5 3 2 3" xfId="25668" xr:uid="{00000000-0005-0000-0000-0000160B0000}"/>
    <cellStyle name="Comma 4 3 6 5 3 3" xfId="12397" xr:uid="{00000000-0005-0000-0000-0000170B0000}"/>
    <cellStyle name="Comma 4 3 6 5 3 3 2" xfId="28972" xr:uid="{00000000-0005-0000-0000-0000180B0000}"/>
    <cellStyle name="Comma 4 3 6 5 3 4" xfId="13957" xr:uid="{00000000-0005-0000-0000-0000190B0000}"/>
    <cellStyle name="Comma 4 3 6 5 3 4 2" xfId="30277" xr:uid="{00000000-0005-0000-0000-00001A0B0000}"/>
    <cellStyle name="Comma 4 3 6 5 3 5" xfId="13545" xr:uid="{00000000-0005-0000-0000-00001B0B0000}"/>
    <cellStyle name="Comma 4 3 6 5 3 6" xfId="5704" xr:uid="{00000000-0005-0000-0000-00001C0B0000}"/>
    <cellStyle name="Comma 4 3 6 5 3 6 2" xfId="22368" xr:uid="{00000000-0005-0000-0000-00001D0B0000}"/>
    <cellStyle name="Comma 4 3 6 5 3 7" xfId="18631" xr:uid="{00000000-0005-0000-0000-00001E0B0000}"/>
    <cellStyle name="Comma 4 3 6 5 4" xfId="5124" xr:uid="{00000000-0005-0000-0000-00001F0B0000}"/>
    <cellStyle name="Comma 4 3 6 5 4 2" xfId="8477" xr:uid="{00000000-0005-0000-0000-0000200B0000}"/>
    <cellStyle name="Comma 4 3 6 5 4 2 2" xfId="15740" xr:uid="{00000000-0005-0000-0000-0000210B0000}"/>
    <cellStyle name="Comma 4 3 6 5 4 2 2 2" xfId="32055" xr:uid="{00000000-0005-0000-0000-0000220B0000}"/>
    <cellStyle name="Comma 4 3 6 5 4 2 3" xfId="25090" xr:uid="{00000000-0005-0000-0000-0000230B0000}"/>
    <cellStyle name="Comma 4 3 6 5 4 3" xfId="11818" xr:uid="{00000000-0005-0000-0000-0000240B0000}"/>
    <cellStyle name="Comma 4 3 6 5 4 3 2" xfId="28394" xr:uid="{00000000-0005-0000-0000-0000250B0000}"/>
    <cellStyle name="Comma 4 3 6 5 4 4" xfId="13906" xr:uid="{00000000-0005-0000-0000-0000260B0000}"/>
    <cellStyle name="Comma 4 3 6 5 4 4 2" xfId="30227" xr:uid="{00000000-0005-0000-0000-0000270B0000}"/>
    <cellStyle name="Comma 4 3 6 5 4 5" xfId="13611" xr:uid="{00000000-0005-0000-0000-0000280B0000}"/>
    <cellStyle name="Comma 4 3 6 5 4 6" xfId="21790" xr:uid="{00000000-0005-0000-0000-0000290B0000}"/>
    <cellStyle name="Comma 4 3 6 5 5" xfId="6819" xr:uid="{00000000-0005-0000-0000-00002A0B0000}"/>
    <cellStyle name="Comma 4 3 6 5 6" xfId="7434" xr:uid="{00000000-0005-0000-0000-00002B0B0000}"/>
    <cellStyle name="Comma 4 3 6 5 6 2" xfId="14697" xr:uid="{00000000-0005-0000-0000-00002C0B0000}"/>
    <cellStyle name="Comma 4 3 6 5 6 2 2" xfId="31012" xr:uid="{00000000-0005-0000-0000-00002D0B0000}"/>
    <cellStyle name="Comma 4 3 6 5 6 3" xfId="24047" xr:uid="{00000000-0005-0000-0000-00002E0B0000}"/>
    <cellStyle name="Comma 4 3 6 5 7" xfId="10749" xr:uid="{00000000-0005-0000-0000-00002F0B0000}"/>
    <cellStyle name="Comma 4 3 6 5 7 2" xfId="27347" xr:uid="{00000000-0005-0000-0000-0000300B0000}"/>
    <cellStyle name="Comma 4 3 6 5 8" xfId="13796" xr:uid="{00000000-0005-0000-0000-0000310B0000}"/>
    <cellStyle name="Comma 4 3 6 5 8 2" xfId="30143" xr:uid="{00000000-0005-0000-0000-0000320B0000}"/>
    <cellStyle name="Comma 4 3 6 5 9" xfId="3504" xr:uid="{00000000-0005-0000-0000-0000330B0000}"/>
    <cellStyle name="Comma 4 3 6 5 9 2" xfId="20227" xr:uid="{00000000-0005-0000-0000-0000340B0000}"/>
    <cellStyle name="Comma 4 3 6 6" xfId="1890" xr:uid="{00000000-0005-0000-0000-0000350B0000}"/>
    <cellStyle name="Comma 4 3 6 6 2" xfId="8511" xr:uid="{00000000-0005-0000-0000-0000360B0000}"/>
    <cellStyle name="Comma 4 3 6 6 2 2" xfId="15774" xr:uid="{00000000-0005-0000-0000-0000370B0000}"/>
    <cellStyle name="Comma 4 3 6 6 2 2 2" xfId="32089" xr:uid="{00000000-0005-0000-0000-0000380B0000}"/>
    <cellStyle name="Comma 4 3 6 6 2 3" xfId="25124" xr:uid="{00000000-0005-0000-0000-0000390B0000}"/>
    <cellStyle name="Comma 4 3 6 6 3" xfId="11853" xr:uid="{00000000-0005-0000-0000-00003A0B0000}"/>
    <cellStyle name="Comma 4 3 6 6 3 2" xfId="28428" xr:uid="{00000000-0005-0000-0000-00003B0B0000}"/>
    <cellStyle name="Comma 4 3 6 6 4" xfId="13916" xr:uid="{00000000-0005-0000-0000-00003C0B0000}"/>
    <cellStyle name="Comma 4 3 6 6 4 2" xfId="30236" xr:uid="{00000000-0005-0000-0000-00003D0B0000}"/>
    <cellStyle name="Comma 4 3 6 6 5" xfId="11776" xr:uid="{00000000-0005-0000-0000-00003E0B0000}"/>
    <cellStyle name="Comma 4 3 6 6 6" xfId="5160" xr:uid="{00000000-0005-0000-0000-00003F0B0000}"/>
    <cellStyle name="Comma 4 3 6 6 6 2" xfId="21824" xr:uid="{00000000-0005-0000-0000-0000400B0000}"/>
    <cellStyle name="Comma 4 3 6 6 7" xfId="18621" xr:uid="{00000000-0005-0000-0000-0000410B0000}"/>
    <cellStyle name="Comma 4 3 6 7" xfId="6764" xr:uid="{00000000-0005-0000-0000-0000420B0000}"/>
    <cellStyle name="Comma 4 3 6 7 2" xfId="10092" xr:uid="{00000000-0005-0000-0000-0000430B0000}"/>
    <cellStyle name="Comma 4 3 6 7 2 2" xfId="17355" xr:uid="{00000000-0005-0000-0000-0000440B0000}"/>
    <cellStyle name="Comma 4 3 6 7 2 2 2" xfId="33670" xr:uid="{00000000-0005-0000-0000-0000450B0000}"/>
    <cellStyle name="Comma 4 3 6 7 2 3" xfId="26705" xr:uid="{00000000-0005-0000-0000-0000460B0000}"/>
    <cellStyle name="Comma 4 3 6 7 3" xfId="13435" xr:uid="{00000000-0005-0000-0000-0000470B0000}"/>
    <cellStyle name="Comma 4 3 6 7 3 2" xfId="30009" xr:uid="{00000000-0005-0000-0000-0000480B0000}"/>
    <cellStyle name="Comma 4 3 6 7 4" xfId="14072" xr:uid="{00000000-0005-0000-0000-0000490B0000}"/>
    <cellStyle name="Comma 4 3 6 7 4 2" xfId="30389" xr:uid="{00000000-0005-0000-0000-00004A0B0000}"/>
    <cellStyle name="Comma 4 3 6 7 5" xfId="13645" xr:uid="{00000000-0005-0000-0000-00004B0B0000}"/>
    <cellStyle name="Comma 4 3 6 7 6" xfId="23405" xr:uid="{00000000-0005-0000-0000-00004C0B0000}"/>
    <cellStyle name="Comma 4 3 6 8" xfId="6892" xr:uid="{00000000-0005-0000-0000-00004D0B0000}"/>
    <cellStyle name="Comma 4 3 6 8 2" xfId="14155" xr:uid="{00000000-0005-0000-0000-00004E0B0000}"/>
    <cellStyle name="Comma 4 3 6 8 2 2" xfId="30470" xr:uid="{00000000-0005-0000-0000-00004F0B0000}"/>
    <cellStyle name="Comma 4 3 6 8 3" xfId="23505" xr:uid="{00000000-0005-0000-0000-0000500B0000}"/>
    <cellStyle name="Comma 4 3 6 9" xfId="10206" xr:uid="{00000000-0005-0000-0000-0000510B0000}"/>
    <cellStyle name="Comma 4 3 6 9 2" xfId="26805" xr:uid="{00000000-0005-0000-0000-0000520B0000}"/>
    <cellStyle name="Comma 4 3 7" xfId="1902" xr:uid="{00000000-0005-0000-0000-0000530B0000}"/>
    <cellStyle name="Comma 4 3 7 10" xfId="3506" xr:uid="{00000000-0005-0000-0000-0000540B0000}"/>
    <cellStyle name="Comma 4 3 7 10 2" xfId="20229" xr:uid="{00000000-0005-0000-0000-0000550B0000}"/>
    <cellStyle name="Comma 4 3 7 11" xfId="18633" xr:uid="{00000000-0005-0000-0000-0000560B0000}"/>
    <cellStyle name="Comma 4 3 7 2" xfId="1903" xr:uid="{00000000-0005-0000-0000-0000570B0000}"/>
    <cellStyle name="Comma 4 3 7 2 10" xfId="18634" xr:uid="{00000000-0005-0000-0000-0000580B0000}"/>
    <cellStyle name="Comma 4 3 7 2 2" xfId="1904" xr:uid="{00000000-0005-0000-0000-0000590B0000}"/>
    <cellStyle name="Comma 4 3 7 2 2 2" xfId="6696" xr:uid="{00000000-0005-0000-0000-00005A0B0000}"/>
    <cellStyle name="Comma 4 3 7 2 2 2 2" xfId="10047" xr:uid="{00000000-0005-0000-0000-00005B0B0000}"/>
    <cellStyle name="Comma 4 3 7 2 2 2 2 2" xfId="17310" xr:uid="{00000000-0005-0000-0000-00005C0B0000}"/>
    <cellStyle name="Comma 4 3 7 2 2 2 2 2 2" xfId="33625" xr:uid="{00000000-0005-0000-0000-00005D0B0000}"/>
    <cellStyle name="Comma 4 3 7 2 2 2 2 3" xfId="26660" xr:uid="{00000000-0005-0000-0000-00005E0B0000}"/>
    <cellStyle name="Comma 4 3 7 2 2 2 3" xfId="13389" xr:uid="{00000000-0005-0000-0000-00005F0B0000}"/>
    <cellStyle name="Comma 4 3 7 2 2 2 3 2" xfId="29964" xr:uid="{00000000-0005-0000-0000-0000600B0000}"/>
    <cellStyle name="Comma 4 3 7 2 2 2 4" xfId="14029" xr:uid="{00000000-0005-0000-0000-0000610B0000}"/>
    <cellStyle name="Comma 4 3 7 2 2 2 4 2" xfId="30349" xr:uid="{00000000-0005-0000-0000-0000620B0000}"/>
    <cellStyle name="Comma 4 3 7 2 2 2 5" xfId="13508" xr:uid="{00000000-0005-0000-0000-0000630B0000}"/>
    <cellStyle name="Comma 4 3 7 2 2 2 6" xfId="23360" xr:uid="{00000000-0005-0000-0000-0000640B0000}"/>
    <cellStyle name="Comma 4 3 7 2 2 3" xfId="8426" xr:uid="{00000000-0005-0000-0000-0000650B0000}"/>
    <cellStyle name="Comma 4 3 7 2 2 3 2" xfId="15689" xr:uid="{00000000-0005-0000-0000-0000660B0000}"/>
    <cellStyle name="Comma 4 3 7 2 2 3 2 2" xfId="32004" xr:uid="{00000000-0005-0000-0000-0000670B0000}"/>
    <cellStyle name="Comma 4 3 7 2 2 3 3" xfId="25039" xr:uid="{00000000-0005-0000-0000-0000680B0000}"/>
    <cellStyle name="Comma 4 3 7 2 2 4" xfId="11741" xr:uid="{00000000-0005-0000-0000-0000690B0000}"/>
    <cellStyle name="Comma 4 3 7 2 2 4 2" xfId="28339" xr:uid="{00000000-0005-0000-0000-00006A0B0000}"/>
    <cellStyle name="Comma 4 3 7 2 2 5" xfId="13868" xr:uid="{00000000-0005-0000-0000-00006B0B0000}"/>
    <cellStyle name="Comma 4 3 7 2 2 5 2" xfId="30215" xr:uid="{00000000-0005-0000-0000-00006C0B0000}"/>
    <cellStyle name="Comma 4 3 7 2 2 6" xfId="13657" xr:uid="{00000000-0005-0000-0000-00006D0B0000}"/>
    <cellStyle name="Comma 4 3 7 2 2 7" xfId="3508" xr:uid="{00000000-0005-0000-0000-00006E0B0000}"/>
    <cellStyle name="Comma 4 3 7 2 2 7 2" xfId="20231" xr:uid="{00000000-0005-0000-0000-00006F0B0000}"/>
    <cellStyle name="Comma 4 3 7 2 2 8" xfId="18635" xr:uid="{00000000-0005-0000-0000-0000700B0000}"/>
    <cellStyle name="Comma 4 3 7 2 3" xfId="5920" xr:uid="{00000000-0005-0000-0000-0000710B0000}"/>
    <cellStyle name="Comma 4 3 7 2 3 2" xfId="9271" xr:uid="{00000000-0005-0000-0000-0000720B0000}"/>
    <cellStyle name="Comma 4 3 7 2 3 2 2" xfId="16534" xr:uid="{00000000-0005-0000-0000-0000730B0000}"/>
    <cellStyle name="Comma 4 3 7 2 3 2 2 2" xfId="32849" xr:uid="{00000000-0005-0000-0000-0000740B0000}"/>
    <cellStyle name="Comma 4 3 7 2 3 2 3" xfId="25884" xr:uid="{00000000-0005-0000-0000-0000750B0000}"/>
    <cellStyle name="Comma 4 3 7 2 3 3" xfId="12613" xr:uid="{00000000-0005-0000-0000-0000760B0000}"/>
    <cellStyle name="Comma 4 3 7 2 3 3 2" xfId="29188" xr:uid="{00000000-0005-0000-0000-0000770B0000}"/>
    <cellStyle name="Comma 4 3 7 2 3 4" xfId="13987" xr:uid="{00000000-0005-0000-0000-0000780B0000}"/>
    <cellStyle name="Comma 4 3 7 2 3 4 2" xfId="30307" xr:uid="{00000000-0005-0000-0000-0000790B0000}"/>
    <cellStyle name="Comma 4 3 7 2 3 5" xfId="13513" xr:uid="{00000000-0005-0000-0000-00007A0B0000}"/>
    <cellStyle name="Comma 4 3 7 2 3 6" xfId="22584" xr:uid="{00000000-0005-0000-0000-00007B0B0000}"/>
    <cellStyle name="Comma 4 3 7 2 4" xfId="6778" xr:uid="{00000000-0005-0000-0000-00007C0B0000}"/>
    <cellStyle name="Comma 4 3 7 2 4 2" xfId="10100" xr:uid="{00000000-0005-0000-0000-00007D0B0000}"/>
    <cellStyle name="Comma 4 3 7 2 4 2 2" xfId="17363" xr:uid="{00000000-0005-0000-0000-00007E0B0000}"/>
    <cellStyle name="Comma 4 3 7 2 4 2 2 2" xfId="33678" xr:uid="{00000000-0005-0000-0000-00007F0B0000}"/>
    <cellStyle name="Comma 4 3 7 2 4 2 3" xfId="26713" xr:uid="{00000000-0005-0000-0000-0000800B0000}"/>
    <cellStyle name="Comma 4 3 7 2 4 3" xfId="13443" xr:uid="{00000000-0005-0000-0000-0000810B0000}"/>
    <cellStyle name="Comma 4 3 7 2 4 3 2" xfId="30017" xr:uid="{00000000-0005-0000-0000-0000820B0000}"/>
    <cellStyle name="Comma 4 3 7 2 4 4" xfId="14080" xr:uid="{00000000-0005-0000-0000-0000830B0000}"/>
    <cellStyle name="Comma 4 3 7 2 4 4 2" xfId="30397" xr:uid="{00000000-0005-0000-0000-0000840B0000}"/>
    <cellStyle name="Comma 4 3 7 2 4 5" xfId="13617" xr:uid="{00000000-0005-0000-0000-0000850B0000}"/>
    <cellStyle name="Comma 4 3 7 2 4 6" xfId="23413" xr:uid="{00000000-0005-0000-0000-0000860B0000}"/>
    <cellStyle name="Comma 4 3 7 2 5" xfId="6707" xr:uid="{00000000-0005-0000-0000-0000870B0000}"/>
    <cellStyle name="Comma 4 3 7 2 6" xfId="7650" xr:uid="{00000000-0005-0000-0000-0000880B0000}"/>
    <cellStyle name="Comma 4 3 7 2 6 2" xfId="14913" xr:uid="{00000000-0005-0000-0000-0000890B0000}"/>
    <cellStyle name="Comma 4 3 7 2 6 2 2" xfId="31228" xr:uid="{00000000-0005-0000-0000-00008A0B0000}"/>
    <cellStyle name="Comma 4 3 7 2 6 3" xfId="24263" xr:uid="{00000000-0005-0000-0000-00008B0B0000}"/>
    <cellStyle name="Comma 4 3 7 2 7" xfId="10965" xr:uid="{00000000-0005-0000-0000-00008C0B0000}"/>
    <cellStyle name="Comma 4 3 7 2 7 2" xfId="27563" xr:uid="{00000000-0005-0000-0000-00008D0B0000}"/>
    <cellStyle name="Comma 4 3 7 2 8" xfId="13826" xr:uid="{00000000-0005-0000-0000-00008E0B0000}"/>
    <cellStyle name="Comma 4 3 7 2 8 2" xfId="30173" xr:uid="{00000000-0005-0000-0000-00008F0B0000}"/>
    <cellStyle name="Comma 4 3 7 2 9" xfId="3507" xr:uid="{00000000-0005-0000-0000-0000900B0000}"/>
    <cellStyle name="Comma 4 3 7 2 9 2" xfId="20230" xr:uid="{00000000-0005-0000-0000-0000910B0000}"/>
    <cellStyle name="Comma 4 3 7 3" xfId="1905" xr:uid="{00000000-0005-0000-0000-0000920B0000}"/>
    <cellStyle name="Comma 4 3 7 3 2" xfId="6326" xr:uid="{00000000-0005-0000-0000-0000930B0000}"/>
    <cellStyle name="Comma 4 3 7 3 2 2" xfId="9677" xr:uid="{00000000-0005-0000-0000-0000940B0000}"/>
    <cellStyle name="Comma 4 3 7 3 2 2 2" xfId="16940" xr:uid="{00000000-0005-0000-0000-0000950B0000}"/>
    <cellStyle name="Comma 4 3 7 3 2 2 2 2" xfId="33255" xr:uid="{00000000-0005-0000-0000-0000960B0000}"/>
    <cellStyle name="Comma 4 3 7 3 2 2 3" xfId="26290" xr:uid="{00000000-0005-0000-0000-0000970B0000}"/>
    <cellStyle name="Comma 4 3 7 3 2 3" xfId="13019" xr:uid="{00000000-0005-0000-0000-0000980B0000}"/>
    <cellStyle name="Comma 4 3 7 3 2 3 2" xfId="29594" xr:uid="{00000000-0005-0000-0000-0000990B0000}"/>
    <cellStyle name="Comma 4 3 7 3 2 4" xfId="14026" xr:uid="{00000000-0005-0000-0000-00009A0B0000}"/>
    <cellStyle name="Comma 4 3 7 3 2 4 2" xfId="30346" xr:uid="{00000000-0005-0000-0000-00009B0B0000}"/>
    <cellStyle name="Comma 4 3 7 3 2 5" xfId="13503" xr:uid="{00000000-0005-0000-0000-00009C0B0000}"/>
    <cellStyle name="Comma 4 3 7 3 2 6" xfId="22990" xr:uid="{00000000-0005-0000-0000-00009D0B0000}"/>
    <cellStyle name="Comma 4 3 7 3 3" xfId="8056" xr:uid="{00000000-0005-0000-0000-00009E0B0000}"/>
    <cellStyle name="Comma 4 3 7 3 3 2" xfId="15319" xr:uid="{00000000-0005-0000-0000-00009F0B0000}"/>
    <cellStyle name="Comma 4 3 7 3 3 2 2" xfId="31634" xr:uid="{00000000-0005-0000-0000-0000A00B0000}"/>
    <cellStyle name="Comma 4 3 7 3 3 3" xfId="24669" xr:uid="{00000000-0005-0000-0000-0000A10B0000}"/>
    <cellStyle name="Comma 4 3 7 3 4" xfId="11371" xr:uid="{00000000-0005-0000-0000-0000A20B0000}"/>
    <cellStyle name="Comma 4 3 7 3 4 2" xfId="27969" xr:uid="{00000000-0005-0000-0000-0000A30B0000}"/>
    <cellStyle name="Comma 4 3 7 3 5" xfId="13865" xr:uid="{00000000-0005-0000-0000-0000A40B0000}"/>
    <cellStyle name="Comma 4 3 7 3 5 2" xfId="30212" xr:uid="{00000000-0005-0000-0000-0000A50B0000}"/>
    <cellStyle name="Comma 4 3 7 3 6" xfId="13575" xr:uid="{00000000-0005-0000-0000-0000A60B0000}"/>
    <cellStyle name="Comma 4 3 7 3 7" xfId="3509" xr:uid="{00000000-0005-0000-0000-0000A70B0000}"/>
    <cellStyle name="Comma 4 3 7 3 7 2" xfId="20232" xr:uid="{00000000-0005-0000-0000-0000A80B0000}"/>
    <cellStyle name="Comma 4 3 7 3 8" xfId="18636" xr:uid="{00000000-0005-0000-0000-0000A90B0000}"/>
    <cellStyle name="Comma 4 3 7 4" xfId="5513" xr:uid="{00000000-0005-0000-0000-0000AA0B0000}"/>
    <cellStyle name="Comma 4 3 7 4 2" xfId="8864" xr:uid="{00000000-0005-0000-0000-0000AB0B0000}"/>
    <cellStyle name="Comma 4 3 7 4 2 2" xfId="16127" xr:uid="{00000000-0005-0000-0000-0000AC0B0000}"/>
    <cellStyle name="Comma 4 3 7 4 2 2 2" xfId="32442" xr:uid="{00000000-0005-0000-0000-0000AD0B0000}"/>
    <cellStyle name="Comma 4 3 7 4 2 3" xfId="25477" xr:uid="{00000000-0005-0000-0000-0000AE0B0000}"/>
    <cellStyle name="Comma 4 3 7 4 3" xfId="12206" xr:uid="{00000000-0005-0000-0000-0000AF0B0000}"/>
    <cellStyle name="Comma 4 3 7 4 3 2" xfId="28781" xr:uid="{00000000-0005-0000-0000-0000B00B0000}"/>
    <cellStyle name="Comma 4 3 7 4 4" xfId="13947" xr:uid="{00000000-0005-0000-0000-0000B10B0000}"/>
    <cellStyle name="Comma 4 3 7 4 4 2" xfId="30267" xr:uid="{00000000-0005-0000-0000-0000B20B0000}"/>
    <cellStyle name="Comma 4 3 7 4 5" xfId="13635" xr:uid="{00000000-0005-0000-0000-0000B30B0000}"/>
    <cellStyle name="Comma 4 3 7 4 6" xfId="22177" xr:uid="{00000000-0005-0000-0000-0000B40B0000}"/>
    <cellStyle name="Comma 4 3 7 5" xfId="5126" xr:uid="{00000000-0005-0000-0000-0000B50B0000}"/>
    <cellStyle name="Comma 4 3 7 5 2" xfId="8479" xr:uid="{00000000-0005-0000-0000-0000B60B0000}"/>
    <cellStyle name="Comma 4 3 7 5 2 2" xfId="15742" xr:uid="{00000000-0005-0000-0000-0000B70B0000}"/>
    <cellStyle name="Comma 4 3 7 5 2 2 2" xfId="32057" xr:uid="{00000000-0005-0000-0000-0000B80B0000}"/>
    <cellStyle name="Comma 4 3 7 5 2 3" xfId="25092" xr:uid="{00000000-0005-0000-0000-0000B90B0000}"/>
    <cellStyle name="Comma 4 3 7 5 3" xfId="11820" xr:uid="{00000000-0005-0000-0000-0000BA0B0000}"/>
    <cellStyle name="Comma 4 3 7 5 3 2" xfId="28396" xr:uid="{00000000-0005-0000-0000-0000BB0B0000}"/>
    <cellStyle name="Comma 4 3 7 5 4" xfId="13908" xr:uid="{00000000-0005-0000-0000-0000BC0B0000}"/>
    <cellStyle name="Comma 4 3 7 5 4 2" xfId="30229" xr:uid="{00000000-0005-0000-0000-0000BD0B0000}"/>
    <cellStyle name="Comma 4 3 7 5 5" xfId="13678" xr:uid="{00000000-0005-0000-0000-0000BE0B0000}"/>
    <cellStyle name="Comma 4 3 7 5 6" xfId="21792" xr:uid="{00000000-0005-0000-0000-0000BF0B0000}"/>
    <cellStyle name="Comma 4 3 7 6" xfId="6831" xr:uid="{00000000-0005-0000-0000-0000C00B0000}"/>
    <cellStyle name="Comma 4 3 7 7" xfId="7244" xr:uid="{00000000-0005-0000-0000-0000C10B0000}"/>
    <cellStyle name="Comma 4 3 7 7 2" xfId="14507" xr:uid="{00000000-0005-0000-0000-0000C20B0000}"/>
    <cellStyle name="Comma 4 3 7 7 2 2" xfId="30822" xr:uid="{00000000-0005-0000-0000-0000C30B0000}"/>
    <cellStyle name="Comma 4 3 7 7 3" xfId="23857" xr:uid="{00000000-0005-0000-0000-0000C40B0000}"/>
    <cellStyle name="Comma 4 3 7 8" xfId="10559" xr:uid="{00000000-0005-0000-0000-0000C50B0000}"/>
    <cellStyle name="Comma 4 3 7 8 2" xfId="27157" xr:uid="{00000000-0005-0000-0000-0000C60B0000}"/>
    <cellStyle name="Comma 4 3 7 9" xfId="13784" xr:uid="{00000000-0005-0000-0000-0000C70B0000}"/>
    <cellStyle name="Comma 4 3 7 9 2" xfId="30134" xr:uid="{00000000-0005-0000-0000-0000C80B0000}"/>
    <cellStyle name="Comma 4 3 8" xfId="5038" xr:uid="{00000000-0005-0000-0000-0000C90B0000}"/>
    <cellStyle name="Comma 4 3 8 2" xfId="6809" xr:uid="{00000000-0005-0000-0000-0000CA0B0000}"/>
    <cellStyle name="Comma 4 3 8 2 2" xfId="10122" xr:uid="{00000000-0005-0000-0000-0000CB0B0000}"/>
    <cellStyle name="Comma 4 3 8 2 2 2" xfId="17385" xr:uid="{00000000-0005-0000-0000-0000CC0B0000}"/>
    <cellStyle name="Comma 4 3 8 2 2 2 2" xfId="33700" xr:uid="{00000000-0005-0000-0000-0000CD0B0000}"/>
    <cellStyle name="Comma 4 3 8 2 2 3" xfId="26735" xr:uid="{00000000-0005-0000-0000-0000CE0B0000}"/>
    <cellStyle name="Comma 4 3 8 2 3" xfId="13467" xr:uid="{00000000-0005-0000-0000-0000CF0B0000}"/>
    <cellStyle name="Comma 4 3 8 2 3 2" xfId="30039" xr:uid="{00000000-0005-0000-0000-0000D00B0000}"/>
    <cellStyle name="Comma 4 3 8 2 4" xfId="14092" xr:uid="{00000000-0005-0000-0000-0000D10B0000}"/>
    <cellStyle name="Comma 4 3 8 2 4 2" xfId="30409" xr:uid="{00000000-0005-0000-0000-0000D20B0000}"/>
    <cellStyle name="Comma 4 3 8 2 5" xfId="11785" xr:uid="{00000000-0005-0000-0000-0000D30B0000}"/>
    <cellStyle name="Comma 4 3 8 2 6" xfId="23435" xr:uid="{00000000-0005-0000-0000-0000D40B0000}"/>
    <cellStyle name="Comma 4 3 8 3" xfId="8444" xr:uid="{00000000-0005-0000-0000-0000D50B0000}"/>
    <cellStyle name="Comma 4 3 8 3 2" xfId="15707" xr:uid="{00000000-0005-0000-0000-0000D60B0000}"/>
    <cellStyle name="Comma 4 3 8 3 2 2" xfId="32022" xr:uid="{00000000-0005-0000-0000-0000D70B0000}"/>
    <cellStyle name="Comma 4 3 8 3 3" xfId="25057" xr:uid="{00000000-0005-0000-0000-0000D80B0000}"/>
    <cellStyle name="Comma 4 3 8 4" xfId="11759" xr:uid="{00000000-0005-0000-0000-0000D90B0000}"/>
    <cellStyle name="Comma 4 3 8 4 2" xfId="28357" xr:uid="{00000000-0005-0000-0000-0000DA0B0000}"/>
    <cellStyle name="Comma 4 3 8 5" xfId="13871" xr:uid="{00000000-0005-0000-0000-0000DB0B0000}"/>
    <cellStyle name="Comma 4 3 8 5 2" xfId="30218" xr:uid="{00000000-0005-0000-0000-0000DC0B0000}"/>
    <cellStyle name="Comma 4 3 8 6" xfId="13697" xr:uid="{00000000-0005-0000-0000-0000DD0B0000}"/>
    <cellStyle name="Comma 4 3 8 7" xfId="21757" xr:uid="{00000000-0005-0000-0000-0000DE0B0000}"/>
    <cellStyle name="Comma 4 3 9" xfId="5062" xr:uid="{00000000-0005-0000-0000-0000DF0B0000}"/>
    <cellStyle name="Comma 4 4" xfId="489" xr:uid="{00000000-0005-0000-0000-0000E00B0000}"/>
    <cellStyle name="Comma 4 4 2" xfId="581" xr:uid="{00000000-0005-0000-0000-0000E10B0000}"/>
    <cellStyle name="Comma 4 4 3" xfId="828" xr:uid="{00000000-0005-0000-0000-0000E20B0000}"/>
    <cellStyle name="Comma 4 5" xfId="490" xr:uid="{00000000-0005-0000-0000-0000E30B0000}"/>
    <cellStyle name="Comma 4 5 10" xfId="17411" xr:uid="{00000000-0005-0000-0000-0000E40B0000}"/>
    <cellStyle name="Comma 4 5 2" xfId="582" xr:uid="{00000000-0005-0000-0000-0000E50B0000}"/>
    <cellStyle name="Comma 4 5 2 2" xfId="682" xr:uid="{00000000-0005-0000-0000-0000E60B0000}"/>
    <cellStyle name="Comma 4 5 2 2 2" xfId="1294" xr:uid="{00000000-0005-0000-0000-0000E70B0000}"/>
    <cellStyle name="Comma 4 5 2 2 2 2" xfId="1813" xr:uid="{00000000-0005-0000-0000-0000E80B0000}"/>
    <cellStyle name="Comma 4 5 2 2 2 2 2" xfId="18548" xr:uid="{00000000-0005-0000-0000-0000E90B0000}"/>
    <cellStyle name="Comma 4 5 2 2 2 3" xfId="18029" xr:uid="{00000000-0005-0000-0000-0000EA0B0000}"/>
    <cellStyle name="Comma 4 5 2 2 3" xfId="788" xr:uid="{00000000-0005-0000-0000-0000EB0B0000}"/>
    <cellStyle name="Comma 4 5 2 2 3 2" xfId="17601" xr:uid="{00000000-0005-0000-0000-0000EC0B0000}"/>
    <cellStyle name="Comma 4 5 2 2 4" xfId="1385" xr:uid="{00000000-0005-0000-0000-0000ED0B0000}"/>
    <cellStyle name="Comma 4 5 2 2 4 2" xfId="18120" xr:uid="{00000000-0005-0000-0000-0000EE0B0000}"/>
    <cellStyle name="Comma 4 5 2 2 5" xfId="17496" xr:uid="{00000000-0005-0000-0000-0000EF0B0000}"/>
    <cellStyle name="Comma 4 5 2 3" xfId="644" xr:uid="{00000000-0005-0000-0000-0000F00B0000}"/>
    <cellStyle name="Comma 4 5 2 3 2" xfId="1284" xr:uid="{00000000-0005-0000-0000-0000F10B0000}"/>
    <cellStyle name="Comma 4 5 2 3 2 2" xfId="1803" xr:uid="{00000000-0005-0000-0000-0000F20B0000}"/>
    <cellStyle name="Comma 4 5 2 3 2 2 2" xfId="18538" xr:uid="{00000000-0005-0000-0000-0000F30B0000}"/>
    <cellStyle name="Comma 4 5 2 3 2 3" xfId="18019" xr:uid="{00000000-0005-0000-0000-0000F40B0000}"/>
    <cellStyle name="Comma 4 5 2 3 3" xfId="753" xr:uid="{00000000-0005-0000-0000-0000F50B0000}"/>
    <cellStyle name="Comma 4 5 2 3 3 2" xfId="17566" xr:uid="{00000000-0005-0000-0000-0000F60B0000}"/>
    <cellStyle name="Comma 4 5 2 3 4" xfId="1350" xr:uid="{00000000-0005-0000-0000-0000F70B0000}"/>
    <cellStyle name="Comma 4 5 2 3 4 2" xfId="18085" xr:uid="{00000000-0005-0000-0000-0000F80B0000}"/>
    <cellStyle name="Comma 4 5 2 3 5" xfId="17461" xr:uid="{00000000-0005-0000-0000-0000F90B0000}"/>
    <cellStyle name="Comma 4 5 2 4" xfId="830" xr:uid="{00000000-0005-0000-0000-0000FA0B0000}"/>
    <cellStyle name="Comma 4 5 2 5" xfId="1274" xr:uid="{00000000-0005-0000-0000-0000FB0B0000}"/>
    <cellStyle name="Comma 4 5 2 5 2" xfId="1793" xr:uid="{00000000-0005-0000-0000-0000FC0B0000}"/>
    <cellStyle name="Comma 4 5 2 5 2 2" xfId="18528" xr:uid="{00000000-0005-0000-0000-0000FD0B0000}"/>
    <cellStyle name="Comma 4 5 2 5 3" xfId="18009" xr:uid="{00000000-0005-0000-0000-0000FE0B0000}"/>
    <cellStyle name="Comma 4 5 2 6" xfId="718" xr:uid="{00000000-0005-0000-0000-0000FF0B0000}"/>
    <cellStyle name="Comma 4 5 2 6 2" xfId="17531" xr:uid="{00000000-0005-0000-0000-0000000C0000}"/>
    <cellStyle name="Comma 4 5 2 7" xfId="1315" xr:uid="{00000000-0005-0000-0000-0000010C0000}"/>
    <cellStyle name="Comma 4 5 2 7 2" xfId="18050" xr:uid="{00000000-0005-0000-0000-0000020C0000}"/>
    <cellStyle name="Comma 4 5 2 8" xfId="17426" xr:uid="{00000000-0005-0000-0000-0000030C0000}"/>
    <cellStyle name="Comma 4 5 3" xfId="665" xr:uid="{00000000-0005-0000-0000-0000040C0000}"/>
    <cellStyle name="Comma 4 5 3 2" xfId="831" xr:uid="{00000000-0005-0000-0000-0000050C0000}"/>
    <cellStyle name="Comma 4 5 3 3" xfId="1289" xr:uid="{00000000-0005-0000-0000-0000060C0000}"/>
    <cellStyle name="Comma 4 5 3 3 2" xfId="1808" xr:uid="{00000000-0005-0000-0000-0000070C0000}"/>
    <cellStyle name="Comma 4 5 3 3 2 2" xfId="18543" xr:uid="{00000000-0005-0000-0000-0000080C0000}"/>
    <cellStyle name="Comma 4 5 3 3 3" xfId="18024" xr:uid="{00000000-0005-0000-0000-0000090C0000}"/>
    <cellStyle name="Comma 4 5 3 4" xfId="773" xr:uid="{00000000-0005-0000-0000-00000A0C0000}"/>
    <cellStyle name="Comma 4 5 3 4 2" xfId="17586" xr:uid="{00000000-0005-0000-0000-00000B0C0000}"/>
    <cellStyle name="Comma 4 5 3 5" xfId="1370" xr:uid="{00000000-0005-0000-0000-00000C0C0000}"/>
    <cellStyle name="Comma 4 5 3 5 2" xfId="18105" xr:uid="{00000000-0005-0000-0000-00000D0C0000}"/>
    <cellStyle name="Comma 4 5 3 6" xfId="17481" xr:uid="{00000000-0005-0000-0000-00000E0C0000}"/>
    <cellStyle name="Comma 4 5 4" xfId="627" xr:uid="{00000000-0005-0000-0000-00000F0C0000}"/>
    <cellStyle name="Comma 4 5 4 2" xfId="1279" xr:uid="{00000000-0005-0000-0000-0000100C0000}"/>
    <cellStyle name="Comma 4 5 4 2 2" xfId="1798" xr:uid="{00000000-0005-0000-0000-0000110C0000}"/>
    <cellStyle name="Comma 4 5 4 2 2 2" xfId="18533" xr:uid="{00000000-0005-0000-0000-0000120C0000}"/>
    <cellStyle name="Comma 4 5 4 2 3" xfId="18014" xr:uid="{00000000-0005-0000-0000-0000130C0000}"/>
    <cellStyle name="Comma 4 5 4 3" xfId="738" xr:uid="{00000000-0005-0000-0000-0000140C0000}"/>
    <cellStyle name="Comma 4 5 4 3 2" xfId="17551" xr:uid="{00000000-0005-0000-0000-0000150C0000}"/>
    <cellStyle name="Comma 4 5 4 4" xfId="1335" xr:uid="{00000000-0005-0000-0000-0000160C0000}"/>
    <cellStyle name="Comma 4 5 4 4 2" xfId="18070" xr:uid="{00000000-0005-0000-0000-0000170C0000}"/>
    <cellStyle name="Comma 4 5 4 5" xfId="17446" xr:uid="{00000000-0005-0000-0000-0000180C0000}"/>
    <cellStyle name="Comma 4 5 5" xfId="829" xr:uid="{00000000-0005-0000-0000-0000190C0000}"/>
    <cellStyle name="Comma 4 5 5 2" xfId="1408" xr:uid="{00000000-0005-0000-0000-00001A0C0000}"/>
    <cellStyle name="Comma 4 5 5 2 2" xfId="18143" xr:uid="{00000000-0005-0000-0000-00001B0C0000}"/>
    <cellStyle name="Comma 4 5 5 3" xfId="17624" xr:uid="{00000000-0005-0000-0000-00001C0C0000}"/>
    <cellStyle name="Comma 4 5 6" xfId="703" xr:uid="{00000000-0005-0000-0000-00001D0C0000}"/>
    <cellStyle name="Comma 4 5 6 2" xfId="17516" xr:uid="{00000000-0005-0000-0000-00001E0C0000}"/>
    <cellStyle name="Comma 4 5 7" xfId="1300" xr:uid="{00000000-0005-0000-0000-00001F0C0000}"/>
    <cellStyle name="Comma 4 5 7 2" xfId="18035" xr:uid="{00000000-0005-0000-0000-0000200C0000}"/>
    <cellStyle name="Comma 4 5 8" xfId="1906" xr:uid="{00000000-0005-0000-0000-0000210C0000}"/>
    <cellStyle name="Comma 4 5 8 2" xfId="18637" xr:uid="{00000000-0005-0000-0000-0000220C0000}"/>
    <cellStyle name="Comma 4 5 9" xfId="3510" xr:uid="{00000000-0005-0000-0000-0000230C0000}"/>
    <cellStyle name="Comma 4 5 9 2" xfId="20233" xr:uid="{00000000-0005-0000-0000-0000240C0000}"/>
    <cellStyle name="Comma 4 6" xfId="832" xr:uid="{00000000-0005-0000-0000-0000250C0000}"/>
    <cellStyle name="Comma 4 6 10" xfId="10149" xr:uid="{00000000-0005-0000-0000-0000260C0000}"/>
    <cellStyle name="Comma 4 6 10 2" xfId="26760" xr:uid="{00000000-0005-0000-0000-0000270C0000}"/>
    <cellStyle name="Comma 4 6 11" xfId="13741" xr:uid="{00000000-0005-0000-0000-0000280C0000}"/>
    <cellStyle name="Comma 4 6 11 2" xfId="30098" xr:uid="{00000000-0005-0000-0000-0000290C0000}"/>
    <cellStyle name="Comma 4 6 12" xfId="3511" xr:uid="{00000000-0005-0000-0000-00002A0C0000}"/>
    <cellStyle name="Comma 4 6 12 2" xfId="20234" xr:uid="{00000000-0005-0000-0000-00002B0C0000}"/>
    <cellStyle name="Comma 4 6 13" xfId="17625" xr:uid="{00000000-0005-0000-0000-00002C0C0000}"/>
    <cellStyle name="Comma 4 6 2" xfId="833" xr:uid="{00000000-0005-0000-0000-00002D0C0000}"/>
    <cellStyle name="Comma 4 6 2 10" xfId="13751" xr:uid="{00000000-0005-0000-0000-00002E0C0000}"/>
    <cellStyle name="Comma 4 6 2 10 2" xfId="30101" xr:uid="{00000000-0005-0000-0000-00002F0C0000}"/>
    <cellStyle name="Comma 4 6 2 11" xfId="3512" xr:uid="{00000000-0005-0000-0000-0000300C0000}"/>
    <cellStyle name="Comma 4 6 2 11 2" xfId="20235" xr:uid="{00000000-0005-0000-0000-0000310C0000}"/>
    <cellStyle name="Comma 4 6 2 12" xfId="17626" xr:uid="{00000000-0005-0000-0000-0000320C0000}"/>
    <cellStyle name="Comma 4 6 2 2" xfId="928" xr:uid="{00000000-0005-0000-0000-0000330C0000}"/>
    <cellStyle name="Comma 4 6 2 2 10" xfId="3513" xr:uid="{00000000-0005-0000-0000-0000340C0000}"/>
    <cellStyle name="Comma 4 6 2 2 10 2" xfId="20236" xr:uid="{00000000-0005-0000-0000-0000350C0000}"/>
    <cellStyle name="Comma 4 6 2 2 11" xfId="17706" xr:uid="{00000000-0005-0000-0000-0000360C0000}"/>
    <cellStyle name="Comma 4 6 2 2 2" xfId="1035" xr:uid="{00000000-0005-0000-0000-0000370C0000}"/>
    <cellStyle name="Comma 4 6 2 2 2 10" xfId="17812" xr:uid="{00000000-0005-0000-0000-0000380C0000}"/>
    <cellStyle name="Comma 4 6 2 2 2 2" xfId="1084" xr:uid="{00000000-0005-0000-0000-0000390C0000}"/>
    <cellStyle name="Comma 4 6 2 2 2 3" xfId="1596" xr:uid="{00000000-0005-0000-0000-00003A0C0000}"/>
    <cellStyle name="Comma 4 6 2 2 2 3 10" xfId="18331" xr:uid="{00000000-0005-0000-0000-00003B0C0000}"/>
    <cellStyle name="Comma 4 6 2 2 2 3 2" xfId="1912" xr:uid="{00000000-0005-0000-0000-00003C0C0000}"/>
    <cellStyle name="Comma 4 6 2 2 2 3 2 2" xfId="6134" xr:uid="{00000000-0005-0000-0000-00003D0C0000}"/>
    <cellStyle name="Comma 4 6 2 2 2 3 2 2 2" xfId="9485" xr:uid="{00000000-0005-0000-0000-00003E0C0000}"/>
    <cellStyle name="Comma 4 6 2 2 2 3 2 2 2 2" xfId="16748" xr:uid="{00000000-0005-0000-0000-00003F0C0000}"/>
    <cellStyle name="Comma 4 6 2 2 2 3 2 2 2 2 2" xfId="33063" xr:uid="{00000000-0005-0000-0000-0000400C0000}"/>
    <cellStyle name="Comma 4 6 2 2 2 3 2 2 2 3" xfId="26098" xr:uid="{00000000-0005-0000-0000-0000410C0000}"/>
    <cellStyle name="Comma 4 6 2 2 2 3 2 2 3" xfId="12827" xr:uid="{00000000-0005-0000-0000-0000420C0000}"/>
    <cellStyle name="Comma 4 6 2 2 2 3 2 2 3 2" xfId="29402" xr:uid="{00000000-0005-0000-0000-0000430C0000}"/>
    <cellStyle name="Comma 4 6 2 2 2 3 2 2 4" xfId="14020" xr:uid="{00000000-0005-0000-0000-0000440C0000}"/>
    <cellStyle name="Comma 4 6 2 2 2 3 2 2 4 2" xfId="30340" xr:uid="{00000000-0005-0000-0000-0000450C0000}"/>
    <cellStyle name="Comma 4 6 2 2 2 3 2 2 5" xfId="10170" xr:uid="{00000000-0005-0000-0000-0000460C0000}"/>
    <cellStyle name="Comma 4 6 2 2 2 3 2 2 6" xfId="22798" xr:uid="{00000000-0005-0000-0000-0000470C0000}"/>
    <cellStyle name="Comma 4 6 2 2 2 3 2 3" xfId="7864" xr:uid="{00000000-0005-0000-0000-0000480C0000}"/>
    <cellStyle name="Comma 4 6 2 2 2 3 2 3 2" xfId="15127" xr:uid="{00000000-0005-0000-0000-0000490C0000}"/>
    <cellStyle name="Comma 4 6 2 2 2 3 2 3 2 2" xfId="31442" xr:uid="{00000000-0005-0000-0000-00004A0C0000}"/>
    <cellStyle name="Comma 4 6 2 2 2 3 2 3 3" xfId="24477" xr:uid="{00000000-0005-0000-0000-00004B0C0000}"/>
    <cellStyle name="Comma 4 6 2 2 2 3 2 4" xfId="11179" xr:uid="{00000000-0005-0000-0000-00004C0C0000}"/>
    <cellStyle name="Comma 4 6 2 2 2 3 2 4 2" xfId="27777" xr:uid="{00000000-0005-0000-0000-00004D0C0000}"/>
    <cellStyle name="Comma 4 6 2 2 2 3 2 5" xfId="13859" xr:uid="{00000000-0005-0000-0000-00004E0C0000}"/>
    <cellStyle name="Comma 4 6 2 2 2 3 2 5 2" xfId="30206" xr:uid="{00000000-0005-0000-0000-00004F0C0000}"/>
    <cellStyle name="Comma 4 6 2 2 2 3 2 6" xfId="13526" xr:uid="{00000000-0005-0000-0000-0000500C0000}"/>
    <cellStyle name="Comma 4 6 2 2 2 3 2 7" xfId="3516" xr:uid="{00000000-0005-0000-0000-0000510C0000}"/>
    <cellStyle name="Comma 4 6 2 2 2 3 2 7 2" xfId="20239" xr:uid="{00000000-0005-0000-0000-0000520C0000}"/>
    <cellStyle name="Comma 4 6 2 2 2 3 2 8" xfId="18643" xr:uid="{00000000-0005-0000-0000-0000530C0000}"/>
    <cellStyle name="Comma 4 6 2 2 2 3 3" xfId="1911" xr:uid="{00000000-0005-0000-0000-0000540C0000}"/>
    <cellStyle name="Comma 4 6 2 2 2 3 3 2" xfId="9079" xr:uid="{00000000-0005-0000-0000-0000550C0000}"/>
    <cellStyle name="Comma 4 6 2 2 2 3 3 2 2" xfId="16342" xr:uid="{00000000-0005-0000-0000-0000560C0000}"/>
    <cellStyle name="Comma 4 6 2 2 2 3 3 2 2 2" xfId="32657" xr:uid="{00000000-0005-0000-0000-0000570C0000}"/>
    <cellStyle name="Comma 4 6 2 2 2 3 3 2 3" xfId="25692" xr:uid="{00000000-0005-0000-0000-0000580C0000}"/>
    <cellStyle name="Comma 4 6 2 2 2 3 3 3" xfId="12421" xr:uid="{00000000-0005-0000-0000-0000590C0000}"/>
    <cellStyle name="Comma 4 6 2 2 2 3 3 3 2" xfId="28996" xr:uid="{00000000-0005-0000-0000-00005A0C0000}"/>
    <cellStyle name="Comma 4 6 2 2 2 3 3 4" xfId="13981" xr:uid="{00000000-0005-0000-0000-00005B0C0000}"/>
    <cellStyle name="Comma 4 6 2 2 2 3 3 4 2" xfId="30301" xr:uid="{00000000-0005-0000-0000-00005C0C0000}"/>
    <cellStyle name="Comma 4 6 2 2 2 3 3 5" xfId="13552" xr:uid="{00000000-0005-0000-0000-00005D0C0000}"/>
    <cellStyle name="Comma 4 6 2 2 2 3 3 6" xfId="5728" xr:uid="{00000000-0005-0000-0000-00005E0C0000}"/>
    <cellStyle name="Comma 4 6 2 2 2 3 3 6 2" xfId="22392" xr:uid="{00000000-0005-0000-0000-00005F0C0000}"/>
    <cellStyle name="Comma 4 6 2 2 2 3 3 7" xfId="18642" xr:uid="{00000000-0005-0000-0000-0000600C0000}"/>
    <cellStyle name="Comma 4 6 2 2 2 3 4" xfId="6788" xr:uid="{00000000-0005-0000-0000-0000610C0000}"/>
    <cellStyle name="Comma 4 6 2 2 2 3 4 2" xfId="10105" xr:uid="{00000000-0005-0000-0000-0000620C0000}"/>
    <cellStyle name="Comma 4 6 2 2 2 3 4 2 2" xfId="17368" xr:uid="{00000000-0005-0000-0000-0000630C0000}"/>
    <cellStyle name="Comma 4 6 2 2 2 3 4 2 2 2" xfId="33683" xr:uid="{00000000-0005-0000-0000-0000640C0000}"/>
    <cellStyle name="Comma 4 6 2 2 2 3 4 2 3" xfId="26718" xr:uid="{00000000-0005-0000-0000-0000650C0000}"/>
    <cellStyle name="Comma 4 6 2 2 2 3 4 3" xfId="13449" xr:uid="{00000000-0005-0000-0000-0000660C0000}"/>
    <cellStyle name="Comma 4 6 2 2 2 3 4 3 2" xfId="30022" xr:uid="{00000000-0005-0000-0000-0000670C0000}"/>
    <cellStyle name="Comma 4 6 2 2 2 3 4 4" xfId="14085" xr:uid="{00000000-0005-0000-0000-0000680C0000}"/>
    <cellStyle name="Comma 4 6 2 2 2 3 4 4 2" xfId="30402" xr:uid="{00000000-0005-0000-0000-0000690C0000}"/>
    <cellStyle name="Comma 4 6 2 2 2 3 4 5" xfId="13631" xr:uid="{00000000-0005-0000-0000-00006A0C0000}"/>
    <cellStyle name="Comma 4 6 2 2 2 3 4 6" xfId="23418" xr:uid="{00000000-0005-0000-0000-00006B0C0000}"/>
    <cellStyle name="Comma 4 6 2 2 2 3 5" xfId="6725" xr:uid="{00000000-0005-0000-0000-00006C0C0000}"/>
    <cellStyle name="Comma 4 6 2 2 2 3 6" xfId="7458" xr:uid="{00000000-0005-0000-0000-00006D0C0000}"/>
    <cellStyle name="Comma 4 6 2 2 2 3 6 2" xfId="14721" xr:uid="{00000000-0005-0000-0000-00006E0C0000}"/>
    <cellStyle name="Comma 4 6 2 2 2 3 6 2 2" xfId="31036" xr:uid="{00000000-0005-0000-0000-00006F0C0000}"/>
    <cellStyle name="Comma 4 6 2 2 2 3 6 3" xfId="24071" xr:uid="{00000000-0005-0000-0000-0000700C0000}"/>
    <cellStyle name="Comma 4 6 2 2 2 3 7" xfId="10773" xr:uid="{00000000-0005-0000-0000-0000710C0000}"/>
    <cellStyle name="Comma 4 6 2 2 2 3 7 2" xfId="27371" xr:uid="{00000000-0005-0000-0000-0000720C0000}"/>
    <cellStyle name="Comma 4 6 2 2 2 3 8" xfId="13820" xr:uid="{00000000-0005-0000-0000-0000730C0000}"/>
    <cellStyle name="Comma 4 6 2 2 2 3 8 2" xfId="30167" xr:uid="{00000000-0005-0000-0000-0000740C0000}"/>
    <cellStyle name="Comma 4 6 2 2 2 3 9" xfId="3515" xr:uid="{00000000-0005-0000-0000-0000750C0000}"/>
    <cellStyle name="Comma 4 6 2 2 2 3 9 2" xfId="20238" xr:uid="{00000000-0005-0000-0000-0000760C0000}"/>
    <cellStyle name="Comma 4 6 2 2 2 4" xfId="1910" xr:uid="{00000000-0005-0000-0000-0000770C0000}"/>
    <cellStyle name="Comma 4 6 2 2 2 4 2" xfId="8657" xr:uid="{00000000-0005-0000-0000-0000780C0000}"/>
    <cellStyle name="Comma 4 6 2 2 2 4 2 2" xfId="15920" xr:uid="{00000000-0005-0000-0000-0000790C0000}"/>
    <cellStyle name="Comma 4 6 2 2 2 4 2 2 2" xfId="32235" xr:uid="{00000000-0005-0000-0000-00007A0C0000}"/>
    <cellStyle name="Comma 4 6 2 2 2 4 2 3" xfId="25270" xr:uid="{00000000-0005-0000-0000-00007B0C0000}"/>
    <cellStyle name="Comma 4 6 2 2 2 4 3" xfId="11999" xr:uid="{00000000-0005-0000-0000-00007C0C0000}"/>
    <cellStyle name="Comma 4 6 2 2 2 4 3 2" xfId="28574" xr:uid="{00000000-0005-0000-0000-00007D0C0000}"/>
    <cellStyle name="Comma 4 6 2 2 2 4 4" xfId="13940" xr:uid="{00000000-0005-0000-0000-00007E0C0000}"/>
    <cellStyle name="Comma 4 6 2 2 2 4 4 2" xfId="30260" xr:uid="{00000000-0005-0000-0000-00007F0C0000}"/>
    <cellStyle name="Comma 4 6 2 2 2 4 5" xfId="13511" xr:uid="{00000000-0005-0000-0000-0000800C0000}"/>
    <cellStyle name="Comma 4 6 2 2 2 4 6" xfId="5306" xr:uid="{00000000-0005-0000-0000-0000810C0000}"/>
    <cellStyle name="Comma 4 6 2 2 2 4 6 2" xfId="21970" xr:uid="{00000000-0005-0000-0000-0000820C0000}"/>
    <cellStyle name="Comma 4 6 2 2 2 4 7" xfId="18641" xr:uid="{00000000-0005-0000-0000-0000830C0000}"/>
    <cellStyle name="Comma 4 6 2 2 2 5" xfId="6777" xr:uid="{00000000-0005-0000-0000-0000840C0000}"/>
    <cellStyle name="Comma 4 6 2 2 2 5 2" xfId="10099" xr:uid="{00000000-0005-0000-0000-0000850C0000}"/>
    <cellStyle name="Comma 4 6 2 2 2 5 2 2" xfId="17362" xr:uid="{00000000-0005-0000-0000-0000860C0000}"/>
    <cellStyle name="Comma 4 6 2 2 2 5 2 2 2" xfId="33677" xr:uid="{00000000-0005-0000-0000-0000870C0000}"/>
    <cellStyle name="Comma 4 6 2 2 2 5 2 3" xfId="26712" xr:uid="{00000000-0005-0000-0000-0000880C0000}"/>
    <cellStyle name="Comma 4 6 2 2 2 5 3" xfId="13442" xr:uid="{00000000-0005-0000-0000-0000890C0000}"/>
    <cellStyle name="Comma 4 6 2 2 2 5 3 2" xfId="30016" xr:uid="{00000000-0005-0000-0000-00008A0C0000}"/>
    <cellStyle name="Comma 4 6 2 2 2 5 4" xfId="14079" xr:uid="{00000000-0005-0000-0000-00008B0C0000}"/>
    <cellStyle name="Comma 4 6 2 2 2 5 4 2" xfId="30396" xr:uid="{00000000-0005-0000-0000-00008C0C0000}"/>
    <cellStyle name="Comma 4 6 2 2 2 5 5" xfId="13684" xr:uid="{00000000-0005-0000-0000-00008D0C0000}"/>
    <cellStyle name="Comma 4 6 2 2 2 5 6" xfId="23412" xr:uid="{00000000-0005-0000-0000-00008E0C0000}"/>
    <cellStyle name="Comma 4 6 2 2 2 6" xfId="7038" xr:uid="{00000000-0005-0000-0000-00008F0C0000}"/>
    <cellStyle name="Comma 4 6 2 2 2 6 2" xfId="14301" xr:uid="{00000000-0005-0000-0000-0000900C0000}"/>
    <cellStyle name="Comma 4 6 2 2 2 6 2 2" xfId="30616" xr:uid="{00000000-0005-0000-0000-0000910C0000}"/>
    <cellStyle name="Comma 4 6 2 2 2 6 3" xfId="23651" xr:uid="{00000000-0005-0000-0000-0000920C0000}"/>
    <cellStyle name="Comma 4 6 2 2 2 7" xfId="10352" xr:uid="{00000000-0005-0000-0000-0000930C0000}"/>
    <cellStyle name="Comma 4 6 2 2 2 7 2" xfId="26951" xr:uid="{00000000-0005-0000-0000-0000940C0000}"/>
    <cellStyle name="Comma 4 6 2 2 2 8" xfId="13778" xr:uid="{00000000-0005-0000-0000-0000950C0000}"/>
    <cellStyle name="Comma 4 6 2 2 2 8 2" xfId="30128" xr:uid="{00000000-0005-0000-0000-0000960C0000}"/>
    <cellStyle name="Comma 4 6 2 2 2 9" xfId="3514" xr:uid="{00000000-0005-0000-0000-0000970C0000}"/>
    <cellStyle name="Comma 4 6 2 2 2 9 2" xfId="20237" xr:uid="{00000000-0005-0000-0000-0000980C0000}"/>
    <cellStyle name="Comma 4 6 2 2 3" xfId="1083" xr:uid="{00000000-0005-0000-0000-0000990C0000}"/>
    <cellStyle name="Comma 4 6 2 2 4" xfId="1490" xr:uid="{00000000-0005-0000-0000-00009A0C0000}"/>
    <cellStyle name="Comma 4 6 2 2 4 10" xfId="18225" xr:uid="{00000000-0005-0000-0000-00009B0C0000}"/>
    <cellStyle name="Comma 4 6 2 2 4 2" xfId="1914" xr:uid="{00000000-0005-0000-0000-00009C0C0000}"/>
    <cellStyle name="Comma 4 6 2 2 4 2 2" xfId="6116" xr:uid="{00000000-0005-0000-0000-00009D0C0000}"/>
    <cellStyle name="Comma 4 6 2 2 4 2 2 2" xfId="9467" xr:uid="{00000000-0005-0000-0000-00009E0C0000}"/>
    <cellStyle name="Comma 4 6 2 2 4 2 2 2 2" xfId="16730" xr:uid="{00000000-0005-0000-0000-00009F0C0000}"/>
    <cellStyle name="Comma 4 6 2 2 4 2 2 2 2 2" xfId="33045" xr:uid="{00000000-0005-0000-0000-0000A00C0000}"/>
    <cellStyle name="Comma 4 6 2 2 4 2 2 2 3" xfId="26080" xr:uid="{00000000-0005-0000-0000-0000A10C0000}"/>
    <cellStyle name="Comma 4 6 2 2 4 2 2 3" xfId="12809" xr:uid="{00000000-0005-0000-0000-0000A20C0000}"/>
    <cellStyle name="Comma 4 6 2 2 4 2 2 3 2" xfId="29384" xr:uid="{00000000-0005-0000-0000-0000A30C0000}"/>
    <cellStyle name="Comma 4 6 2 2 4 2 2 4" xfId="14002" xr:uid="{00000000-0005-0000-0000-0000A40C0000}"/>
    <cellStyle name="Comma 4 6 2 2 4 2 2 4 2" xfId="30322" xr:uid="{00000000-0005-0000-0000-0000A50C0000}"/>
    <cellStyle name="Comma 4 6 2 2 4 2 2 5" xfId="11770" xr:uid="{00000000-0005-0000-0000-0000A60C0000}"/>
    <cellStyle name="Comma 4 6 2 2 4 2 2 6" xfId="22780" xr:uid="{00000000-0005-0000-0000-0000A70C0000}"/>
    <cellStyle name="Comma 4 6 2 2 4 2 3" xfId="7846" xr:uid="{00000000-0005-0000-0000-0000A80C0000}"/>
    <cellStyle name="Comma 4 6 2 2 4 2 3 2" xfId="15109" xr:uid="{00000000-0005-0000-0000-0000A90C0000}"/>
    <cellStyle name="Comma 4 6 2 2 4 2 3 2 2" xfId="31424" xr:uid="{00000000-0005-0000-0000-0000AA0C0000}"/>
    <cellStyle name="Comma 4 6 2 2 4 2 3 3" xfId="24459" xr:uid="{00000000-0005-0000-0000-0000AB0C0000}"/>
    <cellStyle name="Comma 4 6 2 2 4 2 4" xfId="11161" xr:uid="{00000000-0005-0000-0000-0000AC0C0000}"/>
    <cellStyle name="Comma 4 6 2 2 4 2 4 2" xfId="27759" xr:uid="{00000000-0005-0000-0000-0000AD0C0000}"/>
    <cellStyle name="Comma 4 6 2 2 4 2 5" xfId="13841" xr:uid="{00000000-0005-0000-0000-0000AE0C0000}"/>
    <cellStyle name="Comma 4 6 2 2 4 2 5 2" xfId="30188" xr:uid="{00000000-0005-0000-0000-0000AF0C0000}"/>
    <cellStyle name="Comma 4 6 2 2 4 2 6" xfId="10158" xr:uid="{00000000-0005-0000-0000-0000B00C0000}"/>
    <cellStyle name="Comma 4 6 2 2 4 2 7" xfId="3518" xr:uid="{00000000-0005-0000-0000-0000B10C0000}"/>
    <cellStyle name="Comma 4 6 2 2 4 2 7 2" xfId="20241" xr:uid="{00000000-0005-0000-0000-0000B20C0000}"/>
    <cellStyle name="Comma 4 6 2 2 4 2 8" xfId="18645" xr:uid="{00000000-0005-0000-0000-0000B30C0000}"/>
    <cellStyle name="Comma 4 6 2 2 4 3" xfId="1913" xr:uid="{00000000-0005-0000-0000-0000B40C0000}"/>
    <cellStyle name="Comma 4 6 2 2 4 3 2" xfId="9061" xr:uid="{00000000-0005-0000-0000-0000B50C0000}"/>
    <cellStyle name="Comma 4 6 2 2 4 3 2 2" xfId="16324" xr:uid="{00000000-0005-0000-0000-0000B60C0000}"/>
    <cellStyle name="Comma 4 6 2 2 4 3 2 2 2" xfId="32639" xr:uid="{00000000-0005-0000-0000-0000B70C0000}"/>
    <cellStyle name="Comma 4 6 2 2 4 3 2 3" xfId="25674" xr:uid="{00000000-0005-0000-0000-0000B80C0000}"/>
    <cellStyle name="Comma 4 6 2 2 4 3 3" xfId="12403" xr:uid="{00000000-0005-0000-0000-0000B90C0000}"/>
    <cellStyle name="Comma 4 6 2 2 4 3 3 2" xfId="28978" xr:uid="{00000000-0005-0000-0000-0000BA0C0000}"/>
    <cellStyle name="Comma 4 6 2 2 4 3 4" xfId="13963" xr:uid="{00000000-0005-0000-0000-0000BB0C0000}"/>
    <cellStyle name="Comma 4 6 2 2 4 3 4 2" xfId="30283" xr:uid="{00000000-0005-0000-0000-0000BC0C0000}"/>
    <cellStyle name="Comma 4 6 2 2 4 3 5" xfId="11778" xr:uid="{00000000-0005-0000-0000-0000BD0C0000}"/>
    <cellStyle name="Comma 4 6 2 2 4 3 6" xfId="5710" xr:uid="{00000000-0005-0000-0000-0000BE0C0000}"/>
    <cellStyle name="Comma 4 6 2 2 4 3 6 2" xfId="22374" xr:uid="{00000000-0005-0000-0000-0000BF0C0000}"/>
    <cellStyle name="Comma 4 6 2 2 4 3 7" xfId="18644" xr:uid="{00000000-0005-0000-0000-0000C00C0000}"/>
    <cellStyle name="Comma 4 6 2 2 4 4" xfId="6767" xr:uid="{00000000-0005-0000-0000-0000C10C0000}"/>
    <cellStyle name="Comma 4 6 2 2 4 4 2" xfId="10093" xr:uid="{00000000-0005-0000-0000-0000C20C0000}"/>
    <cellStyle name="Comma 4 6 2 2 4 4 2 2" xfId="17356" xr:uid="{00000000-0005-0000-0000-0000C30C0000}"/>
    <cellStyle name="Comma 4 6 2 2 4 4 2 2 2" xfId="33671" xr:uid="{00000000-0005-0000-0000-0000C40C0000}"/>
    <cellStyle name="Comma 4 6 2 2 4 4 2 3" xfId="26706" xr:uid="{00000000-0005-0000-0000-0000C50C0000}"/>
    <cellStyle name="Comma 4 6 2 2 4 4 3" xfId="13436" xr:uid="{00000000-0005-0000-0000-0000C60C0000}"/>
    <cellStyle name="Comma 4 6 2 2 4 4 3 2" xfId="30010" xr:uid="{00000000-0005-0000-0000-0000C70C0000}"/>
    <cellStyle name="Comma 4 6 2 2 4 4 4" xfId="14073" xr:uid="{00000000-0005-0000-0000-0000C80C0000}"/>
    <cellStyle name="Comma 4 6 2 2 4 4 4 2" xfId="30390" xr:uid="{00000000-0005-0000-0000-0000C90C0000}"/>
    <cellStyle name="Comma 4 6 2 2 4 4 5" xfId="13523" xr:uid="{00000000-0005-0000-0000-0000CA0C0000}"/>
    <cellStyle name="Comma 4 6 2 2 4 4 6" xfId="23406" xr:uid="{00000000-0005-0000-0000-0000CB0C0000}"/>
    <cellStyle name="Comma 4 6 2 2 4 5" xfId="6772" xr:uid="{00000000-0005-0000-0000-0000CC0C0000}"/>
    <cellStyle name="Comma 4 6 2 2 4 6" xfId="7440" xr:uid="{00000000-0005-0000-0000-0000CD0C0000}"/>
    <cellStyle name="Comma 4 6 2 2 4 6 2" xfId="14703" xr:uid="{00000000-0005-0000-0000-0000CE0C0000}"/>
    <cellStyle name="Comma 4 6 2 2 4 6 2 2" xfId="31018" xr:uid="{00000000-0005-0000-0000-0000CF0C0000}"/>
    <cellStyle name="Comma 4 6 2 2 4 6 3" xfId="24053" xr:uid="{00000000-0005-0000-0000-0000D00C0000}"/>
    <cellStyle name="Comma 4 6 2 2 4 7" xfId="10755" xr:uid="{00000000-0005-0000-0000-0000D10C0000}"/>
    <cellStyle name="Comma 4 6 2 2 4 7 2" xfId="27353" xr:uid="{00000000-0005-0000-0000-0000D20C0000}"/>
    <cellStyle name="Comma 4 6 2 2 4 8" xfId="13802" xr:uid="{00000000-0005-0000-0000-0000D30C0000}"/>
    <cellStyle name="Comma 4 6 2 2 4 8 2" xfId="30149" xr:uid="{00000000-0005-0000-0000-0000D40C0000}"/>
    <cellStyle name="Comma 4 6 2 2 4 9" xfId="3517" xr:uid="{00000000-0005-0000-0000-0000D50C0000}"/>
    <cellStyle name="Comma 4 6 2 2 4 9 2" xfId="20240" xr:uid="{00000000-0005-0000-0000-0000D60C0000}"/>
    <cellStyle name="Comma 4 6 2 2 5" xfId="1909" xr:uid="{00000000-0005-0000-0000-0000D70C0000}"/>
    <cellStyle name="Comma 4 6 2 2 5 2" xfId="8551" xr:uid="{00000000-0005-0000-0000-0000D80C0000}"/>
    <cellStyle name="Comma 4 6 2 2 5 2 2" xfId="15814" xr:uid="{00000000-0005-0000-0000-0000D90C0000}"/>
    <cellStyle name="Comma 4 6 2 2 5 2 2 2" xfId="32129" xr:uid="{00000000-0005-0000-0000-0000DA0C0000}"/>
    <cellStyle name="Comma 4 6 2 2 5 2 3" xfId="25164" xr:uid="{00000000-0005-0000-0000-0000DB0C0000}"/>
    <cellStyle name="Comma 4 6 2 2 5 3" xfId="11893" xr:uid="{00000000-0005-0000-0000-0000DC0C0000}"/>
    <cellStyle name="Comma 4 6 2 2 5 3 2" xfId="28468" xr:uid="{00000000-0005-0000-0000-0000DD0C0000}"/>
    <cellStyle name="Comma 4 6 2 2 5 4" xfId="13922" xr:uid="{00000000-0005-0000-0000-0000DE0C0000}"/>
    <cellStyle name="Comma 4 6 2 2 5 4 2" xfId="30242" xr:uid="{00000000-0005-0000-0000-0000DF0C0000}"/>
    <cellStyle name="Comma 4 6 2 2 5 5" xfId="13520" xr:uid="{00000000-0005-0000-0000-0000E00C0000}"/>
    <cellStyle name="Comma 4 6 2 2 5 6" xfId="5200" xr:uid="{00000000-0005-0000-0000-0000E10C0000}"/>
    <cellStyle name="Comma 4 6 2 2 5 6 2" xfId="21864" xr:uid="{00000000-0005-0000-0000-0000E20C0000}"/>
    <cellStyle name="Comma 4 6 2 2 5 7" xfId="18640" xr:uid="{00000000-0005-0000-0000-0000E30C0000}"/>
    <cellStyle name="Comma 4 6 2 2 6" xfId="6716" xr:uid="{00000000-0005-0000-0000-0000E40C0000}"/>
    <cellStyle name="Comma 4 6 2 2 6 2" xfId="10061" xr:uid="{00000000-0005-0000-0000-0000E50C0000}"/>
    <cellStyle name="Comma 4 6 2 2 6 2 2" xfId="17324" xr:uid="{00000000-0005-0000-0000-0000E60C0000}"/>
    <cellStyle name="Comma 4 6 2 2 6 2 2 2" xfId="33639" xr:uid="{00000000-0005-0000-0000-0000E70C0000}"/>
    <cellStyle name="Comma 4 6 2 2 6 2 3" xfId="26674" xr:uid="{00000000-0005-0000-0000-0000E80C0000}"/>
    <cellStyle name="Comma 4 6 2 2 6 3" xfId="13403" xr:uid="{00000000-0005-0000-0000-0000E90C0000}"/>
    <cellStyle name="Comma 4 6 2 2 6 3 2" xfId="29978" xr:uid="{00000000-0005-0000-0000-0000EA0C0000}"/>
    <cellStyle name="Comma 4 6 2 2 6 4" xfId="14039" xr:uid="{00000000-0005-0000-0000-0000EB0C0000}"/>
    <cellStyle name="Comma 4 6 2 2 6 4 2" xfId="30358" xr:uid="{00000000-0005-0000-0000-0000EC0C0000}"/>
    <cellStyle name="Comma 4 6 2 2 6 5" xfId="13687" xr:uid="{00000000-0005-0000-0000-0000ED0C0000}"/>
    <cellStyle name="Comma 4 6 2 2 6 6" xfId="23374" xr:uid="{00000000-0005-0000-0000-0000EE0C0000}"/>
    <cellStyle name="Comma 4 6 2 2 7" xfId="6932" xr:uid="{00000000-0005-0000-0000-0000EF0C0000}"/>
    <cellStyle name="Comma 4 6 2 2 7 2" xfId="14195" xr:uid="{00000000-0005-0000-0000-0000F00C0000}"/>
    <cellStyle name="Comma 4 6 2 2 7 2 2" xfId="30510" xr:uid="{00000000-0005-0000-0000-0000F10C0000}"/>
    <cellStyle name="Comma 4 6 2 2 7 3" xfId="23545" xr:uid="{00000000-0005-0000-0000-0000F20C0000}"/>
    <cellStyle name="Comma 4 6 2 2 8" xfId="10246" xr:uid="{00000000-0005-0000-0000-0000F30C0000}"/>
    <cellStyle name="Comma 4 6 2 2 8 2" xfId="26845" xr:uid="{00000000-0005-0000-0000-0000F40C0000}"/>
    <cellStyle name="Comma 4 6 2 2 9" xfId="13760" xr:uid="{00000000-0005-0000-0000-0000F50C0000}"/>
    <cellStyle name="Comma 4 6 2 2 9 2" xfId="30110" xr:uid="{00000000-0005-0000-0000-0000F60C0000}"/>
    <cellStyle name="Comma 4 6 2 3" xfId="982" xr:uid="{00000000-0005-0000-0000-0000F70C0000}"/>
    <cellStyle name="Comma 4 6 2 3 10" xfId="17759" xr:uid="{00000000-0005-0000-0000-0000F80C0000}"/>
    <cellStyle name="Comma 4 6 2 3 2" xfId="1085" xr:uid="{00000000-0005-0000-0000-0000F90C0000}"/>
    <cellStyle name="Comma 4 6 2 3 3" xfId="1543" xr:uid="{00000000-0005-0000-0000-0000FA0C0000}"/>
    <cellStyle name="Comma 4 6 2 3 3 10" xfId="18278" xr:uid="{00000000-0005-0000-0000-0000FB0C0000}"/>
    <cellStyle name="Comma 4 6 2 3 3 2" xfId="1917" xr:uid="{00000000-0005-0000-0000-0000FC0C0000}"/>
    <cellStyle name="Comma 4 6 2 3 3 2 2" xfId="6125" xr:uid="{00000000-0005-0000-0000-0000FD0C0000}"/>
    <cellStyle name="Comma 4 6 2 3 3 2 2 2" xfId="9476" xr:uid="{00000000-0005-0000-0000-0000FE0C0000}"/>
    <cellStyle name="Comma 4 6 2 3 3 2 2 2 2" xfId="16739" xr:uid="{00000000-0005-0000-0000-0000FF0C0000}"/>
    <cellStyle name="Comma 4 6 2 3 3 2 2 2 2 2" xfId="33054" xr:uid="{00000000-0005-0000-0000-0000000D0000}"/>
    <cellStyle name="Comma 4 6 2 3 3 2 2 2 3" xfId="26089" xr:uid="{00000000-0005-0000-0000-0000010D0000}"/>
    <cellStyle name="Comma 4 6 2 3 3 2 2 3" xfId="12818" xr:uid="{00000000-0005-0000-0000-0000020D0000}"/>
    <cellStyle name="Comma 4 6 2 3 3 2 2 3 2" xfId="29393" xr:uid="{00000000-0005-0000-0000-0000030D0000}"/>
    <cellStyle name="Comma 4 6 2 3 3 2 2 4" xfId="14011" xr:uid="{00000000-0005-0000-0000-0000040D0000}"/>
    <cellStyle name="Comma 4 6 2 3 3 2 2 4 2" xfId="30331" xr:uid="{00000000-0005-0000-0000-0000050D0000}"/>
    <cellStyle name="Comma 4 6 2 3 3 2 2 5" xfId="13538" xr:uid="{00000000-0005-0000-0000-0000060D0000}"/>
    <cellStyle name="Comma 4 6 2 3 3 2 2 6" xfId="22789" xr:uid="{00000000-0005-0000-0000-0000070D0000}"/>
    <cellStyle name="Comma 4 6 2 3 3 2 3" xfId="7855" xr:uid="{00000000-0005-0000-0000-0000080D0000}"/>
    <cellStyle name="Comma 4 6 2 3 3 2 3 2" xfId="15118" xr:uid="{00000000-0005-0000-0000-0000090D0000}"/>
    <cellStyle name="Comma 4 6 2 3 3 2 3 2 2" xfId="31433" xr:uid="{00000000-0005-0000-0000-00000A0D0000}"/>
    <cellStyle name="Comma 4 6 2 3 3 2 3 3" xfId="24468" xr:uid="{00000000-0005-0000-0000-00000B0D0000}"/>
    <cellStyle name="Comma 4 6 2 3 3 2 4" xfId="11170" xr:uid="{00000000-0005-0000-0000-00000C0D0000}"/>
    <cellStyle name="Comma 4 6 2 3 3 2 4 2" xfId="27768" xr:uid="{00000000-0005-0000-0000-00000D0D0000}"/>
    <cellStyle name="Comma 4 6 2 3 3 2 5" xfId="13850" xr:uid="{00000000-0005-0000-0000-00000E0D0000}"/>
    <cellStyle name="Comma 4 6 2 3 3 2 5 2" xfId="30197" xr:uid="{00000000-0005-0000-0000-00000F0D0000}"/>
    <cellStyle name="Comma 4 6 2 3 3 2 6" xfId="13676" xr:uid="{00000000-0005-0000-0000-0000100D0000}"/>
    <cellStyle name="Comma 4 6 2 3 3 2 7" xfId="3521" xr:uid="{00000000-0005-0000-0000-0000110D0000}"/>
    <cellStyle name="Comma 4 6 2 3 3 2 7 2" xfId="20244" xr:uid="{00000000-0005-0000-0000-0000120D0000}"/>
    <cellStyle name="Comma 4 6 2 3 3 2 8" xfId="18648" xr:uid="{00000000-0005-0000-0000-0000130D0000}"/>
    <cellStyle name="Comma 4 6 2 3 3 3" xfId="1916" xr:uid="{00000000-0005-0000-0000-0000140D0000}"/>
    <cellStyle name="Comma 4 6 2 3 3 3 2" xfId="9070" xr:uid="{00000000-0005-0000-0000-0000150D0000}"/>
    <cellStyle name="Comma 4 6 2 3 3 3 2 2" xfId="16333" xr:uid="{00000000-0005-0000-0000-0000160D0000}"/>
    <cellStyle name="Comma 4 6 2 3 3 3 2 2 2" xfId="32648" xr:uid="{00000000-0005-0000-0000-0000170D0000}"/>
    <cellStyle name="Comma 4 6 2 3 3 3 2 3" xfId="25683" xr:uid="{00000000-0005-0000-0000-0000180D0000}"/>
    <cellStyle name="Comma 4 6 2 3 3 3 3" xfId="12412" xr:uid="{00000000-0005-0000-0000-0000190D0000}"/>
    <cellStyle name="Comma 4 6 2 3 3 3 3 2" xfId="28987" xr:uid="{00000000-0005-0000-0000-00001A0D0000}"/>
    <cellStyle name="Comma 4 6 2 3 3 3 4" xfId="13972" xr:uid="{00000000-0005-0000-0000-00001B0D0000}"/>
    <cellStyle name="Comma 4 6 2 3 3 3 4 2" xfId="30292" xr:uid="{00000000-0005-0000-0000-00001C0D0000}"/>
    <cellStyle name="Comma 4 6 2 3 3 3 5" xfId="13530" xr:uid="{00000000-0005-0000-0000-00001D0D0000}"/>
    <cellStyle name="Comma 4 6 2 3 3 3 6" xfId="5719" xr:uid="{00000000-0005-0000-0000-00001E0D0000}"/>
    <cellStyle name="Comma 4 6 2 3 3 3 6 2" xfId="22383" xr:uid="{00000000-0005-0000-0000-00001F0D0000}"/>
    <cellStyle name="Comma 4 6 2 3 3 3 7" xfId="18647" xr:uid="{00000000-0005-0000-0000-0000200D0000}"/>
    <cellStyle name="Comma 4 6 2 3 3 4" xfId="5127" xr:uid="{00000000-0005-0000-0000-0000210D0000}"/>
    <cellStyle name="Comma 4 6 2 3 3 4 2" xfId="8480" xr:uid="{00000000-0005-0000-0000-0000220D0000}"/>
    <cellStyle name="Comma 4 6 2 3 3 4 2 2" xfId="15743" xr:uid="{00000000-0005-0000-0000-0000230D0000}"/>
    <cellStyle name="Comma 4 6 2 3 3 4 2 2 2" xfId="32058" xr:uid="{00000000-0005-0000-0000-0000240D0000}"/>
    <cellStyle name="Comma 4 6 2 3 3 4 2 3" xfId="25093" xr:uid="{00000000-0005-0000-0000-0000250D0000}"/>
    <cellStyle name="Comma 4 6 2 3 3 4 3" xfId="11821" xr:uid="{00000000-0005-0000-0000-0000260D0000}"/>
    <cellStyle name="Comma 4 6 2 3 3 4 3 2" xfId="28397" xr:uid="{00000000-0005-0000-0000-0000270D0000}"/>
    <cellStyle name="Comma 4 6 2 3 3 4 4" xfId="13909" xr:uid="{00000000-0005-0000-0000-0000280D0000}"/>
    <cellStyle name="Comma 4 6 2 3 3 4 4 2" xfId="30230" xr:uid="{00000000-0005-0000-0000-0000290D0000}"/>
    <cellStyle name="Comma 4 6 2 3 3 4 5" xfId="13702" xr:uid="{00000000-0005-0000-0000-00002A0D0000}"/>
    <cellStyle name="Comma 4 6 2 3 3 4 6" xfId="21793" xr:uid="{00000000-0005-0000-0000-00002B0D0000}"/>
    <cellStyle name="Comma 4 6 2 3 3 5" xfId="6703" xr:uid="{00000000-0005-0000-0000-00002C0D0000}"/>
    <cellStyle name="Comma 4 6 2 3 3 6" xfId="7449" xr:uid="{00000000-0005-0000-0000-00002D0D0000}"/>
    <cellStyle name="Comma 4 6 2 3 3 6 2" xfId="14712" xr:uid="{00000000-0005-0000-0000-00002E0D0000}"/>
    <cellStyle name="Comma 4 6 2 3 3 6 2 2" xfId="31027" xr:uid="{00000000-0005-0000-0000-00002F0D0000}"/>
    <cellStyle name="Comma 4 6 2 3 3 6 3" xfId="24062" xr:uid="{00000000-0005-0000-0000-0000300D0000}"/>
    <cellStyle name="Comma 4 6 2 3 3 7" xfId="10764" xr:uid="{00000000-0005-0000-0000-0000310D0000}"/>
    <cellStyle name="Comma 4 6 2 3 3 7 2" xfId="27362" xr:uid="{00000000-0005-0000-0000-0000320D0000}"/>
    <cellStyle name="Comma 4 6 2 3 3 8" xfId="13811" xr:uid="{00000000-0005-0000-0000-0000330D0000}"/>
    <cellStyle name="Comma 4 6 2 3 3 8 2" xfId="30158" xr:uid="{00000000-0005-0000-0000-0000340D0000}"/>
    <cellStyle name="Comma 4 6 2 3 3 9" xfId="3520" xr:uid="{00000000-0005-0000-0000-0000350D0000}"/>
    <cellStyle name="Comma 4 6 2 3 3 9 2" xfId="20243" xr:uid="{00000000-0005-0000-0000-0000360D0000}"/>
    <cellStyle name="Comma 4 6 2 3 4" xfId="1915" xr:uid="{00000000-0005-0000-0000-0000370D0000}"/>
    <cellStyle name="Comma 4 6 2 3 4 2" xfId="8604" xr:uid="{00000000-0005-0000-0000-0000380D0000}"/>
    <cellStyle name="Comma 4 6 2 3 4 2 2" xfId="15867" xr:uid="{00000000-0005-0000-0000-0000390D0000}"/>
    <cellStyle name="Comma 4 6 2 3 4 2 2 2" xfId="32182" xr:uid="{00000000-0005-0000-0000-00003A0D0000}"/>
    <cellStyle name="Comma 4 6 2 3 4 2 3" xfId="25217" xr:uid="{00000000-0005-0000-0000-00003B0D0000}"/>
    <cellStyle name="Comma 4 6 2 3 4 3" xfId="11946" xr:uid="{00000000-0005-0000-0000-00003C0D0000}"/>
    <cellStyle name="Comma 4 6 2 3 4 3 2" xfId="28521" xr:uid="{00000000-0005-0000-0000-00003D0D0000}"/>
    <cellStyle name="Comma 4 6 2 3 4 4" xfId="13931" xr:uid="{00000000-0005-0000-0000-00003E0D0000}"/>
    <cellStyle name="Comma 4 6 2 3 4 4 2" xfId="30251" xr:uid="{00000000-0005-0000-0000-00003F0D0000}"/>
    <cellStyle name="Comma 4 6 2 3 4 5" xfId="13529" xr:uid="{00000000-0005-0000-0000-0000400D0000}"/>
    <cellStyle name="Comma 4 6 2 3 4 6" xfId="5253" xr:uid="{00000000-0005-0000-0000-0000410D0000}"/>
    <cellStyle name="Comma 4 6 2 3 4 6 2" xfId="21917" xr:uid="{00000000-0005-0000-0000-0000420D0000}"/>
    <cellStyle name="Comma 4 6 2 3 4 7" xfId="18646" xr:uid="{00000000-0005-0000-0000-0000430D0000}"/>
    <cellStyle name="Comma 4 6 2 3 5" xfId="6793" xr:uid="{00000000-0005-0000-0000-0000440D0000}"/>
    <cellStyle name="Comma 4 6 2 3 5 2" xfId="10109" xr:uid="{00000000-0005-0000-0000-0000450D0000}"/>
    <cellStyle name="Comma 4 6 2 3 5 2 2" xfId="17372" xr:uid="{00000000-0005-0000-0000-0000460D0000}"/>
    <cellStyle name="Comma 4 6 2 3 5 2 2 2" xfId="33687" xr:uid="{00000000-0005-0000-0000-0000470D0000}"/>
    <cellStyle name="Comma 4 6 2 3 5 2 3" xfId="26722" xr:uid="{00000000-0005-0000-0000-0000480D0000}"/>
    <cellStyle name="Comma 4 6 2 3 5 3" xfId="13453" xr:uid="{00000000-0005-0000-0000-0000490D0000}"/>
    <cellStyle name="Comma 4 6 2 3 5 3 2" xfId="30026" xr:uid="{00000000-0005-0000-0000-00004A0D0000}"/>
    <cellStyle name="Comma 4 6 2 3 5 4" xfId="14089" xr:uid="{00000000-0005-0000-0000-00004B0D0000}"/>
    <cellStyle name="Comma 4 6 2 3 5 4 2" xfId="30406" xr:uid="{00000000-0005-0000-0000-00004C0D0000}"/>
    <cellStyle name="Comma 4 6 2 3 5 5" xfId="13507" xr:uid="{00000000-0005-0000-0000-00004D0D0000}"/>
    <cellStyle name="Comma 4 6 2 3 5 6" xfId="23422" xr:uid="{00000000-0005-0000-0000-00004E0D0000}"/>
    <cellStyle name="Comma 4 6 2 3 6" xfId="6985" xr:uid="{00000000-0005-0000-0000-00004F0D0000}"/>
    <cellStyle name="Comma 4 6 2 3 6 2" xfId="14248" xr:uid="{00000000-0005-0000-0000-0000500D0000}"/>
    <cellStyle name="Comma 4 6 2 3 6 2 2" xfId="30563" xr:uid="{00000000-0005-0000-0000-0000510D0000}"/>
    <cellStyle name="Comma 4 6 2 3 6 3" xfId="23598" xr:uid="{00000000-0005-0000-0000-0000520D0000}"/>
    <cellStyle name="Comma 4 6 2 3 7" xfId="10299" xr:uid="{00000000-0005-0000-0000-0000530D0000}"/>
    <cellStyle name="Comma 4 6 2 3 7 2" xfId="26898" xr:uid="{00000000-0005-0000-0000-0000540D0000}"/>
    <cellStyle name="Comma 4 6 2 3 8" xfId="13769" xr:uid="{00000000-0005-0000-0000-0000550D0000}"/>
    <cellStyle name="Comma 4 6 2 3 8 2" xfId="30119" xr:uid="{00000000-0005-0000-0000-0000560D0000}"/>
    <cellStyle name="Comma 4 6 2 3 9" xfId="3519" xr:uid="{00000000-0005-0000-0000-0000570D0000}"/>
    <cellStyle name="Comma 4 6 2 3 9 2" xfId="20242" xr:uid="{00000000-0005-0000-0000-0000580D0000}"/>
    <cellStyle name="Comma 4 6 2 4" xfId="1082" xr:uid="{00000000-0005-0000-0000-0000590D0000}"/>
    <cellStyle name="Comma 4 6 2 5" xfId="1410" xr:uid="{00000000-0005-0000-0000-00005A0D0000}"/>
    <cellStyle name="Comma 4 6 2 5 10" xfId="18145" xr:uid="{00000000-0005-0000-0000-00005B0D0000}"/>
    <cellStyle name="Comma 4 6 2 5 2" xfId="1919" xr:uid="{00000000-0005-0000-0000-00005C0D0000}"/>
    <cellStyle name="Comma 4 6 2 5 2 2" xfId="6107" xr:uid="{00000000-0005-0000-0000-00005D0D0000}"/>
    <cellStyle name="Comma 4 6 2 5 2 2 2" xfId="9458" xr:uid="{00000000-0005-0000-0000-00005E0D0000}"/>
    <cellStyle name="Comma 4 6 2 5 2 2 2 2" xfId="16721" xr:uid="{00000000-0005-0000-0000-00005F0D0000}"/>
    <cellStyle name="Comma 4 6 2 5 2 2 2 2 2" xfId="33036" xr:uid="{00000000-0005-0000-0000-0000600D0000}"/>
    <cellStyle name="Comma 4 6 2 5 2 2 2 3" xfId="26071" xr:uid="{00000000-0005-0000-0000-0000610D0000}"/>
    <cellStyle name="Comma 4 6 2 5 2 2 3" xfId="12800" xr:uid="{00000000-0005-0000-0000-0000620D0000}"/>
    <cellStyle name="Comma 4 6 2 5 2 2 3 2" xfId="29375" xr:uid="{00000000-0005-0000-0000-0000630D0000}"/>
    <cellStyle name="Comma 4 6 2 5 2 2 4" xfId="13993" xr:uid="{00000000-0005-0000-0000-0000640D0000}"/>
    <cellStyle name="Comma 4 6 2 5 2 2 4 2" xfId="30313" xr:uid="{00000000-0005-0000-0000-0000650D0000}"/>
    <cellStyle name="Comma 4 6 2 5 2 2 5" xfId="13550" xr:uid="{00000000-0005-0000-0000-0000660D0000}"/>
    <cellStyle name="Comma 4 6 2 5 2 2 6" xfId="22771" xr:uid="{00000000-0005-0000-0000-0000670D0000}"/>
    <cellStyle name="Comma 4 6 2 5 2 3" xfId="7837" xr:uid="{00000000-0005-0000-0000-0000680D0000}"/>
    <cellStyle name="Comma 4 6 2 5 2 3 2" xfId="15100" xr:uid="{00000000-0005-0000-0000-0000690D0000}"/>
    <cellStyle name="Comma 4 6 2 5 2 3 2 2" xfId="31415" xr:uid="{00000000-0005-0000-0000-00006A0D0000}"/>
    <cellStyle name="Comma 4 6 2 5 2 3 3" xfId="24450" xr:uid="{00000000-0005-0000-0000-00006B0D0000}"/>
    <cellStyle name="Comma 4 6 2 5 2 4" xfId="11152" xr:uid="{00000000-0005-0000-0000-00006C0D0000}"/>
    <cellStyle name="Comma 4 6 2 5 2 4 2" xfId="27750" xr:uid="{00000000-0005-0000-0000-00006D0D0000}"/>
    <cellStyle name="Comma 4 6 2 5 2 5" xfId="13832" xr:uid="{00000000-0005-0000-0000-00006E0D0000}"/>
    <cellStyle name="Comma 4 6 2 5 2 5 2" xfId="30179" xr:uid="{00000000-0005-0000-0000-00006F0D0000}"/>
    <cellStyle name="Comma 4 6 2 5 2 6" xfId="13664" xr:uid="{00000000-0005-0000-0000-0000700D0000}"/>
    <cellStyle name="Comma 4 6 2 5 2 7" xfId="3523" xr:uid="{00000000-0005-0000-0000-0000710D0000}"/>
    <cellStyle name="Comma 4 6 2 5 2 7 2" xfId="20246" xr:uid="{00000000-0005-0000-0000-0000720D0000}"/>
    <cellStyle name="Comma 4 6 2 5 2 8" xfId="18650" xr:uid="{00000000-0005-0000-0000-0000730D0000}"/>
    <cellStyle name="Comma 4 6 2 5 3" xfId="1918" xr:uid="{00000000-0005-0000-0000-0000740D0000}"/>
    <cellStyle name="Comma 4 6 2 5 3 2" xfId="9052" xr:uid="{00000000-0005-0000-0000-0000750D0000}"/>
    <cellStyle name="Comma 4 6 2 5 3 2 2" xfId="16315" xr:uid="{00000000-0005-0000-0000-0000760D0000}"/>
    <cellStyle name="Comma 4 6 2 5 3 2 2 2" xfId="32630" xr:uid="{00000000-0005-0000-0000-0000770D0000}"/>
    <cellStyle name="Comma 4 6 2 5 3 2 3" xfId="25665" xr:uid="{00000000-0005-0000-0000-0000780D0000}"/>
    <cellStyle name="Comma 4 6 2 5 3 3" xfId="12394" xr:uid="{00000000-0005-0000-0000-0000790D0000}"/>
    <cellStyle name="Comma 4 6 2 5 3 3 2" xfId="28969" xr:uid="{00000000-0005-0000-0000-00007A0D0000}"/>
    <cellStyle name="Comma 4 6 2 5 3 4" xfId="13954" xr:uid="{00000000-0005-0000-0000-00007B0D0000}"/>
    <cellStyle name="Comma 4 6 2 5 3 4 2" xfId="30274" xr:uid="{00000000-0005-0000-0000-00007C0D0000}"/>
    <cellStyle name="Comma 4 6 2 5 3 5" xfId="13701" xr:uid="{00000000-0005-0000-0000-00007D0D0000}"/>
    <cellStyle name="Comma 4 6 2 5 3 6" xfId="5701" xr:uid="{00000000-0005-0000-0000-00007E0D0000}"/>
    <cellStyle name="Comma 4 6 2 5 3 6 2" xfId="22365" xr:uid="{00000000-0005-0000-0000-00007F0D0000}"/>
    <cellStyle name="Comma 4 6 2 5 3 7" xfId="18649" xr:uid="{00000000-0005-0000-0000-0000800D0000}"/>
    <cellStyle name="Comma 4 6 2 5 4" xfId="6755" xr:uid="{00000000-0005-0000-0000-0000810D0000}"/>
    <cellStyle name="Comma 4 6 2 5 4 2" xfId="10086" xr:uid="{00000000-0005-0000-0000-0000820D0000}"/>
    <cellStyle name="Comma 4 6 2 5 4 2 2" xfId="17349" xr:uid="{00000000-0005-0000-0000-0000830D0000}"/>
    <cellStyle name="Comma 4 6 2 5 4 2 2 2" xfId="33664" xr:uid="{00000000-0005-0000-0000-0000840D0000}"/>
    <cellStyle name="Comma 4 6 2 5 4 2 3" xfId="26699" xr:uid="{00000000-0005-0000-0000-0000850D0000}"/>
    <cellStyle name="Comma 4 6 2 5 4 3" xfId="13429" xr:uid="{00000000-0005-0000-0000-0000860D0000}"/>
    <cellStyle name="Comma 4 6 2 5 4 3 2" xfId="30003" xr:uid="{00000000-0005-0000-0000-0000870D0000}"/>
    <cellStyle name="Comma 4 6 2 5 4 4" xfId="14065" xr:uid="{00000000-0005-0000-0000-0000880D0000}"/>
    <cellStyle name="Comma 4 6 2 5 4 4 2" xfId="30383" xr:uid="{00000000-0005-0000-0000-0000890D0000}"/>
    <cellStyle name="Comma 4 6 2 5 4 5" xfId="13496" xr:uid="{00000000-0005-0000-0000-00008A0D0000}"/>
    <cellStyle name="Comma 4 6 2 5 4 6" xfId="23399" xr:uid="{00000000-0005-0000-0000-00008B0D0000}"/>
    <cellStyle name="Comma 4 6 2 5 5" xfId="6782" xr:uid="{00000000-0005-0000-0000-00008C0D0000}"/>
    <cellStyle name="Comma 4 6 2 5 6" xfId="7431" xr:uid="{00000000-0005-0000-0000-00008D0D0000}"/>
    <cellStyle name="Comma 4 6 2 5 6 2" xfId="14694" xr:uid="{00000000-0005-0000-0000-00008E0D0000}"/>
    <cellStyle name="Comma 4 6 2 5 6 2 2" xfId="31009" xr:uid="{00000000-0005-0000-0000-00008F0D0000}"/>
    <cellStyle name="Comma 4 6 2 5 6 3" xfId="24044" xr:uid="{00000000-0005-0000-0000-0000900D0000}"/>
    <cellStyle name="Comma 4 6 2 5 7" xfId="10746" xr:uid="{00000000-0005-0000-0000-0000910D0000}"/>
    <cellStyle name="Comma 4 6 2 5 7 2" xfId="27344" xr:uid="{00000000-0005-0000-0000-0000920D0000}"/>
    <cellStyle name="Comma 4 6 2 5 8" xfId="13793" xr:uid="{00000000-0005-0000-0000-0000930D0000}"/>
    <cellStyle name="Comma 4 6 2 5 8 2" xfId="30140" xr:uid="{00000000-0005-0000-0000-0000940D0000}"/>
    <cellStyle name="Comma 4 6 2 5 9" xfId="3522" xr:uid="{00000000-0005-0000-0000-0000950D0000}"/>
    <cellStyle name="Comma 4 6 2 5 9 2" xfId="20245" xr:uid="{00000000-0005-0000-0000-0000960D0000}"/>
    <cellStyle name="Comma 4 6 2 6" xfId="1908" xr:uid="{00000000-0005-0000-0000-0000970D0000}"/>
    <cellStyle name="Comma 4 6 2 6 2" xfId="8498" xr:uid="{00000000-0005-0000-0000-0000980D0000}"/>
    <cellStyle name="Comma 4 6 2 6 2 2" xfId="15761" xr:uid="{00000000-0005-0000-0000-0000990D0000}"/>
    <cellStyle name="Comma 4 6 2 6 2 2 2" xfId="32076" xr:uid="{00000000-0005-0000-0000-00009A0D0000}"/>
    <cellStyle name="Comma 4 6 2 6 2 3" xfId="25111" xr:uid="{00000000-0005-0000-0000-00009B0D0000}"/>
    <cellStyle name="Comma 4 6 2 6 3" xfId="11840" xr:uid="{00000000-0005-0000-0000-00009C0D0000}"/>
    <cellStyle name="Comma 4 6 2 6 3 2" xfId="28415" xr:uid="{00000000-0005-0000-0000-00009D0D0000}"/>
    <cellStyle name="Comma 4 6 2 6 4" xfId="13913" xr:uid="{00000000-0005-0000-0000-00009E0D0000}"/>
    <cellStyle name="Comma 4 6 2 6 4 2" xfId="30233" xr:uid="{00000000-0005-0000-0000-00009F0D0000}"/>
    <cellStyle name="Comma 4 6 2 6 5" xfId="13586" xr:uid="{00000000-0005-0000-0000-0000A00D0000}"/>
    <cellStyle name="Comma 4 6 2 6 6" xfId="5147" xr:uid="{00000000-0005-0000-0000-0000A10D0000}"/>
    <cellStyle name="Comma 4 6 2 6 6 2" xfId="21811" xr:uid="{00000000-0005-0000-0000-0000A20D0000}"/>
    <cellStyle name="Comma 4 6 2 6 7" xfId="18639" xr:uid="{00000000-0005-0000-0000-0000A30D0000}"/>
    <cellStyle name="Comma 4 6 2 7" xfId="5098" xr:uid="{00000000-0005-0000-0000-0000A40D0000}"/>
    <cellStyle name="Comma 4 6 2 7 2" xfId="8456" xr:uid="{00000000-0005-0000-0000-0000A50D0000}"/>
    <cellStyle name="Comma 4 6 2 7 2 2" xfId="15719" xr:uid="{00000000-0005-0000-0000-0000A60D0000}"/>
    <cellStyle name="Comma 4 6 2 7 2 2 2" xfId="32034" xr:uid="{00000000-0005-0000-0000-0000A70D0000}"/>
    <cellStyle name="Comma 4 6 2 7 2 3" xfId="25069" xr:uid="{00000000-0005-0000-0000-0000A80D0000}"/>
    <cellStyle name="Comma 4 6 2 7 3" xfId="11797" xr:uid="{00000000-0005-0000-0000-0000A90D0000}"/>
    <cellStyle name="Comma 4 6 2 7 3 2" xfId="28373" xr:uid="{00000000-0005-0000-0000-0000AA0D0000}"/>
    <cellStyle name="Comma 4 6 2 7 4" xfId="13899" xr:uid="{00000000-0005-0000-0000-0000AB0D0000}"/>
    <cellStyle name="Comma 4 6 2 7 4 2" xfId="30220" xr:uid="{00000000-0005-0000-0000-0000AC0D0000}"/>
    <cellStyle name="Comma 4 6 2 7 5" xfId="13580" xr:uid="{00000000-0005-0000-0000-0000AD0D0000}"/>
    <cellStyle name="Comma 4 6 2 7 6" xfId="21769" xr:uid="{00000000-0005-0000-0000-0000AE0D0000}"/>
    <cellStyle name="Comma 4 6 2 8" xfId="6879" xr:uid="{00000000-0005-0000-0000-0000AF0D0000}"/>
    <cellStyle name="Comma 4 6 2 8 2" xfId="14142" xr:uid="{00000000-0005-0000-0000-0000B00D0000}"/>
    <cellStyle name="Comma 4 6 2 8 2 2" xfId="30457" xr:uid="{00000000-0005-0000-0000-0000B10D0000}"/>
    <cellStyle name="Comma 4 6 2 8 3" xfId="23492" xr:uid="{00000000-0005-0000-0000-0000B20D0000}"/>
    <cellStyle name="Comma 4 6 2 9" xfId="10193" xr:uid="{00000000-0005-0000-0000-0000B30D0000}"/>
    <cellStyle name="Comma 4 6 2 9 2" xfId="26792" xr:uid="{00000000-0005-0000-0000-0000B40D0000}"/>
    <cellStyle name="Comma 4 6 3" xfId="896" xr:uid="{00000000-0005-0000-0000-0000B50D0000}"/>
    <cellStyle name="Comma 4 6 3 10" xfId="3524" xr:uid="{00000000-0005-0000-0000-0000B60D0000}"/>
    <cellStyle name="Comma 4 6 3 10 2" xfId="20247" xr:uid="{00000000-0005-0000-0000-0000B70D0000}"/>
    <cellStyle name="Comma 4 6 3 11" xfId="17674" xr:uid="{00000000-0005-0000-0000-0000B80D0000}"/>
    <cellStyle name="Comma 4 6 3 2" xfId="1003" xr:uid="{00000000-0005-0000-0000-0000B90D0000}"/>
    <cellStyle name="Comma 4 6 3 2 10" xfId="17780" xr:uid="{00000000-0005-0000-0000-0000BA0D0000}"/>
    <cellStyle name="Comma 4 6 3 2 2" xfId="1087" xr:uid="{00000000-0005-0000-0000-0000BB0D0000}"/>
    <cellStyle name="Comma 4 6 3 2 3" xfId="1564" xr:uid="{00000000-0005-0000-0000-0000BC0D0000}"/>
    <cellStyle name="Comma 4 6 3 2 3 10" xfId="18299" xr:uid="{00000000-0005-0000-0000-0000BD0D0000}"/>
    <cellStyle name="Comma 4 6 3 2 3 2" xfId="1923" xr:uid="{00000000-0005-0000-0000-0000BE0D0000}"/>
    <cellStyle name="Comma 4 6 3 2 3 2 2" xfId="6131" xr:uid="{00000000-0005-0000-0000-0000BF0D0000}"/>
    <cellStyle name="Comma 4 6 3 2 3 2 2 2" xfId="9482" xr:uid="{00000000-0005-0000-0000-0000C00D0000}"/>
    <cellStyle name="Comma 4 6 3 2 3 2 2 2 2" xfId="16745" xr:uid="{00000000-0005-0000-0000-0000C10D0000}"/>
    <cellStyle name="Comma 4 6 3 2 3 2 2 2 2 2" xfId="33060" xr:uid="{00000000-0005-0000-0000-0000C20D0000}"/>
    <cellStyle name="Comma 4 6 3 2 3 2 2 2 3" xfId="26095" xr:uid="{00000000-0005-0000-0000-0000C30D0000}"/>
    <cellStyle name="Comma 4 6 3 2 3 2 2 3" xfId="12824" xr:uid="{00000000-0005-0000-0000-0000C40D0000}"/>
    <cellStyle name="Comma 4 6 3 2 3 2 2 3 2" xfId="29399" xr:uid="{00000000-0005-0000-0000-0000C50D0000}"/>
    <cellStyle name="Comma 4 6 3 2 3 2 2 4" xfId="14017" xr:uid="{00000000-0005-0000-0000-0000C60D0000}"/>
    <cellStyle name="Comma 4 6 3 2 3 2 2 4 2" xfId="30337" xr:uid="{00000000-0005-0000-0000-0000C70D0000}"/>
    <cellStyle name="Comma 4 6 3 2 3 2 2 5" xfId="13543" xr:uid="{00000000-0005-0000-0000-0000C80D0000}"/>
    <cellStyle name="Comma 4 6 3 2 3 2 2 6" xfId="22795" xr:uid="{00000000-0005-0000-0000-0000C90D0000}"/>
    <cellStyle name="Comma 4 6 3 2 3 2 3" xfId="7861" xr:uid="{00000000-0005-0000-0000-0000CA0D0000}"/>
    <cellStyle name="Comma 4 6 3 2 3 2 3 2" xfId="15124" xr:uid="{00000000-0005-0000-0000-0000CB0D0000}"/>
    <cellStyle name="Comma 4 6 3 2 3 2 3 2 2" xfId="31439" xr:uid="{00000000-0005-0000-0000-0000CC0D0000}"/>
    <cellStyle name="Comma 4 6 3 2 3 2 3 3" xfId="24474" xr:uid="{00000000-0005-0000-0000-0000CD0D0000}"/>
    <cellStyle name="Comma 4 6 3 2 3 2 4" xfId="11176" xr:uid="{00000000-0005-0000-0000-0000CE0D0000}"/>
    <cellStyle name="Comma 4 6 3 2 3 2 4 2" xfId="27774" xr:uid="{00000000-0005-0000-0000-0000CF0D0000}"/>
    <cellStyle name="Comma 4 6 3 2 3 2 5" xfId="13856" xr:uid="{00000000-0005-0000-0000-0000D00D0000}"/>
    <cellStyle name="Comma 4 6 3 2 3 2 5 2" xfId="30203" xr:uid="{00000000-0005-0000-0000-0000D10D0000}"/>
    <cellStyle name="Comma 4 6 3 2 3 2 6" xfId="13647" xr:uid="{00000000-0005-0000-0000-0000D20D0000}"/>
    <cellStyle name="Comma 4 6 3 2 3 2 7" xfId="3527" xr:uid="{00000000-0005-0000-0000-0000D30D0000}"/>
    <cellStyle name="Comma 4 6 3 2 3 2 7 2" xfId="20250" xr:uid="{00000000-0005-0000-0000-0000D40D0000}"/>
    <cellStyle name="Comma 4 6 3 2 3 2 8" xfId="18654" xr:uid="{00000000-0005-0000-0000-0000D50D0000}"/>
    <cellStyle name="Comma 4 6 3 2 3 3" xfId="1922" xr:uid="{00000000-0005-0000-0000-0000D60D0000}"/>
    <cellStyle name="Comma 4 6 3 2 3 3 2" xfId="9076" xr:uid="{00000000-0005-0000-0000-0000D70D0000}"/>
    <cellStyle name="Comma 4 6 3 2 3 3 2 2" xfId="16339" xr:uid="{00000000-0005-0000-0000-0000D80D0000}"/>
    <cellStyle name="Comma 4 6 3 2 3 3 2 2 2" xfId="32654" xr:uid="{00000000-0005-0000-0000-0000D90D0000}"/>
    <cellStyle name="Comma 4 6 3 2 3 3 2 3" xfId="25689" xr:uid="{00000000-0005-0000-0000-0000DA0D0000}"/>
    <cellStyle name="Comma 4 6 3 2 3 3 3" xfId="12418" xr:uid="{00000000-0005-0000-0000-0000DB0D0000}"/>
    <cellStyle name="Comma 4 6 3 2 3 3 3 2" xfId="28993" xr:uid="{00000000-0005-0000-0000-0000DC0D0000}"/>
    <cellStyle name="Comma 4 6 3 2 3 3 4" xfId="13978" xr:uid="{00000000-0005-0000-0000-0000DD0D0000}"/>
    <cellStyle name="Comma 4 6 3 2 3 3 4 2" xfId="30298" xr:uid="{00000000-0005-0000-0000-0000DE0D0000}"/>
    <cellStyle name="Comma 4 6 3 2 3 3 5" xfId="13714" xr:uid="{00000000-0005-0000-0000-0000DF0D0000}"/>
    <cellStyle name="Comma 4 6 3 2 3 3 6" xfId="5725" xr:uid="{00000000-0005-0000-0000-0000E00D0000}"/>
    <cellStyle name="Comma 4 6 3 2 3 3 6 2" xfId="22389" xr:uid="{00000000-0005-0000-0000-0000E10D0000}"/>
    <cellStyle name="Comma 4 6 3 2 3 3 7" xfId="18653" xr:uid="{00000000-0005-0000-0000-0000E20D0000}"/>
    <cellStyle name="Comma 4 6 3 2 3 4" xfId="6736" xr:uid="{00000000-0005-0000-0000-0000E30D0000}"/>
    <cellStyle name="Comma 4 6 3 2 3 4 2" xfId="10075" xr:uid="{00000000-0005-0000-0000-0000E40D0000}"/>
    <cellStyle name="Comma 4 6 3 2 3 4 2 2" xfId="17338" xr:uid="{00000000-0005-0000-0000-0000E50D0000}"/>
    <cellStyle name="Comma 4 6 3 2 3 4 2 2 2" xfId="33653" xr:uid="{00000000-0005-0000-0000-0000E60D0000}"/>
    <cellStyle name="Comma 4 6 3 2 3 4 2 3" xfId="26688" xr:uid="{00000000-0005-0000-0000-0000E70D0000}"/>
    <cellStyle name="Comma 4 6 3 2 3 4 3" xfId="13418" xr:uid="{00000000-0005-0000-0000-0000E80D0000}"/>
    <cellStyle name="Comma 4 6 3 2 3 4 3 2" xfId="29992" xr:uid="{00000000-0005-0000-0000-0000E90D0000}"/>
    <cellStyle name="Comma 4 6 3 2 3 4 4" xfId="14054" xr:uid="{00000000-0005-0000-0000-0000EA0D0000}"/>
    <cellStyle name="Comma 4 6 3 2 3 4 4 2" xfId="30372" xr:uid="{00000000-0005-0000-0000-0000EB0D0000}"/>
    <cellStyle name="Comma 4 6 3 2 3 4 5" xfId="13546" xr:uid="{00000000-0005-0000-0000-0000EC0D0000}"/>
    <cellStyle name="Comma 4 6 3 2 3 4 6" xfId="23388" xr:uid="{00000000-0005-0000-0000-0000ED0D0000}"/>
    <cellStyle name="Comma 4 6 3 2 3 5" xfId="6749" xr:uid="{00000000-0005-0000-0000-0000EE0D0000}"/>
    <cellStyle name="Comma 4 6 3 2 3 6" xfId="7455" xr:uid="{00000000-0005-0000-0000-0000EF0D0000}"/>
    <cellStyle name="Comma 4 6 3 2 3 6 2" xfId="14718" xr:uid="{00000000-0005-0000-0000-0000F00D0000}"/>
    <cellStyle name="Comma 4 6 3 2 3 6 2 2" xfId="31033" xr:uid="{00000000-0005-0000-0000-0000F10D0000}"/>
    <cellStyle name="Comma 4 6 3 2 3 6 3" xfId="24068" xr:uid="{00000000-0005-0000-0000-0000F20D0000}"/>
    <cellStyle name="Comma 4 6 3 2 3 7" xfId="10770" xr:uid="{00000000-0005-0000-0000-0000F30D0000}"/>
    <cellStyle name="Comma 4 6 3 2 3 7 2" xfId="27368" xr:uid="{00000000-0005-0000-0000-0000F40D0000}"/>
    <cellStyle name="Comma 4 6 3 2 3 8" xfId="13817" xr:uid="{00000000-0005-0000-0000-0000F50D0000}"/>
    <cellStyle name="Comma 4 6 3 2 3 8 2" xfId="30164" xr:uid="{00000000-0005-0000-0000-0000F60D0000}"/>
    <cellStyle name="Comma 4 6 3 2 3 9" xfId="3526" xr:uid="{00000000-0005-0000-0000-0000F70D0000}"/>
    <cellStyle name="Comma 4 6 3 2 3 9 2" xfId="20249" xr:uid="{00000000-0005-0000-0000-0000F80D0000}"/>
    <cellStyle name="Comma 4 6 3 2 4" xfId="1921" xr:uid="{00000000-0005-0000-0000-0000F90D0000}"/>
    <cellStyle name="Comma 4 6 3 2 4 2" xfId="8625" xr:uid="{00000000-0005-0000-0000-0000FA0D0000}"/>
    <cellStyle name="Comma 4 6 3 2 4 2 2" xfId="15888" xr:uid="{00000000-0005-0000-0000-0000FB0D0000}"/>
    <cellStyle name="Comma 4 6 3 2 4 2 2 2" xfId="32203" xr:uid="{00000000-0005-0000-0000-0000FC0D0000}"/>
    <cellStyle name="Comma 4 6 3 2 4 2 3" xfId="25238" xr:uid="{00000000-0005-0000-0000-0000FD0D0000}"/>
    <cellStyle name="Comma 4 6 3 2 4 3" xfId="11967" xr:uid="{00000000-0005-0000-0000-0000FE0D0000}"/>
    <cellStyle name="Comma 4 6 3 2 4 3 2" xfId="28542" xr:uid="{00000000-0005-0000-0000-0000FF0D0000}"/>
    <cellStyle name="Comma 4 6 3 2 4 4" xfId="13937" xr:uid="{00000000-0005-0000-0000-0000000E0000}"/>
    <cellStyle name="Comma 4 6 3 2 4 4 2" xfId="30257" xr:uid="{00000000-0005-0000-0000-0000010E0000}"/>
    <cellStyle name="Comma 4 6 3 2 4 5" xfId="13696" xr:uid="{00000000-0005-0000-0000-0000020E0000}"/>
    <cellStyle name="Comma 4 6 3 2 4 6" xfId="5274" xr:uid="{00000000-0005-0000-0000-0000030E0000}"/>
    <cellStyle name="Comma 4 6 3 2 4 6 2" xfId="21938" xr:uid="{00000000-0005-0000-0000-0000040E0000}"/>
    <cellStyle name="Comma 4 6 3 2 4 7" xfId="18652" xr:uid="{00000000-0005-0000-0000-0000050E0000}"/>
    <cellStyle name="Comma 4 6 3 2 5" xfId="6734" xr:uid="{00000000-0005-0000-0000-0000060E0000}"/>
    <cellStyle name="Comma 4 6 3 2 5 2" xfId="10074" xr:uid="{00000000-0005-0000-0000-0000070E0000}"/>
    <cellStyle name="Comma 4 6 3 2 5 2 2" xfId="17337" xr:uid="{00000000-0005-0000-0000-0000080E0000}"/>
    <cellStyle name="Comma 4 6 3 2 5 2 2 2" xfId="33652" xr:uid="{00000000-0005-0000-0000-0000090E0000}"/>
    <cellStyle name="Comma 4 6 3 2 5 2 3" xfId="26687" xr:uid="{00000000-0005-0000-0000-00000A0E0000}"/>
    <cellStyle name="Comma 4 6 3 2 5 3" xfId="13417" xr:uid="{00000000-0005-0000-0000-00000B0E0000}"/>
    <cellStyle name="Comma 4 6 3 2 5 3 2" xfId="29991" xr:uid="{00000000-0005-0000-0000-00000C0E0000}"/>
    <cellStyle name="Comma 4 6 3 2 5 4" xfId="14053" xr:uid="{00000000-0005-0000-0000-00000D0E0000}"/>
    <cellStyle name="Comma 4 6 3 2 5 4 2" xfId="30371" xr:uid="{00000000-0005-0000-0000-00000E0E0000}"/>
    <cellStyle name="Comma 4 6 3 2 5 5" xfId="13493" xr:uid="{00000000-0005-0000-0000-00000F0E0000}"/>
    <cellStyle name="Comma 4 6 3 2 5 6" xfId="23387" xr:uid="{00000000-0005-0000-0000-0000100E0000}"/>
    <cellStyle name="Comma 4 6 3 2 6" xfId="7006" xr:uid="{00000000-0005-0000-0000-0000110E0000}"/>
    <cellStyle name="Comma 4 6 3 2 6 2" xfId="14269" xr:uid="{00000000-0005-0000-0000-0000120E0000}"/>
    <cellStyle name="Comma 4 6 3 2 6 2 2" xfId="30584" xr:uid="{00000000-0005-0000-0000-0000130E0000}"/>
    <cellStyle name="Comma 4 6 3 2 6 3" xfId="23619" xr:uid="{00000000-0005-0000-0000-0000140E0000}"/>
    <cellStyle name="Comma 4 6 3 2 7" xfId="10320" xr:uid="{00000000-0005-0000-0000-0000150E0000}"/>
    <cellStyle name="Comma 4 6 3 2 7 2" xfId="26919" xr:uid="{00000000-0005-0000-0000-0000160E0000}"/>
    <cellStyle name="Comma 4 6 3 2 8" xfId="13775" xr:uid="{00000000-0005-0000-0000-0000170E0000}"/>
    <cellStyle name="Comma 4 6 3 2 8 2" xfId="30125" xr:uid="{00000000-0005-0000-0000-0000180E0000}"/>
    <cellStyle name="Comma 4 6 3 2 9" xfId="3525" xr:uid="{00000000-0005-0000-0000-0000190E0000}"/>
    <cellStyle name="Comma 4 6 3 2 9 2" xfId="20248" xr:uid="{00000000-0005-0000-0000-00001A0E0000}"/>
    <cellStyle name="Comma 4 6 3 3" xfId="1086" xr:uid="{00000000-0005-0000-0000-00001B0E0000}"/>
    <cellStyle name="Comma 4 6 3 4" xfId="1458" xr:uid="{00000000-0005-0000-0000-00001C0E0000}"/>
    <cellStyle name="Comma 4 6 3 4 10" xfId="18193" xr:uid="{00000000-0005-0000-0000-00001D0E0000}"/>
    <cellStyle name="Comma 4 6 3 4 2" xfId="1925" xr:uid="{00000000-0005-0000-0000-00001E0E0000}"/>
    <cellStyle name="Comma 4 6 3 4 2 2" xfId="6113" xr:uid="{00000000-0005-0000-0000-00001F0E0000}"/>
    <cellStyle name="Comma 4 6 3 4 2 2 2" xfId="9464" xr:uid="{00000000-0005-0000-0000-0000200E0000}"/>
    <cellStyle name="Comma 4 6 3 4 2 2 2 2" xfId="16727" xr:uid="{00000000-0005-0000-0000-0000210E0000}"/>
    <cellStyle name="Comma 4 6 3 4 2 2 2 2 2" xfId="33042" xr:uid="{00000000-0005-0000-0000-0000220E0000}"/>
    <cellStyle name="Comma 4 6 3 4 2 2 2 3" xfId="26077" xr:uid="{00000000-0005-0000-0000-0000230E0000}"/>
    <cellStyle name="Comma 4 6 3 4 2 2 3" xfId="12806" xr:uid="{00000000-0005-0000-0000-0000240E0000}"/>
    <cellStyle name="Comma 4 6 3 4 2 2 3 2" xfId="29381" xr:uid="{00000000-0005-0000-0000-0000250E0000}"/>
    <cellStyle name="Comma 4 6 3 4 2 2 4" xfId="13999" xr:uid="{00000000-0005-0000-0000-0000260E0000}"/>
    <cellStyle name="Comma 4 6 3 4 2 2 4 2" xfId="30319" xr:uid="{00000000-0005-0000-0000-0000270E0000}"/>
    <cellStyle name="Comma 4 6 3 4 2 2 5" xfId="11784" xr:uid="{00000000-0005-0000-0000-0000280E0000}"/>
    <cellStyle name="Comma 4 6 3 4 2 2 6" xfId="22777" xr:uid="{00000000-0005-0000-0000-0000290E0000}"/>
    <cellStyle name="Comma 4 6 3 4 2 3" xfId="7843" xr:uid="{00000000-0005-0000-0000-00002A0E0000}"/>
    <cellStyle name="Comma 4 6 3 4 2 3 2" xfId="15106" xr:uid="{00000000-0005-0000-0000-00002B0E0000}"/>
    <cellStyle name="Comma 4 6 3 4 2 3 2 2" xfId="31421" xr:uid="{00000000-0005-0000-0000-00002C0E0000}"/>
    <cellStyle name="Comma 4 6 3 4 2 3 3" xfId="24456" xr:uid="{00000000-0005-0000-0000-00002D0E0000}"/>
    <cellStyle name="Comma 4 6 3 4 2 4" xfId="11158" xr:uid="{00000000-0005-0000-0000-00002E0E0000}"/>
    <cellStyle name="Comma 4 6 3 4 2 4 2" xfId="27756" xr:uid="{00000000-0005-0000-0000-00002F0E0000}"/>
    <cellStyle name="Comma 4 6 3 4 2 5" xfId="13838" xr:uid="{00000000-0005-0000-0000-0000300E0000}"/>
    <cellStyle name="Comma 4 6 3 4 2 5 2" xfId="30185" xr:uid="{00000000-0005-0000-0000-0000310E0000}"/>
    <cellStyle name="Comma 4 6 3 4 2 6" xfId="13584" xr:uid="{00000000-0005-0000-0000-0000320E0000}"/>
    <cellStyle name="Comma 4 6 3 4 2 7" xfId="3529" xr:uid="{00000000-0005-0000-0000-0000330E0000}"/>
    <cellStyle name="Comma 4 6 3 4 2 7 2" xfId="20252" xr:uid="{00000000-0005-0000-0000-0000340E0000}"/>
    <cellStyle name="Comma 4 6 3 4 2 8" xfId="18656" xr:uid="{00000000-0005-0000-0000-0000350E0000}"/>
    <cellStyle name="Comma 4 6 3 4 3" xfId="1924" xr:uid="{00000000-0005-0000-0000-0000360E0000}"/>
    <cellStyle name="Comma 4 6 3 4 3 2" xfId="9058" xr:uid="{00000000-0005-0000-0000-0000370E0000}"/>
    <cellStyle name="Comma 4 6 3 4 3 2 2" xfId="16321" xr:uid="{00000000-0005-0000-0000-0000380E0000}"/>
    <cellStyle name="Comma 4 6 3 4 3 2 2 2" xfId="32636" xr:uid="{00000000-0005-0000-0000-0000390E0000}"/>
    <cellStyle name="Comma 4 6 3 4 3 2 3" xfId="25671" xr:uid="{00000000-0005-0000-0000-00003A0E0000}"/>
    <cellStyle name="Comma 4 6 3 4 3 3" xfId="12400" xr:uid="{00000000-0005-0000-0000-00003B0E0000}"/>
    <cellStyle name="Comma 4 6 3 4 3 3 2" xfId="28975" xr:uid="{00000000-0005-0000-0000-00003C0E0000}"/>
    <cellStyle name="Comma 4 6 3 4 3 4" xfId="13960" xr:uid="{00000000-0005-0000-0000-00003D0E0000}"/>
    <cellStyle name="Comma 4 6 3 4 3 4 2" xfId="30280" xr:uid="{00000000-0005-0000-0000-00003E0E0000}"/>
    <cellStyle name="Comma 4 6 3 4 3 5" xfId="13525" xr:uid="{00000000-0005-0000-0000-00003F0E0000}"/>
    <cellStyle name="Comma 4 6 3 4 3 6" xfId="5707" xr:uid="{00000000-0005-0000-0000-0000400E0000}"/>
    <cellStyle name="Comma 4 6 3 4 3 6 2" xfId="22371" xr:uid="{00000000-0005-0000-0000-0000410E0000}"/>
    <cellStyle name="Comma 4 6 3 4 3 7" xfId="18655" xr:uid="{00000000-0005-0000-0000-0000420E0000}"/>
    <cellStyle name="Comma 4 6 3 4 4" xfId="6712" xr:uid="{00000000-0005-0000-0000-0000430E0000}"/>
    <cellStyle name="Comma 4 6 3 4 4 2" xfId="10059" xr:uid="{00000000-0005-0000-0000-0000440E0000}"/>
    <cellStyle name="Comma 4 6 3 4 4 2 2" xfId="17322" xr:uid="{00000000-0005-0000-0000-0000450E0000}"/>
    <cellStyle name="Comma 4 6 3 4 4 2 2 2" xfId="33637" xr:uid="{00000000-0005-0000-0000-0000460E0000}"/>
    <cellStyle name="Comma 4 6 3 4 4 2 3" xfId="26672" xr:uid="{00000000-0005-0000-0000-0000470E0000}"/>
    <cellStyle name="Comma 4 6 3 4 4 3" xfId="13401" xr:uid="{00000000-0005-0000-0000-0000480E0000}"/>
    <cellStyle name="Comma 4 6 3 4 4 3 2" xfId="29976" xr:uid="{00000000-0005-0000-0000-0000490E0000}"/>
    <cellStyle name="Comma 4 6 3 4 4 4" xfId="14036" xr:uid="{00000000-0005-0000-0000-00004A0E0000}"/>
    <cellStyle name="Comma 4 6 3 4 4 4 2" xfId="30356" xr:uid="{00000000-0005-0000-0000-00004B0E0000}"/>
    <cellStyle name="Comma 4 6 3 4 4 5" xfId="13700" xr:uid="{00000000-0005-0000-0000-00004C0E0000}"/>
    <cellStyle name="Comma 4 6 3 4 4 6" xfId="23372" xr:uid="{00000000-0005-0000-0000-00004D0E0000}"/>
    <cellStyle name="Comma 4 6 3 4 5" xfId="6842" xr:uid="{00000000-0005-0000-0000-00004E0E0000}"/>
    <cellStyle name="Comma 4 6 3 4 6" xfId="7437" xr:uid="{00000000-0005-0000-0000-00004F0E0000}"/>
    <cellStyle name="Comma 4 6 3 4 6 2" xfId="14700" xr:uid="{00000000-0005-0000-0000-0000500E0000}"/>
    <cellStyle name="Comma 4 6 3 4 6 2 2" xfId="31015" xr:uid="{00000000-0005-0000-0000-0000510E0000}"/>
    <cellStyle name="Comma 4 6 3 4 6 3" xfId="24050" xr:uid="{00000000-0005-0000-0000-0000520E0000}"/>
    <cellStyle name="Comma 4 6 3 4 7" xfId="10752" xr:uid="{00000000-0005-0000-0000-0000530E0000}"/>
    <cellStyle name="Comma 4 6 3 4 7 2" xfId="27350" xr:uid="{00000000-0005-0000-0000-0000540E0000}"/>
    <cellStyle name="Comma 4 6 3 4 8" xfId="13799" xr:uid="{00000000-0005-0000-0000-0000550E0000}"/>
    <cellStyle name="Comma 4 6 3 4 8 2" xfId="30146" xr:uid="{00000000-0005-0000-0000-0000560E0000}"/>
    <cellStyle name="Comma 4 6 3 4 9" xfId="3528" xr:uid="{00000000-0005-0000-0000-0000570E0000}"/>
    <cellStyle name="Comma 4 6 3 4 9 2" xfId="20251" xr:uid="{00000000-0005-0000-0000-0000580E0000}"/>
    <cellStyle name="Comma 4 6 3 5" xfId="1920" xr:uid="{00000000-0005-0000-0000-0000590E0000}"/>
    <cellStyle name="Comma 4 6 3 5 2" xfId="8519" xr:uid="{00000000-0005-0000-0000-00005A0E0000}"/>
    <cellStyle name="Comma 4 6 3 5 2 2" xfId="15782" xr:uid="{00000000-0005-0000-0000-00005B0E0000}"/>
    <cellStyle name="Comma 4 6 3 5 2 2 2" xfId="32097" xr:uid="{00000000-0005-0000-0000-00005C0E0000}"/>
    <cellStyle name="Comma 4 6 3 5 2 3" xfId="25132" xr:uid="{00000000-0005-0000-0000-00005D0E0000}"/>
    <cellStyle name="Comma 4 6 3 5 3" xfId="11861" xr:uid="{00000000-0005-0000-0000-00005E0E0000}"/>
    <cellStyle name="Comma 4 6 3 5 3 2" xfId="28436" xr:uid="{00000000-0005-0000-0000-00005F0E0000}"/>
    <cellStyle name="Comma 4 6 3 5 4" xfId="13919" xr:uid="{00000000-0005-0000-0000-0000600E0000}"/>
    <cellStyle name="Comma 4 6 3 5 4 2" xfId="30239" xr:uid="{00000000-0005-0000-0000-0000610E0000}"/>
    <cellStyle name="Comma 4 6 3 5 5" xfId="13705" xr:uid="{00000000-0005-0000-0000-0000620E0000}"/>
    <cellStyle name="Comma 4 6 3 5 6" xfId="5168" xr:uid="{00000000-0005-0000-0000-0000630E0000}"/>
    <cellStyle name="Comma 4 6 3 5 6 2" xfId="21832" xr:uid="{00000000-0005-0000-0000-0000640E0000}"/>
    <cellStyle name="Comma 4 6 3 5 7" xfId="18651" xr:uid="{00000000-0005-0000-0000-0000650E0000}"/>
    <cellStyle name="Comma 4 6 3 6" xfId="6710" xr:uid="{00000000-0005-0000-0000-0000660E0000}"/>
    <cellStyle name="Comma 4 6 3 6 2" xfId="10058" xr:uid="{00000000-0005-0000-0000-0000670E0000}"/>
    <cellStyle name="Comma 4 6 3 6 2 2" xfId="17321" xr:uid="{00000000-0005-0000-0000-0000680E0000}"/>
    <cellStyle name="Comma 4 6 3 6 2 2 2" xfId="33636" xr:uid="{00000000-0005-0000-0000-0000690E0000}"/>
    <cellStyle name="Comma 4 6 3 6 2 3" xfId="26671" xr:uid="{00000000-0005-0000-0000-00006A0E0000}"/>
    <cellStyle name="Comma 4 6 3 6 3" xfId="13400" xr:uid="{00000000-0005-0000-0000-00006B0E0000}"/>
    <cellStyle name="Comma 4 6 3 6 3 2" xfId="29975" xr:uid="{00000000-0005-0000-0000-00006C0E0000}"/>
    <cellStyle name="Comma 4 6 3 6 4" xfId="14035" xr:uid="{00000000-0005-0000-0000-00006D0E0000}"/>
    <cellStyle name="Comma 4 6 3 6 4 2" xfId="30355" xr:uid="{00000000-0005-0000-0000-00006E0E0000}"/>
    <cellStyle name="Comma 4 6 3 6 5" xfId="13607" xr:uid="{00000000-0005-0000-0000-00006F0E0000}"/>
    <cellStyle name="Comma 4 6 3 6 6" xfId="23371" xr:uid="{00000000-0005-0000-0000-0000700E0000}"/>
    <cellStyle name="Comma 4 6 3 7" xfId="6900" xr:uid="{00000000-0005-0000-0000-0000710E0000}"/>
    <cellStyle name="Comma 4 6 3 7 2" xfId="14163" xr:uid="{00000000-0005-0000-0000-0000720E0000}"/>
    <cellStyle name="Comma 4 6 3 7 2 2" xfId="30478" xr:uid="{00000000-0005-0000-0000-0000730E0000}"/>
    <cellStyle name="Comma 4 6 3 7 3" xfId="23513" xr:uid="{00000000-0005-0000-0000-0000740E0000}"/>
    <cellStyle name="Comma 4 6 3 8" xfId="10214" xr:uid="{00000000-0005-0000-0000-0000750E0000}"/>
    <cellStyle name="Comma 4 6 3 8 2" xfId="26813" xr:uid="{00000000-0005-0000-0000-0000760E0000}"/>
    <cellStyle name="Comma 4 6 3 9" xfId="13757" xr:uid="{00000000-0005-0000-0000-0000770E0000}"/>
    <cellStyle name="Comma 4 6 3 9 2" xfId="30107" xr:uid="{00000000-0005-0000-0000-0000780E0000}"/>
    <cellStyle name="Comma 4 6 4" xfId="948" xr:uid="{00000000-0005-0000-0000-0000790E0000}"/>
    <cellStyle name="Comma 4 6 4 10" xfId="17726" xr:uid="{00000000-0005-0000-0000-00007A0E0000}"/>
    <cellStyle name="Comma 4 6 4 2" xfId="1088" xr:uid="{00000000-0005-0000-0000-00007B0E0000}"/>
    <cellStyle name="Comma 4 6 4 3" xfId="1510" xr:uid="{00000000-0005-0000-0000-00007C0E0000}"/>
    <cellStyle name="Comma 4 6 4 3 10" xfId="18245" xr:uid="{00000000-0005-0000-0000-00007D0E0000}"/>
    <cellStyle name="Comma 4 6 4 3 2" xfId="1928" xr:uid="{00000000-0005-0000-0000-00007E0E0000}"/>
    <cellStyle name="Comma 4 6 4 3 2 2" xfId="6122" xr:uid="{00000000-0005-0000-0000-00007F0E0000}"/>
    <cellStyle name="Comma 4 6 4 3 2 2 2" xfId="9473" xr:uid="{00000000-0005-0000-0000-0000800E0000}"/>
    <cellStyle name="Comma 4 6 4 3 2 2 2 2" xfId="16736" xr:uid="{00000000-0005-0000-0000-0000810E0000}"/>
    <cellStyle name="Comma 4 6 4 3 2 2 2 2 2" xfId="33051" xr:uid="{00000000-0005-0000-0000-0000820E0000}"/>
    <cellStyle name="Comma 4 6 4 3 2 2 2 3" xfId="26086" xr:uid="{00000000-0005-0000-0000-0000830E0000}"/>
    <cellStyle name="Comma 4 6 4 3 2 2 3" xfId="12815" xr:uid="{00000000-0005-0000-0000-0000840E0000}"/>
    <cellStyle name="Comma 4 6 4 3 2 2 3 2" xfId="29390" xr:uid="{00000000-0005-0000-0000-0000850E0000}"/>
    <cellStyle name="Comma 4 6 4 3 2 2 4" xfId="14008" xr:uid="{00000000-0005-0000-0000-0000860E0000}"/>
    <cellStyle name="Comma 4 6 4 3 2 2 4 2" xfId="30328" xr:uid="{00000000-0005-0000-0000-0000870E0000}"/>
    <cellStyle name="Comma 4 6 4 3 2 2 5" xfId="11780" xr:uid="{00000000-0005-0000-0000-0000880E0000}"/>
    <cellStyle name="Comma 4 6 4 3 2 2 6" xfId="22786" xr:uid="{00000000-0005-0000-0000-0000890E0000}"/>
    <cellStyle name="Comma 4 6 4 3 2 3" xfId="7852" xr:uid="{00000000-0005-0000-0000-00008A0E0000}"/>
    <cellStyle name="Comma 4 6 4 3 2 3 2" xfId="15115" xr:uid="{00000000-0005-0000-0000-00008B0E0000}"/>
    <cellStyle name="Comma 4 6 4 3 2 3 2 2" xfId="31430" xr:uid="{00000000-0005-0000-0000-00008C0E0000}"/>
    <cellStyle name="Comma 4 6 4 3 2 3 3" xfId="24465" xr:uid="{00000000-0005-0000-0000-00008D0E0000}"/>
    <cellStyle name="Comma 4 6 4 3 2 4" xfId="11167" xr:uid="{00000000-0005-0000-0000-00008E0E0000}"/>
    <cellStyle name="Comma 4 6 4 3 2 4 2" xfId="27765" xr:uid="{00000000-0005-0000-0000-00008F0E0000}"/>
    <cellStyle name="Comma 4 6 4 3 2 5" xfId="13847" xr:uid="{00000000-0005-0000-0000-0000900E0000}"/>
    <cellStyle name="Comma 4 6 4 3 2 5 2" xfId="30194" xr:uid="{00000000-0005-0000-0000-0000910E0000}"/>
    <cellStyle name="Comma 4 6 4 3 2 6" xfId="13660" xr:uid="{00000000-0005-0000-0000-0000920E0000}"/>
    <cellStyle name="Comma 4 6 4 3 2 7" xfId="3532" xr:uid="{00000000-0005-0000-0000-0000930E0000}"/>
    <cellStyle name="Comma 4 6 4 3 2 7 2" xfId="20255" xr:uid="{00000000-0005-0000-0000-0000940E0000}"/>
    <cellStyle name="Comma 4 6 4 3 2 8" xfId="18659" xr:uid="{00000000-0005-0000-0000-0000950E0000}"/>
    <cellStyle name="Comma 4 6 4 3 3" xfId="1927" xr:uid="{00000000-0005-0000-0000-0000960E0000}"/>
    <cellStyle name="Comma 4 6 4 3 3 2" xfId="9067" xr:uid="{00000000-0005-0000-0000-0000970E0000}"/>
    <cellStyle name="Comma 4 6 4 3 3 2 2" xfId="16330" xr:uid="{00000000-0005-0000-0000-0000980E0000}"/>
    <cellStyle name="Comma 4 6 4 3 3 2 2 2" xfId="32645" xr:uid="{00000000-0005-0000-0000-0000990E0000}"/>
    <cellStyle name="Comma 4 6 4 3 3 2 3" xfId="25680" xr:uid="{00000000-0005-0000-0000-00009A0E0000}"/>
    <cellStyle name="Comma 4 6 4 3 3 3" xfId="12409" xr:uid="{00000000-0005-0000-0000-00009B0E0000}"/>
    <cellStyle name="Comma 4 6 4 3 3 3 2" xfId="28984" xr:uid="{00000000-0005-0000-0000-00009C0E0000}"/>
    <cellStyle name="Comma 4 6 4 3 3 4" xfId="13969" xr:uid="{00000000-0005-0000-0000-00009D0E0000}"/>
    <cellStyle name="Comma 4 6 4 3 3 4 2" xfId="30289" xr:uid="{00000000-0005-0000-0000-00009E0E0000}"/>
    <cellStyle name="Comma 4 6 4 3 3 5" xfId="13650" xr:uid="{00000000-0005-0000-0000-00009F0E0000}"/>
    <cellStyle name="Comma 4 6 4 3 3 6" xfId="5716" xr:uid="{00000000-0005-0000-0000-0000A00E0000}"/>
    <cellStyle name="Comma 4 6 4 3 3 6 2" xfId="22380" xr:uid="{00000000-0005-0000-0000-0000A10E0000}"/>
    <cellStyle name="Comma 4 6 4 3 3 7" xfId="18658" xr:uid="{00000000-0005-0000-0000-0000A20E0000}"/>
    <cellStyle name="Comma 4 6 4 3 4" xfId="6738" xr:uid="{00000000-0005-0000-0000-0000A30E0000}"/>
    <cellStyle name="Comma 4 6 4 3 4 2" xfId="10077" xr:uid="{00000000-0005-0000-0000-0000A40E0000}"/>
    <cellStyle name="Comma 4 6 4 3 4 2 2" xfId="17340" xr:uid="{00000000-0005-0000-0000-0000A50E0000}"/>
    <cellStyle name="Comma 4 6 4 3 4 2 2 2" xfId="33655" xr:uid="{00000000-0005-0000-0000-0000A60E0000}"/>
    <cellStyle name="Comma 4 6 4 3 4 2 3" xfId="26690" xr:uid="{00000000-0005-0000-0000-0000A70E0000}"/>
    <cellStyle name="Comma 4 6 4 3 4 3" xfId="13420" xr:uid="{00000000-0005-0000-0000-0000A80E0000}"/>
    <cellStyle name="Comma 4 6 4 3 4 3 2" xfId="29994" xr:uid="{00000000-0005-0000-0000-0000A90E0000}"/>
    <cellStyle name="Comma 4 6 4 3 4 4" xfId="14056" xr:uid="{00000000-0005-0000-0000-0000AA0E0000}"/>
    <cellStyle name="Comma 4 6 4 3 4 4 2" xfId="30374" xr:uid="{00000000-0005-0000-0000-0000AB0E0000}"/>
    <cellStyle name="Comma 4 6 4 3 4 5" xfId="13628" xr:uid="{00000000-0005-0000-0000-0000AC0E0000}"/>
    <cellStyle name="Comma 4 6 4 3 4 6" xfId="23390" xr:uid="{00000000-0005-0000-0000-0000AD0E0000}"/>
    <cellStyle name="Comma 4 6 4 3 5" xfId="6765" xr:uid="{00000000-0005-0000-0000-0000AE0E0000}"/>
    <cellStyle name="Comma 4 6 4 3 6" xfId="7446" xr:uid="{00000000-0005-0000-0000-0000AF0E0000}"/>
    <cellStyle name="Comma 4 6 4 3 6 2" xfId="14709" xr:uid="{00000000-0005-0000-0000-0000B00E0000}"/>
    <cellStyle name="Comma 4 6 4 3 6 2 2" xfId="31024" xr:uid="{00000000-0005-0000-0000-0000B10E0000}"/>
    <cellStyle name="Comma 4 6 4 3 6 3" xfId="24059" xr:uid="{00000000-0005-0000-0000-0000B20E0000}"/>
    <cellStyle name="Comma 4 6 4 3 7" xfId="10761" xr:uid="{00000000-0005-0000-0000-0000B30E0000}"/>
    <cellStyle name="Comma 4 6 4 3 7 2" xfId="27359" xr:uid="{00000000-0005-0000-0000-0000B40E0000}"/>
    <cellStyle name="Comma 4 6 4 3 8" xfId="13808" xr:uid="{00000000-0005-0000-0000-0000B50E0000}"/>
    <cellStyle name="Comma 4 6 4 3 8 2" xfId="30155" xr:uid="{00000000-0005-0000-0000-0000B60E0000}"/>
    <cellStyle name="Comma 4 6 4 3 9" xfId="3531" xr:uid="{00000000-0005-0000-0000-0000B70E0000}"/>
    <cellStyle name="Comma 4 6 4 3 9 2" xfId="20254" xr:uid="{00000000-0005-0000-0000-0000B80E0000}"/>
    <cellStyle name="Comma 4 6 4 4" xfId="1926" xr:uid="{00000000-0005-0000-0000-0000B90E0000}"/>
    <cellStyle name="Comma 4 6 4 4 2" xfId="8571" xr:uid="{00000000-0005-0000-0000-0000BA0E0000}"/>
    <cellStyle name="Comma 4 6 4 4 2 2" xfId="15834" xr:uid="{00000000-0005-0000-0000-0000BB0E0000}"/>
    <cellStyle name="Comma 4 6 4 4 2 2 2" xfId="32149" xr:uid="{00000000-0005-0000-0000-0000BC0E0000}"/>
    <cellStyle name="Comma 4 6 4 4 2 3" xfId="25184" xr:uid="{00000000-0005-0000-0000-0000BD0E0000}"/>
    <cellStyle name="Comma 4 6 4 4 3" xfId="11913" xr:uid="{00000000-0005-0000-0000-0000BE0E0000}"/>
    <cellStyle name="Comma 4 6 4 4 3 2" xfId="28488" xr:uid="{00000000-0005-0000-0000-0000BF0E0000}"/>
    <cellStyle name="Comma 4 6 4 4 4" xfId="13928" xr:uid="{00000000-0005-0000-0000-0000C00E0000}"/>
    <cellStyle name="Comma 4 6 4 4 4 2" xfId="30248" xr:uid="{00000000-0005-0000-0000-0000C10E0000}"/>
    <cellStyle name="Comma 4 6 4 4 5" xfId="13651" xr:uid="{00000000-0005-0000-0000-0000C20E0000}"/>
    <cellStyle name="Comma 4 6 4 4 6" xfId="5220" xr:uid="{00000000-0005-0000-0000-0000C30E0000}"/>
    <cellStyle name="Comma 4 6 4 4 6 2" xfId="21884" xr:uid="{00000000-0005-0000-0000-0000C40E0000}"/>
    <cellStyle name="Comma 4 6 4 4 7" xfId="18657" xr:uid="{00000000-0005-0000-0000-0000C50E0000}"/>
    <cellStyle name="Comma 4 6 4 5" xfId="6715" xr:uid="{00000000-0005-0000-0000-0000C60E0000}"/>
    <cellStyle name="Comma 4 6 4 5 2" xfId="10060" xr:uid="{00000000-0005-0000-0000-0000C70E0000}"/>
    <cellStyle name="Comma 4 6 4 5 2 2" xfId="17323" xr:uid="{00000000-0005-0000-0000-0000C80E0000}"/>
    <cellStyle name="Comma 4 6 4 5 2 2 2" xfId="33638" xr:uid="{00000000-0005-0000-0000-0000C90E0000}"/>
    <cellStyle name="Comma 4 6 4 5 2 3" xfId="26673" xr:uid="{00000000-0005-0000-0000-0000CA0E0000}"/>
    <cellStyle name="Comma 4 6 4 5 3" xfId="13402" xr:uid="{00000000-0005-0000-0000-0000CB0E0000}"/>
    <cellStyle name="Comma 4 6 4 5 3 2" xfId="29977" xr:uid="{00000000-0005-0000-0000-0000CC0E0000}"/>
    <cellStyle name="Comma 4 6 4 5 4" xfId="14038" xr:uid="{00000000-0005-0000-0000-0000CD0E0000}"/>
    <cellStyle name="Comma 4 6 4 5 4 2" xfId="30357" xr:uid="{00000000-0005-0000-0000-0000CE0E0000}"/>
    <cellStyle name="Comma 4 6 4 5 5" xfId="13585" xr:uid="{00000000-0005-0000-0000-0000CF0E0000}"/>
    <cellStyle name="Comma 4 6 4 5 6" xfId="23373" xr:uid="{00000000-0005-0000-0000-0000D00E0000}"/>
    <cellStyle name="Comma 4 6 4 6" xfId="6952" xr:uid="{00000000-0005-0000-0000-0000D10E0000}"/>
    <cellStyle name="Comma 4 6 4 6 2" xfId="14215" xr:uid="{00000000-0005-0000-0000-0000D20E0000}"/>
    <cellStyle name="Comma 4 6 4 6 2 2" xfId="30530" xr:uid="{00000000-0005-0000-0000-0000D30E0000}"/>
    <cellStyle name="Comma 4 6 4 6 3" xfId="23565" xr:uid="{00000000-0005-0000-0000-0000D40E0000}"/>
    <cellStyle name="Comma 4 6 4 7" xfId="10266" xr:uid="{00000000-0005-0000-0000-0000D50E0000}"/>
    <cellStyle name="Comma 4 6 4 7 2" xfId="26865" xr:uid="{00000000-0005-0000-0000-0000D60E0000}"/>
    <cellStyle name="Comma 4 6 4 8" xfId="13766" xr:uid="{00000000-0005-0000-0000-0000D70E0000}"/>
    <cellStyle name="Comma 4 6 4 8 2" xfId="30116" xr:uid="{00000000-0005-0000-0000-0000D80E0000}"/>
    <cellStyle name="Comma 4 6 4 9" xfId="3530" xr:uid="{00000000-0005-0000-0000-0000D90E0000}"/>
    <cellStyle name="Comma 4 6 4 9 2" xfId="20253" xr:uid="{00000000-0005-0000-0000-0000DA0E0000}"/>
    <cellStyle name="Comma 4 6 5" xfId="1081" xr:uid="{00000000-0005-0000-0000-0000DB0E0000}"/>
    <cellStyle name="Comma 4 6 6" xfId="1409" xr:uid="{00000000-0005-0000-0000-0000DC0E0000}"/>
    <cellStyle name="Comma 4 6 6 10" xfId="18144" xr:uid="{00000000-0005-0000-0000-0000DD0E0000}"/>
    <cellStyle name="Comma 4 6 6 2" xfId="1930" xr:uid="{00000000-0005-0000-0000-0000DE0E0000}"/>
    <cellStyle name="Comma 4 6 6 2 2" xfId="6104" xr:uid="{00000000-0005-0000-0000-0000DF0E0000}"/>
    <cellStyle name="Comma 4 6 6 2 2 2" xfId="9455" xr:uid="{00000000-0005-0000-0000-0000E00E0000}"/>
    <cellStyle name="Comma 4 6 6 2 2 2 2" xfId="16718" xr:uid="{00000000-0005-0000-0000-0000E10E0000}"/>
    <cellStyle name="Comma 4 6 6 2 2 2 2 2" xfId="33033" xr:uid="{00000000-0005-0000-0000-0000E20E0000}"/>
    <cellStyle name="Comma 4 6 6 2 2 2 3" xfId="26068" xr:uid="{00000000-0005-0000-0000-0000E30E0000}"/>
    <cellStyle name="Comma 4 6 6 2 2 3" xfId="12797" xr:uid="{00000000-0005-0000-0000-0000E40E0000}"/>
    <cellStyle name="Comma 4 6 6 2 2 3 2" xfId="29372" xr:uid="{00000000-0005-0000-0000-0000E50E0000}"/>
    <cellStyle name="Comma 4 6 6 2 2 4" xfId="13990" xr:uid="{00000000-0005-0000-0000-0000E60E0000}"/>
    <cellStyle name="Comma 4 6 6 2 2 4 2" xfId="30310" xr:uid="{00000000-0005-0000-0000-0000E70E0000}"/>
    <cellStyle name="Comma 4 6 6 2 2 5" xfId="13444" xr:uid="{00000000-0005-0000-0000-0000E80E0000}"/>
    <cellStyle name="Comma 4 6 6 2 2 6" xfId="22768" xr:uid="{00000000-0005-0000-0000-0000E90E0000}"/>
    <cellStyle name="Comma 4 6 6 2 3" xfId="7834" xr:uid="{00000000-0005-0000-0000-0000EA0E0000}"/>
    <cellStyle name="Comma 4 6 6 2 3 2" xfId="15097" xr:uid="{00000000-0005-0000-0000-0000EB0E0000}"/>
    <cellStyle name="Comma 4 6 6 2 3 2 2" xfId="31412" xr:uid="{00000000-0005-0000-0000-0000EC0E0000}"/>
    <cellStyle name="Comma 4 6 6 2 3 3" xfId="24447" xr:uid="{00000000-0005-0000-0000-0000ED0E0000}"/>
    <cellStyle name="Comma 4 6 6 2 4" xfId="11149" xr:uid="{00000000-0005-0000-0000-0000EE0E0000}"/>
    <cellStyle name="Comma 4 6 6 2 4 2" xfId="27747" xr:uid="{00000000-0005-0000-0000-0000EF0E0000}"/>
    <cellStyle name="Comma 4 6 6 2 5" xfId="13829" xr:uid="{00000000-0005-0000-0000-0000F00E0000}"/>
    <cellStyle name="Comma 4 6 6 2 5 2" xfId="30176" xr:uid="{00000000-0005-0000-0000-0000F10E0000}"/>
    <cellStyle name="Comma 4 6 6 2 6" xfId="13594" xr:uid="{00000000-0005-0000-0000-0000F20E0000}"/>
    <cellStyle name="Comma 4 6 6 2 7" xfId="3534" xr:uid="{00000000-0005-0000-0000-0000F30E0000}"/>
    <cellStyle name="Comma 4 6 6 2 7 2" xfId="20257" xr:uid="{00000000-0005-0000-0000-0000F40E0000}"/>
    <cellStyle name="Comma 4 6 6 2 8" xfId="18661" xr:uid="{00000000-0005-0000-0000-0000F50E0000}"/>
    <cellStyle name="Comma 4 6 6 3" xfId="1929" xr:uid="{00000000-0005-0000-0000-0000F60E0000}"/>
    <cellStyle name="Comma 4 6 6 3 2" xfId="9049" xr:uid="{00000000-0005-0000-0000-0000F70E0000}"/>
    <cellStyle name="Comma 4 6 6 3 2 2" xfId="16312" xr:uid="{00000000-0005-0000-0000-0000F80E0000}"/>
    <cellStyle name="Comma 4 6 6 3 2 2 2" xfId="32627" xr:uid="{00000000-0005-0000-0000-0000F90E0000}"/>
    <cellStyle name="Comma 4 6 6 3 2 3" xfId="25662" xr:uid="{00000000-0005-0000-0000-0000FA0E0000}"/>
    <cellStyle name="Comma 4 6 6 3 3" xfId="12391" xr:uid="{00000000-0005-0000-0000-0000FB0E0000}"/>
    <cellStyle name="Comma 4 6 6 3 3 2" xfId="28966" xr:uid="{00000000-0005-0000-0000-0000FC0E0000}"/>
    <cellStyle name="Comma 4 6 6 3 4" xfId="13951" xr:uid="{00000000-0005-0000-0000-0000FD0E0000}"/>
    <cellStyle name="Comma 4 6 6 3 4 2" xfId="30271" xr:uid="{00000000-0005-0000-0000-0000FE0E0000}"/>
    <cellStyle name="Comma 4 6 6 3 5" xfId="13690" xr:uid="{00000000-0005-0000-0000-0000FF0E0000}"/>
    <cellStyle name="Comma 4 6 6 3 6" xfId="5698" xr:uid="{00000000-0005-0000-0000-0000000F0000}"/>
    <cellStyle name="Comma 4 6 6 3 6 2" xfId="22362" xr:uid="{00000000-0005-0000-0000-0000010F0000}"/>
    <cellStyle name="Comma 4 6 6 3 7" xfId="18660" xr:uid="{00000000-0005-0000-0000-0000020F0000}"/>
    <cellStyle name="Comma 4 6 6 4" xfId="6720" xr:uid="{00000000-0005-0000-0000-0000030F0000}"/>
    <cellStyle name="Comma 4 6 6 4 2" xfId="10064" xr:uid="{00000000-0005-0000-0000-0000040F0000}"/>
    <cellStyle name="Comma 4 6 6 4 2 2" xfId="17327" xr:uid="{00000000-0005-0000-0000-0000050F0000}"/>
    <cellStyle name="Comma 4 6 6 4 2 2 2" xfId="33642" xr:uid="{00000000-0005-0000-0000-0000060F0000}"/>
    <cellStyle name="Comma 4 6 6 4 2 3" xfId="26677" xr:uid="{00000000-0005-0000-0000-0000070F0000}"/>
    <cellStyle name="Comma 4 6 6 4 3" xfId="13406" xr:uid="{00000000-0005-0000-0000-0000080F0000}"/>
    <cellStyle name="Comma 4 6 6 4 3 2" xfId="29981" xr:uid="{00000000-0005-0000-0000-0000090F0000}"/>
    <cellStyle name="Comma 4 6 6 4 4" xfId="14043" xr:uid="{00000000-0005-0000-0000-00000A0F0000}"/>
    <cellStyle name="Comma 4 6 6 4 4 2" xfId="30361" xr:uid="{00000000-0005-0000-0000-00000B0F0000}"/>
    <cellStyle name="Comma 4 6 6 4 5" xfId="13590" xr:uid="{00000000-0005-0000-0000-00000C0F0000}"/>
    <cellStyle name="Comma 4 6 6 4 6" xfId="23377" xr:uid="{00000000-0005-0000-0000-00000D0F0000}"/>
    <cellStyle name="Comma 4 6 6 5" xfId="6818" xr:uid="{00000000-0005-0000-0000-00000E0F0000}"/>
    <cellStyle name="Comma 4 6 6 6" xfId="7428" xr:uid="{00000000-0005-0000-0000-00000F0F0000}"/>
    <cellStyle name="Comma 4 6 6 6 2" xfId="14691" xr:uid="{00000000-0005-0000-0000-0000100F0000}"/>
    <cellStyle name="Comma 4 6 6 6 2 2" xfId="31006" xr:uid="{00000000-0005-0000-0000-0000110F0000}"/>
    <cellStyle name="Comma 4 6 6 6 3" xfId="24041" xr:uid="{00000000-0005-0000-0000-0000120F0000}"/>
    <cellStyle name="Comma 4 6 6 7" xfId="10743" xr:uid="{00000000-0005-0000-0000-0000130F0000}"/>
    <cellStyle name="Comma 4 6 6 7 2" xfId="27341" xr:uid="{00000000-0005-0000-0000-0000140F0000}"/>
    <cellStyle name="Comma 4 6 6 8" xfId="13789" xr:uid="{00000000-0005-0000-0000-0000150F0000}"/>
    <cellStyle name="Comma 4 6 6 8 2" xfId="30137" xr:uid="{00000000-0005-0000-0000-0000160F0000}"/>
    <cellStyle name="Comma 4 6 6 9" xfId="3533" xr:uid="{00000000-0005-0000-0000-0000170F0000}"/>
    <cellStyle name="Comma 4 6 6 9 2" xfId="20256" xr:uid="{00000000-0005-0000-0000-0000180F0000}"/>
    <cellStyle name="Comma 4 6 7" xfId="1907" xr:uid="{00000000-0005-0000-0000-0000190F0000}"/>
    <cellStyle name="Comma 4 6 7 2" xfId="8460" xr:uid="{00000000-0005-0000-0000-00001A0F0000}"/>
    <cellStyle name="Comma 4 6 7 2 2" xfId="15723" xr:uid="{00000000-0005-0000-0000-00001B0F0000}"/>
    <cellStyle name="Comma 4 6 7 2 2 2" xfId="32038" xr:uid="{00000000-0005-0000-0000-00001C0F0000}"/>
    <cellStyle name="Comma 4 6 7 2 3" xfId="25073" xr:uid="{00000000-0005-0000-0000-00001D0F0000}"/>
    <cellStyle name="Comma 4 6 7 3" xfId="11801" xr:uid="{00000000-0005-0000-0000-00001E0F0000}"/>
    <cellStyle name="Comma 4 6 7 3 2" xfId="28377" xr:uid="{00000000-0005-0000-0000-00001F0F0000}"/>
    <cellStyle name="Comma 4 6 7 4" xfId="13903" xr:uid="{00000000-0005-0000-0000-0000200F0000}"/>
    <cellStyle name="Comma 4 6 7 4 2" xfId="30224" xr:uid="{00000000-0005-0000-0000-0000210F0000}"/>
    <cellStyle name="Comma 4 6 7 5" xfId="13703" xr:uid="{00000000-0005-0000-0000-0000220F0000}"/>
    <cellStyle name="Comma 4 6 7 6" xfId="5105" xr:uid="{00000000-0005-0000-0000-0000230F0000}"/>
    <cellStyle name="Comma 4 6 7 6 2" xfId="21773" xr:uid="{00000000-0005-0000-0000-0000240F0000}"/>
    <cellStyle name="Comma 4 6 7 7" xfId="18638" xr:uid="{00000000-0005-0000-0000-0000250F0000}"/>
    <cellStyle name="Comma 4 6 8" xfId="6829" xr:uid="{00000000-0005-0000-0000-0000260F0000}"/>
    <cellStyle name="Comma 4 6 8 2" xfId="10136" xr:uid="{00000000-0005-0000-0000-0000270F0000}"/>
    <cellStyle name="Comma 4 6 8 2 2" xfId="17399" xr:uid="{00000000-0005-0000-0000-0000280F0000}"/>
    <cellStyle name="Comma 4 6 8 2 2 2" xfId="33714" xr:uid="{00000000-0005-0000-0000-0000290F0000}"/>
    <cellStyle name="Comma 4 6 8 2 3" xfId="26749" xr:uid="{00000000-0005-0000-0000-00002A0F0000}"/>
    <cellStyle name="Comma 4 6 8 3" xfId="13481" xr:uid="{00000000-0005-0000-0000-00002B0F0000}"/>
    <cellStyle name="Comma 4 6 8 3 2" xfId="30053" xr:uid="{00000000-0005-0000-0000-00002C0F0000}"/>
    <cellStyle name="Comma 4 6 8 4" xfId="14100" xr:uid="{00000000-0005-0000-0000-00002D0F0000}"/>
    <cellStyle name="Comma 4 6 8 4 2" xfId="30416" xr:uid="{00000000-0005-0000-0000-00002E0F0000}"/>
    <cellStyle name="Comma 4 6 8 5" xfId="13665" xr:uid="{00000000-0005-0000-0000-00002F0F0000}"/>
    <cellStyle name="Comma 4 6 8 6" xfId="23449" xr:uid="{00000000-0005-0000-0000-0000300F0000}"/>
    <cellStyle name="Comma 4 6 9" xfId="6847" xr:uid="{00000000-0005-0000-0000-0000310F0000}"/>
    <cellStyle name="Comma 4 6 9 2" xfId="14110" xr:uid="{00000000-0005-0000-0000-0000320F0000}"/>
    <cellStyle name="Comma 4 6 9 2 2" xfId="30425" xr:uid="{00000000-0005-0000-0000-0000330F0000}"/>
    <cellStyle name="Comma 4 6 9 3" xfId="23460" xr:uid="{00000000-0005-0000-0000-0000340F0000}"/>
    <cellStyle name="Comma 4 7" xfId="879" xr:uid="{00000000-0005-0000-0000-0000350F0000}"/>
    <cellStyle name="Comma 4 7 10" xfId="13752" xr:uid="{00000000-0005-0000-0000-0000360F0000}"/>
    <cellStyle name="Comma 4 7 10 2" xfId="30102" xr:uid="{00000000-0005-0000-0000-0000370F0000}"/>
    <cellStyle name="Comma 4 7 11" xfId="3535" xr:uid="{00000000-0005-0000-0000-0000380F0000}"/>
    <cellStyle name="Comma 4 7 11 2" xfId="20258" xr:uid="{00000000-0005-0000-0000-0000390F0000}"/>
    <cellStyle name="Comma 4 7 12" xfId="17657" xr:uid="{00000000-0005-0000-0000-00003A0F0000}"/>
    <cellStyle name="Comma 4 7 2" xfId="932" xr:uid="{00000000-0005-0000-0000-00003B0F0000}"/>
    <cellStyle name="Comma 4 7 2 10" xfId="3536" xr:uid="{00000000-0005-0000-0000-00003C0F0000}"/>
    <cellStyle name="Comma 4 7 2 10 2" xfId="20259" xr:uid="{00000000-0005-0000-0000-00003D0F0000}"/>
    <cellStyle name="Comma 4 7 2 11" xfId="17710" xr:uid="{00000000-0005-0000-0000-00003E0F0000}"/>
    <cellStyle name="Comma 4 7 2 2" xfId="1039" xr:uid="{00000000-0005-0000-0000-00003F0F0000}"/>
    <cellStyle name="Comma 4 7 2 2 10" xfId="17816" xr:uid="{00000000-0005-0000-0000-0000400F0000}"/>
    <cellStyle name="Comma 4 7 2 2 2" xfId="1091" xr:uid="{00000000-0005-0000-0000-0000410F0000}"/>
    <cellStyle name="Comma 4 7 2 2 3" xfId="1600" xr:uid="{00000000-0005-0000-0000-0000420F0000}"/>
    <cellStyle name="Comma 4 7 2 2 3 10" xfId="18335" xr:uid="{00000000-0005-0000-0000-0000430F0000}"/>
    <cellStyle name="Comma 4 7 2 2 3 2" xfId="1935" xr:uid="{00000000-0005-0000-0000-0000440F0000}"/>
    <cellStyle name="Comma 4 7 2 2 3 2 2" xfId="6135" xr:uid="{00000000-0005-0000-0000-0000450F0000}"/>
    <cellStyle name="Comma 4 7 2 2 3 2 2 2" xfId="9486" xr:uid="{00000000-0005-0000-0000-0000460F0000}"/>
    <cellStyle name="Comma 4 7 2 2 3 2 2 2 2" xfId="16749" xr:uid="{00000000-0005-0000-0000-0000470F0000}"/>
    <cellStyle name="Comma 4 7 2 2 3 2 2 2 2 2" xfId="33064" xr:uid="{00000000-0005-0000-0000-0000480F0000}"/>
    <cellStyle name="Comma 4 7 2 2 3 2 2 2 3" xfId="26099" xr:uid="{00000000-0005-0000-0000-0000490F0000}"/>
    <cellStyle name="Comma 4 7 2 2 3 2 2 3" xfId="12828" xr:uid="{00000000-0005-0000-0000-00004A0F0000}"/>
    <cellStyle name="Comma 4 7 2 2 3 2 2 3 2" xfId="29403" xr:uid="{00000000-0005-0000-0000-00004B0F0000}"/>
    <cellStyle name="Comma 4 7 2 2 3 2 2 4" xfId="14021" xr:uid="{00000000-0005-0000-0000-00004C0F0000}"/>
    <cellStyle name="Comma 4 7 2 2 3 2 2 4 2" xfId="30341" xr:uid="{00000000-0005-0000-0000-00004D0F0000}"/>
    <cellStyle name="Comma 4 7 2 2 3 2 2 5" xfId="13535" xr:uid="{00000000-0005-0000-0000-00004E0F0000}"/>
    <cellStyle name="Comma 4 7 2 2 3 2 2 6" xfId="22799" xr:uid="{00000000-0005-0000-0000-00004F0F0000}"/>
    <cellStyle name="Comma 4 7 2 2 3 2 3" xfId="7865" xr:uid="{00000000-0005-0000-0000-0000500F0000}"/>
    <cellStyle name="Comma 4 7 2 2 3 2 3 2" xfId="15128" xr:uid="{00000000-0005-0000-0000-0000510F0000}"/>
    <cellStyle name="Comma 4 7 2 2 3 2 3 2 2" xfId="31443" xr:uid="{00000000-0005-0000-0000-0000520F0000}"/>
    <cellStyle name="Comma 4 7 2 2 3 2 3 3" xfId="24478" xr:uid="{00000000-0005-0000-0000-0000530F0000}"/>
    <cellStyle name="Comma 4 7 2 2 3 2 4" xfId="11180" xr:uid="{00000000-0005-0000-0000-0000540F0000}"/>
    <cellStyle name="Comma 4 7 2 2 3 2 4 2" xfId="27778" xr:uid="{00000000-0005-0000-0000-0000550F0000}"/>
    <cellStyle name="Comma 4 7 2 2 3 2 5" xfId="13860" xr:uid="{00000000-0005-0000-0000-0000560F0000}"/>
    <cellStyle name="Comma 4 7 2 2 3 2 5 2" xfId="30207" xr:uid="{00000000-0005-0000-0000-0000570F0000}"/>
    <cellStyle name="Comma 4 7 2 2 3 2 6" xfId="13522" xr:uid="{00000000-0005-0000-0000-0000580F0000}"/>
    <cellStyle name="Comma 4 7 2 2 3 2 7" xfId="3539" xr:uid="{00000000-0005-0000-0000-0000590F0000}"/>
    <cellStyle name="Comma 4 7 2 2 3 2 7 2" xfId="20262" xr:uid="{00000000-0005-0000-0000-00005A0F0000}"/>
    <cellStyle name="Comma 4 7 2 2 3 2 8" xfId="18666" xr:uid="{00000000-0005-0000-0000-00005B0F0000}"/>
    <cellStyle name="Comma 4 7 2 2 3 3" xfId="1934" xr:uid="{00000000-0005-0000-0000-00005C0F0000}"/>
    <cellStyle name="Comma 4 7 2 2 3 3 2" xfId="9080" xr:uid="{00000000-0005-0000-0000-00005D0F0000}"/>
    <cellStyle name="Comma 4 7 2 2 3 3 2 2" xfId="16343" xr:uid="{00000000-0005-0000-0000-00005E0F0000}"/>
    <cellStyle name="Comma 4 7 2 2 3 3 2 2 2" xfId="32658" xr:uid="{00000000-0005-0000-0000-00005F0F0000}"/>
    <cellStyle name="Comma 4 7 2 2 3 3 2 3" xfId="25693" xr:uid="{00000000-0005-0000-0000-0000600F0000}"/>
    <cellStyle name="Comma 4 7 2 2 3 3 3" xfId="12422" xr:uid="{00000000-0005-0000-0000-0000610F0000}"/>
    <cellStyle name="Comma 4 7 2 2 3 3 3 2" xfId="28997" xr:uid="{00000000-0005-0000-0000-0000620F0000}"/>
    <cellStyle name="Comma 4 7 2 2 3 3 4" xfId="13982" xr:uid="{00000000-0005-0000-0000-0000630F0000}"/>
    <cellStyle name="Comma 4 7 2 2 3 3 4 2" xfId="30302" xr:uid="{00000000-0005-0000-0000-0000640F0000}"/>
    <cellStyle name="Comma 4 7 2 2 3 3 5" xfId="13551" xr:uid="{00000000-0005-0000-0000-0000650F0000}"/>
    <cellStyle name="Comma 4 7 2 2 3 3 6" xfId="5729" xr:uid="{00000000-0005-0000-0000-0000660F0000}"/>
    <cellStyle name="Comma 4 7 2 2 3 3 6 2" xfId="22393" xr:uid="{00000000-0005-0000-0000-0000670F0000}"/>
    <cellStyle name="Comma 4 7 2 2 3 3 7" xfId="18665" xr:uid="{00000000-0005-0000-0000-0000680F0000}"/>
    <cellStyle name="Comma 4 7 2 2 3 4" xfId="6792" xr:uid="{00000000-0005-0000-0000-0000690F0000}"/>
    <cellStyle name="Comma 4 7 2 2 3 4 2" xfId="10108" xr:uid="{00000000-0005-0000-0000-00006A0F0000}"/>
    <cellStyle name="Comma 4 7 2 2 3 4 2 2" xfId="17371" xr:uid="{00000000-0005-0000-0000-00006B0F0000}"/>
    <cellStyle name="Comma 4 7 2 2 3 4 2 2 2" xfId="33686" xr:uid="{00000000-0005-0000-0000-00006C0F0000}"/>
    <cellStyle name="Comma 4 7 2 2 3 4 2 3" xfId="26721" xr:uid="{00000000-0005-0000-0000-00006D0F0000}"/>
    <cellStyle name="Comma 4 7 2 2 3 4 3" xfId="13452" xr:uid="{00000000-0005-0000-0000-00006E0F0000}"/>
    <cellStyle name="Comma 4 7 2 2 3 4 3 2" xfId="30025" xr:uid="{00000000-0005-0000-0000-00006F0F0000}"/>
    <cellStyle name="Comma 4 7 2 2 3 4 4" xfId="14088" xr:uid="{00000000-0005-0000-0000-0000700F0000}"/>
    <cellStyle name="Comma 4 7 2 2 3 4 4 2" xfId="30405" xr:uid="{00000000-0005-0000-0000-0000710F0000}"/>
    <cellStyle name="Comma 4 7 2 2 3 4 5" xfId="11779" xr:uid="{00000000-0005-0000-0000-0000720F0000}"/>
    <cellStyle name="Comma 4 7 2 2 3 4 6" xfId="23421" xr:uid="{00000000-0005-0000-0000-0000730F0000}"/>
    <cellStyle name="Comma 4 7 2 2 3 5" xfId="6704" xr:uid="{00000000-0005-0000-0000-0000740F0000}"/>
    <cellStyle name="Comma 4 7 2 2 3 6" xfId="7459" xr:uid="{00000000-0005-0000-0000-0000750F0000}"/>
    <cellStyle name="Comma 4 7 2 2 3 6 2" xfId="14722" xr:uid="{00000000-0005-0000-0000-0000760F0000}"/>
    <cellStyle name="Comma 4 7 2 2 3 6 2 2" xfId="31037" xr:uid="{00000000-0005-0000-0000-0000770F0000}"/>
    <cellStyle name="Comma 4 7 2 2 3 6 3" xfId="24072" xr:uid="{00000000-0005-0000-0000-0000780F0000}"/>
    <cellStyle name="Comma 4 7 2 2 3 7" xfId="10774" xr:uid="{00000000-0005-0000-0000-0000790F0000}"/>
    <cellStyle name="Comma 4 7 2 2 3 7 2" xfId="27372" xr:uid="{00000000-0005-0000-0000-00007A0F0000}"/>
    <cellStyle name="Comma 4 7 2 2 3 8" xfId="13821" xr:uid="{00000000-0005-0000-0000-00007B0F0000}"/>
    <cellStyle name="Comma 4 7 2 2 3 8 2" xfId="30168" xr:uid="{00000000-0005-0000-0000-00007C0F0000}"/>
    <cellStyle name="Comma 4 7 2 2 3 9" xfId="3538" xr:uid="{00000000-0005-0000-0000-00007D0F0000}"/>
    <cellStyle name="Comma 4 7 2 2 3 9 2" xfId="20261" xr:uid="{00000000-0005-0000-0000-00007E0F0000}"/>
    <cellStyle name="Comma 4 7 2 2 4" xfId="1933" xr:uid="{00000000-0005-0000-0000-00007F0F0000}"/>
    <cellStyle name="Comma 4 7 2 2 4 2" xfId="8661" xr:uid="{00000000-0005-0000-0000-0000800F0000}"/>
    <cellStyle name="Comma 4 7 2 2 4 2 2" xfId="15924" xr:uid="{00000000-0005-0000-0000-0000810F0000}"/>
    <cellStyle name="Comma 4 7 2 2 4 2 2 2" xfId="32239" xr:uid="{00000000-0005-0000-0000-0000820F0000}"/>
    <cellStyle name="Comma 4 7 2 2 4 2 3" xfId="25274" xr:uid="{00000000-0005-0000-0000-0000830F0000}"/>
    <cellStyle name="Comma 4 7 2 2 4 3" xfId="12003" xr:uid="{00000000-0005-0000-0000-0000840F0000}"/>
    <cellStyle name="Comma 4 7 2 2 4 3 2" xfId="28578" xr:uid="{00000000-0005-0000-0000-0000850F0000}"/>
    <cellStyle name="Comma 4 7 2 2 4 4" xfId="13941" xr:uid="{00000000-0005-0000-0000-0000860F0000}"/>
    <cellStyle name="Comma 4 7 2 2 4 4 2" xfId="30261" xr:uid="{00000000-0005-0000-0000-0000870F0000}"/>
    <cellStyle name="Comma 4 7 2 2 4 5" xfId="13719" xr:uid="{00000000-0005-0000-0000-0000880F0000}"/>
    <cellStyle name="Comma 4 7 2 2 4 6" xfId="5310" xr:uid="{00000000-0005-0000-0000-0000890F0000}"/>
    <cellStyle name="Comma 4 7 2 2 4 6 2" xfId="21974" xr:uid="{00000000-0005-0000-0000-00008A0F0000}"/>
    <cellStyle name="Comma 4 7 2 2 4 7" xfId="18664" xr:uid="{00000000-0005-0000-0000-00008B0F0000}"/>
    <cellStyle name="Comma 4 7 2 2 5" xfId="6726" xr:uid="{00000000-0005-0000-0000-00008C0F0000}"/>
    <cellStyle name="Comma 4 7 2 2 5 2" xfId="10068" xr:uid="{00000000-0005-0000-0000-00008D0F0000}"/>
    <cellStyle name="Comma 4 7 2 2 5 2 2" xfId="17331" xr:uid="{00000000-0005-0000-0000-00008E0F0000}"/>
    <cellStyle name="Comma 4 7 2 2 5 2 2 2" xfId="33646" xr:uid="{00000000-0005-0000-0000-00008F0F0000}"/>
    <cellStyle name="Comma 4 7 2 2 5 2 3" xfId="26681" xr:uid="{00000000-0005-0000-0000-0000900F0000}"/>
    <cellStyle name="Comma 4 7 2 2 5 3" xfId="13411" xr:uid="{00000000-0005-0000-0000-0000910F0000}"/>
    <cellStyle name="Comma 4 7 2 2 5 3 2" xfId="29985" xr:uid="{00000000-0005-0000-0000-0000920F0000}"/>
    <cellStyle name="Comma 4 7 2 2 5 4" xfId="14047" xr:uid="{00000000-0005-0000-0000-0000930F0000}"/>
    <cellStyle name="Comma 4 7 2 2 5 4 2" xfId="30365" xr:uid="{00000000-0005-0000-0000-0000940F0000}"/>
    <cellStyle name="Comma 4 7 2 2 5 5" xfId="13499" xr:uid="{00000000-0005-0000-0000-0000950F0000}"/>
    <cellStyle name="Comma 4 7 2 2 5 6" xfId="23381" xr:uid="{00000000-0005-0000-0000-0000960F0000}"/>
    <cellStyle name="Comma 4 7 2 2 6" xfId="7042" xr:uid="{00000000-0005-0000-0000-0000970F0000}"/>
    <cellStyle name="Comma 4 7 2 2 6 2" xfId="14305" xr:uid="{00000000-0005-0000-0000-0000980F0000}"/>
    <cellStyle name="Comma 4 7 2 2 6 2 2" xfId="30620" xr:uid="{00000000-0005-0000-0000-0000990F0000}"/>
    <cellStyle name="Comma 4 7 2 2 6 3" xfId="23655" xr:uid="{00000000-0005-0000-0000-00009A0F0000}"/>
    <cellStyle name="Comma 4 7 2 2 7" xfId="10356" xr:uid="{00000000-0005-0000-0000-00009B0F0000}"/>
    <cellStyle name="Comma 4 7 2 2 7 2" xfId="26955" xr:uid="{00000000-0005-0000-0000-00009C0F0000}"/>
    <cellStyle name="Comma 4 7 2 2 8" xfId="13779" xr:uid="{00000000-0005-0000-0000-00009D0F0000}"/>
    <cellStyle name="Comma 4 7 2 2 8 2" xfId="30129" xr:uid="{00000000-0005-0000-0000-00009E0F0000}"/>
    <cellStyle name="Comma 4 7 2 2 9" xfId="3537" xr:uid="{00000000-0005-0000-0000-00009F0F0000}"/>
    <cellStyle name="Comma 4 7 2 2 9 2" xfId="20260" xr:uid="{00000000-0005-0000-0000-0000A00F0000}"/>
    <cellStyle name="Comma 4 7 2 3" xfId="1090" xr:uid="{00000000-0005-0000-0000-0000A10F0000}"/>
    <cellStyle name="Comma 4 7 2 4" xfId="1494" xr:uid="{00000000-0005-0000-0000-0000A20F0000}"/>
    <cellStyle name="Comma 4 7 2 4 10" xfId="18229" xr:uid="{00000000-0005-0000-0000-0000A30F0000}"/>
    <cellStyle name="Comma 4 7 2 4 2" xfId="1937" xr:uid="{00000000-0005-0000-0000-0000A40F0000}"/>
    <cellStyle name="Comma 4 7 2 4 2 2" xfId="6117" xr:uid="{00000000-0005-0000-0000-0000A50F0000}"/>
    <cellStyle name="Comma 4 7 2 4 2 2 2" xfId="9468" xr:uid="{00000000-0005-0000-0000-0000A60F0000}"/>
    <cellStyle name="Comma 4 7 2 4 2 2 2 2" xfId="16731" xr:uid="{00000000-0005-0000-0000-0000A70F0000}"/>
    <cellStyle name="Comma 4 7 2 4 2 2 2 2 2" xfId="33046" xr:uid="{00000000-0005-0000-0000-0000A80F0000}"/>
    <cellStyle name="Comma 4 7 2 4 2 2 2 3" xfId="26081" xr:uid="{00000000-0005-0000-0000-0000A90F0000}"/>
    <cellStyle name="Comma 4 7 2 4 2 2 3" xfId="12810" xr:uid="{00000000-0005-0000-0000-0000AA0F0000}"/>
    <cellStyle name="Comma 4 7 2 4 2 2 3 2" xfId="29385" xr:uid="{00000000-0005-0000-0000-0000AB0F0000}"/>
    <cellStyle name="Comma 4 7 2 4 2 2 4" xfId="14003" xr:uid="{00000000-0005-0000-0000-0000AC0F0000}"/>
    <cellStyle name="Comma 4 7 2 4 2 2 4 2" xfId="30323" xr:uid="{00000000-0005-0000-0000-0000AD0F0000}"/>
    <cellStyle name="Comma 4 7 2 4 2 2 5" xfId="13592" xr:uid="{00000000-0005-0000-0000-0000AE0F0000}"/>
    <cellStyle name="Comma 4 7 2 4 2 2 6" xfId="22781" xr:uid="{00000000-0005-0000-0000-0000AF0F0000}"/>
    <cellStyle name="Comma 4 7 2 4 2 3" xfId="7847" xr:uid="{00000000-0005-0000-0000-0000B00F0000}"/>
    <cellStyle name="Comma 4 7 2 4 2 3 2" xfId="15110" xr:uid="{00000000-0005-0000-0000-0000B10F0000}"/>
    <cellStyle name="Comma 4 7 2 4 2 3 2 2" xfId="31425" xr:uid="{00000000-0005-0000-0000-0000B20F0000}"/>
    <cellStyle name="Comma 4 7 2 4 2 3 3" xfId="24460" xr:uid="{00000000-0005-0000-0000-0000B30F0000}"/>
    <cellStyle name="Comma 4 7 2 4 2 4" xfId="11162" xr:uid="{00000000-0005-0000-0000-0000B40F0000}"/>
    <cellStyle name="Comma 4 7 2 4 2 4 2" xfId="27760" xr:uid="{00000000-0005-0000-0000-0000B50F0000}"/>
    <cellStyle name="Comma 4 7 2 4 2 5" xfId="13842" xr:uid="{00000000-0005-0000-0000-0000B60F0000}"/>
    <cellStyle name="Comma 4 7 2 4 2 5 2" xfId="30189" xr:uid="{00000000-0005-0000-0000-0000B70F0000}"/>
    <cellStyle name="Comma 4 7 2 4 2 6" xfId="13649" xr:uid="{00000000-0005-0000-0000-0000B80F0000}"/>
    <cellStyle name="Comma 4 7 2 4 2 7" xfId="3541" xr:uid="{00000000-0005-0000-0000-0000B90F0000}"/>
    <cellStyle name="Comma 4 7 2 4 2 7 2" xfId="20264" xr:uid="{00000000-0005-0000-0000-0000BA0F0000}"/>
    <cellStyle name="Comma 4 7 2 4 2 8" xfId="18668" xr:uid="{00000000-0005-0000-0000-0000BB0F0000}"/>
    <cellStyle name="Comma 4 7 2 4 3" xfId="1936" xr:uid="{00000000-0005-0000-0000-0000BC0F0000}"/>
    <cellStyle name="Comma 4 7 2 4 3 2" xfId="9062" xr:uid="{00000000-0005-0000-0000-0000BD0F0000}"/>
    <cellStyle name="Comma 4 7 2 4 3 2 2" xfId="16325" xr:uid="{00000000-0005-0000-0000-0000BE0F0000}"/>
    <cellStyle name="Comma 4 7 2 4 3 2 2 2" xfId="32640" xr:uid="{00000000-0005-0000-0000-0000BF0F0000}"/>
    <cellStyle name="Comma 4 7 2 4 3 2 3" xfId="25675" xr:uid="{00000000-0005-0000-0000-0000C00F0000}"/>
    <cellStyle name="Comma 4 7 2 4 3 3" xfId="12404" xr:uid="{00000000-0005-0000-0000-0000C10F0000}"/>
    <cellStyle name="Comma 4 7 2 4 3 3 2" xfId="28979" xr:uid="{00000000-0005-0000-0000-0000C20F0000}"/>
    <cellStyle name="Comma 4 7 2 4 3 4" xfId="13964" xr:uid="{00000000-0005-0000-0000-0000C30F0000}"/>
    <cellStyle name="Comma 4 7 2 4 3 4 2" xfId="30284" xr:uid="{00000000-0005-0000-0000-0000C40F0000}"/>
    <cellStyle name="Comma 4 7 2 4 3 5" xfId="13588" xr:uid="{00000000-0005-0000-0000-0000C50F0000}"/>
    <cellStyle name="Comma 4 7 2 4 3 6" xfId="5711" xr:uid="{00000000-0005-0000-0000-0000C60F0000}"/>
    <cellStyle name="Comma 4 7 2 4 3 6 2" xfId="22375" xr:uid="{00000000-0005-0000-0000-0000C70F0000}"/>
    <cellStyle name="Comma 4 7 2 4 3 7" xfId="18667" xr:uid="{00000000-0005-0000-0000-0000C80F0000}"/>
    <cellStyle name="Comma 4 7 2 4 4" xfId="6824" xr:uid="{00000000-0005-0000-0000-0000C90F0000}"/>
    <cellStyle name="Comma 4 7 2 4 4 2" xfId="10133" xr:uid="{00000000-0005-0000-0000-0000CA0F0000}"/>
    <cellStyle name="Comma 4 7 2 4 4 2 2" xfId="17396" xr:uid="{00000000-0005-0000-0000-0000CB0F0000}"/>
    <cellStyle name="Comma 4 7 2 4 4 2 2 2" xfId="33711" xr:uid="{00000000-0005-0000-0000-0000CC0F0000}"/>
    <cellStyle name="Comma 4 7 2 4 4 2 3" xfId="26746" xr:uid="{00000000-0005-0000-0000-0000CD0F0000}"/>
    <cellStyle name="Comma 4 7 2 4 4 3" xfId="13478" xr:uid="{00000000-0005-0000-0000-0000CE0F0000}"/>
    <cellStyle name="Comma 4 7 2 4 4 3 2" xfId="30050" xr:uid="{00000000-0005-0000-0000-0000CF0F0000}"/>
    <cellStyle name="Comma 4 7 2 4 4 4" xfId="14096" xr:uid="{00000000-0005-0000-0000-0000D00F0000}"/>
    <cellStyle name="Comma 4 7 2 4 4 4 2" xfId="30413" xr:uid="{00000000-0005-0000-0000-0000D10F0000}"/>
    <cellStyle name="Comma 4 7 2 4 4 5" xfId="13620" xr:uid="{00000000-0005-0000-0000-0000D20F0000}"/>
    <cellStyle name="Comma 4 7 2 4 4 6" xfId="23446" xr:uid="{00000000-0005-0000-0000-0000D30F0000}"/>
    <cellStyle name="Comma 4 7 2 4 5" xfId="6739" xr:uid="{00000000-0005-0000-0000-0000D40F0000}"/>
    <cellStyle name="Comma 4 7 2 4 6" xfId="7441" xr:uid="{00000000-0005-0000-0000-0000D50F0000}"/>
    <cellStyle name="Comma 4 7 2 4 6 2" xfId="14704" xr:uid="{00000000-0005-0000-0000-0000D60F0000}"/>
    <cellStyle name="Comma 4 7 2 4 6 2 2" xfId="31019" xr:uid="{00000000-0005-0000-0000-0000D70F0000}"/>
    <cellStyle name="Comma 4 7 2 4 6 3" xfId="24054" xr:uid="{00000000-0005-0000-0000-0000D80F0000}"/>
    <cellStyle name="Comma 4 7 2 4 7" xfId="10756" xr:uid="{00000000-0005-0000-0000-0000D90F0000}"/>
    <cellStyle name="Comma 4 7 2 4 7 2" xfId="27354" xr:uid="{00000000-0005-0000-0000-0000DA0F0000}"/>
    <cellStyle name="Comma 4 7 2 4 8" xfId="13803" xr:uid="{00000000-0005-0000-0000-0000DB0F0000}"/>
    <cellStyle name="Comma 4 7 2 4 8 2" xfId="30150" xr:uid="{00000000-0005-0000-0000-0000DC0F0000}"/>
    <cellStyle name="Comma 4 7 2 4 9" xfId="3540" xr:uid="{00000000-0005-0000-0000-0000DD0F0000}"/>
    <cellStyle name="Comma 4 7 2 4 9 2" xfId="20263" xr:uid="{00000000-0005-0000-0000-0000DE0F0000}"/>
    <cellStyle name="Comma 4 7 2 5" xfId="1932" xr:uid="{00000000-0005-0000-0000-0000DF0F0000}"/>
    <cellStyle name="Comma 4 7 2 5 2" xfId="8555" xr:uid="{00000000-0005-0000-0000-0000E00F0000}"/>
    <cellStyle name="Comma 4 7 2 5 2 2" xfId="15818" xr:uid="{00000000-0005-0000-0000-0000E10F0000}"/>
    <cellStyle name="Comma 4 7 2 5 2 2 2" xfId="32133" xr:uid="{00000000-0005-0000-0000-0000E20F0000}"/>
    <cellStyle name="Comma 4 7 2 5 2 3" xfId="25168" xr:uid="{00000000-0005-0000-0000-0000E30F0000}"/>
    <cellStyle name="Comma 4 7 2 5 3" xfId="11897" xr:uid="{00000000-0005-0000-0000-0000E40F0000}"/>
    <cellStyle name="Comma 4 7 2 5 3 2" xfId="28472" xr:uid="{00000000-0005-0000-0000-0000E50F0000}"/>
    <cellStyle name="Comma 4 7 2 5 4" xfId="13923" xr:uid="{00000000-0005-0000-0000-0000E60F0000}"/>
    <cellStyle name="Comma 4 7 2 5 4 2" xfId="30243" xr:uid="{00000000-0005-0000-0000-0000E70F0000}"/>
    <cellStyle name="Comma 4 7 2 5 5" xfId="13504" xr:uid="{00000000-0005-0000-0000-0000E80F0000}"/>
    <cellStyle name="Comma 4 7 2 5 6" xfId="5204" xr:uid="{00000000-0005-0000-0000-0000E90F0000}"/>
    <cellStyle name="Comma 4 7 2 5 6 2" xfId="21868" xr:uid="{00000000-0005-0000-0000-0000EA0F0000}"/>
    <cellStyle name="Comma 4 7 2 5 7" xfId="18663" xr:uid="{00000000-0005-0000-0000-0000EB0F0000}"/>
    <cellStyle name="Comma 4 7 2 6" xfId="5519" xr:uid="{00000000-0005-0000-0000-0000EC0F0000}"/>
    <cellStyle name="Comma 4 7 2 6 2" xfId="8870" xr:uid="{00000000-0005-0000-0000-0000ED0F0000}"/>
    <cellStyle name="Comma 4 7 2 6 2 2" xfId="16133" xr:uid="{00000000-0005-0000-0000-0000EE0F0000}"/>
    <cellStyle name="Comma 4 7 2 6 2 2 2" xfId="32448" xr:uid="{00000000-0005-0000-0000-0000EF0F0000}"/>
    <cellStyle name="Comma 4 7 2 6 2 3" xfId="25483" xr:uid="{00000000-0005-0000-0000-0000F00F0000}"/>
    <cellStyle name="Comma 4 7 2 6 3" xfId="12212" xr:uid="{00000000-0005-0000-0000-0000F10F0000}"/>
    <cellStyle name="Comma 4 7 2 6 3 2" xfId="28787" xr:uid="{00000000-0005-0000-0000-0000F20F0000}"/>
    <cellStyle name="Comma 4 7 2 6 4" xfId="13948" xr:uid="{00000000-0005-0000-0000-0000F30F0000}"/>
    <cellStyle name="Comma 4 7 2 6 4 2" xfId="30268" xr:uid="{00000000-0005-0000-0000-0000F40F0000}"/>
    <cellStyle name="Comma 4 7 2 6 5" xfId="13626" xr:uid="{00000000-0005-0000-0000-0000F50F0000}"/>
    <cellStyle name="Comma 4 7 2 6 6" xfId="22183" xr:uid="{00000000-0005-0000-0000-0000F60F0000}"/>
    <cellStyle name="Comma 4 7 2 7" xfId="6936" xr:uid="{00000000-0005-0000-0000-0000F70F0000}"/>
    <cellStyle name="Comma 4 7 2 7 2" xfId="14199" xr:uid="{00000000-0005-0000-0000-0000F80F0000}"/>
    <cellStyle name="Comma 4 7 2 7 2 2" xfId="30514" xr:uid="{00000000-0005-0000-0000-0000F90F0000}"/>
    <cellStyle name="Comma 4 7 2 7 3" xfId="23549" xr:uid="{00000000-0005-0000-0000-0000FA0F0000}"/>
    <cellStyle name="Comma 4 7 2 8" xfId="10250" xr:uid="{00000000-0005-0000-0000-0000FB0F0000}"/>
    <cellStyle name="Comma 4 7 2 8 2" xfId="26849" xr:uid="{00000000-0005-0000-0000-0000FC0F0000}"/>
    <cellStyle name="Comma 4 7 2 9" xfId="13761" xr:uid="{00000000-0005-0000-0000-0000FD0F0000}"/>
    <cellStyle name="Comma 4 7 2 9 2" xfId="30111" xr:uid="{00000000-0005-0000-0000-0000FE0F0000}"/>
    <cellStyle name="Comma 4 7 3" xfId="986" xr:uid="{00000000-0005-0000-0000-0000FF0F0000}"/>
    <cellStyle name="Comma 4 7 3 10" xfId="17763" xr:uid="{00000000-0005-0000-0000-000000100000}"/>
    <cellStyle name="Comma 4 7 3 2" xfId="1092" xr:uid="{00000000-0005-0000-0000-000001100000}"/>
    <cellStyle name="Comma 4 7 3 3" xfId="1547" xr:uid="{00000000-0005-0000-0000-000002100000}"/>
    <cellStyle name="Comma 4 7 3 3 10" xfId="18282" xr:uid="{00000000-0005-0000-0000-000003100000}"/>
    <cellStyle name="Comma 4 7 3 3 2" xfId="1940" xr:uid="{00000000-0005-0000-0000-000004100000}"/>
    <cellStyle name="Comma 4 7 3 3 2 2" xfId="6126" xr:uid="{00000000-0005-0000-0000-000005100000}"/>
    <cellStyle name="Comma 4 7 3 3 2 2 2" xfId="9477" xr:uid="{00000000-0005-0000-0000-000006100000}"/>
    <cellStyle name="Comma 4 7 3 3 2 2 2 2" xfId="16740" xr:uid="{00000000-0005-0000-0000-000007100000}"/>
    <cellStyle name="Comma 4 7 3 3 2 2 2 2 2" xfId="33055" xr:uid="{00000000-0005-0000-0000-000008100000}"/>
    <cellStyle name="Comma 4 7 3 3 2 2 2 3" xfId="26090" xr:uid="{00000000-0005-0000-0000-000009100000}"/>
    <cellStyle name="Comma 4 7 3 3 2 2 3" xfId="12819" xr:uid="{00000000-0005-0000-0000-00000A100000}"/>
    <cellStyle name="Comma 4 7 3 3 2 2 3 2" xfId="29394" xr:uid="{00000000-0005-0000-0000-00000B100000}"/>
    <cellStyle name="Comma 4 7 3 3 2 2 4" xfId="14012" xr:uid="{00000000-0005-0000-0000-00000C100000}"/>
    <cellStyle name="Comma 4 7 3 3 2 2 4 2" xfId="30332" xr:uid="{00000000-0005-0000-0000-00000D100000}"/>
    <cellStyle name="Comma 4 7 3 3 2 2 5" xfId="13606" xr:uid="{00000000-0005-0000-0000-00000E100000}"/>
    <cellStyle name="Comma 4 7 3 3 2 2 6" xfId="22790" xr:uid="{00000000-0005-0000-0000-00000F100000}"/>
    <cellStyle name="Comma 4 7 3 3 2 3" xfId="7856" xr:uid="{00000000-0005-0000-0000-000010100000}"/>
    <cellStyle name="Comma 4 7 3 3 2 3 2" xfId="15119" xr:uid="{00000000-0005-0000-0000-000011100000}"/>
    <cellStyle name="Comma 4 7 3 3 2 3 2 2" xfId="31434" xr:uid="{00000000-0005-0000-0000-000012100000}"/>
    <cellStyle name="Comma 4 7 3 3 2 3 3" xfId="24469" xr:uid="{00000000-0005-0000-0000-000013100000}"/>
    <cellStyle name="Comma 4 7 3 3 2 4" xfId="11171" xr:uid="{00000000-0005-0000-0000-000014100000}"/>
    <cellStyle name="Comma 4 7 3 3 2 4 2" xfId="27769" xr:uid="{00000000-0005-0000-0000-000015100000}"/>
    <cellStyle name="Comma 4 7 3 3 2 5" xfId="13851" xr:uid="{00000000-0005-0000-0000-000016100000}"/>
    <cellStyle name="Comma 4 7 3 3 2 5 2" xfId="30198" xr:uid="{00000000-0005-0000-0000-000017100000}"/>
    <cellStyle name="Comma 4 7 3 3 2 6" xfId="13589" xr:uid="{00000000-0005-0000-0000-000018100000}"/>
    <cellStyle name="Comma 4 7 3 3 2 7" xfId="3544" xr:uid="{00000000-0005-0000-0000-000019100000}"/>
    <cellStyle name="Comma 4 7 3 3 2 7 2" xfId="20267" xr:uid="{00000000-0005-0000-0000-00001A100000}"/>
    <cellStyle name="Comma 4 7 3 3 2 8" xfId="18671" xr:uid="{00000000-0005-0000-0000-00001B100000}"/>
    <cellStyle name="Comma 4 7 3 3 3" xfId="1939" xr:uid="{00000000-0005-0000-0000-00001C100000}"/>
    <cellStyle name="Comma 4 7 3 3 3 2" xfId="9071" xr:uid="{00000000-0005-0000-0000-00001D100000}"/>
    <cellStyle name="Comma 4 7 3 3 3 2 2" xfId="16334" xr:uid="{00000000-0005-0000-0000-00001E100000}"/>
    <cellStyle name="Comma 4 7 3 3 3 2 2 2" xfId="32649" xr:uid="{00000000-0005-0000-0000-00001F100000}"/>
    <cellStyle name="Comma 4 7 3 3 3 2 3" xfId="25684" xr:uid="{00000000-0005-0000-0000-000020100000}"/>
    <cellStyle name="Comma 4 7 3 3 3 3" xfId="12413" xr:uid="{00000000-0005-0000-0000-000021100000}"/>
    <cellStyle name="Comma 4 7 3 3 3 3 2" xfId="28988" xr:uid="{00000000-0005-0000-0000-000022100000}"/>
    <cellStyle name="Comma 4 7 3 3 3 4" xfId="13973" xr:uid="{00000000-0005-0000-0000-000023100000}"/>
    <cellStyle name="Comma 4 7 3 3 3 4 2" xfId="30293" xr:uid="{00000000-0005-0000-0000-000024100000}"/>
    <cellStyle name="Comma 4 7 3 3 3 5" xfId="10156" xr:uid="{00000000-0005-0000-0000-000025100000}"/>
    <cellStyle name="Comma 4 7 3 3 3 6" xfId="5720" xr:uid="{00000000-0005-0000-0000-000026100000}"/>
    <cellStyle name="Comma 4 7 3 3 3 6 2" xfId="22384" xr:uid="{00000000-0005-0000-0000-000027100000}"/>
    <cellStyle name="Comma 4 7 3 3 3 7" xfId="18670" xr:uid="{00000000-0005-0000-0000-000028100000}"/>
    <cellStyle name="Comma 4 7 3 3 4" xfId="6750" xr:uid="{00000000-0005-0000-0000-000029100000}"/>
    <cellStyle name="Comma 4 7 3 3 4 2" xfId="10084" xr:uid="{00000000-0005-0000-0000-00002A100000}"/>
    <cellStyle name="Comma 4 7 3 3 4 2 2" xfId="17347" xr:uid="{00000000-0005-0000-0000-00002B100000}"/>
    <cellStyle name="Comma 4 7 3 3 4 2 2 2" xfId="33662" xr:uid="{00000000-0005-0000-0000-00002C100000}"/>
    <cellStyle name="Comma 4 7 3 3 4 2 3" xfId="26697" xr:uid="{00000000-0005-0000-0000-00002D100000}"/>
    <cellStyle name="Comma 4 7 3 3 4 3" xfId="13427" xr:uid="{00000000-0005-0000-0000-00002E100000}"/>
    <cellStyle name="Comma 4 7 3 3 4 3 2" xfId="30001" xr:uid="{00000000-0005-0000-0000-00002F100000}"/>
    <cellStyle name="Comma 4 7 3 3 4 4" xfId="14063" xr:uid="{00000000-0005-0000-0000-000030100000}"/>
    <cellStyle name="Comma 4 7 3 3 4 4 2" xfId="30381" xr:uid="{00000000-0005-0000-0000-000031100000}"/>
    <cellStyle name="Comma 4 7 3 3 4 5" xfId="13521" xr:uid="{00000000-0005-0000-0000-000032100000}"/>
    <cellStyle name="Comma 4 7 3 3 4 6" xfId="23397" xr:uid="{00000000-0005-0000-0000-000033100000}"/>
    <cellStyle name="Comma 4 7 3 3 5" xfId="6746" xr:uid="{00000000-0005-0000-0000-000034100000}"/>
    <cellStyle name="Comma 4 7 3 3 6" xfId="7450" xr:uid="{00000000-0005-0000-0000-000035100000}"/>
    <cellStyle name="Comma 4 7 3 3 6 2" xfId="14713" xr:uid="{00000000-0005-0000-0000-000036100000}"/>
    <cellStyle name="Comma 4 7 3 3 6 2 2" xfId="31028" xr:uid="{00000000-0005-0000-0000-000037100000}"/>
    <cellStyle name="Comma 4 7 3 3 6 3" xfId="24063" xr:uid="{00000000-0005-0000-0000-000038100000}"/>
    <cellStyle name="Comma 4 7 3 3 7" xfId="10765" xr:uid="{00000000-0005-0000-0000-000039100000}"/>
    <cellStyle name="Comma 4 7 3 3 7 2" xfId="27363" xr:uid="{00000000-0005-0000-0000-00003A100000}"/>
    <cellStyle name="Comma 4 7 3 3 8" xfId="13812" xr:uid="{00000000-0005-0000-0000-00003B100000}"/>
    <cellStyle name="Comma 4 7 3 3 8 2" xfId="30159" xr:uid="{00000000-0005-0000-0000-00003C100000}"/>
    <cellStyle name="Comma 4 7 3 3 9" xfId="3543" xr:uid="{00000000-0005-0000-0000-00003D100000}"/>
    <cellStyle name="Comma 4 7 3 3 9 2" xfId="20266" xr:uid="{00000000-0005-0000-0000-00003E100000}"/>
    <cellStyle name="Comma 4 7 3 4" xfId="1938" xr:uid="{00000000-0005-0000-0000-00003F100000}"/>
    <cellStyle name="Comma 4 7 3 4 2" xfId="8608" xr:uid="{00000000-0005-0000-0000-000040100000}"/>
    <cellStyle name="Comma 4 7 3 4 2 2" xfId="15871" xr:uid="{00000000-0005-0000-0000-000041100000}"/>
    <cellStyle name="Comma 4 7 3 4 2 2 2" xfId="32186" xr:uid="{00000000-0005-0000-0000-000042100000}"/>
    <cellStyle name="Comma 4 7 3 4 2 3" xfId="25221" xr:uid="{00000000-0005-0000-0000-000043100000}"/>
    <cellStyle name="Comma 4 7 3 4 3" xfId="11950" xr:uid="{00000000-0005-0000-0000-000044100000}"/>
    <cellStyle name="Comma 4 7 3 4 3 2" xfId="28525" xr:uid="{00000000-0005-0000-0000-000045100000}"/>
    <cellStyle name="Comma 4 7 3 4 4" xfId="13932" xr:uid="{00000000-0005-0000-0000-000046100000}"/>
    <cellStyle name="Comma 4 7 3 4 4 2" xfId="30252" xr:uid="{00000000-0005-0000-0000-000047100000}"/>
    <cellStyle name="Comma 4 7 3 4 5" xfId="10173" xr:uid="{00000000-0005-0000-0000-000048100000}"/>
    <cellStyle name="Comma 4 7 3 4 6" xfId="5257" xr:uid="{00000000-0005-0000-0000-000049100000}"/>
    <cellStyle name="Comma 4 7 3 4 6 2" xfId="21921" xr:uid="{00000000-0005-0000-0000-00004A100000}"/>
    <cellStyle name="Comma 4 7 3 4 7" xfId="18669" xr:uid="{00000000-0005-0000-0000-00004B100000}"/>
    <cellStyle name="Comma 4 7 3 5" xfId="6825" xr:uid="{00000000-0005-0000-0000-00004C100000}"/>
    <cellStyle name="Comma 4 7 3 5 2" xfId="10134" xr:uid="{00000000-0005-0000-0000-00004D100000}"/>
    <cellStyle name="Comma 4 7 3 5 2 2" xfId="17397" xr:uid="{00000000-0005-0000-0000-00004E100000}"/>
    <cellStyle name="Comma 4 7 3 5 2 2 2" xfId="33712" xr:uid="{00000000-0005-0000-0000-00004F100000}"/>
    <cellStyle name="Comma 4 7 3 5 2 3" xfId="26747" xr:uid="{00000000-0005-0000-0000-000050100000}"/>
    <cellStyle name="Comma 4 7 3 5 3" xfId="13479" xr:uid="{00000000-0005-0000-0000-000051100000}"/>
    <cellStyle name="Comma 4 7 3 5 3 2" xfId="30051" xr:uid="{00000000-0005-0000-0000-000052100000}"/>
    <cellStyle name="Comma 4 7 3 5 4" xfId="14097" xr:uid="{00000000-0005-0000-0000-000053100000}"/>
    <cellStyle name="Comma 4 7 3 5 4 2" xfId="30414" xr:uid="{00000000-0005-0000-0000-000054100000}"/>
    <cellStyle name="Comma 4 7 3 5 5" xfId="13407" xr:uid="{00000000-0005-0000-0000-000055100000}"/>
    <cellStyle name="Comma 4 7 3 5 6" xfId="23447" xr:uid="{00000000-0005-0000-0000-000056100000}"/>
    <cellStyle name="Comma 4 7 3 6" xfId="6989" xr:uid="{00000000-0005-0000-0000-000057100000}"/>
    <cellStyle name="Comma 4 7 3 6 2" xfId="14252" xr:uid="{00000000-0005-0000-0000-000058100000}"/>
    <cellStyle name="Comma 4 7 3 6 2 2" xfId="30567" xr:uid="{00000000-0005-0000-0000-000059100000}"/>
    <cellStyle name="Comma 4 7 3 6 3" xfId="23602" xr:uid="{00000000-0005-0000-0000-00005A100000}"/>
    <cellStyle name="Comma 4 7 3 7" xfId="10303" xr:uid="{00000000-0005-0000-0000-00005B100000}"/>
    <cellStyle name="Comma 4 7 3 7 2" xfId="26902" xr:uid="{00000000-0005-0000-0000-00005C100000}"/>
    <cellStyle name="Comma 4 7 3 8" xfId="13770" xr:uid="{00000000-0005-0000-0000-00005D100000}"/>
    <cellStyle name="Comma 4 7 3 8 2" xfId="30120" xr:uid="{00000000-0005-0000-0000-00005E100000}"/>
    <cellStyle name="Comma 4 7 3 9" xfId="3542" xr:uid="{00000000-0005-0000-0000-00005F100000}"/>
    <cellStyle name="Comma 4 7 3 9 2" xfId="20265" xr:uid="{00000000-0005-0000-0000-000060100000}"/>
    <cellStyle name="Comma 4 7 4" xfId="1089" xr:uid="{00000000-0005-0000-0000-000061100000}"/>
    <cellStyle name="Comma 4 7 5" xfId="1441" xr:uid="{00000000-0005-0000-0000-000062100000}"/>
    <cellStyle name="Comma 4 7 5 10" xfId="18176" xr:uid="{00000000-0005-0000-0000-000063100000}"/>
    <cellStyle name="Comma 4 7 5 2" xfId="1942" xr:uid="{00000000-0005-0000-0000-000064100000}"/>
    <cellStyle name="Comma 4 7 5 2 2" xfId="6108" xr:uid="{00000000-0005-0000-0000-000065100000}"/>
    <cellStyle name="Comma 4 7 5 2 2 2" xfId="9459" xr:uid="{00000000-0005-0000-0000-000066100000}"/>
    <cellStyle name="Comma 4 7 5 2 2 2 2" xfId="16722" xr:uid="{00000000-0005-0000-0000-000067100000}"/>
    <cellStyle name="Comma 4 7 5 2 2 2 2 2" xfId="33037" xr:uid="{00000000-0005-0000-0000-000068100000}"/>
    <cellStyle name="Comma 4 7 5 2 2 2 3" xfId="26072" xr:uid="{00000000-0005-0000-0000-000069100000}"/>
    <cellStyle name="Comma 4 7 5 2 2 3" xfId="12801" xr:uid="{00000000-0005-0000-0000-00006A100000}"/>
    <cellStyle name="Comma 4 7 5 2 2 3 2" xfId="29376" xr:uid="{00000000-0005-0000-0000-00006B100000}"/>
    <cellStyle name="Comma 4 7 5 2 2 4" xfId="13994" xr:uid="{00000000-0005-0000-0000-00006C100000}"/>
    <cellStyle name="Comma 4 7 5 2 2 4 2" xfId="30314" xr:uid="{00000000-0005-0000-0000-00006D100000}"/>
    <cellStyle name="Comma 4 7 5 2 2 5" xfId="13587" xr:uid="{00000000-0005-0000-0000-00006E100000}"/>
    <cellStyle name="Comma 4 7 5 2 2 6" xfId="22772" xr:uid="{00000000-0005-0000-0000-00006F100000}"/>
    <cellStyle name="Comma 4 7 5 2 3" xfId="7838" xr:uid="{00000000-0005-0000-0000-000070100000}"/>
    <cellStyle name="Comma 4 7 5 2 3 2" xfId="15101" xr:uid="{00000000-0005-0000-0000-000071100000}"/>
    <cellStyle name="Comma 4 7 5 2 3 2 2" xfId="31416" xr:uid="{00000000-0005-0000-0000-000072100000}"/>
    <cellStyle name="Comma 4 7 5 2 3 3" xfId="24451" xr:uid="{00000000-0005-0000-0000-000073100000}"/>
    <cellStyle name="Comma 4 7 5 2 4" xfId="11153" xr:uid="{00000000-0005-0000-0000-000074100000}"/>
    <cellStyle name="Comma 4 7 5 2 4 2" xfId="27751" xr:uid="{00000000-0005-0000-0000-000075100000}"/>
    <cellStyle name="Comma 4 7 5 2 5" xfId="13833" xr:uid="{00000000-0005-0000-0000-000076100000}"/>
    <cellStyle name="Comma 4 7 5 2 5 2" xfId="30180" xr:uid="{00000000-0005-0000-0000-000077100000}"/>
    <cellStyle name="Comma 4 7 5 2 6" xfId="13679" xr:uid="{00000000-0005-0000-0000-000078100000}"/>
    <cellStyle name="Comma 4 7 5 2 7" xfId="3546" xr:uid="{00000000-0005-0000-0000-000079100000}"/>
    <cellStyle name="Comma 4 7 5 2 7 2" xfId="20269" xr:uid="{00000000-0005-0000-0000-00007A100000}"/>
    <cellStyle name="Comma 4 7 5 2 8" xfId="18673" xr:uid="{00000000-0005-0000-0000-00007B100000}"/>
    <cellStyle name="Comma 4 7 5 3" xfId="1941" xr:uid="{00000000-0005-0000-0000-00007C100000}"/>
    <cellStyle name="Comma 4 7 5 3 2" xfId="9053" xr:uid="{00000000-0005-0000-0000-00007D100000}"/>
    <cellStyle name="Comma 4 7 5 3 2 2" xfId="16316" xr:uid="{00000000-0005-0000-0000-00007E100000}"/>
    <cellStyle name="Comma 4 7 5 3 2 2 2" xfId="32631" xr:uid="{00000000-0005-0000-0000-00007F100000}"/>
    <cellStyle name="Comma 4 7 5 3 2 3" xfId="25666" xr:uid="{00000000-0005-0000-0000-000080100000}"/>
    <cellStyle name="Comma 4 7 5 3 3" xfId="12395" xr:uid="{00000000-0005-0000-0000-000081100000}"/>
    <cellStyle name="Comma 4 7 5 3 3 2" xfId="28970" xr:uid="{00000000-0005-0000-0000-000082100000}"/>
    <cellStyle name="Comma 4 7 5 3 4" xfId="13955" xr:uid="{00000000-0005-0000-0000-000083100000}"/>
    <cellStyle name="Comma 4 7 5 3 4 2" xfId="30275" xr:uid="{00000000-0005-0000-0000-000084100000}"/>
    <cellStyle name="Comma 4 7 5 3 5" xfId="13637" xr:uid="{00000000-0005-0000-0000-000085100000}"/>
    <cellStyle name="Comma 4 7 5 3 6" xfId="5702" xr:uid="{00000000-0005-0000-0000-000086100000}"/>
    <cellStyle name="Comma 4 7 5 3 6 2" xfId="22366" xr:uid="{00000000-0005-0000-0000-000087100000}"/>
    <cellStyle name="Comma 4 7 5 3 7" xfId="18672" xr:uid="{00000000-0005-0000-0000-000088100000}"/>
    <cellStyle name="Comma 4 7 5 4" xfId="6741" xr:uid="{00000000-0005-0000-0000-000089100000}"/>
    <cellStyle name="Comma 4 7 5 4 2" xfId="10079" xr:uid="{00000000-0005-0000-0000-00008A100000}"/>
    <cellStyle name="Comma 4 7 5 4 2 2" xfId="17342" xr:uid="{00000000-0005-0000-0000-00008B100000}"/>
    <cellStyle name="Comma 4 7 5 4 2 2 2" xfId="33657" xr:uid="{00000000-0005-0000-0000-00008C100000}"/>
    <cellStyle name="Comma 4 7 5 4 2 3" xfId="26692" xr:uid="{00000000-0005-0000-0000-00008D100000}"/>
    <cellStyle name="Comma 4 7 5 4 3" xfId="13422" xr:uid="{00000000-0005-0000-0000-00008E100000}"/>
    <cellStyle name="Comma 4 7 5 4 3 2" xfId="29996" xr:uid="{00000000-0005-0000-0000-00008F100000}"/>
    <cellStyle name="Comma 4 7 5 4 4" xfId="14058" xr:uid="{00000000-0005-0000-0000-000090100000}"/>
    <cellStyle name="Comma 4 7 5 4 4 2" xfId="30376" xr:uid="{00000000-0005-0000-0000-000091100000}"/>
    <cellStyle name="Comma 4 7 5 4 5" xfId="13536" xr:uid="{00000000-0005-0000-0000-000092100000}"/>
    <cellStyle name="Comma 4 7 5 4 6" xfId="23392" xr:uid="{00000000-0005-0000-0000-000093100000}"/>
    <cellStyle name="Comma 4 7 5 5" xfId="6735" xr:uid="{00000000-0005-0000-0000-000094100000}"/>
    <cellStyle name="Comma 4 7 5 6" xfId="7432" xr:uid="{00000000-0005-0000-0000-000095100000}"/>
    <cellStyle name="Comma 4 7 5 6 2" xfId="14695" xr:uid="{00000000-0005-0000-0000-000096100000}"/>
    <cellStyle name="Comma 4 7 5 6 2 2" xfId="31010" xr:uid="{00000000-0005-0000-0000-000097100000}"/>
    <cellStyle name="Comma 4 7 5 6 3" xfId="24045" xr:uid="{00000000-0005-0000-0000-000098100000}"/>
    <cellStyle name="Comma 4 7 5 7" xfId="10747" xr:uid="{00000000-0005-0000-0000-000099100000}"/>
    <cellStyle name="Comma 4 7 5 7 2" xfId="27345" xr:uid="{00000000-0005-0000-0000-00009A100000}"/>
    <cellStyle name="Comma 4 7 5 8" xfId="13794" xr:uid="{00000000-0005-0000-0000-00009B100000}"/>
    <cellStyle name="Comma 4 7 5 8 2" xfId="30141" xr:uid="{00000000-0005-0000-0000-00009C100000}"/>
    <cellStyle name="Comma 4 7 5 9" xfId="3545" xr:uid="{00000000-0005-0000-0000-00009D100000}"/>
    <cellStyle name="Comma 4 7 5 9 2" xfId="20268" xr:uid="{00000000-0005-0000-0000-00009E100000}"/>
    <cellStyle name="Comma 4 7 6" xfId="1931" xr:uid="{00000000-0005-0000-0000-00009F100000}"/>
    <cellStyle name="Comma 4 7 6 2" xfId="8502" xr:uid="{00000000-0005-0000-0000-0000A0100000}"/>
    <cellStyle name="Comma 4 7 6 2 2" xfId="15765" xr:uid="{00000000-0005-0000-0000-0000A1100000}"/>
    <cellStyle name="Comma 4 7 6 2 2 2" xfId="32080" xr:uid="{00000000-0005-0000-0000-0000A2100000}"/>
    <cellStyle name="Comma 4 7 6 2 3" xfId="25115" xr:uid="{00000000-0005-0000-0000-0000A3100000}"/>
    <cellStyle name="Comma 4 7 6 3" xfId="11844" xr:uid="{00000000-0005-0000-0000-0000A4100000}"/>
    <cellStyle name="Comma 4 7 6 3 2" xfId="28419" xr:uid="{00000000-0005-0000-0000-0000A5100000}"/>
    <cellStyle name="Comma 4 7 6 4" xfId="13914" xr:uid="{00000000-0005-0000-0000-0000A6100000}"/>
    <cellStyle name="Comma 4 7 6 4 2" xfId="30234" xr:uid="{00000000-0005-0000-0000-0000A7100000}"/>
    <cellStyle name="Comma 4 7 6 5" xfId="13532" xr:uid="{00000000-0005-0000-0000-0000A8100000}"/>
    <cellStyle name="Comma 4 7 6 6" xfId="5151" xr:uid="{00000000-0005-0000-0000-0000A9100000}"/>
    <cellStyle name="Comma 4 7 6 6 2" xfId="21815" xr:uid="{00000000-0005-0000-0000-0000AA100000}"/>
    <cellStyle name="Comma 4 7 6 7" xfId="18662" xr:uid="{00000000-0005-0000-0000-0000AB100000}"/>
    <cellStyle name="Comma 4 7 7" xfId="6731" xr:uid="{00000000-0005-0000-0000-0000AC100000}"/>
    <cellStyle name="Comma 4 7 7 2" xfId="10071" xr:uid="{00000000-0005-0000-0000-0000AD100000}"/>
    <cellStyle name="Comma 4 7 7 2 2" xfId="17334" xr:uid="{00000000-0005-0000-0000-0000AE100000}"/>
    <cellStyle name="Comma 4 7 7 2 2 2" xfId="33649" xr:uid="{00000000-0005-0000-0000-0000AF100000}"/>
    <cellStyle name="Comma 4 7 7 2 3" xfId="26684" xr:uid="{00000000-0005-0000-0000-0000B0100000}"/>
    <cellStyle name="Comma 4 7 7 3" xfId="13414" xr:uid="{00000000-0005-0000-0000-0000B1100000}"/>
    <cellStyle name="Comma 4 7 7 3 2" xfId="29988" xr:uid="{00000000-0005-0000-0000-0000B2100000}"/>
    <cellStyle name="Comma 4 7 7 4" xfId="14050" xr:uid="{00000000-0005-0000-0000-0000B3100000}"/>
    <cellStyle name="Comma 4 7 7 4 2" xfId="30368" xr:uid="{00000000-0005-0000-0000-0000B4100000}"/>
    <cellStyle name="Comma 4 7 7 5" xfId="13630" xr:uid="{00000000-0005-0000-0000-0000B5100000}"/>
    <cellStyle name="Comma 4 7 7 6" xfId="23384" xr:uid="{00000000-0005-0000-0000-0000B6100000}"/>
    <cellStyle name="Comma 4 7 8" xfId="6883" xr:uid="{00000000-0005-0000-0000-0000B7100000}"/>
    <cellStyle name="Comma 4 7 8 2" xfId="14146" xr:uid="{00000000-0005-0000-0000-0000B8100000}"/>
    <cellStyle name="Comma 4 7 8 2 2" xfId="30461" xr:uid="{00000000-0005-0000-0000-0000B9100000}"/>
    <cellStyle name="Comma 4 7 8 3" xfId="23496" xr:uid="{00000000-0005-0000-0000-0000BA100000}"/>
    <cellStyle name="Comma 4 7 9" xfId="10197" xr:uid="{00000000-0005-0000-0000-0000BB100000}"/>
    <cellStyle name="Comma 4 7 9 2" xfId="26796" xr:uid="{00000000-0005-0000-0000-0000BC100000}"/>
    <cellStyle name="Comma 4 8" xfId="1943" xr:uid="{00000000-0005-0000-0000-0000BD100000}"/>
    <cellStyle name="Comma 4 8 10" xfId="3547" xr:uid="{00000000-0005-0000-0000-0000BE100000}"/>
    <cellStyle name="Comma 4 8 10 2" xfId="20270" xr:uid="{00000000-0005-0000-0000-0000BF100000}"/>
    <cellStyle name="Comma 4 8 11" xfId="18674" xr:uid="{00000000-0005-0000-0000-0000C0100000}"/>
    <cellStyle name="Comma 4 8 2" xfId="1944" xr:uid="{00000000-0005-0000-0000-0000C1100000}"/>
    <cellStyle name="Comma 4 8 2 10" xfId="18675" xr:uid="{00000000-0005-0000-0000-0000C2100000}"/>
    <cellStyle name="Comma 4 8 2 2" xfId="1945" xr:uid="{00000000-0005-0000-0000-0000C3100000}"/>
    <cellStyle name="Comma 4 8 2 2 2" xfId="6687" xr:uid="{00000000-0005-0000-0000-0000C4100000}"/>
    <cellStyle name="Comma 4 8 2 2 2 2" xfId="10038" xr:uid="{00000000-0005-0000-0000-0000C5100000}"/>
    <cellStyle name="Comma 4 8 2 2 2 2 2" xfId="17301" xr:uid="{00000000-0005-0000-0000-0000C6100000}"/>
    <cellStyle name="Comma 4 8 2 2 2 2 2 2" xfId="33616" xr:uid="{00000000-0005-0000-0000-0000C7100000}"/>
    <cellStyle name="Comma 4 8 2 2 2 2 3" xfId="26651" xr:uid="{00000000-0005-0000-0000-0000C8100000}"/>
    <cellStyle name="Comma 4 8 2 2 2 3" xfId="13380" xr:uid="{00000000-0005-0000-0000-0000C9100000}"/>
    <cellStyle name="Comma 4 8 2 2 2 3 2" xfId="29955" xr:uid="{00000000-0005-0000-0000-0000CA100000}"/>
    <cellStyle name="Comma 4 8 2 2 2 4" xfId="14027" xr:uid="{00000000-0005-0000-0000-0000CB100000}"/>
    <cellStyle name="Comma 4 8 2 2 2 4 2" xfId="30347" xr:uid="{00000000-0005-0000-0000-0000CC100000}"/>
    <cellStyle name="Comma 4 8 2 2 2 5" xfId="13709" xr:uid="{00000000-0005-0000-0000-0000CD100000}"/>
    <cellStyle name="Comma 4 8 2 2 2 6" xfId="23351" xr:uid="{00000000-0005-0000-0000-0000CE100000}"/>
    <cellStyle name="Comma 4 8 2 2 3" xfId="8417" xr:uid="{00000000-0005-0000-0000-0000CF100000}"/>
    <cellStyle name="Comma 4 8 2 2 3 2" xfId="15680" xr:uid="{00000000-0005-0000-0000-0000D0100000}"/>
    <cellStyle name="Comma 4 8 2 2 3 2 2" xfId="31995" xr:uid="{00000000-0005-0000-0000-0000D1100000}"/>
    <cellStyle name="Comma 4 8 2 2 3 3" xfId="25030" xr:uid="{00000000-0005-0000-0000-0000D2100000}"/>
    <cellStyle name="Comma 4 8 2 2 4" xfId="11732" xr:uid="{00000000-0005-0000-0000-0000D3100000}"/>
    <cellStyle name="Comma 4 8 2 2 4 2" xfId="28330" xr:uid="{00000000-0005-0000-0000-0000D4100000}"/>
    <cellStyle name="Comma 4 8 2 2 5" xfId="13866" xr:uid="{00000000-0005-0000-0000-0000D5100000}"/>
    <cellStyle name="Comma 4 8 2 2 5 2" xfId="30213" xr:uid="{00000000-0005-0000-0000-0000D6100000}"/>
    <cellStyle name="Comma 4 8 2 2 6" xfId="13666" xr:uid="{00000000-0005-0000-0000-0000D7100000}"/>
    <cellStyle name="Comma 4 8 2 2 7" xfId="3549" xr:uid="{00000000-0005-0000-0000-0000D8100000}"/>
    <cellStyle name="Comma 4 8 2 2 7 2" xfId="20272" xr:uid="{00000000-0005-0000-0000-0000D9100000}"/>
    <cellStyle name="Comma 4 8 2 2 8" xfId="18676" xr:uid="{00000000-0005-0000-0000-0000DA100000}"/>
    <cellStyle name="Comma 4 8 2 3" xfId="5911" xr:uid="{00000000-0005-0000-0000-0000DB100000}"/>
    <cellStyle name="Comma 4 8 2 3 2" xfId="9262" xr:uid="{00000000-0005-0000-0000-0000DC100000}"/>
    <cellStyle name="Comma 4 8 2 3 2 2" xfId="16525" xr:uid="{00000000-0005-0000-0000-0000DD100000}"/>
    <cellStyle name="Comma 4 8 2 3 2 2 2" xfId="32840" xr:uid="{00000000-0005-0000-0000-0000DE100000}"/>
    <cellStyle name="Comma 4 8 2 3 2 3" xfId="25875" xr:uid="{00000000-0005-0000-0000-0000DF100000}"/>
    <cellStyle name="Comma 4 8 2 3 3" xfId="12604" xr:uid="{00000000-0005-0000-0000-0000E0100000}"/>
    <cellStyle name="Comma 4 8 2 3 3 2" xfId="29179" xr:uid="{00000000-0005-0000-0000-0000E1100000}"/>
    <cellStyle name="Comma 4 8 2 3 4" xfId="13985" xr:uid="{00000000-0005-0000-0000-0000E2100000}"/>
    <cellStyle name="Comma 4 8 2 3 4 2" xfId="30305" xr:uid="{00000000-0005-0000-0000-0000E3100000}"/>
    <cellStyle name="Comma 4 8 2 3 5" xfId="13683" xr:uid="{00000000-0005-0000-0000-0000E4100000}"/>
    <cellStyle name="Comma 4 8 2 3 6" xfId="22575" xr:uid="{00000000-0005-0000-0000-0000E5100000}"/>
    <cellStyle name="Comma 4 8 2 4" xfId="6748" xr:uid="{00000000-0005-0000-0000-0000E6100000}"/>
    <cellStyle name="Comma 4 8 2 4 2" xfId="10083" xr:uid="{00000000-0005-0000-0000-0000E7100000}"/>
    <cellStyle name="Comma 4 8 2 4 2 2" xfId="17346" xr:uid="{00000000-0005-0000-0000-0000E8100000}"/>
    <cellStyle name="Comma 4 8 2 4 2 2 2" xfId="33661" xr:uid="{00000000-0005-0000-0000-0000E9100000}"/>
    <cellStyle name="Comma 4 8 2 4 2 3" xfId="26696" xr:uid="{00000000-0005-0000-0000-0000EA100000}"/>
    <cellStyle name="Comma 4 8 2 4 3" xfId="13426" xr:uid="{00000000-0005-0000-0000-0000EB100000}"/>
    <cellStyle name="Comma 4 8 2 4 3 2" xfId="30000" xr:uid="{00000000-0005-0000-0000-0000EC100000}"/>
    <cellStyle name="Comma 4 8 2 4 4" xfId="14062" xr:uid="{00000000-0005-0000-0000-0000ED100000}"/>
    <cellStyle name="Comma 4 8 2 4 4 2" xfId="30380" xr:uid="{00000000-0005-0000-0000-0000EE100000}"/>
    <cellStyle name="Comma 4 8 2 4 5" xfId="13502" xr:uid="{00000000-0005-0000-0000-0000EF100000}"/>
    <cellStyle name="Comma 4 8 2 4 6" xfId="23396" xr:uid="{00000000-0005-0000-0000-0000F0100000}"/>
    <cellStyle name="Comma 4 8 2 5" xfId="6773" xr:uid="{00000000-0005-0000-0000-0000F1100000}"/>
    <cellStyle name="Comma 4 8 2 6" xfId="7641" xr:uid="{00000000-0005-0000-0000-0000F2100000}"/>
    <cellStyle name="Comma 4 8 2 6 2" xfId="14904" xr:uid="{00000000-0005-0000-0000-0000F3100000}"/>
    <cellStyle name="Comma 4 8 2 6 2 2" xfId="31219" xr:uid="{00000000-0005-0000-0000-0000F4100000}"/>
    <cellStyle name="Comma 4 8 2 6 3" xfId="24254" xr:uid="{00000000-0005-0000-0000-0000F5100000}"/>
    <cellStyle name="Comma 4 8 2 7" xfId="10956" xr:uid="{00000000-0005-0000-0000-0000F6100000}"/>
    <cellStyle name="Comma 4 8 2 7 2" xfId="27554" xr:uid="{00000000-0005-0000-0000-0000F7100000}"/>
    <cellStyle name="Comma 4 8 2 8" xfId="13824" xr:uid="{00000000-0005-0000-0000-0000F8100000}"/>
    <cellStyle name="Comma 4 8 2 8 2" xfId="30171" xr:uid="{00000000-0005-0000-0000-0000F9100000}"/>
    <cellStyle name="Comma 4 8 2 9" xfId="3548" xr:uid="{00000000-0005-0000-0000-0000FA100000}"/>
    <cellStyle name="Comma 4 8 2 9 2" xfId="20271" xr:uid="{00000000-0005-0000-0000-0000FB100000}"/>
    <cellStyle name="Comma 4 8 3" xfId="1946" xr:uid="{00000000-0005-0000-0000-0000FC100000}"/>
    <cellStyle name="Comma 4 8 3 2" xfId="6317" xr:uid="{00000000-0005-0000-0000-0000FD100000}"/>
    <cellStyle name="Comma 4 8 3 2 2" xfId="9668" xr:uid="{00000000-0005-0000-0000-0000FE100000}"/>
    <cellStyle name="Comma 4 8 3 2 2 2" xfId="16931" xr:uid="{00000000-0005-0000-0000-0000FF100000}"/>
    <cellStyle name="Comma 4 8 3 2 2 2 2" xfId="33246" xr:uid="{00000000-0005-0000-0000-000000110000}"/>
    <cellStyle name="Comma 4 8 3 2 2 3" xfId="26281" xr:uid="{00000000-0005-0000-0000-000001110000}"/>
    <cellStyle name="Comma 4 8 3 2 3" xfId="13010" xr:uid="{00000000-0005-0000-0000-000002110000}"/>
    <cellStyle name="Comma 4 8 3 2 3 2" xfId="29585" xr:uid="{00000000-0005-0000-0000-000003110000}"/>
    <cellStyle name="Comma 4 8 3 2 4" xfId="14024" xr:uid="{00000000-0005-0000-0000-000004110000}"/>
    <cellStyle name="Comma 4 8 3 2 4 2" xfId="30344" xr:uid="{00000000-0005-0000-0000-000005110000}"/>
    <cellStyle name="Comma 4 8 3 2 5" xfId="13691" xr:uid="{00000000-0005-0000-0000-000006110000}"/>
    <cellStyle name="Comma 4 8 3 2 6" xfId="22981" xr:uid="{00000000-0005-0000-0000-000007110000}"/>
    <cellStyle name="Comma 4 8 3 3" xfId="8047" xr:uid="{00000000-0005-0000-0000-000008110000}"/>
    <cellStyle name="Comma 4 8 3 3 2" xfId="15310" xr:uid="{00000000-0005-0000-0000-000009110000}"/>
    <cellStyle name="Comma 4 8 3 3 2 2" xfId="31625" xr:uid="{00000000-0005-0000-0000-00000A110000}"/>
    <cellStyle name="Comma 4 8 3 3 3" xfId="24660" xr:uid="{00000000-0005-0000-0000-00000B110000}"/>
    <cellStyle name="Comma 4 8 3 4" xfId="11362" xr:uid="{00000000-0005-0000-0000-00000C110000}"/>
    <cellStyle name="Comma 4 8 3 4 2" xfId="27960" xr:uid="{00000000-0005-0000-0000-00000D110000}"/>
    <cellStyle name="Comma 4 8 3 5" xfId="13863" xr:uid="{00000000-0005-0000-0000-00000E110000}"/>
    <cellStyle name="Comma 4 8 3 5 2" xfId="30210" xr:uid="{00000000-0005-0000-0000-00000F110000}"/>
    <cellStyle name="Comma 4 8 3 6" xfId="13562" xr:uid="{00000000-0005-0000-0000-000010110000}"/>
    <cellStyle name="Comma 4 8 3 7" xfId="3550" xr:uid="{00000000-0005-0000-0000-000011110000}"/>
    <cellStyle name="Comma 4 8 3 7 2" xfId="20273" xr:uid="{00000000-0005-0000-0000-000012110000}"/>
    <cellStyle name="Comma 4 8 3 8" xfId="18677" xr:uid="{00000000-0005-0000-0000-000013110000}"/>
    <cellStyle name="Comma 4 8 4" xfId="5504" xr:uid="{00000000-0005-0000-0000-000014110000}"/>
    <cellStyle name="Comma 4 8 4 2" xfId="8855" xr:uid="{00000000-0005-0000-0000-000015110000}"/>
    <cellStyle name="Comma 4 8 4 2 2" xfId="16118" xr:uid="{00000000-0005-0000-0000-000016110000}"/>
    <cellStyle name="Comma 4 8 4 2 2 2" xfId="32433" xr:uid="{00000000-0005-0000-0000-000017110000}"/>
    <cellStyle name="Comma 4 8 4 2 3" xfId="25468" xr:uid="{00000000-0005-0000-0000-000018110000}"/>
    <cellStyle name="Comma 4 8 4 3" xfId="12197" xr:uid="{00000000-0005-0000-0000-000019110000}"/>
    <cellStyle name="Comma 4 8 4 3 2" xfId="28772" xr:uid="{00000000-0005-0000-0000-00001A110000}"/>
    <cellStyle name="Comma 4 8 4 4" xfId="13945" xr:uid="{00000000-0005-0000-0000-00001B110000}"/>
    <cellStyle name="Comma 4 8 4 4 2" xfId="30265" xr:uid="{00000000-0005-0000-0000-00001C110000}"/>
    <cellStyle name="Comma 4 8 4 5" xfId="13646" xr:uid="{00000000-0005-0000-0000-00001D110000}"/>
    <cellStyle name="Comma 4 8 4 6" xfId="22168" xr:uid="{00000000-0005-0000-0000-00001E110000}"/>
    <cellStyle name="Comma 4 8 5" xfId="6830" xr:uid="{00000000-0005-0000-0000-00001F110000}"/>
    <cellStyle name="Comma 4 8 5 2" xfId="10137" xr:uid="{00000000-0005-0000-0000-000020110000}"/>
    <cellStyle name="Comma 4 8 5 2 2" xfId="17400" xr:uid="{00000000-0005-0000-0000-000021110000}"/>
    <cellStyle name="Comma 4 8 5 2 2 2" xfId="33715" xr:uid="{00000000-0005-0000-0000-000022110000}"/>
    <cellStyle name="Comma 4 8 5 2 3" xfId="26750" xr:uid="{00000000-0005-0000-0000-000023110000}"/>
    <cellStyle name="Comma 4 8 5 3" xfId="13482" xr:uid="{00000000-0005-0000-0000-000024110000}"/>
    <cellStyle name="Comma 4 8 5 3 2" xfId="30054" xr:uid="{00000000-0005-0000-0000-000025110000}"/>
    <cellStyle name="Comma 4 8 5 4" xfId="14101" xr:uid="{00000000-0005-0000-0000-000026110000}"/>
    <cellStyle name="Comma 4 8 5 4 2" xfId="30417" xr:uid="{00000000-0005-0000-0000-000027110000}"/>
    <cellStyle name="Comma 4 8 5 5" xfId="13494" xr:uid="{00000000-0005-0000-0000-000028110000}"/>
    <cellStyle name="Comma 4 8 5 6" xfId="23450" xr:uid="{00000000-0005-0000-0000-000029110000}"/>
    <cellStyle name="Comma 4 8 6" xfId="6753" xr:uid="{00000000-0005-0000-0000-00002A110000}"/>
    <cellStyle name="Comma 4 8 7" xfId="7235" xr:uid="{00000000-0005-0000-0000-00002B110000}"/>
    <cellStyle name="Comma 4 8 7 2" xfId="14498" xr:uid="{00000000-0005-0000-0000-00002C110000}"/>
    <cellStyle name="Comma 4 8 7 2 2" xfId="30813" xr:uid="{00000000-0005-0000-0000-00002D110000}"/>
    <cellStyle name="Comma 4 8 7 3" xfId="23848" xr:uid="{00000000-0005-0000-0000-00002E110000}"/>
    <cellStyle name="Comma 4 8 8" xfId="10550" xr:uid="{00000000-0005-0000-0000-00002F110000}"/>
    <cellStyle name="Comma 4 8 8 2" xfId="27148" xr:uid="{00000000-0005-0000-0000-000030110000}"/>
    <cellStyle name="Comma 4 8 9" xfId="13782" xr:uid="{00000000-0005-0000-0000-000031110000}"/>
    <cellStyle name="Comma 4 8 9 2" xfId="30132" xr:uid="{00000000-0005-0000-0000-000032110000}"/>
    <cellStyle name="Comma 4 9" xfId="5029" xr:uid="{00000000-0005-0000-0000-000033110000}"/>
    <cellStyle name="Comma 4 9 2" xfId="6800" xr:uid="{00000000-0005-0000-0000-000034110000}"/>
    <cellStyle name="Comma 4 9 2 2" xfId="10113" xr:uid="{00000000-0005-0000-0000-000035110000}"/>
    <cellStyle name="Comma 4 9 2 2 2" xfId="17376" xr:uid="{00000000-0005-0000-0000-000036110000}"/>
    <cellStyle name="Comma 4 9 2 2 2 2" xfId="33691" xr:uid="{00000000-0005-0000-0000-000037110000}"/>
    <cellStyle name="Comma 4 9 2 2 3" xfId="26726" xr:uid="{00000000-0005-0000-0000-000038110000}"/>
    <cellStyle name="Comma 4 9 2 3" xfId="13458" xr:uid="{00000000-0005-0000-0000-000039110000}"/>
    <cellStyle name="Comma 4 9 2 3 2" xfId="30030" xr:uid="{00000000-0005-0000-0000-00003A110000}"/>
    <cellStyle name="Comma 4 9 2 4" xfId="14090" xr:uid="{00000000-0005-0000-0000-00003B110000}"/>
    <cellStyle name="Comma 4 9 2 4 2" xfId="30407" xr:uid="{00000000-0005-0000-0000-00003C110000}"/>
    <cellStyle name="Comma 4 9 2 5" xfId="11783" xr:uid="{00000000-0005-0000-0000-00003D110000}"/>
    <cellStyle name="Comma 4 9 2 6" xfId="23426" xr:uid="{00000000-0005-0000-0000-00003E110000}"/>
    <cellStyle name="Comma 4 9 3" xfId="8435" xr:uid="{00000000-0005-0000-0000-00003F110000}"/>
    <cellStyle name="Comma 4 9 3 2" xfId="15698" xr:uid="{00000000-0005-0000-0000-000040110000}"/>
    <cellStyle name="Comma 4 9 3 2 2" xfId="32013" xr:uid="{00000000-0005-0000-0000-000041110000}"/>
    <cellStyle name="Comma 4 9 3 3" xfId="25048" xr:uid="{00000000-0005-0000-0000-000042110000}"/>
    <cellStyle name="Comma 4 9 4" xfId="11750" xr:uid="{00000000-0005-0000-0000-000043110000}"/>
    <cellStyle name="Comma 4 9 4 2" xfId="28348" xr:uid="{00000000-0005-0000-0000-000044110000}"/>
    <cellStyle name="Comma 4 9 5" xfId="13869" xr:uid="{00000000-0005-0000-0000-000045110000}"/>
    <cellStyle name="Comma 4 9 5 2" xfId="30216" xr:uid="{00000000-0005-0000-0000-000046110000}"/>
    <cellStyle name="Comma 4 9 6" xfId="13544" xr:uid="{00000000-0005-0000-0000-000047110000}"/>
    <cellStyle name="Comma 4 9 7" xfId="21748" xr:uid="{00000000-0005-0000-0000-000048110000}"/>
    <cellStyle name="Comma 5" xfId="86" xr:uid="{00000000-0005-0000-0000-000049110000}"/>
    <cellStyle name="Comma 5 10" xfId="87" xr:uid="{00000000-0005-0000-0000-00004A110000}"/>
    <cellStyle name="Comma 5 11" xfId="88" xr:uid="{00000000-0005-0000-0000-00004B110000}"/>
    <cellStyle name="Comma 5 12" xfId="89" xr:uid="{00000000-0005-0000-0000-00004C110000}"/>
    <cellStyle name="Comma 5 13" xfId="90" xr:uid="{00000000-0005-0000-0000-00004D110000}"/>
    <cellStyle name="Comma 5 14" xfId="91" xr:uid="{00000000-0005-0000-0000-00004E110000}"/>
    <cellStyle name="Comma 5 15" xfId="92" xr:uid="{00000000-0005-0000-0000-00004F110000}"/>
    <cellStyle name="Comma 5 16" xfId="93" xr:uid="{00000000-0005-0000-0000-000050110000}"/>
    <cellStyle name="Comma 5 17" xfId="94" xr:uid="{00000000-0005-0000-0000-000051110000}"/>
    <cellStyle name="Comma 5 18" xfId="95" xr:uid="{00000000-0005-0000-0000-000052110000}"/>
    <cellStyle name="Comma 5 19" xfId="96" xr:uid="{00000000-0005-0000-0000-000053110000}"/>
    <cellStyle name="Comma 5 2" xfId="5" xr:uid="{00000000-0005-0000-0000-000054110000}"/>
    <cellStyle name="Comma 5 2 2" xfId="97" xr:uid="{00000000-0005-0000-0000-000055110000}"/>
    <cellStyle name="Comma 5 2 3" xfId="98" xr:uid="{00000000-0005-0000-0000-000056110000}"/>
    <cellStyle name="Comma 5 2 4" xfId="5047" xr:uid="{00000000-0005-0000-0000-000057110000}"/>
    <cellStyle name="Comma 5 20" xfId="99" xr:uid="{00000000-0005-0000-0000-000058110000}"/>
    <cellStyle name="Comma 5 21" xfId="100" xr:uid="{00000000-0005-0000-0000-000059110000}"/>
    <cellStyle name="Comma 5 22" xfId="101" xr:uid="{00000000-0005-0000-0000-00005A110000}"/>
    <cellStyle name="Comma 5 23" xfId="102" xr:uid="{00000000-0005-0000-0000-00005B110000}"/>
    <cellStyle name="Comma 5 24" xfId="103" xr:uid="{00000000-0005-0000-0000-00005C110000}"/>
    <cellStyle name="Comma 5 25" xfId="104" xr:uid="{00000000-0005-0000-0000-00005D110000}"/>
    <cellStyle name="Comma 5 26" xfId="105" xr:uid="{00000000-0005-0000-0000-00005E110000}"/>
    <cellStyle name="Comma 5 27" xfId="106" xr:uid="{00000000-0005-0000-0000-00005F110000}"/>
    <cellStyle name="Comma 5 28" xfId="107" xr:uid="{00000000-0005-0000-0000-000060110000}"/>
    <cellStyle name="Comma 5 29" xfId="108" xr:uid="{00000000-0005-0000-0000-000061110000}"/>
    <cellStyle name="Comma 5 3" xfId="109" xr:uid="{00000000-0005-0000-0000-000062110000}"/>
    <cellStyle name="Comma 5 30" xfId="110" xr:uid="{00000000-0005-0000-0000-000063110000}"/>
    <cellStyle name="Comma 5 31" xfId="111" xr:uid="{00000000-0005-0000-0000-000064110000}"/>
    <cellStyle name="Comma 5 32" xfId="112" xr:uid="{00000000-0005-0000-0000-000065110000}"/>
    <cellStyle name="Comma 5 33" xfId="113" xr:uid="{00000000-0005-0000-0000-000066110000}"/>
    <cellStyle name="Comma 5 4" xfId="114" xr:uid="{00000000-0005-0000-0000-000067110000}"/>
    <cellStyle name="Comma 5 5" xfId="115" xr:uid="{00000000-0005-0000-0000-000068110000}"/>
    <cellStyle name="Comma 5 6" xfId="116" xr:uid="{00000000-0005-0000-0000-000069110000}"/>
    <cellStyle name="Comma 5 7" xfId="117" xr:uid="{00000000-0005-0000-0000-00006A110000}"/>
    <cellStyle name="Comma 5 8" xfId="118" xr:uid="{00000000-0005-0000-0000-00006B110000}"/>
    <cellStyle name="Comma 5 9" xfId="119" xr:uid="{00000000-0005-0000-0000-00006C110000}"/>
    <cellStyle name="Comma 6" xfId="7" xr:uid="{00000000-0005-0000-0000-00006D110000}"/>
    <cellStyle name="Comma 6 10" xfId="27" xr:uid="{00000000-0005-0000-0000-00006E110000}"/>
    <cellStyle name="Comma 6 11" xfId="120" xr:uid="{00000000-0005-0000-0000-00006F110000}"/>
    <cellStyle name="Comma 6 12" xfId="121" xr:uid="{00000000-0005-0000-0000-000070110000}"/>
    <cellStyle name="Comma 6 13" xfId="30" xr:uid="{00000000-0005-0000-0000-000071110000}"/>
    <cellStyle name="Comma 6 14" xfId="122" xr:uid="{00000000-0005-0000-0000-000072110000}"/>
    <cellStyle name="Comma 6 15" xfId="33" xr:uid="{00000000-0005-0000-0000-000073110000}"/>
    <cellStyle name="Comma 6 16" xfId="31" xr:uid="{00000000-0005-0000-0000-000074110000}"/>
    <cellStyle name="Comma 6 17" xfId="123" xr:uid="{00000000-0005-0000-0000-000075110000}"/>
    <cellStyle name="Comma 6 18" xfId="35" xr:uid="{00000000-0005-0000-0000-000076110000}"/>
    <cellStyle name="Comma 6 19" xfId="124" xr:uid="{00000000-0005-0000-0000-000077110000}"/>
    <cellStyle name="Comma 6 2" xfId="125" xr:uid="{00000000-0005-0000-0000-000078110000}"/>
    <cellStyle name="Comma 6 20" xfId="36" xr:uid="{00000000-0005-0000-0000-000079110000}"/>
    <cellStyle name="Comma 6 21" xfId="126" xr:uid="{00000000-0005-0000-0000-00007A110000}"/>
    <cellStyle name="Comma 6 22" xfId="37" xr:uid="{00000000-0005-0000-0000-00007B110000}"/>
    <cellStyle name="Comma 6 23" xfId="32" xr:uid="{00000000-0005-0000-0000-00007C110000}"/>
    <cellStyle name="Comma 6 24" xfId="28" xr:uid="{00000000-0005-0000-0000-00007D110000}"/>
    <cellStyle name="Comma 6 25" xfId="127" xr:uid="{00000000-0005-0000-0000-00007E110000}"/>
    <cellStyle name="Comma 6 26" xfId="128" xr:uid="{00000000-0005-0000-0000-00007F110000}"/>
    <cellStyle name="Comma 6 27" xfId="129" xr:uid="{00000000-0005-0000-0000-000080110000}"/>
    <cellStyle name="Comma 6 28" xfId="130" xr:uid="{00000000-0005-0000-0000-000081110000}"/>
    <cellStyle name="Comma 6 29" xfId="131" xr:uid="{00000000-0005-0000-0000-000082110000}"/>
    <cellStyle name="Comma 6 3" xfId="12" xr:uid="{00000000-0005-0000-0000-000083110000}"/>
    <cellStyle name="Comma 6 30" xfId="132" xr:uid="{00000000-0005-0000-0000-000084110000}"/>
    <cellStyle name="Comma 6 31" xfId="133" xr:uid="{00000000-0005-0000-0000-000085110000}"/>
    <cellStyle name="Comma 6 32" xfId="134" xr:uid="{00000000-0005-0000-0000-000086110000}"/>
    <cellStyle name="Comma 6 33" xfId="5063" xr:uid="{00000000-0005-0000-0000-000087110000}"/>
    <cellStyle name="Comma 6 4" xfId="24" xr:uid="{00000000-0005-0000-0000-000088110000}"/>
    <cellStyle name="Comma 6 5" xfId="25" xr:uid="{00000000-0005-0000-0000-000089110000}"/>
    <cellStyle name="Comma 6 6" xfId="135" xr:uid="{00000000-0005-0000-0000-00008A110000}"/>
    <cellStyle name="Comma 6 7" xfId="136" xr:uid="{00000000-0005-0000-0000-00008B110000}"/>
    <cellStyle name="Comma 6 8" xfId="137" xr:uid="{00000000-0005-0000-0000-00008C110000}"/>
    <cellStyle name="Comma 6 9" xfId="138" xr:uid="{00000000-0005-0000-0000-00008D110000}"/>
    <cellStyle name="Comma 7" xfId="452" xr:uid="{00000000-0005-0000-0000-00008E110000}"/>
    <cellStyle name="Comma 7 10" xfId="139" xr:uid="{00000000-0005-0000-0000-00008F110000}"/>
    <cellStyle name="Comma 7 10 2" xfId="140" xr:uid="{00000000-0005-0000-0000-000090110000}"/>
    <cellStyle name="Comma 7 11" xfId="141" xr:uid="{00000000-0005-0000-0000-000091110000}"/>
    <cellStyle name="Comma 7 11 2" xfId="142" xr:uid="{00000000-0005-0000-0000-000092110000}"/>
    <cellStyle name="Comma 7 12" xfId="143" xr:uid="{00000000-0005-0000-0000-000093110000}"/>
    <cellStyle name="Comma 7 12 2" xfId="144" xr:uid="{00000000-0005-0000-0000-000094110000}"/>
    <cellStyle name="Comma 7 13" xfId="145" xr:uid="{00000000-0005-0000-0000-000095110000}"/>
    <cellStyle name="Comma 7 13 2" xfId="146" xr:uid="{00000000-0005-0000-0000-000096110000}"/>
    <cellStyle name="Comma 7 14" xfId="147" xr:uid="{00000000-0005-0000-0000-000097110000}"/>
    <cellStyle name="Comma 7 14 2" xfId="148" xr:uid="{00000000-0005-0000-0000-000098110000}"/>
    <cellStyle name="Comma 7 15" xfId="149" xr:uid="{00000000-0005-0000-0000-000099110000}"/>
    <cellStyle name="Comma 7 15 2" xfId="150" xr:uid="{00000000-0005-0000-0000-00009A110000}"/>
    <cellStyle name="Comma 7 16" xfId="151" xr:uid="{00000000-0005-0000-0000-00009B110000}"/>
    <cellStyle name="Comma 7 16 2" xfId="152" xr:uid="{00000000-0005-0000-0000-00009C110000}"/>
    <cellStyle name="Comma 7 17" xfId="153" xr:uid="{00000000-0005-0000-0000-00009D110000}"/>
    <cellStyle name="Comma 7 17 2" xfId="154" xr:uid="{00000000-0005-0000-0000-00009E110000}"/>
    <cellStyle name="Comma 7 18" xfId="155" xr:uid="{00000000-0005-0000-0000-00009F110000}"/>
    <cellStyle name="Comma 7 18 2" xfId="156" xr:uid="{00000000-0005-0000-0000-0000A0110000}"/>
    <cellStyle name="Comma 7 19" xfId="157" xr:uid="{00000000-0005-0000-0000-0000A1110000}"/>
    <cellStyle name="Comma 7 19 2" xfId="158" xr:uid="{00000000-0005-0000-0000-0000A2110000}"/>
    <cellStyle name="Comma 7 2" xfId="159" xr:uid="{00000000-0005-0000-0000-0000A3110000}"/>
    <cellStyle name="Comma 7 2 2" xfId="160" xr:uid="{00000000-0005-0000-0000-0000A4110000}"/>
    <cellStyle name="Comma 7 2 3" xfId="491" xr:uid="{00000000-0005-0000-0000-0000A5110000}"/>
    <cellStyle name="Comma 7 20" xfId="161" xr:uid="{00000000-0005-0000-0000-0000A6110000}"/>
    <cellStyle name="Comma 7 20 2" xfId="162" xr:uid="{00000000-0005-0000-0000-0000A7110000}"/>
    <cellStyle name="Comma 7 21" xfId="163" xr:uid="{00000000-0005-0000-0000-0000A8110000}"/>
    <cellStyle name="Comma 7 21 2" xfId="164" xr:uid="{00000000-0005-0000-0000-0000A9110000}"/>
    <cellStyle name="Comma 7 22" xfId="165" xr:uid="{00000000-0005-0000-0000-0000AA110000}"/>
    <cellStyle name="Comma 7 22 2" xfId="166" xr:uid="{00000000-0005-0000-0000-0000AB110000}"/>
    <cellStyle name="Comma 7 23" xfId="167" xr:uid="{00000000-0005-0000-0000-0000AC110000}"/>
    <cellStyle name="Comma 7 23 2" xfId="168" xr:uid="{00000000-0005-0000-0000-0000AD110000}"/>
    <cellStyle name="Comma 7 24" xfId="169" xr:uid="{00000000-0005-0000-0000-0000AE110000}"/>
    <cellStyle name="Comma 7 24 2" xfId="170" xr:uid="{00000000-0005-0000-0000-0000AF110000}"/>
    <cellStyle name="Comma 7 25" xfId="171" xr:uid="{00000000-0005-0000-0000-0000B0110000}"/>
    <cellStyle name="Comma 7 25 2" xfId="172" xr:uid="{00000000-0005-0000-0000-0000B1110000}"/>
    <cellStyle name="Comma 7 26" xfId="173" xr:uid="{00000000-0005-0000-0000-0000B2110000}"/>
    <cellStyle name="Comma 7 26 2" xfId="174" xr:uid="{00000000-0005-0000-0000-0000B3110000}"/>
    <cellStyle name="Comma 7 27" xfId="175" xr:uid="{00000000-0005-0000-0000-0000B4110000}"/>
    <cellStyle name="Comma 7 27 2" xfId="176" xr:uid="{00000000-0005-0000-0000-0000B5110000}"/>
    <cellStyle name="Comma 7 28" xfId="177" xr:uid="{00000000-0005-0000-0000-0000B6110000}"/>
    <cellStyle name="Comma 7 28 2" xfId="178" xr:uid="{00000000-0005-0000-0000-0000B7110000}"/>
    <cellStyle name="Comma 7 29" xfId="179" xr:uid="{00000000-0005-0000-0000-0000B8110000}"/>
    <cellStyle name="Comma 7 29 2" xfId="180" xr:uid="{00000000-0005-0000-0000-0000B9110000}"/>
    <cellStyle name="Comma 7 3" xfId="181" xr:uid="{00000000-0005-0000-0000-0000BA110000}"/>
    <cellStyle name="Comma 7 3 2" xfId="182" xr:uid="{00000000-0005-0000-0000-0000BB110000}"/>
    <cellStyle name="Comma 7 3 3" xfId="492" xr:uid="{00000000-0005-0000-0000-0000BC110000}"/>
    <cellStyle name="Comma 7 3 4" xfId="5064" xr:uid="{00000000-0005-0000-0000-0000BD110000}"/>
    <cellStyle name="Comma 7 30" xfId="183" xr:uid="{00000000-0005-0000-0000-0000BE110000}"/>
    <cellStyle name="Comma 7 30 2" xfId="184" xr:uid="{00000000-0005-0000-0000-0000BF110000}"/>
    <cellStyle name="Comma 7 31" xfId="493" xr:uid="{00000000-0005-0000-0000-0000C0110000}"/>
    <cellStyle name="Comma 7 31 2" xfId="494" xr:uid="{00000000-0005-0000-0000-0000C1110000}"/>
    <cellStyle name="Comma 7 31 3" xfId="13873" xr:uid="{00000000-0005-0000-0000-0000C2110000}"/>
    <cellStyle name="Comma 7 31 4" xfId="5065" xr:uid="{00000000-0005-0000-0000-0000C3110000}"/>
    <cellStyle name="Comma 7 32" xfId="495" xr:uid="{00000000-0005-0000-0000-0000C4110000}"/>
    <cellStyle name="Comma 7 4" xfId="185" xr:uid="{00000000-0005-0000-0000-0000C5110000}"/>
    <cellStyle name="Comma 7 4 2" xfId="186" xr:uid="{00000000-0005-0000-0000-0000C6110000}"/>
    <cellStyle name="Comma 7 5" xfId="187" xr:uid="{00000000-0005-0000-0000-0000C7110000}"/>
    <cellStyle name="Comma 7 5 2" xfId="188" xr:uid="{00000000-0005-0000-0000-0000C8110000}"/>
    <cellStyle name="Comma 7 6" xfId="189" xr:uid="{00000000-0005-0000-0000-0000C9110000}"/>
    <cellStyle name="Comma 7 6 2" xfId="190" xr:uid="{00000000-0005-0000-0000-0000CA110000}"/>
    <cellStyle name="Comma 7 7" xfId="191" xr:uid="{00000000-0005-0000-0000-0000CB110000}"/>
    <cellStyle name="Comma 7 7 2" xfId="192" xr:uid="{00000000-0005-0000-0000-0000CC110000}"/>
    <cellStyle name="Comma 7 8" xfId="193" xr:uid="{00000000-0005-0000-0000-0000CD110000}"/>
    <cellStyle name="Comma 7 8 2" xfId="194" xr:uid="{00000000-0005-0000-0000-0000CE110000}"/>
    <cellStyle name="Comma 7 9" xfId="195" xr:uid="{00000000-0005-0000-0000-0000CF110000}"/>
    <cellStyle name="Comma 7 9 2" xfId="196" xr:uid="{00000000-0005-0000-0000-0000D0110000}"/>
    <cellStyle name="Comma 8" xfId="11" xr:uid="{00000000-0005-0000-0000-0000D1110000}"/>
    <cellStyle name="Comma 8 2" xfId="197" xr:uid="{00000000-0005-0000-0000-0000D2110000}"/>
    <cellStyle name="Comma 8 2 2" xfId="496" xr:uid="{00000000-0005-0000-0000-0000D3110000}"/>
    <cellStyle name="Comma 8 2 3" xfId="5067" xr:uid="{00000000-0005-0000-0000-0000D4110000}"/>
    <cellStyle name="Comma 8 3" xfId="497" xr:uid="{00000000-0005-0000-0000-0000D5110000}"/>
    <cellStyle name="Comma 8 4" xfId="5066" xr:uid="{00000000-0005-0000-0000-0000D6110000}"/>
    <cellStyle name="Comma 9" xfId="583" xr:uid="{00000000-0005-0000-0000-0000D7110000}"/>
    <cellStyle name="Comma 9 2" xfId="498" xr:uid="{00000000-0005-0000-0000-0000D8110000}"/>
    <cellStyle name="Currency" xfId="450" builtinId="4"/>
    <cellStyle name="Currency 10" xfId="456" xr:uid="{00000000-0005-0000-0000-0000DA110000}"/>
    <cellStyle name="Currency 2" xfId="22" xr:uid="{00000000-0005-0000-0000-0000DB110000}"/>
    <cellStyle name="Currency 2 10" xfId="198" xr:uid="{00000000-0005-0000-0000-0000DC110000}"/>
    <cellStyle name="Currency 2 11" xfId="199" xr:uid="{00000000-0005-0000-0000-0000DD110000}"/>
    <cellStyle name="Currency 2 12" xfId="200" xr:uid="{00000000-0005-0000-0000-0000DE110000}"/>
    <cellStyle name="Currency 2 13" xfId="201" xr:uid="{00000000-0005-0000-0000-0000DF110000}"/>
    <cellStyle name="Currency 2 14" xfId="202" xr:uid="{00000000-0005-0000-0000-0000E0110000}"/>
    <cellStyle name="Currency 2 15" xfId="203" xr:uid="{00000000-0005-0000-0000-0000E1110000}"/>
    <cellStyle name="Currency 2 16" xfId="204" xr:uid="{00000000-0005-0000-0000-0000E2110000}"/>
    <cellStyle name="Currency 2 17" xfId="205" xr:uid="{00000000-0005-0000-0000-0000E3110000}"/>
    <cellStyle name="Currency 2 18" xfId="206" xr:uid="{00000000-0005-0000-0000-0000E4110000}"/>
    <cellStyle name="Currency 2 19" xfId="207" xr:uid="{00000000-0005-0000-0000-0000E5110000}"/>
    <cellStyle name="Currency 2 2" xfId="208" xr:uid="{00000000-0005-0000-0000-0000E6110000}"/>
    <cellStyle name="Currency 2 20" xfId="209" xr:uid="{00000000-0005-0000-0000-0000E7110000}"/>
    <cellStyle name="Currency 2 21" xfId="210" xr:uid="{00000000-0005-0000-0000-0000E8110000}"/>
    <cellStyle name="Currency 2 22" xfId="211" xr:uid="{00000000-0005-0000-0000-0000E9110000}"/>
    <cellStyle name="Currency 2 23" xfId="212" xr:uid="{00000000-0005-0000-0000-0000EA110000}"/>
    <cellStyle name="Currency 2 24" xfId="213" xr:uid="{00000000-0005-0000-0000-0000EB110000}"/>
    <cellStyle name="Currency 2 25" xfId="214" xr:uid="{00000000-0005-0000-0000-0000EC110000}"/>
    <cellStyle name="Currency 2 26" xfId="215" xr:uid="{00000000-0005-0000-0000-0000ED110000}"/>
    <cellStyle name="Currency 2 27" xfId="216" xr:uid="{00000000-0005-0000-0000-0000EE110000}"/>
    <cellStyle name="Currency 2 28" xfId="217" xr:uid="{00000000-0005-0000-0000-0000EF110000}"/>
    <cellStyle name="Currency 2 29" xfId="218" xr:uid="{00000000-0005-0000-0000-0000F0110000}"/>
    <cellStyle name="Currency 2 3" xfId="219" xr:uid="{00000000-0005-0000-0000-0000F1110000}"/>
    <cellStyle name="Currency 2 30" xfId="220" xr:uid="{00000000-0005-0000-0000-0000F2110000}"/>
    <cellStyle name="Currency 2 31" xfId="221" xr:uid="{00000000-0005-0000-0000-0000F3110000}"/>
    <cellStyle name="Currency 2 32" xfId="222" xr:uid="{00000000-0005-0000-0000-0000F4110000}"/>
    <cellStyle name="Currency 2 33" xfId="5068" xr:uid="{00000000-0005-0000-0000-0000F5110000}"/>
    <cellStyle name="Currency 2 4" xfId="223" xr:uid="{00000000-0005-0000-0000-0000F6110000}"/>
    <cellStyle name="Currency 2 5" xfId="224" xr:uid="{00000000-0005-0000-0000-0000F7110000}"/>
    <cellStyle name="Currency 2 6" xfId="225" xr:uid="{00000000-0005-0000-0000-0000F8110000}"/>
    <cellStyle name="Currency 2 7" xfId="226" xr:uid="{00000000-0005-0000-0000-0000F9110000}"/>
    <cellStyle name="Currency 2 8" xfId="227" xr:uid="{00000000-0005-0000-0000-0000FA110000}"/>
    <cellStyle name="Currency 2 9" xfId="228" xr:uid="{00000000-0005-0000-0000-0000FB110000}"/>
    <cellStyle name="Currency 3" xfId="6" xr:uid="{00000000-0005-0000-0000-0000FC110000}"/>
    <cellStyle name="Currency 4" xfId="8" xr:uid="{00000000-0005-0000-0000-0000FD110000}"/>
    <cellStyle name="Currency 4 10" xfId="229" xr:uid="{00000000-0005-0000-0000-0000FE110000}"/>
    <cellStyle name="Currency 4 11" xfId="230" xr:uid="{00000000-0005-0000-0000-0000FF110000}"/>
    <cellStyle name="Currency 4 12" xfId="231" xr:uid="{00000000-0005-0000-0000-000000120000}"/>
    <cellStyle name="Currency 4 13" xfId="232" xr:uid="{00000000-0005-0000-0000-000001120000}"/>
    <cellStyle name="Currency 4 14" xfId="233" xr:uid="{00000000-0005-0000-0000-000002120000}"/>
    <cellStyle name="Currency 4 15" xfId="234" xr:uid="{00000000-0005-0000-0000-000003120000}"/>
    <cellStyle name="Currency 4 16" xfId="235" xr:uid="{00000000-0005-0000-0000-000004120000}"/>
    <cellStyle name="Currency 4 17" xfId="236" xr:uid="{00000000-0005-0000-0000-000005120000}"/>
    <cellStyle name="Currency 4 18" xfId="237" xr:uid="{00000000-0005-0000-0000-000006120000}"/>
    <cellStyle name="Currency 4 19" xfId="238" xr:uid="{00000000-0005-0000-0000-000007120000}"/>
    <cellStyle name="Currency 4 2" xfId="239" xr:uid="{00000000-0005-0000-0000-000008120000}"/>
    <cellStyle name="Currency 4 20" xfId="240" xr:uid="{00000000-0005-0000-0000-000009120000}"/>
    <cellStyle name="Currency 4 21" xfId="241" xr:uid="{00000000-0005-0000-0000-00000A120000}"/>
    <cellStyle name="Currency 4 22" xfId="242" xr:uid="{00000000-0005-0000-0000-00000B120000}"/>
    <cellStyle name="Currency 4 23" xfId="243" xr:uid="{00000000-0005-0000-0000-00000C120000}"/>
    <cellStyle name="Currency 4 24" xfId="244" xr:uid="{00000000-0005-0000-0000-00000D120000}"/>
    <cellStyle name="Currency 4 25" xfId="15" xr:uid="{00000000-0005-0000-0000-00000E120000}"/>
    <cellStyle name="Currency 4 26" xfId="38" xr:uid="{00000000-0005-0000-0000-00000F120000}"/>
    <cellStyle name="Currency 4 27" xfId="39" xr:uid="{00000000-0005-0000-0000-000010120000}"/>
    <cellStyle name="Currency 4 28" xfId="245" xr:uid="{00000000-0005-0000-0000-000011120000}"/>
    <cellStyle name="Currency 4 29" xfId="246" xr:uid="{00000000-0005-0000-0000-000012120000}"/>
    <cellStyle name="Currency 4 3" xfId="247" xr:uid="{00000000-0005-0000-0000-000013120000}"/>
    <cellStyle name="Currency 4 30" xfId="248" xr:uid="{00000000-0005-0000-0000-000014120000}"/>
    <cellStyle name="Currency 4 31" xfId="499" xr:uid="{00000000-0005-0000-0000-000015120000}"/>
    <cellStyle name="Currency 4 32" xfId="5069" xr:uid="{00000000-0005-0000-0000-000016120000}"/>
    <cellStyle name="Currency 4 4" xfId="249" xr:uid="{00000000-0005-0000-0000-000017120000}"/>
    <cellStyle name="Currency 4 5" xfId="250" xr:uid="{00000000-0005-0000-0000-000018120000}"/>
    <cellStyle name="Currency 4 6" xfId="251" xr:uid="{00000000-0005-0000-0000-000019120000}"/>
    <cellStyle name="Currency 4 7" xfId="252" xr:uid="{00000000-0005-0000-0000-00001A120000}"/>
    <cellStyle name="Currency 4 8" xfId="253" xr:uid="{00000000-0005-0000-0000-00001B120000}"/>
    <cellStyle name="Currency 4 9" xfId="254" xr:uid="{00000000-0005-0000-0000-00001C120000}"/>
    <cellStyle name="Currency 5" xfId="451" xr:uid="{00000000-0005-0000-0000-00001D120000}"/>
    <cellStyle name="Currency 5 10" xfId="255" xr:uid="{00000000-0005-0000-0000-00001E120000}"/>
    <cellStyle name="Currency 5 10 2" xfId="256" xr:uid="{00000000-0005-0000-0000-00001F120000}"/>
    <cellStyle name="Currency 5 11" xfId="257" xr:uid="{00000000-0005-0000-0000-000020120000}"/>
    <cellStyle name="Currency 5 11 2" xfId="258" xr:uid="{00000000-0005-0000-0000-000021120000}"/>
    <cellStyle name="Currency 5 12" xfId="259" xr:uid="{00000000-0005-0000-0000-000022120000}"/>
    <cellStyle name="Currency 5 12 2" xfId="260" xr:uid="{00000000-0005-0000-0000-000023120000}"/>
    <cellStyle name="Currency 5 13" xfId="261" xr:uid="{00000000-0005-0000-0000-000024120000}"/>
    <cellStyle name="Currency 5 13 2" xfId="262" xr:uid="{00000000-0005-0000-0000-000025120000}"/>
    <cellStyle name="Currency 5 14" xfId="263" xr:uid="{00000000-0005-0000-0000-000026120000}"/>
    <cellStyle name="Currency 5 14 2" xfId="264" xr:uid="{00000000-0005-0000-0000-000027120000}"/>
    <cellStyle name="Currency 5 15" xfId="265" xr:uid="{00000000-0005-0000-0000-000028120000}"/>
    <cellStyle name="Currency 5 15 2" xfId="266" xr:uid="{00000000-0005-0000-0000-000029120000}"/>
    <cellStyle name="Currency 5 16" xfId="267" xr:uid="{00000000-0005-0000-0000-00002A120000}"/>
    <cellStyle name="Currency 5 16 2" xfId="268" xr:uid="{00000000-0005-0000-0000-00002B120000}"/>
    <cellStyle name="Currency 5 17" xfId="269" xr:uid="{00000000-0005-0000-0000-00002C120000}"/>
    <cellStyle name="Currency 5 17 2" xfId="270" xr:uid="{00000000-0005-0000-0000-00002D120000}"/>
    <cellStyle name="Currency 5 18" xfId="271" xr:uid="{00000000-0005-0000-0000-00002E120000}"/>
    <cellStyle name="Currency 5 18 2" xfId="272" xr:uid="{00000000-0005-0000-0000-00002F120000}"/>
    <cellStyle name="Currency 5 19" xfId="273" xr:uid="{00000000-0005-0000-0000-000030120000}"/>
    <cellStyle name="Currency 5 19 2" xfId="274" xr:uid="{00000000-0005-0000-0000-000031120000}"/>
    <cellStyle name="Currency 5 2" xfId="275" xr:uid="{00000000-0005-0000-0000-000032120000}"/>
    <cellStyle name="Currency 5 2 2" xfId="276" xr:uid="{00000000-0005-0000-0000-000033120000}"/>
    <cellStyle name="Currency 5 20" xfId="277" xr:uid="{00000000-0005-0000-0000-000034120000}"/>
    <cellStyle name="Currency 5 20 2" xfId="278" xr:uid="{00000000-0005-0000-0000-000035120000}"/>
    <cellStyle name="Currency 5 21" xfId="279" xr:uid="{00000000-0005-0000-0000-000036120000}"/>
    <cellStyle name="Currency 5 21 2" xfId="280" xr:uid="{00000000-0005-0000-0000-000037120000}"/>
    <cellStyle name="Currency 5 22" xfId="281" xr:uid="{00000000-0005-0000-0000-000038120000}"/>
    <cellStyle name="Currency 5 22 2" xfId="282" xr:uid="{00000000-0005-0000-0000-000039120000}"/>
    <cellStyle name="Currency 5 23" xfId="283" xr:uid="{00000000-0005-0000-0000-00003A120000}"/>
    <cellStyle name="Currency 5 23 2" xfId="284" xr:uid="{00000000-0005-0000-0000-00003B120000}"/>
    <cellStyle name="Currency 5 24" xfId="285" xr:uid="{00000000-0005-0000-0000-00003C120000}"/>
    <cellStyle name="Currency 5 24 2" xfId="286" xr:uid="{00000000-0005-0000-0000-00003D120000}"/>
    <cellStyle name="Currency 5 25" xfId="287" xr:uid="{00000000-0005-0000-0000-00003E120000}"/>
    <cellStyle name="Currency 5 25 2" xfId="288" xr:uid="{00000000-0005-0000-0000-00003F120000}"/>
    <cellStyle name="Currency 5 26" xfId="289" xr:uid="{00000000-0005-0000-0000-000040120000}"/>
    <cellStyle name="Currency 5 26 2" xfId="290" xr:uid="{00000000-0005-0000-0000-000041120000}"/>
    <cellStyle name="Currency 5 27" xfId="291" xr:uid="{00000000-0005-0000-0000-000042120000}"/>
    <cellStyle name="Currency 5 27 2" xfId="292" xr:uid="{00000000-0005-0000-0000-000043120000}"/>
    <cellStyle name="Currency 5 28" xfId="293" xr:uid="{00000000-0005-0000-0000-000044120000}"/>
    <cellStyle name="Currency 5 28 2" xfId="294" xr:uid="{00000000-0005-0000-0000-000045120000}"/>
    <cellStyle name="Currency 5 29" xfId="295" xr:uid="{00000000-0005-0000-0000-000046120000}"/>
    <cellStyle name="Currency 5 29 2" xfId="296" xr:uid="{00000000-0005-0000-0000-000047120000}"/>
    <cellStyle name="Currency 5 3" xfId="297" xr:uid="{00000000-0005-0000-0000-000048120000}"/>
    <cellStyle name="Currency 5 3 2" xfId="298" xr:uid="{00000000-0005-0000-0000-000049120000}"/>
    <cellStyle name="Currency 5 30" xfId="299" xr:uid="{00000000-0005-0000-0000-00004A120000}"/>
    <cellStyle name="Currency 5 30 2" xfId="300" xr:uid="{00000000-0005-0000-0000-00004B120000}"/>
    <cellStyle name="Currency 5 31" xfId="500" xr:uid="{00000000-0005-0000-0000-00004C120000}"/>
    <cellStyle name="Currency 5 31 2" xfId="501" xr:uid="{00000000-0005-0000-0000-00004D120000}"/>
    <cellStyle name="Currency 5 31 3" xfId="13874" xr:uid="{00000000-0005-0000-0000-00004E120000}"/>
    <cellStyle name="Currency 5 31 4" xfId="5070" xr:uid="{00000000-0005-0000-0000-00004F120000}"/>
    <cellStyle name="Currency 5 32" xfId="502" xr:uid="{00000000-0005-0000-0000-000050120000}"/>
    <cellStyle name="Currency 5 33" xfId="584" xr:uid="{00000000-0005-0000-0000-000051120000}"/>
    <cellStyle name="Currency 5 4" xfId="301" xr:uid="{00000000-0005-0000-0000-000052120000}"/>
    <cellStyle name="Currency 5 4 2" xfId="302" xr:uid="{00000000-0005-0000-0000-000053120000}"/>
    <cellStyle name="Currency 5 5" xfId="303" xr:uid="{00000000-0005-0000-0000-000054120000}"/>
    <cellStyle name="Currency 5 5 2" xfId="304" xr:uid="{00000000-0005-0000-0000-000055120000}"/>
    <cellStyle name="Currency 5 6" xfId="305" xr:uid="{00000000-0005-0000-0000-000056120000}"/>
    <cellStyle name="Currency 5 6 2" xfId="306" xr:uid="{00000000-0005-0000-0000-000057120000}"/>
    <cellStyle name="Currency 5 7" xfId="307" xr:uid="{00000000-0005-0000-0000-000058120000}"/>
    <cellStyle name="Currency 5 7 2" xfId="308" xr:uid="{00000000-0005-0000-0000-000059120000}"/>
    <cellStyle name="Currency 5 8" xfId="309" xr:uid="{00000000-0005-0000-0000-00005A120000}"/>
    <cellStyle name="Currency 5 8 2" xfId="310" xr:uid="{00000000-0005-0000-0000-00005B120000}"/>
    <cellStyle name="Currency 5 9" xfId="311" xr:uid="{00000000-0005-0000-0000-00005C120000}"/>
    <cellStyle name="Currency 5 9 2" xfId="312" xr:uid="{00000000-0005-0000-0000-00005D120000}"/>
    <cellStyle name="Currency 6" xfId="10" xr:uid="{00000000-0005-0000-0000-00005E120000}"/>
    <cellStyle name="Currency 6 2" xfId="313" xr:uid="{00000000-0005-0000-0000-00005F120000}"/>
    <cellStyle name="Currency 7" xfId="33777" xr:uid="{00000000-0005-0000-0000-000060120000}"/>
    <cellStyle name="Currency 9" xfId="13" xr:uid="{00000000-0005-0000-0000-000061120000}"/>
    <cellStyle name="Currency 9 2" xfId="314" xr:uid="{00000000-0005-0000-0000-000062120000}"/>
    <cellStyle name="Differs From Base - IBM Cognos" xfId="33755" xr:uid="{00000000-0005-0000-0000-000063120000}"/>
    <cellStyle name="Edit - IBM Cognos" xfId="33756" xr:uid="{00000000-0005-0000-0000-000064120000}"/>
    <cellStyle name="Formula - IBM Cognos" xfId="33757" xr:uid="{00000000-0005-0000-0000-000065120000}"/>
    <cellStyle name="Group Name - IBM Cognos" xfId="33758" xr:uid="{00000000-0005-0000-0000-000066120000}"/>
    <cellStyle name="Hold Values - IBM Cognos" xfId="33759" xr:uid="{00000000-0005-0000-0000-000067120000}"/>
    <cellStyle name="Hyperlink 2" xfId="315" xr:uid="{00000000-0005-0000-0000-000068120000}"/>
    <cellStyle name="Hyperlink 3" xfId="316" xr:uid="{00000000-0005-0000-0000-000069120000}"/>
    <cellStyle name="Hyperlink 3 10" xfId="317" xr:uid="{00000000-0005-0000-0000-00006A120000}"/>
    <cellStyle name="Hyperlink 3 11" xfId="318" xr:uid="{00000000-0005-0000-0000-00006B120000}"/>
    <cellStyle name="Hyperlink 3 2" xfId="319" xr:uid="{00000000-0005-0000-0000-00006C120000}"/>
    <cellStyle name="Hyperlink 3 3" xfId="320" xr:uid="{00000000-0005-0000-0000-00006D120000}"/>
    <cellStyle name="Hyperlink 3 4" xfId="321" xr:uid="{00000000-0005-0000-0000-00006E120000}"/>
    <cellStyle name="Hyperlink 3 5" xfId="322" xr:uid="{00000000-0005-0000-0000-00006F120000}"/>
    <cellStyle name="Hyperlink 3 6" xfId="323" xr:uid="{00000000-0005-0000-0000-000070120000}"/>
    <cellStyle name="Hyperlink 3 7" xfId="324" xr:uid="{00000000-0005-0000-0000-000071120000}"/>
    <cellStyle name="Hyperlink 3 8" xfId="325" xr:uid="{00000000-0005-0000-0000-000072120000}"/>
    <cellStyle name="Hyperlink 3 9" xfId="326" xr:uid="{00000000-0005-0000-0000-000073120000}"/>
    <cellStyle name="Hyperlink 4" xfId="327" xr:uid="{00000000-0005-0000-0000-000074120000}"/>
    <cellStyle name="List Name - IBM Cognos" xfId="33760" xr:uid="{00000000-0005-0000-0000-000075120000}"/>
    <cellStyle name="Locked - IBM Cognos" xfId="33761" xr:uid="{00000000-0005-0000-0000-000076120000}"/>
    <cellStyle name="Measure - IBM Cognos" xfId="33762" xr:uid="{00000000-0005-0000-0000-000077120000}"/>
    <cellStyle name="Measure Header - IBM Cognos" xfId="33763" xr:uid="{00000000-0005-0000-0000-000078120000}"/>
    <cellStyle name="Measure Name - IBM Cognos" xfId="33764" xr:uid="{00000000-0005-0000-0000-000079120000}"/>
    <cellStyle name="Measure Summary - IBM Cognos" xfId="33765" xr:uid="{00000000-0005-0000-0000-00007A120000}"/>
    <cellStyle name="Measure Summary TM1 - IBM Cognos" xfId="33766" xr:uid="{00000000-0005-0000-0000-00007B120000}"/>
    <cellStyle name="Measure Template - IBM Cognos" xfId="33767" xr:uid="{00000000-0005-0000-0000-00007C120000}"/>
    <cellStyle name="More - IBM Cognos" xfId="33768" xr:uid="{00000000-0005-0000-0000-00007D120000}"/>
    <cellStyle name="Normal" xfId="0" builtinId="0"/>
    <cellStyle name="Normal 10" xfId="29" xr:uid="{00000000-0005-0000-0000-00007F120000}"/>
    <cellStyle name="Normal 10 2" xfId="328" xr:uid="{00000000-0005-0000-0000-000080120000}"/>
    <cellStyle name="Normal 10 2 2" xfId="503" xr:uid="{00000000-0005-0000-0000-000081120000}"/>
    <cellStyle name="Normal 10 3" xfId="329" xr:uid="{00000000-0005-0000-0000-000082120000}"/>
    <cellStyle name="Normal 10 3 2" xfId="330" xr:uid="{00000000-0005-0000-0000-000083120000}"/>
    <cellStyle name="Normal 10 3 3" xfId="331" xr:uid="{00000000-0005-0000-0000-000084120000}"/>
    <cellStyle name="Normal 10 3 4" xfId="5071" xr:uid="{00000000-0005-0000-0000-000085120000}"/>
    <cellStyle name="Normal 10 4" xfId="332" xr:uid="{00000000-0005-0000-0000-000086120000}"/>
    <cellStyle name="Normal 11" xfId="585" xr:uid="{00000000-0005-0000-0000-000087120000}"/>
    <cellStyle name="Normal 11 2" xfId="333" xr:uid="{00000000-0005-0000-0000-000088120000}"/>
    <cellStyle name="Normal 11 2 2" xfId="504" xr:uid="{00000000-0005-0000-0000-000089120000}"/>
    <cellStyle name="Normal 11 3" xfId="334" xr:uid="{00000000-0005-0000-0000-00008A120000}"/>
    <cellStyle name="Normal 12" xfId="586" xr:uid="{00000000-0005-0000-0000-00008B120000}"/>
    <cellStyle name="Normal 12 2" xfId="335" xr:uid="{00000000-0005-0000-0000-00008C120000}"/>
    <cellStyle name="Normal 12 2 2" xfId="505" xr:uid="{00000000-0005-0000-0000-00008D120000}"/>
    <cellStyle name="Normal 12 3" xfId="336" xr:uid="{00000000-0005-0000-0000-00008E120000}"/>
    <cellStyle name="Normal 13" xfId="587" xr:uid="{00000000-0005-0000-0000-00008F120000}"/>
    <cellStyle name="Normal 13 2" xfId="337" xr:uid="{00000000-0005-0000-0000-000090120000}"/>
    <cellStyle name="Normal 14" xfId="588" xr:uid="{00000000-0005-0000-0000-000091120000}"/>
    <cellStyle name="Normal 14 2" xfId="338" xr:uid="{00000000-0005-0000-0000-000092120000}"/>
    <cellStyle name="Normal 14 2 2" xfId="506" xr:uid="{00000000-0005-0000-0000-000093120000}"/>
    <cellStyle name="Normal 14 3" xfId="339" xr:uid="{00000000-0005-0000-0000-000094120000}"/>
    <cellStyle name="Normal 15" xfId="34" xr:uid="{00000000-0005-0000-0000-000095120000}"/>
    <cellStyle name="Normal 15 2" xfId="340" xr:uid="{00000000-0005-0000-0000-000096120000}"/>
    <cellStyle name="Normal 15 2 2" xfId="507" xr:uid="{00000000-0005-0000-0000-000097120000}"/>
    <cellStyle name="Normal 15 3" xfId="341" xr:uid="{00000000-0005-0000-0000-000098120000}"/>
    <cellStyle name="Normal 15 3 2" xfId="342" xr:uid="{00000000-0005-0000-0000-000099120000}"/>
    <cellStyle name="Normal 15 3 3" xfId="343" xr:uid="{00000000-0005-0000-0000-00009A120000}"/>
    <cellStyle name="Normal 15 3 4" xfId="5073" xr:uid="{00000000-0005-0000-0000-00009B120000}"/>
    <cellStyle name="Normal 15 4" xfId="344" xr:uid="{00000000-0005-0000-0000-00009C120000}"/>
    <cellStyle name="Normal 15 5" xfId="5072" xr:uid="{00000000-0005-0000-0000-00009D120000}"/>
    <cellStyle name="Normal 16" xfId="589" xr:uid="{00000000-0005-0000-0000-00009E120000}"/>
    <cellStyle name="Normal 16 2" xfId="345" xr:uid="{00000000-0005-0000-0000-00009F120000}"/>
    <cellStyle name="Normal 16 2 2" xfId="508" xr:uid="{00000000-0005-0000-0000-0000A0120000}"/>
    <cellStyle name="Normal 16 3" xfId="346" xr:uid="{00000000-0005-0000-0000-0000A1120000}"/>
    <cellStyle name="Normal 17" xfId="590" xr:uid="{00000000-0005-0000-0000-0000A2120000}"/>
    <cellStyle name="Normal 17 2" xfId="509" xr:uid="{00000000-0005-0000-0000-0000A3120000}"/>
    <cellStyle name="Normal 17 2 2" xfId="510" xr:uid="{00000000-0005-0000-0000-0000A4120000}"/>
    <cellStyle name="Normal 17 3" xfId="511" xr:uid="{00000000-0005-0000-0000-0000A5120000}"/>
    <cellStyle name="Normal 18" xfId="591" xr:uid="{00000000-0005-0000-0000-0000A6120000}"/>
    <cellStyle name="Normal 18 2" xfId="512" xr:uid="{00000000-0005-0000-0000-0000A7120000}"/>
    <cellStyle name="Normal 18 3" xfId="513" xr:uid="{00000000-0005-0000-0000-0000A8120000}"/>
    <cellStyle name="Normal 19" xfId="592" xr:uid="{00000000-0005-0000-0000-0000A9120000}"/>
    <cellStyle name="Normal 19 10" xfId="1947" xr:uid="{00000000-0005-0000-0000-0000AA120000}"/>
    <cellStyle name="Normal 19 10 2" xfId="14107" xr:uid="{00000000-0005-0000-0000-0000AB120000}"/>
    <cellStyle name="Normal 19 10 2 2" xfId="30422" xr:uid="{00000000-0005-0000-0000-0000AC120000}"/>
    <cellStyle name="Normal 19 10 3" xfId="6844" xr:uid="{00000000-0005-0000-0000-0000AD120000}"/>
    <cellStyle name="Normal 19 10 3 2" xfId="23457" xr:uid="{00000000-0005-0000-0000-0000AE120000}"/>
    <cellStyle name="Normal 19 10 4" xfId="18678" xr:uid="{00000000-0005-0000-0000-0000AF120000}"/>
    <cellStyle name="Normal 19 11" xfId="10144" xr:uid="{00000000-0005-0000-0000-0000B0120000}"/>
    <cellStyle name="Normal 19 11 2" xfId="26757" xr:uid="{00000000-0005-0000-0000-0000B1120000}"/>
    <cellStyle name="Normal 19 12" xfId="3551" xr:uid="{00000000-0005-0000-0000-0000B2120000}"/>
    <cellStyle name="Normal 19 12 2" xfId="20274" xr:uid="{00000000-0005-0000-0000-0000B3120000}"/>
    <cellStyle name="Normal 19 13" xfId="17427" xr:uid="{00000000-0005-0000-0000-0000B4120000}"/>
    <cellStyle name="Normal 19 2" xfId="347" xr:uid="{00000000-0005-0000-0000-0000B5120000}"/>
    <cellStyle name="Normal 19 2 10" xfId="6848" xr:uid="{00000000-0005-0000-0000-0000B6120000}"/>
    <cellStyle name="Normal 19 2 10 2" xfId="14111" xr:uid="{00000000-0005-0000-0000-0000B7120000}"/>
    <cellStyle name="Normal 19 2 10 2 2" xfId="30426" xr:uid="{00000000-0005-0000-0000-0000B8120000}"/>
    <cellStyle name="Normal 19 2 10 3" xfId="23461" xr:uid="{00000000-0005-0000-0000-0000B9120000}"/>
    <cellStyle name="Normal 19 2 11" xfId="10152" xr:uid="{00000000-0005-0000-0000-0000BA120000}"/>
    <cellStyle name="Normal 19 2 11 2" xfId="26761" xr:uid="{00000000-0005-0000-0000-0000BB120000}"/>
    <cellStyle name="Normal 19 2 12" xfId="3552" xr:uid="{00000000-0005-0000-0000-0000BC120000}"/>
    <cellStyle name="Normal 19 2 12 2" xfId="20275" xr:uid="{00000000-0005-0000-0000-0000BD120000}"/>
    <cellStyle name="Normal 19 2 13" xfId="17407" xr:uid="{00000000-0005-0000-0000-0000BE120000}"/>
    <cellStyle name="Normal 19 2 14" xfId="455" xr:uid="{00000000-0005-0000-0000-0000BF120000}"/>
    <cellStyle name="Normal 19 2 2" xfId="593" xr:uid="{00000000-0005-0000-0000-0000C0120000}"/>
    <cellStyle name="Normal 19 2 2 10" xfId="3553" xr:uid="{00000000-0005-0000-0000-0000C1120000}"/>
    <cellStyle name="Normal 19 2 2 10 2" xfId="20276" xr:uid="{00000000-0005-0000-0000-0000C2120000}"/>
    <cellStyle name="Normal 19 2 2 11" xfId="17428" xr:uid="{00000000-0005-0000-0000-0000C3120000}"/>
    <cellStyle name="Normal 19 2 2 2" xfId="684" xr:uid="{00000000-0005-0000-0000-0000C4120000}"/>
    <cellStyle name="Normal 19 2 2 2 10" xfId="17498" xr:uid="{00000000-0005-0000-0000-0000C5120000}"/>
    <cellStyle name="Normal 19 2 2 2 2" xfId="1019" xr:uid="{00000000-0005-0000-0000-0000C6120000}"/>
    <cellStyle name="Normal 19 2 2 2 2 2" xfId="1097" xr:uid="{00000000-0005-0000-0000-0000C7120000}"/>
    <cellStyle name="Normal 19 2 2 2 2 2 2" xfId="1618" xr:uid="{00000000-0005-0000-0000-0000C8120000}"/>
    <cellStyle name="Normal 19 2 2 2 2 2 2 2" xfId="1954" xr:uid="{00000000-0005-0000-0000-0000C9120000}"/>
    <cellStyle name="Normal 19 2 2 2 2 2 2 2 2" xfId="6512" xr:uid="{00000000-0005-0000-0000-0000CA120000}"/>
    <cellStyle name="Normal 19 2 2 2 2 2 2 2 2 2" xfId="9863" xr:uid="{00000000-0005-0000-0000-0000CB120000}"/>
    <cellStyle name="Normal 19 2 2 2 2 2 2 2 2 2 2" xfId="17126" xr:uid="{00000000-0005-0000-0000-0000CC120000}"/>
    <cellStyle name="Normal 19 2 2 2 2 2 2 2 2 2 2 2" xfId="33441" xr:uid="{00000000-0005-0000-0000-0000CD120000}"/>
    <cellStyle name="Normal 19 2 2 2 2 2 2 2 2 2 3" xfId="26476" xr:uid="{00000000-0005-0000-0000-0000CE120000}"/>
    <cellStyle name="Normal 19 2 2 2 2 2 2 2 2 3" xfId="13205" xr:uid="{00000000-0005-0000-0000-0000CF120000}"/>
    <cellStyle name="Normal 19 2 2 2 2 2 2 2 2 3 2" xfId="29780" xr:uid="{00000000-0005-0000-0000-0000D0120000}"/>
    <cellStyle name="Normal 19 2 2 2 2 2 2 2 2 4" xfId="23176" xr:uid="{00000000-0005-0000-0000-0000D1120000}"/>
    <cellStyle name="Normal 19 2 2 2 2 2 2 2 3" xfId="8242" xr:uid="{00000000-0005-0000-0000-0000D2120000}"/>
    <cellStyle name="Normal 19 2 2 2 2 2 2 2 3 2" xfId="15505" xr:uid="{00000000-0005-0000-0000-0000D3120000}"/>
    <cellStyle name="Normal 19 2 2 2 2 2 2 2 3 2 2" xfId="31820" xr:uid="{00000000-0005-0000-0000-0000D4120000}"/>
    <cellStyle name="Normal 19 2 2 2 2 2 2 2 3 3" xfId="24855" xr:uid="{00000000-0005-0000-0000-0000D5120000}"/>
    <cellStyle name="Normal 19 2 2 2 2 2 2 2 4" xfId="11557" xr:uid="{00000000-0005-0000-0000-0000D6120000}"/>
    <cellStyle name="Normal 19 2 2 2 2 2 2 2 4 2" xfId="28155" xr:uid="{00000000-0005-0000-0000-0000D7120000}"/>
    <cellStyle name="Normal 19 2 2 2 2 2 2 2 5" xfId="3558" xr:uid="{00000000-0005-0000-0000-0000D8120000}"/>
    <cellStyle name="Normal 19 2 2 2 2 2 2 2 5 2" xfId="20281" xr:uid="{00000000-0005-0000-0000-0000D9120000}"/>
    <cellStyle name="Normal 19 2 2 2 2 2 2 2 6" xfId="18685" xr:uid="{00000000-0005-0000-0000-0000DA120000}"/>
    <cellStyle name="Normal 19 2 2 2 2 2 2 3" xfId="1953" xr:uid="{00000000-0005-0000-0000-0000DB120000}"/>
    <cellStyle name="Normal 19 2 2 2 2 2 2 3 2" xfId="9087" xr:uid="{00000000-0005-0000-0000-0000DC120000}"/>
    <cellStyle name="Normal 19 2 2 2 2 2 2 3 2 2" xfId="16350" xr:uid="{00000000-0005-0000-0000-0000DD120000}"/>
    <cellStyle name="Normal 19 2 2 2 2 2 2 3 2 2 2" xfId="32665" xr:uid="{00000000-0005-0000-0000-0000DE120000}"/>
    <cellStyle name="Normal 19 2 2 2 2 2 2 3 2 3" xfId="25700" xr:uid="{00000000-0005-0000-0000-0000DF120000}"/>
    <cellStyle name="Normal 19 2 2 2 2 2 2 3 3" xfId="12429" xr:uid="{00000000-0005-0000-0000-0000E0120000}"/>
    <cellStyle name="Normal 19 2 2 2 2 2 2 3 3 2" xfId="29004" xr:uid="{00000000-0005-0000-0000-0000E1120000}"/>
    <cellStyle name="Normal 19 2 2 2 2 2 2 3 4" xfId="5736" xr:uid="{00000000-0005-0000-0000-0000E2120000}"/>
    <cellStyle name="Normal 19 2 2 2 2 2 2 3 4 2" xfId="22400" xr:uid="{00000000-0005-0000-0000-0000E3120000}"/>
    <cellStyle name="Normal 19 2 2 2 2 2 2 3 5" xfId="18684" xr:uid="{00000000-0005-0000-0000-0000E4120000}"/>
    <cellStyle name="Normal 19 2 2 2 2 2 2 4" xfId="7466" xr:uid="{00000000-0005-0000-0000-0000E5120000}"/>
    <cellStyle name="Normal 19 2 2 2 2 2 2 4 2" xfId="14729" xr:uid="{00000000-0005-0000-0000-0000E6120000}"/>
    <cellStyle name="Normal 19 2 2 2 2 2 2 4 2 2" xfId="31044" xr:uid="{00000000-0005-0000-0000-0000E7120000}"/>
    <cellStyle name="Normal 19 2 2 2 2 2 2 4 3" xfId="24079" xr:uid="{00000000-0005-0000-0000-0000E8120000}"/>
    <cellStyle name="Normal 19 2 2 2 2 2 2 5" xfId="10781" xr:uid="{00000000-0005-0000-0000-0000E9120000}"/>
    <cellStyle name="Normal 19 2 2 2 2 2 2 5 2" xfId="27379" xr:uid="{00000000-0005-0000-0000-0000EA120000}"/>
    <cellStyle name="Normal 19 2 2 2 2 2 2 6" xfId="3557" xr:uid="{00000000-0005-0000-0000-0000EB120000}"/>
    <cellStyle name="Normal 19 2 2 2 2 2 2 6 2" xfId="20280" xr:uid="{00000000-0005-0000-0000-0000EC120000}"/>
    <cellStyle name="Normal 19 2 2 2 2 2 2 7" xfId="18353" xr:uid="{00000000-0005-0000-0000-0000ED120000}"/>
    <cellStyle name="Normal 19 2 2 2 2 2 3" xfId="1955" xr:uid="{00000000-0005-0000-0000-0000EE120000}"/>
    <cellStyle name="Normal 19 2 2 2 2 2 3 2" xfId="6142" xr:uid="{00000000-0005-0000-0000-0000EF120000}"/>
    <cellStyle name="Normal 19 2 2 2 2 2 3 2 2" xfId="9493" xr:uid="{00000000-0005-0000-0000-0000F0120000}"/>
    <cellStyle name="Normal 19 2 2 2 2 2 3 2 2 2" xfId="16756" xr:uid="{00000000-0005-0000-0000-0000F1120000}"/>
    <cellStyle name="Normal 19 2 2 2 2 2 3 2 2 2 2" xfId="33071" xr:uid="{00000000-0005-0000-0000-0000F2120000}"/>
    <cellStyle name="Normal 19 2 2 2 2 2 3 2 2 3" xfId="26106" xr:uid="{00000000-0005-0000-0000-0000F3120000}"/>
    <cellStyle name="Normal 19 2 2 2 2 2 3 2 3" xfId="12835" xr:uid="{00000000-0005-0000-0000-0000F4120000}"/>
    <cellStyle name="Normal 19 2 2 2 2 2 3 2 3 2" xfId="29410" xr:uid="{00000000-0005-0000-0000-0000F5120000}"/>
    <cellStyle name="Normal 19 2 2 2 2 2 3 2 4" xfId="22806" xr:uid="{00000000-0005-0000-0000-0000F6120000}"/>
    <cellStyle name="Normal 19 2 2 2 2 2 3 3" xfId="7872" xr:uid="{00000000-0005-0000-0000-0000F7120000}"/>
    <cellStyle name="Normal 19 2 2 2 2 2 3 3 2" xfId="15135" xr:uid="{00000000-0005-0000-0000-0000F8120000}"/>
    <cellStyle name="Normal 19 2 2 2 2 2 3 3 2 2" xfId="31450" xr:uid="{00000000-0005-0000-0000-0000F9120000}"/>
    <cellStyle name="Normal 19 2 2 2 2 2 3 3 3" xfId="24485" xr:uid="{00000000-0005-0000-0000-0000FA120000}"/>
    <cellStyle name="Normal 19 2 2 2 2 2 3 4" xfId="11187" xr:uid="{00000000-0005-0000-0000-0000FB120000}"/>
    <cellStyle name="Normal 19 2 2 2 2 2 3 4 2" xfId="27785" xr:uid="{00000000-0005-0000-0000-0000FC120000}"/>
    <cellStyle name="Normal 19 2 2 2 2 2 3 5" xfId="3559" xr:uid="{00000000-0005-0000-0000-0000FD120000}"/>
    <cellStyle name="Normal 19 2 2 2 2 2 3 5 2" xfId="20282" xr:uid="{00000000-0005-0000-0000-0000FE120000}"/>
    <cellStyle name="Normal 19 2 2 2 2 2 3 6" xfId="18686" xr:uid="{00000000-0005-0000-0000-0000FF120000}"/>
    <cellStyle name="Normal 19 2 2 2 2 2 4" xfId="1952" xr:uid="{00000000-0005-0000-0000-000000130000}"/>
    <cellStyle name="Normal 19 2 2 2 2 2 4 2" xfId="8680" xr:uid="{00000000-0005-0000-0000-000001130000}"/>
    <cellStyle name="Normal 19 2 2 2 2 2 4 2 2" xfId="15943" xr:uid="{00000000-0005-0000-0000-000002130000}"/>
    <cellStyle name="Normal 19 2 2 2 2 2 4 2 2 2" xfId="32258" xr:uid="{00000000-0005-0000-0000-000003130000}"/>
    <cellStyle name="Normal 19 2 2 2 2 2 4 2 3" xfId="25293" xr:uid="{00000000-0005-0000-0000-000004130000}"/>
    <cellStyle name="Normal 19 2 2 2 2 2 4 3" xfId="12022" xr:uid="{00000000-0005-0000-0000-000005130000}"/>
    <cellStyle name="Normal 19 2 2 2 2 2 4 3 2" xfId="28597" xr:uid="{00000000-0005-0000-0000-000006130000}"/>
    <cellStyle name="Normal 19 2 2 2 2 2 4 4" xfId="5329" xr:uid="{00000000-0005-0000-0000-000007130000}"/>
    <cellStyle name="Normal 19 2 2 2 2 2 4 4 2" xfId="21993" xr:uid="{00000000-0005-0000-0000-000008130000}"/>
    <cellStyle name="Normal 19 2 2 2 2 2 4 5" xfId="18683" xr:uid="{00000000-0005-0000-0000-000009130000}"/>
    <cellStyle name="Normal 19 2 2 2 2 2 5" xfId="7060" xr:uid="{00000000-0005-0000-0000-00000A130000}"/>
    <cellStyle name="Normal 19 2 2 2 2 2 5 2" xfId="14323" xr:uid="{00000000-0005-0000-0000-00000B130000}"/>
    <cellStyle name="Normal 19 2 2 2 2 2 5 2 2" xfId="30638" xr:uid="{00000000-0005-0000-0000-00000C130000}"/>
    <cellStyle name="Normal 19 2 2 2 2 2 5 3" xfId="23673" xr:uid="{00000000-0005-0000-0000-00000D130000}"/>
    <cellStyle name="Normal 19 2 2 2 2 2 6" xfId="10375" xr:uid="{00000000-0005-0000-0000-00000E130000}"/>
    <cellStyle name="Normal 19 2 2 2 2 2 6 2" xfId="26973" xr:uid="{00000000-0005-0000-0000-00000F130000}"/>
    <cellStyle name="Normal 19 2 2 2 2 2 7" xfId="3556" xr:uid="{00000000-0005-0000-0000-000010130000}"/>
    <cellStyle name="Normal 19 2 2 2 2 2 7 2" xfId="20279" xr:uid="{00000000-0005-0000-0000-000011130000}"/>
    <cellStyle name="Normal 19 2 2 2 2 2 8" xfId="17834" xr:uid="{00000000-0005-0000-0000-000012130000}"/>
    <cellStyle name="Normal 19 2 2 2 2 3" xfId="1580" xr:uid="{00000000-0005-0000-0000-000013130000}"/>
    <cellStyle name="Normal 19 2 2 2 2 3 2" xfId="1957" xr:uid="{00000000-0005-0000-0000-000014130000}"/>
    <cellStyle name="Normal 19 2 2 2 2 3 2 2" xfId="6336" xr:uid="{00000000-0005-0000-0000-000015130000}"/>
    <cellStyle name="Normal 19 2 2 2 2 3 2 2 2" xfId="9687" xr:uid="{00000000-0005-0000-0000-000016130000}"/>
    <cellStyle name="Normal 19 2 2 2 2 3 2 2 2 2" xfId="16950" xr:uid="{00000000-0005-0000-0000-000017130000}"/>
    <cellStyle name="Normal 19 2 2 2 2 3 2 2 2 2 2" xfId="33265" xr:uid="{00000000-0005-0000-0000-000018130000}"/>
    <cellStyle name="Normal 19 2 2 2 2 3 2 2 2 3" xfId="26300" xr:uid="{00000000-0005-0000-0000-000019130000}"/>
    <cellStyle name="Normal 19 2 2 2 2 3 2 2 3" xfId="13029" xr:uid="{00000000-0005-0000-0000-00001A130000}"/>
    <cellStyle name="Normal 19 2 2 2 2 3 2 2 3 2" xfId="29604" xr:uid="{00000000-0005-0000-0000-00001B130000}"/>
    <cellStyle name="Normal 19 2 2 2 2 3 2 2 4" xfId="23000" xr:uid="{00000000-0005-0000-0000-00001C130000}"/>
    <cellStyle name="Normal 19 2 2 2 2 3 2 3" xfId="8066" xr:uid="{00000000-0005-0000-0000-00001D130000}"/>
    <cellStyle name="Normal 19 2 2 2 2 3 2 3 2" xfId="15329" xr:uid="{00000000-0005-0000-0000-00001E130000}"/>
    <cellStyle name="Normal 19 2 2 2 2 3 2 3 2 2" xfId="31644" xr:uid="{00000000-0005-0000-0000-00001F130000}"/>
    <cellStyle name="Normal 19 2 2 2 2 3 2 3 3" xfId="24679" xr:uid="{00000000-0005-0000-0000-000020130000}"/>
    <cellStyle name="Normal 19 2 2 2 2 3 2 4" xfId="11381" xr:uid="{00000000-0005-0000-0000-000021130000}"/>
    <cellStyle name="Normal 19 2 2 2 2 3 2 4 2" xfId="27979" xr:uid="{00000000-0005-0000-0000-000022130000}"/>
    <cellStyle name="Normal 19 2 2 2 2 3 2 5" xfId="3561" xr:uid="{00000000-0005-0000-0000-000023130000}"/>
    <cellStyle name="Normal 19 2 2 2 2 3 2 5 2" xfId="20284" xr:uid="{00000000-0005-0000-0000-000024130000}"/>
    <cellStyle name="Normal 19 2 2 2 2 3 2 6" xfId="18688" xr:uid="{00000000-0005-0000-0000-000025130000}"/>
    <cellStyle name="Normal 19 2 2 2 2 3 3" xfId="1956" xr:uid="{00000000-0005-0000-0000-000026130000}"/>
    <cellStyle name="Normal 19 2 2 2 2 3 3 2" xfId="8875" xr:uid="{00000000-0005-0000-0000-000027130000}"/>
    <cellStyle name="Normal 19 2 2 2 2 3 3 2 2" xfId="16138" xr:uid="{00000000-0005-0000-0000-000028130000}"/>
    <cellStyle name="Normal 19 2 2 2 2 3 3 2 2 2" xfId="32453" xr:uid="{00000000-0005-0000-0000-000029130000}"/>
    <cellStyle name="Normal 19 2 2 2 2 3 3 2 3" xfId="25488" xr:uid="{00000000-0005-0000-0000-00002A130000}"/>
    <cellStyle name="Normal 19 2 2 2 2 3 3 3" xfId="12217" xr:uid="{00000000-0005-0000-0000-00002B130000}"/>
    <cellStyle name="Normal 19 2 2 2 2 3 3 3 2" xfId="28792" xr:uid="{00000000-0005-0000-0000-00002C130000}"/>
    <cellStyle name="Normal 19 2 2 2 2 3 3 4" xfId="5524" xr:uid="{00000000-0005-0000-0000-00002D130000}"/>
    <cellStyle name="Normal 19 2 2 2 2 3 3 4 2" xfId="22188" xr:uid="{00000000-0005-0000-0000-00002E130000}"/>
    <cellStyle name="Normal 19 2 2 2 2 3 3 5" xfId="18687" xr:uid="{00000000-0005-0000-0000-00002F130000}"/>
    <cellStyle name="Normal 19 2 2 2 2 3 4" xfId="7254" xr:uid="{00000000-0005-0000-0000-000030130000}"/>
    <cellStyle name="Normal 19 2 2 2 2 3 4 2" xfId="14517" xr:uid="{00000000-0005-0000-0000-000031130000}"/>
    <cellStyle name="Normal 19 2 2 2 2 3 4 2 2" xfId="30832" xr:uid="{00000000-0005-0000-0000-000032130000}"/>
    <cellStyle name="Normal 19 2 2 2 2 3 4 3" xfId="23867" xr:uid="{00000000-0005-0000-0000-000033130000}"/>
    <cellStyle name="Normal 19 2 2 2 2 3 5" xfId="10569" xr:uid="{00000000-0005-0000-0000-000034130000}"/>
    <cellStyle name="Normal 19 2 2 2 2 3 5 2" xfId="27167" xr:uid="{00000000-0005-0000-0000-000035130000}"/>
    <cellStyle name="Normal 19 2 2 2 2 3 6" xfId="3560" xr:uid="{00000000-0005-0000-0000-000036130000}"/>
    <cellStyle name="Normal 19 2 2 2 2 3 6 2" xfId="20283" xr:uid="{00000000-0005-0000-0000-000037130000}"/>
    <cellStyle name="Normal 19 2 2 2 2 3 7" xfId="18315" xr:uid="{00000000-0005-0000-0000-000038130000}"/>
    <cellStyle name="Normal 19 2 2 2 2 4" xfId="1958" xr:uid="{00000000-0005-0000-0000-000039130000}"/>
    <cellStyle name="Normal 19 2 2 2 2 4 2" xfId="5930" xr:uid="{00000000-0005-0000-0000-00003A130000}"/>
    <cellStyle name="Normal 19 2 2 2 2 4 2 2" xfId="9281" xr:uid="{00000000-0005-0000-0000-00003B130000}"/>
    <cellStyle name="Normal 19 2 2 2 2 4 2 2 2" xfId="16544" xr:uid="{00000000-0005-0000-0000-00003C130000}"/>
    <cellStyle name="Normal 19 2 2 2 2 4 2 2 2 2" xfId="32859" xr:uid="{00000000-0005-0000-0000-00003D130000}"/>
    <cellStyle name="Normal 19 2 2 2 2 4 2 2 3" xfId="25894" xr:uid="{00000000-0005-0000-0000-00003E130000}"/>
    <cellStyle name="Normal 19 2 2 2 2 4 2 3" xfId="12623" xr:uid="{00000000-0005-0000-0000-00003F130000}"/>
    <cellStyle name="Normal 19 2 2 2 2 4 2 3 2" xfId="29198" xr:uid="{00000000-0005-0000-0000-000040130000}"/>
    <cellStyle name="Normal 19 2 2 2 2 4 2 4" xfId="22594" xr:uid="{00000000-0005-0000-0000-000041130000}"/>
    <cellStyle name="Normal 19 2 2 2 2 4 3" xfId="7660" xr:uid="{00000000-0005-0000-0000-000042130000}"/>
    <cellStyle name="Normal 19 2 2 2 2 4 3 2" xfId="14923" xr:uid="{00000000-0005-0000-0000-000043130000}"/>
    <cellStyle name="Normal 19 2 2 2 2 4 3 2 2" xfId="31238" xr:uid="{00000000-0005-0000-0000-000044130000}"/>
    <cellStyle name="Normal 19 2 2 2 2 4 3 3" xfId="24273" xr:uid="{00000000-0005-0000-0000-000045130000}"/>
    <cellStyle name="Normal 19 2 2 2 2 4 4" xfId="10975" xr:uid="{00000000-0005-0000-0000-000046130000}"/>
    <cellStyle name="Normal 19 2 2 2 2 4 4 2" xfId="27573" xr:uid="{00000000-0005-0000-0000-000047130000}"/>
    <cellStyle name="Normal 19 2 2 2 2 4 5" xfId="3562" xr:uid="{00000000-0005-0000-0000-000048130000}"/>
    <cellStyle name="Normal 19 2 2 2 2 4 5 2" xfId="20285" xr:uid="{00000000-0005-0000-0000-000049130000}"/>
    <cellStyle name="Normal 19 2 2 2 2 4 6" xfId="18689" xr:uid="{00000000-0005-0000-0000-00004A130000}"/>
    <cellStyle name="Normal 19 2 2 2 2 5" xfId="1951" xr:uid="{00000000-0005-0000-0000-00004B130000}"/>
    <cellStyle name="Normal 19 2 2 2 2 5 2" xfId="8641" xr:uid="{00000000-0005-0000-0000-00004C130000}"/>
    <cellStyle name="Normal 19 2 2 2 2 5 2 2" xfId="15904" xr:uid="{00000000-0005-0000-0000-00004D130000}"/>
    <cellStyle name="Normal 19 2 2 2 2 5 2 2 2" xfId="32219" xr:uid="{00000000-0005-0000-0000-00004E130000}"/>
    <cellStyle name="Normal 19 2 2 2 2 5 2 3" xfId="25254" xr:uid="{00000000-0005-0000-0000-00004F130000}"/>
    <cellStyle name="Normal 19 2 2 2 2 5 3" xfId="11983" xr:uid="{00000000-0005-0000-0000-000050130000}"/>
    <cellStyle name="Normal 19 2 2 2 2 5 3 2" xfId="28558" xr:uid="{00000000-0005-0000-0000-000051130000}"/>
    <cellStyle name="Normal 19 2 2 2 2 5 4" xfId="5290" xr:uid="{00000000-0005-0000-0000-000052130000}"/>
    <cellStyle name="Normal 19 2 2 2 2 5 4 2" xfId="21954" xr:uid="{00000000-0005-0000-0000-000053130000}"/>
    <cellStyle name="Normal 19 2 2 2 2 5 5" xfId="18682" xr:uid="{00000000-0005-0000-0000-000054130000}"/>
    <cellStyle name="Normal 19 2 2 2 2 6" xfId="7022" xr:uid="{00000000-0005-0000-0000-000055130000}"/>
    <cellStyle name="Normal 19 2 2 2 2 6 2" xfId="14285" xr:uid="{00000000-0005-0000-0000-000056130000}"/>
    <cellStyle name="Normal 19 2 2 2 2 6 2 2" xfId="30600" xr:uid="{00000000-0005-0000-0000-000057130000}"/>
    <cellStyle name="Normal 19 2 2 2 2 6 3" xfId="23635" xr:uid="{00000000-0005-0000-0000-000058130000}"/>
    <cellStyle name="Normal 19 2 2 2 2 7" xfId="10336" xr:uid="{00000000-0005-0000-0000-000059130000}"/>
    <cellStyle name="Normal 19 2 2 2 2 7 2" xfId="26935" xr:uid="{00000000-0005-0000-0000-00005A130000}"/>
    <cellStyle name="Normal 19 2 2 2 2 8" xfId="3555" xr:uid="{00000000-0005-0000-0000-00005B130000}"/>
    <cellStyle name="Normal 19 2 2 2 2 8 2" xfId="20278" xr:uid="{00000000-0005-0000-0000-00005C130000}"/>
    <cellStyle name="Normal 19 2 2 2 2 9" xfId="17796" xr:uid="{00000000-0005-0000-0000-00005D130000}"/>
    <cellStyle name="Normal 19 2 2 2 3" xfId="1096" xr:uid="{00000000-0005-0000-0000-00005E130000}"/>
    <cellStyle name="Normal 19 2 2 2 3 2" xfId="1617" xr:uid="{00000000-0005-0000-0000-00005F130000}"/>
    <cellStyle name="Normal 19 2 2 2 3 2 2" xfId="1961" xr:uid="{00000000-0005-0000-0000-000060130000}"/>
    <cellStyle name="Normal 19 2 2 2 3 2 2 2" xfId="6511" xr:uid="{00000000-0005-0000-0000-000061130000}"/>
    <cellStyle name="Normal 19 2 2 2 3 2 2 2 2" xfId="9862" xr:uid="{00000000-0005-0000-0000-000062130000}"/>
    <cellStyle name="Normal 19 2 2 2 3 2 2 2 2 2" xfId="17125" xr:uid="{00000000-0005-0000-0000-000063130000}"/>
    <cellStyle name="Normal 19 2 2 2 3 2 2 2 2 2 2" xfId="33440" xr:uid="{00000000-0005-0000-0000-000064130000}"/>
    <cellStyle name="Normal 19 2 2 2 3 2 2 2 2 3" xfId="26475" xr:uid="{00000000-0005-0000-0000-000065130000}"/>
    <cellStyle name="Normal 19 2 2 2 3 2 2 2 3" xfId="13204" xr:uid="{00000000-0005-0000-0000-000066130000}"/>
    <cellStyle name="Normal 19 2 2 2 3 2 2 2 3 2" xfId="29779" xr:uid="{00000000-0005-0000-0000-000067130000}"/>
    <cellStyle name="Normal 19 2 2 2 3 2 2 2 4" xfId="23175" xr:uid="{00000000-0005-0000-0000-000068130000}"/>
    <cellStyle name="Normal 19 2 2 2 3 2 2 3" xfId="8241" xr:uid="{00000000-0005-0000-0000-000069130000}"/>
    <cellStyle name="Normal 19 2 2 2 3 2 2 3 2" xfId="15504" xr:uid="{00000000-0005-0000-0000-00006A130000}"/>
    <cellStyle name="Normal 19 2 2 2 3 2 2 3 2 2" xfId="31819" xr:uid="{00000000-0005-0000-0000-00006B130000}"/>
    <cellStyle name="Normal 19 2 2 2 3 2 2 3 3" xfId="24854" xr:uid="{00000000-0005-0000-0000-00006C130000}"/>
    <cellStyle name="Normal 19 2 2 2 3 2 2 4" xfId="11556" xr:uid="{00000000-0005-0000-0000-00006D130000}"/>
    <cellStyle name="Normal 19 2 2 2 3 2 2 4 2" xfId="28154" xr:uid="{00000000-0005-0000-0000-00006E130000}"/>
    <cellStyle name="Normal 19 2 2 2 3 2 2 5" xfId="3565" xr:uid="{00000000-0005-0000-0000-00006F130000}"/>
    <cellStyle name="Normal 19 2 2 2 3 2 2 5 2" xfId="20288" xr:uid="{00000000-0005-0000-0000-000070130000}"/>
    <cellStyle name="Normal 19 2 2 2 3 2 2 6" xfId="18692" xr:uid="{00000000-0005-0000-0000-000071130000}"/>
    <cellStyle name="Normal 19 2 2 2 3 2 3" xfId="1960" xr:uid="{00000000-0005-0000-0000-000072130000}"/>
    <cellStyle name="Normal 19 2 2 2 3 2 3 2" xfId="9086" xr:uid="{00000000-0005-0000-0000-000073130000}"/>
    <cellStyle name="Normal 19 2 2 2 3 2 3 2 2" xfId="16349" xr:uid="{00000000-0005-0000-0000-000074130000}"/>
    <cellStyle name="Normal 19 2 2 2 3 2 3 2 2 2" xfId="32664" xr:uid="{00000000-0005-0000-0000-000075130000}"/>
    <cellStyle name="Normal 19 2 2 2 3 2 3 2 3" xfId="25699" xr:uid="{00000000-0005-0000-0000-000076130000}"/>
    <cellStyle name="Normal 19 2 2 2 3 2 3 3" xfId="12428" xr:uid="{00000000-0005-0000-0000-000077130000}"/>
    <cellStyle name="Normal 19 2 2 2 3 2 3 3 2" xfId="29003" xr:uid="{00000000-0005-0000-0000-000078130000}"/>
    <cellStyle name="Normal 19 2 2 2 3 2 3 4" xfId="5735" xr:uid="{00000000-0005-0000-0000-000079130000}"/>
    <cellStyle name="Normal 19 2 2 2 3 2 3 4 2" xfId="22399" xr:uid="{00000000-0005-0000-0000-00007A130000}"/>
    <cellStyle name="Normal 19 2 2 2 3 2 3 5" xfId="18691" xr:uid="{00000000-0005-0000-0000-00007B130000}"/>
    <cellStyle name="Normal 19 2 2 2 3 2 4" xfId="7465" xr:uid="{00000000-0005-0000-0000-00007C130000}"/>
    <cellStyle name="Normal 19 2 2 2 3 2 4 2" xfId="14728" xr:uid="{00000000-0005-0000-0000-00007D130000}"/>
    <cellStyle name="Normal 19 2 2 2 3 2 4 2 2" xfId="31043" xr:uid="{00000000-0005-0000-0000-00007E130000}"/>
    <cellStyle name="Normal 19 2 2 2 3 2 4 3" xfId="24078" xr:uid="{00000000-0005-0000-0000-00007F130000}"/>
    <cellStyle name="Normal 19 2 2 2 3 2 5" xfId="10780" xr:uid="{00000000-0005-0000-0000-000080130000}"/>
    <cellStyle name="Normal 19 2 2 2 3 2 5 2" xfId="27378" xr:uid="{00000000-0005-0000-0000-000081130000}"/>
    <cellStyle name="Normal 19 2 2 2 3 2 6" xfId="3564" xr:uid="{00000000-0005-0000-0000-000082130000}"/>
    <cellStyle name="Normal 19 2 2 2 3 2 6 2" xfId="20287" xr:uid="{00000000-0005-0000-0000-000083130000}"/>
    <cellStyle name="Normal 19 2 2 2 3 2 7" xfId="18352" xr:uid="{00000000-0005-0000-0000-000084130000}"/>
    <cellStyle name="Normal 19 2 2 2 3 3" xfId="1962" xr:uid="{00000000-0005-0000-0000-000085130000}"/>
    <cellStyle name="Normal 19 2 2 2 3 3 2" xfId="6141" xr:uid="{00000000-0005-0000-0000-000086130000}"/>
    <cellStyle name="Normal 19 2 2 2 3 3 2 2" xfId="9492" xr:uid="{00000000-0005-0000-0000-000087130000}"/>
    <cellStyle name="Normal 19 2 2 2 3 3 2 2 2" xfId="16755" xr:uid="{00000000-0005-0000-0000-000088130000}"/>
    <cellStyle name="Normal 19 2 2 2 3 3 2 2 2 2" xfId="33070" xr:uid="{00000000-0005-0000-0000-000089130000}"/>
    <cellStyle name="Normal 19 2 2 2 3 3 2 2 3" xfId="26105" xr:uid="{00000000-0005-0000-0000-00008A130000}"/>
    <cellStyle name="Normal 19 2 2 2 3 3 2 3" xfId="12834" xr:uid="{00000000-0005-0000-0000-00008B130000}"/>
    <cellStyle name="Normal 19 2 2 2 3 3 2 3 2" xfId="29409" xr:uid="{00000000-0005-0000-0000-00008C130000}"/>
    <cellStyle name="Normal 19 2 2 2 3 3 2 4" xfId="22805" xr:uid="{00000000-0005-0000-0000-00008D130000}"/>
    <cellStyle name="Normal 19 2 2 2 3 3 3" xfId="7871" xr:uid="{00000000-0005-0000-0000-00008E130000}"/>
    <cellStyle name="Normal 19 2 2 2 3 3 3 2" xfId="15134" xr:uid="{00000000-0005-0000-0000-00008F130000}"/>
    <cellStyle name="Normal 19 2 2 2 3 3 3 2 2" xfId="31449" xr:uid="{00000000-0005-0000-0000-000090130000}"/>
    <cellStyle name="Normal 19 2 2 2 3 3 3 3" xfId="24484" xr:uid="{00000000-0005-0000-0000-000091130000}"/>
    <cellStyle name="Normal 19 2 2 2 3 3 4" xfId="11186" xr:uid="{00000000-0005-0000-0000-000092130000}"/>
    <cellStyle name="Normal 19 2 2 2 3 3 4 2" xfId="27784" xr:uid="{00000000-0005-0000-0000-000093130000}"/>
    <cellStyle name="Normal 19 2 2 2 3 3 5" xfId="3566" xr:uid="{00000000-0005-0000-0000-000094130000}"/>
    <cellStyle name="Normal 19 2 2 2 3 3 5 2" xfId="20289" xr:uid="{00000000-0005-0000-0000-000095130000}"/>
    <cellStyle name="Normal 19 2 2 2 3 3 6" xfId="18693" xr:uid="{00000000-0005-0000-0000-000096130000}"/>
    <cellStyle name="Normal 19 2 2 2 3 4" xfId="1959" xr:uid="{00000000-0005-0000-0000-000097130000}"/>
    <cellStyle name="Normal 19 2 2 2 3 4 2" xfId="8679" xr:uid="{00000000-0005-0000-0000-000098130000}"/>
    <cellStyle name="Normal 19 2 2 2 3 4 2 2" xfId="15942" xr:uid="{00000000-0005-0000-0000-000099130000}"/>
    <cellStyle name="Normal 19 2 2 2 3 4 2 2 2" xfId="32257" xr:uid="{00000000-0005-0000-0000-00009A130000}"/>
    <cellStyle name="Normal 19 2 2 2 3 4 2 3" xfId="25292" xr:uid="{00000000-0005-0000-0000-00009B130000}"/>
    <cellStyle name="Normal 19 2 2 2 3 4 3" xfId="12021" xr:uid="{00000000-0005-0000-0000-00009C130000}"/>
    <cellStyle name="Normal 19 2 2 2 3 4 3 2" xfId="28596" xr:uid="{00000000-0005-0000-0000-00009D130000}"/>
    <cellStyle name="Normal 19 2 2 2 3 4 4" xfId="5328" xr:uid="{00000000-0005-0000-0000-00009E130000}"/>
    <cellStyle name="Normal 19 2 2 2 3 4 4 2" xfId="21992" xr:uid="{00000000-0005-0000-0000-00009F130000}"/>
    <cellStyle name="Normal 19 2 2 2 3 4 5" xfId="18690" xr:uid="{00000000-0005-0000-0000-0000A0130000}"/>
    <cellStyle name="Normal 19 2 2 2 3 5" xfId="7059" xr:uid="{00000000-0005-0000-0000-0000A1130000}"/>
    <cellStyle name="Normal 19 2 2 2 3 5 2" xfId="14322" xr:uid="{00000000-0005-0000-0000-0000A2130000}"/>
    <cellStyle name="Normal 19 2 2 2 3 5 2 2" xfId="30637" xr:uid="{00000000-0005-0000-0000-0000A3130000}"/>
    <cellStyle name="Normal 19 2 2 2 3 5 3" xfId="23672" xr:uid="{00000000-0005-0000-0000-0000A4130000}"/>
    <cellStyle name="Normal 19 2 2 2 3 6" xfId="10374" xr:uid="{00000000-0005-0000-0000-0000A5130000}"/>
    <cellStyle name="Normal 19 2 2 2 3 6 2" xfId="26972" xr:uid="{00000000-0005-0000-0000-0000A6130000}"/>
    <cellStyle name="Normal 19 2 2 2 3 7" xfId="3563" xr:uid="{00000000-0005-0000-0000-0000A7130000}"/>
    <cellStyle name="Normal 19 2 2 2 3 7 2" xfId="20286" xr:uid="{00000000-0005-0000-0000-0000A8130000}"/>
    <cellStyle name="Normal 19 2 2 2 3 8" xfId="17833" xr:uid="{00000000-0005-0000-0000-0000A9130000}"/>
    <cellStyle name="Normal 19 2 2 2 4" xfId="912" xr:uid="{00000000-0005-0000-0000-0000AA130000}"/>
    <cellStyle name="Normal 19 2 2 2 4 2" xfId="1474" xr:uid="{00000000-0005-0000-0000-0000AB130000}"/>
    <cellStyle name="Normal 19 2 2 2 4 2 2" xfId="1964" xr:uid="{00000000-0005-0000-0000-0000AC130000}"/>
    <cellStyle name="Normal 19 2 2 2 4 2 2 2" xfId="9686" xr:uid="{00000000-0005-0000-0000-0000AD130000}"/>
    <cellStyle name="Normal 19 2 2 2 4 2 2 2 2" xfId="16949" xr:uid="{00000000-0005-0000-0000-0000AE130000}"/>
    <cellStyle name="Normal 19 2 2 2 4 2 2 2 2 2" xfId="33264" xr:uid="{00000000-0005-0000-0000-0000AF130000}"/>
    <cellStyle name="Normal 19 2 2 2 4 2 2 2 3" xfId="26299" xr:uid="{00000000-0005-0000-0000-0000B0130000}"/>
    <cellStyle name="Normal 19 2 2 2 4 2 2 3" xfId="13028" xr:uid="{00000000-0005-0000-0000-0000B1130000}"/>
    <cellStyle name="Normal 19 2 2 2 4 2 2 3 2" xfId="29603" xr:uid="{00000000-0005-0000-0000-0000B2130000}"/>
    <cellStyle name="Normal 19 2 2 2 4 2 2 4" xfId="6335" xr:uid="{00000000-0005-0000-0000-0000B3130000}"/>
    <cellStyle name="Normal 19 2 2 2 4 2 2 4 2" xfId="22999" xr:uid="{00000000-0005-0000-0000-0000B4130000}"/>
    <cellStyle name="Normal 19 2 2 2 4 2 2 5" xfId="18695" xr:uid="{00000000-0005-0000-0000-0000B5130000}"/>
    <cellStyle name="Normal 19 2 2 2 4 2 3" xfId="8065" xr:uid="{00000000-0005-0000-0000-0000B6130000}"/>
    <cellStyle name="Normal 19 2 2 2 4 2 3 2" xfId="15328" xr:uid="{00000000-0005-0000-0000-0000B7130000}"/>
    <cellStyle name="Normal 19 2 2 2 4 2 3 2 2" xfId="31643" xr:uid="{00000000-0005-0000-0000-0000B8130000}"/>
    <cellStyle name="Normal 19 2 2 2 4 2 3 3" xfId="24678" xr:uid="{00000000-0005-0000-0000-0000B9130000}"/>
    <cellStyle name="Normal 19 2 2 2 4 2 4" xfId="11380" xr:uid="{00000000-0005-0000-0000-0000BA130000}"/>
    <cellStyle name="Normal 19 2 2 2 4 2 4 2" xfId="27978" xr:uid="{00000000-0005-0000-0000-0000BB130000}"/>
    <cellStyle name="Normal 19 2 2 2 4 2 5" xfId="3568" xr:uid="{00000000-0005-0000-0000-0000BC130000}"/>
    <cellStyle name="Normal 19 2 2 2 4 2 5 2" xfId="20291" xr:uid="{00000000-0005-0000-0000-0000BD130000}"/>
    <cellStyle name="Normal 19 2 2 2 4 2 6" xfId="18209" xr:uid="{00000000-0005-0000-0000-0000BE130000}"/>
    <cellStyle name="Normal 19 2 2 2 4 3" xfId="1963" xr:uid="{00000000-0005-0000-0000-0000BF130000}"/>
    <cellStyle name="Normal 19 2 2 2 4 3 2" xfId="8874" xr:uid="{00000000-0005-0000-0000-0000C0130000}"/>
    <cellStyle name="Normal 19 2 2 2 4 3 2 2" xfId="16137" xr:uid="{00000000-0005-0000-0000-0000C1130000}"/>
    <cellStyle name="Normal 19 2 2 2 4 3 2 2 2" xfId="32452" xr:uid="{00000000-0005-0000-0000-0000C2130000}"/>
    <cellStyle name="Normal 19 2 2 2 4 3 2 3" xfId="25487" xr:uid="{00000000-0005-0000-0000-0000C3130000}"/>
    <cellStyle name="Normal 19 2 2 2 4 3 3" xfId="12216" xr:uid="{00000000-0005-0000-0000-0000C4130000}"/>
    <cellStyle name="Normal 19 2 2 2 4 3 3 2" xfId="28791" xr:uid="{00000000-0005-0000-0000-0000C5130000}"/>
    <cellStyle name="Normal 19 2 2 2 4 3 4" xfId="5523" xr:uid="{00000000-0005-0000-0000-0000C6130000}"/>
    <cellStyle name="Normal 19 2 2 2 4 3 4 2" xfId="22187" xr:uid="{00000000-0005-0000-0000-0000C7130000}"/>
    <cellStyle name="Normal 19 2 2 2 4 3 5" xfId="18694" xr:uid="{00000000-0005-0000-0000-0000C8130000}"/>
    <cellStyle name="Normal 19 2 2 2 4 4" xfId="7253" xr:uid="{00000000-0005-0000-0000-0000C9130000}"/>
    <cellStyle name="Normal 19 2 2 2 4 4 2" xfId="14516" xr:uid="{00000000-0005-0000-0000-0000CA130000}"/>
    <cellStyle name="Normal 19 2 2 2 4 4 2 2" xfId="30831" xr:uid="{00000000-0005-0000-0000-0000CB130000}"/>
    <cellStyle name="Normal 19 2 2 2 4 4 3" xfId="23866" xr:uid="{00000000-0005-0000-0000-0000CC130000}"/>
    <cellStyle name="Normal 19 2 2 2 4 5" xfId="10568" xr:uid="{00000000-0005-0000-0000-0000CD130000}"/>
    <cellStyle name="Normal 19 2 2 2 4 5 2" xfId="27166" xr:uid="{00000000-0005-0000-0000-0000CE130000}"/>
    <cellStyle name="Normal 19 2 2 2 4 6" xfId="3567" xr:uid="{00000000-0005-0000-0000-0000CF130000}"/>
    <cellStyle name="Normal 19 2 2 2 4 6 2" xfId="20290" xr:uid="{00000000-0005-0000-0000-0000D0130000}"/>
    <cellStyle name="Normal 19 2 2 2 4 7" xfId="17690" xr:uid="{00000000-0005-0000-0000-0000D1130000}"/>
    <cellStyle name="Normal 19 2 2 2 5" xfId="790" xr:uid="{00000000-0005-0000-0000-0000D2130000}"/>
    <cellStyle name="Normal 19 2 2 2 5 2" xfId="1965" xr:uid="{00000000-0005-0000-0000-0000D3130000}"/>
    <cellStyle name="Normal 19 2 2 2 5 2 2" xfId="9280" xr:uid="{00000000-0005-0000-0000-0000D4130000}"/>
    <cellStyle name="Normal 19 2 2 2 5 2 2 2" xfId="16543" xr:uid="{00000000-0005-0000-0000-0000D5130000}"/>
    <cellStyle name="Normal 19 2 2 2 5 2 2 2 2" xfId="32858" xr:uid="{00000000-0005-0000-0000-0000D6130000}"/>
    <cellStyle name="Normal 19 2 2 2 5 2 2 3" xfId="25893" xr:uid="{00000000-0005-0000-0000-0000D7130000}"/>
    <cellStyle name="Normal 19 2 2 2 5 2 3" xfId="12622" xr:uid="{00000000-0005-0000-0000-0000D8130000}"/>
    <cellStyle name="Normal 19 2 2 2 5 2 3 2" xfId="29197" xr:uid="{00000000-0005-0000-0000-0000D9130000}"/>
    <cellStyle name="Normal 19 2 2 2 5 2 4" xfId="5929" xr:uid="{00000000-0005-0000-0000-0000DA130000}"/>
    <cellStyle name="Normal 19 2 2 2 5 2 4 2" xfId="22593" xr:uid="{00000000-0005-0000-0000-0000DB130000}"/>
    <cellStyle name="Normal 19 2 2 2 5 2 5" xfId="18696" xr:uid="{00000000-0005-0000-0000-0000DC130000}"/>
    <cellStyle name="Normal 19 2 2 2 5 3" xfId="7659" xr:uid="{00000000-0005-0000-0000-0000DD130000}"/>
    <cellStyle name="Normal 19 2 2 2 5 3 2" xfId="14922" xr:uid="{00000000-0005-0000-0000-0000DE130000}"/>
    <cellStyle name="Normal 19 2 2 2 5 3 2 2" xfId="31237" xr:uid="{00000000-0005-0000-0000-0000DF130000}"/>
    <cellStyle name="Normal 19 2 2 2 5 3 3" xfId="24272" xr:uid="{00000000-0005-0000-0000-0000E0130000}"/>
    <cellStyle name="Normal 19 2 2 2 5 4" xfId="10974" xr:uid="{00000000-0005-0000-0000-0000E1130000}"/>
    <cellStyle name="Normal 19 2 2 2 5 4 2" xfId="27572" xr:uid="{00000000-0005-0000-0000-0000E2130000}"/>
    <cellStyle name="Normal 19 2 2 2 5 5" xfId="3569" xr:uid="{00000000-0005-0000-0000-0000E3130000}"/>
    <cellStyle name="Normal 19 2 2 2 5 5 2" xfId="20292" xr:uid="{00000000-0005-0000-0000-0000E4130000}"/>
    <cellStyle name="Normal 19 2 2 2 5 6" xfId="17603" xr:uid="{00000000-0005-0000-0000-0000E5130000}"/>
    <cellStyle name="Normal 19 2 2 2 6" xfId="1387" xr:uid="{00000000-0005-0000-0000-0000E6130000}"/>
    <cellStyle name="Normal 19 2 2 2 6 2" xfId="8535" xr:uid="{00000000-0005-0000-0000-0000E7130000}"/>
    <cellStyle name="Normal 19 2 2 2 6 2 2" xfId="15798" xr:uid="{00000000-0005-0000-0000-0000E8130000}"/>
    <cellStyle name="Normal 19 2 2 2 6 2 2 2" xfId="32113" xr:uid="{00000000-0005-0000-0000-0000E9130000}"/>
    <cellStyle name="Normal 19 2 2 2 6 2 3" xfId="25148" xr:uid="{00000000-0005-0000-0000-0000EA130000}"/>
    <cellStyle name="Normal 19 2 2 2 6 3" xfId="11877" xr:uid="{00000000-0005-0000-0000-0000EB130000}"/>
    <cellStyle name="Normal 19 2 2 2 6 3 2" xfId="28452" xr:uid="{00000000-0005-0000-0000-0000EC130000}"/>
    <cellStyle name="Normal 19 2 2 2 6 4" xfId="5184" xr:uid="{00000000-0005-0000-0000-0000ED130000}"/>
    <cellStyle name="Normal 19 2 2 2 6 4 2" xfId="21848" xr:uid="{00000000-0005-0000-0000-0000EE130000}"/>
    <cellStyle name="Normal 19 2 2 2 6 5" xfId="18122" xr:uid="{00000000-0005-0000-0000-0000EF130000}"/>
    <cellStyle name="Normal 19 2 2 2 7" xfId="1950" xr:uid="{00000000-0005-0000-0000-0000F0130000}"/>
    <cellStyle name="Normal 19 2 2 2 7 2" xfId="14179" xr:uid="{00000000-0005-0000-0000-0000F1130000}"/>
    <cellStyle name="Normal 19 2 2 2 7 2 2" xfId="30494" xr:uid="{00000000-0005-0000-0000-0000F2130000}"/>
    <cellStyle name="Normal 19 2 2 2 7 3" xfId="6916" xr:uid="{00000000-0005-0000-0000-0000F3130000}"/>
    <cellStyle name="Normal 19 2 2 2 7 3 2" xfId="23529" xr:uid="{00000000-0005-0000-0000-0000F4130000}"/>
    <cellStyle name="Normal 19 2 2 2 7 4" xfId="18681" xr:uid="{00000000-0005-0000-0000-0000F5130000}"/>
    <cellStyle name="Normal 19 2 2 2 8" xfId="10230" xr:uid="{00000000-0005-0000-0000-0000F6130000}"/>
    <cellStyle name="Normal 19 2 2 2 8 2" xfId="26829" xr:uid="{00000000-0005-0000-0000-0000F7130000}"/>
    <cellStyle name="Normal 19 2 2 2 9" xfId="3554" xr:uid="{00000000-0005-0000-0000-0000F8130000}"/>
    <cellStyle name="Normal 19 2 2 2 9 2" xfId="20277" xr:uid="{00000000-0005-0000-0000-0000F9130000}"/>
    <cellStyle name="Normal 19 2 2 3" xfId="646" xr:uid="{00000000-0005-0000-0000-0000FA130000}"/>
    <cellStyle name="Normal 19 2 2 3 2" xfId="1098" xr:uid="{00000000-0005-0000-0000-0000FB130000}"/>
    <cellStyle name="Normal 19 2 2 3 2 2" xfId="1619" xr:uid="{00000000-0005-0000-0000-0000FC130000}"/>
    <cellStyle name="Normal 19 2 2 3 2 2 2" xfId="1969" xr:uid="{00000000-0005-0000-0000-0000FD130000}"/>
    <cellStyle name="Normal 19 2 2 3 2 2 2 2" xfId="6513" xr:uid="{00000000-0005-0000-0000-0000FE130000}"/>
    <cellStyle name="Normal 19 2 2 3 2 2 2 2 2" xfId="9864" xr:uid="{00000000-0005-0000-0000-0000FF130000}"/>
    <cellStyle name="Normal 19 2 2 3 2 2 2 2 2 2" xfId="17127" xr:uid="{00000000-0005-0000-0000-000000140000}"/>
    <cellStyle name="Normal 19 2 2 3 2 2 2 2 2 2 2" xfId="33442" xr:uid="{00000000-0005-0000-0000-000001140000}"/>
    <cellStyle name="Normal 19 2 2 3 2 2 2 2 2 3" xfId="26477" xr:uid="{00000000-0005-0000-0000-000002140000}"/>
    <cellStyle name="Normal 19 2 2 3 2 2 2 2 3" xfId="13206" xr:uid="{00000000-0005-0000-0000-000003140000}"/>
    <cellStyle name="Normal 19 2 2 3 2 2 2 2 3 2" xfId="29781" xr:uid="{00000000-0005-0000-0000-000004140000}"/>
    <cellStyle name="Normal 19 2 2 3 2 2 2 2 4" xfId="23177" xr:uid="{00000000-0005-0000-0000-000005140000}"/>
    <cellStyle name="Normal 19 2 2 3 2 2 2 3" xfId="8243" xr:uid="{00000000-0005-0000-0000-000006140000}"/>
    <cellStyle name="Normal 19 2 2 3 2 2 2 3 2" xfId="15506" xr:uid="{00000000-0005-0000-0000-000007140000}"/>
    <cellStyle name="Normal 19 2 2 3 2 2 2 3 2 2" xfId="31821" xr:uid="{00000000-0005-0000-0000-000008140000}"/>
    <cellStyle name="Normal 19 2 2 3 2 2 2 3 3" xfId="24856" xr:uid="{00000000-0005-0000-0000-000009140000}"/>
    <cellStyle name="Normal 19 2 2 3 2 2 2 4" xfId="11558" xr:uid="{00000000-0005-0000-0000-00000A140000}"/>
    <cellStyle name="Normal 19 2 2 3 2 2 2 4 2" xfId="28156" xr:uid="{00000000-0005-0000-0000-00000B140000}"/>
    <cellStyle name="Normal 19 2 2 3 2 2 2 5" xfId="3573" xr:uid="{00000000-0005-0000-0000-00000C140000}"/>
    <cellStyle name="Normal 19 2 2 3 2 2 2 5 2" xfId="20296" xr:uid="{00000000-0005-0000-0000-00000D140000}"/>
    <cellStyle name="Normal 19 2 2 3 2 2 2 6" xfId="18700" xr:uid="{00000000-0005-0000-0000-00000E140000}"/>
    <cellStyle name="Normal 19 2 2 3 2 2 3" xfId="1968" xr:uid="{00000000-0005-0000-0000-00000F140000}"/>
    <cellStyle name="Normal 19 2 2 3 2 2 3 2" xfId="9088" xr:uid="{00000000-0005-0000-0000-000010140000}"/>
    <cellStyle name="Normal 19 2 2 3 2 2 3 2 2" xfId="16351" xr:uid="{00000000-0005-0000-0000-000011140000}"/>
    <cellStyle name="Normal 19 2 2 3 2 2 3 2 2 2" xfId="32666" xr:uid="{00000000-0005-0000-0000-000012140000}"/>
    <cellStyle name="Normal 19 2 2 3 2 2 3 2 3" xfId="25701" xr:uid="{00000000-0005-0000-0000-000013140000}"/>
    <cellStyle name="Normal 19 2 2 3 2 2 3 3" xfId="12430" xr:uid="{00000000-0005-0000-0000-000014140000}"/>
    <cellStyle name="Normal 19 2 2 3 2 2 3 3 2" xfId="29005" xr:uid="{00000000-0005-0000-0000-000015140000}"/>
    <cellStyle name="Normal 19 2 2 3 2 2 3 4" xfId="5737" xr:uid="{00000000-0005-0000-0000-000016140000}"/>
    <cellStyle name="Normal 19 2 2 3 2 2 3 4 2" xfId="22401" xr:uid="{00000000-0005-0000-0000-000017140000}"/>
    <cellStyle name="Normal 19 2 2 3 2 2 3 5" xfId="18699" xr:uid="{00000000-0005-0000-0000-000018140000}"/>
    <cellStyle name="Normal 19 2 2 3 2 2 4" xfId="7467" xr:uid="{00000000-0005-0000-0000-000019140000}"/>
    <cellStyle name="Normal 19 2 2 3 2 2 4 2" xfId="14730" xr:uid="{00000000-0005-0000-0000-00001A140000}"/>
    <cellStyle name="Normal 19 2 2 3 2 2 4 2 2" xfId="31045" xr:uid="{00000000-0005-0000-0000-00001B140000}"/>
    <cellStyle name="Normal 19 2 2 3 2 2 4 3" xfId="24080" xr:uid="{00000000-0005-0000-0000-00001C140000}"/>
    <cellStyle name="Normal 19 2 2 3 2 2 5" xfId="10782" xr:uid="{00000000-0005-0000-0000-00001D140000}"/>
    <cellStyle name="Normal 19 2 2 3 2 2 5 2" xfId="27380" xr:uid="{00000000-0005-0000-0000-00001E140000}"/>
    <cellStyle name="Normal 19 2 2 3 2 2 6" xfId="3572" xr:uid="{00000000-0005-0000-0000-00001F140000}"/>
    <cellStyle name="Normal 19 2 2 3 2 2 6 2" xfId="20295" xr:uid="{00000000-0005-0000-0000-000020140000}"/>
    <cellStyle name="Normal 19 2 2 3 2 2 7" xfId="18354" xr:uid="{00000000-0005-0000-0000-000021140000}"/>
    <cellStyle name="Normal 19 2 2 3 2 3" xfId="1970" xr:uid="{00000000-0005-0000-0000-000022140000}"/>
    <cellStyle name="Normal 19 2 2 3 2 3 2" xfId="6143" xr:uid="{00000000-0005-0000-0000-000023140000}"/>
    <cellStyle name="Normal 19 2 2 3 2 3 2 2" xfId="9494" xr:uid="{00000000-0005-0000-0000-000024140000}"/>
    <cellStyle name="Normal 19 2 2 3 2 3 2 2 2" xfId="16757" xr:uid="{00000000-0005-0000-0000-000025140000}"/>
    <cellStyle name="Normal 19 2 2 3 2 3 2 2 2 2" xfId="33072" xr:uid="{00000000-0005-0000-0000-000026140000}"/>
    <cellStyle name="Normal 19 2 2 3 2 3 2 2 3" xfId="26107" xr:uid="{00000000-0005-0000-0000-000027140000}"/>
    <cellStyle name="Normal 19 2 2 3 2 3 2 3" xfId="12836" xr:uid="{00000000-0005-0000-0000-000028140000}"/>
    <cellStyle name="Normal 19 2 2 3 2 3 2 3 2" xfId="29411" xr:uid="{00000000-0005-0000-0000-000029140000}"/>
    <cellStyle name="Normal 19 2 2 3 2 3 2 4" xfId="22807" xr:uid="{00000000-0005-0000-0000-00002A140000}"/>
    <cellStyle name="Normal 19 2 2 3 2 3 3" xfId="7873" xr:uid="{00000000-0005-0000-0000-00002B140000}"/>
    <cellStyle name="Normal 19 2 2 3 2 3 3 2" xfId="15136" xr:uid="{00000000-0005-0000-0000-00002C140000}"/>
    <cellStyle name="Normal 19 2 2 3 2 3 3 2 2" xfId="31451" xr:uid="{00000000-0005-0000-0000-00002D140000}"/>
    <cellStyle name="Normal 19 2 2 3 2 3 3 3" xfId="24486" xr:uid="{00000000-0005-0000-0000-00002E140000}"/>
    <cellStyle name="Normal 19 2 2 3 2 3 4" xfId="11188" xr:uid="{00000000-0005-0000-0000-00002F140000}"/>
    <cellStyle name="Normal 19 2 2 3 2 3 4 2" xfId="27786" xr:uid="{00000000-0005-0000-0000-000030140000}"/>
    <cellStyle name="Normal 19 2 2 3 2 3 5" xfId="3574" xr:uid="{00000000-0005-0000-0000-000031140000}"/>
    <cellStyle name="Normal 19 2 2 3 2 3 5 2" xfId="20297" xr:uid="{00000000-0005-0000-0000-000032140000}"/>
    <cellStyle name="Normal 19 2 2 3 2 3 6" xfId="18701" xr:uid="{00000000-0005-0000-0000-000033140000}"/>
    <cellStyle name="Normal 19 2 2 3 2 4" xfId="1967" xr:uid="{00000000-0005-0000-0000-000034140000}"/>
    <cellStyle name="Normal 19 2 2 3 2 4 2" xfId="8681" xr:uid="{00000000-0005-0000-0000-000035140000}"/>
    <cellStyle name="Normal 19 2 2 3 2 4 2 2" xfId="15944" xr:uid="{00000000-0005-0000-0000-000036140000}"/>
    <cellStyle name="Normal 19 2 2 3 2 4 2 2 2" xfId="32259" xr:uid="{00000000-0005-0000-0000-000037140000}"/>
    <cellStyle name="Normal 19 2 2 3 2 4 2 3" xfId="25294" xr:uid="{00000000-0005-0000-0000-000038140000}"/>
    <cellStyle name="Normal 19 2 2 3 2 4 3" xfId="12023" xr:uid="{00000000-0005-0000-0000-000039140000}"/>
    <cellStyle name="Normal 19 2 2 3 2 4 3 2" xfId="28598" xr:uid="{00000000-0005-0000-0000-00003A140000}"/>
    <cellStyle name="Normal 19 2 2 3 2 4 4" xfId="5330" xr:uid="{00000000-0005-0000-0000-00003B140000}"/>
    <cellStyle name="Normal 19 2 2 3 2 4 4 2" xfId="21994" xr:uid="{00000000-0005-0000-0000-00003C140000}"/>
    <cellStyle name="Normal 19 2 2 3 2 4 5" xfId="18698" xr:uid="{00000000-0005-0000-0000-00003D140000}"/>
    <cellStyle name="Normal 19 2 2 3 2 5" xfId="7061" xr:uid="{00000000-0005-0000-0000-00003E140000}"/>
    <cellStyle name="Normal 19 2 2 3 2 5 2" xfId="14324" xr:uid="{00000000-0005-0000-0000-00003F140000}"/>
    <cellStyle name="Normal 19 2 2 3 2 5 2 2" xfId="30639" xr:uid="{00000000-0005-0000-0000-000040140000}"/>
    <cellStyle name="Normal 19 2 2 3 2 5 3" xfId="23674" xr:uid="{00000000-0005-0000-0000-000041140000}"/>
    <cellStyle name="Normal 19 2 2 3 2 6" xfId="10376" xr:uid="{00000000-0005-0000-0000-000042140000}"/>
    <cellStyle name="Normal 19 2 2 3 2 6 2" xfId="26974" xr:uid="{00000000-0005-0000-0000-000043140000}"/>
    <cellStyle name="Normal 19 2 2 3 2 7" xfId="3571" xr:uid="{00000000-0005-0000-0000-000044140000}"/>
    <cellStyle name="Normal 19 2 2 3 2 7 2" xfId="20294" xr:uid="{00000000-0005-0000-0000-000045140000}"/>
    <cellStyle name="Normal 19 2 2 3 2 8" xfId="17835" xr:uid="{00000000-0005-0000-0000-000046140000}"/>
    <cellStyle name="Normal 19 2 2 3 3" xfId="965" xr:uid="{00000000-0005-0000-0000-000047140000}"/>
    <cellStyle name="Normal 19 2 2 3 3 2" xfId="1527" xr:uid="{00000000-0005-0000-0000-000048140000}"/>
    <cellStyle name="Normal 19 2 2 3 3 2 2" xfId="1972" xr:uid="{00000000-0005-0000-0000-000049140000}"/>
    <cellStyle name="Normal 19 2 2 3 3 2 2 2" xfId="9688" xr:uid="{00000000-0005-0000-0000-00004A140000}"/>
    <cellStyle name="Normal 19 2 2 3 3 2 2 2 2" xfId="16951" xr:uid="{00000000-0005-0000-0000-00004B140000}"/>
    <cellStyle name="Normal 19 2 2 3 3 2 2 2 2 2" xfId="33266" xr:uid="{00000000-0005-0000-0000-00004C140000}"/>
    <cellStyle name="Normal 19 2 2 3 3 2 2 2 3" xfId="26301" xr:uid="{00000000-0005-0000-0000-00004D140000}"/>
    <cellStyle name="Normal 19 2 2 3 3 2 2 3" xfId="13030" xr:uid="{00000000-0005-0000-0000-00004E140000}"/>
    <cellStyle name="Normal 19 2 2 3 3 2 2 3 2" xfId="29605" xr:uid="{00000000-0005-0000-0000-00004F140000}"/>
    <cellStyle name="Normal 19 2 2 3 3 2 2 4" xfId="6337" xr:uid="{00000000-0005-0000-0000-000050140000}"/>
    <cellStyle name="Normal 19 2 2 3 3 2 2 4 2" xfId="23001" xr:uid="{00000000-0005-0000-0000-000051140000}"/>
    <cellStyle name="Normal 19 2 2 3 3 2 2 5" xfId="18703" xr:uid="{00000000-0005-0000-0000-000052140000}"/>
    <cellStyle name="Normal 19 2 2 3 3 2 3" xfId="8067" xr:uid="{00000000-0005-0000-0000-000053140000}"/>
    <cellStyle name="Normal 19 2 2 3 3 2 3 2" xfId="15330" xr:uid="{00000000-0005-0000-0000-000054140000}"/>
    <cellStyle name="Normal 19 2 2 3 3 2 3 2 2" xfId="31645" xr:uid="{00000000-0005-0000-0000-000055140000}"/>
    <cellStyle name="Normal 19 2 2 3 3 2 3 3" xfId="24680" xr:uid="{00000000-0005-0000-0000-000056140000}"/>
    <cellStyle name="Normal 19 2 2 3 3 2 4" xfId="11382" xr:uid="{00000000-0005-0000-0000-000057140000}"/>
    <cellStyle name="Normal 19 2 2 3 3 2 4 2" xfId="27980" xr:uid="{00000000-0005-0000-0000-000058140000}"/>
    <cellStyle name="Normal 19 2 2 3 3 2 5" xfId="3576" xr:uid="{00000000-0005-0000-0000-000059140000}"/>
    <cellStyle name="Normal 19 2 2 3 3 2 5 2" xfId="20299" xr:uid="{00000000-0005-0000-0000-00005A140000}"/>
    <cellStyle name="Normal 19 2 2 3 3 2 6" xfId="18262" xr:uid="{00000000-0005-0000-0000-00005B140000}"/>
    <cellStyle name="Normal 19 2 2 3 3 3" xfId="1971" xr:uid="{00000000-0005-0000-0000-00005C140000}"/>
    <cellStyle name="Normal 19 2 2 3 3 3 2" xfId="8876" xr:uid="{00000000-0005-0000-0000-00005D140000}"/>
    <cellStyle name="Normal 19 2 2 3 3 3 2 2" xfId="16139" xr:uid="{00000000-0005-0000-0000-00005E140000}"/>
    <cellStyle name="Normal 19 2 2 3 3 3 2 2 2" xfId="32454" xr:uid="{00000000-0005-0000-0000-00005F140000}"/>
    <cellStyle name="Normal 19 2 2 3 3 3 2 3" xfId="25489" xr:uid="{00000000-0005-0000-0000-000060140000}"/>
    <cellStyle name="Normal 19 2 2 3 3 3 3" xfId="12218" xr:uid="{00000000-0005-0000-0000-000061140000}"/>
    <cellStyle name="Normal 19 2 2 3 3 3 3 2" xfId="28793" xr:uid="{00000000-0005-0000-0000-000062140000}"/>
    <cellStyle name="Normal 19 2 2 3 3 3 4" xfId="5525" xr:uid="{00000000-0005-0000-0000-000063140000}"/>
    <cellStyle name="Normal 19 2 2 3 3 3 4 2" xfId="22189" xr:uid="{00000000-0005-0000-0000-000064140000}"/>
    <cellStyle name="Normal 19 2 2 3 3 3 5" xfId="18702" xr:uid="{00000000-0005-0000-0000-000065140000}"/>
    <cellStyle name="Normal 19 2 2 3 3 4" xfId="7255" xr:uid="{00000000-0005-0000-0000-000066140000}"/>
    <cellStyle name="Normal 19 2 2 3 3 4 2" xfId="14518" xr:uid="{00000000-0005-0000-0000-000067140000}"/>
    <cellStyle name="Normal 19 2 2 3 3 4 2 2" xfId="30833" xr:uid="{00000000-0005-0000-0000-000068140000}"/>
    <cellStyle name="Normal 19 2 2 3 3 4 3" xfId="23868" xr:uid="{00000000-0005-0000-0000-000069140000}"/>
    <cellStyle name="Normal 19 2 2 3 3 5" xfId="10570" xr:uid="{00000000-0005-0000-0000-00006A140000}"/>
    <cellStyle name="Normal 19 2 2 3 3 5 2" xfId="27168" xr:uid="{00000000-0005-0000-0000-00006B140000}"/>
    <cellStyle name="Normal 19 2 2 3 3 6" xfId="3575" xr:uid="{00000000-0005-0000-0000-00006C140000}"/>
    <cellStyle name="Normal 19 2 2 3 3 6 2" xfId="20298" xr:uid="{00000000-0005-0000-0000-00006D140000}"/>
    <cellStyle name="Normal 19 2 2 3 3 7" xfId="17743" xr:uid="{00000000-0005-0000-0000-00006E140000}"/>
    <cellStyle name="Normal 19 2 2 3 4" xfId="755" xr:uid="{00000000-0005-0000-0000-00006F140000}"/>
    <cellStyle name="Normal 19 2 2 3 4 2" xfId="1973" xr:uid="{00000000-0005-0000-0000-000070140000}"/>
    <cellStyle name="Normal 19 2 2 3 4 2 2" xfId="9282" xr:uid="{00000000-0005-0000-0000-000071140000}"/>
    <cellStyle name="Normal 19 2 2 3 4 2 2 2" xfId="16545" xr:uid="{00000000-0005-0000-0000-000072140000}"/>
    <cellStyle name="Normal 19 2 2 3 4 2 2 2 2" xfId="32860" xr:uid="{00000000-0005-0000-0000-000073140000}"/>
    <cellStyle name="Normal 19 2 2 3 4 2 2 3" xfId="25895" xr:uid="{00000000-0005-0000-0000-000074140000}"/>
    <cellStyle name="Normal 19 2 2 3 4 2 3" xfId="12624" xr:uid="{00000000-0005-0000-0000-000075140000}"/>
    <cellStyle name="Normal 19 2 2 3 4 2 3 2" xfId="29199" xr:uid="{00000000-0005-0000-0000-000076140000}"/>
    <cellStyle name="Normal 19 2 2 3 4 2 4" xfId="5931" xr:uid="{00000000-0005-0000-0000-000077140000}"/>
    <cellStyle name="Normal 19 2 2 3 4 2 4 2" xfId="22595" xr:uid="{00000000-0005-0000-0000-000078140000}"/>
    <cellStyle name="Normal 19 2 2 3 4 2 5" xfId="18704" xr:uid="{00000000-0005-0000-0000-000079140000}"/>
    <cellStyle name="Normal 19 2 2 3 4 3" xfId="7661" xr:uid="{00000000-0005-0000-0000-00007A140000}"/>
    <cellStyle name="Normal 19 2 2 3 4 3 2" xfId="14924" xr:uid="{00000000-0005-0000-0000-00007B140000}"/>
    <cellStyle name="Normal 19 2 2 3 4 3 2 2" xfId="31239" xr:uid="{00000000-0005-0000-0000-00007C140000}"/>
    <cellStyle name="Normal 19 2 2 3 4 3 3" xfId="24274" xr:uid="{00000000-0005-0000-0000-00007D140000}"/>
    <cellStyle name="Normal 19 2 2 3 4 4" xfId="10976" xr:uid="{00000000-0005-0000-0000-00007E140000}"/>
    <cellStyle name="Normal 19 2 2 3 4 4 2" xfId="27574" xr:uid="{00000000-0005-0000-0000-00007F140000}"/>
    <cellStyle name="Normal 19 2 2 3 4 5" xfId="3577" xr:uid="{00000000-0005-0000-0000-000080140000}"/>
    <cellStyle name="Normal 19 2 2 3 4 5 2" xfId="20300" xr:uid="{00000000-0005-0000-0000-000081140000}"/>
    <cellStyle name="Normal 19 2 2 3 4 6" xfId="17568" xr:uid="{00000000-0005-0000-0000-000082140000}"/>
    <cellStyle name="Normal 19 2 2 3 5" xfId="1352" xr:uid="{00000000-0005-0000-0000-000083140000}"/>
    <cellStyle name="Normal 19 2 2 3 5 2" xfId="8588" xr:uid="{00000000-0005-0000-0000-000084140000}"/>
    <cellStyle name="Normal 19 2 2 3 5 2 2" xfId="15851" xr:uid="{00000000-0005-0000-0000-000085140000}"/>
    <cellStyle name="Normal 19 2 2 3 5 2 2 2" xfId="32166" xr:uid="{00000000-0005-0000-0000-000086140000}"/>
    <cellStyle name="Normal 19 2 2 3 5 2 3" xfId="25201" xr:uid="{00000000-0005-0000-0000-000087140000}"/>
    <cellStyle name="Normal 19 2 2 3 5 3" xfId="11930" xr:uid="{00000000-0005-0000-0000-000088140000}"/>
    <cellStyle name="Normal 19 2 2 3 5 3 2" xfId="28505" xr:uid="{00000000-0005-0000-0000-000089140000}"/>
    <cellStyle name="Normal 19 2 2 3 5 4" xfId="5237" xr:uid="{00000000-0005-0000-0000-00008A140000}"/>
    <cellStyle name="Normal 19 2 2 3 5 4 2" xfId="21901" xr:uid="{00000000-0005-0000-0000-00008B140000}"/>
    <cellStyle name="Normal 19 2 2 3 5 5" xfId="18087" xr:uid="{00000000-0005-0000-0000-00008C140000}"/>
    <cellStyle name="Normal 19 2 2 3 6" xfId="1966" xr:uid="{00000000-0005-0000-0000-00008D140000}"/>
    <cellStyle name="Normal 19 2 2 3 6 2" xfId="14232" xr:uid="{00000000-0005-0000-0000-00008E140000}"/>
    <cellStyle name="Normal 19 2 2 3 6 2 2" xfId="30547" xr:uid="{00000000-0005-0000-0000-00008F140000}"/>
    <cellStyle name="Normal 19 2 2 3 6 3" xfId="6969" xr:uid="{00000000-0005-0000-0000-000090140000}"/>
    <cellStyle name="Normal 19 2 2 3 6 3 2" xfId="23582" xr:uid="{00000000-0005-0000-0000-000091140000}"/>
    <cellStyle name="Normal 19 2 2 3 6 4" xfId="18697" xr:uid="{00000000-0005-0000-0000-000092140000}"/>
    <cellStyle name="Normal 19 2 2 3 7" xfId="10283" xr:uid="{00000000-0005-0000-0000-000093140000}"/>
    <cellStyle name="Normal 19 2 2 3 7 2" xfId="26882" xr:uid="{00000000-0005-0000-0000-000094140000}"/>
    <cellStyle name="Normal 19 2 2 3 8" xfId="3570" xr:uid="{00000000-0005-0000-0000-000095140000}"/>
    <cellStyle name="Normal 19 2 2 3 8 2" xfId="20293" xr:uid="{00000000-0005-0000-0000-000096140000}"/>
    <cellStyle name="Normal 19 2 2 3 9" xfId="17463" xr:uid="{00000000-0005-0000-0000-000097140000}"/>
    <cellStyle name="Normal 19 2 2 4" xfId="1095" xr:uid="{00000000-0005-0000-0000-000098140000}"/>
    <cellStyle name="Normal 19 2 2 4 2" xfId="1616" xr:uid="{00000000-0005-0000-0000-000099140000}"/>
    <cellStyle name="Normal 19 2 2 4 2 2" xfId="1976" xr:uid="{00000000-0005-0000-0000-00009A140000}"/>
    <cellStyle name="Normal 19 2 2 4 2 2 2" xfId="6510" xr:uid="{00000000-0005-0000-0000-00009B140000}"/>
    <cellStyle name="Normal 19 2 2 4 2 2 2 2" xfId="9861" xr:uid="{00000000-0005-0000-0000-00009C140000}"/>
    <cellStyle name="Normal 19 2 2 4 2 2 2 2 2" xfId="17124" xr:uid="{00000000-0005-0000-0000-00009D140000}"/>
    <cellStyle name="Normal 19 2 2 4 2 2 2 2 2 2" xfId="33439" xr:uid="{00000000-0005-0000-0000-00009E140000}"/>
    <cellStyle name="Normal 19 2 2 4 2 2 2 2 3" xfId="26474" xr:uid="{00000000-0005-0000-0000-00009F140000}"/>
    <cellStyle name="Normal 19 2 2 4 2 2 2 3" xfId="13203" xr:uid="{00000000-0005-0000-0000-0000A0140000}"/>
    <cellStyle name="Normal 19 2 2 4 2 2 2 3 2" xfId="29778" xr:uid="{00000000-0005-0000-0000-0000A1140000}"/>
    <cellStyle name="Normal 19 2 2 4 2 2 2 4" xfId="23174" xr:uid="{00000000-0005-0000-0000-0000A2140000}"/>
    <cellStyle name="Normal 19 2 2 4 2 2 3" xfId="8240" xr:uid="{00000000-0005-0000-0000-0000A3140000}"/>
    <cellStyle name="Normal 19 2 2 4 2 2 3 2" xfId="15503" xr:uid="{00000000-0005-0000-0000-0000A4140000}"/>
    <cellStyle name="Normal 19 2 2 4 2 2 3 2 2" xfId="31818" xr:uid="{00000000-0005-0000-0000-0000A5140000}"/>
    <cellStyle name="Normal 19 2 2 4 2 2 3 3" xfId="24853" xr:uid="{00000000-0005-0000-0000-0000A6140000}"/>
    <cellStyle name="Normal 19 2 2 4 2 2 4" xfId="11555" xr:uid="{00000000-0005-0000-0000-0000A7140000}"/>
    <cellStyle name="Normal 19 2 2 4 2 2 4 2" xfId="28153" xr:uid="{00000000-0005-0000-0000-0000A8140000}"/>
    <cellStyle name="Normal 19 2 2 4 2 2 5" xfId="3580" xr:uid="{00000000-0005-0000-0000-0000A9140000}"/>
    <cellStyle name="Normal 19 2 2 4 2 2 5 2" xfId="20303" xr:uid="{00000000-0005-0000-0000-0000AA140000}"/>
    <cellStyle name="Normal 19 2 2 4 2 2 6" xfId="18707" xr:uid="{00000000-0005-0000-0000-0000AB140000}"/>
    <cellStyle name="Normal 19 2 2 4 2 3" xfId="1975" xr:uid="{00000000-0005-0000-0000-0000AC140000}"/>
    <cellStyle name="Normal 19 2 2 4 2 3 2" xfId="9085" xr:uid="{00000000-0005-0000-0000-0000AD140000}"/>
    <cellStyle name="Normal 19 2 2 4 2 3 2 2" xfId="16348" xr:uid="{00000000-0005-0000-0000-0000AE140000}"/>
    <cellStyle name="Normal 19 2 2 4 2 3 2 2 2" xfId="32663" xr:uid="{00000000-0005-0000-0000-0000AF140000}"/>
    <cellStyle name="Normal 19 2 2 4 2 3 2 3" xfId="25698" xr:uid="{00000000-0005-0000-0000-0000B0140000}"/>
    <cellStyle name="Normal 19 2 2 4 2 3 3" xfId="12427" xr:uid="{00000000-0005-0000-0000-0000B1140000}"/>
    <cellStyle name="Normal 19 2 2 4 2 3 3 2" xfId="29002" xr:uid="{00000000-0005-0000-0000-0000B2140000}"/>
    <cellStyle name="Normal 19 2 2 4 2 3 4" xfId="5734" xr:uid="{00000000-0005-0000-0000-0000B3140000}"/>
    <cellStyle name="Normal 19 2 2 4 2 3 4 2" xfId="22398" xr:uid="{00000000-0005-0000-0000-0000B4140000}"/>
    <cellStyle name="Normal 19 2 2 4 2 3 5" xfId="18706" xr:uid="{00000000-0005-0000-0000-0000B5140000}"/>
    <cellStyle name="Normal 19 2 2 4 2 4" xfId="7464" xr:uid="{00000000-0005-0000-0000-0000B6140000}"/>
    <cellStyle name="Normal 19 2 2 4 2 4 2" xfId="14727" xr:uid="{00000000-0005-0000-0000-0000B7140000}"/>
    <cellStyle name="Normal 19 2 2 4 2 4 2 2" xfId="31042" xr:uid="{00000000-0005-0000-0000-0000B8140000}"/>
    <cellStyle name="Normal 19 2 2 4 2 4 3" xfId="24077" xr:uid="{00000000-0005-0000-0000-0000B9140000}"/>
    <cellStyle name="Normal 19 2 2 4 2 5" xfId="10779" xr:uid="{00000000-0005-0000-0000-0000BA140000}"/>
    <cellStyle name="Normal 19 2 2 4 2 5 2" xfId="27377" xr:uid="{00000000-0005-0000-0000-0000BB140000}"/>
    <cellStyle name="Normal 19 2 2 4 2 6" xfId="3579" xr:uid="{00000000-0005-0000-0000-0000BC140000}"/>
    <cellStyle name="Normal 19 2 2 4 2 6 2" xfId="20302" xr:uid="{00000000-0005-0000-0000-0000BD140000}"/>
    <cellStyle name="Normal 19 2 2 4 2 7" xfId="18351" xr:uid="{00000000-0005-0000-0000-0000BE140000}"/>
    <cellStyle name="Normal 19 2 2 4 3" xfId="1977" xr:uid="{00000000-0005-0000-0000-0000BF140000}"/>
    <cellStyle name="Normal 19 2 2 4 3 2" xfId="6140" xr:uid="{00000000-0005-0000-0000-0000C0140000}"/>
    <cellStyle name="Normal 19 2 2 4 3 2 2" xfId="9491" xr:uid="{00000000-0005-0000-0000-0000C1140000}"/>
    <cellStyle name="Normal 19 2 2 4 3 2 2 2" xfId="16754" xr:uid="{00000000-0005-0000-0000-0000C2140000}"/>
    <cellStyle name="Normal 19 2 2 4 3 2 2 2 2" xfId="33069" xr:uid="{00000000-0005-0000-0000-0000C3140000}"/>
    <cellStyle name="Normal 19 2 2 4 3 2 2 3" xfId="26104" xr:uid="{00000000-0005-0000-0000-0000C4140000}"/>
    <cellStyle name="Normal 19 2 2 4 3 2 3" xfId="12833" xr:uid="{00000000-0005-0000-0000-0000C5140000}"/>
    <cellStyle name="Normal 19 2 2 4 3 2 3 2" xfId="29408" xr:uid="{00000000-0005-0000-0000-0000C6140000}"/>
    <cellStyle name="Normal 19 2 2 4 3 2 4" xfId="22804" xr:uid="{00000000-0005-0000-0000-0000C7140000}"/>
    <cellStyle name="Normal 19 2 2 4 3 3" xfId="7870" xr:uid="{00000000-0005-0000-0000-0000C8140000}"/>
    <cellStyle name="Normal 19 2 2 4 3 3 2" xfId="15133" xr:uid="{00000000-0005-0000-0000-0000C9140000}"/>
    <cellStyle name="Normal 19 2 2 4 3 3 2 2" xfId="31448" xr:uid="{00000000-0005-0000-0000-0000CA140000}"/>
    <cellStyle name="Normal 19 2 2 4 3 3 3" xfId="24483" xr:uid="{00000000-0005-0000-0000-0000CB140000}"/>
    <cellStyle name="Normal 19 2 2 4 3 4" xfId="11185" xr:uid="{00000000-0005-0000-0000-0000CC140000}"/>
    <cellStyle name="Normal 19 2 2 4 3 4 2" xfId="27783" xr:uid="{00000000-0005-0000-0000-0000CD140000}"/>
    <cellStyle name="Normal 19 2 2 4 3 5" xfId="3581" xr:uid="{00000000-0005-0000-0000-0000CE140000}"/>
    <cellStyle name="Normal 19 2 2 4 3 5 2" xfId="20304" xr:uid="{00000000-0005-0000-0000-0000CF140000}"/>
    <cellStyle name="Normal 19 2 2 4 3 6" xfId="18708" xr:uid="{00000000-0005-0000-0000-0000D0140000}"/>
    <cellStyle name="Normal 19 2 2 4 4" xfId="1974" xr:uid="{00000000-0005-0000-0000-0000D1140000}"/>
    <cellStyle name="Normal 19 2 2 4 4 2" xfId="8678" xr:uid="{00000000-0005-0000-0000-0000D2140000}"/>
    <cellStyle name="Normal 19 2 2 4 4 2 2" xfId="15941" xr:uid="{00000000-0005-0000-0000-0000D3140000}"/>
    <cellStyle name="Normal 19 2 2 4 4 2 2 2" xfId="32256" xr:uid="{00000000-0005-0000-0000-0000D4140000}"/>
    <cellStyle name="Normal 19 2 2 4 4 2 3" xfId="25291" xr:uid="{00000000-0005-0000-0000-0000D5140000}"/>
    <cellStyle name="Normal 19 2 2 4 4 3" xfId="12020" xr:uid="{00000000-0005-0000-0000-0000D6140000}"/>
    <cellStyle name="Normal 19 2 2 4 4 3 2" xfId="28595" xr:uid="{00000000-0005-0000-0000-0000D7140000}"/>
    <cellStyle name="Normal 19 2 2 4 4 4" xfId="5327" xr:uid="{00000000-0005-0000-0000-0000D8140000}"/>
    <cellStyle name="Normal 19 2 2 4 4 4 2" xfId="21991" xr:uid="{00000000-0005-0000-0000-0000D9140000}"/>
    <cellStyle name="Normal 19 2 2 4 4 5" xfId="18705" xr:uid="{00000000-0005-0000-0000-0000DA140000}"/>
    <cellStyle name="Normal 19 2 2 4 5" xfId="7058" xr:uid="{00000000-0005-0000-0000-0000DB140000}"/>
    <cellStyle name="Normal 19 2 2 4 5 2" xfId="14321" xr:uid="{00000000-0005-0000-0000-0000DC140000}"/>
    <cellStyle name="Normal 19 2 2 4 5 2 2" xfId="30636" xr:uid="{00000000-0005-0000-0000-0000DD140000}"/>
    <cellStyle name="Normal 19 2 2 4 5 3" xfId="23671" xr:uid="{00000000-0005-0000-0000-0000DE140000}"/>
    <cellStyle name="Normal 19 2 2 4 6" xfId="10373" xr:uid="{00000000-0005-0000-0000-0000DF140000}"/>
    <cellStyle name="Normal 19 2 2 4 6 2" xfId="26971" xr:uid="{00000000-0005-0000-0000-0000E0140000}"/>
    <cellStyle name="Normal 19 2 2 4 7" xfId="3578" xr:uid="{00000000-0005-0000-0000-0000E1140000}"/>
    <cellStyle name="Normal 19 2 2 4 7 2" xfId="20301" xr:uid="{00000000-0005-0000-0000-0000E2140000}"/>
    <cellStyle name="Normal 19 2 2 4 8" xfId="17832" xr:uid="{00000000-0005-0000-0000-0000E3140000}"/>
    <cellStyle name="Normal 19 2 2 5" xfId="836" xr:uid="{00000000-0005-0000-0000-0000E4140000}"/>
    <cellStyle name="Normal 19 2 2 5 2" xfId="1413" xr:uid="{00000000-0005-0000-0000-0000E5140000}"/>
    <cellStyle name="Normal 19 2 2 5 2 2" xfId="1979" xr:uid="{00000000-0005-0000-0000-0000E6140000}"/>
    <cellStyle name="Normal 19 2 2 5 2 2 2" xfId="9685" xr:uid="{00000000-0005-0000-0000-0000E7140000}"/>
    <cellStyle name="Normal 19 2 2 5 2 2 2 2" xfId="16948" xr:uid="{00000000-0005-0000-0000-0000E8140000}"/>
    <cellStyle name="Normal 19 2 2 5 2 2 2 2 2" xfId="33263" xr:uid="{00000000-0005-0000-0000-0000E9140000}"/>
    <cellStyle name="Normal 19 2 2 5 2 2 2 3" xfId="26298" xr:uid="{00000000-0005-0000-0000-0000EA140000}"/>
    <cellStyle name="Normal 19 2 2 5 2 2 3" xfId="13027" xr:uid="{00000000-0005-0000-0000-0000EB140000}"/>
    <cellStyle name="Normal 19 2 2 5 2 2 3 2" xfId="29602" xr:uid="{00000000-0005-0000-0000-0000EC140000}"/>
    <cellStyle name="Normal 19 2 2 5 2 2 4" xfId="6334" xr:uid="{00000000-0005-0000-0000-0000ED140000}"/>
    <cellStyle name="Normal 19 2 2 5 2 2 4 2" xfId="22998" xr:uid="{00000000-0005-0000-0000-0000EE140000}"/>
    <cellStyle name="Normal 19 2 2 5 2 2 5" xfId="18710" xr:uid="{00000000-0005-0000-0000-0000EF140000}"/>
    <cellStyle name="Normal 19 2 2 5 2 3" xfId="8064" xr:uid="{00000000-0005-0000-0000-0000F0140000}"/>
    <cellStyle name="Normal 19 2 2 5 2 3 2" xfId="15327" xr:uid="{00000000-0005-0000-0000-0000F1140000}"/>
    <cellStyle name="Normal 19 2 2 5 2 3 2 2" xfId="31642" xr:uid="{00000000-0005-0000-0000-0000F2140000}"/>
    <cellStyle name="Normal 19 2 2 5 2 3 3" xfId="24677" xr:uid="{00000000-0005-0000-0000-0000F3140000}"/>
    <cellStyle name="Normal 19 2 2 5 2 4" xfId="11379" xr:uid="{00000000-0005-0000-0000-0000F4140000}"/>
    <cellStyle name="Normal 19 2 2 5 2 4 2" xfId="27977" xr:uid="{00000000-0005-0000-0000-0000F5140000}"/>
    <cellStyle name="Normal 19 2 2 5 2 5" xfId="3583" xr:uid="{00000000-0005-0000-0000-0000F6140000}"/>
    <cellStyle name="Normal 19 2 2 5 2 5 2" xfId="20306" xr:uid="{00000000-0005-0000-0000-0000F7140000}"/>
    <cellStyle name="Normal 19 2 2 5 2 6" xfId="18148" xr:uid="{00000000-0005-0000-0000-0000F8140000}"/>
    <cellStyle name="Normal 19 2 2 5 3" xfId="1978" xr:uid="{00000000-0005-0000-0000-0000F9140000}"/>
    <cellStyle name="Normal 19 2 2 5 3 2" xfId="8873" xr:uid="{00000000-0005-0000-0000-0000FA140000}"/>
    <cellStyle name="Normal 19 2 2 5 3 2 2" xfId="16136" xr:uid="{00000000-0005-0000-0000-0000FB140000}"/>
    <cellStyle name="Normal 19 2 2 5 3 2 2 2" xfId="32451" xr:uid="{00000000-0005-0000-0000-0000FC140000}"/>
    <cellStyle name="Normal 19 2 2 5 3 2 3" xfId="25486" xr:uid="{00000000-0005-0000-0000-0000FD140000}"/>
    <cellStyle name="Normal 19 2 2 5 3 3" xfId="12215" xr:uid="{00000000-0005-0000-0000-0000FE140000}"/>
    <cellStyle name="Normal 19 2 2 5 3 3 2" xfId="28790" xr:uid="{00000000-0005-0000-0000-0000FF140000}"/>
    <cellStyle name="Normal 19 2 2 5 3 4" xfId="5522" xr:uid="{00000000-0005-0000-0000-000000150000}"/>
    <cellStyle name="Normal 19 2 2 5 3 4 2" xfId="22186" xr:uid="{00000000-0005-0000-0000-000001150000}"/>
    <cellStyle name="Normal 19 2 2 5 3 5" xfId="18709" xr:uid="{00000000-0005-0000-0000-000002150000}"/>
    <cellStyle name="Normal 19 2 2 5 4" xfId="7252" xr:uid="{00000000-0005-0000-0000-000003150000}"/>
    <cellStyle name="Normal 19 2 2 5 4 2" xfId="14515" xr:uid="{00000000-0005-0000-0000-000004150000}"/>
    <cellStyle name="Normal 19 2 2 5 4 2 2" xfId="30830" xr:uid="{00000000-0005-0000-0000-000005150000}"/>
    <cellStyle name="Normal 19 2 2 5 4 3" xfId="23865" xr:uid="{00000000-0005-0000-0000-000006150000}"/>
    <cellStyle name="Normal 19 2 2 5 5" xfId="10567" xr:uid="{00000000-0005-0000-0000-000007150000}"/>
    <cellStyle name="Normal 19 2 2 5 5 2" xfId="27165" xr:uid="{00000000-0005-0000-0000-000008150000}"/>
    <cellStyle name="Normal 19 2 2 5 6" xfId="3582" xr:uid="{00000000-0005-0000-0000-000009150000}"/>
    <cellStyle name="Normal 19 2 2 5 6 2" xfId="20305" xr:uid="{00000000-0005-0000-0000-00000A150000}"/>
    <cellStyle name="Normal 19 2 2 5 7" xfId="17629" xr:uid="{00000000-0005-0000-0000-00000B150000}"/>
    <cellStyle name="Normal 19 2 2 6" xfId="720" xr:uid="{00000000-0005-0000-0000-00000C150000}"/>
    <cellStyle name="Normal 19 2 2 6 2" xfId="1980" xr:uid="{00000000-0005-0000-0000-00000D150000}"/>
    <cellStyle name="Normal 19 2 2 6 2 2" xfId="9279" xr:uid="{00000000-0005-0000-0000-00000E150000}"/>
    <cellStyle name="Normal 19 2 2 6 2 2 2" xfId="16542" xr:uid="{00000000-0005-0000-0000-00000F150000}"/>
    <cellStyle name="Normal 19 2 2 6 2 2 2 2" xfId="32857" xr:uid="{00000000-0005-0000-0000-000010150000}"/>
    <cellStyle name="Normal 19 2 2 6 2 2 3" xfId="25892" xr:uid="{00000000-0005-0000-0000-000011150000}"/>
    <cellStyle name="Normal 19 2 2 6 2 3" xfId="12621" xr:uid="{00000000-0005-0000-0000-000012150000}"/>
    <cellStyle name="Normal 19 2 2 6 2 3 2" xfId="29196" xr:uid="{00000000-0005-0000-0000-000013150000}"/>
    <cellStyle name="Normal 19 2 2 6 2 4" xfId="5928" xr:uid="{00000000-0005-0000-0000-000014150000}"/>
    <cellStyle name="Normal 19 2 2 6 2 4 2" xfId="22592" xr:uid="{00000000-0005-0000-0000-000015150000}"/>
    <cellStyle name="Normal 19 2 2 6 2 5" xfId="18711" xr:uid="{00000000-0005-0000-0000-000016150000}"/>
    <cellStyle name="Normal 19 2 2 6 3" xfId="7658" xr:uid="{00000000-0005-0000-0000-000017150000}"/>
    <cellStyle name="Normal 19 2 2 6 3 2" xfId="14921" xr:uid="{00000000-0005-0000-0000-000018150000}"/>
    <cellStyle name="Normal 19 2 2 6 3 2 2" xfId="31236" xr:uid="{00000000-0005-0000-0000-000019150000}"/>
    <cellStyle name="Normal 19 2 2 6 3 3" xfId="24271" xr:uid="{00000000-0005-0000-0000-00001A150000}"/>
    <cellStyle name="Normal 19 2 2 6 4" xfId="10973" xr:uid="{00000000-0005-0000-0000-00001B150000}"/>
    <cellStyle name="Normal 19 2 2 6 4 2" xfId="27571" xr:uid="{00000000-0005-0000-0000-00001C150000}"/>
    <cellStyle name="Normal 19 2 2 6 5" xfId="3584" xr:uid="{00000000-0005-0000-0000-00001D150000}"/>
    <cellStyle name="Normal 19 2 2 6 5 2" xfId="20307" xr:uid="{00000000-0005-0000-0000-00001E150000}"/>
    <cellStyle name="Normal 19 2 2 6 6" xfId="17533" xr:uid="{00000000-0005-0000-0000-00001F150000}"/>
    <cellStyle name="Normal 19 2 2 7" xfId="1317" xr:uid="{00000000-0005-0000-0000-000020150000}"/>
    <cellStyle name="Normal 19 2 2 7 2" xfId="8482" xr:uid="{00000000-0005-0000-0000-000021150000}"/>
    <cellStyle name="Normal 19 2 2 7 2 2" xfId="15745" xr:uid="{00000000-0005-0000-0000-000022150000}"/>
    <cellStyle name="Normal 19 2 2 7 2 2 2" xfId="32060" xr:uid="{00000000-0005-0000-0000-000023150000}"/>
    <cellStyle name="Normal 19 2 2 7 2 3" xfId="25095" xr:uid="{00000000-0005-0000-0000-000024150000}"/>
    <cellStyle name="Normal 19 2 2 7 3" xfId="11823" xr:uid="{00000000-0005-0000-0000-000025150000}"/>
    <cellStyle name="Normal 19 2 2 7 3 2" xfId="28399" xr:uid="{00000000-0005-0000-0000-000026150000}"/>
    <cellStyle name="Normal 19 2 2 7 4" xfId="5129" xr:uid="{00000000-0005-0000-0000-000027150000}"/>
    <cellStyle name="Normal 19 2 2 7 4 2" xfId="21795" xr:uid="{00000000-0005-0000-0000-000028150000}"/>
    <cellStyle name="Normal 19 2 2 7 5" xfId="18052" xr:uid="{00000000-0005-0000-0000-000029150000}"/>
    <cellStyle name="Normal 19 2 2 8" xfId="1949" xr:uid="{00000000-0005-0000-0000-00002A150000}"/>
    <cellStyle name="Normal 19 2 2 8 2" xfId="14126" xr:uid="{00000000-0005-0000-0000-00002B150000}"/>
    <cellStyle name="Normal 19 2 2 8 2 2" xfId="30441" xr:uid="{00000000-0005-0000-0000-00002C150000}"/>
    <cellStyle name="Normal 19 2 2 8 3" xfId="6863" xr:uid="{00000000-0005-0000-0000-00002D150000}"/>
    <cellStyle name="Normal 19 2 2 8 3 2" xfId="23476" xr:uid="{00000000-0005-0000-0000-00002E150000}"/>
    <cellStyle name="Normal 19 2 2 8 4" xfId="18680" xr:uid="{00000000-0005-0000-0000-00002F150000}"/>
    <cellStyle name="Normal 19 2 2 9" xfId="10176" xr:uid="{00000000-0005-0000-0000-000030150000}"/>
    <cellStyle name="Normal 19 2 2 9 2" xfId="26776" xr:uid="{00000000-0005-0000-0000-000031150000}"/>
    <cellStyle name="Normal 19 2 3" xfId="661" xr:uid="{00000000-0005-0000-0000-000032150000}"/>
    <cellStyle name="Normal 19 2 3 10" xfId="17477" xr:uid="{00000000-0005-0000-0000-000033150000}"/>
    <cellStyle name="Normal 19 2 3 2" xfId="1004" xr:uid="{00000000-0005-0000-0000-000034150000}"/>
    <cellStyle name="Normal 19 2 3 2 2" xfId="1100" xr:uid="{00000000-0005-0000-0000-000035150000}"/>
    <cellStyle name="Normal 19 2 3 2 2 2" xfId="1621" xr:uid="{00000000-0005-0000-0000-000036150000}"/>
    <cellStyle name="Normal 19 2 3 2 2 2 2" xfId="1985" xr:uid="{00000000-0005-0000-0000-000037150000}"/>
    <cellStyle name="Normal 19 2 3 2 2 2 2 2" xfId="6515" xr:uid="{00000000-0005-0000-0000-000038150000}"/>
    <cellStyle name="Normal 19 2 3 2 2 2 2 2 2" xfId="9866" xr:uid="{00000000-0005-0000-0000-000039150000}"/>
    <cellStyle name="Normal 19 2 3 2 2 2 2 2 2 2" xfId="17129" xr:uid="{00000000-0005-0000-0000-00003A150000}"/>
    <cellStyle name="Normal 19 2 3 2 2 2 2 2 2 2 2" xfId="33444" xr:uid="{00000000-0005-0000-0000-00003B150000}"/>
    <cellStyle name="Normal 19 2 3 2 2 2 2 2 2 3" xfId="26479" xr:uid="{00000000-0005-0000-0000-00003C150000}"/>
    <cellStyle name="Normal 19 2 3 2 2 2 2 2 3" xfId="13208" xr:uid="{00000000-0005-0000-0000-00003D150000}"/>
    <cellStyle name="Normal 19 2 3 2 2 2 2 2 3 2" xfId="29783" xr:uid="{00000000-0005-0000-0000-00003E150000}"/>
    <cellStyle name="Normal 19 2 3 2 2 2 2 2 4" xfId="23179" xr:uid="{00000000-0005-0000-0000-00003F150000}"/>
    <cellStyle name="Normal 19 2 3 2 2 2 2 3" xfId="8245" xr:uid="{00000000-0005-0000-0000-000040150000}"/>
    <cellStyle name="Normal 19 2 3 2 2 2 2 3 2" xfId="15508" xr:uid="{00000000-0005-0000-0000-000041150000}"/>
    <cellStyle name="Normal 19 2 3 2 2 2 2 3 2 2" xfId="31823" xr:uid="{00000000-0005-0000-0000-000042150000}"/>
    <cellStyle name="Normal 19 2 3 2 2 2 2 3 3" xfId="24858" xr:uid="{00000000-0005-0000-0000-000043150000}"/>
    <cellStyle name="Normal 19 2 3 2 2 2 2 4" xfId="11560" xr:uid="{00000000-0005-0000-0000-000044150000}"/>
    <cellStyle name="Normal 19 2 3 2 2 2 2 4 2" xfId="28158" xr:uid="{00000000-0005-0000-0000-000045150000}"/>
    <cellStyle name="Normal 19 2 3 2 2 2 2 5" xfId="3589" xr:uid="{00000000-0005-0000-0000-000046150000}"/>
    <cellStyle name="Normal 19 2 3 2 2 2 2 5 2" xfId="20312" xr:uid="{00000000-0005-0000-0000-000047150000}"/>
    <cellStyle name="Normal 19 2 3 2 2 2 2 6" xfId="18716" xr:uid="{00000000-0005-0000-0000-000048150000}"/>
    <cellStyle name="Normal 19 2 3 2 2 2 3" xfId="1984" xr:uid="{00000000-0005-0000-0000-000049150000}"/>
    <cellStyle name="Normal 19 2 3 2 2 2 3 2" xfId="9090" xr:uid="{00000000-0005-0000-0000-00004A150000}"/>
    <cellStyle name="Normal 19 2 3 2 2 2 3 2 2" xfId="16353" xr:uid="{00000000-0005-0000-0000-00004B150000}"/>
    <cellStyle name="Normal 19 2 3 2 2 2 3 2 2 2" xfId="32668" xr:uid="{00000000-0005-0000-0000-00004C150000}"/>
    <cellStyle name="Normal 19 2 3 2 2 2 3 2 3" xfId="25703" xr:uid="{00000000-0005-0000-0000-00004D150000}"/>
    <cellStyle name="Normal 19 2 3 2 2 2 3 3" xfId="12432" xr:uid="{00000000-0005-0000-0000-00004E150000}"/>
    <cellStyle name="Normal 19 2 3 2 2 2 3 3 2" xfId="29007" xr:uid="{00000000-0005-0000-0000-00004F150000}"/>
    <cellStyle name="Normal 19 2 3 2 2 2 3 4" xfId="5739" xr:uid="{00000000-0005-0000-0000-000050150000}"/>
    <cellStyle name="Normal 19 2 3 2 2 2 3 4 2" xfId="22403" xr:uid="{00000000-0005-0000-0000-000051150000}"/>
    <cellStyle name="Normal 19 2 3 2 2 2 3 5" xfId="18715" xr:uid="{00000000-0005-0000-0000-000052150000}"/>
    <cellStyle name="Normal 19 2 3 2 2 2 4" xfId="7469" xr:uid="{00000000-0005-0000-0000-000053150000}"/>
    <cellStyle name="Normal 19 2 3 2 2 2 4 2" xfId="14732" xr:uid="{00000000-0005-0000-0000-000054150000}"/>
    <cellStyle name="Normal 19 2 3 2 2 2 4 2 2" xfId="31047" xr:uid="{00000000-0005-0000-0000-000055150000}"/>
    <cellStyle name="Normal 19 2 3 2 2 2 4 3" xfId="24082" xr:uid="{00000000-0005-0000-0000-000056150000}"/>
    <cellStyle name="Normal 19 2 3 2 2 2 5" xfId="10784" xr:uid="{00000000-0005-0000-0000-000057150000}"/>
    <cellStyle name="Normal 19 2 3 2 2 2 5 2" xfId="27382" xr:uid="{00000000-0005-0000-0000-000058150000}"/>
    <cellStyle name="Normal 19 2 3 2 2 2 6" xfId="3588" xr:uid="{00000000-0005-0000-0000-000059150000}"/>
    <cellStyle name="Normal 19 2 3 2 2 2 6 2" xfId="20311" xr:uid="{00000000-0005-0000-0000-00005A150000}"/>
    <cellStyle name="Normal 19 2 3 2 2 2 7" xfId="18356" xr:uid="{00000000-0005-0000-0000-00005B150000}"/>
    <cellStyle name="Normal 19 2 3 2 2 3" xfId="1986" xr:uid="{00000000-0005-0000-0000-00005C150000}"/>
    <cellStyle name="Normal 19 2 3 2 2 3 2" xfId="6145" xr:uid="{00000000-0005-0000-0000-00005D150000}"/>
    <cellStyle name="Normal 19 2 3 2 2 3 2 2" xfId="9496" xr:uid="{00000000-0005-0000-0000-00005E150000}"/>
    <cellStyle name="Normal 19 2 3 2 2 3 2 2 2" xfId="16759" xr:uid="{00000000-0005-0000-0000-00005F150000}"/>
    <cellStyle name="Normal 19 2 3 2 2 3 2 2 2 2" xfId="33074" xr:uid="{00000000-0005-0000-0000-000060150000}"/>
    <cellStyle name="Normal 19 2 3 2 2 3 2 2 3" xfId="26109" xr:uid="{00000000-0005-0000-0000-000061150000}"/>
    <cellStyle name="Normal 19 2 3 2 2 3 2 3" xfId="12838" xr:uid="{00000000-0005-0000-0000-000062150000}"/>
    <cellStyle name="Normal 19 2 3 2 2 3 2 3 2" xfId="29413" xr:uid="{00000000-0005-0000-0000-000063150000}"/>
    <cellStyle name="Normal 19 2 3 2 2 3 2 4" xfId="22809" xr:uid="{00000000-0005-0000-0000-000064150000}"/>
    <cellStyle name="Normal 19 2 3 2 2 3 3" xfId="7875" xr:uid="{00000000-0005-0000-0000-000065150000}"/>
    <cellStyle name="Normal 19 2 3 2 2 3 3 2" xfId="15138" xr:uid="{00000000-0005-0000-0000-000066150000}"/>
    <cellStyle name="Normal 19 2 3 2 2 3 3 2 2" xfId="31453" xr:uid="{00000000-0005-0000-0000-000067150000}"/>
    <cellStyle name="Normal 19 2 3 2 2 3 3 3" xfId="24488" xr:uid="{00000000-0005-0000-0000-000068150000}"/>
    <cellStyle name="Normal 19 2 3 2 2 3 4" xfId="11190" xr:uid="{00000000-0005-0000-0000-000069150000}"/>
    <cellStyle name="Normal 19 2 3 2 2 3 4 2" xfId="27788" xr:uid="{00000000-0005-0000-0000-00006A150000}"/>
    <cellStyle name="Normal 19 2 3 2 2 3 5" xfId="3590" xr:uid="{00000000-0005-0000-0000-00006B150000}"/>
    <cellStyle name="Normal 19 2 3 2 2 3 5 2" xfId="20313" xr:uid="{00000000-0005-0000-0000-00006C150000}"/>
    <cellStyle name="Normal 19 2 3 2 2 3 6" xfId="18717" xr:uid="{00000000-0005-0000-0000-00006D150000}"/>
    <cellStyle name="Normal 19 2 3 2 2 4" xfId="1983" xr:uid="{00000000-0005-0000-0000-00006E150000}"/>
    <cellStyle name="Normal 19 2 3 2 2 4 2" xfId="8683" xr:uid="{00000000-0005-0000-0000-00006F150000}"/>
    <cellStyle name="Normal 19 2 3 2 2 4 2 2" xfId="15946" xr:uid="{00000000-0005-0000-0000-000070150000}"/>
    <cellStyle name="Normal 19 2 3 2 2 4 2 2 2" xfId="32261" xr:uid="{00000000-0005-0000-0000-000071150000}"/>
    <cellStyle name="Normal 19 2 3 2 2 4 2 3" xfId="25296" xr:uid="{00000000-0005-0000-0000-000072150000}"/>
    <cellStyle name="Normal 19 2 3 2 2 4 3" xfId="12025" xr:uid="{00000000-0005-0000-0000-000073150000}"/>
    <cellStyle name="Normal 19 2 3 2 2 4 3 2" xfId="28600" xr:uid="{00000000-0005-0000-0000-000074150000}"/>
    <cellStyle name="Normal 19 2 3 2 2 4 4" xfId="5332" xr:uid="{00000000-0005-0000-0000-000075150000}"/>
    <cellStyle name="Normal 19 2 3 2 2 4 4 2" xfId="21996" xr:uid="{00000000-0005-0000-0000-000076150000}"/>
    <cellStyle name="Normal 19 2 3 2 2 4 5" xfId="18714" xr:uid="{00000000-0005-0000-0000-000077150000}"/>
    <cellStyle name="Normal 19 2 3 2 2 5" xfId="7063" xr:uid="{00000000-0005-0000-0000-000078150000}"/>
    <cellStyle name="Normal 19 2 3 2 2 5 2" xfId="14326" xr:uid="{00000000-0005-0000-0000-000079150000}"/>
    <cellStyle name="Normal 19 2 3 2 2 5 2 2" xfId="30641" xr:uid="{00000000-0005-0000-0000-00007A150000}"/>
    <cellStyle name="Normal 19 2 3 2 2 5 3" xfId="23676" xr:uid="{00000000-0005-0000-0000-00007B150000}"/>
    <cellStyle name="Normal 19 2 3 2 2 6" xfId="10378" xr:uid="{00000000-0005-0000-0000-00007C150000}"/>
    <cellStyle name="Normal 19 2 3 2 2 6 2" xfId="26976" xr:uid="{00000000-0005-0000-0000-00007D150000}"/>
    <cellStyle name="Normal 19 2 3 2 2 7" xfId="3587" xr:uid="{00000000-0005-0000-0000-00007E150000}"/>
    <cellStyle name="Normal 19 2 3 2 2 7 2" xfId="20310" xr:uid="{00000000-0005-0000-0000-00007F150000}"/>
    <cellStyle name="Normal 19 2 3 2 2 8" xfId="17837" xr:uid="{00000000-0005-0000-0000-000080150000}"/>
    <cellStyle name="Normal 19 2 3 2 3" xfId="1565" xr:uid="{00000000-0005-0000-0000-000081150000}"/>
    <cellStyle name="Normal 19 2 3 2 3 2" xfId="1988" xr:uid="{00000000-0005-0000-0000-000082150000}"/>
    <cellStyle name="Normal 19 2 3 2 3 2 2" xfId="6339" xr:uid="{00000000-0005-0000-0000-000083150000}"/>
    <cellStyle name="Normal 19 2 3 2 3 2 2 2" xfId="9690" xr:uid="{00000000-0005-0000-0000-000084150000}"/>
    <cellStyle name="Normal 19 2 3 2 3 2 2 2 2" xfId="16953" xr:uid="{00000000-0005-0000-0000-000085150000}"/>
    <cellStyle name="Normal 19 2 3 2 3 2 2 2 2 2" xfId="33268" xr:uid="{00000000-0005-0000-0000-000086150000}"/>
    <cellStyle name="Normal 19 2 3 2 3 2 2 2 3" xfId="26303" xr:uid="{00000000-0005-0000-0000-000087150000}"/>
    <cellStyle name="Normal 19 2 3 2 3 2 2 3" xfId="13032" xr:uid="{00000000-0005-0000-0000-000088150000}"/>
    <cellStyle name="Normal 19 2 3 2 3 2 2 3 2" xfId="29607" xr:uid="{00000000-0005-0000-0000-000089150000}"/>
    <cellStyle name="Normal 19 2 3 2 3 2 2 4" xfId="23003" xr:uid="{00000000-0005-0000-0000-00008A150000}"/>
    <cellStyle name="Normal 19 2 3 2 3 2 3" xfId="8069" xr:uid="{00000000-0005-0000-0000-00008B150000}"/>
    <cellStyle name="Normal 19 2 3 2 3 2 3 2" xfId="15332" xr:uid="{00000000-0005-0000-0000-00008C150000}"/>
    <cellStyle name="Normal 19 2 3 2 3 2 3 2 2" xfId="31647" xr:uid="{00000000-0005-0000-0000-00008D150000}"/>
    <cellStyle name="Normal 19 2 3 2 3 2 3 3" xfId="24682" xr:uid="{00000000-0005-0000-0000-00008E150000}"/>
    <cellStyle name="Normal 19 2 3 2 3 2 4" xfId="11384" xr:uid="{00000000-0005-0000-0000-00008F150000}"/>
    <cellStyle name="Normal 19 2 3 2 3 2 4 2" xfId="27982" xr:uid="{00000000-0005-0000-0000-000090150000}"/>
    <cellStyle name="Normal 19 2 3 2 3 2 5" xfId="3592" xr:uid="{00000000-0005-0000-0000-000091150000}"/>
    <cellStyle name="Normal 19 2 3 2 3 2 5 2" xfId="20315" xr:uid="{00000000-0005-0000-0000-000092150000}"/>
    <cellStyle name="Normal 19 2 3 2 3 2 6" xfId="18719" xr:uid="{00000000-0005-0000-0000-000093150000}"/>
    <cellStyle name="Normal 19 2 3 2 3 3" xfId="1987" xr:uid="{00000000-0005-0000-0000-000094150000}"/>
    <cellStyle name="Normal 19 2 3 2 3 3 2" xfId="8878" xr:uid="{00000000-0005-0000-0000-000095150000}"/>
    <cellStyle name="Normal 19 2 3 2 3 3 2 2" xfId="16141" xr:uid="{00000000-0005-0000-0000-000096150000}"/>
    <cellStyle name="Normal 19 2 3 2 3 3 2 2 2" xfId="32456" xr:uid="{00000000-0005-0000-0000-000097150000}"/>
    <cellStyle name="Normal 19 2 3 2 3 3 2 3" xfId="25491" xr:uid="{00000000-0005-0000-0000-000098150000}"/>
    <cellStyle name="Normal 19 2 3 2 3 3 3" xfId="12220" xr:uid="{00000000-0005-0000-0000-000099150000}"/>
    <cellStyle name="Normal 19 2 3 2 3 3 3 2" xfId="28795" xr:uid="{00000000-0005-0000-0000-00009A150000}"/>
    <cellStyle name="Normal 19 2 3 2 3 3 4" xfId="5527" xr:uid="{00000000-0005-0000-0000-00009B150000}"/>
    <cellStyle name="Normal 19 2 3 2 3 3 4 2" xfId="22191" xr:uid="{00000000-0005-0000-0000-00009C150000}"/>
    <cellStyle name="Normal 19 2 3 2 3 3 5" xfId="18718" xr:uid="{00000000-0005-0000-0000-00009D150000}"/>
    <cellStyle name="Normal 19 2 3 2 3 4" xfId="7257" xr:uid="{00000000-0005-0000-0000-00009E150000}"/>
    <cellStyle name="Normal 19 2 3 2 3 4 2" xfId="14520" xr:uid="{00000000-0005-0000-0000-00009F150000}"/>
    <cellStyle name="Normal 19 2 3 2 3 4 2 2" xfId="30835" xr:uid="{00000000-0005-0000-0000-0000A0150000}"/>
    <cellStyle name="Normal 19 2 3 2 3 4 3" xfId="23870" xr:uid="{00000000-0005-0000-0000-0000A1150000}"/>
    <cellStyle name="Normal 19 2 3 2 3 5" xfId="10572" xr:uid="{00000000-0005-0000-0000-0000A2150000}"/>
    <cellStyle name="Normal 19 2 3 2 3 5 2" xfId="27170" xr:uid="{00000000-0005-0000-0000-0000A3150000}"/>
    <cellStyle name="Normal 19 2 3 2 3 6" xfId="3591" xr:uid="{00000000-0005-0000-0000-0000A4150000}"/>
    <cellStyle name="Normal 19 2 3 2 3 6 2" xfId="20314" xr:uid="{00000000-0005-0000-0000-0000A5150000}"/>
    <cellStyle name="Normal 19 2 3 2 3 7" xfId="18300" xr:uid="{00000000-0005-0000-0000-0000A6150000}"/>
    <cellStyle name="Normal 19 2 3 2 4" xfId="1989" xr:uid="{00000000-0005-0000-0000-0000A7150000}"/>
    <cellStyle name="Normal 19 2 3 2 4 2" xfId="5933" xr:uid="{00000000-0005-0000-0000-0000A8150000}"/>
    <cellStyle name="Normal 19 2 3 2 4 2 2" xfId="9284" xr:uid="{00000000-0005-0000-0000-0000A9150000}"/>
    <cellStyle name="Normal 19 2 3 2 4 2 2 2" xfId="16547" xr:uid="{00000000-0005-0000-0000-0000AA150000}"/>
    <cellStyle name="Normal 19 2 3 2 4 2 2 2 2" xfId="32862" xr:uid="{00000000-0005-0000-0000-0000AB150000}"/>
    <cellStyle name="Normal 19 2 3 2 4 2 2 3" xfId="25897" xr:uid="{00000000-0005-0000-0000-0000AC150000}"/>
    <cellStyle name="Normal 19 2 3 2 4 2 3" xfId="12626" xr:uid="{00000000-0005-0000-0000-0000AD150000}"/>
    <cellStyle name="Normal 19 2 3 2 4 2 3 2" xfId="29201" xr:uid="{00000000-0005-0000-0000-0000AE150000}"/>
    <cellStyle name="Normal 19 2 3 2 4 2 4" xfId="22597" xr:uid="{00000000-0005-0000-0000-0000AF150000}"/>
    <cellStyle name="Normal 19 2 3 2 4 3" xfId="7663" xr:uid="{00000000-0005-0000-0000-0000B0150000}"/>
    <cellStyle name="Normal 19 2 3 2 4 3 2" xfId="14926" xr:uid="{00000000-0005-0000-0000-0000B1150000}"/>
    <cellStyle name="Normal 19 2 3 2 4 3 2 2" xfId="31241" xr:uid="{00000000-0005-0000-0000-0000B2150000}"/>
    <cellStyle name="Normal 19 2 3 2 4 3 3" xfId="24276" xr:uid="{00000000-0005-0000-0000-0000B3150000}"/>
    <cellStyle name="Normal 19 2 3 2 4 4" xfId="10978" xr:uid="{00000000-0005-0000-0000-0000B4150000}"/>
    <cellStyle name="Normal 19 2 3 2 4 4 2" xfId="27576" xr:uid="{00000000-0005-0000-0000-0000B5150000}"/>
    <cellStyle name="Normal 19 2 3 2 4 5" xfId="3593" xr:uid="{00000000-0005-0000-0000-0000B6150000}"/>
    <cellStyle name="Normal 19 2 3 2 4 5 2" xfId="20316" xr:uid="{00000000-0005-0000-0000-0000B7150000}"/>
    <cellStyle name="Normal 19 2 3 2 4 6" xfId="18720" xr:uid="{00000000-0005-0000-0000-0000B8150000}"/>
    <cellStyle name="Normal 19 2 3 2 5" xfId="1982" xr:uid="{00000000-0005-0000-0000-0000B9150000}"/>
    <cellStyle name="Normal 19 2 3 2 5 2" xfId="8626" xr:uid="{00000000-0005-0000-0000-0000BA150000}"/>
    <cellStyle name="Normal 19 2 3 2 5 2 2" xfId="15889" xr:uid="{00000000-0005-0000-0000-0000BB150000}"/>
    <cellStyle name="Normal 19 2 3 2 5 2 2 2" xfId="32204" xr:uid="{00000000-0005-0000-0000-0000BC150000}"/>
    <cellStyle name="Normal 19 2 3 2 5 2 3" xfId="25239" xr:uid="{00000000-0005-0000-0000-0000BD150000}"/>
    <cellStyle name="Normal 19 2 3 2 5 3" xfId="11968" xr:uid="{00000000-0005-0000-0000-0000BE150000}"/>
    <cellStyle name="Normal 19 2 3 2 5 3 2" xfId="28543" xr:uid="{00000000-0005-0000-0000-0000BF150000}"/>
    <cellStyle name="Normal 19 2 3 2 5 4" xfId="5275" xr:uid="{00000000-0005-0000-0000-0000C0150000}"/>
    <cellStyle name="Normal 19 2 3 2 5 4 2" xfId="21939" xr:uid="{00000000-0005-0000-0000-0000C1150000}"/>
    <cellStyle name="Normal 19 2 3 2 5 5" xfId="18713" xr:uid="{00000000-0005-0000-0000-0000C2150000}"/>
    <cellStyle name="Normal 19 2 3 2 6" xfId="7007" xr:uid="{00000000-0005-0000-0000-0000C3150000}"/>
    <cellStyle name="Normal 19 2 3 2 6 2" xfId="14270" xr:uid="{00000000-0005-0000-0000-0000C4150000}"/>
    <cellStyle name="Normal 19 2 3 2 6 2 2" xfId="30585" xr:uid="{00000000-0005-0000-0000-0000C5150000}"/>
    <cellStyle name="Normal 19 2 3 2 6 3" xfId="23620" xr:uid="{00000000-0005-0000-0000-0000C6150000}"/>
    <cellStyle name="Normal 19 2 3 2 7" xfId="10321" xr:uid="{00000000-0005-0000-0000-0000C7150000}"/>
    <cellStyle name="Normal 19 2 3 2 7 2" xfId="26920" xr:uid="{00000000-0005-0000-0000-0000C8150000}"/>
    <cellStyle name="Normal 19 2 3 2 8" xfId="3586" xr:uid="{00000000-0005-0000-0000-0000C9150000}"/>
    <cellStyle name="Normal 19 2 3 2 8 2" xfId="20309" xr:uid="{00000000-0005-0000-0000-0000CA150000}"/>
    <cellStyle name="Normal 19 2 3 2 9" xfId="17781" xr:uid="{00000000-0005-0000-0000-0000CB150000}"/>
    <cellStyle name="Normal 19 2 3 3" xfId="1099" xr:uid="{00000000-0005-0000-0000-0000CC150000}"/>
    <cellStyle name="Normal 19 2 3 3 2" xfId="1620" xr:uid="{00000000-0005-0000-0000-0000CD150000}"/>
    <cellStyle name="Normal 19 2 3 3 2 2" xfId="1992" xr:uid="{00000000-0005-0000-0000-0000CE150000}"/>
    <cellStyle name="Normal 19 2 3 3 2 2 2" xfId="6514" xr:uid="{00000000-0005-0000-0000-0000CF150000}"/>
    <cellStyle name="Normal 19 2 3 3 2 2 2 2" xfId="9865" xr:uid="{00000000-0005-0000-0000-0000D0150000}"/>
    <cellStyle name="Normal 19 2 3 3 2 2 2 2 2" xfId="17128" xr:uid="{00000000-0005-0000-0000-0000D1150000}"/>
    <cellStyle name="Normal 19 2 3 3 2 2 2 2 2 2" xfId="33443" xr:uid="{00000000-0005-0000-0000-0000D2150000}"/>
    <cellStyle name="Normal 19 2 3 3 2 2 2 2 3" xfId="26478" xr:uid="{00000000-0005-0000-0000-0000D3150000}"/>
    <cellStyle name="Normal 19 2 3 3 2 2 2 3" xfId="13207" xr:uid="{00000000-0005-0000-0000-0000D4150000}"/>
    <cellStyle name="Normal 19 2 3 3 2 2 2 3 2" xfId="29782" xr:uid="{00000000-0005-0000-0000-0000D5150000}"/>
    <cellStyle name="Normal 19 2 3 3 2 2 2 4" xfId="23178" xr:uid="{00000000-0005-0000-0000-0000D6150000}"/>
    <cellStyle name="Normal 19 2 3 3 2 2 3" xfId="8244" xr:uid="{00000000-0005-0000-0000-0000D7150000}"/>
    <cellStyle name="Normal 19 2 3 3 2 2 3 2" xfId="15507" xr:uid="{00000000-0005-0000-0000-0000D8150000}"/>
    <cellStyle name="Normal 19 2 3 3 2 2 3 2 2" xfId="31822" xr:uid="{00000000-0005-0000-0000-0000D9150000}"/>
    <cellStyle name="Normal 19 2 3 3 2 2 3 3" xfId="24857" xr:uid="{00000000-0005-0000-0000-0000DA150000}"/>
    <cellStyle name="Normal 19 2 3 3 2 2 4" xfId="11559" xr:uid="{00000000-0005-0000-0000-0000DB150000}"/>
    <cellStyle name="Normal 19 2 3 3 2 2 4 2" xfId="28157" xr:uid="{00000000-0005-0000-0000-0000DC150000}"/>
    <cellStyle name="Normal 19 2 3 3 2 2 5" xfId="3596" xr:uid="{00000000-0005-0000-0000-0000DD150000}"/>
    <cellStyle name="Normal 19 2 3 3 2 2 5 2" xfId="20319" xr:uid="{00000000-0005-0000-0000-0000DE150000}"/>
    <cellStyle name="Normal 19 2 3 3 2 2 6" xfId="18723" xr:uid="{00000000-0005-0000-0000-0000DF150000}"/>
    <cellStyle name="Normal 19 2 3 3 2 3" xfId="1991" xr:uid="{00000000-0005-0000-0000-0000E0150000}"/>
    <cellStyle name="Normal 19 2 3 3 2 3 2" xfId="9089" xr:uid="{00000000-0005-0000-0000-0000E1150000}"/>
    <cellStyle name="Normal 19 2 3 3 2 3 2 2" xfId="16352" xr:uid="{00000000-0005-0000-0000-0000E2150000}"/>
    <cellStyle name="Normal 19 2 3 3 2 3 2 2 2" xfId="32667" xr:uid="{00000000-0005-0000-0000-0000E3150000}"/>
    <cellStyle name="Normal 19 2 3 3 2 3 2 3" xfId="25702" xr:uid="{00000000-0005-0000-0000-0000E4150000}"/>
    <cellStyle name="Normal 19 2 3 3 2 3 3" xfId="12431" xr:uid="{00000000-0005-0000-0000-0000E5150000}"/>
    <cellStyle name="Normal 19 2 3 3 2 3 3 2" xfId="29006" xr:uid="{00000000-0005-0000-0000-0000E6150000}"/>
    <cellStyle name="Normal 19 2 3 3 2 3 4" xfId="5738" xr:uid="{00000000-0005-0000-0000-0000E7150000}"/>
    <cellStyle name="Normal 19 2 3 3 2 3 4 2" xfId="22402" xr:uid="{00000000-0005-0000-0000-0000E8150000}"/>
    <cellStyle name="Normal 19 2 3 3 2 3 5" xfId="18722" xr:uid="{00000000-0005-0000-0000-0000E9150000}"/>
    <cellStyle name="Normal 19 2 3 3 2 4" xfId="7468" xr:uid="{00000000-0005-0000-0000-0000EA150000}"/>
    <cellStyle name="Normal 19 2 3 3 2 4 2" xfId="14731" xr:uid="{00000000-0005-0000-0000-0000EB150000}"/>
    <cellStyle name="Normal 19 2 3 3 2 4 2 2" xfId="31046" xr:uid="{00000000-0005-0000-0000-0000EC150000}"/>
    <cellStyle name="Normal 19 2 3 3 2 4 3" xfId="24081" xr:uid="{00000000-0005-0000-0000-0000ED150000}"/>
    <cellStyle name="Normal 19 2 3 3 2 5" xfId="10783" xr:uid="{00000000-0005-0000-0000-0000EE150000}"/>
    <cellStyle name="Normal 19 2 3 3 2 5 2" xfId="27381" xr:uid="{00000000-0005-0000-0000-0000EF150000}"/>
    <cellStyle name="Normal 19 2 3 3 2 6" xfId="3595" xr:uid="{00000000-0005-0000-0000-0000F0150000}"/>
    <cellStyle name="Normal 19 2 3 3 2 6 2" xfId="20318" xr:uid="{00000000-0005-0000-0000-0000F1150000}"/>
    <cellStyle name="Normal 19 2 3 3 2 7" xfId="18355" xr:uid="{00000000-0005-0000-0000-0000F2150000}"/>
    <cellStyle name="Normal 19 2 3 3 3" xfId="1993" xr:uid="{00000000-0005-0000-0000-0000F3150000}"/>
    <cellStyle name="Normal 19 2 3 3 3 2" xfId="6144" xr:uid="{00000000-0005-0000-0000-0000F4150000}"/>
    <cellStyle name="Normal 19 2 3 3 3 2 2" xfId="9495" xr:uid="{00000000-0005-0000-0000-0000F5150000}"/>
    <cellStyle name="Normal 19 2 3 3 3 2 2 2" xfId="16758" xr:uid="{00000000-0005-0000-0000-0000F6150000}"/>
    <cellStyle name="Normal 19 2 3 3 3 2 2 2 2" xfId="33073" xr:uid="{00000000-0005-0000-0000-0000F7150000}"/>
    <cellStyle name="Normal 19 2 3 3 3 2 2 3" xfId="26108" xr:uid="{00000000-0005-0000-0000-0000F8150000}"/>
    <cellStyle name="Normal 19 2 3 3 3 2 3" xfId="12837" xr:uid="{00000000-0005-0000-0000-0000F9150000}"/>
    <cellStyle name="Normal 19 2 3 3 3 2 3 2" xfId="29412" xr:uid="{00000000-0005-0000-0000-0000FA150000}"/>
    <cellStyle name="Normal 19 2 3 3 3 2 4" xfId="22808" xr:uid="{00000000-0005-0000-0000-0000FB150000}"/>
    <cellStyle name="Normal 19 2 3 3 3 3" xfId="7874" xr:uid="{00000000-0005-0000-0000-0000FC150000}"/>
    <cellStyle name="Normal 19 2 3 3 3 3 2" xfId="15137" xr:uid="{00000000-0005-0000-0000-0000FD150000}"/>
    <cellStyle name="Normal 19 2 3 3 3 3 2 2" xfId="31452" xr:uid="{00000000-0005-0000-0000-0000FE150000}"/>
    <cellStyle name="Normal 19 2 3 3 3 3 3" xfId="24487" xr:uid="{00000000-0005-0000-0000-0000FF150000}"/>
    <cellStyle name="Normal 19 2 3 3 3 4" xfId="11189" xr:uid="{00000000-0005-0000-0000-000000160000}"/>
    <cellStyle name="Normal 19 2 3 3 3 4 2" xfId="27787" xr:uid="{00000000-0005-0000-0000-000001160000}"/>
    <cellStyle name="Normal 19 2 3 3 3 5" xfId="3597" xr:uid="{00000000-0005-0000-0000-000002160000}"/>
    <cellStyle name="Normal 19 2 3 3 3 5 2" xfId="20320" xr:uid="{00000000-0005-0000-0000-000003160000}"/>
    <cellStyle name="Normal 19 2 3 3 3 6" xfId="18724" xr:uid="{00000000-0005-0000-0000-000004160000}"/>
    <cellStyle name="Normal 19 2 3 3 4" xfId="1990" xr:uid="{00000000-0005-0000-0000-000005160000}"/>
    <cellStyle name="Normal 19 2 3 3 4 2" xfId="8682" xr:uid="{00000000-0005-0000-0000-000006160000}"/>
    <cellStyle name="Normal 19 2 3 3 4 2 2" xfId="15945" xr:uid="{00000000-0005-0000-0000-000007160000}"/>
    <cellStyle name="Normal 19 2 3 3 4 2 2 2" xfId="32260" xr:uid="{00000000-0005-0000-0000-000008160000}"/>
    <cellStyle name="Normal 19 2 3 3 4 2 3" xfId="25295" xr:uid="{00000000-0005-0000-0000-000009160000}"/>
    <cellStyle name="Normal 19 2 3 3 4 3" xfId="12024" xr:uid="{00000000-0005-0000-0000-00000A160000}"/>
    <cellStyle name="Normal 19 2 3 3 4 3 2" xfId="28599" xr:uid="{00000000-0005-0000-0000-00000B160000}"/>
    <cellStyle name="Normal 19 2 3 3 4 4" xfId="5331" xr:uid="{00000000-0005-0000-0000-00000C160000}"/>
    <cellStyle name="Normal 19 2 3 3 4 4 2" xfId="21995" xr:uid="{00000000-0005-0000-0000-00000D160000}"/>
    <cellStyle name="Normal 19 2 3 3 4 5" xfId="18721" xr:uid="{00000000-0005-0000-0000-00000E160000}"/>
    <cellStyle name="Normal 19 2 3 3 5" xfId="7062" xr:uid="{00000000-0005-0000-0000-00000F160000}"/>
    <cellStyle name="Normal 19 2 3 3 5 2" xfId="14325" xr:uid="{00000000-0005-0000-0000-000010160000}"/>
    <cellStyle name="Normal 19 2 3 3 5 2 2" xfId="30640" xr:uid="{00000000-0005-0000-0000-000011160000}"/>
    <cellStyle name="Normal 19 2 3 3 5 3" xfId="23675" xr:uid="{00000000-0005-0000-0000-000012160000}"/>
    <cellStyle name="Normal 19 2 3 3 6" xfId="10377" xr:uid="{00000000-0005-0000-0000-000013160000}"/>
    <cellStyle name="Normal 19 2 3 3 6 2" xfId="26975" xr:uid="{00000000-0005-0000-0000-000014160000}"/>
    <cellStyle name="Normal 19 2 3 3 7" xfId="3594" xr:uid="{00000000-0005-0000-0000-000015160000}"/>
    <cellStyle name="Normal 19 2 3 3 7 2" xfId="20317" xr:uid="{00000000-0005-0000-0000-000016160000}"/>
    <cellStyle name="Normal 19 2 3 3 8" xfId="17836" xr:uid="{00000000-0005-0000-0000-000017160000}"/>
    <cellStyle name="Normal 19 2 3 4" xfId="897" xr:uid="{00000000-0005-0000-0000-000018160000}"/>
    <cellStyle name="Normal 19 2 3 4 2" xfId="1459" xr:uid="{00000000-0005-0000-0000-000019160000}"/>
    <cellStyle name="Normal 19 2 3 4 2 2" xfId="1995" xr:uid="{00000000-0005-0000-0000-00001A160000}"/>
    <cellStyle name="Normal 19 2 3 4 2 2 2" xfId="9689" xr:uid="{00000000-0005-0000-0000-00001B160000}"/>
    <cellStyle name="Normal 19 2 3 4 2 2 2 2" xfId="16952" xr:uid="{00000000-0005-0000-0000-00001C160000}"/>
    <cellStyle name="Normal 19 2 3 4 2 2 2 2 2" xfId="33267" xr:uid="{00000000-0005-0000-0000-00001D160000}"/>
    <cellStyle name="Normal 19 2 3 4 2 2 2 3" xfId="26302" xr:uid="{00000000-0005-0000-0000-00001E160000}"/>
    <cellStyle name="Normal 19 2 3 4 2 2 3" xfId="13031" xr:uid="{00000000-0005-0000-0000-00001F160000}"/>
    <cellStyle name="Normal 19 2 3 4 2 2 3 2" xfId="29606" xr:uid="{00000000-0005-0000-0000-000020160000}"/>
    <cellStyle name="Normal 19 2 3 4 2 2 4" xfId="6338" xr:uid="{00000000-0005-0000-0000-000021160000}"/>
    <cellStyle name="Normal 19 2 3 4 2 2 4 2" xfId="23002" xr:uid="{00000000-0005-0000-0000-000022160000}"/>
    <cellStyle name="Normal 19 2 3 4 2 2 5" xfId="18726" xr:uid="{00000000-0005-0000-0000-000023160000}"/>
    <cellStyle name="Normal 19 2 3 4 2 3" xfId="8068" xr:uid="{00000000-0005-0000-0000-000024160000}"/>
    <cellStyle name="Normal 19 2 3 4 2 3 2" xfId="15331" xr:uid="{00000000-0005-0000-0000-000025160000}"/>
    <cellStyle name="Normal 19 2 3 4 2 3 2 2" xfId="31646" xr:uid="{00000000-0005-0000-0000-000026160000}"/>
    <cellStyle name="Normal 19 2 3 4 2 3 3" xfId="24681" xr:uid="{00000000-0005-0000-0000-000027160000}"/>
    <cellStyle name="Normal 19 2 3 4 2 4" xfId="11383" xr:uid="{00000000-0005-0000-0000-000028160000}"/>
    <cellStyle name="Normal 19 2 3 4 2 4 2" xfId="27981" xr:uid="{00000000-0005-0000-0000-000029160000}"/>
    <cellStyle name="Normal 19 2 3 4 2 5" xfId="3599" xr:uid="{00000000-0005-0000-0000-00002A160000}"/>
    <cellStyle name="Normal 19 2 3 4 2 5 2" xfId="20322" xr:uid="{00000000-0005-0000-0000-00002B160000}"/>
    <cellStyle name="Normal 19 2 3 4 2 6" xfId="18194" xr:uid="{00000000-0005-0000-0000-00002C160000}"/>
    <cellStyle name="Normal 19 2 3 4 3" xfId="1994" xr:uid="{00000000-0005-0000-0000-00002D160000}"/>
    <cellStyle name="Normal 19 2 3 4 3 2" xfId="8877" xr:uid="{00000000-0005-0000-0000-00002E160000}"/>
    <cellStyle name="Normal 19 2 3 4 3 2 2" xfId="16140" xr:uid="{00000000-0005-0000-0000-00002F160000}"/>
    <cellStyle name="Normal 19 2 3 4 3 2 2 2" xfId="32455" xr:uid="{00000000-0005-0000-0000-000030160000}"/>
    <cellStyle name="Normal 19 2 3 4 3 2 3" xfId="25490" xr:uid="{00000000-0005-0000-0000-000031160000}"/>
    <cellStyle name="Normal 19 2 3 4 3 3" xfId="12219" xr:uid="{00000000-0005-0000-0000-000032160000}"/>
    <cellStyle name="Normal 19 2 3 4 3 3 2" xfId="28794" xr:uid="{00000000-0005-0000-0000-000033160000}"/>
    <cellStyle name="Normal 19 2 3 4 3 4" xfId="5526" xr:uid="{00000000-0005-0000-0000-000034160000}"/>
    <cellStyle name="Normal 19 2 3 4 3 4 2" xfId="22190" xr:uid="{00000000-0005-0000-0000-000035160000}"/>
    <cellStyle name="Normal 19 2 3 4 3 5" xfId="18725" xr:uid="{00000000-0005-0000-0000-000036160000}"/>
    <cellStyle name="Normal 19 2 3 4 4" xfId="7256" xr:uid="{00000000-0005-0000-0000-000037160000}"/>
    <cellStyle name="Normal 19 2 3 4 4 2" xfId="14519" xr:uid="{00000000-0005-0000-0000-000038160000}"/>
    <cellStyle name="Normal 19 2 3 4 4 2 2" xfId="30834" xr:uid="{00000000-0005-0000-0000-000039160000}"/>
    <cellStyle name="Normal 19 2 3 4 4 3" xfId="23869" xr:uid="{00000000-0005-0000-0000-00003A160000}"/>
    <cellStyle name="Normal 19 2 3 4 5" xfId="10571" xr:uid="{00000000-0005-0000-0000-00003B160000}"/>
    <cellStyle name="Normal 19 2 3 4 5 2" xfId="27169" xr:uid="{00000000-0005-0000-0000-00003C160000}"/>
    <cellStyle name="Normal 19 2 3 4 6" xfId="3598" xr:uid="{00000000-0005-0000-0000-00003D160000}"/>
    <cellStyle name="Normal 19 2 3 4 6 2" xfId="20321" xr:uid="{00000000-0005-0000-0000-00003E160000}"/>
    <cellStyle name="Normal 19 2 3 4 7" xfId="17675" xr:uid="{00000000-0005-0000-0000-00003F160000}"/>
    <cellStyle name="Normal 19 2 3 5" xfId="769" xr:uid="{00000000-0005-0000-0000-000040160000}"/>
    <cellStyle name="Normal 19 2 3 5 2" xfId="1996" xr:uid="{00000000-0005-0000-0000-000041160000}"/>
    <cellStyle name="Normal 19 2 3 5 2 2" xfId="9283" xr:uid="{00000000-0005-0000-0000-000042160000}"/>
    <cellStyle name="Normal 19 2 3 5 2 2 2" xfId="16546" xr:uid="{00000000-0005-0000-0000-000043160000}"/>
    <cellStyle name="Normal 19 2 3 5 2 2 2 2" xfId="32861" xr:uid="{00000000-0005-0000-0000-000044160000}"/>
    <cellStyle name="Normal 19 2 3 5 2 2 3" xfId="25896" xr:uid="{00000000-0005-0000-0000-000045160000}"/>
    <cellStyle name="Normal 19 2 3 5 2 3" xfId="12625" xr:uid="{00000000-0005-0000-0000-000046160000}"/>
    <cellStyle name="Normal 19 2 3 5 2 3 2" xfId="29200" xr:uid="{00000000-0005-0000-0000-000047160000}"/>
    <cellStyle name="Normal 19 2 3 5 2 4" xfId="5932" xr:uid="{00000000-0005-0000-0000-000048160000}"/>
    <cellStyle name="Normal 19 2 3 5 2 4 2" xfId="22596" xr:uid="{00000000-0005-0000-0000-000049160000}"/>
    <cellStyle name="Normal 19 2 3 5 2 5" xfId="18727" xr:uid="{00000000-0005-0000-0000-00004A160000}"/>
    <cellStyle name="Normal 19 2 3 5 3" xfId="7662" xr:uid="{00000000-0005-0000-0000-00004B160000}"/>
    <cellStyle name="Normal 19 2 3 5 3 2" xfId="14925" xr:uid="{00000000-0005-0000-0000-00004C160000}"/>
    <cellStyle name="Normal 19 2 3 5 3 2 2" xfId="31240" xr:uid="{00000000-0005-0000-0000-00004D160000}"/>
    <cellStyle name="Normal 19 2 3 5 3 3" xfId="24275" xr:uid="{00000000-0005-0000-0000-00004E160000}"/>
    <cellStyle name="Normal 19 2 3 5 4" xfId="10977" xr:uid="{00000000-0005-0000-0000-00004F160000}"/>
    <cellStyle name="Normal 19 2 3 5 4 2" xfId="27575" xr:uid="{00000000-0005-0000-0000-000050160000}"/>
    <cellStyle name="Normal 19 2 3 5 5" xfId="3600" xr:uid="{00000000-0005-0000-0000-000051160000}"/>
    <cellStyle name="Normal 19 2 3 5 5 2" xfId="20323" xr:uid="{00000000-0005-0000-0000-000052160000}"/>
    <cellStyle name="Normal 19 2 3 5 6" xfId="17582" xr:uid="{00000000-0005-0000-0000-000053160000}"/>
    <cellStyle name="Normal 19 2 3 6" xfId="1366" xr:uid="{00000000-0005-0000-0000-000054160000}"/>
    <cellStyle name="Normal 19 2 3 6 2" xfId="8520" xr:uid="{00000000-0005-0000-0000-000055160000}"/>
    <cellStyle name="Normal 19 2 3 6 2 2" xfId="15783" xr:uid="{00000000-0005-0000-0000-000056160000}"/>
    <cellStyle name="Normal 19 2 3 6 2 2 2" xfId="32098" xr:uid="{00000000-0005-0000-0000-000057160000}"/>
    <cellStyle name="Normal 19 2 3 6 2 3" xfId="25133" xr:uid="{00000000-0005-0000-0000-000058160000}"/>
    <cellStyle name="Normal 19 2 3 6 3" xfId="11862" xr:uid="{00000000-0005-0000-0000-000059160000}"/>
    <cellStyle name="Normal 19 2 3 6 3 2" xfId="28437" xr:uid="{00000000-0005-0000-0000-00005A160000}"/>
    <cellStyle name="Normal 19 2 3 6 4" xfId="5169" xr:uid="{00000000-0005-0000-0000-00005B160000}"/>
    <cellStyle name="Normal 19 2 3 6 4 2" xfId="21833" xr:uid="{00000000-0005-0000-0000-00005C160000}"/>
    <cellStyle name="Normal 19 2 3 6 5" xfId="18101" xr:uid="{00000000-0005-0000-0000-00005D160000}"/>
    <cellStyle name="Normal 19 2 3 7" xfId="1981" xr:uid="{00000000-0005-0000-0000-00005E160000}"/>
    <cellStyle name="Normal 19 2 3 7 2" xfId="14164" xr:uid="{00000000-0005-0000-0000-00005F160000}"/>
    <cellStyle name="Normal 19 2 3 7 2 2" xfId="30479" xr:uid="{00000000-0005-0000-0000-000060160000}"/>
    <cellStyle name="Normal 19 2 3 7 3" xfId="6901" xr:uid="{00000000-0005-0000-0000-000061160000}"/>
    <cellStyle name="Normal 19 2 3 7 3 2" xfId="23514" xr:uid="{00000000-0005-0000-0000-000062160000}"/>
    <cellStyle name="Normal 19 2 3 7 4" xfId="18712" xr:uid="{00000000-0005-0000-0000-000063160000}"/>
    <cellStyle name="Normal 19 2 3 8" xfId="10215" xr:uid="{00000000-0005-0000-0000-000064160000}"/>
    <cellStyle name="Normal 19 2 3 8 2" xfId="26814" xr:uid="{00000000-0005-0000-0000-000065160000}"/>
    <cellStyle name="Normal 19 2 3 9" xfId="3585" xr:uid="{00000000-0005-0000-0000-000066160000}"/>
    <cellStyle name="Normal 19 2 3 9 2" xfId="20308" xr:uid="{00000000-0005-0000-0000-000067160000}"/>
    <cellStyle name="Normal 19 2 4" xfId="623" xr:uid="{00000000-0005-0000-0000-000068160000}"/>
    <cellStyle name="Normal 19 2 4 2" xfId="1101" xr:uid="{00000000-0005-0000-0000-000069160000}"/>
    <cellStyle name="Normal 19 2 4 2 2" xfId="1622" xr:uid="{00000000-0005-0000-0000-00006A160000}"/>
    <cellStyle name="Normal 19 2 4 2 2 2" xfId="2000" xr:uid="{00000000-0005-0000-0000-00006B160000}"/>
    <cellStyle name="Normal 19 2 4 2 2 2 2" xfId="6516" xr:uid="{00000000-0005-0000-0000-00006C160000}"/>
    <cellStyle name="Normal 19 2 4 2 2 2 2 2" xfId="9867" xr:uid="{00000000-0005-0000-0000-00006D160000}"/>
    <cellStyle name="Normal 19 2 4 2 2 2 2 2 2" xfId="17130" xr:uid="{00000000-0005-0000-0000-00006E160000}"/>
    <cellStyle name="Normal 19 2 4 2 2 2 2 2 2 2" xfId="33445" xr:uid="{00000000-0005-0000-0000-00006F160000}"/>
    <cellStyle name="Normal 19 2 4 2 2 2 2 2 3" xfId="26480" xr:uid="{00000000-0005-0000-0000-000070160000}"/>
    <cellStyle name="Normal 19 2 4 2 2 2 2 3" xfId="13209" xr:uid="{00000000-0005-0000-0000-000071160000}"/>
    <cellStyle name="Normal 19 2 4 2 2 2 2 3 2" xfId="29784" xr:uid="{00000000-0005-0000-0000-000072160000}"/>
    <cellStyle name="Normal 19 2 4 2 2 2 2 4" xfId="23180" xr:uid="{00000000-0005-0000-0000-000073160000}"/>
    <cellStyle name="Normal 19 2 4 2 2 2 3" xfId="8246" xr:uid="{00000000-0005-0000-0000-000074160000}"/>
    <cellStyle name="Normal 19 2 4 2 2 2 3 2" xfId="15509" xr:uid="{00000000-0005-0000-0000-000075160000}"/>
    <cellStyle name="Normal 19 2 4 2 2 2 3 2 2" xfId="31824" xr:uid="{00000000-0005-0000-0000-000076160000}"/>
    <cellStyle name="Normal 19 2 4 2 2 2 3 3" xfId="24859" xr:uid="{00000000-0005-0000-0000-000077160000}"/>
    <cellStyle name="Normal 19 2 4 2 2 2 4" xfId="11561" xr:uid="{00000000-0005-0000-0000-000078160000}"/>
    <cellStyle name="Normal 19 2 4 2 2 2 4 2" xfId="28159" xr:uid="{00000000-0005-0000-0000-000079160000}"/>
    <cellStyle name="Normal 19 2 4 2 2 2 5" xfId="3604" xr:uid="{00000000-0005-0000-0000-00007A160000}"/>
    <cellStyle name="Normal 19 2 4 2 2 2 5 2" xfId="20327" xr:uid="{00000000-0005-0000-0000-00007B160000}"/>
    <cellStyle name="Normal 19 2 4 2 2 2 6" xfId="18731" xr:uid="{00000000-0005-0000-0000-00007C160000}"/>
    <cellStyle name="Normal 19 2 4 2 2 3" xfId="1999" xr:uid="{00000000-0005-0000-0000-00007D160000}"/>
    <cellStyle name="Normal 19 2 4 2 2 3 2" xfId="9091" xr:uid="{00000000-0005-0000-0000-00007E160000}"/>
    <cellStyle name="Normal 19 2 4 2 2 3 2 2" xfId="16354" xr:uid="{00000000-0005-0000-0000-00007F160000}"/>
    <cellStyle name="Normal 19 2 4 2 2 3 2 2 2" xfId="32669" xr:uid="{00000000-0005-0000-0000-000080160000}"/>
    <cellStyle name="Normal 19 2 4 2 2 3 2 3" xfId="25704" xr:uid="{00000000-0005-0000-0000-000081160000}"/>
    <cellStyle name="Normal 19 2 4 2 2 3 3" xfId="12433" xr:uid="{00000000-0005-0000-0000-000082160000}"/>
    <cellStyle name="Normal 19 2 4 2 2 3 3 2" xfId="29008" xr:uid="{00000000-0005-0000-0000-000083160000}"/>
    <cellStyle name="Normal 19 2 4 2 2 3 4" xfId="5740" xr:uid="{00000000-0005-0000-0000-000084160000}"/>
    <cellStyle name="Normal 19 2 4 2 2 3 4 2" xfId="22404" xr:uid="{00000000-0005-0000-0000-000085160000}"/>
    <cellStyle name="Normal 19 2 4 2 2 3 5" xfId="18730" xr:uid="{00000000-0005-0000-0000-000086160000}"/>
    <cellStyle name="Normal 19 2 4 2 2 4" xfId="7470" xr:uid="{00000000-0005-0000-0000-000087160000}"/>
    <cellStyle name="Normal 19 2 4 2 2 4 2" xfId="14733" xr:uid="{00000000-0005-0000-0000-000088160000}"/>
    <cellStyle name="Normal 19 2 4 2 2 4 2 2" xfId="31048" xr:uid="{00000000-0005-0000-0000-000089160000}"/>
    <cellStyle name="Normal 19 2 4 2 2 4 3" xfId="24083" xr:uid="{00000000-0005-0000-0000-00008A160000}"/>
    <cellStyle name="Normal 19 2 4 2 2 5" xfId="10785" xr:uid="{00000000-0005-0000-0000-00008B160000}"/>
    <cellStyle name="Normal 19 2 4 2 2 5 2" xfId="27383" xr:uid="{00000000-0005-0000-0000-00008C160000}"/>
    <cellStyle name="Normal 19 2 4 2 2 6" xfId="3603" xr:uid="{00000000-0005-0000-0000-00008D160000}"/>
    <cellStyle name="Normal 19 2 4 2 2 6 2" xfId="20326" xr:uid="{00000000-0005-0000-0000-00008E160000}"/>
    <cellStyle name="Normal 19 2 4 2 2 7" xfId="18357" xr:uid="{00000000-0005-0000-0000-00008F160000}"/>
    <cellStyle name="Normal 19 2 4 2 3" xfId="2001" xr:uid="{00000000-0005-0000-0000-000090160000}"/>
    <cellStyle name="Normal 19 2 4 2 3 2" xfId="6146" xr:uid="{00000000-0005-0000-0000-000091160000}"/>
    <cellStyle name="Normal 19 2 4 2 3 2 2" xfId="9497" xr:uid="{00000000-0005-0000-0000-000092160000}"/>
    <cellStyle name="Normal 19 2 4 2 3 2 2 2" xfId="16760" xr:uid="{00000000-0005-0000-0000-000093160000}"/>
    <cellStyle name="Normal 19 2 4 2 3 2 2 2 2" xfId="33075" xr:uid="{00000000-0005-0000-0000-000094160000}"/>
    <cellStyle name="Normal 19 2 4 2 3 2 2 3" xfId="26110" xr:uid="{00000000-0005-0000-0000-000095160000}"/>
    <cellStyle name="Normal 19 2 4 2 3 2 3" xfId="12839" xr:uid="{00000000-0005-0000-0000-000096160000}"/>
    <cellStyle name="Normal 19 2 4 2 3 2 3 2" xfId="29414" xr:uid="{00000000-0005-0000-0000-000097160000}"/>
    <cellStyle name="Normal 19 2 4 2 3 2 4" xfId="22810" xr:uid="{00000000-0005-0000-0000-000098160000}"/>
    <cellStyle name="Normal 19 2 4 2 3 3" xfId="7876" xr:uid="{00000000-0005-0000-0000-000099160000}"/>
    <cellStyle name="Normal 19 2 4 2 3 3 2" xfId="15139" xr:uid="{00000000-0005-0000-0000-00009A160000}"/>
    <cellStyle name="Normal 19 2 4 2 3 3 2 2" xfId="31454" xr:uid="{00000000-0005-0000-0000-00009B160000}"/>
    <cellStyle name="Normal 19 2 4 2 3 3 3" xfId="24489" xr:uid="{00000000-0005-0000-0000-00009C160000}"/>
    <cellStyle name="Normal 19 2 4 2 3 4" xfId="11191" xr:uid="{00000000-0005-0000-0000-00009D160000}"/>
    <cellStyle name="Normal 19 2 4 2 3 4 2" xfId="27789" xr:uid="{00000000-0005-0000-0000-00009E160000}"/>
    <cellStyle name="Normal 19 2 4 2 3 5" xfId="3605" xr:uid="{00000000-0005-0000-0000-00009F160000}"/>
    <cellStyle name="Normal 19 2 4 2 3 5 2" xfId="20328" xr:uid="{00000000-0005-0000-0000-0000A0160000}"/>
    <cellStyle name="Normal 19 2 4 2 3 6" xfId="18732" xr:uid="{00000000-0005-0000-0000-0000A1160000}"/>
    <cellStyle name="Normal 19 2 4 2 4" xfId="1998" xr:uid="{00000000-0005-0000-0000-0000A2160000}"/>
    <cellStyle name="Normal 19 2 4 2 4 2" xfId="8684" xr:uid="{00000000-0005-0000-0000-0000A3160000}"/>
    <cellStyle name="Normal 19 2 4 2 4 2 2" xfId="15947" xr:uid="{00000000-0005-0000-0000-0000A4160000}"/>
    <cellStyle name="Normal 19 2 4 2 4 2 2 2" xfId="32262" xr:uid="{00000000-0005-0000-0000-0000A5160000}"/>
    <cellStyle name="Normal 19 2 4 2 4 2 3" xfId="25297" xr:uid="{00000000-0005-0000-0000-0000A6160000}"/>
    <cellStyle name="Normal 19 2 4 2 4 3" xfId="12026" xr:uid="{00000000-0005-0000-0000-0000A7160000}"/>
    <cellStyle name="Normal 19 2 4 2 4 3 2" xfId="28601" xr:uid="{00000000-0005-0000-0000-0000A8160000}"/>
    <cellStyle name="Normal 19 2 4 2 4 4" xfId="5333" xr:uid="{00000000-0005-0000-0000-0000A9160000}"/>
    <cellStyle name="Normal 19 2 4 2 4 4 2" xfId="21997" xr:uid="{00000000-0005-0000-0000-0000AA160000}"/>
    <cellStyle name="Normal 19 2 4 2 4 5" xfId="18729" xr:uid="{00000000-0005-0000-0000-0000AB160000}"/>
    <cellStyle name="Normal 19 2 4 2 5" xfId="7064" xr:uid="{00000000-0005-0000-0000-0000AC160000}"/>
    <cellStyle name="Normal 19 2 4 2 5 2" xfId="14327" xr:uid="{00000000-0005-0000-0000-0000AD160000}"/>
    <cellStyle name="Normal 19 2 4 2 5 2 2" xfId="30642" xr:uid="{00000000-0005-0000-0000-0000AE160000}"/>
    <cellStyle name="Normal 19 2 4 2 5 3" xfId="23677" xr:uid="{00000000-0005-0000-0000-0000AF160000}"/>
    <cellStyle name="Normal 19 2 4 2 6" xfId="10379" xr:uid="{00000000-0005-0000-0000-0000B0160000}"/>
    <cellStyle name="Normal 19 2 4 2 6 2" xfId="26977" xr:uid="{00000000-0005-0000-0000-0000B1160000}"/>
    <cellStyle name="Normal 19 2 4 2 7" xfId="3602" xr:uid="{00000000-0005-0000-0000-0000B2160000}"/>
    <cellStyle name="Normal 19 2 4 2 7 2" xfId="20325" xr:uid="{00000000-0005-0000-0000-0000B3160000}"/>
    <cellStyle name="Normal 19 2 4 2 8" xfId="17838" xr:uid="{00000000-0005-0000-0000-0000B4160000}"/>
    <cellStyle name="Normal 19 2 4 3" xfId="950" xr:uid="{00000000-0005-0000-0000-0000B5160000}"/>
    <cellStyle name="Normal 19 2 4 3 2" xfId="1512" xr:uid="{00000000-0005-0000-0000-0000B6160000}"/>
    <cellStyle name="Normal 19 2 4 3 2 2" xfId="2003" xr:uid="{00000000-0005-0000-0000-0000B7160000}"/>
    <cellStyle name="Normal 19 2 4 3 2 2 2" xfId="9691" xr:uid="{00000000-0005-0000-0000-0000B8160000}"/>
    <cellStyle name="Normal 19 2 4 3 2 2 2 2" xfId="16954" xr:uid="{00000000-0005-0000-0000-0000B9160000}"/>
    <cellStyle name="Normal 19 2 4 3 2 2 2 2 2" xfId="33269" xr:uid="{00000000-0005-0000-0000-0000BA160000}"/>
    <cellStyle name="Normal 19 2 4 3 2 2 2 3" xfId="26304" xr:uid="{00000000-0005-0000-0000-0000BB160000}"/>
    <cellStyle name="Normal 19 2 4 3 2 2 3" xfId="13033" xr:uid="{00000000-0005-0000-0000-0000BC160000}"/>
    <cellStyle name="Normal 19 2 4 3 2 2 3 2" xfId="29608" xr:uid="{00000000-0005-0000-0000-0000BD160000}"/>
    <cellStyle name="Normal 19 2 4 3 2 2 4" xfId="6340" xr:uid="{00000000-0005-0000-0000-0000BE160000}"/>
    <cellStyle name="Normal 19 2 4 3 2 2 4 2" xfId="23004" xr:uid="{00000000-0005-0000-0000-0000BF160000}"/>
    <cellStyle name="Normal 19 2 4 3 2 2 5" xfId="18734" xr:uid="{00000000-0005-0000-0000-0000C0160000}"/>
    <cellStyle name="Normal 19 2 4 3 2 3" xfId="8070" xr:uid="{00000000-0005-0000-0000-0000C1160000}"/>
    <cellStyle name="Normal 19 2 4 3 2 3 2" xfId="15333" xr:uid="{00000000-0005-0000-0000-0000C2160000}"/>
    <cellStyle name="Normal 19 2 4 3 2 3 2 2" xfId="31648" xr:uid="{00000000-0005-0000-0000-0000C3160000}"/>
    <cellStyle name="Normal 19 2 4 3 2 3 3" xfId="24683" xr:uid="{00000000-0005-0000-0000-0000C4160000}"/>
    <cellStyle name="Normal 19 2 4 3 2 4" xfId="11385" xr:uid="{00000000-0005-0000-0000-0000C5160000}"/>
    <cellStyle name="Normal 19 2 4 3 2 4 2" xfId="27983" xr:uid="{00000000-0005-0000-0000-0000C6160000}"/>
    <cellStyle name="Normal 19 2 4 3 2 5" xfId="3607" xr:uid="{00000000-0005-0000-0000-0000C7160000}"/>
    <cellStyle name="Normal 19 2 4 3 2 5 2" xfId="20330" xr:uid="{00000000-0005-0000-0000-0000C8160000}"/>
    <cellStyle name="Normal 19 2 4 3 2 6" xfId="18247" xr:uid="{00000000-0005-0000-0000-0000C9160000}"/>
    <cellStyle name="Normal 19 2 4 3 3" xfId="2002" xr:uid="{00000000-0005-0000-0000-0000CA160000}"/>
    <cellStyle name="Normal 19 2 4 3 3 2" xfId="8879" xr:uid="{00000000-0005-0000-0000-0000CB160000}"/>
    <cellStyle name="Normal 19 2 4 3 3 2 2" xfId="16142" xr:uid="{00000000-0005-0000-0000-0000CC160000}"/>
    <cellStyle name="Normal 19 2 4 3 3 2 2 2" xfId="32457" xr:uid="{00000000-0005-0000-0000-0000CD160000}"/>
    <cellStyle name="Normal 19 2 4 3 3 2 3" xfId="25492" xr:uid="{00000000-0005-0000-0000-0000CE160000}"/>
    <cellStyle name="Normal 19 2 4 3 3 3" xfId="12221" xr:uid="{00000000-0005-0000-0000-0000CF160000}"/>
    <cellStyle name="Normal 19 2 4 3 3 3 2" xfId="28796" xr:uid="{00000000-0005-0000-0000-0000D0160000}"/>
    <cellStyle name="Normal 19 2 4 3 3 4" xfId="5528" xr:uid="{00000000-0005-0000-0000-0000D1160000}"/>
    <cellStyle name="Normal 19 2 4 3 3 4 2" xfId="22192" xr:uid="{00000000-0005-0000-0000-0000D2160000}"/>
    <cellStyle name="Normal 19 2 4 3 3 5" xfId="18733" xr:uid="{00000000-0005-0000-0000-0000D3160000}"/>
    <cellStyle name="Normal 19 2 4 3 4" xfId="7258" xr:uid="{00000000-0005-0000-0000-0000D4160000}"/>
    <cellStyle name="Normal 19 2 4 3 4 2" xfId="14521" xr:uid="{00000000-0005-0000-0000-0000D5160000}"/>
    <cellStyle name="Normal 19 2 4 3 4 2 2" xfId="30836" xr:uid="{00000000-0005-0000-0000-0000D6160000}"/>
    <cellStyle name="Normal 19 2 4 3 4 3" xfId="23871" xr:uid="{00000000-0005-0000-0000-0000D7160000}"/>
    <cellStyle name="Normal 19 2 4 3 5" xfId="10573" xr:uid="{00000000-0005-0000-0000-0000D8160000}"/>
    <cellStyle name="Normal 19 2 4 3 5 2" xfId="27171" xr:uid="{00000000-0005-0000-0000-0000D9160000}"/>
    <cellStyle name="Normal 19 2 4 3 6" xfId="3606" xr:uid="{00000000-0005-0000-0000-0000DA160000}"/>
    <cellStyle name="Normal 19 2 4 3 6 2" xfId="20329" xr:uid="{00000000-0005-0000-0000-0000DB160000}"/>
    <cellStyle name="Normal 19 2 4 3 7" xfId="17728" xr:uid="{00000000-0005-0000-0000-0000DC160000}"/>
    <cellStyle name="Normal 19 2 4 4" xfId="734" xr:uid="{00000000-0005-0000-0000-0000DD160000}"/>
    <cellStyle name="Normal 19 2 4 4 2" xfId="2004" xr:uid="{00000000-0005-0000-0000-0000DE160000}"/>
    <cellStyle name="Normal 19 2 4 4 2 2" xfId="9285" xr:uid="{00000000-0005-0000-0000-0000DF160000}"/>
    <cellStyle name="Normal 19 2 4 4 2 2 2" xfId="16548" xr:uid="{00000000-0005-0000-0000-0000E0160000}"/>
    <cellStyle name="Normal 19 2 4 4 2 2 2 2" xfId="32863" xr:uid="{00000000-0005-0000-0000-0000E1160000}"/>
    <cellStyle name="Normal 19 2 4 4 2 2 3" xfId="25898" xr:uid="{00000000-0005-0000-0000-0000E2160000}"/>
    <cellStyle name="Normal 19 2 4 4 2 3" xfId="12627" xr:uid="{00000000-0005-0000-0000-0000E3160000}"/>
    <cellStyle name="Normal 19 2 4 4 2 3 2" xfId="29202" xr:uid="{00000000-0005-0000-0000-0000E4160000}"/>
    <cellStyle name="Normal 19 2 4 4 2 4" xfId="5934" xr:uid="{00000000-0005-0000-0000-0000E5160000}"/>
    <cellStyle name="Normal 19 2 4 4 2 4 2" xfId="22598" xr:uid="{00000000-0005-0000-0000-0000E6160000}"/>
    <cellStyle name="Normal 19 2 4 4 2 5" xfId="18735" xr:uid="{00000000-0005-0000-0000-0000E7160000}"/>
    <cellStyle name="Normal 19 2 4 4 3" xfId="7664" xr:uid="{00000000-0005-0000-0000-0000E8160000}"/>
    <cellStyle name="Normal 19 2 4 4 3 2" xfId="14927" xr:uid="{00000000-0005-0000-0000-0000E9160000}"/>
    <cellStyle name="Normal 19 2 4 4 3 2 2" xfId="31242" xr:uid="{00000000-0005-0000-0000-0000EA160000}"/>
    <cellStyle name="Normal 19 2 4 4 3 3" xfId="24277" xr:uid="{00000000-0005-0000-0000-0000EB160000}"/>
    <cellStyle name="Normal 19 2 4 4 4" xfId="10979" xr:uid="{00000000-0005-0000-0000-0000EC160000}"/>
    <cellStyle name="Normal 19 2 4 4 4 2" xfId="27577" xr:uid="{00000000-0005-0000-0000-0000ED160000}"/>
    <cellStyle name="Normal 19 2 4 4 5" xfId="3608" xr:uid="{00000000-0005-0000-0000-0000EE160000}"/>
    <cellStyle name="Normal 19 2 4 4 5 2" xfId="20331" xr:uid="{00000000-0005-0000-0000-0000EF160000}"/>
    <cellStyle name="Normal 19 2 4 4 6" xfId="17547" xr:uid="{00000000-0005-0000-0000-0000F0160000}"/>
    <cellStyle name="Normal 19 2 4 5" xfId="1331" xr:uid="{00000000-0005-0000-0000-0000F1160000}"/>
    <cellStyle name="Normal 19 2 4 5 2" xfId="8573" xr:uid="{00000000-0005-0000-0000-0000F2160000}"/>
    <cellStyle name="Normal 19 2 4 5 2 2" xfId="15836" xr:uid="{00000000-0005-0000-0000-0000F3160000}"/>
    <cellStyle name="Normal 19 2 4 5 2 2 2" xfId="32151" xr:uid="{00000000-0005-0000-0000-0000F4160000}"/>
    <cellStyle name="Normal 19 2 4 5 2 3" xfId="25186" xr:uid="{00000000-0005-0000-0000-0000F5160000}"/>
    <cellStyle name="Normal 19 2 4 5 3" xfId="11915" xr:uid="{00000000-0005-0000-0000-0000F6160000}"/>
    <cellStyle name="Normal 19 2 4 5 3 2" xfId="28490" xr:uid="{00000000-0005-0000-0000-0000F7160000}"/>
    <cellStyle name="Normal 19 2 4 5 4" xfId="5222" xr:uid="{00000000-0005-0000-0000-0000F8160000}"/>
    <cellStyle name="Normal 19 2 4 5 4 2" xfId="21886" xr:uid="{00000000-0005-0000-0000-0000F9160000}"/>
    <cellStyle name="Normal 19 2 4 5 5" xfId="18066" xr:uid="{00000000-0005-0000-0000-0000FA160000}"/>
    <cellStyle name="Normal 19 2 4 6" xfId="1997" xr:uid="{00000000-0005-0000-0000-0000FB160000}"/>
    <cellStyle name="Normal 19 2 4 6 2" xfId="14217" xr:uid="{00000000-0005-0000-0000-0000FC160000}"/>
    <cellStyle name="Normal 19 2 4 6 2 2" xfId="30532" xr:uid="{00000000-0005-0000-0000-0000FD160000}"/>
    <cellStyle name="Normal 19 2 4 6 3" xfId="6954" xr:uid="{00000000-0005-0000-0000-0000FE160000}"/>
    <cellStyle name="Normal 19 2 4 6 3 2" xfId="23567" xr:uid="{00000000-0005-0000-0000-0000FF160000}"/>
    <cellStyle name="Normal 19 2 4 6 4" xfId="18728" xr:uid="{00000000-0005-0000-0000-000000170000}"/>
    <cellStyle name="Normal 19 2 4 7" xfId="10268" xr:uid="{00000000-0005-0000-0000-000001170000}"/>
    <cellStyle name="Normal 19 2 4 7 2" xfId="26867" xr:uid="{00000000-0005-0000-0000-000002170000}"/>
    <cellStyle name="Normal 19 2 4 8" xfId="3601" xr:uid="{00000000-0005-0000-0000-000003170000}"/>
    <cellStyle name="Normal 19 2 4 8 2" xfId="20324" xr:uid="{00000000-0005-0000-0000-000004170000}"/>
    <cellStyle name="Normal 19 2 4 9" xfId="17442" xr:uid="{00000000-0005-0000-0000-000005170000}"/>
    <cellStyle name="Normal 19 2 5" xfId="1094" xr:uid="{00000000-0005-0000-0000-000006170000}"/>
    <cellStyle name="Normal 19 2 5 2" xfId="1615" xr:uid="{00000000-0005-0000-0000-000007170000}"/>
    <cellStyle name="Normal 19 2 5 2 2" xfId="2007" xr:uid="{00000000-0005-0000-0000-000008170000}"/>
    <cellStyle name="Normal 19 2 5 2 2 2" xfId="6509" xr:uid="{00000000-0005-0000-0000-000009170000}"/>
    <cellStyle name="Normal 19 2 5 2 2 2 2" xfId="9860" xr:uid="{00000000-0005-0000-0000-00000A170000}"/>
    <cellStyle name="Normal 19 2 5 2 2 2 2 2" xfId="17123" xr:uid="{00000000-0005-0000-0000-00000B170000}"/>
    <cellStyle name="Normal 19 2 5 2 2 2 2 2 2" xfId="33438" xr:uid="{00000000-0005-0000-0000-00000C170000}"/>
    <cellStyle name="Normal 19 2 5 2 2 2 2 3" xfId="26473" xr:uid="{00000000-0005-0000-0000-00000D170000}"/>
    <cellStyle name="Normal 19 2 5 2 2 2 3" xfId="13202" xr:uid="{00000000-0005-0000-0000-00000E170000}"/>
    <cellStyle name="Normal 19 2 5 2 2 2 3 2" xfId="29777" xr:uid="{00000000-0005-0000-0000-00000F170000}"/>
    <cellStyle name="Normal 19 2 5 2 2 2 4" xfId="23173" xr:uid="{00000000-0005-0000-0000-000010170000}"/>
    <cellStyle name="Normal 19 2 5 2 2 3" xfId="8239" xr:uid="{00000000-0005-0000-0000-000011170000}"/>
    <cellStyle name="Normal 19 2 5 2 2 3 2" xfId="15502" xr:uid="{00000000-0005-0000-0000-000012170000}"/>
    <cellStyle name="Normal 19 2 5 2 2 3 2 2" xfId="31817" xr:uid="{00000000-0005-0000-0000-000013170000}"/>
    <cellStyle name="Normal 19 2 5 2 2 3 3" xfId="24852" xr:uid="{00000000-0005-0000-0000-000014170000}"/>
    <cellStyle name="Normal 19 2 5 2 2 4" xfId="11554" xr:uid="{00000000-0005-0000-0000-000015170000}"/>
    <cellStyle name="Normal 19 2 5 2 2 4 2" xfId="28152" xr:uid="{00000000-0005-0000-0000-000016170000}"/>
    <cellStyle name="Normal 19 2 5 2 2 5" xfId="3611" xr:uid="{00000000-0005-0000-0000-000017170000}"/>
    <cellStyle name="Normal 19 2 5 2 2 5 2" xfId="20334" xr:uid="{00000000-0005-0000-0000-000018170000}"/>
    <cellStyle name="Normal 19 2 5 2 2 6" xfId="18738" xr:uid="{00000000-0005-0000-0000-000019170000}"/>
    <cellStyle name="Normal 19 2 5 2 3" xfId="2006" xr:uid="{00000000-0005-0000-0000-00001A170000}"/>
    <cellStyle name="Normal 19 2 5 2 3 2" xfId="9084" xr:uid="{00000000-0005-0000-0000-00001B170000}"/>
    <cellStyle name="Normal 19 2 5 2 3 2 2" xfId="16347" xr:uid="{00000000-0005-0000-0000-00001C170000}"/>
    <cellStyle name="Normal 19 2 5 2 3 2 2 2" xfId="32662" xr:uid="{00000000-0005-0000-0000-00001D170000}"/>
    <cellStyle name="Normal 19 2 5 2 3 2 3" xfId="25697" xr:uid="{00000000-0005-0000-0000-00001E170000}"/>
    <cellStyle name="Normal 19 2 5 2 3 3" xfId="12426" xr:uid="{00000000-0005-0000-0000-00001F170000}"/>
    <cellStyle name="Normal 19 2 5 2 3 3 2" xfId="29001" xr:uid="{00000000-0005-0000-0000-000020170000}"/>
    <cellStyle name="Normal 19 2 5 2 3 4" xfId="5733" xr:uid="{00000000-0005-0000-0000-000021170000}"/>
    <cellStyle name="Normal 19 2 5 2 3 4 2" xfId="22397" xr:uid="{00000000-0005-0000-0000-000022170000}"/>
    <cellStyle name="Normal 19 2 5 2 3 5" xfId="18737" xr:uid="{00000000-0005-0000-0000-000023170000}"/>
    <cellStyle name="Normal 19 2 5 2 4" xfId="7463" xr:uid="{00000000-0005-0000-0000-000024170000}"/>
    <cellStyle name="Normal 19 2 5 2 4 2" xfId="14726" xr:uid="{00000000-0005-0000-0000-000025170000}"/>
    <cellStyle name="Normal 19 2 5 2 4 2 2" xfId="31041" xr:uid="{00000000-0005-0000-0000-000026170000}"/>
    <cellStyle name="Normal 19 2 5 2 4 3" xfId="24076" xr:uid="{00000000-0005-0000-0000-000027170000}"/>
    <cellStyle name="Normal 19 2 5 2 5" xfId="10778" xr:uid="{00000000-0005-0000-0000-000028170000}"/>
    <cellStyle name="Normal 19 2 5 2 5 2" xfId="27376" xr:uid="{00000000-0005-0000-0000-000029170000}"/>
    <cellStyle name="Normal 19 2 5 2 6" xfId="3610" xr:uid="{00000000-0005-0000-0000-00002A170000}"/>
    <cellStyle name="Normal 19 2 5 2 6 2" xfId="20333" xr:uid="{00000000-0005-0000-0000-00002B170000}"/>
    <cellStyle name="Normal 19 2 5 2 7" xfId="18350" xr:uid="{00000000-0005-0000-0000-00002C170000}"/>
    <cellStyle name="Normal 19 2 5 3" xfId="2008" xr:uid="{00000000-0005-0000-0000-00002D170000}"/>
    <cellStyle name="Normal 19 2 5 3 2" xfId="6139" xr:uid="{00000000-0005-0000-0000-00002E170000}"/>
    <cellStyle name="Normal 19 2 5 3 2 2" xfId="9490" xr:uid="{00000000-0005-0000-0000-00002F170000}"/>
    <cellStyle name="Normal 19 2 5 3 2 2 2" xfId="16753" xr:uid="{00000000-0005-0000-0000-000030170000}"/>
    <cellStyle name="Normal 19 2 5 3 2 2 2 2" xfId="33068" xr:uid="{00000000-0005-0000-0000-000031170000}"/>
    <cellStyle name="Normal 19 2 5 3 2 2 3" xfId="26103" xr:uid="{00000000-0005-0000-0000-000032170000}"/>
    <cellStyle name="Normal 19 2 5 3 2 3" xfId="12832" xr:uid="{00000000-0005-0000-0000-000033170000}"/>
    <cellStyle name="Normal 19 2 5 3 2 3 2" xfId="29407" xr:uid="{00000000-0005-0000-0000-000034170000}"/>
    <cellStyle name="Normal 19 2 5 3 2 4" xfId="22803" xr:uid="{00000000-0005-0000-0000-000035170000}"/>
    <cellStyle name="Normal 19 2 5 3 3" xfId="7869" xr:uid="{00000000-0005-0000-0000-000036170000}"/>
    <cellStyle name="Normal 19 2 5 3 3 2" xfId="15132" xr:uid="{00000000-0005-0000-0000-000037170000}"/>
    <cellStyle name="Normal 19 2 5 3 3 2 2" xfId="31447" xr:uid="{00000000-0005-0000-0000-000038170000}"/>
    <cellStyle name="Normal 19 2 5 3 3 3" xfId="24482" xr:uid="{00000000-0005-0000-0000-000039170000}"/>
    <cellStyle name="Normal 19 2 5 3 4" xfId="11184" xr:uid="{00000000-0005-0000-0000-00003A170000}"/>
    <cellStyle name="Normal 19 2 5 3 4 2" xfId="27782" xr:uid="{00000000-0005-0000-0000-00003B170000}"/>
    <cellStyle name="Normal 19 2 5 3 5" xfId="3612" xr:uid="{00000000-0005-0000-0000-00003C170000}"/>
    <cellStyle name="Normal 19 2 5 3 5 2" xfId="20335" xr:uid="{00000000-0005-0000-0000-00003D170000}"/>
    <cellStyle name="Normal 19 2 5 3 6" xfId="18739" xr:uid="{00000000-0005-0000-0000-00003E170000}"/>
    <cellStyle name="Normal 19 2 5 4" xfId="2005" xr:uid="{00000000-0005-0000-0000-00003F170000}"/>
    <cellStyle name="Normal 19 2 5 4 2" xfId="8677" xr:uid="{00000000-0005-0000-0000-000040170000}"/>
    <cellStyle name="Normal 19 2 5 4 2 2" xfId="15940" xr:uid="{00000000-0005-0000-0000-000041170000}"/>
    <cellStyle name="Normal 19 2 5 4 2 2 2" xfId="32255" xr:uid="{00000000-0005-0000-0000-000042170000}"/>
    <cellStyle name="Normal 19 2 5 4 2 3" xfId="25290" xr:uid="{00000000-0005-0000-0000-000043170000}"/>
    <cellStyle name="Normal 19 2 5 4 3" xfId="12019" xr:uid="{00000000-0005-0000-0000-000044170000}"/>
    <cellStyle name="Normal 19 2 5 4 3 2" xfId="28594" xr:uid="{00000000-0005-0000-0000-000045170000}"/>
    <cellStyle name="Normal 19 2 5 4 4" xfId="5326" xr:uid="{00000000-0005-0000-0000-000046170000}"/>
    <cellStyle name="Normal 19 2 5 4 4 2" xfId="21990" xr:uid="{00000000-0005-0000-0000-000047170000}"/>
    <cellStyle name="Normal 19 2 5 4 5" xfId="18736" xr:uid="{00000000-0005-0000-0000-000048170000}"/>
    <cellStyle name="Normal 19 2 5 5" xfId="7057" xr:uid="{00000000-0005-0000-0000-000049170000}"/>
    <cellStyle name="Normal 19 2 5 5 2" xfId="14320" xr:uid="{00000000-0005-0000-0000-00004A170000}"/>
    <cellStyle name="Normal 19 2 5 5 2 2" xfId="30635" xr:uid="{00000000-0005-0000-0000-00004B170000}"/>
    <cellStyle name="Normal 19 2 5 5 3" xfId="23670" xr:uid="{00000000-0005-0000-0000-00004C170000}"/>
    <cellStyle name="Normal 19 2 5 6" xfId="10372" xr:uid="{00000000-0005-0000-0000-00004D170000}"/>
    <cellStyle name="Normal 19 2 5 6 2" xfId="26970" xr:uid="{00000000-0005-0000-0000-00004E170000}"/>
    <cellStyle name="Normal 19 2 5 7" xfId="3609" xr:uid="{00000000-0005-0000-0000-00004F170000}"/>
    <cellStyle name="Normal 19 2 5 7 2" xfId="20332" xr:uid="{00000000-0005-0000-0000-000050170000}"/>
    <cellStyle name="Normal 19 2 5 8" xfId="17831" xr:uid="{00000000-0005-0000-0000-000051170000}"/>
    <cellStyle name="Normal 19 2 6" xfId="835" xr:uid="{00000000-0005-0000-0000-000052170000}"/>
    <cellStyle name="Normal 19 2 6 2" xfId="1412" xr:uid="{00000000-0005-0000-0000-000053170000}"/>
    <cellStyle name="Normal 19 2 6 2 2" xfId="2010" xr:uid="{00000000-0005-0000-0000-000054170000}"/>
    <cellStyle name="Normal 19 2 6 2 2 2" xfId="9684" xr:uid="{00000000-0005-0000-0000-000055170000}"/>
    <cellStyle name="Normal 19 2 6 2 2 2 2" xfId="16947" xr:uid="{00000000-0005-0000-0000-000056170000}"/>
    <cellStyle name="Normal 19 2 6 2 2 2 2 2" xfId="33262" xr:uid="{00000000-0005-0000-0000-000057170000}"/>
    <cellStyle name="Normal 19 2 6 2 2 2 3" xfId="26297" xr:uid="{00000000-0005-0000-0000-000058170000}"/>
    <cellStyle name="Normal 19 2 6 2 2 3" xfId="13026" xr:uid="{00000000-0005-0000-0000-000059170000}"/>
    <cellStyle name="Normal 19 2 6 2 2 3 2" xfId="29601" xr:uid="{00000000-0005-0000-0000-00005A170000}"/>
    <cellStyle name="Normal 19 2 6 2 2 4" xfId="6333" xr:uid="{00000000-0005-0000-0000-00005B170000}"/>
    <cellStyle name="Normal 19 2 6 2 2 4 2" xfId="22997" xr:uid="{00000000-0005-0000-0000-00005C170000}"/>
    <cellStyle name="Normal 19 2 6 2 2 5" xfId="18741" xr:uid="{00000000-0005-0000-0000-00005D170000}"/>
    <cellStyle name="Normal 19 2 6 2 3" xfId="8063" xr:uid="{00000000-0005-0000-0000-00005E170000}"/>
    <cellStyle name="Normal 19 2 6 2 3 2" xfId="15326" xr:uid="{00000000-0005-0000-0000-00005F170000}"/>
    <cellStyle name="Normal 19 2 6 2 3 2 2" xfId="31641" xr:uid="{00000000-0005-0000-0000-000060170000}"/>
    <cellStyle name="Normal 19 2 6 2 3 3" xfId="24676" xr:uid="{00000000-0005-0000-0000-000061170000}"/>
    <cellStyle name="Normal 19 2 6 2 4" xfId="11378" xr:uid="{00000000-0005-0000-0000-000062170000}"/>
    <cellStyle name="Normal 19 2 6 2 4 2" xfId="27976" xr:uid="{00000000-0005-0000-0000-000063170000}"/>
    <cellStyle name="Normal 19 2 6 2 5" xfId="3614" xr:uid="{00000000-0005-0000-0000-000064170000}"/>
    <cellStyle name="Normal 19 2 6 2 5 2" xfId="20337" xr:uid="{00000000-0005-0000-0000-000065170000}"/>
    <cellStyle name="Normal 19 2 6 2 6" xfId="18147" xr:uid="{00000000-0005-0000-0000-000066170000}"/>
    <cellStyle name="Normal 19 2 6 3" xfId="2009" xr:uid="{00000000-0005-0000-0000-000067170000}"/>
    <cellStyle name="Normal 19 2 6 3 2" xfId="8872" xr:uid="{00000000-0005-0000-0000-000068170000}"/>
    <cellStyle name="Normal 19 2 6 3 2 2" xfId="16135" xr:uid="{00000000-0005-0000-0000-000069170000}"/>
    <cellStyle name="Normal 19 2 6 3 2 2 2" xfId="32450" xr:uid="{00000000-0005-0000-0000-00006A170000}"/>
    <cellStyle name="Normal 19 2 6 3 2 3" xfId="25485" xr:uid="{00000000-0005-0000-0000-00006B170000}"/>
    <cellStyle name="Normal 19 2 6 3 3" xfId="12214" xr:uid="{00000000-0005-0000-0000-00006C170000}"/>
    <cellStyle name="Normal 19 2 6 3 3 2" xfId="28789" xr:uid="{00000000-0005-0000-0000-00006D170000}"/>
    <cellStyle name="Normal 19 2 6 3 4" xfId="5521" xr:uid="{00000000-0005-0000-0000-00006E170000}"/>
    <cellStyle name="Normal 19 2 6 3 4 2" xfId="22185" xr:uid="{00000000-0005-0000-0000-00006F170000}"/>
    <cellStyle name="Normal 19 2 6 3 5" xfId="18740" xr:uid="{00000000-0005-0000-0000-000070170000}"/>
    <cellStyle name="Normal 19 2 6 4" xfId="7251" xr:uid="{00000000-0005-0000-0000-000071170000}"/>
    <cellStyle name="Normal 19 2 6 4 2" xfId="14514" xr:uid="{00000000-0005-0000-0000-000072170000}"/>
    <cellStyle name="Normal 19 2 6 4 2 2" xfId="30829" xr:uid="{00000000-0005-0000-0000-000073170000}"/>
    <cellStyle name="Normal 19 2 6 4 3" xfId="23864" xr:uid="{00000000-0005-0000-0000-000074170000}"/>
    <cellStyle name="Normal 19 2 6 5" xfId="10566" xr:uid="{00000000-0005-0000-0000-000075170000}"/>
    <cellStyle name="Normal 19 2 6 5 2" xfId="27164" xr:uid="{00000000-0005-0000-0000-000076170000}"/>
    <cellStyle name="Normal 19 2 6 6" xfId="3613" xr:uid="{00000000-0005-0000-0000-000077170000}"/>
    <cellStyle name="Normal 19 2 6 6 2" xfId="20336" xr:uid="{00000000-0005-0000-0000-000078170000}"/>
    <cellStyle name="Normal 19 2 6 7" xfId="17628" xr:uid="{00000000-0005-0000-0000-000079170000}"/>
    <cellStyle name="Normal 19 2 7" xfId="699" xr:uid="{00000000-0005-0000-0000-00007A170000}"/>
    <cellStyle name="Normal 19 2 7 2" xfId="2011" xr:uid="{00000000-0005-0000-0000-00007B170000}"/>
    <cellStyle name="Normal 19 2 7 2 2" xfId="9278" xr:uid="{00000000-0005-0000-0000-00007C170000}"/>
    <cellStyle name="Normal 19 2 7 2 2 2" xfId="16541" xr:uid="{00000000-0005-0000-0000-00007D170000}"/>
    <cellStyle name="Normal 19 2 7 2 2 2 2" xfId="32856" xr:uid="{00000000-0005-0000-0000-00007E170000}"/>
    <cellStyle name="Normal 19 2 7 2 2 3" xfId="25891" xr:uid="{00000000-0005-0000-0000-00007F170000}"/>
    <cellStyle name="Normal 19 2 7 2 3" xfId="12620" xr:uid="{00000000-0005-0000-0000-000080170000}"/>
    <cellStyle name="Normal 19 2 7 2 3 2" xfId="29195" xr:uid="{00000000-0005-0000-0000-000081170000}"/>
    <cellStyle name="Normal 19 2 7 2 4" xfId="5927" xr:uid="{00000000-0005-0000-0000-000082170000}"/>
    <cellStyle name="Normal 19 2 7 2 4 2" xfId="22591" xr:uid="{00000000-0005-0000-0000-000083170000}"/>
    <cellStyle name="Normal 19 2 7 2 5" xfId="18742" xr:uid="{00000000-0005-0000-0000-000084170000}"/>
    <cellStyle name="Normal 19 2 7 3" xfId="7657" xr:uid="{00000000-0005-0000-0000-000085170000}"/>
    <cellStyle name="Normal 19 2 7 3 2" xfId="14920" xr:uid="{00000000-0005-0000-0000-000086170000}"/>
    <cellStyle name="Normal 19 2 7 3 2 2" xfId="31235" xr:uid="{00000000-0005-0000-0000-000087170000}"/>
    <cellStyle name="Normal 19 2 7 3 3" xfId="24270" xr:uid="{00000000-0005-0000-0000-000088170000}"/>
    <cellStyle name="Normal 19 2 7 4" xfId="10972" xr:uid="{00000000-0005-0000-0000-000089170000}"/>
    <cellStyle name="Normal 19 2 7 4 2" xfId="27570" xr:uid="{00000000-0005-0000-0000-00008A170000}"/>
    <cellStyle name="Normal 19 2 7 5" xfId="3615" xr:uid="{00000000-0005-0000-0000-00008B170000}"/>
    <cellStyle name="Normal 19 2 7 5 2" xfId="20338" xr:uid="{00000000-0005-0000-0000-00008C170000}"/>
    <cellStyle name="Normal 19 2 7 6" xfId="17512" xr:uid="{00000000-0005-0000-0000-00008D170000}"/>
    <cellStyle name="Normal 19 2 8" xfId="1296" xr:uid="{00000000-0005-0000-0000-00008E170000}"/>
    <cellStyle name="Normal 19 2 8 2" xfId="6832" xr:uid="{00000000-0005-0000-0000-00008F170000}"/>
    <cellStyle name="Normal 19 2 8 2 2" xfId="10138" xr:uid="{00000000-0005-0000-0000-000090170000}"/>
    <cellStyle name="Normal 19 2 8 2 2 2" xfId="17401" xr:uid="{00000000-0005-0000-0000-000091170000}"/>
    <cellStyle name="Normal 19 2 8 2 2 2 2" xfId="33716" xr:uid="{00000000-0005-0000-0000-000092170000}"/>
    <cellStyle name="Normal 19 2 8 2 2 3" xfId="26751" xr:uid="{00000000-0005-0000-0000-000093170000}"/>
    <cellStyle name="Normal 19 2 8 2 3" xfId="13483" xr:uid="{00000000-0005-0000-0000-000094170000}"/>
    <cellStyle name="Normal 19 2 8 2 3 2" xfId="30055" xr:uid="{00000000-0005-0000-0000-000095170000}"/>
    <cellStyle name="Normal 19 2 8 2 4" xfId="23451" xr:uid="{00000000-0005-0000-0000-000096170000}"/>
    <cellStyle name="Normal 19 2 8 3" xfId="8453" xr:uid="{00000000-0005-0000-0000-000097170000}"/>
    <cellStyle name="Normal 19 2 8 3 2" xfId="15716" xr:uid="{00000000-0005-0000-0000-000098170000}"/>
    <cellStyle name="Normal 19 2 8 3 2 2" xfId="32031" xr:uid="{00000000-0005-0000-0000-000099170000}"/>
    <cellStyle name="Normal 19 2 8 3 3" xfId="25066" xr:uid="{00000000-0005-0000-0000-00009A170000}"/>
    <cellStyle name="Normal 19 2 8 4" xfId="11789" xr:uid="{00000000-0005-0000-0000-00009B170000}"/>
    <cellStyle name="Normal 19 2 8 4 2" xfId="28369" xr:uid="{00000000-0005-0000-0000-00009C170000}"/>
    <cellStyle name="Normal 19 2 8 5" xfId="5074" xr:uid="{00000000-0005-0000-0000-00009D170000}"/>
    <cellStyle name="Normal 19 2 8 5 2" xfId="21766" xr:uid="{00000000-0005-0000-0000-00009E170000}"/>
    <cellStyle name="Normal 19 2 8 6" xfId="18031" xr:uid="{00000000-0005-0000-0000-00009F170000}"/>
    <cellStyle name="Normal 19 2 9" xfId="1948" xr:uid="{00000000-0005-0000-0000-0000A0170000}"/>
    <cellStyle name="Normal 19 2 9 2" xfId="8462" xr:uid="{00000000-0005-0000-0000-0000A1170000}"/>
    <cellStyle name="Normal 19 2 9 2 2" xfId="15725" xr:uid="{00000000-0005-0000-0000-0000A2170000}"/>
    <cellStyle name="Normal 19 2 9 2 2 2" xfId="32040" xr:uid="{00000000-0005-0000-0000-0000A3170000}"/>
    <cellStyle name="Normal 19 2 9 2 3" xfId="25075" xr:uid="{00000000-0005-0000-0000-0000A4170000}"/>
    <cellStyle name="Normal 19 2 9 3" xfId="11803" xr:uid="{00000000-0005-0000-0000-0000A5170000}"/>
    <cellStyle name="Normal 19 2 9 3 2" xfId="28379" xr:uid="{00000000-0005-0000-0000-0000A6170000}"/>
    <cellStyle name="Normal 19 2 9 4" xfId="5109" xr:uid="{00000000-0005-0000-0000-0000A7170000}"/>
    <cellStyle name="Normal 19 2 9 4 2" xfId="21775" xr:uid="{00000000-0005-0000-0000-0000A8170000}"/>
    <cellStyle name="Normal 19 2 9 5" xfId="18679" xr:uid="{00000000-0005-0000-0000-0000A9170000}"/>
    <cellStyle name="Normal 19 3" xfId="683" xr:uid="{00000000-0005-0000-0000-0000AA170000}"/>
    <cellStyle name="Normal 19 3 10" xfId="3616" xr:uid="{00000000-0005-0000-0000-0000AB170000}"/>
    <cellStyle name="Normal 19 3 10 2" xfId="20339" xr:uid="{00000000-0005-0000-0000-0000AC170000}"/>
    <cellStyle name="Normal 19 3 11" xfId="17497" xr:uid="{00000000-0005-0000-0000-0000AD170000}"/>
    <cellStyle name="Normal 19 3 2" xfId="911" xr:uid="{00000000-0005-0000-0000-0000AE170000}"/>
    <cellStyle name="Normal 19 3 2 10" xfId="17689" xr:uid="{00000000-0005-0000-0000-0000AF170000}"/>
    <cellStyle name="Normal 19 3 2 2" xfId="1018" xr:uid="{00000000-0005-0000-0000-0000B0170000}"/>
    <cellStyle name="Normal 19 3 2 2 2" xfId="1104" xr:uid="{00000000-0005-0000-0000-0000B1170000}"/>
    <cellStyle name="Normal 19 3 2 2 2 2" xfId="1625" xr:uid="{00000000-0005-0000-0000-0000B2170000}"/>
    <cellStyle name="Normal 19 3 2 2 2 2 2" xfId="2017" xr:uid="{00000000-0005-0000-0000-0000B3170000}"/>
    <cellStyle name="Normal 19 3 2 2 2 2 2 2" xfId="6519" xr:uid="{00000000-0005-0000-0000-0000B4170000}"/>
    <cellStyle name="Normal 19 3 2 2 2 2 2 2 2" xfId="9870" xr:uid="{00000000-0005-0000-0000-0000B5170000}"/>
    <cellStyle name="Normal 19 3 2 2 2 2 2 2 2 2" xfId="17133" xr:uid="{00000000-0005-0000-0000-0000B6170000}"/>
    <cellStyle name="Normal 19 3 2 2 2 2 2 2 2 2 2" xfId="33448" xr:uid="{00000000-0005-0000-0000-0000B7170000}"/>
    <cellStyle name="Normal 19 3 2 2 2 2 2 2 2 3" xfId="26483" xr:uid="{00000000-0005-0000-0000-0000B8170000}"/>
    <cellStyle name="Normal 19 3 2 2 2 2 2 2 3" xfId="13212" xr:uid="{00000000-0005-0000-0000-0000B9170000}"/>
    <cellStyle name="Normal 19 3 2 2 2 2 2 2 3 2" xfId="29787" xr:uid="{00000000-0005-0000-0000-0000BA170000}"/>
    <cellStyle name="Normal 19 3 2 2 2 2 2 2 4" xfId="23183" xr:uid="{00000000-0005-0000-0000-0000BB170000}"/>
    <cellStyle name="Normal 19 3 2 2 2 2 2 3" xfId="8249" xr:uid="{00000000-0005-0000-0000-0000BC170000}"/>
    <cellStyle name="Normal 19 3 2 2 2 2 2 3 2" xfId="15512" xr:uid="{00000000-0005-0000-0000-0000BD170000}"/>
    <cellStyle name="Normal 19 3 2 2 2 2 2 3 2 2" xfId="31827" xr:uid="{00000000-0005-0000-0000-0000BE170000}"/>
    <cellStyle name="Normal 19 3 2 2 2 2 2 3 3" xfId="24862" xr:uid="{00000000-0005-0000-0000-0000BF170000}"/>
    <cellStyle name="Normal 19 3 2 2 2 2 2 4" xfId="11564" xr:uid="{00000000-0005-0000-0000-0000C0170000}"/>
    <cellStyle name="Normal 19 3 2 2 2 2 2 4 2" xfId="28162" xr:uid="{00000000-0005-0000-0000-0000C1170000}"/>
    <cellStyle name="Normal 19 3 2 2 2 2 2 5" xfId="3621" xr:uid="{00000000-0005-0000-0000-0000C2170000}"/>
    <cellStyle name="Normal 19 3 2 2 2 2 2 5 2" xfId="20344" xr:uid="{00000000-0005-0000-0000-0000C3170000}"/>
    <cellStyle name="Normal 19 3 2 2 2 2 2 6" xfId="18748" xr:uid="{00000000-0005-0000-0000-0000C4170000}"/>
    <cellStyle name="Normal 19 3 2 2 2 2 3" xfId="2016" xr:uid="{00000000-0005-0000-0000-0000C5170000}"/>
    <cellStyle name="Normal 19 3 2 2 2 2 3 2" xfId="9094" xr:uid="{00000000-0005-0000-0000-0000C6170000}"/>
    <cellStyle name="Normal 19 3 2 2 2 2 3 2 2" xfId="16357" xr:uid="{00000000-0005-0000-0000-0000C7170000}"/>
    <cellStyle name="Normal 19 3 2 2 2 2 3 2 2 2" xfId="32672" xr:uid="{00000000-0005-0000-0000-0000C8170000}"/>
    <cellStyle name="Normal 19 3 2 2 2 2 3 2 3" xfId="25707" xr:uid="{00000000-0005-0000-0000-0000C9170000}"/>
    <cellStyle name="Normal 19 3 2 2 2 2 3 3" xfId="12436" xr:uid="{00000000-0005-0000-0000-0000CA170000}"/>
    <cellStyle name="Normal 19 3 2 2 2 2 3 3 2" xfId="29011" xr:uid="{00000000-0005-0000-0000-0000CB170000}"/>
    <cellStyle name="Normal 19 3 2 2 2 2 3 4" xfId="5743" xr:uid="{00000000-0005-0000-0000-0000CC170000}"/>
    <cellStyle name="Normal 19 3 2 2 2 2 3 4 2" xfId="22407" xr:uid="{00000000-0005-0000-0000-0000CD170000}"/>
    <cellStyle name="Normal 19 3 2 2 2 2 3 5" xfId="18747" xr:uid="{00000000-0005-0000-0000-0000CE170000}"/>
    <cellStyle name="Normal 19 3 2 2 2 2 4" xfId="7473" xr:uid="{00000000-0005-0000-0000-0000CF170000}"/>
    <cellStyle name="Normal 19 3 2 2 2 2 4 2" xfId="14736" xr:uid="{00000000-0005-0000-0000-0000D0170000}"/>
    <cellStyle name="Normal 19 3 2 2 2 2 4 2 2" xfId="31051" xr:uid="{00000000-0005-0000-0000-0000D1170000}"/>
    <cellStyle name="Normal 19 3 2 2 2 2 4 3" xfId="24086" xr:uid="{00000000-0005-0000-0000-0000D2170000}"/>
    <cellStyle name="Normal 19 3 2 2 2 2 5" xfId="10788" xr:uid="{00000000-0005-0000-0000-0000D3170000}"/>
    <cellStyle name="Normal 19 3 2 2 2 2 5 2" xfId="27386" xr:uid="{00000000-0005-0000-0000-0000D4170000}"/>
    <cellStyle name="Normal 19 3 2 2 2 2 6" xfId="3620" xr:uid="{00000000-0005-0000-0000-0000D5170000}"/>
    <cellStyle name="Normal 19 3 2 2 2 2 6 2" xfId="20343" xr:uid="{00000000-0005-0000-0000-0000D6170000}"/>
    <cellStyle name="Normal 19 3 2 2 2 2 7" xfId="18360" xr:uid="{00000000-0005-0000-0000-0000D7170000}"/>
    <cellStyle name="Normal 19 3 2 2 2 3" xfId="2018" xr:uid="{00000000-0005-0000-0000-0000D8170000}"/>
    <cellStyle name="Normal 19 3 2 2 2 3 2" xfId="6149" xr:uid="{00000000-0005-0000-0000-0000D9170000}"/>
    <cellStyle name="Normal 19 3 2 2 2 3 2 2" xfId="9500" xr:uid="{00000000-0005-0000-0000-0000DA170000}"/>
    <cellStyle name="Normal 19 3 2 2 2 3 2 2 2" xfId="16763" xr:uid="{00000000-0005-0000-0000-0000DB170000}"/>
    <cellStyle name="Normal 19 3 2 2 2 3 2 2 2 2" xfId="33078" xr:uid="{00000000-0005-0000-0000-0000DC170000}"/>
    <cellStyle name="Normal 19 3 2 2 2 3 2 2 3" xfId="26113" xr:uid="{00000000-0005-0000-0000-0000DD170000}"/>
    <cellStyle name="Normal 19 3 2 2 2 3 2 3" xfId="12842" xr:uid="{00000000-0005-0000-0000-0000DE170000}"/>
    <cellStyle name="Normal 19 3 2 2 2 3 2 3 2" xfId="29417" xr:uid="{00000000-0005-0000-0000-0000DF170000}"/>
    <cellStyle name="Normal 19 3 2 2 2 3 2 4" xfId="22813" xr:uid="{00000000-0005-0000-0000-0000E0170000}"/>
    <cellStyle name="Normal 19 3 2 2 2 3 3" xfId="7879" xr:uid="{00000000-0005-0000-0000-0000E1170000}"/>
    <cellStyle name="Normal 19 3 2 2 2 3 3 2" xfId="15142" xr:uid="{00000000-0005-0000-0000-0000E2170000}"/>
    <cellStyle name="Normal 19 3 2 2 2 3 3 2 2" xfId="31457" xr:uid="{00000000-0005-0000-0000-0000E3170000}"/>
    <cellStyle name="Normal 19 3 2 2 2 3 3 3" xfId="24492" xr:uid="{00000000-0005-0000-0000-0000E4170000}"/>
    <cellStyle name="Normal 19 3 2 2 2 3 4" xfId="11194" xr:uid="{00000000-0005-0000-0000-0000E5170000}"/>
    <cellStyle name="Normal 19 3 2 2 2 3 4 2" xfId="27792" xr:uid="{00000000-0005-0000-0000-0000E6170000}"/>
    <cellStyle name="Normal 19 3 2 2 2 3 5" xfId="3622" xr:uid="{00000000-0005-0000-0000-0000E7170000}"/>
    <cellStyle name="Normal 19 3 2 2 2 3 5 2" xfId="20345" xr:uid="{00000000-0005-0000-0000-0000E8170000}"/>
    <cellStyle name="Normal 19 3 2 2 2 3 6" xfId="18749" xr:uid="{00000000-0005-0000-0000-0000E9170000}"/>
    <cellStyle name="Normal 19 3 2 2 2 4" xfId="2015" xr:uid="{00000000-0005-0000-0000-0000EA170000}"/>
    <cellStyle name="Normal 19 3 2 2 2 4 2" xfId="8687" xr:uid="{00000000-0005-0000-0000-0000EB170000}"/>
    <cellStyle name="Normal 19 3 2 2 2 4 2 2" xfId="15950" xr:uid="{00000000-0005-0000-0000-0000EC170000}"/>
    <cellStyle name="Normal 19 3 2 2 2 4 2 2 2" xfId="32265" xr:uid="{00000000-0005-0000-0000-0000ED170000}"/>
    <cellStyle name="Normal 19 3 2 2 2 4 2 3" xfId="25300" xr:uid="{00000000-0005-0000-0000-0000EE170000}"/>
    <cellStyle name="Normal 19 3 2 2 2 4 3" xfId="12029" xr:uid="{00000000-0005-0000-0000-0000EF170000}"/>
    <cellStyle name="Normal 19 3 2 2 2 4 3 2" xfId="28604" xr:uid="{00000000-0005-0000-0000-0000F0170000}"/>
    <cellStyle name="Normal 19 3 2 2 2 4 4" xfId="5336" xr:uid="{00000000-0005-0000-0000-0000F1170000}"/>
    <cellStyle name="Normal 19 3 2 2 2 4 4 2" xfId="22000" xr:uid="{00000000-0005-0000-0000-0000F2170000}"/>
    <cellStyle name="Normal 19 3 2 2 2 4 5" xfId="18746" xr:uid="{00000000-0005-0000-0000-0000F3170000}"/>
    <cellStyle name="Normal 19 3 2 2 2 5" xfId="7067" xr:uid="{00000000-0005-0000-0000-0000F4170000}"/>
    <cellStyle name="Normal 19 3 2 2 2 5 2" xfId="14330" xr:uid="{00000000-0005-0000-0000-0000F5170000}"/>
    <cellStyle name="Normal 19 3 2 2 2 5 2 2" xfId="30645" xr:uid="{00000000-0005-0000-0000-0000F6170000}"/>
    <cellStyle name="Normal 19 3 2 2 2 5 3" xfId="23680" xr:uid="{00000000-0005-0000-0000-0000F7170000}"/>
    <cellStyle name="Normal 19 3 2 2 2 6" xfId="10382" xr:uid="{00000000-0005-0000-0000-0000F8170000}"/>
    <cellStyle name="Normal 19 3 2 2 2 6 2" xfId="26980" xr:uid="{00000000-0005-0000-0000-0000F9170000}"/>
    <cellStyle name="Normal 19 3 2 2 2 7" xfId="3619" xr:uid="{00000000-0005-0000-0000-0000FA170000}"/>
    <cellStyle name="Normal 19 3 2 2 2 7 2" xfId="20342" xr:uid="{00000000-0005-0000-0000-0000FB170000}"/>
    <cellStyle name="Normal 19 3 2 2 2 8" xfId="17841" xr:uid="{00000000-0005-0000-0000-0000FC170000}"/>
    <cellStyle name="Normal 19 3 2 2 3" xfId="1579" xr:uid="{00000000-0005-0000-0000-0000FD170000}"/>
    <cellStyle name="Normal 19 3 2 2 3 2" xfId="2020" xr:uid="{00000000-0005-0000-0000-0000FE170000}"/>
    <cellStyle name="Normal 19 3 2 2 3 2 2" xfId="6343" xr:uid="{00000000-0005-0000-0000-0000FF170000}"/>
    <cellStyle name="Normal 19 3 2 2 3 2 2 2" xfId="9694" xr:uid="{00000000-0005-0000-0000-000000180000}"/>
    <cellStyle name="Normal 19 3 2 2 3 2 2 2 2" xfId="16957" xr:uid="{00000000-0005-0000-0000-000001180000}"/>
    <cellStyle name="Normal 19 3 2 2 3 2 2 2 2 2" xfId="33272" xr:uid="{00000000-0005-0000-0000-000002180000}"/>
    <cellStyle name="Normal 19 3 2 2 3 2 2 2 3" xfId="26307" xr:uid="{00000000-0005-0000-0000-000003180000}"/>
    <cellStyle name="Normal 19 3 2 2 3 2 2 3" xfId="13036" xr:uid="{00000000-0005-0000-0000-000004180000}"/>
    <cellStyle name="Normal 19 3 2 2 3 2 2 3 2" xfId="29611" xr:uid="{00000000-0005-0000-0000-000005180000}"/>
    <cellStyle name="Normal 19 3 2 2 3 2 2 4" xfId="23007" xr:uid="{00000000-0005-0000-0000-000006180000}"/>
    <cellStyle name="Normal 19 3 2 2 3 2 3" xfId="8073" xr:uid="{00000000-0005-0000-0000-000007180000}"/>
    <cellStyle name="Normal 19 3 2 2 3 2 3 2" xfId="15336" xr:uid="{00000000-0005-0000-0000-000008180000}"/>
    <cellStyle name="Normal 19 3 2 2 3 2 3 2 2" xfId="31651" xr:uid="{00000000-0005-0000-0000-000009180000}"/>
    <cellStyle name="Normal 19 3 2 2 3 2 3 3" xfId="24686" xr:uid="{00000000-0005-0000-0000-00000A180000}"/>
    <cellStyle name="Normal 19 3 2 2 3 2 4" xfId="11388" xr:uid="{00000000-0005-0000-0000-00000B180000}"/>
    <cellStyle name="Normal 19 3 2 2 3 2 4 2" xfId="27986" xr:uid="{00000000-0005-0000-0000-00000C180000}"/>
    <cellStyle name="Normal 19 3 2 2 3 2 5" xfId="3624" xr:uid="{00000000-0005-0000-0000-00000D180000}"/>
    <cellStyle name="Normal 19 3 2 2 3 2 5 2" xfId="20347" xr:uid="{00000000-0005-0000-0000-00000E180000}"/>
    <cellStyle name="Normal 19 3 2 2 3 2 6" xfId="18751" xr:uid="{00000000-0005-0000-0000-00000F180000}"/>
    <cellStyle name="Normal 19 3 2 2 3 3" xfId="2019" xr:uid="{00000000-0005-0000-0000-000010180000}"/>
    <cellStyle name="Normal 19 3 2 2 3 3 2" xfId="8882" xr:uid="{00000000-0005-0000-0000-000011180000}"/>
    <cellStyle name="Normal 19 3 2 2 3 3 2 2" xfId="16145" xr:uid="{00000000-0005-0000-0000-000012180000}"/>
    <cellStyle name="Normal 19 3 2 2 3 3 2 2 2" xfId="32460" xr:uid="{00000000-0005-0000-0000-000013180000}"/>
    <cellStyle name="Normal 19 3 2 2 3 3 2 3" xfId="25495" xr:uid="{00000000-0005-0000-0000-000014180000}"/>
    <cellStyle name="Normal 19 3 2 2 3 3 3" xfId="12224" xr:uid="{00000000-0005-0000-0000-000015180000}"/>
    <cellStyle name="Normal 19 3 2 2 3 3 3 2" xfId="28799" xr:uid="{00000000-0005-0000-0000-000016180000}"/>
    <cellStyle name="Normal 19 3 2 2 3 3 4" xfId="5531" xr:uid="{00000000-0005-0000-0000-000017180000}"/>
    <cellStyle name="Normal 19 3 2 2 3 3 4 2" xfId="22195" xr:uid="{00000000-0005-0000-0000-000018180000}"/>
    <cellStyle name="Normal 19 3 2 2 3 3 5" xfId="18750" xr:uid="{00000000-0005-0000-0000-000019180000}"/>
    <cellStyle name="Normal 19 3 2 2 3 4" xfId="7261" xr:uid="{00000000-0005-0000-0000-00001A180000}"/>
    <cellStyle name="Normal 19 3 2 2 3 4 2" xfId="14524" xr:uid="{00000000-0005-0000-0000-00001B180000}"/>
    <cellStyle name="Normal 19 3 2 2 3 4 2 2" xfId="30839" xr:uid="{00000000-0005-0000-0000-00001C180000}"/>
    <cellStyle name="Normal 19 3 2 2 3 4 3" xfId="23874" xr:uid="{00000000-0005-0000-0000-00001D180000}"/>
    <cellStyle name="Normal 19 3 2 2 3 5" xfId="10576" xr:uid="{00000000-0005-0000-0000-00001E180000}"/>
    <cellStyle name="Normal 19 3 2 2 3 5 2" xfId="27174" xr:uid="{00000000-0005-0000-0000-00001F180000}"/>
    <cellStyle name="Normal 19 3 2 2 3 6" xfId="3623" xr:uid="{00000000-0005-0000-0000-000020180000}"/>
    <cellStyle name="Normal 19 3 2 2 3 6 2" xfId="20346" xr:uid="{00000000-0005-0000-0000-000021180000}"/>
    <cellStyle name="Normal 19 3 2 2 3 7" xfId="18314" xr:uid="{00000000-0005-0000-0000-000022180000}"/>
    <cellStyle name="Normal 19 3 2 2 4" xfId="2021" xr:uid="{00000000-0005-0000-0000-000023180000}"/>
    <cellStyle name="Normal 19 3 2 2 4 2" xfId="5937" xr:uid="{00000000-0005-0000-0000-000024180000}"/>
    <cellStyle name="Normal 19 3 2 2 4 2 2" xfId="9288" xr:uid="{00000000-0005-0000-0000-000025180000}"/>
    <cellStyle name="Normal 19 3 2 2 4 2 2 2" xfId="16551" xr:uid="{00000000-0005-0000-0000-000026180000}"/>
    <cellStyle name="Normal 19 3 2 2 4 2 2 2 2" xfId="32866" xr:uid="{00000000-0005-0000-0000-000027180000}"/>
    <cellStyle name="Normal 19 3 2 2 4 2 2 3" xfId="25901" xr:uid="{00000000-0005-0000-0000-000028180000}"/>
    <cellStyle name="Normal 19 3 2 2 4 2 3" xfId="12630" xr:uid="{00000000-0005-0000-0000-000029180000}"/>
    <cellStyle name="Normal 19 3 2 2 4 2 3 2" xfId="29205" xr:uid="{00000000-0005-0000-0000-00002A180000}"/>
    <cellStyle name="Normal 19 3 2 2 4 2 4" xfId="22601" xr:uid="{00000000-0005-0000-0000-00002B180000}"/>
    <cellStyle name="Normal 19 3 2 2 4 3" xfId="7667" xr:uid="{00000000-0005-0000-0000-00002C180000}"/>
    <cellStyle name="Normal 19 3 2 2 4 3 2" xfId="14930" xr:uid="{00000000-0005-0000-0000-00002D180000}"/>
    <cellStyle name="Normal 19 3 2 2 4 3 2 2" xfId="31245" xr:uid="{00000000-0005-0000-0000-00002E180000}"/>
    <cellStyle name="Normal 19 3 2 2 4 3 3" xfId="24280" xr:uid="{00000000-0005-0000-0000-00002F180000}"/>
    <cellStyle name="Normal 19 3 2 2 4 4" xfId="10982" xr:uid="{00000000-0005-0000-0000-000030180000}"/>
    <cellStyle name="Normal 19 3 2 2 4 4 2" xfId="27580" xr:uid="{00000000-0005-0000-0000-000031180000}"/>
    <cellStyle name="Normal 19 3 2 2 4 5" xfId="3625" xr:uid="{00000000-0005-0000-0000-000032180000}"/>
    <cellStyle name="Normal 19 3 2 2 4 5 2" xfId="20348" xr:uid="{00000000-0005-0000-0000-000033180000}"/>
    <cellStyle name="Normal 19 3 2 2 4 6" xfId="18752" xr:uid="{00000000-0005-0000-0000-000034180000}"/>
    <cellStyle name="Normal 19 3 2 2 5" xfId="2014" xr:uid="{00000000-0005-0000-0000-000035180000}"/>
    <cellStyle name="Normal 19 3 2 2 5 2" xfId="8640" xr:uid="{00000000-0005-0000-0000-000036180000}"/>
    <cellStyle name="Normal 19 3 2 2 5 2 2" xfId="15903" xr:uid="{00000000-0005-0000-0000-000037180000}"/>
    <cellStyle name="Normal 19 3 2 2 5 2 2 2" xfId="32218" xr:uid="{00000000-0005-0000-0000-000038180000}"/>
    <cellStyle name="Normal 19 3 2 2 5 2 3" xfId="25253" xr:uid="{00000000-0005-0000-0000-000039180000}"/>
    <cellStyle name="Normal 19 3 2 2 5 3" xfId="11982" xr:uid="{00000000-0005-0000-0000-00003A180000}"/>
    <cellStyle name="Normal 19 3 2 2 5 3 2" xfId="28557" xr:uid="{00000000-0005-0000-0000-00003B180000}"/>
    <cellStyle name="Normal 19 3 2 2 5 4" xfId="5289" xr:uid="{00000000-0005-0000-0000-00003C180000}"/>
    <cellStyle name="Normal 19 3 2 2 5 4 2" xfId="21953" xr:uid="{00000000-0005-0000-0000-00003D180000}"/>
    <cellStyle name="Normal 19 3 2 2 5 5" xfId="18745" xr:uid="{00000000-0005-0000-0000-00003E180000}"/>
    <cellStyle name="Normal 19 3 2 2 6" xfId="7021" xr:uid="{00000000-0005-0000-0000-00003F180000}"/>
    <cellStyle name="Normal 19 3 2 2 6 2" xfId="14284" xr:uid="{00000000-0005-0000-0000-000040180000}"/>
    <cellStyle name="Normal 19 3 2 2 6 2 2" xfId="30599" xr:uid="{00000000-0005-0000-0000-000041180000}"/>
    <cellStyle name="Normal 19 3 2 2 6 3" xfId="23634" xr:uid="{00000000-0005-0000-0000-000042180000}"/>
    <cellStyle name="Normal 19 3 2 2 7" xfId="10335" xr:uid="{00000000-0005-0000-0000-000043180000}"/>
    <cellStyle name="Normal 19 3 2 2 7 2" xfId="26934" xr:uid="{00000000-0005-0000-0000-000044180000}"/>
    <cellStyle name="Normal 19 3 2 2 8" xfId="3618" xr:uid="{00000000-0005-0000-0000-000045180000}"/>
    <cellStyle name="Normal 19 3 2 2 8 2" xfId="20341" xr:uid="{00000000-0005-0000-0000-000046180000}"/>
    <cellStyle name="Normal 19 3 2 2 9" xfId="17795" xr:uid="{00000000-0005-0000-0000-000047180000}"/>
    <cellStyle name="Normal 19 3 2 3" xfId="1103" xr:uid="{00000000-0005-0000-0000-000048180000}"/>
    <cellStyle name="Normal 19 3 2 3 2" xfId="1624" xr:uid="{00000000-0005-0000-0000-000049180000}"/>
    <cellStyle name="Normal 19 3 2 3 2 2" xfId="2024" xr:uid="{00000000-0005-0000-0000-00004A180000}"/>
    <cellStyle name="Normal 19 3 2 3 2 2 2" xfId="6518" xr:uid="{00000000-0005-0000-0000-00004B180000}"/>
    <cellStyle name="Normal 19 3 2 3 2 2 2 2" xfId="9869" xr:uid="{00000000-0005-0000-0000-00004C180000}"/>
    <cellStyle name="Normal 19 3 2 3 2 2 2 2 2" xfId="17132" xr:uid="{00000000-0005-0000-0000-00004D180000}"/>
    <cellStyle name="Normal 19 3 2 3 2 2 2 2 2 2" xfId="33447" xr:uid="{00000000-0005-0000-0000-00004E180000}"/>
    <cellStyle name="Normal 19 3 2 3 2 2 2 2 3" xfId="26482" xr:uid="{00000000-0005-0000-0000-00004F180000}"/>
    <cellStyle name="Normal 19 3 2 3 2 2 2 3" xfId="13211" xr:uid="{00000000-0005-0000-0000-000050180000}"/>
    <cellStyle name="Normal 19 3 2 3 2 2 2 3 2" xfId="29786" xr:uid="{00000000-0005-0000-0000-000051180000}"/>
    <cellStyle name="Normal 19 3 2 3 2 2 2 4" xfId="23182" xr:uid="{00000000-0005-0000-0000-000052180000}"/>
    <cellStyle name="Normal 19 3 2 3 2 2 3" xfId="8248" xr:uid="{00000000-0005-0000-0000-000053180000}"/>
    <cellStyle name="Normal 19 3 2 3 2 2 3 2" xfId="15511" xr:uid="{00000000-0005-0000-0000-000054180000}"/>
    <cellStyle name="Normal 19 3 2 3 2 2 3 2 2" xfId="31826" xr:uid="{00000000-0005-0000-0000-000055180000}"/>
    <cellStyle name="Normal 19 3 2 3 2 2 3 3" xfId="24861" xr:uid="{00000000-0005-0000-0000-000056180000}"/>
    <cellStyle name="Normal 19 3 2 3 2 2 4" xfId="11563" xr:uid="{00000000-0005-0000-0000-000057180000}"/>
    <cellStyle name="Normal 19 3 2 3 2 2 4 2" xfId="28161" xr:uid="{00000000-0005-0000-0000-000058180000}"/>
    <cellStyle name="Normal 19 3 2 3 2 2 5" xfId="3628" xr:uid="{00000000-0005-0000-0000-000059180000}"/>
    <cellStyle name="Normal 19 3 2 3 2 2 5 2" xfId="20351" xr:uid="{00000000-0005-0000-0000-00005A180000}"/>
    <cellStyle name="Normal 19 3 2 3 2 2 6" xfId="18755" xr:uid="{00000000-0005-0000-0000-00005B180000}"/>
    <cellStyle name="Normal 19 3 2 3 2 3" xfId="2023" xr:uid="{00000000-0005-0000-0000-00005C180000}"/>
    <cellStyle name="Normal 19 3 2 3 2 3 2" xfId="9093" xr:uid="{00000000-0005-0000-0000-00005D180000}"/>
    <cellStyle name="Normal 19 3 2 3 2 3 2 2" xfId="16356" xr:uid="{00000000-0005-0000-0000-00005E180000}"/>
    <cellStyle name="Normal 19 3 2 3 2 3 2 2 2" xfId="32671" xr:uid="{00000000-0005-0000-0000-00005F180000}"/>
    <cellStyle name="Normal 19 3 2 3 2 3 2 3" xfId="25706" xr:uid="{00000000-0005-0000-0000-000060180000}"/>
    <cellStyle name="Normal 19 3 2 3 2 3 3" xfId="12435" xr:uid="{00000000-0005-0000-0000-000061180000}"/>
    <cellStyle name="Normal 19 3 2 3 2 3 3 2" xfId="29010" xr:uid="{00000000-0005-0000-0000-000062180000}"/>
    <cellStyle name="Normal 19 3 2 3 2 3 4" xfId="5742" xr:uid="{00000000-0005-0000-0000-000063180000}"/>
    <cellStyle name="Normal 19 3 2 3 2 3 4 2" xfId="22406" xr:uid="{00000000-0005-0000-0000-000064180000}"/>
    <cellStyle name="Normal 19 3 2 3 2 3 5" xfId="18754" xr:uid="{00000000-0005-0000-0000-000065180000}"/>
    <cellStyle name="Normal 19 3 2 3 2 4" xfId="7472" xr:uid="{00000000-0005-0000-0000-000066180000}"/>
    <cellStyle name="Normal 19 3 2 3 2 4 2" xfId="14735" xr:uid="{00000000-0005-0000-0000-000067180000}"/>
    <cellStyle name="Normal 19 3 2 3 2 4 2 2" xfId="31050" xr:uid="{00000000-0005-0000-0000-000068180000}"/>
    <cellStyle name="Normal 19 3 2 3 2 4 3" xfId="24085" xr:uid="{00000000-0005-0000-0000-000069180000}"/>
    <cellStyle name="Normal 19 3 2 3 2 5" xfId="10787" xr:uid="{00000000-0005-0000-0000-00006A180000}"/>
    <cellStyle name="Normal 19 3 2 3 2 5 2" xfId="27385" xr:uid="{00000000-0005-0000-0000-00006B180000}"/>
    <cellStyle name="Normal 19 3 2 3 2 6" xfId="3627" xr:uid="{00000000-0005-0000-0000-00006C180000}"/>
    <cellStyle name="Normal 19 3 2 3 2 6 2" xfId="20350" xr:uid="{00000000-0005-0000-0000-00006D180000}"/>
    <cellStyle name="Normal 19 3 2 3 2 7" xfId="18359" xr:uid="{00000000-0005-0000-0000-00006E180000}"/>
    <cellStyle name="Normal 19 3 2 3 3" xfId="2025" xr:uid="{00000000-0005-0000-0000-00006F180000}"/>
    <cellStyle name="Normal 19 3 2 3 3 2" xfId="6148" xr:uid="{00000000-0005-0000-0000-000070180000}"/>
    <cellStyle name="Normal 19 3 2 3 3 2 2" xfId="9499" xr:uid="{00000000-0005-0000-0000-000071180000}"/>
    <cellStyle name="Normal 19 3 2 3 3 2 2 2" xfId="16762" xr:uid="{00000000-0005-0000-0000-000072180000}"/>
    <cellStyle name="Normal 19 3 2 3 3 2 2 2 2" xfId="33077" xr:uid="{00000000-0005-0000-0000-000073180000}"/>
    <cellStyle name="Normal 19 3 2 3 3 2 2 3" xfId="26112" xr:uid="{00000000-0005-0000-0000-000074180000}"/>
    <cellStyle name="Normal 19 3 2 3 3 2 3" xfId="12841" xr:uid="{00000000-0005-0000-0000-000075180000}"/>
    <cellStyle name="Normal 19 3 2 3 3 2 3 2" xfId="29416" xr:uid="{00000000-0005-0000-0000-000076180000}"/>
    <cellStyle name="Normal 19 3 2 3 3 2 4" xfId="22812" xr:uid="{00000000-0005-0000-0000-000077180000}"/>
    <cellStyle name="Normal 19 3 2 3 3 3" xfId="7878" xr:uid="{00000000-0005-0000-0000-000078180000}"/>
    <cellStyle name="Normal 19 3 2 3 3 3 2" xfId="15141" xr:uid="{00000000-0005-0000-0000-000079180000}"/>
    <cellStyle name="Normal 19 3 2 3 3 3 2 2" xfId="31456" xr:uid="{00000000-0005-0000-0000-00007A180000}"/>
    <cellStyle name="Normal 19 3 2 3 3 3 3" xfId="24491" xr:uid="{00000000-0005-0000-0000-00007B180000}"/>
    <cellStyle name="Normal 19 3 2 3 3 4" xfId="11193" xr:uid="{00000000-0005-0000-0000-00007C180000}"/>
    <cellStyle name="Normal 19 3 2 3 3 4 2" xfId="27791" xr:uid="{00000000-0005-0000-0000-00007D180000}"/>
    <cellStyle name="Normal 19 3 2 3 3 5" xfId="3629" xr:uid="{00000000-0005-0000-0000-00007E180000}"/>
    <cellStyle name="Normal 19 3 2 3 3 5 2" xfId="20352" xr:uid="{00000000-0005-0000-0000-00007F180000}"/>
    <cellStyle name="Normal 19 3 2 3 3 6" xfId="18756" xr:uid="{00000000-0005-0000-0000-000080180000}"/>
    <cellStyle name="Normal 19 3 2 3 4" xfId="2022" xr:uid="{00000000-0005-0000-0000-000081180000}"/>
    <cellStyle name="Normal 19 3 2 3 4 2" xfId="8686" xr:uid="{00000000-0005-0000-0000-000082180000}"/>
    <cellStyle name="Normal 19 3 2 3 4 2 2" xfId="15949" xr:uid="{00000000-0005-0000-0000-000083180000}"/>
    <cellStyle name="Normal 19 3 2 3 4 2 2 2" xfId="32264" xr:uid="{00000000-0005-0000-0000-000084180000}"/>
    <cellStyle name="Normal 19 3 2 3 4 2 3" xfId="25299" xr:uid="{00000000-0005-0000-0000-000085180000}"/>
    <cellStyle name="Normal 19 3 2 3 4 3" xfId="12028" xr:uid="{00000000-0005-0000-0000-000086180000}"/>
    <cellStyle name="Normal 19 3 2 3 4 3 2" xfId="28603" xr:uid="{00000000-0005-0000-0000-000087180000}"/>
    <cellStyle name="Normal 19 3 2 3 4 4" xfId="5335" xr:uid="{00000000-0005-0000-0000-000088180000}"/>
    <cellStyle name="Normal 19 3 2 3 4 4 2" xfId="21999" xr:uid="{00000000-0005-0000-0000-000089180000}"/>
    <cellStyle name="Normal 19 3 2 3 4 5" xfId="18753" xr:uid="{00000000-0005-0000-0000-00008A180000}"/>
    <cellStyle name="Normal 19 3 2 3 5" xfId="7066" xr:uid="{00000000-0005-0000-0000-00008B180000}"/>
    <cellStyle name="Normal 19 3 2 3 5 2" xfId="14329" xr:uid="{00000000-0005-0000-0000-00008C180000}"/>
    <cellStyle name="Normal 19 3 2 3 5 2 2" xfId="30644" xr:uid="{00000000-0005-0000-0000-00008D180000}"/>
    <cellStyle name="Normal 19 3 2 3 5 3" xfId="23679" xr:uid="{00000000-0005-0000-0000-00008E180000}"/>
    <cellStyle name="Normal 19 3 2 3 6" xfId="10381" xr:uid="{00000000-0005-0000-0000-00008F180000}"/>
    <cellStyle name="Normal 19 3 2 3 6 2" xfId="26979" xr:uid="{00000000-0005-0000-0000-000090180000}"/>
    <cellStyle name="Normal 19 3 2 3 7" xfId="3626" xr:uid="{00000000-0005-0000-0000-000091180000}"/>
    <cellStyle name="Normal 19 3 2 3 7 2" xfId="20349" xr:uid="{00000000-0005-0000-0000-000092180000}"/>
    <cellStyle name="Normal 19 3 2 3 8" xfId="17840" xr:uid="{00000000-0005-0000-0000-000093180000}"/>
    <cellStyle name="Normal 19 3 2 4" xfId="1473" xr:uid="{00000000-0005-0000-0000-000094180000}"/>
    <cellStyle name="Normal 19 3 2 4 2" xfId="2027" xr:uid="{00000000-0005-0000-0000-000095180000}"/>
    <cellStyle name="Normal 19 3 2 4 2 2" xfId="6342" xr:uid="{00000000-0005-0000-0000-000096180000}"/>
    <cellStyle name="Normal 19 3 2 4 2 2 2" xfId="9693" xr:uid="{00000000-0005-0000-0000-000097180000}"/>
    <cellStyle name="Normal 19 3 2 4 2 2 2 2" xfId="16956" xr:uid="{00000000-0005-0000-0000-000098180000}"/>
    <cellStyle name="Normal 19 3 2 4 2 2 2 2 2" xfId="33271" xr:uid="{00000000-0005-0000-0000-000099180000}"/>
    <cellStyle name="Normal 19 3 2 4 2 2 2 3" xfId="26306" xr:uid="{00000000-0005-0000-0000-00009A180000}"/>
    <cellStyle name="Normal 19 3 2 4 2 2 3" xfId="13035" xr:uid="{00000000-0005-0000-0000-00009B180000}"/>
    <cellStyle name="Normal 19 3 2 4 2 2 3 2" xfId="29610" xr:uid="{00000000-0005-0000-0000-00009C180000}"/>
    <cellStyle name="Normal 19 3 2 4 2 2 4" xfId="23006" xr:uid="{00000000-0005-0000-0000-00009D180000}"/>
    <cellStyle name="Normal 19 3 2 4 2 3" xfId="8072" xr:uid="{00000000-0005-0000-0000-00009E180000}"/>
    <cellStyle name="Normal 19 3 2 4 2 3 2" xfId="15335" xr:uid="{00000000-0005-0000-0000-00009F180000}"/>
    <cellStyle name="Normal 19 3 2 4 2 3 2 2" xfId="31650" xr:uid="{00000000-0005-0000-0000-0000A0180000}"/>
    <cellStyle name="Normal 19 3 2 4 2 3 3" xfId="24685" xr:uid="{00000000-0005-0000-0000-0000A1180000}"/>
    <cellStyle name="Normal 19 3 2 4 2 4" xfId="11387" xr:uid="{00000000-0005-0000-0000-0000A2180000}"/>
    <cellStyle name="Normal 19 3 2 4 2 4 2" xfId="27985" xr:uid="{00000000-0005-0000-0000-0000A3180000}"/>
    <cellStyle name="Normal 19 3 2 4 2 5" xfId="3631" xr:uid="{00000000-0005-0000-0000-0000A4180000}"/>
    <cellStyle name="Normal 19 3 2 4 2 5 2" xfId="20354" xr:uid="{00000000-0005-0000-0000-0000A5180000}"/>
    <cellStyle name="Normal 19 3 2 4 2 6" xfId="18758" xr:uid="{00000000-0005-0000-0000-0000A6180000}"/>
    <cellStyle name="Normal 19 3 2 4 3" xfId="2026" xr:uid="{00000000-0005-0000-0000-0000A7180000}"/>
    <cellStyle name="Normal 19 3 2 4 3 2" xfId="8881" xr:uid="{00000000-0005-0000-0000-0000A8180000}"/>
    <cellStyle name="Normal 19 3 2 4 3 2 2" xfId="16144" xr:uid="{00000000-0005-0000-0000-0000A9180000}"/>
    <cellStyle name="Normal 19 3 2 4 3 2 2 2" xfId="32459" xr:uid="{00000000-0005-0000-0000-0000AA180000}"/>
    <cellStyle name="Normal 19 3 2 4 3 2 3" xfId="25494" xr:uid="{00000000-0005-0000-0000-0000AB180000}"/>
    <cellStyle name="Normal 19 3 2 4 3 3" xfId="12223" xr:uid="{00000000-0005-0000-0000-0000AC180000}"/>
    <cellStyle name="Normal 19 3 2 4 3 3 2" xfId="28798" xr:uid="{00000000-0005-0000-0000-0000AD180000}"/>
    <cellStyle name="Normal 19 3 2 4 3 4" xfId="5530" xr:uid="{00000000-0005-0000-0000-0000AE180000}"/>
    <cellStyle name="Normal 19 3 2 4 3 4 2" xfId="22194" xr:uid="{00000000-0005-0000-0000-0000AF180000}"/>
    <cellStyle name="Normal 19 3 2 4 3 5" xfId="18757" xr:uid="{00000000-0005-0000-0000-0000B0180000}"/>
    <cellStyle name="Normal 19 3 2 4 4" xfId="7260" xr:uid="{00000000-0005-0000-0000-0000B1180000}"/>
    <cellStyle name="Normal 19 3 2 4 4 2" xfId="14523" xr:uid="{00000000-0005-0000-0000-0000B2180000}"/>
    <cellStyle name="Normal 19 3 2 4 4 2 2" xfId="30838" xr:uid="{00000000-0005-0000-0000-0000B3180000}"/>
    <cellStyle name="Normal 19 3 2 4 4 3" xfId="23873" xr:uid="{00000000-0005-0000-0000-0000B4180000}"/>
    <cellStyle name="Normal 19 3 2 4 5" xfId="10575" xr:uid="{00000000-0005-0000-0000-0000B5180000}"/>
    <cellStyle name="Normal 19 3 2 4 5 2" xfId="27173" xr:uid="{00000000-0005-0000-0000-0000B6180000}"/>
    <cellStyle name="Normal 19 3 2 4 6" xfId="3630" xr:uid="{00000000-0005-0000-0000-0000B7180000}"/>
    <cellStyle name="Normal 19 3 2 4 6 2" xfId="20353" xr:uid="{00000000-0005-0000-0000-0000B8180000}"/>
    <cellStyle name="Normal 19 3 2 4 7" xfId="18208" xr:uid="{00000000-0005-0000-0000-0000B9180000}"/>
    <cellStyle name="Normal 19 3 2 5" xfId="2028" xr:uid="{00000000-0005-0000-0000-0000BA180000}"/>
    <cellStyle name="Normal 19 3 2 5 2" xfId="5936" xr:uid="{00000000-0005-0000-0000-0000BB180000}"/>
    <cellStyle name="Normal 19 3 2 5 2 2" xfId="9287" xr:uid="{00000000-0005-0000-0000-0000BC180000}"/>
    <cellStyle name="Normal 19 3 2 5 2 2 2" xfId="16550" xr:uid="{00000000-0005-0000-0000-0000BD180000}"/>
    <cellStyle name="Normal 19 3 2 5 2 2 2 2" xfId="32865" xr:uid="{00000000-0005-0000-0000-0000BE180000}"/>
    <cellStyle name="Normal 19 3 2 5 2 2 3" xfId="25900" xr:uid="{00000000-0005-0000-0000-0000BF180000}"/>
    <cellStyle name="Normal 19 3 2 5 2 3" xfId="12629" xr:uid="{00000000-0005-0000-0000-0000C0180000}"/>
    <cellStyle name="Normal 19 3 2 5 2 3 2" xfId="29204" xr:uid="{00000000-0005-0000-0000-0000C1180000}"/>
    <cellStyle name="Normal 19 3 2 5 2 4" xfId="22600" xr:uid="{00000000-0005-0000-0000-0000C2180000}"/>
    <cellStyle name="Normal 19 3 2 5 3" xfId="7666" xr:uid="{00000000-0005-0000-0000-0000C3180000}"/>
    <cellStyle name="Normal 19 3 2 5 3 2" xfId="14929" xr:uid="{00000000-0005-0000-0000-0000C4180000}"/>
    <cellStyle name="Normal 19 3 2 5 3 2 2" xfId="31244" xr:uid="{00000000-0005-0000-0000-0000C5180000}"/>
    <cellStyle name="Normal 19 3 2 5 3 3" xfId="24279" xr:uid="{00000000-0005-0000-0000-0000C6180000}"/>
    <cellStyle name="Normal 19 3 2 5 4" xfId="10981" xr:uid="{00000000-0005-0000-0000-0000C7180000}"/>
    <cellStyle name="Normal 19 3 2 5 4 2" xfId="27579" xr:uid="{00000000-0005-0000-0000-0000C8180000}"/>
    <cellStyle name="Normal 19 3 2 5 5" xfId="3632" xr:uid="{00000000-0005-0000-0000-0000C9180000}"/>
    <cellStyle name="Normal 19 3 2 5 5 2" xfId="20355" xr:uid="{00000000-0005-0000-0000-0000CA180000}"/>
    <cellStyle name="Normal 19 3 2 5 6" xfId="18759" xr:uid="{00000000-0005-0000-0000-0000CB180000}"/>
    <cellStyle name="Normal 19 3 2 6" xfId="2013" xr:uid="{00000000-0005-0000-0000-0000CC180000}"/>
    <cellStyle name="Normal 19 3 2 6 2" xfId="8534" xr:uid="{00000000-0005-0000-0000-0000CD180000}"/>
    <cellStyle name="Normal 19 3 2 6 2 2" xfId="15797" xr:uid="{00000000-0005-0000-0000-0000CE180000}"/>
    <cellStyle name="Normal 19 3 2 6 2 2 2" xfId="32112" xr:uid="{00000000-0005-0000-0000-0000CF180000}"/>
    <cellStyle name="Normal 19 3 2 6 2 3" xfId="25147" xr:uid="{00000000-0005-0000-0000-0000D0180000}"/>
    <cellStyle name="Normal 19 3 2 6 3" xfId="11876" xr:uid="{00000000-0005-0000-0000-0000D1180000}"/>
    <cellStyle name="Normal 19 3 2 6 3 2" xfId="28451" xr:uid="{00000000-0005-0000-0000-0000D2180000}"/>
    <cellStyle name="Normal 19 3 2 6 4" xfId="5183" xr:uid="{00000000-0005-0000-0000-0000D3180000}"/>
    <cellStyle name="Normal 19 3 2 6 4 2" xfId="21847" xr:uid="{00000000-0005-0000-0000-0000D4180000}"/>
    <cellStyle name="Normal 19 3 2 6 5" xfId="18744" xr:uid="{00000000-0005-0000-0000-0000D5180000}"/>
    <cellStyle name="Normal 19 3 2 7" xfId="6915" xr:uid="{00000000-0005-0000-0000-0000D6180000}"/>
    <cellStyle name="Normal 19 3 2 7 2" xfId="14178" xr:uid="{00000000-0005-0000-0000-0000D7180000}"/>
    <cellStyle name="Normal 19 3 2 7 2 2" xfId="30493" xr:uid="{00000000-0005-0000-0000-0000D8180000}"/>
    <cellStyle name="Normal 19 3 2 7 3" xfId="23528" xr:uid="{00000000-0005-0000-0000-0000D9180000}"/>
    <cellStyle name="Normal 19 3 2 8" xfId="10229" xr:uid="{00000000-0005-0000-0000-0000DA180000}"/>
    <cellStyle name="Normal 19 3 2 8 2" xfId="26828" xr:uid="{00000000-0005-0000-0000-0000DB180000}"/>
    <cellStyle name="Normal 19 3 2 9" xfId="3617" xr:uid="{00000000-0005-0000-0000-0000DC180000}"/>
    <cellStyle name="Normal 19 3 2 9 2" xfId="20340" xr:uid="{00000000-0005-0000-0000-0000DD180000}"/>
    <cellStyle name="Normal 19 3 3" xfId="964" xr:uid="{00000000-0005-0000-0000-0000DE180000}"/>
    <cellStyle name="Normal 19 3 3 2" xfId="1105" xr:uid="{00000000-0005-0000-0000-0000DF180000}"/>
    <cellStyle name="Normal 19 3 3 2 2" xfId="1626" xr:uid="{00000000-0005-0000-0000-0000E0180000}"/>
    <cellStyle name="Normal 19 3 3 2 2 2" xfId="2032" xr:uid="{00000000-0005-0000-0000-0000E1180000}"/>
    <cellStyle name="Normal 19 3 3 2 2 2 2" xfId="6520" xr:uid="{00000000-0005-0000-0000-0000E2180000}"/>
    <cellStyle name="Normal 19 3 3 2 2 2 2 2" xfId="9871" xr:uid="{00000000-0005-0000-0000-0000E3180000}"/>
    <cellStyle name="Normal 19 3 3 2 2 2 2 2 2" xfId="17134" xr:uid="{00000000-0005-0000-0000-0000E4180000}"/>
    <cellStyle name="Normal 19 3 3 2 2 2 2 2 2 2" xfId="33449" xr:uid="{00000000-0005-0000-0000-0000E5180000}"/>
    <cellStyle name="Normal 19 3 3 2 2 2 2 2 3" xfId="26484" xr:uid="{00000000-0005-0000-0000-0000E6180000}"/>
    <cellStyle name="Normal 19 3 3 2 2 2 2 3" xfId="13213" xr:uid="{00000000-0005-0000-0000-0000E7180000}"/>
    <cellStyle name="Normal 19 3 3 2 2 2 2 3 2" xfId="29788" xr:uid="{00000000-0005-0000-0000-0000E8180000}"/>
    <cellStyle name="Normal 19 3 3 2 2 2 2 4" xfId="23184" xr:uid="{00000000-0005-0000-0000-0000E9180000}"/>
    <cellStyle name="Normal 19 3 3 2 2 2 3" xfId="8250" xr:uid="{00000000-0005-0000-0000-0000EA180000}"/>
    <cellStyle name="Normal 19 3 3 2 2 2 3 2" xfId="15513" xr:uid="{00000000-0005-0000-0000-0000EB180000}"/>
    <cellStyle name="Normal 19 3 3 2 2 2 3 2 2" xfId="31828" xr:uid="{00000000-0005-0000-0000-0000EC180000}"/>
    <cellStyle name="Normal 19 3 3 2 2 2 3 3" xfId="24863" xr:uid="{00000000-0005-0000-0000-0000ED180000}"/>
    <cellStyle name="Normal 19 3 3 2 2 2 4" xfId="11565" xr:uid="{00000000-0005-0000-0000-0000EE180000}"/>
    <cellStyle name="Normal 19 3 3 2 2 2 4 2" xfId="28163" xr:uid="{00000000-0005-0000-0000-0000EF180000}"/>
    <cellStyle name="Normal 19 3 3 2 2 2 5" xfId="3636" xr:uid="{00000000-0005-0000-0000-0000F0180000}"/>
    <cellStyle name="Normal 19 3 3 2 2 2 5 2" xfId="20359" xr:uid="{00000000-0005-0000-0000-0000F1180000}"/>
    <cellStyle name="Normal 19 3 3 2 2 2 6" xfId="18763" xr:uid="{00000000-0005-0000-0000-0000F2180000}"/>
    <cellStyle name="Normal 19 3 3 2 2 3" xfId="2031" xr:uid="{00000000-0005-0000-0000-0000F3180000}"/>
    <cellStyle name="Normal 19 3 3 2 2 3 2" xfId="9095" xr:uid="{00000000-0005-0000-0000-0000F4180000}"/>
    <cellStyle name="Normal 19 3 3 2 2 3 2 2" xfId="16358" xr:uid="{00000000-0005-0000-0000-0000F5180000}"/>
    <cellStyle name="Normal 19 3 3 2 2 3 2 2 2" xfId="32673" xr:uid="{00000000-0005-0000-0000-0000F6180000}"/>
    <cellStyle name="Normal 19 3 3 2 2 3 2 3" xfId="25708" xr:uid="{00000000-0005-0000-0000-0000F7180000}"/>
    <cellStyle name="Normal 19 3 3 2 2 3 3" xfId="12437" xr:uid="{00000000-0005-0000-0000-0000F8180000}"/>
    <cellStyle name="Normal 19 3 3 2 2 3 3 2" xfId="29012" xr:uid="{00000000-0005-0000-0000-0000F9180000}"/>
    <cellStyle name="Normal 19 3 3 2 2 3 4" xfId="5744" xr:uid="{00000000-0005-0000-0000-0000FA180000}"/>
    <cellStyle name="Normal 19 3 3 2 2 3 4 2" xfId="22408" xr:uid="{00000000-0005-0000-0000-0000FB180000}"/>
    <cellStyle name="Normal 19 3 3 2 2 3 5" xfId="18762" xr:uid="{00000000-0005-0000-0000-0000FC180000}"/>
    <cellStyle name="Normal 19 3 3 2 2 4" xfId="7474" xr:uid="{00000000-0005-0000-0000-0000FD180000}"/>
    <cellStyle name="Normal 19 3 3 2 2 4 2" xfId="14737" xr:uid="{00000000-0005-0000-0000-0000FE180000}"/>
    <cellStyle name="Normal 19 3 3 2 2 4 2 2" xfId="31052" xr:uid="{00000000-0005-0000-0000-0000FF180000}"/>
    <cellStyle name="Normal 19 3 3 2 2 4 3" xfId="24087" xr:uid="{00000000-0005-0000-0000-000000190000}"/>
    <cellStyle name="Normal 19 3 3 2 2 5" xfId="10789" xr:uid="{00000000-0005-0000-0000-000001190000}"/>
    <cellStyle name="Normal 19 3 3 2 2 5 2" xfId="27387" xr:uid="{00000000-0005-0000-0000-000002190000}"/>
    <cellStyle name="Normal 19 3 3 2 2 6" xfId="3635" xr:uid="{00000000-0005-0000-0000-000003190000}"/>
    <cellStyle name="Normal 19 3 3 2 2 6 2" xfId="20358" xr:uid="{00000000-0005-0000-0000-000004190000}"/>
    <cellStyle name="Normal 19 3 3 2 2 7" xfId="18361" xr:uid="{00000000-0005-0000-0000-000005190000}"/>
    <cellStyle name="Normal 19 3 3 2 3" xfId="2033" xr:uid="{00000000-0005-0000-0000-000006190000}"/>
    <cellStyle name="Normal 19 3 3 2 3 2" xfId="6150" xr:uid="{00000000-0005-0000-0000-000007190000}"/>
    <cellStyle name="Normal 19 3 3 2 3 2 2" xfId="9501" xr:uid="{00000000-0005-0000-0000-000008190000}"/>
    <cellStyle name="Normal 19 3 3 2 3 2 2 2" xfId="16764" xr:uid="{00000000-0005-0000-0000-000009190000}"/>
    <cellStyle name="Normal 19 3 3 2 3 2 2 2 2" xfId="33079" xr:uid="{00000000-0005-0000-0000-00000A190000}"/>
    <cellStyle name="Normal 19 3 3 2 3 2 2 3" xfId="26114" xr:uid="{00000000-0005-0000-0000-00000B190000}"/>
    <cellStyle name="Normal 19 3 3 2 3 2 3" xfId="12843" xr:uid="{00000000-0005-0000-0000-00000C190000}"/>
    <cellStyle name="Normal 19 3 3 2 3 2 3 2" xfId="29418" xr:uid="{00000000-0005-0000-0000-00000D190000}"/>
    <cellStyle name="Normal 19 3 3 2 3 2 4" xfId="22814" xr:uid="{00000000-0005-0000-0000-00000E190000}"/>
    <cellStyle name="Normal 19 3 3 2 3 3" xfId="7880" xr:uid="{00000000-0005-0000-0000-00000F190000}"/>
    <cellStyle name="Normal 19 3 3 2 3 3 2" xfId="15143" xr:uid="{00000000-0005-0000-0000-000010190000}"/>
    <cellStyle name="Normal 19 3 3 2 3 3 2 2" xfId="31458" xr:uid="{00000000-0005-0000-0000-000011190000}"/>
    <cellStyle name="Normal 19 3 3 2 3 3 3" xfId="24493" xr:uid="{00000000-0005-0000-0000-000012190000}"/>
    <cellStyle name="Normal 19 3 3 2 3 4" xfId="11195" xr:uid="{00000000-0005-0000-0000-000013190000}"/>
    <cellStyle name="Normal 19 3 3 2 3 4 2" xfId="27793" xr:uid="{00000000-0005-0000-0000-000014190000}"/>
    <cellStyle name="Normal 19 3 3 2 3 5" xfId="3637" xr:uid="{00000000-0005-0000-0000-000015190000}"/>
    <cellStyle name="Normal 19 3 3 2 3 5 2" xfId="20360" xr:uid="{00000000-0005-0000-0000-000016190000}"/>
    <cellStyle name="Normal 19 3 3 2 3 6" xfId="18764" xr:uid="{00000000-0005-0000-0000-000017190000}"/>
    <cellStyle name="Normal 19 3 3 2 4" xfId="2030" xr:uid="{00000000-0005-0000-0000-000018190000}"/>
    <cellStyle name="Normal 19 3 3 2 4 2" xfId="8688" xr:uid="{00000000-0005-0000-0000-000019190000}"/>
    <cellStyle name="Normal 19 3 3 2 4 2 2" xfId="15951" xr:uid="{00000000-0005-0000-0000-00001A190000}"/>
    <cellStyle name="Normal 19 3 3 2 4 2 2 2" xfId="32266" xr:uid="{00000000-0005-0000-0000-00001B190000}"/>
    <cellStyle name="Normal 19 3 3 2 4 2 3" xfId="25301" xr:uid="{00000000-0005-0000-0000-00001C190000}"/>
    <cellStyle name="Normal 19 3 3 2 4 3" xfId="12030" xr:uid="{00000000-0005-0000-0000-00001D190000}"/>
    <cellStyle name="Normal 19 3 3 2 4 3 2" xfId="28605" xr:uid="{00000000-0005-0000-0000-00001E190000}"/>
    <cellStyle name="Normal 19 3 3 2 4 4" xfId="5337" xr:uid="{00000000-0005-0000-0000-00001F190000}"/>
    <cellStyle name="Normal 19 3 3 2 4 4 2" xfId="22001" xr:uid="{00000000-0005-0000-0000-000020190000}"/>
    <cellStyle name="Normal 19 3 3 2 4 5" xfId="18761" xr:uid="{00000000-0005-0000-0000-000021190000}"/>
    <cellStyle name="Normal 19 3 3 2 5" xfId="7068" xr:uid="{00000000-0005-0000-0000-000022190000}"/>
    <cellStyle name="Normal 19 3 3 2 5 2" xfId="14331" xr:uid="{00000000-0005-0000-0000-000023190000}"/>
    <cellStyle name="Normal 19 3 3 2 5 2 2" xfId="30646" xr:uid="{00000000-0005-0000-0000-000024190000}"/>
    <cellStyle name="Normal 19 3 3 2 5 3" xfId="23681" xr:uid="{00000000-0005-0000-0000-000025190000}"/>
    <cellStyle name="Normal 19 3 3 2 6" xfId="10383" xr:uid="{00000000-0005-0000-0000-000026190000}"/>
    <cellStyle name="Normal 19 3 3 2 6 2" xfId="26981" xr:uid="{00000000-0005-0000-0000-000027190000}"/>
    <cellStyle name="Normal 19 3 3 2 7" xfId="3634" xr:uid="{00000000-0005-0000-0000-000028190000}"/>
    <cellStyle name="Normal 19 3 3 2 7 2" xfId="20357" xr:uid="{00000000-0005-0000-0000-000029190000}"/>
    <cellStyle name="Normal 19 3 3 2 8" xfId="17842" xr:uid="{00000000-0005-0000-0000-00002A190000}"/>
    <cellStyle name="Normal 19 3 3 3" xfId="1526" xr:uid="{00000000-0005-0000-0000-00002B190000}"/>
    <cellStyle name="Normal 19 3 3 3 2" xfId="2035" xr:uid="{00000000-0005-0000-0000-00002C190000}"/>
    <cellStyle name="Normal 19 3 3 3 2 2" xfId="6344" xr:uid="{00000000-0005-0000-0000-00002D190000}"/>
    <cellStyle name="Normal 19 3 3 3 2 2 2" xfId="9695" xr:uid="{00000000-0005-0000-0000-00002E190000}"/>
    <cellStyle name="Normal 19 3 3 3 2 2 2 2" xfId="16958" xr:uid="{00000000-0005-0000-0000-00002F190000}"/>
    <cellStyle name="Normal 19 3 3 3 2 2 2 2 2" xfId="33273" xr:uid="{00000000-0005-0000-0000-000030190000}"/>
    <cellStyle name="Normal 19 3 3 3 2 2 2 3" xfId="26308" xr:uid="{00000000-0005-0000-0000-000031190000}"/>
    <cellStyle name="Normal 19 3 3 3 2 2 3" xfId="13037" xr:uid="{00000000-0005-0000-0000-000032190000}"/>
    <cellStyle name="Normal 19 3 3 3 2 2 3 2" xfId="29612" xr:uid="{00000000-0005-0000-0000-000033190000}"/>
    <cellStyle name="Normal 19 3 3 3 2 2 4" xfId="23008" xr:uid="{00000000-0005-0000-0000-000034190000}"/>
    <cellStyle name="Normal 19 3 3 3 2 3" xfId="8074" xr:uid="{00000000-0005-0000-0000-000035190000}"/>
    <cellStyle name="Normal 19 3 3 3 2 3 2" xfId="15337" xr:uid="{00000000-0005-0000-0000-000036190000}"/>
    <cellStyle name="Normal 19 3 3 3 2 3 2 2" xfId="31652" xr:uid="{00000000-0005-0000-0000-000037190000}"/>
    <cellStyle name="Normal 19 3 3 3 2 3 3" xfId="24687" xr:uid="{00000000-0005-0000-0000-000038190000}"/>
    <cellStyle name="Normal 19 3 3 3 2 4" xfId="11389" xr:uid="{00000000-0005-0000-0000-000039190000}"/>
    <cellStyle name="Normal 19 3 3 3 2 4 2" xfId="27987" xr:uid="{00000000-0005-0000-0000-00003A190000}"/>
    <cellStyle name="Normal 19 3 3 3 2 5" xfId="3639" xr:uid="{00000000-0005-0000-0000-00003B190000}"/>
    <cellStyle name="Normal 19 3 3 3 2 5 2" xfId="20362" xr:uid="{00000000-0005-0000-0000-00003C190000}"/>
    <cellStyle name="Normal 19 3 3 3 2 6" xfId="18766" xr:uid="{00000000-0005-0000-0000-00003D190000}"/>
    <cellStyle name="Normal 19 3 3 3 3" xfId="2034" xr:uid="{00000000-0005-0000-0000-00003E190000}"/>
    <cellStyle name="Normal 19 3 3 3 3 2" xfId="8883" xr:uid="{00000000-0005-0000-0000-00003F190000}"/>
    <cellStyle name="Normal 19 3 3 3 3 2 2" xfId="16146" xr:uid="{00000000-0005-0000-0000-000040190000}"/>
    <cellStyle name="Normal 19 3 3 3 3 2 2 2" xfId="32461" xr:uid="{00000000-0005-0000-0000-000041190000}"/>
    <cellStyle name="Normal 19 3 3 3 3 2 3" xfId="25496" xr:uid="{00000000-0005-0000-0000-000042190000}"/>
    <cellStyle name="Normal 19 3 3 3 3 3" xfId="12225" xr:uid="{00000000-0005-0000-0000-000043190000}"/>
    <cellStyle name="Normal 19 3 3 3 3 3 2" xfId="28800" xr:uid="{00000000-0005-0000-0000-000044190000}"/>
    <cellStyle name="Normal 19 3 3 3 3 4" xfId="5532" xr:uid="{00000000-0005-0000-0000-000045190000}"/>
    <cellStyle name="Normal 19 3 3 3 3 4 2" xfId="22196" xr:uid="{00000000-0005-0000-0000-000046190000}"/>
    <cellStyle name="Normal 19 3 3 3 3 5" xfId="18765" xr:uid="{00000000-0005-0000-0000-000047190000}"/>
    <cellStyle name="Normal 19 3 3 3 4" xfId="7262" xr:uid="{00000000-0005-0000-0000-000048190000}"/>
    <cellStyle name="Normal 19 3 3 3 4 2" xfId="14525" xr:uid="{00000000-0005-0000-0000-000049190000}"/>
    <cellStyle name="Normal 19 3 3 3 4 2 2" xfId="30840" xr:uid="{00000000-0005-0000-0000-00004A190000}"/>
    <cellStyle name="Normal 19 3 3 3 4 3" xfId="23875" xr:uid="{00000000-0005-0000-0000-00004B190000}"/>
    <cellStyle name="Normal 19 3 3 3 5" xfId="10577" xr:uid="{00000000-0005-0000-0000-00004C190000}"/>
    <cellStyle name="Normal 19 3 3 3 5 2" xfId="27175" xr:uid="{00000000-0005-0000-0000-00004D190000}"/>
    <cellStyle name="Normal 19 3 3 3 6" xfId="3638" xr:uid="{00000000-0005-0000-0000-00004E190000}"/>
    <cellStyle name="Normal 19 3 3 3 6 2" xfId="20361" xr:uid="{00000000-0005-0000-0000-00004F190000}"/>
    <cellStyle name="Normal 19 3 3 3 7" xfId="18261" xr:uid="{00000000-0005-0000-0000-000050190000}"/>
    <cellStyle name="Normal 19 3 3 4" xfId="2036" xr:uid="{00000000-0005-0000-0000-000051190000}"/>
    <cellStyle name="Normal 19 3 3 4 2" xfId="5938" xr:uid="{00000000-0005-0000-0000-000052190000}"/>
    <cellStyle name="Normal 19 3 3 4 2 2" xfId="9289" xr:uid="{00000000-0005-0000-0000-000053190000}"/>
    <cellStyle name="Normal 19 3 3 4 2 2 2" xfId="16552" xr:uid="{00000000-0005-0000-0000-000054190000}"/>
    <cellStyle name="Normal 19 3 3 4 2 2 2 2" xfId="32867" xr:uid="{00000000-0005-0000-0000-000055190000}"/>
    <cellStyle name="Normal 19 3 3 4 2 2 3" xfId="25902" xr:uid="{00000000-0005-0000-0000-000056190000}"/>
    <cellStyle name="Normal 19 3 3 4 2 3" xfId="12631" xr:uid="{00000000-0005-0000-0000-000057190000}"/>
    <cellStyle name="Normal 19 3 3 4 2 3 2" xfId="29206" xr:uid="{00000000-0005-0000-0000-000058190000}"/>
    <cellStyle name="Normal 19 3 3 4 2 4" xfId="22602" xr:uid="{00000000-0005-0000-0000-000059190000}"/>
    <cellStyle name="Normal 19 3 3 4 3" xfId="7668" xr:uid="{00000000-0005-0000-0000-00005A190000}"/>
    <cellStyle name="Normal 19 3 3 4 3 2" xfId="14931" xr:uid="{00000000-0005-0000-0000-00005B190000}"/>
    <cellStyle name="Normal 19 3 3 4 3 2 2" xfId="31246" xr:uid="{00000000-0005-0000-0000-00005C190000}"/>
    <cellStyle name="Normal 19 3 3 4 3 3" xfId="24281" xr:uid="{00000000-0005-0000-0000-00005D190000}"/>
    <cellStyle name="Normal 19 3 3 4 4" xfId="10983" xr:uid="{00000000-0005-0000-0000-00005E190000}"/>
    <cellStyle name="Normal 19 3 3 4 4 2" xfId="27581" xr:uid="{00000000-0005-0000-0000-00005F190000}"/>
    <cellStyle name="Normal 19 3 3 4 5" xfId="3640" xr:uid="{00000000-0005-0000-0000-000060190000}"/>
    <cellStyle name="Normal 19 3 3 4 5 2" xfId="20363" xr:uid="{00000000-0005-0000-0000-000061190000}"/>
    <cellStyle name="Normal 19 3 3 4 6" xfId="18767" xr:uid="{00000000-0005-0000-0000-000062190000}"/>
    <cellStyle name="Normal 19 3 3 5" xfId="2029" xr:uid="{00000000-0005-0000-0000-000063190000}"/>
    <cellStyle name="Normal 19 3 3 5 2" xfId="8587" xr:uid="{00000000-0005-0000-0000-000064190000}"/>
    <cellStyle name="Normal 19 3 3 5 2 2" xfId="15850" xr:uid="{00000000-0005-0000-0000-000065190000}"/>
    <cellStyle name="Normal 19 3 3 5 2 2 2" xfId="32165" xr:uid="{00000000-0005-0000-0000-000066190000}"/>
    <cellStyle name="Normal 19 3 3 5 2 3" xfId="25200" xr:uid="{00000000-0005-0000-0000-000067190000}"/>
    <cellStyle name="Normal 19 3 3 5 3" xfId="11929" xr:uid="{00000000-0005-0000-0000-000068190000}"/>
    <cellStyle name="Normal 19 3 3 5 3 2" xfId="28504" xr:uid="{00000000-0005-0000-0000-000069190000}"/>
    <cellStyle name="Normal 19 3 3 5 4" xfId="5236" xr:uid="{00000000-0005-0000-0000-00006A190000}"/>
    <cellStyle name="Normal 19 3 3 5 4 2" xfId="21900" xr:uid="{00000000-0005-0000-0000-00006B190000}"/>
    <cellStyle name="Normal 19 3 3 5 5" xfId="18760" xr:uid="{00000000-0005-0000-0000-00006C190000}"/>
    <cellStyle name="Normal 19 3 3 6" xfId="6968" xr:uid="{00000000-0005-0000-0000-00006D190000}"/>
    <cellStyle name="Normal 19 3 3 6 2" xfId="14231" xr:uid="{00000000-0005-0000-0000-00006E190000}"/>
    <cellStyle name="Normal 19 3 3 6 2 2" xfId="30546" xr:uid="{00000000-0005-0000-0000-00006F190000}"/>
    <cellStyle name="Normal 19 3 3 6 3" xfId="23581" xr:uid="{00000000-0005-0000-0000-000070190000}"/>
    <cellStyle name="Normal 19 3 3 7" xfId="10282" xr:uid="{00000000-0005-0000-0000-000071190000}"/>
    <cellStyle name="Normal 19 3 3 7 2" xfId="26881" xr:uid="{00000000-0005-0000-0000-000072190000}"/>
    <cellStyle name="Normal 19 3 3 8" xfId="3633" xr:uid="{00000000-0005-0000-0000-000073190000}"/>
    <cellStyle name="Normal 19 3 3 8 2" xfId="20356" xr:uid="{00000000-0005-0000-0000-000074190000}"/>
    <cellStyle name="Normal 19 3 3 9" xfId="17742" xr:uid="{00000000-0005-0000-0000-000075190000}"/>
    <cellStyle name="Normal 19 3 4" xfId="1102" xr:uid="{00000000-0005-0000-0000-000076190000}"/>
    <cellStyle name="Normal 19 3 4 2" xfId="1623" xr:uid="{00000000-0005-0000-0000-000077190000}"/>
    <cellStyle name="Normal 19 3 4 2 2" xfId="2039" xr:uid="{00000000-0005-0000-0000-000078190000}"/>
    <cellStyle name="Normal 19 3 4 2 2 2" xfId="6517" xr:uid="{00000000-0005-0000-0000-000079190000}"/>
    <cellStyle name="Normal 19 3 4 2 2 2 2" xfId="9868" xr:uid="{00000000-0005-0000-0000-00007A190000}"/>
    <cellStyle name="Normal 19 3 4 2 2 2 2 2" xfId="17131" xr:uid="{00000000-0005-0000-0000-00007B190000}"/>
    <cellStyle name="Normal 19 3 4 2 2 2 2 2 2" xfId="33446" xr:uid="{00000000-0005-0000-0000-00007C190000}"/>
    <cellStyle name="Normal 19 3 4 2 2 2 2 3" xfId="26481" xr:uid="{00000000-0005-0000-0000-00007D190000}"/>
    <cellStyle name="Normal 19 3 4 2 2 2 3" xfId="13210" xr:uid="{00000000-0005-0000-0000-00007E190000}"/>
    <cellStyle name="Normal 19 3 4 2 2 2 3 2" xfId="29785" xr:uid="{00000000-0005-0000-0000-00007F190000}"/>
    <cellStyle name="Normal 19 3 4 2 2 2 4" xfId="23181" xr:uid="{00000000-0005-0000-0000-000080190000}"/>
    <cellStyle name="Normal 19 3 4 2 2 3" xfId="8247" xr:uid="{00000000-0005-0000-0000-000081190000}"/>
    <cellStyle name="Normal 19 3 4 2 2 3 2" xfId="15510" xr:uid="{00000000-0005-0000-0000-000082190000}"/>
    <cellStyle name="Normal 19 3 4 2 2 3 2 2" xfId="31825" xr:uid="{00000000-0005-0000-0000-000083190000}"/>
    <cellStyle name="Normal 19 3 4 2 2 3 3" xfId="24860" xr:uid="{00000000-0005-0000-0000-000084190000}"/>
    <cellStyle name="Normal 19 3 4 2 2 4" xfId="11562" xr:uid="{00000000-0005-0000-0000-000085190000}"/>
    <cellStyle name="Normal 19 3 4 2 2 4 2" xfId="28160" xr:uid="{00000000-0005-0000-0000-000086190000}"/>
    <cellStyle name="Normal 19 3 4 2 2 5" xfId="3643" xr:uid="{00000000-0005-0000-0000-000087190000}"/>
    <cellStyle name="Normal 19 3 4 2 2 5 2" xfId="20366" xr:uid="{00000000-0005-0000-0000-000088190000}"/>
    <cellStyle name="Normal 19 3 4 2 2 6" xfId="18770" xr:uid="{00000000-0005-0000-0000-000089190000}"/>
    <cellStyle name="Normal 19 3 4 2 3" xfId="2038" xr:uid="{00000000-0005-0000-0000-00008A190000}"/>
    <cellStyle name="Normal 19 3 4 2 3 2" xfId="9092" xr:uid="{00000000-0005-0000-0000-00008B190000}"/>
    <cellStyle name="Normal 19 3 4 2 3 2 2" xfId="16355" xr:uid="{00000000-0005-0000-0000-00008C190000}"/>
    <cellStyle name="Normal 19 3 4 2 3 2 2 2" xfId="32670" xr:uid="{00000000-0005-0000-0000-00008D190000}"/>
    <cellStyle name="Normal 19 3 4 2 3 2 3" xfId="25705" xr:uid="{00000000-0005-0000-0000-00008E190000}"/>
    <cellStyle name="Normal 19 3 4 2 3 3" xfId="12434" xr:uid="{00000000-0005-0000-0000-00008F190000}"/>
    <cellStyle name="Normal 19 3 4 2 3 3 2" xfId="29009" xr:uid="{00000000-0005-0000-0000-000090190000}"/>
    <cellStyle name="Normal 19 3 4 2 3 4" xfId="5741" xr:uid="{00000000-0005-0000-0000-000091190000}"/>
    <cellStyle name="Normal 19 3 4 2 3 4 2" xfId="22405" xr:uid="{00000000-0005-0000-0000-000092190000}"/>
    <cellStyle name="Normal 19 3 4 2 3 5" xfId="18769" xr:uid="{00000000-0005-0000-0000-000093190000}"/>
    <cellStyle name="Normal 19 3 4 2 4" xfId="7471" xr:uid="{00000000-0005-0000-0000-000094190000}"/>
    <cellStyle name="Normal 19 3 4 2 4 2" xfId="14734" xr:uid="{00000000-0005-0000-0000-000095190000}"/>
    <cellStyle name="Normal 19 3 4 2 4 2 2" xfId="31049" xr:uid="{00000000-0005-0000-0000-000096190000}"/>
    <cellStyle name="Normal 19 3 4 2 4 3" xfId="24084" xr:uid="{00000000-0005-0000-0000-000097190000}"/>
    <cellStyle name="Normal 19 3 4 2 5" xfId="10786" xr:uid="{00000000-0005-0000-0000-000098190000}"/>
    <cellStyle name="Normal 19 3 4 2 5 2" xfId="27384" xr:uid="{00000000-0005-0000-0000-000099190000}"/>
    <cellStyle name="Normal 19 3 4 2 6" xfId="3642" xr:uid="{00000000-0005-0000-0000-00009A190000}"/>
    <cellStyle name="Normal 19 3 4 2 6 2" xfId="20365" xr:uid="{00000000-0005-0000-0000-00009B190000}"/>
    <cellStyle name="Normal 19 3 4 2 7" xfId="18358" xr:uid="{00000000-0005-0000-0000-00009C190000}"/>
    <cellStyle name="Normal 19 3 4 3" xfId="2040" xr:uid="{00000000-0005-0000-0000-00009D190000}"/>
    <cellStyle name="Normal 19 3 4 3 2" xfId="6147" xr:uid="{00000000-0005-0000-0000-00009E190000}"/>
    <cellStyle name="Normal 19 3 4 3 2 2" xfId="9498" xr:uid="{00000000-0005-0000-0000-00009F190000}"/>
    <cellStyle name="Normal 19 3 4 3 2 2 2" xfId="16761" xr:uid="{00000000-0005-0000-0000-0000A0190000}"/>
    <cellStyle name="Normal 19 3 4 3 2 2 2 2" xfId="33076" xr:uid="{00000000-0005-0000-0000-0000A1190000}"/>
    <cellStyle name="Normal 19 3 4 3 2 2 3" xfId="26111" xr:uid="{00000000-0005-0000-0000-0000A2190000}"/>
    <cellStyle name="Normal 19 3 4 3 2 3" xfId="12840" xr:uid="{00000000-0005-0000-0000-0000A3190000}"/>
    <cellStyle name="Normal 19 3 4 3 2 3 2" xfId="29415" xr:uid="{00000000-0005-0000-0000-0000A4190000}"/>
    <cellStyle name="Normal 19 3 4 3 2 4" xfId="22811" xr:uid="{00000000-0005-0000-0000-0000A5190000}"/>
    <cellStyle name="Normal 19 3 4 3 3" xfId="7877" xr:uid="{00000000-0005-0000-0000-0000A6190000}"/>
    <cellStyle name="Normal 19 3 4 3 3 2" xfId="15140" xr:uid="{00000000-0005-0000-0000-0000A7190000}"/>
    <cellStyle name="Normal 19 3 4 3 3 2 2" xfId="31455" xr:uid="{00000000-0005-0000-0000-0000A8190000}"/>
    <cellStyle name="Normal 19 3 4 3 3 3" xfId="24490" xr:uid="{00000000-0005-0000-0000-0000A9190000}"/>
    <cellStyle name="Normal 19 3 4 3 4" xfId="11192" xr:uid="{00000000-0005-0000-0000-0000AA190000}"/>
    <cellStyle name="Normal 19 3 4 3 4 2" xfId="27790" xr:uid="{00000000-0005-0000-0000-0000AB190000}"/>
    <cellStyle name="Normal 19 3 4 3 5" xfId="3644" xr:uid="{00000000-0005-0000-0000-0000AC190000}"/>
    <cellStyle name="Normal 19 3 4 3 5 2" xfId="20367" xr:uid="{00000000-0005-0000-0000-0000AD190000}"/>
    <cellStyle name="Normal 19 3 4 3 6" xfId="18771" xr:uid="{00000000-0005-0000-0000-0000AE190000}"/>
    <cellStyle name="Normal 19 3 4 4" xfId="2037" xr:uid="{00000000-0005-0000-0000-0000AF190000}"/>
    <cellStyle name="Normal 19 3 4 4 2" xfId="8685" xr:uid="{00000000-0005-0000-0000-0000B0190000}"/>
    <cellStyle name="Normal 19 3 4 4 2 2" xfId="15948" xr:uid="{00000000-0005-0000-0000-0000B1190000}"/>
    <cellStyle name="Normal 19 3 4 4 2 2 2" xfId="32263" xr:uid="{00000000-0005-0000-0000-0000B2190000}"/>
    <cellStyle name="Normal 19 3 4 4 2 3" xfId="25298" xr:uid="{00000000-0005-0000-0000-0000B3190000}"/>
    <cellStyle name="Normal 19 3 4 4 3" xfId="12027" xr:uid="{00000000-0005-0000-0000-0000B4190000}"/>
    <cellStyle name="Normal 19 3 4 4 3 2" xfId="28602" xr:uid="{00000000-0005-0000-0000-0000B5190000}"/>
    <cellStyle name="Normal 19 3 4 4 4" xfId="5334" xr:uid="{00000000-0005-0000-0000-0000B6190000}"/>
    <cellStyle name="Normal 19 3 4 4 4 2" xfId="21998" xr:uid="{00000000-0005-0000-0000-0000B7190000}"/>
    <cellStyle name="Normal 19 3 4 4 5" xfId="18768" xr:uid="{00000000-0005-0000-0000-0000B8190000}"/>
    <cellStyle name="Normal 19 3 4 5" xfId="7065" xr:uid="{00000000-0005-0000-0000-0000B9190000}"/>
    <cellStyle name="Normal 19 3 4 5 2" xfId="14328" xr:uid="{00000000-0005-0000-0000-0000BA190000}"/>
    <cellStyle name="Normal 19 3 4 5 2 2" xfId="30643" xr:uid="{00000000-0005-0000-0000-0000BB190000}"/>
    <cellStyle name="Normal 19 3 4 5 3" xfId="23678" xr:uid="{00000000-0005-0000-0000-0000BC190000}"/>
    <cellStyle name="Normal 19 3 4 6" xfId="10380" xr:uid="{00000000-0005-0000-0000-0000BD190000}"/>
    <cellStyle name="Normal 19 3 4 6 2" xfId="26978" xr:uid="{00000000-0005-0000-0000-0000BE190000}"/>
    <cellStyle name="Normal 19 3 4 7" xfId="3641" xr:uid="{00000000-0005-0000-0000-0000BF190000}"/>
    <cellStyle name="Normal 19 3 4 7 2" xfId="20364" xr:uid="{00000000-0005-0000-0000-0000C0190000}"/>
    <cellStyle name="Normal 19 3 4 8" xfId="17839" xr:uid="{00000000-0005-0000-0000-0000C1190000}"/>
    <cellStyle name="Normal 19 3 5" xfId="837" xr:uid="{00000000-0005-0000-0000-0000C2190000}"/>
    <cellStyle name="Normal 19 3 5 2" xfId="1414" xr:uid="{00000000-0005-0000-0000-0000C3190000}"/>
    <cellStyle name="Normal 19 3 5 2 2" xfId="2042" xr:uid="{00000000-0005-0000-0000-0000C4190000}"/>
    <cellStyle name="Normal 19 3 5 2 2 2" xfId="9692" xr:uid="{00000000-0005-0000-0000-0000C5190000}"/>
    <cellStyle name="Normal 19 3 5 2 2 2 2" xfId="16955" xr:uid="{00000000-0005-0000-0000-0000C6190000}"/>
    <cellStyle name="Normal 19 3 5 2 2 2 2 2" xfId="33270" xr:uid="{00000000-0005-0000-0000-0000C7190000}"/>
    <cellStyle name="Normal 19 3 5 2 2 2 3" xfId="26305" xr:uid="{00000000-0005-0000-0000-0000C8190000}"/>
    <cellStyle name="Normal 19 3 5 2 2 3" xfId="13034" xr:uid="{00000000-0005-0000-0000-0000C9190000}"/>
    <cellStyle name="Normal 19 3 5 2 2 3 2" xfId="29609" xr:uid="{00000000-0005-0000-0000-0000CA190000}"/>
    <cellStyle name="Normal 19 3 5 2 2 4" xfId="6341" xr:uid="{00000000-0005-0000-0000-0000CB190000}"/>
    <cellStyle name="Normal 19 3 5 2 2 4 2" xfId="23005" xr:uid="{00000000-0005-0000-0000-0000CC190000}"/>
    <cellStyle name="Normal 19 3 5 2 2 5" xfId="18773" xr:uid="{00000000-0005-0000-0000-0000CD190000}"/>
    <cellStyle name="Normal 19 3 5 2 3" xfId="8071" xr:uid="{00000000-0005-0000-0000-0000CE190000}"/>
    <cellStyle name="Normal 19 3 5 2 3 2" xfId="15334" xr:uid="{00000000-0005-0000-0000-0000CF190000}"/>
    <cellStyle name="Normal 19 3 5 2 3 2 2" xfId="31649" xr:uid="{00000000-0005-0000-0000-0000D0190000}"/>
    <cellStyle name="Normal 19 3 5 2 3 3" xfId="24684" xr:uid="{00000000-0005-0000-0000-0000D1190000}"/>
    <cellStyle name="Normal 19 3 5 2 4" xfId="11386" xr:uid="{00000000-0005-0000-0000-0000D2190000}"/>
    <cellStyle name="Normal 19 3 5 2 4 2" xfId="27984" xr:uid="{00000000-0005-0000-0000-0000D3190000}"/>
    <cellStyle name="Normal 19 3 5 2 5" xfId="3646" xr:uid="{00000000-0005-0000-0000-0000D4190000}"/>
    <cellStyle name="Normal 19 3 5 2 5 2" xfId="20369" xr:uid="{00000000-0005-0000-0000-0000D5190000}"/>
    <cellStyle name="Normal 19 3 5 2 6" xfId="18149" xr:uid="{00000000-0005-0000-0000-0000D6190000}"/>
    <cellStyle name="Normal 19 3 5 3" xfId="2041" xr:uid="{00000000-0005-0000-0000-0000D7190000}"/>
    <cellStyle name="Normal 19 3 5 3 2" xfId="8880" xr:uid="{00000000-0005-0000-0000-0000D8190000}"/>
    <cellStyle name="Normal 19 3 5 3 2 2" xfId="16143" xr:uid="{00000000-0005-0000-0000-0000D9190000}"/>
    <cellStyle name="Normal 19 3 5 3 2 2 2" xfId="32458" xr:uid="{00000000-0005-0000-0000-0000DA190000}"/>
    <cellStyle name="Normal 19 3 5 3 2 3" xfId="25493" xr:uid="{00000000-0005-0000-0000-0000DB190000}"/>
    <cellStyle name="Normal 19 3 5 3 3" xfId="12222" xr:uid="{00000000-0005-0000-0000-0000DC190000}"/>
    <cellStyle name="Normal 19 3 5 3 3 2" xfId="28797" xr:uid="{00000000-0005-0000-0000-0000DD190000}"/>
    <cellStyle name="Normal 19 3 5 3 4" xfId="5529" xr:uid="{00000000-0005-0000-0000-0000DE190000}"/>
    <cellStyle name="Normal 19 3 5 3 4 2" xfId="22193" xr:uid="{00000000-0005-0000-0000-0000DF190000}"/>
    <cellStyle name="Normal 19 3 5 3 5" xfId="18772" xr:uid="{00000000-0005-0000-0000-0000E0190000}"/>
    <cellStyle name="Normal 19 3 5 4" xfId="7259" xr:uid="{00000000-0005-0000-0000-0000E1190000}"/>
    <cellStyle name="Normal 19 3 5 4 2" xfId="14522" xr:uid="{00000000-0005-0000-0000-0000E2190000}"/>
    <cellStyle name="Normal 19 3 5 4 2 2" xfId="30837" xr:uid="{00000000-0005-0000-0000-0000E3190000}"/>
    <cellStyle name="Normal 19 3 5 4 3" xfId="23872" xr:uid="{00000000-0005-0000-0000-0000E4190000}"/>
    <cellStyle name="Normal 19 3 5 5" xfId="10574" xr:uid="{00000000-0005-0000-0000-0000E5190000}"/>
    <cellStyle name="Normal 19 3 5 5 2" xfId="27172" xr:uid="{00000000-0005-0000-0000-0000E6190000}"/>
    <cellStyle name="Normal 19 3 5 6" xfId="3645" xr:uid="{00000000-0005-0000-0000-0000E7190000}"/>
    <cellStyle name="Normal 19 3 5 6 2" xfId="20368" xr:uid="{00000000-0005-0000-0000-0000E8190000}"/>
    <cellStyle name="Normal 19 3 5 7" xfId="17630" xr:uid="{00000000-0005-0000-0000-0000E9190000}"/>
    <cellStyle name="Normal 19 3 6" xfId="789" xr:uid="{00000000-0005-0000-0000-0000EA190000}"/>
    <cellStyle name="Normal 19 3 6 2" xfId="2043" xr:uid="{00000000-0005-0000-0000-0000EB190000}"/>
    <cellStyle name="Normal 19 3 6 2 2" xfId="9286" xr:uid="{00000000-0005-0000-0000-0000EC190000}"/>
    <cellStyle name="Normal 19 3 6 2 2 2" xfId="16549" xr:uid="{00000000-0005-0000-0000-0000ED190000}"/>
    <cellStyle name="Normal 19 3 6 2 2 2 2" xfId="32864" xr:uid="{00000000-0005-0000-0000-0000EE190000}"/>
    <cellStyle name="Normal 19 3 6 2 2 3" xfId="25899" xr:uid="{00000000-0005-0000-0000-0000EF190000}"/>
    <cellStyle name="Normal 19 3 6 2 3" xfId="12628" xr:uid="{00000000-0005-0000-0000-0000F0190000}"/>
    <cellStyle name="Normal 19 3 6 2 3 2" xfId="29203" xr:uid="{00000000-0005-0000-0000-0000F1190000}"/>
    <cellStyle name="Normal 19 3 6 2 4" xfId="5935" xr:uid="{00000000-0005-0000-0000-0000F2190000}"/>
    <cellStyle name="Normal 19 3 6 2 4 2" xfId="22599" xr:uid="{00000000-0005-0000-0000-0000F3190000}"/>
    <cellStyle name="Normal 19 3 6 2 5" xfId="18774" xr:uid="{00000000-0005-0000-0000-0000F4190000}"/>
    <cellStyle name="Normal 19 3 6 3" xfId="7665" xr:uid="{00000000-0005-0000-0000-0000F5190000}"/>
    <cellStyle name="Normal 19 3 6 3 2" xfId="14928" xr:uid="{00000000-0005-0000-0000-0000F6190000}"/>
    <cellStyle name="Normal 19 3 6 3 2 2" xfId="31243" xr:uid="{00000000-0005-0000-0000-0000F7190000}"/>
    <cellStyle name="Normal 19 3 6 3 3" xfId="24278" xr:uid="{00000000-0005-0000-0000-0000F8190000}"/>
    <cellStyle name="Normal 19 3 6 4" xfId="10980" xr:uid="{00000000-0005-0000-0000-0000F9190000}"/>
    <cellStyle name="Normal 19 3 6 4 2" xfId="27578" xr:uid="{00000000-0005-0000-0000-0000FA190000}"/>
    <cellStyle name="Normal 19 3 6 5" xfId="3647" xr:uid="{00000000-0005-0000-0000-0000FB190000}"/>
    <cellStyle name="Normal 19 3 6 5 2" xfId="20370" xr:uid="{00000000-0005-0000-0000-0000FC190000}"/>
    <cellStyle name="Normal 19 3 6 6" xfId="17602" xr:uid="{00000000-0005-0000-0000-0000FD190000}"/>
    <cellStyle name="Normal 19 3 7" xfId="1386" xr:uid="{00000000-0005-0000-0000-0000FE190000}"/>
    <cellStyle name="Normal 19 3 7 2" xfId="8481" xr:uid="{00000000-0005-0000-0000-0000FF190000}"/>
    <cellStyle name="Normal 19 3 7 2 2" xfId="15744" xr:uid="{00000000-0005-0000-0000-0000001A0000}"/>
    <cellStyle name="Normal 19 3 7 2 2 2" xfId="32059" xr:uid="{00000000-0005-0000-0000-0000011A0000}"/>
    <cellStyle name="Normal 19 3 7 2 3" xfId="25094" xr:uid="{00000000-0005-0000-0000-0000021A0000}"/>
    <cellStyle name="Normal 19 3 7 3" xfId="11822" xr:uid="{00000000-0005-0000-0000-0000031A0000}"/>
    <cellStyle name="Normal 19 3 7 3 2" xfId="28398" xr:uid="{00000000-0005-0000-0000-0000041A0000}"/>
    <cellStyle name="Normal 19 3 7 4" xfId="5128" xr:uid="{00000000-0005-0000-0000-0000051A0000}"/>
    <cellStyle name="Normal 19 3 7 4 2" xfId="21794" xr:uid="{00000000-0005-0000-0000-0000061A0000}"/>
    <cellStyle name="Normal 19 3 7 5" xfId="18121" xr:uid="{00000000-0005-0000-0000-0000071A0000}"/>
    <cellStyle name="Normal 19 3 8" xfId="2012" xr:uid="{00000000-0005-0000-0000-0000081A0000}"/>
    <cellStyle name="Normal 19 3 8 2" xfId="14125" xr:uid="{00000000-0005-0000-0000-0000091A0000}"/>
    <cellStyle name="Normal 19 3 8 2 2" xfId="30440" xr:uid="{00000000-0005-0000-0000-00000A1A0000}"/>
    <cellStyle name="Normal 19 3 8 3" xfId="6862" xr:uid="{00000000-0005-0000-0000-00000B1A0000}"/>
    <cellStyle name="Normal 19 3 8 3 2" xfId="23475" xr:uid="{00000000-0005-0000-0000-00000C1A0000}"/>
    <cellStyle name="Normal 19 3 8 4" xfId="18743" xr:uid="{00000000-0005-0000-0000-00000D1A0000}"/>
    <cellStyle name="Normal 19 3 9" xfId="10175" xr:uid="{00000000-0005-0000-0000-00000E1A0000}"/>
    <cellStyle name="Normal 19 3 9 2" xfId="26775" xr:uid="{00000000-0005-0000-0000-00000F1A0000}"/>
    <cellStyle name="Normal 19 4" xfId="645" xr:uid="{00000000-0005-0000-0000-0000101A0000}"/>
    <cellStyle name="Normal 19 4 10" xfId="17462" xr:uid="{00000000-0005-0000-0000-0000111A0000}"/>
    <cellStyle name="Normal 19 4 2" xfId="1000" xr:uid="{00000000-0005-0000-0000-0000121A0000}"/>
    <cellStyle name="Normal 19 4 2 2" xfId="1107" xr:uid="{00000000-0005-0000-0000-0000131A0000}"/>
    <cellStyle name="Normal 19 4 2 2 2" xfId="1628" xr:uid="{00000000-0005-0000-0000-0000141A0000}"/>
    <cellStyle name="Normal 19 4 2 2 2 2" xfId="2048" xr:uid="{00000000-0005-0000-0000-0000151A0000}"/>
    <cellStyle name="Normal 19 4 2 2 2 2 2" xfId="6522" xr:uid="{00000000-0005-0000-0000-0000161A0000}"/>
    <cellStyle name="Normal 19 4 2 2 2 2 2 2" xfId="9873" xr:uid="{00000000-0005-0000-0000-0000171A0000}"/>
    <cellStyle name="Normal 19 4 2 2 2 2 2 2 2" xfId="17136" xr:uid="{00000000-0005-0000-0000-0000181A0000}"/>
    <cellStyle name="Normal 19 4 2 2 2 2 2 2 2 2" xfId="33451" xr:uid="{00000000-0005-0000-0000-0000191A0000}"/>
    <cellStyle name="Normal 19 4 2 2 2 2 2 2 3" xfId="26486" xr:uid="{00000000-0005-0000-0000-00001A1A0000}"/>
    <cellStyle name="Normal 19 4 2 2 2 2 2 3" xfId="13215" xr:uid="{00000000-0005-0000-0000-00001B1A0000}"/>
    <cellStyle name="Normal 19 4 2 2 2 2 2 3 2" xfId="29790" xr:uid="{00000000-0005-0000-0000-00001C1A0000}"/>
    <cellStyle name="Normal 19 4 2 2 2 2 2 4" xfId="23186" xr:uid="{00000000-0005-0000-0000-00001D1A0000}"/>
    <cellStyle name="Normal 19 4 2 2 2 2 3" xfId="8252" xr:uid="{00000000-0005-0000-0000-00001E1A0000}"/>
    <cellStyle name="Normal 19 4 2 2 2 2 3 2" xfId="15515" xr:uid="{00000000-0005-0000-0000-00001F1A0000}"/>
    <cellStyle name="Normal 19 4 2 2 2 2 3 2 2" xfId="31830" xr:uid="{00000000-0005-0000-0000-0000201A0000}"/>
    <cellStyle name="Normal 19 4 2 2 2 2 3 3" xfId="24865" xr:uid="{00000000-0005-0000-0000-0000211A0000}"/>
    <cellStyle name="Normal 19 4 2 2 2 2 4" xfId="11567" xr:uid="{00000000-0005-0000-0000-0000221A0000}"/>
    <cellStyle name="Normal 19 4 2 2 2 2 4 2" xfId="28165" xr:uid="{00000000-0005-0000-0000-0000231A0000}"/>
    <cellStyle name="Normal 19 4 2 2 2 2 5" xfId="3652" xr:uid="{00000000-0005-0000-0000-0000241A0000}"/>
    <cellStyle name="Normal 19 4 2 2 2 2 5 2" xfId="20375" xr:uid="{00000000-0005-0000-0000-0000251A0000}"/>
    <cellStyle name="Normal 19 4 2 2 2 2 6" xfId="18779" xr:uid="{00000000-0005-0000-0000-0000261A0000}"/>
    <cellStyle name="Normal 19 4 2 2 2 3" xfId="2047" xr:uid="{00000000-0005-0000-0000-0000271A0000}"/>
    <cellStyle name="Normal 19 4 2 2 2 3 2" xfId="9097" xr:uid="{00000000-0005-0000-0000-0000281A0000}"/>
    <cellStyle name="Normal 19 4 2 2 2 3 2 2" xfId="16360" xr:uid="{00000000-0005-0000-0000-0000291A0000}"/>
    <cellStyle name="Normal 19 4 2 2 2 3 2 2 2" xfId="32675" xr:uid="{00000000-0005-0000-0000-00002A1A0000}"/>
    <cellStyle name="Normal 19 4 2 2 2 3 2 3" xfId="25710" xr:uid="{00000000-0005-0000-0000-00002B1A0000}"/>
    <cellStyle name="Normal 19 4 2 2 2 3 3" xfId="12439" xr:uid="{00000000-0005-0000-0000-00002C1A0000}"/>
    <cellStyle name="Normal 19 4 2 2 2 3 3 2" xfId="29014" xr:uid="{00000000-0005-0000-0000-00002D1A0000}"/>
    <cellStyle name="Normal 19 4 2 2 2 3 4" xfId="5746" xr:uid="{00000000-0005-0000-0000-00002E1A0000}"/>
    <cellStyle name="Normal 19 4 2 2 2 3 4 2" xfId="22410" xr:uid="{00000000-0005-0000-0000-00002F1A0000}"/>
    <cellStyle name="Normal 19 4 2 2 2 3 5" xfId="18778" xr:uid="{00000000-0005-0000-0000-0000301A0000}"/>
    <cellStyle name="Normal 19 4 2 2 2 4" xfId="7476" xr:uid="{00000000-0005-0000-0000-0000311A0000}"/>
    <cellStyle name="Normal 19 4 2 2 2 4 2" xfId="14739" xr:uid="{00000000-0005-0000-0000-0000321A0000}"/>
    <cellStyle name="Normal 19 4 2 2 2 4 2 2" xfId="31054" xr:uid="{00000000-0005-0000-0000-0000331A0000}"/>
    <cellStyle name="Normal 19 4 2 2 2 4 3" xfId="24089" xr:uid="{00000000-0005-0000-0000-0000341A0000}"/>
    <cellStyle name="Normal 19 4 2 2 2 5" xfId="10791" xr:uid="{00000000-0005-0000-0000-0000351A0000}"/>
    <cellStyle name="Normal 19 4 2 2 2 5 2" xfId="27389" xr:uid="{00000000-0005-0000-0000-0000361A0000}"/>
    <cellStyle name="Normal 19 4 2 2 2 6" xfId="3651" xr:uid="{00000000-0005-0000-0000-0000371A0000}"/>
    <cellStyle name="Normal 19 4 2 2 2 6 2" xfId="20374" xr:uid="{00000000-0005-0000-0000-0000381A0000}"/>
    <cellStyle name="Normal 19 4 2 2 2 7" xfId="18363" xr:uid="{00000000-0005-0000-0000-0000391A0000}"/>
    <cellStyle name="Normal 19 4 2 2 3" xfId="2049" xr:uid="{00000000-0005-0000-0000-00003A1A0000}"/>
    <cellStyle name="Normal 19 4 2 2 3 2" xfId="6152" xr:uid="{00000000-0005-0000-0000-00003B1A0000}"/>
    <cellStyle name="Normal 19 4 2 2 3 2 2" xfId="9503" xr:uid="{00000000-0005-0000-0000-00003C1A0000}"/>
    <cellStyle name="Normal 19 4 2 2 3 2 2 2" xfId="16766" xr:uid="{00000000-0005-0000-0000-00003D1A0000}"/>
    <cellStyle name="Normal 19 4 2 2 3 2 2 2 2" xfId="33081" xr:uid="{00000000-0005-0000-0000-00003E1A0000}"/>
    <cellStyle name="Normal 19 4 2 2 3 2 2 3" xfId="26116" xr:uid="{00000000-0005-0000-0000-00003F1A0000}"/>
    <cellStyle name="Normal 19 4 2 2 3 2 3" xfId="12845" xr:uid="{00000000-0005-0000-0000-0000401A0000}"/>
    <cellStyle name="Normal 19 4 2 2 3 2 3 2" xfId="29420" xr:uid="{00000000-0005-0000-0000-0000411A0000}"/>
    <cellStyle name="Normal 19 4 2 2 3 2 4" xfId="22816" xr:uid="{00000000-0005-0000-0000-0000421A0000}"/>
    <cellStyle name="Normal 19 4 2 2 3 3" xfId="7882" xr:uid="{00000000-0005-0000-0000-0000431A0000}"/>
    <cellStyle name="Normal 19 4 2 2 3 3 2" xfId="15145" xr:uid="{00000000-0005-0000-0000-0000441A0000}"/>
    <cellStyle name="Normal 19 4 2 2 3 3 2 2" xfId="31460" xr:uid="{00000000-0005-0000-0000-0000451A0000}"/>
    <cellStyle name="Normal 19 4 2 2 3 3 3" xfId="24495" xr:uid="{00000000-0005-0000-0000-0000461A0000}"/>
    <cellStyle name="Normal 19 4 2 2 3 4" xfId="11197" xr:uid="{00000000-0005-0000-0000-0000471A0000}"/>
    <cellStyle name="Normal 19 4 2 2 3 4 2" xfId="27795" xr:uid="{00000000-0005-0000-0000-0000481A0000}"/>
    <cellStyle name="Normal 19 4 2 2 3 5" xfId="3653" xr:uid="{00000000-0005-0000-0000-0000491A0000}"/>
    <cellStyle name="Normal 19 4 2 2 3 5 2" xfId="20376" xr:uid="{00000000-0005-0000-0000-00004A1A0000}"/>
    <cellStyle name="Normal 19 4 2 2 3 6" xfId="18780" xr:uid="{00000000-0005-0000-0000-00004B1A0000}"/>
    <cellStyle name="Normal 19 4 2 2 4" xfId="2046" xr:uid="{00000000-0005-0000-0000-00004C1A0000}"/>
    <cellStyle name="Normal 19 4 2 2 4 2" xfId="8690" xr:uid="{00000000-0005-0000-0000-00004D1A0000}"/>
    <cellStyle name="Normal 19 4 2 2 4 2 2" xfId="15953" xr:uid="{00000000-0005-0000-0000-00004E1A0000}"/>
    <cellStyle name="Normal 19 4 2 2 4 2 2 2" xfId="32268" xr:uid="{00000000-0005-0000-0000-00004F1A0000}"/>
    <cellStyle name="Normal 19 4 2 2 4 2 3" xfId="25303" xr:uid="{00000000-0005-0000-0000-0000501A0000}"/>
    <cellStyle name="Normal 19 4 2 2 4 3" xfId="12032" xr:uid="{00000000-0005-0000-0000-0000511A0000}"/>
    <cellStyle name="Normal 19 4 2 2 4 3 2" xfId="28607" xr:uid="{00000000-0005-0000-0000-0000521A0000}"/>
    <cellStyle name="Normal 19 4 2 2 4 4" xfId="5339" xr:uid="{00000000-0005-0000-0000-0000531A0000}"/>
    <cellStyle name="Normal 19 4 2 2 4 4 2" xfId="22003" xr:uid="{00000000-0005-0000-0000-0000541A0000}"/>
    <cellStyle name="Normal 19 4 2 2 4 5" xfId="18777" xr:uid="{00000000-0005-0000-0000-0000551A0000}"/>
    <cellStyle name="Normal 19 4 2 2 5" xfId="7070" xr:uid="{00000000-0005-0000-0000-0000561A0000}"/>
    <cellStyle name="Normal 19 4 2 2 5 2" xfId="14333" xr:uid="{00000000-0005-0000-0000-0000571A0000}"/>
    <cellStyle name="Normal 19 4 2 2 5 2 2" xfId="30648" xr:uid="{00000000-0005-0000-0000-0000581A0000}"/>
    <cellStyle name="Normal 19 4 2 2 5 3" xfId="23683" xr:uid="{00000000-0005-0000-0000-0000591A0000}"/>
    <cellStyle name="Normal 19 4 2 2 6" xfId="10385" xr:uid="{00000000-0005-0000-0000-00005A1A0000}"/>
    <cellStyle name="Normal 19 4 2 2 6 2" xfId="26983" xr:uid="{00000000-0005-0000-0000-00005B1A0000}"/>
    <cellStyle name="Normal 19 4 2 2 7" xfId="3650" xr:uid="{00000000-0005-0000-0000-00005C1A0000}"/>
    <cellStyle name="Normal 19 4 2 2 7 2" xfId="20373" xr:uid="{00000000-0005-0000-0000-00005D1A0000}"/>
    <cellStyle name="Normal 19 4 2 2 8" xfId="17844" xr:uid="{00000000-0005-0000-0000-00005E1A0000}"/>
    <cellStyle name="Normal 19 4 2 3" xfId="1561" xr:uid="{00000000-0005-0000-0000-00005F1A0000}"/>
    <cellStyle name="Normal 19 4 2 3 2" xfId="2051" xr:uid="{00000000-0005-0000-0000-0000601A0000}"/>
    <cellStyle name="Normal 19 4 2 3 2 2" xfId="6346" xr:uid="{00000000-0005-0000-0000-0000611A0000}"/>
    <cellStyle name="Normal 19 4 2 3 2 2 2" xfId="9697" xr:uid="{00000000-0005-0000-0000-0000621A0000}"/>
    <cellStyle name="Normal 19 4 2 3 2 2 2 2" xfId="16960" xr:uid="{00000000-0005-0000-0000-0000631A0000}"/>
    <cellStyle name="Normal 19 4 2 3 2 2 2 2 2" xfId="33275" xr:uid="{00000000-0005-0000-0000-0000641A0000}"/>
    <cellStyle name="Normal 19 4 2 3 2 2 2 3" xfId="26310" xr:uid="{00000000-0005-0000-0000-0000651A0000}"/>
    <cellStyle name="Normal 19 4 2 3 2 2 3" xfId="13039" xr:uid="{00000000-0005-0000-0000-0000661A0000}"/>
    <cellStyle name="Normal 19 4 2 3 2 2 3 2" xfId="29614" xr:uid="{00000000-0005-0000-0000-0000671A0000}"/>
    <cellStyle name="Normal 19 4 2 3 2 2 4" xfId="23010" xr:uid="{00000000-0005-0000-0000-0000681A0000}"/>
    <cellStyle name="Normal 19 4 2 3 2 3" xfId="8076" xr:uid="{00000000-0005-0000-0000-0000691A0000}"/>
    <cellStyle name="Normal 19 4 2 3 2 3 2" xfId="15339" xr:uid="{00000000-0005-0000-0000-00006A1A0000}"/>
    <cellStyle name="Normal 19 4 2 3 2 3 2 2" xfId="31654" xr:uid="{00000000-0005-0000-0000-00006B1A0000}"/>
    <cellStyle name="Normal 19 4 2 3 2 3 3" xfId="24689" xr:uid="{00000000-0005-0000-0000-00006C1A0000}"/>
    <cellStyle name="Normal 19 4 2 3 2 4" xfId="11391" xr:uid="{00000000-0005-0000-0000-00006D1A0000}"/>
    <cellStyle name="Normal 19 4 2 3 2 4 2" xfId="27989" xr:uid="{00000000-0005-0000-0000-00006E1A0000}"/>
    <cellStyle name="Normal 19 4 2 3 2 5" xfId="3655" xr:uid="{00000000-0005-0000-0000-00006F1A0000}"/>
    <cellStyle name="Normal 19 4 2 3 2 5 2" xfId="20378" xr:uid="{00000000-0005-0000-0000-0000701A0000}"/>
    <cellStyle name="Normal 19 4 2 3 2 6" xfId="18782" xr:uid="{00000000-0005-0000-0000-0000711A0000}"/>
    <cellStyle name="Normal 19 4 2 3 3" xfId="2050" xr:uid="{00000000-0005-0000-0000-0000721A0000}"/>
    <cellStyle name="Normal 19 4 2 3 3 2" xfId="8885" xr:uid="{00000000-0005-0000-0000-0000731A0000}"/>
    <cellStyle name="Normal 19 4 2 3 3 2 2" xfId="16148" xr:uid="{00000000-0005-0000-0000-0000741A0000}"/>
    <cellStyle name="Normal 19 4 2 3 3 2 2 2" xfId="32463" xr:uid="{00000000-0005-0000-0000-0000751A0000}"/>
    <cellStyle name="Normal 19 4 2 3 3 2 3" xfId="25498" xr:uid="{00000000-0005-0000-0000-0000761A0000}"/>
    <cellStyle name="Normal 19 4 2 3 3 3" xfId="12227" xr:uid="{00000000-0005-0000-0000-0000771A0000}"/>
    <cellStyle name="Normal 19 4 2 3 3 3 2" xfId="28802" xr:uid="{00000000-0005-0000-0000-0000781A0000}"/>
    <cellStyle name="Normal 19 4 2 3 3 4" xfId="5534" xr:uid="{00000000-0005-0000-0000-0000791A0000}"/>
    <cellStyle name="Normal 19 4 2 3 3 4 2" xfId="22198" xr:uid="{00000000-0005-0000-0000-00007A1A0000}"/>
    <cellStyle name="Normal 19 4 2 3 3 5" xfId="18781" xr:uid="{00000000-0005-0000-0000-00007B1A0000}"/>
    <cellStyle name="Normal 19 4 2 3 4" xfId="7264" xr:uid="{00000000-0005-0000-0000-00007C1A0000}"/>
    <cellStyle name="Normal 19 4 2 3 4 2" xfId="14527" xr:uid="{00000000-0005-0000-0000-00007D1A0000}"/>
    <cellStyle name="Normal 19 4 2 3 4 2 2" xfId="30842" xr:uid="{00000000-0005-0000-0000-00007E1A0000}"/>
    <cellStyle name="Normal 19 4 2 3 4 3" xfId="23877" xr:uid="{00000000-0005-0000-0000-00007F1A0000}"/>
    <cellStyle name="Normal 19 4 2 3 5" xfId="10579" xr:uid="{00000000-0005-0000-0000-0000801A0000}"/>
    <cellStyle name="Normal 19 4 2 3 5 2" xfId="27177" xr:uid="{00000000-0005-0000-0000-0000811A0000}"/>
    <cellStyle name="Normal 19 4 2 3 6" xfId="3654" xr:uid="{00000000-0005-0000-0000-0000821A0000}"/>
    <cellStyle name="Normal 19 4 2 3 6 2" xfId="20377" xr:uid="{00000000-0005-0000-0000-0000831A0000}"/>
    <cellStyle name="Normal 19 4 2 3 7" xfId="18296" xr:uid="{00000000-0005-0000-0000-0000841A0000}"/>
    <cellStyle name="Normal 19 4 2 4" xfId="2052" xr:uid="{00000000-0005-0000-0000-0000851A0000}"/>
    <cellStyle name="Normal 19 4 2 4 2" xfId="5940" xr:uid="{00000000-0005-0000-0000-0000861A0000}"/>
    <cellStyle name="Normal 19 4 2 4 2 2" xfId="9291" xr:uid="{00000000-0005-0000-0000-0000871A0000}"/>
    <cellStyle name="Normal 19 4 2 4 2 2 2" xfId="16554" xr:uid="{00000000-0005-0000-0000-0000881A0000}"/>
    <cellStyle name="Normal 19 4 2 4 2 2 2 2" xfId="32869" xr:uid="{00000000-0005-0000-0000-0000891A0000}"/>
    <cellStyle name="Normal 19 4 2 4 2 2 3" xfId="25904" xr:uid="{00000000-0005-0000-0000-00008A1A0000}"/>
    <cellStyle name="Normal 19 4 2 4 2 3" xfId="12633" xr:uid="{00000000-0005-0000-0000-00008B1A0000}"/>
    <cellStyle name="Normal 19 4 2 4 2 3 2" xfId="29208" xr:uid="{00000000-0005-0000-0000-00008C1A0000}"/>
    <cellStyle name="Normal 19 4 2 4 2 4" xfId="22604" xr:uid="{00000000-0005-0000-0000-00008D1A0000}"/>
    <cellStyle name="Normal 19 4 2 4 3" xfId="7670" xr:uid="{00000000-0005-0000-0000-00008E1A0000}"/>
    <cellStyle name="Normal 19 4 2 4 3 2" xfId="14933" xr:uid="{00000000-0005-0000-0000-00008F1A0000}"/>
    <cellStyle name="Normal 19 4 2 4 3 2 2" xfId="31248" xr:uid="{00000000-0005-0000-0000-0000901A0000}"/>
    <cellStyle name="Normal 19 4 2 4 3 3" xfId="24283" xr:uid="{00000000-0005-0000-0000-0000911A0000}"/>
    <cellStyle name="Normal 19 4 2 4 4" xfId="10985" xr:uid="{00000000-0005-0000-0000-0000921A0000}"/>
    <cellStyle name="Normal 19 4 2 4 4 2" xfId="27583" xr:uid="{00000000-0005-0000-0000-0000931A0000}"/>
    <cellStyle name="Normal 19 4 2 4 5" xfId="3656" xr:uid="{00000000-0005-0000-0000-0000941A0000}"/>
    <cellStyle name="Normal 19 4 2 4 5 2" xfId="20379" xr:uid="{00000000-0005-0000-0000-0000951A0000}"/>
    <cellStyle name="Normal 19 4 2 4 6" xfId="18783" xr:uid="{00000000-0005-0000-0000-0000961A0000}"/>
    <cellStyle name="Normal 19 4 2 5" xfId="2045" xr:uid="{00000000-0005-0000-0000-0000971A0000}"/>
    <cellStyle name="Normal 19 4 2 5 2" xfId="8622" xr:uid="{00000000-0005-0000-0000-0000981A0000}"/>
    <cellStyle name="Normal 19 4 2 5 2 2" xfId="15885" xr:uid="{00000000-0005-0000-0000-0000991A0000}"/>
    <cellStyle name="Normal 19 4 2 5 2 2 2" xfId="32200" xr:uid="{00000000-0005-0000-0000-00009A1A0000}"/>
    <cellStyle name="Normal 19 4 2 5 2 3" xfId="25235" xr:uid="{00000000-0005-0000-0000-00009B1A0000}"/>
    <cellStyle name="Normal 19 4 2 5 3" xfId="11964" xr:uid="{00000000-0005-0000-0000-00009C1A0000}"/>
    <cellStyle name="Normal 19 4 2 5 3 2" xfId="28539" xr:uid="{00000000-0005-0000-0000-00009D1A0000}"/>
    <cellStyle name="Normal 19 4 2 5 4" xfId="5271" xr:uid="{00000000-0005-0000-0000-00009E1A0000}"/>
    <cellStyle name="Normal 19 4 2 5 4 2" xfId="21935" xr:uid="{00000000-0005-0000-0000-00009F1A0000}"/>
    <cellStyle name="Normal 19 4 2 5 5" xfId="18776" xr:uid="{00000000-0005-0000-0000-0000A01A0000}"/>
    <cellStyle name="Normal 19 4 2 6" xfId="7003" xr:uid="{00000000-0005-0000-0000-0000A11A0000}"/>
    <cellStyle name="Normal 19 4 2 6 2" xfId="14266" xr:uid="{00000000-0005-0000-0000-0000A21A0000}"/>
    <cellStyle name="Normal 19 4 2 6 2 2" xfId="30581" xr:uid="{00000000-0005-0000-0000-0000A31A0000}"/>
    <cellStyle name="Normal 19 4 2 6 3" xfId="23616" xr:uid="{00000000-0005-0000-0000-0000A41A0000}"/>
    <cellStyle name="Normal 19 4 2 7" xfId="10317" xr:uid="{00000000-0005-0000-0000-0000A51A0000}"/>
    <cellStyle name="Normal 19 4 2 7 2" xfId="26916" xr:uid="{00000000-0005-0000-0000-0000A61A0000}"/>
    <cellStyle name="Normal 19 4 2 8" xfId="3649" xr:uid="{00000000-0005-0000-0000-0000A71A0000}"/>
    <cellStyle name="Normal 19 4 2 8 2" xfId="20372" xr:uid="{00000000-0005-0000-0000-0000A81A0000}"/>
    <cellStyle name="Normal 19 4 2 9" xfId="17777" xr:uid="{00000000-0005-0000-0000-0000A91A0000}"/>
    <cellStyle name="Normal 19 4 3" xfId="1106" xr:uid="{00000000-0005-0000-0000-0000AA1A0000}"/>
    <cellStyle name="Normal 19 4 3 2" xfId="1627" xr:uid="{00000000-0005-0000-0000-0000AB1A0000}"/>
    <cellStyle name="Normal 19 4 3 2 2" xfId="2055" xr:uid="{00000000-0005-0000-0000-0000AC1A0000}"/>
    <cellStyle name="Normal 19 4 3 2 2 2" xfId="6521" xr:uid="{00000000-0005-0000-0000-0000AD1A0000}"/>
    <cellStyle name="Normal 19 4 3 2 2 2 2" xfId="9872" xr:uid="{00000000-0005-0000-0000-0000AE1A0000}"/>
    <cellStyle name="Normal 19 4 3 2 2 2 2 2" xfId="17135" xr:uid="{00000000-0005-0000-0000-0000AF1A0000}"/>
    <cellStyle name="Normal 19 4 3 2 2 2 2 2 2" xfId="33450" xr:uid="{00000000-0005-0000-0000-0000B01A0000}"/>
    <cellStyle name="Normal 19 4 3 2 2 2 2 3" xfId="26485" xr:uid="{00000000-0005-0000-0000-0000B11A0000}"/>
    <cellStyle name="Normal 19 4 3 2 2 2 3" xfId="13214" xr:uid="{00000000-0005-0000-0000-0000B21A0000}"/>
    <cellStyle name="Normal 19 4 3 2 2 2 3 2" xfId="29789" xr:uid="{00000000-0005-0000-0000-0000B31A0000}"/>
    <cellStyle name="Normal 19 4 3 2 2 2 4" xfId="23185" xr:uid="{00000000-0005-0000-0000-0000B41A0000}"/>
    <cellStyle name="Normal 19 4 3 2 2 3" xfId="8251" xr:uid="{00000000-0005-0000-0000-0000B51A0000}"/>
    <cellStyle name="Normal 19 4 3 2 2 3 2" xfId="15514" xr:uid="{00000000-0005-0000-0000-0000B61A0000}"/>
    <cellStyle name="Normal 19 4 3 2 2 3 2 2" xfId="31829" xr:uid="{00000000-0005-0000-0000-0000B71A0000}"/>
    <cellStyle name="Normal 19 4 3 2 2 3 3" xfId="24864" xr:uid="{00000000-0005-0000-0000-0000B81A0000}"/>
    <cellStyle name="Normal 19 4 3 2 2 4" xfId="11566" xr:uid="{00000000-0005-0000-0000-0000B91A0000}"/>
    <cellStyle name="Normal 19 4 3 2 2 4 2" xfId="28164" xr:uid="{00000000-0005-0000-0000-0000BA1A0000}"/>
    <cellStyle name="Normal 19 4 3 2 2 5" xfId="3659" xr:uid="{00000000-0005-0000-0000-0000BB1A0000}"/>
    <cellStyle name="Normal 19 4 3 2 2 5 2" xfId="20382" xr:uid="{00000000-0005-0000-0000-0000BC1A0000}"/>
    <cellStyle name="Normal 19 4 3 2 2 6" xfId="18786" xr:uid="{00000000-0005-0000-0000-0000BD1A0000}"/>
    <cellStyle name="Normal 19 4 3 2 3" xfId="2054" xr:uid="{00000000-0005-0000-0000-0000BE1A0000}"/>
    <cellStyle name="Normal 19 4 3 2 3 2" xfId="9096" xr:uid="{00000000-0005-0000-0000-0000BF1A0000}"/>
    <cellStyle name="Normal 19 4 3 2 3 2 2" xfId="16359" xr:uid="{00000000-0005-0000-0000-0000C01A0000}"/>
    <cellStyle name="Normal 19 4 3 2 3 2 2 2" xfId="32674" xr:uid="{00000000-0005-0000-0000-0000C11A0000}"/>
    <cellStyle name="Normal 19 4 3 2 3 2 3" xfId="25709" xr:uid="{00000000-0005-0000-0000-0000C21A0000}"/>
    <cellStyle name="Normal 19 4 3 2 3 3" xfId="12438" xr:uid="{00000000-0005-0000-0000-0000C31A0000}"/>
    <cellStyle name="Normal 19 4 3 2 3 3 2" xfId="29013" xr:uid="{00000000-0005-0000-0000-0000C41A0000}"/>
    <cellStyle name="Normal 19 4 3 2 3 4" xfId="5745" xr:uid="{00000000-0005-0000-0000-0000C51A0000}"/>
    <cellStyle name="Normal 19 4 3 2 3 4 2" xfId="22409" xr:uid="{00000000-0005-0000-0000-0000C61A0000}"/>
    <cellStyle name="Normal 19 4 3 2 3 5" xfId="18785" xr:uid="{00000000-0005-0000-0000-0000C71A0000}"/>
    <cellStyle name="Normal 19 4 3 2 4" xfId="7475" xr:uid="{00000000-0005-0000-0000-0000C81A0000}"/>
    <cellStyle name="Normal 19 4 3 2 4 2" xfId="14738" xr:uid="{00000000-0005-0000-0000-0000C91A0000}"/>
    <cellStyle name="Normal 19 4 3 2 4 2 2" xfId="31053" xr:uid="{00000000-0005-0000-0000-0000CA1A0000}"/>
    <cellStyle name="Normal 19 4 3 2 4 3" xfId="24088" xr:uid="{00000000-0005-0000-0000-0000CB1A0000}"/>
    <cellStyle name="Normal 19 4 3 2 5" xfId="10790" xr:uid="{00000000-0005-0000-0000-0000CC1A0000}"/>
    <cellStyle name="Normal 19 4 3 2 5 2" xfId="27388" xr:uid="{00000000-0005-0000-0000-0000CD1A0000}"/>
    <cellStyle name="Normal 19 4 3 2 6" xfId="3658" xr:uid="{00000000-0005-0000-0000-0000CE1A0000}"/>
    <cellStyle name="Normal 19 4 3 2 6 2" xfId="20381" xr:uid="{00000000-0005-0000-0000-0000CF1A0000}"/>
    <cellStyle name="Normal 19 4 3 2 7" xfId="18362" xr:uid="{00000000-0005-0000-0000-0000D01A0000}"/>
    <cellStyle name="Normal 19 4 3 3" xfId="2056" xr:uid="{00000000-0005-0000-0000-0000D11A0000}"/>
    <cellStyle name="Normal 19 4 3 3 2" xfId="6151" xr:uid="{00000000-0005-0000-0000-0000D21A0000}"/>
    <cellStyle name="Normal 19 4 3 3 2 2" xfId="9502" xr:uid="{00000000-0005-0000-0000-0000D31A0000}"/>
    <cellStyle name="Normal 19 4 3 3 2 2 2" xfId="16765" xr:uid="{00000000-0005-0000-0000-0000D41A0000}"/>
    <cellStyle name="Normal 19 4 3 3 2 2 2 2" xfId="33080" xr:uid="{00000000-0005-0000-0000-0000D51A0000}"/>
    <cellStyle name="Normal 19 4 3 3 2 2 3" xfId="26115" xr:uid="{00000000-0005-0000-0000-0000D61A0000}"/>
    <cellStyle name="Normal 19 4 3 3 2 3" xfId="12844" xr:uid="{00000000-0005-0000-0000-0000D71A0000}"/>
    <cellStyle name="Normal 19 4 3 3 2 3 2" xfId="29419" xr:uid="{00000000-0005-0000-0000-0000D81A0000}"/>
    <cellStyle name="Normal 19 4 3 3 2 4" xfId="22815" xr:uid="{00000000-0005-0000-0000-0000D91A0000}"/>
    <cellStyle name="Normal 19 4 3 3 3" xfId="7881" xr:uid="{00000000-0005-0000-0000-0000DA1A0000}"/>
    <cellStyle name="Normal 19 4 3 3 3 2" xfId="15144" xr:uid="{00000000-0005-0000-0000-0000DB1A0000}"/>
    <cellStyle name="Normal 19 4 3 3 3 2 2" xfId="31459" xr:uid="{00000000-0005-0000-0000-0000DC1A0000}"/>
    <cellStyle name="Normal 19 4 3 3 3 3" xfId="24494" xr:uid="{00000000-0005-0000-0000-0000DD1A0000}"/>
    <cellStyle name="Normal 19 4 3 3 4" xfId="11196" xr:uid="{00000000-0005-0000-0000-0000DE1A0000}"/>
    <cellStyle name="Normal 19 4 3 3 4 2" xfId="27794" xr:uid="{00000000-0005-0000-0000-0000DF1A0000}"/>
    <cellStyle name="Normal 19 4 3 3 5" xfId="3660" xr:uid="{00000000-0005-0000-0000-0000E01A0000}"/>
    <cellStyle name="Normal 19 4 3 3 5 2" xfId="20383" xr:uid="{00000000-0005-0000-0000-0000E11A0000}"/>
    <cellStyle name="Normal 19 4 3 3 6" xfId="18787" xr:uid="{00000000-0005-0000-0000-0000E21A0000}"/>
    <cellStyle name="Normal 19 4 3 4" xfId="2053" xr:uid="{00000000-0005-0000-0000-0000E31A0000}"/>
    <cellStyle name="Normal 19 4 3 4 2" xfId="8689" xr:uid="{00000000-0005-0000-0000-0000E41A0000}"/>
    <cellStyle name="Normal 19 4 3 4 2 2" xfId="15952" xr:uid="{00000000-0005-0000-0000-0000E51A0000}"/>
    <cellStyle name="Normal 19 4 3 4 2 2 2" xfId="32267" xr:uid="{00000000-0005-0000-0000-0000E61A0000}"/>
    <cellStyle name="Normal 19 4 3 4 2 3" xfId="25302" xr:uid="{00000000-0005-0000-0000-0000E71A0000}"/>
    <cellStyle name="Normal 19 4 3 4 3" xfId="12031" xr:uid="{00000000-0005-0000-0000-0000E81A0000}"/>
    <cellStyle name="Normal 19 4 3 4 3 2" xfId="28606" xr:uid="{00000000-0005-0000-0000-0000E91A0000}"/>
    <cellStyle name="Normal 19 4 3 4 4" xfId="5338" xr:uid="{00000000-0005-0000-0000-0000EA1A0000}"/>
    <cellStyle name="Normal 19 4 3 4 4 2" xfId="22002" xr:uid="{00000000-0005-0000-0000-0000EB1A0000}"/>
    <cellStyle name="Normal 19 4 3 4 5" xfId="18784" xr:uid="{00000000-0005-0000-0000-0000EC1A0000}"/>
    <cellStyle name="Normal 19 4 3 5" xfId="7069" xr:uid="{00000000-0005-0000-0000-0000ED1A0000}"/>
    <cellStyle name="Normal 19 4 3 5 2" xfId="14332" xr:uid="{00000000-0005-0000-0000-0000EE1A0000}"/>
    <cellStyle name="Normal 19 4 3 5 2 2" xfId="30647" xr:uid="{00000000-0005-0000-0000-0000EF1A0000}"/>
    <cellStyle name="Normal 19 4 3 5 3" xfId="23682" xr:uid="{00000000-0005-0000-0000-0000F01A0000}"/>
    <cellStyle name="Normal 19 4 3 6" xfId="10384" xr:uid="{00000000-0005-0000-0000-0000F11A0000}"/>
    <cellStyle name="Normal 19 4 3 6 2" xfId="26982" xr:uid="{00000000-0005-0000-0000-0000F21A0000}"/>
    <cellStyle name="Normal 19 4 3 7" xfId="3657" xr:uid="{00000000-0005-0000-0000-0000F31A0000}"/>
    <cellStyle name="Normal 19 4 3 7 2" xfId="20380" xr:uid="{00000000-0005-0000-0000-0000F41A0000}"/>
    <cellStyle name="Normal 19 4 3 8" xfId="17843" xr:uid="{00000000-0005-0000-0000-0000F51A0000}"/>
    <cellStyle name="Normal 19 4 4" xfId="893" xr:uid="{00000000-0005-0000-0000-0000F61A0000}"/>
    <cellStyle name="Normal 19 4 4 2" xfId="1455" xr:uid="{00000000-0005-0000-0000-0000F71A0000}"/>
    <cellStyle name="Normal 19 4 4 2 2" xfId="2058" xr:uid="{00000000-0005-0000-0000-0000F81A0000}"/>
    <cellStyle name="Normal 19 4 4 2 2 2" xfId="9696" xr:uid="{00000000-0005-0000-0000-0000F91A0000}"/>
    <cellStyle name="Normal 19 4 4 2 2 2 2" xfId="16959" xr:uid="{00000000-0005-0000-0000-0000FA1A0000}"/>
    <cellStyle name="Normal 19 4 4 2 2 2 2 2" xfId="33274" xr:uid="{00000000-0005-0000-0000-0000FB1A0000}"/>
    <cellStyle name="Normal 19 4 4 2 2 2 3" xfId="26309" xr:uid="{00000000-0005-0000-0000-0000FC1A0000}"/>
    <cellStyle name="Normal 19 4 4 2 2 3" xfId="13038" xr:uid="{00000000-0005-0000-0000-0000FD1A0000}"/>
    <cellStyle name="Normal 19 4 4 2 2 3 2" xfId="29613" xr:uid="{00000000-0005-0000-0000-0000FE1A0000}"/>
    <cellStyle name="Normal 19 4 4 2 2 4" xfId="6345" xr:uid="{00000000-0005-0000-0000-0000FF1A0000}"/>
    <cellStyle name="Normal 19 4 4 2 2 4 2" xfId="23009" xr:uid="{00000000-0005-0000-0000-0000001B0000}"/>
    <cellStyle name="Normal 19 4 4 2 2 5" xfId="18789" xr:uid="{00000000-0005-0000-0000-0000011B0000}"/>
    <cellStyle name="Normal 19 4 4 2 3" xfId="8075" xr:uid="{00000000-0005-0000-0000-0000021B0000}"/>
    <cellStyle name="Normal 19 4 4 2 3 2" xfId="15338" xr:uid="{00000000-0005-0000-0000-0000031B0000}"/>
    <cellStyle name="Normal 19 4 4 2 3 2 2" xfId="31653" xr:uid="{00000000-0005-0000-0000-0000041B0000}"/>
    <cellStyle name="Normal 19 4 4 2 3 3" xfId="24688" xr:uid="{00000000-0005-0000-0000-0000051B0000}"/>
    <cellStyle name="Normal 19 4 4 2 4" xfId="11390" xr:uid="{00000000-0005-0000-0000-0000061B0000}"/>
    <cellStyle name="Normal 19 4 4 2 4 2" xfId="27988" xr:uid="{00000000-0005-0000-0000-0000071B0000}"/>
    <cellStyle name="Normal 19 4 4 2 5" xfId="3662" xr:uid="{00000000-0005-0000-0000-0000081B0000}"/>
    <cellStyle name="Normal 19 4 4 2 5 2" xfId="20385" xr:uid="{00000000-0005-0000-0000-0000091B0000}"/>
    <cellStyle name="Normal 19 4 4 2 6" xfId="18190" xr:uid="{00000000-0005-0000-0000-00000A1B0000}"/>
    <cellStyle name="Normal 19 4 4 3" xfId="2057" xr:uid="{00000000-0005-0000-0000-00000B1B0000}"/>
    <cellStyle name="Normal 19 4 4 3 2" xfId="8884" xr:uid="{00000000-0005-0000-0000-00000C1B0000}"/>
    <cellStyle name="Normal 19 4 4 3 2 2" xfId="16147" xr:uid="{00000000-0005-0000-0000-00000D1B0000}"/>
    <cellStyle name="Normal 19 4 4 3 2 2 2" xfId="32462" xr:uid="{00000000-0005-0000-0000-00000E1B0000}"/>
    <cellStyle name="Normal 19 4 4 3 2 3" xfId="25497" xr:uid="{00000000-0005-0000-0000-00000F1B0000}"/>
    <cellStyle name="Normal 19 4 4 3 3" xfId="12226" xr:uid="{00000000-0005-0000-0000-0000101B0000}"/>
    <cellStyle name="Normal 19 4 4 3 3 2" xfId="28801" xr:uid="{00000000-0005-0000-0000-0000111B0000}"/>
    <cellStyle name="Normal 19 4 4 3 4" xfId="5533" xr:uid="{00000000-0005-0000-0000-0000121B0000}"/>
    <cellStyle name="Normal 19 4 4 3 4 2" xfId="22197" xr:uid="{00000000-0005-0000-0000-0000131B0000}"/>
    <cellStyle name="Normal 19 4 4 3 5" xfId="18788" xr:uid="{00000000-0005-0000-0000-0000141B0000}"/>
    <cellStyle name="Normal 19 4 4 4" xfId="7263" xr:uid="{00000000-0005-0000-0000-0000151B0000}"/>
    <cellStyle name="Normal 19 4 4 4 2" xfId="14526" xr:uid="{00000000-0005-0000-0000-0000161B0000}"/>
    <cellStyle name="Normal 19 4 4 4 2 2" xfId="30841" xr:uid="{00000000-0005-0000-0000-0000171B0000}"/>
    <cellStyle name="Normal 19 4 4 4 3" xfId="23876" xr:uid="{00000000-0005-0000-0000-0000181B0000}"/>
    <cellStyle name="Normal 19 4 4 5" xfId="10578" xr:uid="{00000000-0005-0000-0000-0000191B0000}"/>
    <cellStyle name="Normal 19 4 4 5 2" xfId="27176" xr:uid="{00000000-0005-0000-0000-00001A1B0000}"/>
    <cellStyle name="Normal 19 4 4 6" xfId="3661" xr:uid="{00000000-0005-0000-0000-00001B1B0000}"/>
    <cellStyle name="Normal 19 4 4 6 2" xfId="20384" xr:uid="{00000000-0005-0000-0000-00001C1B0000}"/>
    <cellStyle name="Normal 19 4 4 7" xfId="17671" xr:uid="{00000000-0005-0000-0000-00001D1B0000}"/>
    <cellStyle name="Normal 19 4 5" xfId="754" xr:uid="{00000000-0005-0000-0000-00001E1B0000}"/>
    <cellStyle name="Normal 19 4 5 2" xfId="2059" xr:uid="{00000000-0005-0000-0000-00001F1B0000}"/>
    <cellStyle name="Normal 19 4 5 2 2" xfId="9290" xr:uid="{00000000-0005-0000-0000-0000201B0000}"/>
    <cellStyle name="Normal 19 4 5 2 2 2" xfId="16553" xr:uid="{00000000-0005-0000-0000-0000211B0000}"/>
    <cellStyle name="Normal 19 4 5 2 2 2 2" xfId="32868" xr:uid="{00000000-0005-0000-0000-0000221B0000}"/>
    <cellStyle name="Normal 19 4 5 2 2 3" xfId="25903" xr:uid="{00000000-0005-0000-0000-0000231B0000}"/>
    <cellStyle name="Normal 19 4 5 2 3" xfId="12632" xr:uid="{00000000-0005-0000-0000-0000241B0000}"/>
    <cellStyle name="Normal 19 4 5 2 3 2" xfId="29207" xr:uid="{00000000-0005-0000-0000-0000251B0000}"/>
    <cellStyle name="Normal 19 4 5 2 4" xfId="5939" xr:uid="{00000000-0005-0000-0000-0000261B0000}"/>
    <cellStyle name="Normal 19 4 5 2 4 2" xfId="22603" xr:uid="{00000000-0005-0000-0000-0000271B0000}"/>
    <cellStyle name="Normal 19 4 5 2 5" xfId="18790" xr:uid="{00000000-0005-0000-0000-0000281B0000}"/>
    <cellStyle name="Normal 19 4 5 3" xfId="7669" xr:uid="{00000000-0005-0000-0000-0000291B0000}"/>
    <cellStyle name="Normal 19 4 5 3 2" xfId="14932" xr:uid="{00000000-0005-0000-0000-00002A1B0000}"/>
    <cellStyle name="Normal 19 4 5 3 2 2" xfId="31247" xr:uid="{00000000-0005-0000-0000-00002B1B0000}"/>
    <cellStyle name="Normal 19 4 5 3 3" xfId="24282" xr:uid="{00000000-0005-0000-0000-00002C1B0000}"/>
    <cellStyle name="Normal 19 4 5 4" xfId="10984" xr:uid="{00000000-0005-0000-0000-00002D1B0000}"/>
    <cellStyle name="Normal 19 4 5 4 2" xfId="27582" xr:uid="{00000000-0005-0000-0000-00002E1B0000}"/>
    <cellStyle name="Normal 19 4 5 5" xfId="3663" xr:uid="{00000000-0005-0000-0000-00002F1B0000}"/>
    <cellStyle name="Normal 19 4 5 5 2" xfId="20386" xr:uid="{00000000-0005-0000-0000-0000301B0000}"/>
    <cellStyle name="Normal 19 4 5 6" xfId="17567" xr:uid="{00000000-0005-0000-0000-0000311B0000}"/>
    <cellStyle name="Normal 19 4 6" xfId="1351" xr:uid="{00000000-0005-0000-0000-0000321B0000}"/>
    <cellStyle name="Normal 19 4 6 2" xfId="8516" xr:uid="{00000000-0005-0000-0000-0000331B0000}"/>
    <cellStyle name="Normal 19 4 6 2 2" xfId="15779" xr:uid="{00000000-0005-0000-0000-0000341B0000}"/>
    <cellStyle name="Normal 19 4 6 2 2 2" xfId="32094" xr:uid="{00000000-0005-0000-0000-0000351B0000}"/>
    <cellStyle name="Normal 19 4 6 2 3" xfId="25129" xr:uid="{00000000-0005-0000-0000-0000361B0000}"/>
    <cellStyle name="Normal 19 4 6 3" xfId="11858" xr:uid="{00000000-0005-0000-0000-0000371B0000}"/>
    <cellStyle name="Normal 19 4 6 3 2" xfId="28433" xr:uid="{00000000-0005-0000-0000-0000381B0000}"/>
    <cellStyle name="Normal 19 4 6 4" xfId="5165" xr:uid="{00000000-0005-0000-0000-0000391B0000}"/>
    <cellStyle name="Normal 19 4 6 4 2" xfId="21829" xr:uid="{00000000-0005-0000-0000-00003A1B0000}"/>
    <cellStyle name="Normal 19 4 6 5" xfId="18086" xr:uid="{00000000-0005-0000-0000-00003B1B0000}"/>
    <cellStyle name="Normal 19 4 7" xfId="2044" xr:uid="{00000000-0005-0000-0000-00003C1B0000}"/>
    <cellStyle name="Normal 19 4 7 2" xfId="14160" xr:uid="{00000000-0005-0000-0000-00003D1B0000}"/>
    <cellStyle name="Normal 19 4 7 2 2" xfId="30475" xr:uid="{00000000-0005-0000-0000-00003E1B0000}"/>
    <cellStyle name="Normal 19 4 7 3" xfId="6897" xr:uid="{00000000-0005-0000-0000-00003F1B0000}"/>
    <cellStyle name="Normal 19 4 7 3 2" xfId="23510" xr:uid="{00000000-0005-0000-0000-0000401B0000}"/>
    <cellStyle name="Normal 19 4 7 4" xfId="18775" xr:uid="{00000000-0005-0000-0000-0000411B0000}"/>
    <cellStyle name="Normal 19 4 8" xfId="10211" xr:uid="{00000000-0005-0000-0000-0000421B0000}"/>
    <cellStyle name="Normal 19 4 8 2" xfId="26810" xr:uid="{00000000-0005-0000-0000-0000431B0000}"/>
    <cellStyle name="Normal 19 4 9" xfId="3648" xr:uid="{00000000-0005-0000-0000-0000441B0000}"/>
    <cellStyle name="Normal 19 4 9 2" xfId="20371" xr:uid="{00000000-0005-0000-0000-0000451B0000}"/>
    <cellStyle name="Normal 19 5" xfId="949" xr:uid="{00000000-0005-0000-0000-0000461B0000}"/>
    <cellStyle name="Normal 19 5 2" xfId="1108" xr:uid="{00000000-0005-0000-0000-0000471B0000}"/>
    <cellStyle name="Normal 19 5 2 2" xfId="1629" xr:uid="{00000000-0005-0000-0000-0000481B0000}"/>
    <cellStyle name="Normal 19 5 2 2 2" xfId="2063" xr:uid="{00000000-0005-0000-0000-0000491B0000}"/>
    <cellStyle name="Normal 19 5 2 2 2 2" xfId="6523" xr:uid="{00000000-0005-0000-0000-00004A1B0000}"/>
    <cellStyle name="Normal 19 5 2 2 2 2 2" xfId="9874" xr:uid="{00000000-0005-0000-0000-00004B1B0000}"/>
    <cellStyle name="Normal 19 5 2 2 2 2 2 2" xfId="17137" xr:uid="{00000000-0005-0000-0000-00004C1B0000}"/>
    <cellStyle name="Normal 19 5 2 2 2 2 2 2 2" xfId="33452" xr:uid="{00000000-0005-0000-0000-00004D1B0000}"/>
    <cellStyle name="Normal 19 5 2 2 2 2 2 3" xfId="26487" xr:uid="{00000000-0005-0000-0000-00004E1B0000}"/>
    <cellStyle name="Normal 19 5 2 2 2 2 3" xfId="13216" xr:uid="{00000000-0005-0000-0000-00004F1B0000}"/>
    <cellStyle name="Normal 19 5 2 2 2 2 3 2" xfId="29791" xr:uid="{00000000-0005-0000-0000-0000501B0000}"/>
    <cellStyle name="Normal 19 5 2 2 2 2 4" xfId="23187" xr:uid="{00000000-0005-0000-0000-0000511B0000}"/>
    <cellStyle name="Normal 19 5 2 2 2 3" xfId="8253" xr:uid="{00000000-0005-0000-0000-0000521B0000}"/>
    <cellStyle name="Normal 19 5 2 2 2 3 2" xfId="15516" xr:uid="{00000000-0005-0000-0000-0000531B0000}"/>
    <cellStyle name="Normal 19 5 2 2 2 3 2 2" xfId="31831" xr:uid="{00000000-0005-0000-0000-0000541B0000}"/>
    <cellStyle name="Normal 19 5 2 2 2 3 3" xfId="24866" xr:uid="{00000000-0005-0000-0000-0000551B0000}"/>
    <cellStyle name="Normal 19 5 2 2 2 4" xfId="11568" xr:uid="{00000000-0005-0000-0000-0000561B0000}"/>
    <cellStyle name="Normal 19 5 2 2 2 4 2" xfId="28166" xr:uid="{00000000-0005-0000-0000-0000571B0000}"/>
    <cellStyle name="Normal 19 5 2 2 2 5" xfId="3667" xr:uid="{00000000-0005-0000-0000-0000581B0000}"/>
    <cellStyle name="Normal 19 5 2 2 2 5 2" xfId="20390" xr:uid="{00000000-0005-0000-0000-0000591B0000}"/>
    <cellStyle name="Normal 19 5 2 2 2 6" xfId="18794" xr:uid="{00000000-0005-0000-0000-00005A1B0000}"/>
    <cellStyle name="Normal 19 5 2 2 3" xfId="2062" xr:uid="{00000000-0005-0000-0000-00005B1B0000}"/>
    <cellStyle name="Normal 19 5 2 2 3 2" xfId="9098" xr:uid="{00000000-0005-0000-0000-00005C1B0000}"/>
    <cellStyle name="Normal 19 5 2 2 3 2 2" xfId="16361" xr:uid="{00000000-0005-0000-0000-00005D1B0000}"/>
    <cellStyle name="Normal 19 5 2 2 3 2 2 2" xfId="32676" xr:uid="{00000000-0005-0000-0000-00005E1B0000}"/>
    <cellStyle name="Normal 19 5 2 2 3 2 3" xfId="25711" xr:uid="{00000000-0005-0000-0000-00005F1B0000}"/>
    <cellStyle name="Normal 19 5 2 2 3 3" xfId="12440" xr:uid="{00000000-0005-0000-0000-0000601B0000}"/>
    <cellStyle name="Normal 19 5 2 2 3 3 2" xfId="29015" xr:uid="{00000000-0005-0000-0000-0000611B0000}"/>
    <cellStyle name="Normal 19 5 2 2 3 4" xfId="5747" xr:uid="{00000000-0005-0000-0000-0000621B0000}"/>
    <cellStyle name="Normal 19 5 2 2 3 4 2" xfId="22411" xr:uid="{00000000-0005-0000-0000-0000631B0000}"/>
    <cellStyle name="Normal 19 5 2 2 3 5" xfId="18793" xr:uid="{00000000-0005-0000-0000-0000641B0000}"/>
    <cellStyle name="Normal 19 5 2 2 4" xfId="7477" xr:uid="{00000000-0005-0000-0000-0000651B0000}"/>
    <cellStyle name="Normal 19 5 2 2 4 2" xfId="14740" xr:uid="{00000000-0005-0000-0000-0000661B0000}"/>
    <cellStyle name="Normal 19 5 2 2 4 2 2" xfId="31055" xr:uid="{00000000-0005-0000-0000-0000671B0000}"/>
    <cellStyle name="Normal 19 5 2 2 4 3" xfId="24090" xr:uid="{00000000-0005-0000-0000-0000681B0000}"/>
    <cellStyle name="Normal 19 5 2 2 5" xfId="10792" xr:uid="{00000000-0005-0000-0000-0000691B0000}"/>
    <cellStyle name="Normal 19 5 2 2 5 2" xfId="27390" xr:uid="{00000000-0005-0000-0000-00006A1B0000}"/>
    <cellStyle name="Normal 19 5 2 2 6" xfId="3666" xr:uid="{00000000-0005-0000-0000-00006B1B0000}"/>
    <cellStyle name="Normal 19 5 2 2 6 2" xfId="20389" xr:uid="{00000000-0005-0000-0000-00006C1B0000}"/>
    <cellStyle name="Normal 19 5 2 2 7" xfId="18364" xr:uid="{00000000-0005-0000-0000-00006D1B0000}"/>
    <cellStyle name="Normal 19 5 2 3" xfId="2064" xr:uid="{00000000-0005-0000-0000-00006E1B0000}"/>
    <cellStyle name="Normal 19 5 2 3 2" xfId="6153" xr:uid="{00000000-0005-0000-0000-00006F1B0000}"/>
    <cellStyle name="Normal 19 5 2 3 2 2" xfId="9504" xr:uid="{00000000-0005-0000-0000-0000701B0000}"/>
    <cellStyle name="Normal 19 5 2 3 2 2 2" xfId="16767" xr:uid="{00000000-0005-0000-0000-0000711B0000}"/>
    <cellStyle name="Normal 19 5 2 3 2 2 2 2" xfId="33082" xr:uid="{00000000-0005-0000-0000-0000721B0000}"/>
    <cellStyle name="Normal 19 5 2 3 2 2 3" xfId="26117" xr:uid="{00000000-0005-0000-0000-0000731B0000}"/>
    <cellStyle name="Normal 19 5 2 3 2 3" xfId="12846" xr:uid="{00000000-0005-0000-0000-0000741B0000}"/>
    <cellStyle name="Normal 19 5 2 3 2 3 2" xfId="29421" xr:uid="{00000000-0005-0000-0000-0000751B0000}"/>
    <cellStyle name="Normal 19 5 2 3 2 4" xfId="22817" xr:uid="{00000000-0005-0000-0000-0000761B0000}"/>
    <cellStyle name="Normal 19 5 2 3 3" xfId="7883" xr:uid="{00000000-0005-0000-0000-0000771B0000}"/>
    <cellStyle name="Normal 19 5 2 3 3 2" xfId="15146" xr:uid="{00000000-0005-0000-0000-0000781B0000}"/>
    <cellStyle name="Normal 19 5 2 3 3 2 2" xfId="31461" xr:uid="{00000000-0005-0000-0000-0000791B0000}"/>
    <cellStyle name="Normal 19 5 2 3 3 3" xfId="24496" xr:uid="{00000000-0005-0000-0000-00007A1B0000}"/>
    <cellStyle name="Normal 19 5 2 3 4" xfId="11198" xr:uid="{00000000-0005-0000-0000-00007B1B0000}"/>
    <cellStyle name="Normal 19 5 2 3 4 2" xfId="27796" xr:uid="{00000000-0005-0000-0000-00007C1B0000}"/>
    <cellStyle name="Normal 19 5 2 3 5" xfId="3668" xr:uid="{00000000-0005-0000-0000-00007D1B0000}"/>
    <cellStyle name="Normal 19 5 2 3 5 2" xfId="20391" xr:uid="{00000000-0005-0000-0000-00007E1B0000}"/>
    <cellStyle name="Normal 19 5 2 3 6" xfId="18795" xr:uid="{00000000-0005-0000-0000-00007F1B0000}"/>
    <cellStyle name="Normal 19 5 2 4" xfId="2061" xr:uid="{00000000-0005-0000-0000-0000801B0000}"/>
    <cellStyle name="Normal 19 5 2 4 2" xfId="8691" xr:uid="{00000000-0005-0000-0000-0000811B0000}"/>
    <cellStyle name="Normal 19 5 2 4 2 2" xfId="15954" xr:uid="{00000000-0005-0000-0000-0000821B0000}"/>
    <cellStyle name="Normal 19 5 2 4 2 2 2" xfId="32269" xr:uid="{00000000-0005-0000-0000-0000831B0000}"/>
    <cellStyle name="Normal 19 5 2 4 2 3" xfId="25304" xr:uid="{00000000-0005-0000-0000-0000841B0000}"/>
    <cellStyle name="Normal 19 5 2 4 3" xfId="12033" xr:uid="{00000000-0005-0000-0000-0000851B0000}"/>
    <cellStyle name="Normal 19 5 2 4 3 2" xfId="28608" xr:uid="{00000000-0005-0000-0000-0000861B0000}"/>
    <cellStyle name="Normal 19 5 2 4 4" xfId="5340" xr:uid="{00000000-0005-0000-0000-0000871B0000}"/>
    <cellStyle name="Normal 19 5 2 4 4 2" xfId="22004" xr:uid="{00000000-0005-0000-0000-0000881B0000}"/>
    <cellStyle name="Normal 19 5 2 4 5" xfId="18792" xr:uid="{00000000-0005-0000-0000-0000891B0000}"/>
    <cellStyle name="Normal 19 5 2 5" xfId="7071" xr:uid="{00000000-0005-0000-0000-00008A1B0000}"/>
    <cellStyle name="Normal 19 5 2 5 2" xfId="14334" xr:uid="{00000000-0005-0000-0000-00008B1B0000}"/>
    <cellStyle name="Normal 19 5 2 5 2 2" xfId="30649" xr:uid="{00000000-0005-0000-0000-00008C1B0000}"/>
    <cellStyle name="Normal 19 5 2 5 3" xfId="23684" xr:uid="{00000000-0005-0000-0000-00008D1B0000}"/>
    <cellStyle name="Normal 19 5 2 6" xfId="10386" xr:uid="{00000000-0005-0000-0000-00008E1B0000}"/>
    <cellStyle name="Normal 19 5 2 6 2" xfId="26984" xr:uid="{00000000-0005-0000-0000-00008F1B0000}"/>
    <cellStyle name="Normal 19 5 2 7" xfId="3665" xr:uid="{00000000-0005-0000-0000-0000901B0000}"/>
    <cellStyle name="Normal 19 5 2 7 2" xfId="20388" xr:uid="{00000000-0005-0000-0000-0000911B0000}"/>
    <cellStyle name="Normal 19 5 2 8" xfId="17845" xr:uid="{00000000-0005-0000-0000-0000921B0000}"/>
    <cellStyle name="Normal 19 5 3" xfId="1511" xr:uid="{00000000-0005-0000-0000-0000931B0000}"/>
    <cellStyle name="Normal 19 5 3 2" xfId="2066" xr:uid="{00000000-0005-0000-0000-0000941B0000}"/>
    <cellStyle name="Normal 19 5 3 2 2" xfId="6347" xr:uid="{00000000-0005-0000-0000-0000951B0000}"/>
    <cellStyle name="Normal 19 5 3 2 2 2" xfId="9698" xr:uid="{00000000-0005-0000-0000-0000961B0000}"/>
    <cellStyle name="Normal 19 5 3 2 2 2 2" xfId="16961" xr:uid="{00000000-0005-0000-0000-0000971B0000}"/>
    <cellStyle name="Normal 19 5 3 2 2 2 2 2" xfId="33276" xr:uid="{00000000-0005-0000-0000-0000981B0000}"/>
    <cellStyle name="Normal 19 5 3 2 2 2 3" xfId="26311" xr:uid="{00000000-0005-0000-0000-0000991B0000}"/>
    <cellStyle name="Normal 19 5 3 2 2 3" xfId="13040" xr:uid="{00000000-0005-0000-0000-00009A1B0000}"/>
    <cellStyle name="Normal 19 5 3 2 2 3 2" xfId="29615" xr:uid="{00000000-0005-0000-0000-00009B1B0000}"/>
    <cellStyle name="Normal 19 5 3 2 2 4" xfId="23011" xr:uid="{00000000-0005-0000-0000-00009C1B0000}"/>
    <cellStyle name="Normal 19 5 3 2 3" xfId="8077" xr:uid="{00000000-0005-0000-0000-00009D1B0000}"/>
    <cellStyle name="Normal 19 5 3 2 3 2" xfId="15340" xr:uid="{00000000-0005-0000-0000-00009E1B0000}"/>
    <cellStyle name="Normal 19 5 3 2 3 2 2" xfId="31655" xr:uid="{00000000-0005-0000-0000-00009F1B0000}"/>
    <cellStyle name="Normal 19 5 3 2 3 3" xfId="24690" xr:uid="{00000000-0005-0000-0000-0000A01B0000}"/>
    <cellStyle name="Normal 19 5 3 2 4" xfId="11392" xr:uid="{00000000-0005-0000-0000-0000A11B0000}"/>
    <cellStyle name="Normal 19 5 3 2 4 2" xfId="27990" xr:uid="{00000000-0005-0000-0000-0000A21B0000}"/>
    <cellStyle name="Normal 19 5 3 2 5" xfId="3670" xr:uid="{00000000-0005-0000-0000-0000A31B0000}"/>
    <cellStyle name="Normal 19 5 3 2 5 2" xfId="20393" xr:uid="{00000000-0005-0000-0000-0000A41B0000}"/>
    <cellStyle name="Normal 19 5 3 2 6" xfId="18797" xr:uid="{00000000-0005-0000-0000-0000A51B0000}"/>
    <cellStyle name="Normal 19 5 3 3" xfId="2065" xr:uid="{00000000-0005-0000-0000-0000A61B0000}"/>
    <cellStyle name="Normal 19 5 3 3 2" xfId="8886" xr:uid="{00000000-0005-0000-0000-0000A71B0000}"/>
    <cellStyle name="Normal 19 5 3 3 2 2" xfId="16149" xr:uid="{00000000-0005-0000-0000-0000A81B0000}"/>
    <cellStyle name="Normal 19 5 3 3 2 2 2" xfId="32464" xr:uid="{00000000-0005-0000-0000-0000A91B0000}"/>
    <cellStyle name="Normal 19 5 3 3 2 3" xfId="25499" xr:uid="{00000000-0005-0000-0000-0000AA1B0000}"/>
    <cellStyle name="Normal 19 5 3 3 3" xfId="12228" xr:uid="{00000000-0005-0000-0000-0000AB1B0000}"/>
    <cellStyle name="Normal 19 5 3 3 3 2" xfId="28803" xr:uid="{00000000-0005-0000-0000-0000AC1B0000}"/>
    <cellStyle name="Normal 19 5 3 3 4" xfId="5535" xr:uid="{00000000-0005-0000-0000-0000AD1B0000}"/>
    <cellStyle name="Normal 19 5 3 3 4 2" xfId="22199" xr:uid="{00000000-0005-0000-0000-0000AE1B0000}"/>
    <cellStyle name="Normal 19 5 3 3 5" xfId="18796" xr:uid="{00000000-0005-0000-0000-0000AF1B0000}"/>
    <cellStyle name="Normal 19 5 3 4" xfId="7265" xr:uid="{00000000-0005-0000-0000-0000B01B0000}"/>
    <cellStyle name="Normal 19 5 3 4 2" xfId="14528" xr:uid="{00000000-0005-0000-0000-0000B11B0000}"/>
    <cellStyle name="Normal 19 5 3 4 2 2" xfId="30843" xr:uid="{00000000-0005-0000-0000-0000B21B0000}"/>
    <cellStyle name="Normal 19 5 3 4 3" xfId="23878" xr:uid="{00000000-0005-0000-0000-0000B31B0000}"/>
    <cellStyle name="Normal 19 5 3 5" xfId="10580" xr:uid="{00000000-0005-0000-0000-0000B41B0000}"/>
    <cellStyle name="Normal 19 5 3 5 2" xfId="27178" xr:uid="{00000000-0005-0000-0000-0000B51B0000}"/>
    <cellStyle name="Normal 19 5 3 6" xfId="3669" xr:uid="{00000000-0005-0000-0000-0000B61B0000}"/>
    <cellStyle name="Normal 19 5 3 6 2" xfId="20392" xr:uid="{00000000-0005-0000-0000-0000B71B0000}"/>
    <cellStyle name="Normal 19 5 3 7" xfId="18246" xr:uid="{00000000-0005-0000-0000-0000B81B0000}"/>
    <cellStyle name="Normal 19 5 4" xfId="2067" xr:uid="{00000000-0005-0000-0000-0000B91B0000}"/>
    <cellStyle name="Normal 19 5 4 2" xfId="5941" xr:uid="{00000000-0005-0000-0000-0000BA1B0000}"/>
    <cellStyle name="Normal 19 5 4 2 2" xfId="9292" xr:uid="{00000000-0005-0000-0000-0000BB1B0000}"/>
    <cellStyle name="Normal 19 5 4 2 2 2" xfId="16555" xr:uid="{00000000-0005-0000-0000-0000BC1B0000}"/>
    <cellStyle name="Normal 19 5 4 2 2 2 2" xfId="32870" xr:uid="{00000000-0005-0000-0000-0000BD1B0000}"/>
    <cellStyle name="Normal 19 5 4 2 2 3" xfId="25905" xr:uid="{00000000-0005-0000-0000-0000BE1B0000}"/>
    <cellStyle name="Normal 19 5 4 2 3" xfId="12634" xr:uid="{00000000-0005-0000-0000-0000BF1B0000}"/>
    <cellStyle name="Normal 19 5 4 2 3 2" xfId="29209" xr:uid="{00000000-0005-0000-0000-0000C01B0000}"/>
    <cellStyle name="Normal 19 5 4 2 4" xfId="22605" xr:uid="{00000000-0005-0000-0000-0000C11B0000}"/>
    <cellStyle name="Normal 19 5 4 3" xfId="7671" xr:uid="{00000000-0005-0000-0000-0000C21B0000}"/>
    <cellStyle name="Normal 19 5 4 3 2" xfId="14934" xr:uid="{00000000-0005-0000-0000-0000C31B0000}"/>
    <cellStyle name="Normal 19 5 4 3 2 2" xfId="31249" xr:uid="{00000000-0005-0000-0000-0000C41B0000}"/>
    <cellStyle name="Normal 19 5 4 3 3" xfId="24284" xr:uid="{00000000-0005-0000-0000-0000C51B0000}"/>
    <cellStyle name="Normal 19 5 4 4" xfId="10986" xr:uid="{00000000-0005-0000-0000-0000C61B0000}"/>
    <cellStyle name="Normal 19 5 4 4 2" xfId="27584" xr:uid="{00000000-0005-0000-0000-0000C71B0000}"/>
    <cellStyle name="Normal 19 5 4 5" xfId="3671" xr:uid="{00000000-0005-0000-0000-0000C81B0000}"/>
    <cellStyle name="Normal 19 5 4 5 2" xfId="20394" xr:uid="{00000000-0005-0000-0000-0000C91B0000}"/>
    <cellStyle name="Normal 19 5 4 6" xfId="18798" xr:uid="{00000000-0005-0000-0000-0000CA1B0000}"/>
    <cellStyle name="Normal 19 5 5" xfId="2060" xr:uid="{00000000-0005-0000-0000-0000CB1B0000}"/>
    <cellStyle name="Normal 19 5 5 2" xfId="8572" xr:uid="{00000000-0005-0000-0000-0000CC1B0000}"/>
    <cellStyle name="Normal 19 5 5 2 2" xfId="15835" xr:uid="{00000000-0005-0000-0000-0000CD1B0000}"/>
    <cellStyle name="Normal 19 5 5 2 2 2" xfId="32150" xr:uid="{00000000-0005-0000-0000-0000CE1B0000}"/>
    <cellStyle name="Normal 19 5 5 2 3" xfId="25185" xr:uid="{00000000-0005-0000-0000-0000CF1B0000}"/>
    <cellStyle name="Normal 19 5 5 3" xfId="11914" xr:uid="{00000000-0005-0000-0000-0000D01B0000}"/>
    <cellStyle name="Normal 19 5 5 3 2" xfId="28489" xr:uid="{00000000-0005-0000-0000-0000D11B0000}"/>
    <cellStyle name="Normal 19 5 5 4" xfId="5221" xr:uid="{00000000-0005-0000-0000-0000D21B0000}"/>
    <cellStyle name="Normal 19 5 5 4 2" xfId="21885" xr:uid="{00000000-0005-0000-0000-0000D31B0000}"/>
    <cellStyle name="Normal 19 5 5 5" xfId="18791" xr:uid="{00000000-0005-0000-0000-0000D41B0000}"/>
    <cellStyle name="Normal 19 5 6" xfId="6953" xr:uid="{00000000-0005-0000-0000-0000D51B0000}"/>
    <cellStyle name="Normal 19 5 6 2" xfId="14216" xr:uid="{00000000-0005-0000-0000-0000D61B0000}"/>
    <cellStyle name="Normal 19 5 6 2 2" xfId="30531" xr:uid="{00000000-0005-0000-0000-0000D71B0000}"/>
    <cellStyle name="Normal 19 5 6 3" xfId="23566" xr:uid="{00000000-0005-0000-0000-0000D81B0000}"/>
    <cellStyle name="Normal 19 5 7" xfId="10267" xr:uid="{00000000-0005-0000-0000-0000D91B0000}"/>
    <cellStyle name="Normal 19 5 7 2" xfId="26866" xr:uid="{00000000-0005-0000-0000-0000DA1B0000}"/>
    <cellStyle name="Normal 19 5 8" xfId="3664" xr:uid="{00000000-0005-0000-0000-0000DB1B0000}"/>
    <cellStyle name="Normal 19 5 8 2" xfId="20387" xr:uid="{00000000-0005-0000-0000-0000DC1B0000}"/>
    <cellStyle name="Normal 19 5 9" xfId="17727" xr:uid="{00000000-0005-0000-0000-0000DD1B0000}"/>
    <cellStyle name="Normal 19 6" xfId="1093" xr:uid="{00000000-0005-0000-0000-0000DE1B0000}"/>
    <cellStyle name="Normal 19 6 2" xfId="1614" xr:uid="{00000000-0005-0000-0000-0000DF1B0000}"/>
    <cellStyle name="Normal 19 6 2 2" xfId="2070" xr:uid="{00000000-0005-0000-0000-0000E01B0000}"/>
    <cellStyle name="Normal 19 6 2 2 2" xfId="6508" xr:uid="{00000000-0005-0000-0000-0000E11B0000}"/>
    <cellStyle name="Normal 19 6 2 2 2 2" xfId="9859" xr:uid="{00000000-0005-0000-0000-0000E21B0000}"/>
    <cellStyle name="Normal 19 6 2 2 2 2 2" xfId="17122" xr:uid="{00000000-0005-0000-0000-0000E31B0000}"/>
    <cellStyle name="Normal 19 6 2 2 2 2 2 2" xfId="33437" xr:uid="{00000000-0005-0000-0000-0000E41B0000}"/>
    <cellStyle name="Normal 19 6 2 2 2 2 3" xfId="26472" xr:uid="{00000000-0005-0000-0000-0000E51B0000}"/>
    <cellStyle name="Normal 19 6 2 2 2 3" xfId="13201" xr:uid="{00000000-0005-0000-0000-0000E61B0000}"/>
    <cellStyle name="Normal 19 6 2 2 2 3 2" xfId="29776" xr:uid="{00000000-0005-0000-0000-0000E71B0000}"/>
    <cellStyle name="Normal 19 6 2 2 2 4" xfId="23172" xr:uid="{00000000-0005-0000-0000-0000E81B0000}"/>
    <cellStyle name="Normal 19 6 2 2 3" xfId="8238" xr:uid="{00000000-0005-0000-0000-0000E91B0000}"/>
    <cellStyle name="Normal 19 6 2 2 3 2" xfId="15501" xr:uid="{00000000-0005-0000-0000-0000EA1B0000}"/>
    <cellStyle name="Normal 19 6 2 2 3 2 2" xfId="31816" xr:uid="{00000000-0005-0000-0000-0000EB1B0000}"/>
    <cellStyle name="Normal 19 6 2 2 3 3" xfId="24851" xr:uid="{00000000-0005-0000-0000-0000EC1B0000}"/>
    <cellStyle name="Normal 19 6 2 2 4" xfId="11553" xr:uid="{00000000-0005-0000-0000-0000ED1B0000}"/>
    <cellStyle name="Normal 19 6 2 2 4 2" xfId="28151" xr:uid="{00000000-0005-0000-0000-0000EE1B0000}"/>
    <cellStyle name="Normal 19 6 2 2 5" xfId="3674" xr:uid="{00000000-0005-0000-0000-0000EF1B0000}"/>
    <cellStyle name="Normal 19 6 2 2 5 2" xfId="20397" xr:uid="{00000000-0005-0000-0000-0000F01B0000}"/>
    <cellStyle name="Normal 19 6 2 2 6" xfId="18801" xr:uid="{00000000-0005-0000-0000-0000F11B0000}"/>
    <cellStyle name="Normal 19 6 2 3" xfId="2069" xr:uid="{00000000-0005-0000-0000-0000F21B0000}"/>
    <cellStyle name="Normal 19 6 2 3 2" xfId="9083" xr:uid="{00000000-0005-0000-0000-0000F31B0000}"/>
    <cellStyle name="Normal 19 6 2 3 2 2" xfId="16346" xr:uid="{00000000-0005-0000-0000-0000F41B0000}"/>
    <cellStyle name="Normal 19 6 2 3 2 2 2" xfId="32661" xr:uid="{00000000-0005-0000-0000-0000F51B0000}"/>
    <cellStyle name="Normal 19 6 2 3 2 3" xfId="25696" xr:uid="{00000000-0005-0000-0000-0000F61B0000}"/>
    <cellStyle name="Normal 19 6 2 3 3" xfId="12425" xr:uid="{00000000-0005-0000-0000-0000F71B0000}"/>
    <cellStyle name="Normal 19 6 2 3 3 2" xfId="29000" xr:uid="{00000000-0005-0000-0000-0000F81B0000}"/>
    <cellStyle name="Normal 19 6 2 3 4" xfId="5732" xr:uid="{00000000-0005-0000-0000-0000F91B0000}"/>
    <cellStyle name="Normal 19 6 2 3 4 2" xfId="22396" xr:uid="{00000000-0005-0000-0000-0000FA1B0000}"/>
    <cellStyle name="Normal 19 6 2 3 5" xfId="18800" xr:uid="{00000000-0005-0000-0000-0000FB1B0000}"/>
    <cellStyle name="Normal 19 6 2 4" xfId="7462" xr:uid="{00000000-0005-0000-0000-0000FC1B0000}"/>
    <cellStyle name="Normal 19 6 2 4 2" xfId="14725" xr:uid="{00000000-0005-0000-0000-0000FD1B0000}"/>
    <cellStyle name="Normal 19 6 2 4 2 2" xfId="31040" xr:uid="{00000000-0005-0000-0000-0000FE1B0000}"/>
    <cellStyle name="Normal 19 6 2 4 3" xfId="24075" xr:uid="{00000000-0005-0000-0000-0000FF1B0000}"/>
    <cellStyle name="Normal 19 6 2 5" xfId="10777" xr:uid="{00000000-0005-0000-0000-0000001C0000}"/>
    <cellStyle name="Normal 19 6 2 5 2" xfId="27375" xr:uid="{00000000-0005-0000-0000-0000011C0000}"/>
    <cellStyle name="Normal 19 6 2 6" xfId="3673" xr:uid="{00000000-0005-0000-0000-0000021C0000}"/>
    <cellStyle name="Normal 19 6 2 6 2" xfId="20396" xr:uid="{00000000-0005-0000-0000-0000031C0000}"/>
    <cellStyle name="Normal 19 6 2 7" xfId="18349" xr:uid="{00000000-0005-0000-0000-0000041C0000}"/>
    <cellStyle name="Normal 19 6 3" xfId="2071" xr:uid="{00000000-0005-0000-0000-0000051C0000}"/>
    <cellStyle name="Normal 19 6 3 2" xfId="6138" xr:uid="{00000000-0005-0000-0000-0000061C0000}"/>
    <cellStyle name="Normal 19 6 3 2 2" xfId="9489" xr:uid="{00000000-0005-0000-0000-0000071C0000}"/>
    <cellStyle name="Normal 19 6 3 2 2 2" xfId="16752" xr:uid="{00000000-0005-0000-0000-0000081C0000}"/>
    <cellStyle name="Normal 19 6 3 2 2 2 2" xfId="33067" xr:uid="{00000000-0005-0000-0000-0000091C0000}"/>
    <cellStyle name="Normal 19 6 3 2 2 3" xfId="26102" xr:uid="{00000000-0005-0000-0000-00000A1C0000}"/>
    <cellStyle name="Normal 19 6 3 2 3" xfId="12831" xr:uid="{00000000-0005-0000-0000-00000B1C0000}"/>
    <cellStyle name="Normal 19 6 3 2 3 2" xfId="29406" xr:uid="{00000000-0005-0000-0000-00000C1C0000}"/>
    <cellStyle name="Normal 19 6 3 2 4" xfId="22802" xr:uid="{00000000-0005-0000-0000-00000D1C0000}"/>
    <cellStyle name="Normal 19 6 3 3" xfId="7868" xr:uid="{00000000-0005-0000-0000-00000E1C0000}"/>
    <cellStyle name="Normal 19 6 3 3 2" xfId="15131" xr:uid="{00000000-0005-0000-0000-00000F1C0000}"/>
    <cellStyle name="Normal 19 6 3 3 2 2" xfId="31446" xr:uid="{00000000-0005-0000-0000-0000101C0000}"/>
    <cellStyle name="Normal 19 6 3 3 3" xfId="24481" xr:uid="{00000000-0005-0000-0000-0000111C0000}"/>
    <cellStyle name="Normal 19 6 3 4" xfId="11183" xr:uid="{00000000-0005-0000-0000-0000121C0000}"/>
    <cellStyle name="Normal 19 6 3 4 2" xfId="27781" xr:uid="{00000000-0005-0000-0000-0000131C0000}"/>
    <cellStyle name="Normal 19 6 3 5" xfId="3675" xr:uid="{00000000-0005-0000-0000-0000141C0000}"/>
    <cellStyle name="Normal 19 6 3 5 2" xfId="20398" xr:uid="{00000000-0005-0000-0000-0000151C0000}"/>
    <cellStyle name="Normal 19 6 3 6" xfId="18802" xr:uid="{00000000-0005-0000-0000-0000161C0000}"/>
    <cellStyle name="Normal 19 6 4" xfId="2068" xr:uid="{00000000-0005-0000-0000-0000171C0000}"/>
    <cellStyle name="Normal 19 6 4 2" xfId="8676" xr:uid="{00000000-0005-0000-0000-0000181C0000}"/>
    <cellStyle name="Normal 19 6 4 2 2" xfId="15939" xr:uid="{00000000-0005-0000-0000-0000191C0000}"/>
    <cellStyle name="Normal 19 6 4 2 2 2" xfId="32254" xr:uid="{00000000-0005-0000-0000-00001A1C0000}"/>
    <cellStyle name="Normal 19 6 4 2 3" xfId="25289" xr:uid="{00000000-0005-0000-0000-00001B1C0000}"/>
    <cellStyle name="Normal 19 6 4 3" xfId="12018" xr:uid="{00000000-0005-0000-0000-00001C1C0000}"/>
    <cellStyle name="Normal 19 6 4 3 2" xfId="28593" xr:uid="{00000000-0005-0000-0000-00001D1C0000}"/>
    <cellStyle name="Normal 19 6 4 4" xfId="5325" xr:uid="{00000000-0005-0000-0000-00001E1C0000}"/>
    <cellStyle name="Normal 19 6 4 4 2" xfId="21989" xr:uid="{00000000-0005-0000-0000-00001F1C0000}"/>
    <cellStyle name="Normal 19 6 4 5" xfId="18799" xr:uid="{00000000-0005-0000-0000-0000201C0000}"/>
    <cellStyle name="Normal 19 6 5" xfId="7056" xr:uid="{00000000-0005-0000-0000-0000211C0000}"/>
    <cellStyle name="Normal 19 6 5 2" xfId="14319" xr:uid="{00000000-0005-0000-0000-0000221C0000}"/>
    <cellStyle name="Normal 19 6 5 2 2" xfId="30634" xr:uid="{00000000-0005-0000-0000-0000231C0000}"/>
    <cellStyle name="Normal 19 6 5 3" xfId="23669" xr:uid="{00000000-0005-0000-0000-0000241C0000}"/>
    <cellStyle name="Normal 19 6 6" xfId="10371" xr:uid="{00000000-0005-0000-0000-0000251C0000}"/>
    <cellStyle name="Normal 19 6 6 2" xfId="26969" xr:uid="{00000000-0005-0000-0000-0000261C0000}"/>
    <cellStyle name="Normal 19 6 7" xfId="3672" xr:uid="{00000000-0005-0000-0000-0000271C0000}"/>
    <cellStyle name="Normal 19 6 7 2" xfId="20395" xr:uid="{00000000-0005-0000-0000-0000281C0000}"/>
    <cellStyle name="Normal 19 6 8" xfId="17830" xr:uid="{00000000-0005-0000-0000-0000291C0000}"/>
    <cellStyle name="Normal 19 7" xfId="834" xr:uid="{00000000-0005-0000-0000-00002A1C0000}"/>
    <cellStyle name="Normal 19 7 2" xfId="1411" xr:uid="{00000000-0005-0000-0000-00002B1C0000}"/>
    <cellStyle name="Normal 19 7 2 2" xfId="2073" xr:uid="{00000000-0005-0000-0000-00002C1C0000}"/>
    <cellStyle name="Normal 19 7 2 2 2" xfId="9683" xr:uid="{00000000-0005-0000-0000-00002D1C0000}"/>
    <cellStyle name="Normal 19 7 2 2 2 2" xfId="16946" xr:uid="{00000000-0005-0000-0000-00002E1C0000}"/>
    <cellStyle name="Normal 19 7 2 2 2 2 2" xfId="33261" xr:uid="{00000000-0005-0000-0000-00002F1C0000}"/>
    <cellStyle name="Normal 19 7 2 2 2 3" xfId="26296" xr:uid="{00000000-0005-0000-0000-0000301C0000}"/>
    <cellStyle name="Normal 19 7 2 2 3" xfId="13025" xr:uid="{00000000-0005-0000-0000-0000311C0000}"/>
    <cellStyle name="Normal 19 7 2 2 3 2" xfId="29600" xr:uid="{00000000-0005-0000-0000-0000321C0000}"/>
    <cellStyle name="Normal 19 7 2 2 4" xfId="6332" xr:uid="{00000000-0005-0000-0000-0000331C0000}"/>
    <cellStyle name="Normal 19 7 2 2 4 2" xfId="22996" xr:uid="{00000000-0005-0000-0000-0000341C0000}"/>
    <cellStyle name="Normal 19 7 2 2 5" xfId="18804" xr:uid="{00000000-0005-0000-0000-0000351C0000}"/>
    <cellStyle name="Normal 19 7 2 3" xfId="8062" xr:uid="{00000000-0005-0000-0000-0000361C0000}"/>
    <cellStyle name="Normal 19 7 2 3 2" xfId="15325" xr:uid="{00000000-0005-0000-0000-0000371C0000}"/>
    <cellStyle name="Normal 19 7 2 3 2 2" xfId="31640" xr:uid="{00000000-0005-0000-0000-0000381C0000}"/>
    <cellStyle name="Normal 19 7 2 3 3" xfId="24675" xr:uid="{00000000-0005-0000-0000-0000391C0000}"/>
    <cellStyle name="Normal 19 7 2 4" xfId="11377" xr:uid="{00000000-0005-0000-0000-00003A1C0000}"/>
    <cellStyle name="Normal 19 7 2 4 2" xfId="27975" xr:uid="{00000000-0005-0000-0000-00003B1C0000}"/>
    <cellStyle name="Normal 19 7 2 5" xfId="3677" xr:uid="{00000000-0005-0000-0000-00003C1C0000}"/>
    <cellStyle name="Normal 19 7 2 5 2" xfId="20400" xr:uid="{00000000-0005-0000-0000-00003D1C0000}"/>
    <cellStyle name="Normal 19 7 2 6" xfId="18146" xr:uid="{00000000-0005-0000-0000-00003E1C0000}"/>
    <cellStyle name="Normal 19 7 3" xfId="2072" xr:uid="{00000000-0005-0000-0000-00003F1C0000}"/>
    <cellStyle name="Normal 19 7 3 2" xfId="8871" xr:uid="{00000000-0005-0000-0000-0000401C0000}"/>
    <cellStyle name="Normal 19 7 3 2 2" xfId="16134" xr:uid="{00000000-0005-0000-0000-0000411C0000}"/>
    <cellStyle name="Normal 19 7 3 2 2 2" xfId="32449" xr:uid="{00000000-0005-0000-0000-0000421C0000}"/>
    <cellStyle name="Normal 19 7 3 2 3" xfId="25484" xr:uid="{00000000-0005-0000-0000-0000431C0000}"/>
    <cellStyle name="Normal 19 7 3 3" xfId="12213" xr:uid="{00000000-0005-0000-0000-0000441C0000}"/>
    <cellStyle name="Normal 19 7 3 3 2" xfId="28788" xr:uid="{00000000-0005-0000-0000-0000451C0000}"/>
    <cellStyle name="Normal 19 7 3 4" xfId="5520" xr:uid="{00000000-0005-0000-0000-0000461C0000}"/>
    <cellStyle name="Normal 19 7 3 4 2" xfId="22184" xr:uid="{00000000-0005-0000-0000-0000471C0000}"/>
    <cellStyle name="Normal 19 7 3 5" xfId="18803" xr:uid="{00000000-0005-0000-0000-0000481C0000}"/>
    <cellStyle name="Normal 19 7 4" xfId="7250" xr:uid="{00000000-0005-0000-0000-0000491C0000}"/>
    <cellStyle name="Normal 19 7 4 2" xfId="14513" xr:uid="{00000000-0005-0000-0000-00004A1C0000}"/>
    <cellStyle name="Normal 19 7 4 2 2" xfId="30828" xr:uid="{00000000-0005-0000-0000-00004B1C0000}"/>
    <cellStyle name="Normal 19 7 4 3" xfId="23863" xr:uid="{00000000-0005-0000-0000-00004C1C0000}"/>
    <cellStyle name="Normal 19 7 5" xfId="10565" xr:uid="{00000000-0005-0000-0000-00004D1C0000}"/>
    <cellStyle name="Normal 19 7 5 2" xfId="27163" xr:uid="{00000000-0005-0000-0000-00004E1C0000}"/>
    <cellStyle name="Normal 19 7 6" xfId="3676" xr:uid="{00000000-0005-0000-0000-00004F1C0000}"/>
    <cellStyle name="Normal 19 7 6 2" xfId="20399" xr:uid="{00000000-0005-0000-0000-0000501C0000}"/>
    <cellStyle name="Normal 19 7 7" xfId="17627" xr:uid="{00000000-0005-0000-0000-0000511C0000}"/>
    <cellStyle name="Normal 19 8" xfId="719" xr:uid="{00000000-0005-0000-0000-0000521C0000}"/>
    <cellStyle name="Normal 19 8 2" xfId="2074" xr:uid="{00000000-0005-0000-0000-0000531C0000}"/>
    <cellStyle name="Normal 19 8 2 2" xfId="9277" xr:uid="{00000000-0005-0000-0000-0000541C0000}"/>
    <cellStyle name="Normal 19 8 2 2 2" xfId="16540" xr:uid="{00000000-0005-0000-0000-0000551C0000}"/>
    <cellStyle name="Normal 19 8 2 2 2 2" xfId="32855" xr:uid="{00000000-0005-0000-0000-0000561C0000}"/>
    <cellStyle name="Normal 19 8 2 2 3" xfId="25890" xr:uid="{00000000-0005-0000-0000-0000571C0000}"/>
    <cellStyle name="Normal 19 8 2 3" xfId="12619" xr:uid="{00000000-0005-0000-0000-0000581C0000}"/>
    <cellStyle name="Normal 19 8 2 3 2" xfId="29194" xr:uid="{00000000-0005-0000-0000-0000591C0000}"/>
    <cellStyle name="Normal 19 8 2 4" xfId="5926" xr:uid="{00000000-0005-0000-0000-00005A1C0000}"/>
    <cellStyle name="Normal 19 8 2 4 2" xfId="22590" xr:uid="{00000000-0005-0000-0000-00005B1C0000}"/>
    <cellStyle name="Normal 19 8 2 5" xfId="18805" xr:uid="{00000000-0005-0000-0000-00005C1C0000}"/>
    <cellStyle name="Normal 19 8 3" xfId="7656" xr:uid="{00000000-0005-0000-0000-00005D1C0000}"/>
    <cellStyle name="Normal 19 8 3 2" xfId="14919" xr:uid="{00000000-0005-0000-0000-00005E1C0000}"/>
    <cellStyle name="Normal 19 8 3 2 2" xfId="31234" xr:uid="{00000000-0005-0000-0000-00005F1C0000}"/>
    <cellStyle name="Normal 19 8 3 3" xfId="24269" xr:uid="{00000000-0005-0000-0000-0000601C0000}"/>
    <cellStyle name="Normal 19 8 4" xfId="10971" xr:uid="{00000000-0005-0000-0000-0000611C0000}"/>
    <cellStyle name="Normal 19 8 4 2" xfId="27569" xr:uid="{00000000-0005-0000-0000-0000621C0000}"/>
    <cellStyle name="Normal 19 8 5" xfId="3678" xr:uid="{00000000-0005-0000-0000-0000631C0000}"/>
    <cellStyle name="Normal 19 8 5 2" xfId="20401" xr:uid="{00000000-0005-0000-0000-0000641C0000}"/>
    <cellStyle name="Normal 19 8 6" xfId="17532" xr:uid="{00000000-0005-0000-0000-0000651C0000}"/>
    <cellStyle name="Normal 19 9" xfId="1316" xr:uid="{00000000-0005-0000-0000-0000661C0000}"/>
    <cellStyle name="Normal 19 9 2" xfId="8455" xr:uid="{00000000-0005-0000-0000-0000671C0000}"/>
    <cellStyle name="Normal 19 9 2 2" xfId="15718" xr:uid="{00000000-0005-0000-0000-0000681C0000}"/>
    <cellStyle name="Normal 19 9 2 2 2" xfId="32033" xr:uid="{00000000-0005-0000-0000-0000691C0000}"/>
    <cellStyle name="Normal 19 9 2 3" xfId="25068" xr:uid="{00000000-0005-0000-0000-00006A1C0000}"/>
    <cellStyle name="Normal 19 9 3" xfId="11796" xr:uid="{00000000-0005-0000-0000-00006B1C0000}"/>
    <cellStyle name="Normal 19 9 3 2" xfId="28372" xr:uid="{00000000-0005-0000-0000-00006C1C0000}"/>
    <cellStyle name="Normal 19 9 4" xfId="5097" xr:uid="{00000000-0005-0000-0000-00006D1C0000}"/>
    <cellStyle name="Normal 19 9 4 2" xfId="21768" xr:uid="{00000000-0005-0000-0000-00006E1C0000}"/>
    <cellStyle name="Normal 19 9 5" xfId="18051" xr:uid="{00000000-0005-0000-0000-00006F1C0000}"/>
    <cellStyle name="Normal 2" xfId="3" xr:uid="{00000000-0005-0000-0000-0000701C0000}"/>
    <cellStyle name="Normal 2 2" xfId="348" xr:uid="{00000000-0005-0000-0000-0000711C0000}"/>
    <cellStyle name="Normal 2 2 10" xfId="5110" xr:uid="{00000000-0005-0000-0000-0000721C0000}"/>
    <cellStyle name="Normal 2 2 10 2" xfId="8463" xr:uid="{00000000-0005-0000-0000-0000731C0000}"/>
    <cellStyle name="Normal 2 2 10 2 2" xfId="15726" xr:uid="{00000000-0005-0000-0000-0000741C0000}"/>
    <cellStyle name="Normal 2 2 10 2 2 2" xfId="32041" xr:uid="{00000000-0005-0000-0000-0000751C0000}"/>
    <cellStyle name="Normal 2 2 10 2 3" xfId="25076" xr:uid="{00000000-0005-0000-0000-0000761C0000}"/>
    <cellStyle name="Normal 2 2 10 3" xfId="11804" xr:uid="{00000000-0005-0000-0000-0000771C0000}"/>
    <cellStyle name="Normal 2 2 10 3 2" xfId="28380" xr:uid="{00000000-0005-0000-0000-0000781C0000}"/>
    <cellStyle name="Normal 2 2 10 4" xfId="21776" xr:uid="{00000000-0005-0000-0000-0000791C0000}"/>
    <cellStyle name="Normal 2 2 11" xfId="6849" xr:uid="{00000000-0005-0000-0000-00007A1C0000}"/>
    <cellStyle name="Normal 2 2 11 2" xfId="14112" xr:uid="{00000000-0005-0000-0000-00007B1C0000}"/>
    <cellStyle name="Normal 2 2 11 2 2" xfId="30427" xr:uid="{00000000-0005-0000-0000-00007C1C0000}"/>
    <cellStyle name="Normal 2 2 11 3" xfId="23462" xr:uid="{00000000-0005-0000-0000-00007D1C0000}"/>
    <cellStyle name="Normal 2 2 12" xfId="10153" xr:uid="{00000000-0005-0000-0000-00007E1C0000}"/>
    <cellStyle name="Normal 2 2 12 2" xfId="26762" xr:uid="{00000000-0005-0000-0000-00007F1C0000}"/>
    <cellStyle name="Normal 2 2 2" xfId="514" xr:uid="{00000000-0005-0000-0000-0000801C0000}"/>
    <cellStyle name="Normal 2 2 2 10" xfId="3679" xr:uid="{00000000-0005-0000-0000-0000811C0000}"/>
    <cellStyle name="Normal 2 2 2 10 2" xfId="20402" xr:uid="{00000000-0005-0000-0000-0000821C0000}"/>
    <cellStyle name="Normal 2 2 2 11" xfId="17412" xr:uid="{00000000-0005-0000-0000-0000831C0000}"/>
    <cellStyle name="Normal 2 2 2 2" xfId="515" xr:uid="{00000000-0005-0000-0000-0000841C0000}"/>
    <cellStyle name="Normal 2 2 2 2 2" xfId="6833" xr:uid="{00000000-0005-0000-0000-0000851C0000}"/>
    <cellStyle name="Normal 2 2 2 2 2 2" xfId="10139" xr:uid="{00000000-0005-0000-0000-0000861C0000}"/>
    <cellStyle name="Normal 2 2 2 2 2 2 2" xfId="17402" xr:uid="{00000000-0005-0000-0000-0000871C0000}"/>
    <cellStyle name="Normal 2 2 2 2 2 2 2 2" xfId="33717" xr:uid="{00000000-0005-0000-0000-0000881C0000}"/>
    <cellStyle name="Normal 2 2 2 2 2 2 3" xfId="26752" xr:uid="{00000000-0005-0000-0000-0000891C0000}"/>
    <cellStyle name="Normal 2 2 2 2 2 3" xfId="13484" xr:uid="{00000000-0005-0000-0000-00008A1C0000}"/>
    <cellStyle name="Normal 2 2 2 2 2 3 2" xfId="30056" xr:uid="{00000000-0005-0000-0000-00008B1C0000}"/>
    <cellStyle name="Normal 2 2 2 2 2 4" xfId="23452" xr:uid="{00000000-0005-0000-0000-00008C1C0000}"/>
    <cellStyle name="Normal 2 2 2 2 3" xfId="8454" xr:uid="{00000000-0005-0000-0000-00008D1C0000}"/>
    <cellStyle name="Normal 2 2 2 2 3 2" xfId="15717" xr:uid="{00000000-0005-0000-0000-00008E1C0000}"/>
    <cellStyle name="Normal 2 2 2 2 3 2 2" xfId="32032" xr:uid="{00000000-0005-0000-0000-00008F1C0000}"/>
    <cellStyle name="Normal 2 2 2 2 3 3" xfId="25067" xr:uid="{00000000-0005-0000-0000-0000901C0000}"/>
    <cellStyle name="Normal 2 2 2 2 4" xfId="11790" xr:uid="{00000000-0005-0000-0000-0000911C0000}"/>
    <cellStyle name="Normal 2 2 2 2 4 2" xfId="28370" xr:uid="{00000000-0005-0000-0000-0000921C0000}"/>
    <cellStyle name="Normal 2 2 2 2 5" xfId="5077" xr:uid="{00000000-0005-0000-0000-0000931C0000}"/>
    <cellStyle name="Normal 2 2 2 2 5 2" xfId="21767" xr:uid="{00000000-0005-0000-0000-0000941C0000}"/>
    <cellStyle name="Normal 2 2 2 3" xfId="594" xr:uid="{00000000-0005-0000-0000-0000951C0000}"/>
    <cellStyle name="Normal 2 2 2 3 2" xfId="685" xr:uid="{00000000-0005-0000-0000-0000961C0000}"/>
    <cellStyle name="Normal 2 2 2 3 2 2" xfId="1295" xr:uid="{00000000-0005-0000-0000-0000971C0000}"/>
    <cellStyle name="Normal 2 2 2 3 2 2 2" xfId="1814" xr:uid="{00000000-0005-0000-0000-0000981C0000}"/>
    <cellStyle name="Normal 2 2 2 3 2 2 2 2" xfId="18549" xr:uid="{00000000-0005-0000-0000-0000991C0000}"/>
    <cellStyle name="Normal 2 2 2 3 2 2 3" xfId="18030" xr:uid="{00000000-0005-0000-0000-00009A1C0000}"/>
    <cellStyle name="Normal 2 2 2 3 2 3" xfId="791" xr:uid="{00000000-0005-0000-0000-00009B1C0000}"/>
    <cellStyle name="Normal 2 2 2 3 2 3 2" xfId="17604" xr:uid="{00000000-0005-0000-0000-00009C1C0000}"/>
    <cellStyle name="Normal 2 2 2 3 2 4" xfId="1388" xr:uid="{00000000-0005-0000-0000-00009D1C0000}"/>
    <cellStyle name="Normal 2 2 2 3 2 4 2" xfId="18123" xr:uid="{00000000-0005-0000-0000-00009E1C0000}"/>
    <cellStyle name="Normal 2 2 2 3 2 5" xfId="17499" xr:uid="{00000000-0005-0000-0000-00009F1C0000}"/>
    <cellStyle name="Normal 2 2 2 3 3" xfId="647" xr:uid="{00000000-0005-0000-0000-0000A01C0000}"/>
    <cellStyle name="Normal 2 2 2 3 3 2" xfId="1285" xr:uid="{00000000-0005-0000-0000-0000A11C0000}"/>
    <cellStyle name="Normal 2 2 2 3 3 2 2" xfId="1804" xr:uid="{00000000-0005-0000-0000-0000A21C0000}"/>
    <cellStyle name="Normal 2 2 2 3 3 2 2 2" xfId="18539" xr:uid="{00000000-0005-0000-0000-0000A31C0000}"/>
    <cellStyle name="Normal 2 2 2 3 3 2 3" xfId="18020" xr:uid="{00000000-0005-0000-0000-0000A41C0000}"/>
    <cellStyle name="Normal 2 2 2 3 3 3" xfId="756" xr:uid="{00000000-0005-0000-0000-0000A51C0000}"/>
    <cellStyle name="Normal 2 2 2 3 3 3 2" xfId="17569" xr:uid="{00000000-0005-0000-0000-0000A61C0000}"/>
    <cellStyle name="Normal 2 2 2 3 3 4" xfId="1353" xr:uid="{00000000-0005-0000-0000-0000A71C0000}"/>
    <cellStyle name="Normal 2 2 2 3 3 4 2" xfId="18088" xr:uid="{00000000-0005-0000-0000-0000A81C0000}"/>
    <cellStyle name="Normal 2 2 2 3 3 5" xfId="17464" xr:uid="{00000000-0005-0000-0000-0000A91C0000}"/>
    <cellStyle name="Normal 2 2 2 3 4" xfId="1275" xr:uid="{00000000-0005-0000-0000-0000AA1C0000}"/>
    <cellStyle name="Normal 2 2 2 3 4 2" xfId="1794" xr:uid="{00000000-0005-0000-0000-0000AB1C0000}"/>
    <cellStyle name="Normal 2 2 2 3 4 2 2" xfId="18529" xr:uid="{00000000-0005-0000-0000-0000AC1C0000}"/>
    <cellStyle name="Normal 2 2 2 3 4 3" xfId="18010" xr:uid="{00000000-0005-0000-0000-0000AD1C0000}"/>
    <cellStyle name="Normal 2 2 2 3 5" xfId="721" xr:uid="{00000000-0005-0000-0000-0000AE1C0000}"/>
    <cellStyle name="Normal 2 2 2 3 5 2" xfId="17534" xr:uid="{00000000-0005-0000-0000-0000AF1C0000}"/>
    <cellStyle name="Normal 2 2 2 3 6" xfId="1318" xr:uid="{00000000-0005-0000-0000-0000B01C0000}"/>
    <cellStyle name="Normal 2 2 2 3 6 2" xfId="18053" xr:uid="{00000000-0005-0000-0000-0000B11C0000}"/>
    <cellStyle name="Normal 2 2 2 3 7" xfId="17429" xr:uid="{00000000-0005-0000-0000-0000B21C0000}"/>
    <cellStyle name="Normal 2 2 2 4" xfId="666" xr:uid="{00000000-0005-0000-0000-0000B31C0000}"/>
    <cellStyle name="Normal 2 2 2 4 2" xfId="1290" xr:uid="{00000000-0005-0000-0000-0000B41C0000}"/>
    <cellStyle name="Normal 2 2 2 4 2 2" xfId="1809" xr:uid="{00000000-0005-0000-0000-0000B51C0000}"/>
    <cellStyle name="Normal 2 2 2 4 2 2 2" xfId="18544" xr:uid="{00000000-0005-0000-0000-0000B61C0000}"/>
    <cellStyle name="Normal 2 2 2 4 2 3" xfId="18025" xr:uid="{00000000-0005-0000-0000-0000B71C0000}"/>
    <cellStyle name="Normal 2 2 2 4 3" xfId="774" xr:uid="{00000000-0005-0000-0000-0000B81C0000}"/>
    <cellStyle name="Normal 2 2 2 4 3 2" xfId="17587" xr:uid="{00000000-0005-0000-0000-0000B91C0000}"/>
    <cellStyle name="Normal 2 2 2 4 4" xfId="1371" xr:uid="{00000000-0005-0000-0000-0000BA1C0000}"/>
    <cellStyle name="Normal 2 2 2 4 4 2" xfId="18106" xr:uid="{00000000-0005-0000-0000-0000BB1C0000}"/>
    <cellStyle name="Normal 2 2 2 4 5" xfId="17482" xr:uid="{00000000-0005-0000-0000-0000BC1C0000}"/>
    <cellStyle name="Normal 2 2 2 5" xfId="628" xr:uid="{00000000-0005-0000-0000-0000BD1C0000}"/>
    <cellStyle name="Normal 2 2 2 5 2" xfId="1280" xr:uid="{00000000-0005-0000-0000-0000BE1C0000}"/>
    <cellStyle name="Normal 2 2 2 5 2 2" xfId="1799" xr:uid="{00000000-0005-0000-0000-0000BF1C0000}"/>
    <cellStyle name="Normal 2 2 2 5 2 2 2" xfId="18534" xr:uid="{00000000-0005-0000-0000-0000C01C0000}"/>
    <cellStyle name="Normal 2 2 2 5 2 3" xfId="18015" xr:uid="{00000000-0005-0000-0000-0000C11C0000}"/>
    <cellStyle name="Normal 2 2 2 5 3" xfId="739" xr:uid="{00000000-0005-0000-0000-0000C21C0000}"/>
    <cellStyle name="Normal 2 2 2 5 3 2" xfId="17552" xr:uid="{00000000-0005-0000-0000-0000C31C0000}"/>
    <cellStyle name="Normal 2 2 2 5 4" xfId="1336" xr:uid="{00000000-0005-0000-0000-0000C41C0000}"/>
    <cellStyle name="Normal 2 2 2 5 4 2" xfId="18071" xr:uid="{00000000-0005-0000-0000-0000C51C0000}"/>
    <cellStyle name="Normal 2 2 2 5 5" xfId="17447" xr:uid="{00000000-0005-0000-0000-0000C61C0000}"/>
    <cellStyle name="Normal 2 2 2 6" xfId="838" xr:uid="{00000000-0005-0000-0000-0000C71C0000}"/>
    <cellStyle name="Normal 2 2 2 6 2" xfId="1415" xr:uid="{00000000-0005-0000-0000-0000C81C0000}"/>
    <cellStyle name="Normal 2 2 2 6 2 2" xfId="18150" xr:uid="{00000000-0005-0000-0000-0000C91C0000}"/>
    <cellStyle name="Normal 2 2 2 6 3" xfId="17631" xr:uid="{00000000-0005-0000-0000-0000CA1C0000}"/>
    <cellStyle name="Normal 2 2 2 7" xfId="704" xr:uid="{00000000-0005-0000-0000-0000CB1C0000}"/>
    <cellStyle name="Normal 2 2 2 7 2" xfId="17517" xr:uid="{00000000-0005-0000-0000-0000CC1C0000}"/>
    <cellStyle name="Normal 2 2 2 8" xfId="1301" xr:uid="{00000000-0005-0000-0000-0000CD1C0000}"/>
    <cellStyle name="Normal 2 2 2 8 2" xfId="18036" xr:uid="{00000000-0005-0000-0000-0000CE1C0000}"/>
    <cellStyle name="Normal 2 2 2 9" xfId="2075" xr:uid="{00000000-0005-0000-0000-0000CF1C0000}"/>
    <cellStyle name="Normal 2 2 2 9 2" xfId="18806" xr:uid="{00000000-0005-0000-0000-0000D01C0000}"/>
    <cellStyle name="Normal 2 2 3" xfId="839" xr:uid="{00000000-0005-0000-0000-0000D11C0000}"/>
    <cellStyle name="Normal 2 2 3 10" xfId="3680" xr:uid="{00000000-0005-0000-0000-0000D21C0000}"/>
    <cellStyle name="Normal 2 2 3 10 2" xfId="20403" xr:uid="{00000000-0005-0000-0000-0000D31C0000}"/>
    <cellStyle name="Normal 2 2 3 11" xfId="17632" xr:uid="{00000000-0005-0000-0000-0000D41C0000}"/>
    <cellStyle name="Normal 2 2 3 2" xfId="913" xr:uid="{00000000-0005-0000-0000-0000D51C0000}"/>
    <cellStyle name="Normal 2 2 3 2 10" xfId="17691" xr:uid="{00000000-0005-0000-0000-0000D61C0000}"/>
    <cellStyle name="Normal 2 2 3 2 2" xfId="1020" xr:uid="{00000000-0005-0000-0000-0000D71C0000}"/>
    <cellStyle name="Normal 2 2 3 2 2 2" xfId="1112" xr:uid="{00000000-0005-0000-0000-0000D81C0000}"/>
    <cellStyle name="Normal 2 2 3 2 2 2 2" xfId="1633" xr:uid="{00000000-0005-0000-0000-0000D91C0000}"/>
    <cellStyle name="Normal 2 2 3 2 2 2 2 2" xfId="2081" xr:uid="{00000000-0005-0000-0000-0000DA1C0000}"/>
    <cellStyle name="Normal 2 2 3 2 2 2 2 2 2" xfId="6527" xr:uid="{00000000-0005-0000-0000-0000DB1C0000}"/>
    <cellStyle name="Normal 2 2 3 2 2 2 2 2 2 2" xfId="9878" xr:uid="{00000000-0005-0000-0000-0000DC1C0000}"/>
    <cellStyle name="Normal 2 2 3 2 2 2 2 2 2 2 2" xfId="17141" xr:uid="{00000000-0005-0000-0000-0000DD1C0000}"/>
    <cellStyle name="Normal 2 2 3 2 2 2 2 2 2 2 2 2" xfId="33456" xr:uid="{00000000-0005-0000-0000-0000DE1C0000}"/>
    <cellStyle name="Normal 2 2 3 2 2 2 2 2 2 2 3" xfId="26491" xr:uid="{00000000-0005-0000-0000-0000DF1C0000}"/>
    <cellStyle name="Normal 2 2 3 2 2 2 2 2 2 3" xfId="13220" xr:uid="{00000000-0005-0000-0000-0000E01C0000}"/>
    <cellStyle name="Normal 2 2 3 2 2 2 2 2 2 3 2" xfId="29795" xr:uid="{00000000-0005-0000-0000-0000E11C0000}"/>
    <cellStyle name="Normal 2 2 3 2 2 2 2 2 2 4" xfId="23191" xr:uid="{00000000-0005-0000-0000-0000E21C0000}"/>
    <cellStyle name="Normal 2 2 3 2 2 2 2 2 3" xfId="8257" xr:uid="{00000000-0005-0000-0000-0000E31C0000}"/>
    <cellStyle name="Normal 2 2 3 2 2 2 2 2 3 2" xfId="15520" xr:uid="{00000000-0005-0000-0000-0000E41C0000}"/>
    <cellStyle name="Normal 2 2 3 2 2 2 2 2 3 2 2" xfId="31835" xr:uid="{00000000-0005-0000-0000-0000E51C0000}"/>
    <cellStyle name="Normal 2 2 3 2 2 2 2 2 3 3" xfId="24870" xr:uid="{00000000-0005-0000-0000-0000E61C0000}"/>
    <cellStyle name="Normal 2 2 3 2 2 2 2 2 4" xfId="11572" xr:uid="{00000000-0005-0000-0000-0000E71C0000}"/>
    <cellStyle name="Normal 2 2 3 2 2 2 2 2 4 2" xfId="28170" xr:uid="{00000000-0005-0000-0000-0000E81C0000}"/>
    <cellStyle name="Normal 2 2 3 2 2 2 2 2 5" xfId="3685" xr:uid="{00000000-0005-0000-0000-0000E91C0000}"/>
    <cellStyle name="Normal 2 2 3 2 2 2 2 2 5 2" xfId="20408" xr:uid="{00000000-0005-0000-0000-0000EA1C0000}"/>
    <cellStyle name="Normal 2 2 3 2 2 2 2 2 6" xfId="18812" xr:uid="{00000000-0005-0000-0000-0000EB1C0000}"/>
    <cellStyle name="Normal 2 2 3 2 2 2 2 3" xfId="2080" xr:uid="{00000000-0005-0000-0000-0000EC1C0000}"/>
    <cellStyle name="Normal 2 2 3 2 2 2 2 3 2" xfId="9102" xr:uid="{00000000-0005-0000-0000-0000ED1C0000}"/>
    <cellStyle name="Normal 2 2 3 2 2 2 2 3 2 2" xfId="16365" xr:uid="{00000000-0005-0000-0000-0000EE1C0000}"/>
    <cellStyle name="Normal 2 2 3 2 2 2 2 3 2 2 2" xfId="32680" xr:uid="{00000000-0005-0000-0000-0000EF1C0000}"/>
    <cellStyle name="Normal 2 2 3 2 2 2 2 3 2 3" xfId="25715" xr:uid="{00000000-0005-0000-0000-0000F01C0000}"/>
    <cellStyle name="Normal 2 2 3 2 2 2 2 3 3" xfId="12444" xr:uid="{00000000-0005-0000-0000-0000F11C0000}"/>
    <cellStyle name="Normal 2 2 3 2 2 2 2 3 3 2" xfId="29019" xr:uid="{00000000-0005-0000-0000-0000F21C0000}"/>
    <cellStyle name="Normal 2 2 3 2 2 2 2 3 4" xfId="5751" xr:uid="{00000000-0005-0000-0000-0000F31C0000}"/>
    <cellStyle name="Normal 2 2 3 2 2 2 2 3 4 2" xfId="22415" xr:uid="{00000000-0005-0000-0000-0000F41C0000}"/>
    <cellStyle name="Normal 2 2 3 2 2 2 2 3 5" xfId="18811" xr:uid="{00000000-0005-0000-0000-0000F51C0000}"/>
    <cellStyle name="Normal 2 2 3 2 2 2 2 4" xfId="7481" xr:uid="{00000000-0005-0000-0000-0000F61C0000}"/>
    <cellStyle name="Normal 2 2 3 2 2 2 2 4 2" xfId="14744" xr:uid="{00000000-0005-0000-0000-0000F71C0000}"/>
    <cellStyle name="Normal 2 2 3 2 2 2 2 4 2 2" xfId="31059" xr:uid="{00000000-0005-0000-0000-0000F81C0000}"/>
    <cellStyle name="Normal 2 2 3 2 2 2 2 4 3" xfId="24094" xr:uid="{00000000-0005-0000-0000-0000F91C0000}"/>
    <cellStyle name="Normal 2 2 3 2 2 2 2 5" xfId="10796" xr:uid="{00000000-0005-0000-0000-0000FA1C0000}"/>
    <cellStyle name="Normal 2 2 3 2 2 2 2 5 2" xfId="27394" xr:uid="{00000000-0005-0000-0000-0000FB1C0000}"/>
    <cellStyle name="Normal 2 2 3 2 2 2 2 6" xfId="3684" xr:uid="{00000000-0005-0000-0000-0000FC1C0000}"/>
    <cellStyle name="Normal 2 2 3 2 2 2 2 6 2" xfId="20407" xr:uid="{00000000-0005-0000-0000-0000FD1C0000}"/>
    <cellStyle name="Normal 2 2 3 2 2 2 2 7" xfId="18368" xr:uid="{00000000-0005-0000-0000-0000FE1C0000}"/>
    <cellStyle name="Normal 2 2 3 2 2 2 3" xfId="2082" xr:uid="{00000000-0005-0000-0000-0000FF1C0000}"/>
    <cellStyle name="Normal 2 2 3 2 2 2 3 2" xfId="6157" xr:uid="{00000000-0005-0000-0000-0000001D0000}"/>
    <cellStyle name="Normal 2 2 3 2 2 2 3 2 2" xfId="9508" xr:uid="{00000000-0005-0000-0000-0000011D0000}"/>
    <cellStyle name="Normal 2 2 3 2 2 2 3 2 2 2" xfId="16771" xr:uid="{00000000-0005-0000-0000-0000021D0000}"/>
    <cellStyle name="Normal 2 2 3 2 2 2 3 2 2 2 2" xfId="33086" xr:uid="{00000000-0005-0000-0000-0000031D0000}"/>
    <cellStyle name="Normal 2 2 3 2 2 2 3 2 2 3" xfId="26121" xr:uid="{00000000-0005-0000-0000-0000041D0000}"/>
    <cellStyle name="Normal 2 2 3 2 2 2 3 2 3" xfId="12850" xr:uid="{00000000-0005-0000-0000-0000051D0000}"/>
    <cellStyle name="Normal 2 2 3 2 2 2 3 2 3 2" xfId="29425" xr:uid="{00000000-0005-0000-0000-0000061D0000}"/>
    <cellStyle name="Normal 2 2 3 2 2 2 3 2 4" xfId="22821" xr:uid="{00000000-0005-0000-0000-0000071D0000}"/>
    <cellStyle name="Normal 2 2 3 2 2 2 3 3" xfId="7887" xr:uid="{00000000-0005-0000-0000-0000081D0000}"/>
    <cellStyle name="Normal 2 2 3 2 2 2 3 3 2" xfId="15150" xr:uid="{00000000-0005-0000-0000-0000091D0000}"/>
    <cellStyle name="Normal 2 2 3 2 2 2 3 3 2 2" xfId="31465" xr:uid="{00000000-0005-0000-0000-00000A1D0000}"/>
    <cellStyle name="Normal 2 2 3 2 2 2 3 3 3" xfId="24500" xr:uid="{00000000-0005-0000-0000-00000B1D0000}"/>
    <cellStyle name="Normal 2 2 3 2 2 2 3 4" xfId="11202" xr:uid="{00000000-0005-0000-0000-00000C1D0000}"/>
    <cellStyle name="Normal 2 2 3 2 2 2 3 4 2" xfId="27800" xr:uid="{00000000-0005-0000-0000-00000D1D0000}"/>
    <cellStyle name="Normal 2 2 3 2 2 2 3 5" xfId="3686" xr:uid="{00000000-0005-0000-0000-00000E1D0000}"/>
    <cellStyle name="Normal 2 2 3 2 2 2 3 5 2" xfId="20409" xr:uid="{00000000-0005-0000-0000-00000F1D0000}"/>
    <cellStyle name="Normal 2 2 3 2 2 2 3 6" xfId="18813" xr:uid="{00000000-0005-0000-0000-0000101D0000}"/>
    <cellStyle name="Normal 2 2 3 2 2 2 4" xfId="2079" xr:uid="{00000000-0005-0000-0000-0000111D0000}"/>
    <cellStyle name="Normal 2 2 3 2 2 2 4 2" xfId="8695" xr:uid="{00000000-0005-0000-0000-0000121D0000}"/>
    <cellStyle name="Normal 2 2 3 2 2 2 4 2 2" xfId="15958" xr:uid="{00000000-0005-0000-0000-0000131D0000}"/>
    <cellStyle name="Normal 2 2 3 2 2 2 4 2 2 2" xfId="32273" xr:uid="{00000000-0005-0000-0000-0000141D0000}"/>
    <cellStyle name="Normal 2 2 3 2 2 2 4 2 3" xfId="25308" xr:uid="{00000000-0005-0000-0000-0000151D0000}"/>
    <cellStyle name="Normal 2 2 3 2 2 2 4 3" xfId="12037" xr:uid="{00000000-0005-0000-0000-0000161D0000}"/>
    <cellStyle name="Normal 2 2 3 2 2 2 4 3 2" xfId="28612" xr:uid="{00000000-0005-0000-0000-0000171D0000}"/>
    <cellStyle name="Normal 2 2 3 2 2 2 4 4" xfId="5344" xr:uid="{00000000-0005-0000-0000-0000181D0000}"/>
    <cellStyle name="Normal 2 2 3 2 2 2 4 4 2" xfId="22008" xr:uid="{00000000-0005-0000-0000-0000191D0000}"/>
    <cellStyle name="Normal 2 2 3 2 2 2 4 5" xfId="18810" xr:uid="{00000000-0005-0000-0000-00001A1D0000}"/>
    <cellStyle name="Normal 2 2 3 2 2 2 5" xfId="7075" xr:uid="{00000000-0005-0000-0000-00001B1D0000}"/>
    <cellStyle name="Normal 2 2 3 2 2 2 5 2" xfId="14338" xr:uid="{00000000-0005-0000-0000-00001C1D0000}"/>
    <cellStyle name="Normal 2 2 3 2 2 2 5 2 2" xfId="30653" xr:uid="{00000000-0005-0000-0000-00001D1D0000}"/>
    <cellStyle name="Normal 2 2 3 2 2 2 5 3" xfId="23688" xr:uid="{00000000-0005-0000-0000-00001E1D0000}"/>
    <cellStyle name="Normal 2 2 3 2 2 2 6" xfId="10390" xr:uid="{00000000-0005-0000-0000-00001F1D0000}"/>
    <cellStyle name="Normal 2 2 3 2 2 2 6 2" xfId="26988" xr:uid="{00000000-0005-0000-0000-0000201D0000}"/>
    <cellStyle name="Normal 2 2 3 2 2 2 7" xfId="3683" xr:uid="{00000000-0005-0000-0000-0000211D0000}"/>
    <cellStyle name="Normal 2 2 3 2 2 2 7 2" xfId="20406" xr:uid="{00000000-0005-0000-0000-0000221D0000}"/>
    <cellStyle name="Normal 2 2 3 2 2 2 8" xfId="17849" xr:uid="{00000000-0005-0000-0000-0000231D0000}"/>
    <cellStyle name="Normal 2 2 3 2 2 3" xfId="1581" xr:uid="{00000000-0005-0000-0000-0000241D0000}"/>
    <cellStyle name="Normal 2 2 3 2 2 3 2" xfId="2084" xr:uid="{00000000-0005-0000-0000-0000251D0000}"/>
    <cellStyle name="Normal 2 2 3 2 2 3 2 2" xfId="6351" xr:uid="{00000000-0005-0000-0000-0000261D0000}"/>
    <cellStyle name="Normal 2 2 3 2 2 3 2 2 2" xfId="9702" xr:uid="{00000000-0005-0000-0000-0000271D0000}"/>
    <cellStyle name="Normal 2 2 3 2 2 3 2 2 2 2" xfId="16965" xr:uid="{00000000-0005-0000-0000-0000281D0000}"/>
    <cellStyle name="Normal 2 2 3 2 2 3 2 2 2 2 2" xfId="33280" xr:uid="{00000000-0005-0000-0000-0000291D0000}"/>
    <cellStyle name="Normal 2 2 3 2 2 3 2 2 2 3" xfId="26315" xr:uid="{00000000-0005-0000-0000-00002A1D0000}"/>
    <cellStyle name="Normal 2 2 3 2 2 3 2 2 3" xfId="13044" xr:uid="{00000000-0005-0000-0000-00002B1D0000}"/>
    <cellStyle name="Normal 2 2 3 2 2 3 2 2 3 2" xfId="29619" xr:uid="{00000000-0005-0000-0000-00002C1D0000}"/>
    <cellStyle name="Normal 2 2 3 2 2 3 2 2 4" xfId="23015" xr:uid="{00000000-0005-0000-0000-00002D1D0000}"/>
    <cellStyle name="Normal 2 2 3 2 2 3 2 3" xfId="8081" xr:uid="{00000000-0005-0000-0000-00002E1D0000}"/>
    <cellStyle name="Normal 2 2 3 2 2 3 2 3 2" xfId="15344" xr:uid="{00000000-0005-0000-0000-00002F1D0000}"/>
    <cellStyle name="Normal 2 2 3 2 2 3 2 3 2 2" xfId="31659" xr:uid="{00000000-0005-0000-0000-0000301D0000}"/>
    <cellStyle name="Normal 2 2 3 2 2 3 2 3 3" xfId="24694" xr:uid="{00000000-0005-0000-0000-0000311D0000}"/>
    <cellStyle name="Normal 2 2 3 2 2 3 2 4" xfId="11396" xr:uid="{00000000-0005-0000-0000-0000321D0000}"/>
    <cellStyle name="Normal 2 2 3 2 2 3 2 4 2" xfId="27994" xr:uid="{00000000-0005-0000-0000-0000331D0000}"/>
    <cellStyle name="Normal 2 2 3 2 2 3 2 5" xfId="3688" xr:uid="{00000000-0005-0000-0000-0000341D0000}"/>
    <cellStyle name="Normal 2 2 3 2 2 3 2 5 2" xfId="20411" xr:uid="{00000000-0005-0000-0000-0000351D0000}"/>
    <cellStyle name="Normal 2 2 3 2 2 3 2 6" xfId="18815" xr:uid="{00000000-0005-0000-0000-0000361D0000}"/>
    <cellStyle name="Normal 2 2 3 2 2 3 3" xfId="2083" xr:uid="{00000000-0005-0000-0000-0000371D0000}"/>
    <cellStyle name="Normal 2 2 3 2 2 3 3 2" xfId="8890" xr:uid="{00000000-0005-0000-0000-0000381D0000}"/>
    <cellStyle name="Normal 2 2 3 2 2 3 3 2 2" xfId="16153" xr:uid="{00000000-0005-0000-0000-0000391D0000}"/>
    <cellStyle name="Normal 2 2 3 2 2 3 3 2 2 2" xfId="32468" xr:uid="{00000000-0005-0000-0000-00003A1D0000}"/>
    <cellStyle name="Normal 2 2 3 2 2 3 3 2 3" xfId="25503" xr:uid="{00000000-0005-0000-0000-00003B1D0000}"/>
    <cellStyle name="Normal 2 2 3 2 2 3 3 3" xfId="12232" xr:uid="{00000000-0005-0000-0000-00003C1D0000}"/>
    <cellStyle name="Normal 2 2 3 2 2 3 3 3 2" xfId="28807" xr:uid="{00000000-0005-0000-0000-00003D1D0000}"/>
    <cellStyle name="Normal 2 2 3 2 2 3 3 4" xfId="5539" xr:uid="{00000000-0005-0000-0000-00003E1D0000}"/>
    <cellStyle name="Normal 2 2 3 2 2 3 3 4 2" xfId="22203" xr:uid="{00000000-0005-0000-0000-00003F1D0000}"/>
    <cellStyle name="Normal 2 2 3 2 2 3 3 5" xfId="18814" xr:uid="{00000000-0005-0000-0000-0000401D0000}"/>
    <cellStyle name="Normal 2 2 3 2 2 3 4" xfId="7269" xr:uid="{00000000-0005-0000-0000-0000411D0000}"/>
    <cellStyle name="Normal 2 2 3 2 2 3 4 2" xfId="14532" xr:uid="{00000000-0005-0000-0000-0000421D0000}"/>
    <cellStyle name="Normal 2 2 3 2 2 3 4 2 2" xfId="30847" xr:uid="{00000000-0005-0000-0000-0000431D0000}"/>
    <cellStyle name="Normal 2 2 3 2 2 3 4 3" xfId="23882" xr:uid="{00000000-0005-0000-0000-0000441D0000}"/>
    <cellStyle name="Normal 2 2 3 2 2 3 5" xfId="10584" xr:uid="{00000000-0005-0000-0000-0000451D0000}"/>
    <cellStyle name="Normal 2 2 3 2 2 3 5 2" xfId="27182" xr:uid="{00000000-0005-0000-0000-0000461D0000}"/>
    <cellStyle name="Normal 2 2 3 2 2 3 6" xfId="3687" xr:uid="{00000000-0005-0000-0000-0000471D0000}"/>
    <cellStyle name="Normal 2 2 3 2 2 3 6 2" xfId="20410" xr:uid="{00000000-0005-0000-0000-0000481D0000}"/>
    <cellStyle name="Normal 2 2 3 2 2 3 7" xfId="18316" xr:uid="{00000000-0005-0000-0000-0000491D0000}"/>
    <cellStyle name="Normal 2 2 3 2 2 4" xfId="2085" xr:uid="{00000000-0005-0000-0000-00004A1D0000}"/>
    <cellStyle name="Normal 2 2 3 2 2 4 2" xfId="5945" xr:uid="{00000000-0005-0000-0000-00004B1D0000}"/>
    <cellStyle name="Normal 2 2 3 2 2 4 2 2" xfId="9296" xr:uid="{00000000-0005-0000-0000-00004C1D0000}"/>
    <cellStyle name="Normal 2 2 3 2 2 4 2 2 2" xfId="16559" xr:uid="{00000000-0005-0000-0000-00004D1D0000}"/>
    <cellStyle name="Normal 2 2 3 2 2 4 2 2 2 2" xfId="32874" xr:uid="{00000000-0005-0000-0000-00004E1D0000}"/>
    <cellStyle name="Normal 2 2 3 2 2 4 2 2 3" xfId="25909" xr:uid="{00000000-0005-0000-0000-00004F1D0000}"/>
    <cellStyle name="Normal 2 2 3 2 2 4 2 3" xfId="12638" xr:uid="{00000000-0005-0000-0000-0000501D0000}"/>
    <cellStyle name="Normal 2 2 3 2 2 4 2 3 2" xfId="29213" xr:uid="{00000000-0005-0000-0000-0000511D0000}"/>
    <cellStyle name="Normal 2 2 3 2 2 4 2 4" xfId="22609" xr:uid="{00000000-0005-0000-0000-0000521D0000}"/>
    <cellStyle name="Normal 2 2 3 2 2 4 3" xfId="7675" xr:uid="{00000000-0005-0000-0000-0000531D0000}"/>
    <cellStyle name="Normal 2 2 3 2 2 4 3 2" xfId="14938" xr:uid="{00000000-0005-0000-0000-0000541D0000}"/>
    <cellStyle name="Normal 2 2 3 2 2 4 3 2 2" xfId="31253" xr:uid="{00000000-0005-0000-0000-0000551D0000}"/>
    <cellStyle name="Normal 2 2 3 2 2 4 3 3" xfId="24288" xr:uid="{00000000-0005-0000-0000-0000561D0000}"/>
    <cellStyle name="Normal 2 2 3 2 2 4 4" xfId="10990" xr:uid="{00000000-0005-0000-0000-0000571D0000}"/>
    <cellStyle name="Normal 2 2 3 2 2 4 4 2" xfId="27588" xr:uid="{00000000-0005-0000-0000-0000581D0000}"/>
    <cellStyle name="Normal 2 2 3 2 2 4 5" xfId="3689" xr:uid="{00000000-0005-0000-0000-0000591D0000}"/>
    <cellStyle name="Normal 2 2 3 2 2 4 5 2" xfId="20412" xr:uid="{00000000-0005-0000-0000-00005A1D0000}"/>
    <cellStyle name="Normal 2 2 3 2 2 4 6" xfId="18816" xr:uid="{00000000-0005-0000-0000-00005B1D0000}"/>
    <cellStyle name="Normal 2 2 3 2 2 5" xfId="2078" xr:uid="{00000000-0005-0000-0000-00005C1D0000}"/>
    <cellStyle name="Normal 2 2 3 2 2 5 2" xfId="8642" xr:uid="{00000000-0005-0000-0000-00005D1D0000}"/>
    <cellStyle name="Normal 2 2 3 2 2 5 2 2" xfId="15905" xr:uid="{00000000-0005-0000-0000-00005E1D0000}"/>
    <cellStyle name="Normal 2 2 3 2 2 5 2 2 2" xfId="32220" xr:uid="{00000000-0005-0000-0000-00005F1D0000}"/>
    <cellStyle name="Normal 2 2 3 2 2 5 2 3" xfId="25255" xr:uid="{00000000-0005-0000-0000-0000601D0000}"/>
    <cellStyle name="Normal 2 2 3 2 2 5 3" xfId="11984" xr:uid="{00000000-0005-0000-0000-0000611D0000}"/>
    <cellStyle name="Normal 2 2 3 2 2 5 3 2" xfId="28559" xr:uid="{00000000-0005-0000-0000-0000621D0000}"/>
    <cellStyle name="Normal 2 2 3 2 2 5 4" xfId="5291" xr:uid="{00000000-0005-0000-0000-0000631D0000}"/>
    <cellStyle name="Normal 2 2 3 2 2 5 4 2" xfId="21955" xr:uid="{00000000-0005-0000-0000-0000641D0000}"/>
    <cellStyle name="Normal 2 2 3 2 2 5 5" xfId="18809" xr:uid="{00000000-0005-0000-0000-0000651D0000}"/>
    <cellStyle name="Normal 2 2 3 2 2 6" xfId="7023" xr:uid="{00000000-0005-0000-0000-0000661D0000}"/>
    <cellStyle name="Normal 2 2 3 2 2 6 2" xfId="14286" xr:uid="{00000000-0005-0000-0000-0000671D0000}"/>
    <cellStyle name="Normal 2 2 3 2 2 6 2 2" xfId="30601" xr:uid="{00000000-0005-0000-0000-0000681D0000}"/>
    <cellStyle name="Normal 2 2 3 2 2 6 3" xfId="23636" xr:uid="{00000000-0005-0000-0000-0000691D0000}"/>
    <cellStyle name="Normal 2 2 3 2 2 7" xfId="10337" xr:uid="{00000000-0005-0000-0000-00006A1D0000}"/>
    <cellStyle name="Normal 2 2 3 2 2 7 2" xfId="26936" xr:uid="{00000000-0005-0000-0000-00006B1D0000}"/>
    <cellStyle name="Normal 2 2 3 2 2 8" xfId="3682" xr:uid="{00000000-0005-0000-0000-00006C1D0000}"/>
    <cellStyle name="Normal 2 2 3 2 2 8 2" xfId="20405" xr:uid="{00000000-0005-0000-0000-00006D1D0000}"/>
    <cellStyle name="Normal 2 2 3 2 2 9" xfId="17797" xr:uid="{00000000-0005-0000-0000-00006E1D0000}"/>
    <cellStyle name="Normal 2 2 3 2 3" xfId="1111" xr:uid="{00000000-0005-0000-0000-00006F1D0000}"/>
    <cellStyle name="Normal 2 2 3 2 3 2" xfId="1632" xr:uid="{00000000-0005-0000-0000-0000701D0000}"/>
    <cellStyle name="Normal 2 2 3 2 3 2 2" xfId="2088" xr:uid="{00000000-0005-0000-0000-0000711D0000}"/>
    <cellStyle name="Normal 2 2 3 2 3 2 2 2" xfId="6526" xr:uid="{00000000-0005-0000-0000-0000721D0000}"/>
    <cellStyle name="Normal 2 2 3 2 3 2 2 2 2" xfId="9877" xr:uid="{00000000-0005-0000-0000-0000731D0000}"/>
    <cellStyle name="Normal 2 2 3 2 3 2 2 2 2 2" xfId="17140" xr:uid="{00000000-0005-0000-0000-0000741D0000}"/>
    <cellStyle name="Normal 2 2 3 2 3 2 2 2 2 2 2" xfId="33455" xr:uid="{00000000-0005-0000-0000-0000751D0000}"/>
    <cellStyle name="Normal 2 2 3 2 3 2 2 2 2 3" xfId="26490" xr:uid="{00000000-0005-0000-0000-0000761D0000}"/>
    <cellStyle name="Normal 2 2 3 2 3 2 2 2 3" xfId="13219" xr:uid="{00000000-0005-0000-0000-0000771D0000}"/>
    <cellStyle name="Normal 2 2 3 2 3 2 2 2 3 2" xfId="29794" xr:uid="{00000000-0005-0000-0000-0000781D0000}"/>
    <cellStyle name="Normal 2 2 3 2 3 2 2 2 4" xfId="23190" xr:uid="{00000000-0005-0000-0000-0000791D0000}"/>
    <cellStyle name="Normal 2 2 3 2 3 2 2 3" xfId="8256" xr:uid="{00000000-0005-0000-0000-00007A1D0000}"/>
    <cellStyle name="Normal 2 2 3 2 3 2 2 3 2" xfId="15519" xr:uid="{00000000-0005-0000-0000-00007B1D0000}"/>
    <cellStyle name="Normal 2 2 3 2 3 2 2 3 2 2" xfId="31834" xr:uid="{00000000-0005-0000-0000-00007C1D0000}"/>
    <cellStyle name="Normal 2 2 3 2 3 2 2 3 3" xfId="24869" xr:uid="{00000000-0005-0000-0000-00007D1D0000}"/>
    <cellStyle name="Normal 2 2 3 2 3 2 2 4" xfId="11571" xr:uid="{00000000-0005-0000-0000-00007E1D0000}"/>
    <cellStyle name="Normal 2 2 3 2 3 2 2 4 2" xfId="28169" xr:uid="{00000000-0005-0000-0000-00007F1D0000}"/>
    <cellStyle name="Normal 2 2 3 2 3 2 2 5" xfId="3692" xr:uid="{00000000-0005-0000-0000-0000801D0000}"/>
    <cellStyle name="Normal 2 2 3 2 3 2 2 5 2" xfId="20415" xr:uid="{00000000-0005-0000-0000-0000811D0000}"/>
    <cellStyle name="Normal 2 2 3 2 3 2 2 6" xfId="18819" xr:uid="{00000000-0005-0000-0000-0000821D0000}"/>
    <cellStyle name="Normal 2 2 3 2 3 2 3" xfId="2087" xr:uid="{00000000-0005-0000-0000-0000831D0000}"/>
    <cellStyle name="Normal 2 2 3 2 3 2 3 2" xfId="9101" xr:uid="{00000000-0005-0000-0000-0000841D0000}"/>
    <cellStyle name="Normal 2 2 3 2 3 2 3 2 2" xfId="16364" xr:uid="{00000000-0005-0000-0000-0000851D0000}"/>
    <cellStyle name="Normal 2 2 3 2 3 2 3 2 2 2" xfId="32679" xr:uid="{00000000-0005-0000-0000-0000861D0000}"/>
    <cellStyle name="Normal 2 2 3 2 3 2 3 2 3" xfId="25714" xr:uid="{00000000-0005-0000-0000-0000871D0000}"/>
    <cellStyle name="Normal 2 2 3 2 3 2 3 3" xfId="12443" xr:uid="{00000000-0005-0000-0000-0000881D0000}"/>
    <cellStyle name="Normal 2 2 3 2 3 2 3 3 2" xfId="29018" xr:uid="{00000000-0005-0000-0000-0000891D0000}"/>
    <cellStyle name="Normal 2 2 3 2 3 2 3 4" xfId="5750" xr:uid="{00000000-0005-0000-0000-00008A1D0000}"/>
    <cellStyle name="Normal 2 2 3 2 3 2 3 4 2" xfId="22414" xr:uid="{00000000-0005-0000-0000-00008B1D0000}"/>
    <cellStyle name="Normal 2 2 3 2 3 2 3 5" xfId="18818" xr:uid="{00000000-0005-0000-0000-00008C1D0000}"/>
    <cellStyle name="Normal 2 2 3 2 3 2 4" xfId="7480" xr:uid="{00000000-0005-0000-0000-00008D1D0000}"/>
    <cellStyle name="Normal 2 2 3 2 3 2 4 2" xfId="14743" xr:uid="{00000000-0005-0000-0000-00008E1D0000}"/>
    <cellStyle name="Normal 2 2 3 2 3 2 4 2 2" xfId="31058" xr:uid="{00000000-0005-0000-0000-00008F1D0000}"/>
    <cellStyle name="Normal 2 2 3 2 3 2 4 3" xfId="24093" xr:uid="{00000000-0005-0000-0000-0000901D0000}"/>
    <cellStyle name="Normal 2 2 3 2 3 2 5" xfId="10795" xr:uid="{00000000-0005-0000-0000-0000911D0000}"/>
    <cellStyle name="Normal 2 2 3 2 3 2 5 2" xfId="27393" xr:uid="{00000000-0005-0000-0000-0000921D0000}"/>
    <cellStyle name="Normal 2 2 3 2 3 2 6" xfId="3691" xr:uid="{00000000-0005-0000-0000-0000931D0000}"/>
    <cellStyle name="Normal 2 2 3 2 3 2 6 2" xfId="20414" xr:uid="{00000000-0005-0000-0000-0000941D0000}"/>
    <cellStyle name="Normal 2 2 3 2 3 2 7" xfId="18367" xr:uid="{00000000-0005-0000-0000-0000951D0000}"/>
    <cellStyle name="Normal 2 2 3 2 3 3" xfId="2089" xr:uid="{00000000-0005-0000-0000-0000961D0000}"/>
    <cellStyle name="Normal 2 2 3 2 3 3 2" xfId="6156" xr:uid="{00000000-0005-0000-0000-0000971D0000}"/>
    <cellStyle name="Normal 2 2 3 2 3 3 2 2" xfId="9507" xr:uid="{00000000-0005-0000-0000-0000981D0000}"/>
    <cellStyle name="Normal 2 2 3 2 3 3 2 2 2" xfId="16770" xr:uid="{00000000-0005-0000-0000-0000991D0000}"/>
    <cellStyle name="Normal 2 2 3 2 3 3 2 2 2 2" xfId="33085" xr:uid="{00000000-0005-0000-0000-00009A1D0000}"/>
    <cellStyle name="Normal 2 2 3 2 3 3 2 2 3" xfId="26120" xr:uid="{00000000-0005-0000-0000-00009B1D0000}"/>
    <cellStyle name="Normal 2 2 3 2 3 3 2 3" xfId="12849" xr:uid="{00000000-0005-0000-0000-00009C1D0000}"/>
    <cellStyle name="Normal 2 2 3 2 3 3 2 3 2" xfId="29424" xr:uid="{00000000-0005-0000-0000-00009D1D0000}"/>
    <cellStyle name="Normal 2 2 3 2 3 3 2 4" xfId="22820" xr:uid="{00000000-0005-0000-0000-00009E1D0000}"/>
    <cellStyle name="Normal 2 2 3 2 3 3 3" xfId="7886" xr:uid="{00000000-0005-0000-0000-00009F1D0000}"/>
    <cellStyle name="Normal 2 2 3 2 3 3 3 2" xfId="15149" xr:uid="{00000000-0005-0000-0000-0000A01D0000}"/>
    <cellStyle name="Normal 2 2 3 2 3 3 3 2 2" xfId="31464" xr:uid="{00000000-0005-0000-0000-0000A11D0000}"/>
    <cellStyle name="Normal 2 2 3 2 3 3 3 3" xfId="24499" xr:uid="{00000000-0005-0000-0000-0000A21D0000}"/>
    <cellStyle name="Normal 2 2 3 2 3 3 4" xfId="11201" xr:uid="{00000000-0005-0000-0000-0000A31D0000}"/>
    <cellStyle name="Normal 2 2 3 2 3 3 4 2" xfId="27799" xr:uid="{00000000-0005-0000-0000-0000A41D0000}"/>
    <cellStyle name="Normal 2 2 3 2 3 3 5" xfId="3693" xr:uid="{00000000-0005-0000-0000-0000A51D0000}"/>
    <cellStyle name="Normal 2 2 3 2 3 3 5 2" xfId="20416" xr:uid="{00000000-0005-0000-0000-0000A61D0000}"/>
    <cellStyle name="Normal 2 2 3 2 3 3 6" xfId="18820" xr:uid="{00000000-0005-0000-0000-0000A71D0000}"/>
    <cellStyle name="Normal 2 2 3 2 3 4" xfId="2086" xr:uid="{00000000-0005-0000-0000-0000A81D0000}"/>
    <cellStyle name="Normal 2 2 3 2 3 4 2" xfId="8694" xr:uid="{00000000-0005-0000-0000-0000A91D0000}"/>
    <cellStyle name="Normal 2 2 3 2 3 4 2 2" xfId="15957" xr:uid="{00000000-0005-0000-0000-0000AA1D0000}"/>
    <cellStyle name="Normal 2 2 3 2 3 4 2 2 2" xfId="32272" xr:uid="{00000000-0005-0000-0000-0000AB1D0000}"/>
    <cellStyle name="Normal 2 2 3 2 3 4 2 3" xfId="25307" xr:uid="{00000000-0005-0000-0000-0000AC1D0000}"/>
    <cellStyle name="Normal 2 2 3 2 3 4 3" xfId="12036" xr:uid="{00000000-0005-0000-0000-0000AD1D0000}"/>
    <cellStyle name="Normal 2 2 3 2 3 4 3 2" xfId="28611" xr:uid="{00000000-0005-0000-0000-0000AE1D0000}"/>
    <cellStyle name="Normal 2 2 3 2 3 4 4" xfId="5343" xr:uid="{00000000-0005-0000-0000-0000AF1D0000}"/>
    <cellStyle name="Normal 2 2 3 2 3 4 4 2" xfId="22007" xr:uid="{00000000-0005-0000-0000-0000B01D0000}"/>
    <cellStyle name="Normal 2 2 3 2 3 4 5" xfId="18817" xr:uid="{00000000-0005-0000-0000-0000B11D0000}"/>
    <cellStyle name="Normal 2 2 3 2 3 5" xfId="7074" xr:uid="{00000000-0005-0000-0000-0000B21D0000}"/>
    <cellStyle name="Normal 2 2 3 2 3 5 2" xfId="14337" xr:uid="{00000000-0005-0000-0000-0000B31D0000}"/>
    <cellStyle name="Normal 2 2 3 2 3 5 2 2" xfId="30652" xr:uid="{00000000-0005-0000-0000-0000B41D0000}"/>
    <cellStyle name="Normal 2 2 3 2 3 5 3" xfId="23687" xr:uid="{00000000-0005-0000-0000-0000B51D0000}"/>
    <cellStyle name="Normal 2 2 3 2 3 6" xfId="10389" xr:uid="{00000000-0005-0000-0000-0000B61D0000}"/>
    <cellStyle name="Normal 2 2 3 2 3 6 2" xfId="26987" xr:uid="{00000000-0005-0000-0000-0000B71D0000}"/>
    <cellStyle name="Normal 2 2 3 2 3 7" xfId="3690" xr:uid="{00000000-0005-0000-0000-0000B81D0000}"/>
    <cellStyle name="Normal 2 2 3 2 3 7 2" xfId="20413" xr:uid="{00000000-0005-0000-0000-0000B91D0000}"/>
    <cellStyle name="Normal 2 2 3 2 3 8" xfId="17848" xr:uid="{00000000-0005-0000-0000-0000BA1D0000}"/>
    <cellStyle name="Normal 2 2 3 2 4" xfId="1475" xr:uid="{00000000-0005-0000-0000-0000BB1D0000}"/>
    <cellStyle name="Normal 2 2 3 2 4 2" xfId="2091" xr:uid="{00000000-0005-0000-0000-0000BC1D0000}"/>
    <cellStyle name="Normal 2 2 3 2 4 2 2" xfId="6350" xr:uid="{00000000-0005-0000-0000-0000BD1D0000}"/>
    <cellStyle name="Normal 2 2 3 2 4 2 2 2" xfId="9701" xr:uid="{00000000-0005-0000-0000-0000BE1D0000}"/>
    <cellStyle name="Normal 2 2 3 2 4 2 2 2 2" xfId="16964" xr:uid="{00000000-0005-0000-0000-0000BF1D0000}"/>
    <cellStyle name="Normal 2 2 3 2 4 2 2 2 2 2" xfId="33279" xr:uid="{00000000-0005-0000-0000-0000C01D0000}"/>
    <cellStyle name="Normal 2 2 3 2 4 2 2 2 3" xfId="26314" xr:uid="{00000000-0005-0000-0000-0000C11D0000}"/>
    <cellStyle name="Normal 2 2 3 2 4 2 2 3" xfId="13043" xr:uid="{00000000-0005-0000-0000-0000C21D0000}"/>
    <cellStyle name="Normal 2 2 3 2 4 2 2 3 2" xfId="29618" xr:uid="{00000000-0005-0000-0000-0000C31D0000}"/>
    <cellStyle name="Normal 2 2 3 2 4 2 2 4" xfId="23014" xr:uid="{00000000-0005-0000-0000-0000C41D0000}"/>
    <cellStyle name="Normal 2 2 3 2 4 2 3" xfId="8080" xr:uid="{00000000-0005-0000-0000-0000C51D0000}"/>
    <cellStyle name="Normal 2 2 3 2 4 2 3 2" xfId="15343" xr:uid="{00000000-0005-0000-0000-0000C61D0000}"/>
    <cellStyle name="Normal 2 2 3 2 4 2 3 2 2" xfId="31658" xr:uid="{00000000-0005-0000-0000-0000C71D0000}"/>
    <cellStyle name="Normal 2 2 3 2 4 2 3 3" xfId="24693" xr:uid="{00000000-0005-0000-0000-0000C81D0000}"/>
    <cellStyle name="Normal 2 2 3 2 4 2 4" xfId="11395" xr:uid="{00000000-0005-0000-0000-0000C91D0000}"/>
    <cellStyle name="Normal 2 2 3 2 4 2 4 2" xfId="27993" xr:uid="{00000000-0005-0000-0000-0000CA1D0000}"/>
    <cellStyle name="Normal 2 2 3 2 4 2 5" xfId="3695" xr:uid="{00000000-0005-0000-0000-0000CB1D0000}"/>
    <cellStyle name="Normal 2 2 3 2 4 2 5 2" xfId="20418" xr:uid="{00000000-0005-0000-0000-0000CC1D0000}"/>
    <cellStyle name="Normal 2 2 3 2 4 2 6" xfId="18822" xr:uid="{00000000-0005-0000-0000-0000CD1D0000}"/>
    <cellStyle name="Normal 2 2 3 2 4 3" xfId="2090" xr:uid="{00000000-0005-0000-0000-0000CE1D0000}"/>
    <cellStyle name="Normal 2 2 3 2 4 3 2" xfId="8889" xr:uid="{00000000-0005-0000-0000-0000CF1D0000}"/>
    <cellStyle name="Normal 2 2 3 2 4 3 2 2" xfId="16152" xr:uid="{00000000-0005-0000-0000-0000D01D0000}"/>
    <cellStyle name="Normal 2 2 3 2 4 3 2 2 2" xfId="32467" xr:uid="{00000000-0005-0000-0000-0000D11D0000}"/>
    <cellStyle name="Normal 2 2 3 2 4 3 2 3" xfId="25502" xr:uid="{00000000-0005-0000-0000-0000D21D0000}"/>
    <cellStyle name="Normal 2 2 3 2 4 3 3" xfId="12231" xr:uid="{00000000-0005-0000-0000-0000D31D0000}"/>
    <cellStyle name="Normal 2 2 3 2 4 3 3 2" xfId="28806" xr:uid="{00000000-0005-0000-0000-0000D41D0000}"/>
    <cellStyle name="Normal 2 2 3 2 4 3 4" xfId="5538" xr:uid="{00000000-0005-0000-0000-0000D51D0000}"/>
    <cellStyle name="Normal 2 2 3 2 4 3 4 2" xfId="22202" xr:uid="{00000000-0005-0000-0000-0000D61D0000}"/>
    <cellStyle name="Normal 2 2 3 2 4 3 5" xfId="18821" xr:uid="{00000000-0005-0000-0000-0000D71D0000}"/>
    <cellStyle name="Normal 2 2 3 2 4 4" xfId="7268" xr:uid="{00000000-0005-0000-0000-0000D81D0000}"/>
    <cellStyle name="Normal 2 2 3 2 4 4 2" xfId="14531" xr:uid="{00000000-0005-0000-0000-0000D91D0000}"/>
    <cellStyle name="Normal 2 2 3 2 4 4 2 2" xfId="30846" xr:uid="{00000000-0005-0000-0000-0000DA1D0000}"/>
    <cellStyle name="Normal 2 2 3 2 4 4 3" xfId="23881" xr:uid="{00000000-0005-0000-0000-0000DB1D0000}"/>
    <cellStyle name="Normal 2 2 3 2 4 5" xfId="10583" xr:uid="{00000000-0005-0000-0000-0000DC1D0000}"/>
    <cellStyle name="Normal 2 2 3 2 4 5 2" xfId="27181" xr:uid="{00000000-0005-0000-0000-0000DD1D0000}"/>
    <cellStyle name="Normal 2 2 3 2 4 6" xfId="3694" xr:uid="{00000000-0005-0000-0000-0000DE1D0000}"/>
    <cellStyle name="Normal 2 2 3 2 4 6 2" xfId="20417" xr:uid="{00000000-0005-0000-0000-0000DF1D0000}"/>
    <cellStyle name="Normal 2 2 3 2 4 7" xfId="18210" xr:uid="{00000000-0005-0000-0000-0000E01D0000}"/>
    <cellStyle name="Normal 2 2 3 2 5" xfId="2092" xr:uid="{00000000-0005-0000-0000-0000E11D0000}"/>
    <cellStyle name="Normal 2 2 3 2 5 2" xfId="5944" xr:uid="{00000000-0005-0000-0000-0000E21D0000}"/>
    <cellStyle name="Normal 2 2 3 2 5 2 2" xfId="9295" xr:uid="{00000000-0005-0000-0000-0000E31D0000}"/>
    <cellStyle name="Normal 2 2 3 2 5 2 2 2" xfId="16558" xr:uid="{00000000-0005-0000-0000-0000E41D0000}"/>
    <cellStyle name="Normal 2 2 3 2 5 2 2 2 2" xfId="32873" xr:uid="{00000000-0005-0000-0000-0000E51D0000}"/>
    <cellStyle name="Normal 2 2 3 2 5 2 2 3" xfId="25908" xr:uid="{00000000-0005-0000-0000-0000E61D0000}"/>
    <cellStyle name="Normal 2 2 3 2 5 2 3" xfId="12637" xr:uid="{00000000-0005-0000-0000-0000E71D0000}"/>
    <cellStyle name="Normal 2 2 3 2 5 2 3 2" xfId="29212" xr:uid="{00000000-0005-0000-0000-0000E81D0000}"/>
    <cellStyle name="Normal 2 2 3 2 5 2 4" xfId="22608" xr:uid="{00000000-0005-0000-0000-0000E91D0000}"/>
    <cellStyle name="Normal 2 2 3 2 5 3" xfId="7674" xr:uid="{00000000-0005-0000-0000-0000EA1D0000}"/>
    <cellStyle name="Normal 2 2 3 2 5 3 2" xfId="14937" xr:uid="{00000000-0005-0000-0000-0000EB1D0000}"/>
    <cellStyle name="Normal 2 2 3 2 5 3 2 2" xfId="31252" xr:uid="{00000000-0005-0000-0000-0000EC1D0000}"/>
    <cellStyle name="Normal 2 2 3 2 5 3 3" xfId="24287" xr:uid="{00000000-0005-0000-0000-0000ED1D0000}"/>
    <cellStyle name="Normal 2 2 3 2 5 4" xfId="10989" xr:uid="{00000000-0005-0000-0000-0000EE1D0000}"/>
    <cellStyle name="Normal 2 2 3 2 5 4 2" xfId="27587" xr:uid="{00000000-0005-0000-0000-0000EF1D0000}"/>
    <cellStyle name="Normal 2 2 3 2 5 5" xfId="3696" xr:uid="{00000000-0005-0000-0000-0000F01D0000}"/>
    <cellStyle name="Normal 2 2 3 2 5 5 2" xfId="20419" xr:uid="{00000000-0005-0000-0000-0000F11D0000}"/>
    <cellStyle name="Normal 2 2 3 2 5 6" xfId="18823" xr:uid="{00000000-0005-0000-0000-0000F21D0000}"/>
    <cellStyle name="Normal 2 2 3 2 6" xfId="2077" xr:uid="{00000000-0005-0000-0000-0000F31D0000}"/>
    <cellStyle name="Normal 2 2 3 2 6 2" xfId="8536" xr:uid="{00000000-0005-0000-0000-0000F41D0000}"/>
    <cellStyle name="Normal 2 2 3 2 6 2 2" xfId="15799" xr:uid="{00000000-0005-0000-0000-0000F51D0000}"/>
    <cellStyle name="Normal 2 2 3 2 6 2 2 2" xfId="32114" xr:uid="{00000000-0005-0000-0000-0000F61D0000}"/>
    <cellStyle name="Normal 2 2 3 2 6 2 3" xfId="25149" xr:uid="{00000000-0005-0000-0000-0000F71D0000}"/>
    <cellStyle name="Normal 2 2 3 2 6 3" xfId="11878" xr:uid="{00000000-0005-0000-0000-0000F81D0000}"/>
    <cellStyle name="Normal 2 2 3 2 6 3 2" xfId="28453" xr:uid="{00000000-0005-0000-0000-0000F91D0000}"/>
    <cellStyle name="Normal 2 2 3 2 6 4" xfId="5185" xr:uid="{00000000-0005-0000-0000-0000FA1D0000}"/>
    <cellStyle name="Normal 2 2 3 2 6 4 2" xfId="21849" xr:uid="{00000000-0005-0000-0000-0000FB1D0000}"/>
    <cellStyle name="Normal 2 2 3 2 6 5" xfId="18808" xr:uid="{00000000-0005-0000-0000-0000FC1D0000}"/>
    <cellStyle name="Normal 2 2 3 2 7" xfId="6917" xr:uid="{00000000-0005-0000-0000-0000FD1D0000}"/>
    <cellStyle name="Normal 2 2 3 2 7 2" xfId="14180" xr:uid="{00000000-0005-0000-0000-0000FE1D0000}"/>
    <cellStyle name="Normal 2 2 3 2 7 2 2" xfId="30495" xr:uid="{00000000-0005-0000-0000-0000FF1D0000}"/>
    <cellStyle name="Normal 2 2 3 2 7 3" xfId="23530" xr:uid="{00000000-0005-0000-0000-0000001E0000}"/>
    <cellStyle name="Normal 2 2 3 2 8" xfId="10231" xr:uid="{00000000-0005-0000-0000-0000011E0000}"/>
    <cellStyle name="Normal 2 2 3 2 8 2" xfId="26830" xr:uid="{00000000-0005-0000-0000-0000021E0000}"/>
    <cellStyle name="Normal 2 2 3 2 9" xfId="3681" xr:uid="{00000000-0005-0000-0000-0000031E0000}"/>
    <cellStyle name="Normal 2 2 3 2 9 2" xfId="20404" xr:uid="{00000000-0005-0000-0000-0000041E0000}"/>
    <cellStyle name="Normal 2 2 3 3" xfId="966" xr:uid="{00000000-0005-0000-0000-0000051E0000}"/>
    <cellStyle name="Normal 2 2 3 3 2" xfId="1113" xr:uid="{00000000-0005-0000-0000-0000061E0000}"/>
    <cellStyle name="Normal 2 2 3 3 2 2" xfId="1634" xr:uid="{00000000-0005-0000-0000-0000071E0000}"/>
    <cellStyle name="Normal 2 2 3 3 2 2 2" xfId="2096" xr:uid="{00000000-0005-0000-0000-0000081E0000}"/>
    <cellStyle name="Normal 2 2 3 3 2 2 2 2" xfId="6528" xr:uid="{00000000-0005-0000-0000-0000091E0000}"/>
    <cellStyle name="Normal 2 2 3 3 2 2 2 2 2" xfId="9879" xr:uid="{00000000-0005-0000-0000-00000A1E0000}"/>
    <cellStyle name="Normal 2 2 3 3 2 2 2 2 2 2" xfId="17142" xr:uid="{00000000-0005-0000-0000-00000B1E0000}"/>
    <cellStyle name="Normal 2 2 3 3 2 2 2 2 2 2 2" xfId="33457" xr:uid="{00000000-0005-0000-0000-00000C1E0000}"/>
    <cellStyle name="Normal 2 2 3 3 2 2 2 2 2 3" xfId="26492" xr:uid="{00000000-0005-0000-0000-00000D1E0000}"/>
    <cellStyle name="Normal 2 2 3 3 2 2 2 2 3" xfId="13221" xr:uid="{00000000-0005-0000-0000-00000E1E0000}"/>
    <cellStyle name="Normal 2 2 3 3 2 2 2 2 3 2" xfId="29796" xr:uid="{00000000-0005-0000-0000-00000F1E0000}"/>
    <cellStyle name="Normal 2 2 3 3 2 2 2 2 4" xfId="23192" xr:uid="{00000000-0005-0000-0000-0000101E0000}"/>
    <cellStyle name="Normal 2 2 3 3 2 2 2 3" xfId="8258" xr:uid="{00000000-0005-0000-0000-0000111E0000}"/>
    <cellStyle name="Normal 2 2 3 3 2 2 2 3 2" xfId="15521" xr:uid="{00000000-0005-0000-0000-0000121E0000}"/>
    <cellStyle name="Normal 2 2 3 3 2 2 2 3 2 2" xfId="31836" xr:uid="{00000000-0005-0000-0000-0000131E0000}"/>
    <cellStyle name="Normal 2 2 3 3 2 2 2 3 3" xfId="24871" xr:uid="{00000000-0005-0000-0000-0000141E0000}"/>
    <cellStyle name="Normal 2 2 3 3 2 2 2 4" xfId="11573" xr:uid="{00000000-0005-0000-0000-0000151E0000}"/>
    <cellStyle name="Normal 2 2 3 3 2 2 2 4 2" xfId="28171" xr:uid="{00000000-0005-0000-0000-0000161E0000}"/>
    <cellStyle name="Normal 2 2 3 3 2 2 2 5" xfId="3700" xr:uid="{00000000-0005-0000-0000-0000171E0000}"/>
    <cellStyle name="Normal 2 2 3 3 2 2 2 5 2" xfId="20423" xr:uid="{00000000-0005-0000-0000-0000181E0000}"/>
    <cellStyle name="Normal 2 2 3 3 2 2 2 6" xfId="18827" xr:uid="{00000000-0005-0000-0000-0000191E0000}"/>
    <cellStyle name="Normal 2 2 3 3 2 2 3" xfId="2095" xr:uid="{00000000-0005-0000-0000-00001A1E0000}"/>
    <cellStyle name="Normal 2 2 3 3 2 2 3 2" xfId="9103" xr:uid="{00000000-0005-0000-0000-00001B1E0000}"/>
    <cellStyle name="Normal 2 2 3 3 2 2 3 2 2" xfId="16366" xr:uid="{00000000-0005-0000-0000-00001C1E0000}"/>
    <cellStyle name="Normal 2 2 3 3 2 2 3 2 2 2" xfId="32681" xr:uid="{00000000-0005-0000-0000-00001D1E0000}"/>
    <cellStyle name="Normal 2 2 3 3 2 2 3 2 3" xfId="25716" xr:uid="{00000000-0005-0000-0000-00001E1E0000}"/>
    <cellStyle name="Normal 2 2 3 3 2 2 3 3" xfId="12445" xr:uid="{00000000-0005-0000-0000-00001F1E0000}"/>
    <cellStyle name="Normal 2 2 3 3 2 2 3 3 2" xfId="29020" xr:uid="{00000000-0005-0000-0000-0000201E0000}"/>
    <cellStyle name="Normal 2 2 3 3 2 2 3 4" xfId="5752" xr:uid="{00000000-0005-0000-0000-0000211E0000}"/>
    <cellStyle name="Normal 2 2 3 3 2 2 3 4 2" xfId="22416" xr:uid="{00000000-0005-0000-0000-0000221E0000}"/>
    <cellStyle name="Normal 2 2 3 3 2 2 3 5" xfId="18826" xr:uid="{00000000-0005-0000-0000-0000231E0000}"/>
    <cellStyle name="Normal 2 2 3 3 2 2 4" xfId="7482" xr:uid="{00000000-0005-0000-0000-0000241E0000}"/>
    <cellStyle name="Normal 2 2 3 3 2 2 4 2" xfId="14745" xr:uid="{00000000-0005-0000-0000-0000251E0000}"/>
    <cellStyle name="Normal 2 2 3 3 2 2 4 2 2" xfId="31060" xr:uid="{00000000-0005-0000-0000-0000261E0000}"/>
    <cellStyle name="Normal 2 2 3 3 2 2 4 3" xfId="24095" xr:uid="{00000000-0005-0000-0000-0000271E0000}"/>
    <cellStyle name="Normal 2 2 3 3 2 2 5" xfId="10797" xr:uid="{00000000-0005-0000-0000-0000281E0000}"/>
    <cellStyle name="Normal 2 2 3 3 2 2 5 2" xfId="27395" xr:uid="{00000000-0005-0000-0000-0000291E0000}"/>
    <cellStyle name="Normal 2 2 3 3 2 2 6" xfId="3699" xr:uid="{00000000-0005-0000-0000-00002A1E0000}"/>
    <cellStyle name="Normal 2 2 3 3 2 2 6 2" xfId="20422" xr:uid="{00000000-0005-0000-0000-00002B1E0000}"/>
    <cellStyle name="Normal 2 2 3 3 2 2 7" xfId="18369" xr:uid="{00000000-0005-0000-0000-00002C1E0000}"/>
    <cellStyle name="Normal 2 2 3 3 2 3" xfId="2097" xr:uid="{00000000-0005-0000-0000-00002D1E0000}"/>
    <cellStyle name="Normal 2 2 3 3 2 3 2" xfId="6158" xr:uid="{00000000-0005-0000-0000-00002E1E0000}"/>
    <cellStyle name="Normal 2 2 3 3 2 3 2 2" xfId="9509" xr:uid="{00000000-0005-0000-0000-00002F1E0000}"/>
    <cellStyle name="Normal 2 2 3 3 2 3 2 2 2" xfId="16772" xr:uid="{00000000-0005-0000-0000-0000301E0000}"/>
    <cellStyle name="Normal 2 2 3 3 2 3 2 2 2 2" xfId="33087" xr:uid="{00000000-0005-0000-0000-0000311E0000}"/>
    <cellStyle name="Normal 2 2 3 3 2 3 2 2 3" xfId="26122" xr:uid="{00000000-0005-0000-0000-0000321E0000}"/>
    <cellStyle name="Normal 2 2 3 3 2 3 2 3" xfId="12851" xr:uid="{00000000-0005-0000-0000-0000331E0000}"/>
    <cellStyle name="Normal 2 2 3 3 2 3 2 3 2" xfId="29426" xr:uid="{00000000-0005-0000-0000-0000341E0000}"/>
    <cellStyle name="Normal 2 2 3 3 2 3 2 4" xfId="22822" xr:uid="{00000000-0005-0000-0000-0000351E0000}"/>
    <cellStyle name="Normal 2 2 3 3 2 3 3" xfId="7888" xr:uid="{00000000-0005-0000-0000-0000361E0000}"/>
    <cellStyle name="Normal 2 2 3 3 2 3 3 2" xfId="15151" xr:uid="{00000000-0005-0000-0000-0000371E0000}"/>
    <cellStyle name="Normal 2 2 3 3 2 3 3 2 2" xfId="31466" xr:uid="{00000000-0005-0000-0000-0000381E0000}"/>
    <cellStyle name="Normal 2 2 3 3 2 3 3 3" xfId="24501" xr:uid="{00000000-0005-0000-0000-0000391E0000}"/>
    <cellStyle name="Normal 2 2 3 3 2 3 4" xfId="11203" xr:uid="{00000000-0005-0000-0000-00003A1E0000}"/>
    <cellStyle name="Normal 2 2 3 3 2 3 4 2" xfId="27801" xr:uid="{00000000-0005-0000-0000-00003B1E0000}"/>
    <cellStyle name="Normal 2 2 3 3 2 3 5" xfId="3701" xr:uid="{00000000-0005-0000-0000-00003C1E0000}"/>
    <cellStyle name="Normal 2 2 3 3 2 3 5 2" xfId="20424" xr:uid="{00000000-0005-0000-0000-00003D1E0000}"/>
    <cellStyle name="Normal 2 2 3 3 2 3 6" xfId="18828" xr:uid="{00000000-0005-0000-0000-00003E1E0000}"/>
    <cellStyle name="Normal 2 2 3 3 2 4" xfId="2094" xr:uid="{00000000-0005-0000-0000-00003F1E0000}"/>
    <cellStyle name="Normal 2 2 3 3 2 4 2" xfId="8696" xr:uid="{00000000-0005-0000-0000-0000401E0000}"/>
    <cellStyle name="Normal 2 2 3 3 2 4 2 2" xfId="15959" xr:uid="{00000000-0005-0000-0000-0000411E0000}"/>
    <cellStyle name="Normal 2 2 3 3 2 4 2 2 2" xfId="32274" xr:uid="{00000000-0005-0000-0000-0000421E0000}"/>
    <cellStyle name="Normal 2 2 3 3 2 4 2 3" xfId="25309" xr:uid="{00000000-0005-0000-0000-0000431E0000}"/>
    <cellStyle name="Normal 2 2 3 3 2 4 3" xfId="12038" xr:uid="{00000000-0005-0000-0000-0000441E0000}"/>
    <cellStyle name="Normal 2 2 3 3 2 4 3 2" xfId="28613" xr:uid="{00000000-0005-0000-0000-0000451E0000}"/>
    <cellStyle name="Normal 2 2 3 3 2 4 4" xfId="5345" xr:uid="{00000000-0005-0000-0000-0000461E0000}"/>
    <cellStyle name="Normal 2 2 3 3 2 4 4 2" xfId="22009" xr:uid="{00000000-0005-0000-0000-0000471E0000}"/>
    <cellStyle name="Normal 2 2 3 3 2 4 5" xfId="18825" xr:uid="{00000000-0005-0000-0000-0000481E0000}"/>
    <cellStyle name="Normal 2 2 3 3 2 5" xfId="7076" xr:uid="{00000000-0005-0000-0000-0000491E0000}"/>
    <cellStyle name="Normal 2 2 3 3 2 5 2" xfId="14339" xr:uid="{00000000-0005-0000-0000-00004A1E0000}"/>
    <cellStyle name="Normal 2 2 3 3 2 5 2 2" xfId="30654" xr:uid="{00000000-0005-0000-0000-00004B1E0000}"/>
    <cellStyle name="Normal 2 2 3 3 2 5 3" xfId="23689" xr:uid="{00000000-0005-0000-0000-00004C1E0000}"/>
    <cellStyle name="Normal 2 2 3 3 2 6" xfId="10391" xr:uid="{00000000-0005-0000-0000-00004D1E0000}"/>
    <cellStyle name="Normal 2 2 3 3 2 6 2" xfId="26989" xr:uid="{00000000-0005-0000-0000-00004E1E0000}"/>
    <cellStyle name="Normal 2 2 3 3 2 7" xfId="3698" xr:uid="{00000000-0005-0000-0000-00004F1E0000}"/>
    <cellStyle name="Normal 2 2 3 3 2 7 2" xfId="20421" xr:uid="{00000000-0005-0000-0000-0000501E0000}"/>
    <cellStyle name="Normal 2 2 3 3 2 8" xfId="17850" xr:uid="{00000000-0005-0000-0000-0000511E0000}"/>
    <cellStyle name="Normal 2 2 3 3 3" xfId="1528" xr:uid="{00000000-0005-0000-0000-0000521E0000}"/>
    <cellStyle name="Normal 2 2 3 3 3 2" xfId="2099" xr:uid="{00000000-0005-0000-0000-0000531E0000}"/>
    <cellStyle name="Normal 2 2 3 3 3 2 2" xfId="6352" xr:uid="{00000000-0005-0000-0000-0000541E0000}"/>
    <cellStyle name="Normal 2 2 3 3 3 2 2 2" xfId="9703" xr:uid="{00000000-0005-0000-0000-0000551E0000}"/>
    <cellStyle name="Normal 2 2 3 3 3 2 2 2 2" xfId="16966" xr:uid="{00000000-0005-0000-0000-0000561E0000}"/>
    <cellStyle name="Normal 2 2 3 3 3 2 2 2 2 2" xfId="33281" xr:uid="{00000000-0005-0000-0000-0000571E0000}"/>
    <cellStyle name="Normal 2 2 3 3 3 2 2 2 3" xfId="26316" xr:uid="{00000000-0005-0000-0000-0000581E0000}"/>
    <cellStyle name="Normal 2 2 3 3 3 2 2 3" xfId="13045" xr:uid="{00000000-0005-0000-0000-0000591E0000}"/>
    <cellStyle name="Normal 2 2 3 3 3 2 2 3 2" xfId="29620" xr:uid="{00000000-0005-0000-0000-00005A1E0000}"/>
    <cellStyle name="Normal 2 2 3 3 3 2 2 4" xfId="23016" xr:uid="{00000000-0005-0000-0000-00005B1E0000}"/>
    <cellStyle name="Normal 2 2 3 3 3 2 3" xfId="8082" xr:uid="{00000000-0005-0000-0000-00005C1E0000}"/>
    <cellStyle name="Normal 2 2 3 3 3 2 3 2" xfId="15345" xr:uid="{00000000-0005-0000-0000-00005D1E0000}"/>
    <cellStyle name="Normal 2 2 3 3 3 2 3 2 2" xfId="31660" xr:uid="{00000000-0005-0000-0000-00005E1E0000}"/>
    <cellStyle name="Normal 2 2 3 3 3 2 3 3" xfId="24695" xr:uid="{00000000-0005-0000-0000-00005F1E0000}"/>
    <cellStyle name="Normal 2 2 3 3 3 2 4" xfId="11397" xr:uid="{00000000-0005-0000-0000-0000601E0000}"/>
    <cellStyle name="Normal 2 2 3 3 3 2 4 2" xfId="27995" xr:uid="{00000000-0005-0000-0000-0000611E0000}"/>
    <cellStyle name="Normal 2 2 3 3 3 2 5" xfId="3703" xr:uid="{00000000-0005-0000-0000-0000621E0000}"/>
    <cellStyle name="Normal 2 2 3 3 3 2 5 2" xfId="20426" xr:uid="{00000000-0005-0000-0000-0000631E0000}"/>
    <cellStyle name="Normal 2 2 3 3 3 2 6" xfId="18830" xr:uid="{00000000-0005-0000-0000-0000641E0000}"/>
    <cellStyle name="Normal 2 2 3 3 3 3" xfId="2098" xr:uid="{00000000-0005-0000-0000-0000651E0000}"/>
    <cellStyle name="Normal 2 2 3 3 3 3 2" xfId="8891" xr:uid="{00000000-0005-0000-0000-0000661E0000}"/>
    <cellStyle name="Normal 2 2 3 3 3 3 2 2" xfId="16154" xr:uid="{00000000-0005-0000-0000-0000671E0000}"/>
    <cellStyle name="Normal 2 2 3 3 3 3 2 2 2" xfId="32469" xr:uid="{00000000-0005-0000-0000-0000681E0000}"/>
    <cellStyle name="Normal 2 2 3 3 3 3 2 3" xfId="25504" xr:uid="{00000000-0005-0000-0000-0000691E0000}"/>
    <cellStyle name="Normal 2 2 3 3 3 3 3" xfId="12233" xr:uid="{00000000-0005-0000-0000-00006A1E0000}"/>
    <cellStyle name="Normal 2 2 3 3 3 3 3 2" xfId="28808" xr:uid="{00000000-0005-0000-0000-00006B1E0000}"/>
    <cellStyle name="Normal 2 2 3 3 3 3 4" xfId="5540" xr:uid="{00000000-0005-0000-0000-00006C1E0000}"/>
    <cellStyle name="Normal 2 2 3 3 3 3 4 2" xfId="22204" xr:uid="{00000000-0005-0000-0000-00006D1E0000}"/>
    <cellStyle name="Normal 2 2 3 3 3 3 5" xfId="18829" xr:uid="{00000000-0005-0000-0000-00006E1E0000}"/>
    <cellStyle name="Normal 2 2 3 3 3 4" xfId="7270" xr:uid="{00000000-0005-0000-0000-00006F1E0000}"/>
    <cellStyle name="Normal 2 2 3 3 3 4 2" xfId="14533" xr:uid="{00000000-0005-0000-0000-0000701E0000}"/>
    <cellStyle name="Normal 2 2 3 3 3 4 2 2" xfId="30848" xr:uid="{00000000-0005-0000-0000-0000711E0000}"/>
    <cellStyle name="Normal 2 2 3 3 3 4 3" xfId="23883" xr:uid="{00000000-0005-0000-0000-0000721E0000}"/>
    <cellStyle name="Normal 2 2 3 3 3 5" xfId="10585" xr:uid="{00000000-0005-0000-0000-0000731E0000}"/>
    <cellStyle name="Normal 2 2 3 3 3 5 2" xfId="27183" xr:uid="{00000000-0005-0000-0000-0000741E0000}"/>
    <cellStyle name="Normal 2 2 3 3 3 6" xfId="3702" xr:uid="{00000000-0005-0000-0000-0000751E0000}"/>
    <cellStyle name="Normal 2 2 3 3 3 6 2" xfId="20425" xr:uid="{00000000-0005-0000-0000-0000761E0000}"/>
    <cellStyle name="Normal 2 2 3 3 3 7" xfId="18263" xr:uid="{00000000-0005-0000-0000-0000771E0000}"/>
    <cellStyle name="Normal 2 2 3 3 4" xfId="2100" xr:uid="{00000000-0005-0000-0000-0000781E0000}"/>
    <cellStyle name="Normal 2 2 3 3 4 2" xfId="5946" xr:uid="{00000000-0005-0000-0000-0000791E0000}"/>
    <cellStyle name="Normal 2 2 3 3 4 2 2" xfId="9297" xr:uid="{00000000-0005-0000-0000-00007A1E0000}"/>
    <cellStyle name="Normal 2 2 3 3 4 2 2 2" xfId="16560" xr:uid="{00000000-0005-0000-0000-00007B1E0000}"/>
    <cellStyle name="Normal 2 2 3 3 4 2 2 2 2" xfId="32875" xr:uid="{00000000-0005-0000-0000-00007C1E0000}"/>
    <cellStyle name="Normal 2 2 3 3 4 2 2 3" xfId="25910" xr:uid="{00000000-0005-0000-0000-00007D1E0000}"/>
    <cellStyle name="Normal 2 2 3 3 4 2 3" xfId="12639" xr:uid="{00000000-0005-0000-0000-00007E1E0000}"/>
    <cellStyle name="Normal 2 2 3 3 4 2 3 2" xfId="29214" xr:uid="{00000000-0005-0000-0000-00007F1E0000}"/>
    <cellStyle name="Normal 2 2 3 3 4 2 4" xfId="22610" xr:uid="{00000000-0005-0000-0000-0000801E0000}"/>
    <cellStyle name="Normal 2 2 3 3 4 3" xfId="7676" xr:uid="{00000000-0005-0000-0000-0000811E0000}"/>
    <cellStyle name="Normal 2 2 3 3 4 3 2" xfId="14939" xr:uid="{00000000-0005-0000-0000-0000821E0000}"/>
    <cellStyle name="Normal 2 2 3 3 4 3 2 2" xfId="31254" xr:uid="{00000000-0005-0000-0000-0000831E0000}"/>
    <cellStyle name="Normal 2 2 3 3 4 3 3" xfId="24289" xr:uid="{00000000-0005-0000-0000-0000841E0000}"/>
    <cellStyle name="Normal 2 2 3 3 4 4" xfId="10991" xr:uid="{00000000-0005-0000-0000-0000851E0000}"/>
    <cellStyle name="Normal 2 2 3 3 4 4 2" xfId="27589" xr:uid="{00000000-0005-0000-0000-0000861E0000}"/>
    <cellStyle name="Normal 2 2 3 3 4 5" xfId="3704" xr:uid="{00000000-0005-0000-0000-0000871E0000}"/>
    <cellStyle name="Normal 2 2 3 3 4 5 2" xfId="20427" xr:uid="{00000000-0005-0000-0000-0000881E0000}"/>
    <cellStyle name="Normal 2 2 3 3 4 6" xfId="18831" xr:uid="{00000000-0005-0000-0000-0000891E0000}"/>
    <cellStyle name="Normal 2 2 3 3 5" xfId="2093" xr:uid="{00000000-0005-0000-0000-00008A1E0000}"/>
    <cellStyle name="Normal 2 2 3 3 5 2" xfId="8589" xr:uid="{00000000-0005-0000-0000-00008B1E0000}"/>
    <cellStyle name="Normal 2 2 3 3 5 2 2" xfId="15852" xr:uid="{00000000-0005-0000-0000-00008C1E0000}"/>
    <cellStyle name="Normal 2 2 3 3 5 2 2 2" xfId="32167" xr:uid="{00000000-0005-0000-0000-00008D1E0000}"/>
    <cellStyle name="Normal 2 2 3 3 5 2 3" xfId="25202" xr:uid="{00000000-0005-0000-0000-00008E1E0000}"/>
    <cellStyle name="Normal 2 2 3 3 5 3" xfId="11931" xr:uid="{00000000-0005-0000-0000-00008F1E0000}"/>
    <cellStyle name="Normal 2 2 3 3 5 3 2" xfId="28506" xr:uid="{00000000-0005-0000-0000-0000901E0000}"/>
    <cellStyle name="Normal 2 2 3 3 5 4" xfId="5238" xr:uid="{00000000-0005-0000-0000-0000911E0000}"/>
    <cellStyle name="Normal 2 2 3 3 5 4 2" xfId="21902" xr:uid="{00000000-0005-0000-0000-0000921E0000}"/>
    <cellStyle name="Normal 2 2 3 3 5 5" xfId="18824" xr:uid="{00000000-0005-0000-0000-0000931E0000}"/>
    <cellStyle name="Normal 2 2 3 3 6" xfId="6970" xr:uid="{00000000-0005-0000-0000-0000941E0000}"/>
    <cellStyle name="Normal 2 2 3 3 6 2" xfId="14233" xr:uid="{00000000-0005-0000-0000-0000951E0000}"/>
    <cellStyle name="Normal 2 2 3 3 6 2 2" xfId="30548" xr:uid="{00000000-0005-0000-0000-0000961E0000}"/>
    <cellStyle name="Normal 2 2 3 3 6 3" xfId="23583" xr:uid="{00000000-0005-0000-0000-0000971E0000}"/>
    <cellStyle name="Normal 2 2 3 3 7" xfId="10284" xr:uid="{00000000-0005-0000-0000-0000981E0000}"/>
    <cellStyle name="Normal 2 2 3 3 7 2" xfId="26883" xr:uid="{00000000-0005-0000-0000-0000991E0000}"/>
    <cellStyle name="Normal 2 2 3 3 8" xfId="3697" xr:uid="{00000000-0005-0000-0000-00009A1E0000}"/>
    <cellStyle name="Normal 2 2 3 3 8 2" xfId="20420" xr:uid="{00000000-0005-0000-0000-00009B1E0000}"/>
    <cellStyle name="Normal 2 2 3 3 9" xfId="17744" xr:uid="{00000000-0005-0000-0000-00009C1E0000}"/>
    <cellStyle name="Normal 2 2 3 4" xfId="1110" xr:uid="{00000000-0005-0000-0000-00009D1E0000}"/>
    <cellStyle name="Normal 2 2 3 4 2" xfId="1631" xr:uid="{00000000-0005-0000-0000-00009E1E0000}"/>
    <cellStyle name="Normal 2 2 3 4 2 2" xfId="2103" xr:uid="{00000000-0005-0000-0000-00009F1E0000}"/>
    <cellStyle name="Normal 2 2 3 4 2 2 2" xfId="6525" xr:uid="{00000000-0005-0000-0000-0000A01E0000}"/>
    <cellStyle name="Normal 2 2 3 4 2 2 2 2" xfId="9876" xr:uid="{00000000-0005-0000-0000-0000A11E0000}"/>
    <cellStyle name="Normal 2 2 3 4 2 2 2 2 2" xfId="17139" xr:uid="{00000000-0005-0000-0000-0000A21E0000}"/>
    <cellStyle name="Normal 2 2 3 4 2 2 2 2 2 2" xfId="33454" xr:uid="{00000000-0005-0000-0000-0000A31E0000}"/>
    <cellStyle name="Normal 2 2 3 4 2 2 2 2 3" xfId="26489" xr:uid="{00000000-0005-0000-0000-0000A41E0000}"/>
    <cellStyle name="Normal 2 2 3 4 2 2 2 3" xfId="13218" xr:uid="{00000000-0005-0000-0000-0000A51E0000}"/>
    <cellStyle name="Normal 2 2 3 4 2 2 2 3 2" xfId="29793" xr:uid="{00000000-0005-0000-0000-0000A61E0000}"/>
    <cellStyle name="Normal 2 2 3 4 2 2 2 4" xfId="23189" xr:uid="{00000000-0005-0000-0000-0000A71E0000}"/>
    <cellStyle name="Normal 2 2 3 4 2 2 3" xfId="8255" xr:uid="{00000000-0005-0000-0000-0000A81E0000}"/>
    <cellStyle name="Normal 2 2 3 4 2 2 3 2" xfId="15518" xr:uid="{00000000-0005-0000-0000-0000A91E0000}"/>
    <cellStyle name="Normal 2 2 3 4 2 2 3 2 2" xfId="31833" xr:uid="{00000000-0005-0000-0000-0000AA1E0000}"/>
    <cellStyle name="Normal 2 2 3 4 2 2 3 3" xfId="24868" xr:uid="{00000000-0005-0000-0000-0000AB1E0000}"/>
    <cellStyle name="Normal 2 2 3 4 2 2 4" xfId="11570" xr:uid="{00000000-0005-0000-0000-0000AC1E0000}"/>
    <cellStyle name="Normal 2 2 3 4 2 2 4 2" xfId="28168" xr:uid="{00000000-0005-0000-0000-0000AD1E0000}"/>
    <cellStyle name="Normal 2 2 3 4 2 2 5" xfId="3707" xr:uid="{00000000-0005-0000-0000-0000AE1E0000}"/>
    <cellStyle name="Normal 2 2 3 4 2 2 5 2" xfId="20430" xr:uid="{00000000-0005-0000-0000-0000AF1E0000}"/>
    <cellStyle name="Normal 2 2 3 4 2 2 6" xfId="18834" xr:uid="{00000000-0005-0000-0000-0000B01E0000}"/>
    <cellStyle name="Normal 2 2 3 4 2 3" xfId="2102" xr:uid="{00000000-0005-0000-0000-0000B11E0000}"/>
    <cellStyle name="Normal 2 2 3 4 2 3 2" xfId="9100" xr:uid="{00000000-0005-0000-0000-0000B21E0000}"/>
    <cellStyle name="Normal 2 2 3 4 2 3 2 2" xfId="16363" xr:uid="{00000000-0005-0000-0000-0000B31E0000}"/>
    <cellStyle name="Normal 2 2 3 4 2 3 2 2 2" xfId="32678" xr:uid="{00000000-0005-0000-0000-0000B41E0000}"/>
    <cellStyle name="Normal 2 2 3 4 2 3 2 3" xfId="25713" xr:uid="{00000000-0005-0000-0000-0000B51E0000}"/>
    <cellStyle name="Normal 2 2 3 4 2 3 3" xfId="12442" xr:uid="{00000000-0005-0000-0000-0000B61E0000}"/>
    <cellStyle name="Normal 2 2 3 4 2 3 3 2" xfId="29017" xr:uid="{00000000-0005-0000-0000-0000B71E0000}"/>
    <cellStyle name="Normal 2 2 3 4 2 3 4" xfId="5749" xr:uid="{00000000-0005-0000-0000-0000B81E0000}"/>
    <cellStyle name="Normal 2 2 3 4 2 3 4 2" xfId="22413" xr:uid="{00000000-0005-0000-0000-0000B91E0000}"/>
    <cellStyle name="Normal 2 2 3 4 2 3 5" xfId="18833" xr:uid="{00000000-0005-0000-0000-0000BA1E0000}"/>
    <cellStyle name="Normal 2 2 3 4 2 4" xfId="7479" xr:uid="{00000000-0005-0000-0000-0000BB1E0000}"/>
    <cellStyle name="Normal 2 2 3 4 2 4 2" xfId="14742" xr:uid="{00000000-0005-0000-0000-0000BC1E0000}"/>
    <cellStyle name="Normal 2 2 3 4 2 4 2 2" xfId="31057" xr:uid="{00000000-0005-0000-0000-0000BD1E0000}"/>
    <cellStyle name="Normal 2 2 3 4 2 4 3" xfId="24092" xr:uid="{00000000-0005-0000-0000-0000BE1E0000}"/>
    <cellStyle name="Normal 2 2 3 4 2 5" xfId="10794" xr:uid="{00000000-0005-0000-0000-0000BF1E0000}"/>
    <cellStyle name="Normal 2 2 3 4 2 5 2" xfId="27392" xr:uid="{00000000-0005-0000-0000-0000C01E0000}"/>
    <cellStyle name="Normal 2 2 3 4 2 6" xfId="3706" xr:uid="{00000000-0005-0000-0000-0000C11E0000}"/>
    <cellStyle name="Normal 2 2 3 4 2 6 2" xfId="20429" xr:uid="{00000000-0005-0000-0000-0000C21E0000}"/>
    <cellStyle name="Normal 2 2 3 4 2 7" xfId="18366" xr:uid="{00000000-0005-0000-0000-0000C31E0000}"/>
    <cellStyle name="Normal 2 2 3 4 3" xfId="2104" xr:uid="{00000000-0005-0000-0000-0000C41E0000}"/>
    <cellStyle name="Normal 2 2 3 4 3 2" xfId="6155" xr:uid="{00000000-0005-0000-0000-0000C51E0000}"/>
    <cellStyle name="Normal 2 2 3 4 3 2 2" xfId="9506" xr:uid="{00000000-0005-0000-0000-0000C61E0000}"/>
    <cellStyle name="Normal 2 2 3 4 3 2 2 2" xfId="16769" xr:uid="{00000000-0005-0000-0000-0000C71E0000}"/>
    <cellStyle name="Normal 2 2 3 4 3 2 2 2 2" xfId="33084" xr:uid="{00000000-0005-0000-0000-0000C81E0000}"/>
    <cellStyle name="Normal 2 2 3 4 3 2 2 3" xfId="26119" xr:uid="{00000000-0005-0000-0000-0000C91E0000}"/>
    <cellStyle name="Normal 2 2 3 4 3 2 3" xfId="12848" xr:uid="{00000000-0005-0000-0000-0000CA1E0000}"/>
    <cellStyle name="Normal 2 2 3 4 3 2 3 2" xfId="29423" xr:uid="{00000000-0005-0000-0000-0000CB1E0000}"/>
    <cellStyle name="Normal 2 2 3 4 3 2 4" xfId="22819" xr:uid="{00000000-0005-0000-0000-0000CC1E0000}"/>
    <cellStyle name="Normal 2 2 3 4 3 3" xfId="7885" xr:uid="{00000000-0005-0000-0000-0000CD1E0000}"/>
    <cellStyle name="Normal 2 2 3 4 3 3 2" xfId="15148" xr:uid="{00000000-0005-0000-0000-0000CE1E0000}"/>
    <cellStyle name="Normal 2 2 3 4 3 3 2 2" xfId="31463" xr:uid="{00000000-0005-0000-0000-0000CF1E0000}"/>
    <cellStyle name="Normal 2 2 3 4 3 3 3" xfId="24498" xr:uid="{00000000-0005-0000-0000-0000D01E0000}"/>
    <cellStyle name="Normal 2 2 3 4 3 4" xfId="11200" xr:uid="{00000000-0005-0000-0000-0000D11E0000}"/>
    <cellStyle name="Normal 2 2 3 4 3 4 2" xfId="27798" xr:uid="{00000000-0005-0000-0000-0000D21E0000}"/>
    <cellStyle name="Normal 2 2 3 4 3 5" xfId="3708" xr:uid="{00000000-0005-0000-0000-0000D31E0000}"/>
    <cellStyle name="Normal 2 2 3 4 3 5 2" xfId="20431" xr:uid="{00000000-0005-0000-0000-0000D41E0000}"/>
    <cellStyle name="Normal 2 2 3 4 3 6" xfId="18835" xr:uid="{00000000-0005-0000-0000-0000D51E0000}"/>
    <cellStyle name="Normal 2 2 3 4 4" xfId="2101" xr:uid="{00000000-0005-0000-0000-0000D61E0000}"/>
    <cellStyle name="Normal 2 2 3 4 4 2" xfId="8693" xr:uid="{00000000-0005-0000-0000-0000D71E0000}"/>
    <cellStyle name="Normal 2 2 3 4 4 2 2" xfId="15956" xr:uid="{00000000-0005-0000-0000-0000D81E0000}"/>
    <cellStyle name="Normal 2 2 3 4 4 2 2 2" xfId="32271" xr:uid="{00000000-0005-0000-0000-0000D91E0000}"/>
    <cellStyle name="Normal 2 2 3 4 4 2 3" xfId="25306" xr:uid="{00000000-0005-0000-0000-0000DA1E0000}"/>
    <cellStyle name="Normal 2 2 3 4 4 3" xfId="12035" xr:uid="{00000000-0005-0000-0000-0000DB1E0000}"/>
    <cellStyle name="Normal 2 2 3 4 4 3 2" xfId="28610" xr:uid="{00000000-0005-0000-0000-0000DC1E0000}"/>
    <cellStyle name="Normal 2 2 3 4 4 4" xfId="5342" xr:uid="{00000000-0005-0000-0000-0000DD1E0000}"/>
    <cellStyle name="Normal 2 2 3 4 4 4 2" xfId="22006" xr:uid="{00000000-0005-0000-0000-0000DE1E0000}"/>
    <cellStyle name="Normal 2 2 3 4 4 5" xfId="18832" xr:uid="{00000000-0005-0000-0000-0000DF1E0000}"/>
    <cellStyle name="Normal 2 2 3 4 5" xfId="7073" xr:uid="{00000000-0005-0000-0000-0000E01E0000}"/>
    <cellStyle name="Normal 2 2 3 4 5 2" xfId="14336" xr:uid="{00000000-0005-0000-0000-0000E11E0000}"/>
    <cellStyle name="Normal 2 2 3 4 5 2 2" xfId="30651" xr:uid="{00000000-0005-0000-0000-0000E21E0000}"/>
    <cellStyle name="Normal 2 2 3 4 5 3" xfId="23686" xr:uid="{00000000-0005-0000-0000-0000E31E0000}"/>
    <cellStyle name="Normal 2 2 3 4 6" xfId="10388" xr:uid="{00000000-0005-0000-0000-0000E41E0000}"/>
    <cellStyle name="Normal 2 2 3 4 6 2" xfId="26986" xr:uid="{00000000-0005-0000-0000-0000E51E0000}"/>
    <cellStyle name="Normal 2 2 3 4 7" xfId="3705" xr:uid="{00000000-0005-0000-0000-0000E61E0000}"/>
    <cellStyle name="Normal 2 2 3 4 7 2" xfId="20428" xr:uid="{00000000-0005-0000-0000-0000E71E0000}"/>
    <cellStyle name="Normal 2 2 3 4 8" xfId="17847" xr:uid="{00000000-0005-0000-0000-0000E81E0000}"/>
    <cellStyle name="Normal 2 2 3 5" xfId="1416" xr:uid="{00000000-0005-0000-0000-0000E91E0000}"/>
    <cellStyle name="Normal 2 2 3 5 2" xfId="2106" xr:uid="{00000000-0005-0000-0000-0000EA1E0000}"/>
    <cellStyle name="Normal 2 2 3 5 2 2" xfId="6349" xr:uid="{00000000-0005-0000-0000-0000EB1E0000}"/>
    <cellStyle name="Normal 2 2 3 5 2 2 2" xfId="9700" xr:uid="{00000000-0005-0000-0000-0000EC1E0000}"/>
    <cellStyle name="Normal 2 2 3 5 2 2 2 2" xfId="16963" xr:uid="{00000000-0005-0000-0000-0000ED1E0000}"/>
    <cellStyle name="Normal 2 2 3 5 2 2 2 2 2" xfId="33278" xr:uid="{00000000-0005-0000-0000-0000EE1E0000}"/>
    <cellStyle name="Normal 2 2 3 5 2 2 2 3" xfId="26313" xr:uid="{00000000-0005-0000-0000-0000EF1E0000}"/>
    <cellStyle name="Normal 2 2 3 5 2 2 3" xfId="13042" xr:uid="{00000000-0005-0000-0000-0000F01E0000}"/>
    <cellStyle name="Normal 2 2 3 5 2 2 3 2" xfId="29617" xr:uid="{00000000-0005-0000-0000-0000F11E0000}"/>
    <cellStyle name="Normal 2 2 3 5 2 2 4" xfId="23013" xr:uid="{00000000-0005-0000-0000-0000F21E0000}"/>
    <cellStyle name="Normal 2 2 3 5 2 3" xfId="8079" xr:uid="{00000000-0005-0000-0000-0000F31E0000}"/>
    <cellStyle name="Normal 2 2 3 5 2 3 2" xfId="15342" xr:uid="{00000000-0005-0000-0000-0000F41E0000}"/>
    <cellStyle name="Normal 2 2 3 5 2 3 2 2" xfId="31657" xr:uid="{00000000-0005-0000-0000-0000F51E0000}"/>
    <cellStyle name="Normal 2 2 3 5 2 3 3" xfId="24692" xr:uid="{00000000-0005-0000-0000-0000F61E0000}"/>
    <cellStyle name="Normal 2 2 3 5 2 4" xfId="11394" xr:uid="{00000000-0005-0000-0000-0000F71E0000}"/>
    <cellStyle name="Normal 2 2 3 5 2 4 2" xfId="27992" xr:uid="{00000000-0005-0000-0000-0000F81E0000}"/>
    <cellStyle name="Normal 2 2 3 5 2 5" xfId="3710" xr:uid="{00000000-0005-0000-0000-0000F91E0000}"/>
    <cellStyle name="Normal 2 2 3 5 2 5 2" xfId="20433" xr:uid="{00000000-0005-0000-0000-0000FA1E0000}"/>
    <cellStyle name="Normal 2 2 3 5 2 6" xfId="18837" xr:uid="{00000000-0005-0000-0000-0000FB1E0000}"/>
    <cellStyle name="Normal 2 2 3 5 3" xfId="2105" xr:uid="{00000000-0005-0000-0000-0000FC1E0000}"/>
    <cellStyle name="Normal 2 2 3 5 3 2" xfId="8888" xr:uid="{00000000-0005-0000-0000-0000FD1E0000}"/>
    <cellStyle name="Normal 2 2 3 5 3 2 2" xfId="16151" xr:uid="{00000000-0005-0000-0000-0000FE1E0000}"/>
    <cellStyle name="Normal 2 2 3 5 3 2 2 2" xfId="32466" xr:uid="{00000000-0005-0000-0000-0000FF1E0000}"/>
    <cellStyle name="Normal 2 2 3 5 3 2 3" xfId="25501" xr:uid="{00000000-0005-0000-0000-0000001F0000}"/>
    <cellStyle name="Normal 2 2 3 5 3 3" xfId="12230" xr:uid="{00000000-0005-0000-0000-0000011F0000}"/>
    <cellStyle name="Normal 2 2 3 5 3 3 2" xfId="28805" xr:uid="{00000000-0005-0000-0000-0000021F0000}"/>
    <cellStyle name="Normal 2 2 3 5 3 4" xfId="5537" xr:uid="{00000000-0005-0000-0000-0000031F0000}"/>
    <cellStyle name="Normal 2 2 3 5 3 4 2" xfId="22201" xr:uid="{00000000-0005-0000-0000-0000041F0000}"/>
    <cellStyle name="Normal 2 2 3 5 3 5" xfId="18836" xr:uid="{00000000-0005-0000-0000-0000051F0000}"/>
    <cellStyle name="Normal 2 2 3 5 4" xfId="7267" xr:uid="{00000000-0005-0000-0000-0000061F0000}"/>
    <cellStyle name="Normal 2 2 3 5 4 2" xfId="14530" xr:uid="{00000000-0005-0000-0000-0000071F0000}"/>
    <cellStyle name="Normal 2 2 3 5 4 2 2" xfId="30845" xr:uid="{00000000-0005-0000-0000-0000081F0000}"/>
    <cellStyle name="Normal 2 2 3 5 4 3" xfId="23880" xr:uid="{00000000-0005-0000-0000-0000091F0000}"/>
    <cellStyle name="Normal 2 2 3 5 5" xfId="10582" xr:uid="{00000000-0005-0000-0000-00000A1F0000}"/>
    <cellStyle name="Normal 2 2 3 5 5 2" xfId="27180" xr:uid="{00000000-0005-0000-0000-00000B1F0000}"/>
    <cellStyle name="Normal 2 2 3 5 6" xfId="3709" xr:uid="{00000000-0005-0000-0000-00000C1F0000}"/>
    <cellStyle name="Normal 2 2 3 5 6 2" xfId="20432" xr:uid="{00000000-0005-0000-0000-00000D1F0000}"/>
    <cellStyle name="Normal 2 2 3 5 7" xfId="18151" xr:uid="{00000000-0005-0000-0000-00000E1F0000}"/>
    <cellStyle name="Normal 2 2 3 6" xfId="2107" xr:uid="{00000000-0005-0000-0000-00000F1F0000}"/>
    <cellStyle name="Normal 2 2 3 6 2" xfId="5943" xr:uid="{00000000-0005-0000-0000-0000101F0000}"/>
    <cellStyle name="Normal 2 2 3 6 2 2" xfId="9294" xr:uid="{00000000-0005-0000-0000-0000111F0000}"/>
    <cellStyle name="Normal 2 2 3 6 2 2 2" xfId="16557" xr:uid="{00000000-0005-0000-0000-0000121F0000}"/>
    <cellStyle name="Normal 2 2 3 6 2 2 2 2" xfId="32872" xr:uid="{00000000-0005-0000-0000-0000131F0000}"/>
    <cellStyle name="Normal 2 2 3 6 2 2 3" xfId="25907" xr:uid="{00000000-0005-0000-0000-0000141F0000}"/>
    <cellStyle name="Normal 2 2 3 6 2 3" xfId="12636" xr:uid="{00000000-0005-0000-0000-0000151F0000}"/>
    <cellStyle name="Normal 2 2 3 6 2 3 2" xfId="29211" xr:uid="{00000000-0005-0000-0000-0000161F0000}"/>
    <cellStyle name="Normal 2 2 3 6 2 4" xfId="22607" xr:uid="{00000000-0005-0000-0000-0000171F0000}"/>
    <cellStyle name="Normal 2 2 3 6 3" xfId="7673" xr:uid="{00000000-0005-0000-0000-0000181F0000}"/>
    <cellStyle name="Normal 2 2 3 6 3 2" xfId="14936" xr:uid="{00000000-0005-0000-0000-0000191F0000}"/>
    <cellStyle name="Normal 2 2 3 6 3 2 2" xfId="31251" xr:uid="{00000000-0005-0000-0000-00001A1F0000}"/>
    <cellStyle name="Normal 2 2 3 6 3 3" xfId="24286" xr:uid="{00000000-0005-0000-0000-00001B1F0000}"/>
    <cellStyle name="Normal 2 2 3 6 4" xfId="10988" xr:uid="{00000000-0005-0000-0000-00001C1F0000}"/>
    <cellStyle name="Normal 2 2 3 6 4 2" xfId="27586" xr:uid="{00000000-0005-0000-0000-00001D1F0000}"/>
    <cellStyle name="Normal 2 2 3 6 5" xfId="3711" xr:uid="{00000000-0005-0000-0000-00001E1F0000}"/>
    <cellStyle name="Normal 2 2 3 6 5 2" xfId="20434" xr:uid="{00000000-0005-0000-0000-00001F1F0000}"/>
    <cellStyle name="Normal 2 2 3 6 6" xfId="18838" xr:uid="{00000000-0005-0000-0000-0000201F0000}"/>
    <cellStyle name="Normal 2 2 3 7" xfId="2076" xr:uid="{00000000-0005-0000-0000-0000211F0000}"/>
    <cellStyle name="Normal 2 2 3 7 2" xfId="8483" xr:uid="{00000000-0005-0000-0000-0000221F0000}"/>
    <cellStyle name="Normal 2 2 3 7 2 2" xfId="15746" xr:uid="{00000000-0005-0000-0000-0000231F0000}"/>
    <cellStyle name="Normal 2 2 3 7 2 2 2" xfId="32061" xr:uid="{00000000-0005-0000-0000-0000241F0000}"/>
    <cellStyle name="Normal 2 2 3 7 2 3" xfId="25096" xr:uid="{00000000-0005-0000-0000-0000251F0000}"/>
    <cellStyle name="Normal 2 2 3 7 3" xfId="11824" xr:uid="{00000000-0005-0000-0000-0000261F0000}"/>
    <cellStyle name="Normal 2 2 3 7 3 2" xfId="28400" xr:uid="{00000000-0005-0000-0000-0000271F0000}"/>
    <cellStyle name="Normal 2 2 3 7 4" xfId="5130" xr:uid="{00000000-0005-0000-0000-0000281F0000}"/>
    <cellStyle name="Normal 2 2 3 7 4 2" xfId="21796" xr:uid="{00000000-0005-0000-0000-0000291F0000}"/>
    <cellStyle name="Normal 2 2 3 7 5" xfId="18807" xr:uid="{00000000-0005-0000-0000-00002A1F0000}"/>
    <cellStyle name="Normal 2 2 3 8" xfId="6864" xr:uid="{00000000-0005-0000-0000-00002B1F0000}"/>
    <cellStyle name="Normal 2 2 3 8 2" xfId="14127" xr:uid="{00000000-0005-0000-0000-00002C1F0000}"/>
    <cellStyle name="Normal 2 2 3 8 2 2" xfId="30442" xr:uid="{00000000-0005-0000-0000-00002D1F0000}"/>
    <cellStyle name="Normal 2 2 3 8 3" xfId="23477" xr:uid="{00000000-0005-0000-0000-00002E1F0000}"/>
    <cellStyle name="Normal 2 2 3 9" xfId="10177" xr:uid="{00000000-0005-0000-0000-00002F1F0000}"/>
    <cellStyle name="Normal 2 2 3 9 2" xfId="26777" xr:uid="{00000000-0005-0000-0000-0000301F0000}"/>
    <cellStyle name="Normal 2 2 4" xfId="898" xr:uid="{00000000-0005-0000-0000-0000311F0000}"/>
    <cellStyle name="Normal 2 2 4 10" xfId="17676" xr:uid="{00000000-0005-0000-0000-0000321F0000}"/>
    <cellStyle name="Normal 2 2 4 2" xfId="1005" xr:uid="{00000000-0005-0000-0000-0000331F0000}"/>
    <cellStyle name="Normal 2 2 4 2 2" xfId="1115" xr:uid="{00000000-0005-0000-0000-0000341F0000}"/>
    <cellStyle name="Normal 2 2 4 2 2 2" xfId="1636" xr:uid="{00000000-0005-0000-0000-0000351F0000}"/>
    <cellStyle name="Normal 2 2 4 2 2 2 2" xfId="2112" xr:uid="{00000000-0005-0000-0000-0000361F0000}"/>
    <cellStyle name="Normal 2 2 4 2 2 2 2 2" xfId="6530" xr:uid="{00000000-0005-0000-0000-0000371F0000}"/>
    <cellStyle name="Normal 2 2 4 2 2 2 2 2 2" xfId="9881" xr:uid="{00000000-0005-0000-0000-0000381F0000}"/>
    <cellStyle name="Normal 2 2 4 2 2 2 2 2 2 2" xfId="17144" xr:uid="{00000000-0005-0000-0000-0000391F0000}"/>
    <cellStyle name="Normal 2 2 4 2 2 2 2 2 2 2 2" xfId="33459" xr:uid="{00000000-0005-0000-0000-00003A1F0000}"/>
    <cellStyle name="Normal 2 2 4 2 2 2 2 2 2 3" xfId="26494" xr:uid="{00000000-0005-0000-0000-00003B1F0000}"/>
    <cellStyle name="Normal 2 2 4 2 2 2 2 2 3" xfId="13223" xr:uid="{00000000-0005-0000-0000-00003C1F0000}"/>
    <cellStyle name="Normal 2 2 4 2 2 2 2 2 3 2" xfId="29798" xr:uid="{00000000-0005-0000-0000-00003D1F0000}"/>
    <cellStyle name="Normal 2 2 4 2 2 2 2 2 4" xfId="23194" xr:uid="{00000000-0005-0000-0000-00003E1F0000}"/>
    <cellStyle name="Normal 2 2 4 2 2 2 2 3" xfId="8260" xr:uid="{00000000-0005-0000-0000-00003F1F0000}"/>
    <cellStyle name="Normal 2 2 4 2 2 2 2 3 2" xfId="15523" xr:uid="{00000000-0005-0000-0000-0000401F0000}"/>
    <cellStyle name="Normal 2 2 4 2 2 2 2 3 2 2" xfId="31838" xr:uid="{00000000-0005-0000-0000-0000411F0000}"/>
    <cellStyle name="Normal 2 2 4 2 2 2 2 3 3" xfId="24873" xr:uid="{00000000-0005-0000-0000-0000421F0000}"/>
    <cellStyle name="Normal 2 2 4 2 2 2 2 4" xfId="11575" xr:uid="{00000000-0005-0000-0000-0000431F0000}"/>
    <cellStyle name="Normal 2 2 4 2 2 2 2 4 2" xfId="28173" xr:uid="{00000000-0005-0000-0000-0000441F0000}"/>
    <cellStyle name="Normal 2 2 4 2 2 2 2 5" xfId="3716" xr:uid="{00000000-0005-0000-0000-0000451F0000}"/>
    <cellStyle name="Normal 2 2 4 2 2 2 2 5 2" xfId="20439" xr:uid="{00000000-0005-0000-0000-0000461F0000}"/>
    <cellStyle name="Normal 2 2 4 2 2 2 2 6" xfId="18843" xr:uid="{00000000-0005-0000-0000-0000471F0000}"/>
    <cellStyle name="Normal 2 2 4 2 2 2 3" xfId="2111" xr:uid="{00000000-0005-0000-0000-0000481F0000}"/>
    <cellStyle name="Normal 2 2 4 2 2 2 3 2" xfId="9105" xr:uid="{00000000-0005-0000-0000-0000491F0000}"/>
    <cellStyle name="Normal 2 2 4 2 2 2 3 2 2" xfId="16368" xr:uid="{00000000-0005-0000-0000-00004A1F0000}"/>
    <cellStyle name="Normal 2 2 4 2 2 2 3 2 2 2" xfId="32683" xr:uid="{00000000-0005-0000-0000-00004B1F0000}"/>
    <cellStyle name="Normal 2 2 4 2 2 2 3 2 3" xfId="25718" xr:uid="{00000000-0005-0000-0000-00004C1F0000}"/>
    <cellStyle name="Normal 2 2 4 2 2 2 3 3" xfId="12447" xr:uid="{00000000-0005-0000-0000-00004D1F0000}"/>
    <cellStyle name="Normal 2 2 4 2 2 2 3 3 2" xfId="29022" xr:uid="{00000000-0005-0000-0000-00004E1F0000}"/>
    <cellStyle name="Normal 2 2 4 2 2 2 3 4" xfId="5754" xr:uid="{00000000-0005-0000-0000-00004F1F0000}"/>
    <cellStyle name="Normal 2 2 4 2 2 2 3 4 2" xfId="22418" xr:uid="{00000000-0005-0000-0000-0000501F0000}"/>
    <cellStyle name="Normal 2 2 4 2 2 2 3 5" xfId="18842" xr:uid="{00000000-0005-0000-0000-0000511F0000}"/>
    <cellStyle name="Normal 2 2 4 2 2 2 4" xfId="7484" xr:uid="{00000000-0005-0000-0000-0000521F0000}"/>
    <cellStyle name="Normal 2 2 4 2 2 2 4 2" xfId="14747" xr:uid="{00000000-0005-0000-0000-0000531F0000}"/>
    <cellStyle name="Normal 2 2 4 2 2 2 4 2 2" xfId="31062" xr:uid="{00000000-0005-0000-0000-0000541F0000}"/>
    <cellStyle name="Normal 2 2 4 2 2 2 4 3" xfId="24097" xr:uid="{00000000-0005-0000-0000-0000551F0000}"/>
    <cellStyle name="Normal 2 2 4 2 2 2 5" xfId="10799" xr:uid="{00000000-0005-0000-0000-0000561F0000}"/>
    <cellStyle name="Normal 2 2 4 2 2 2 5 2" xfId="27397" xr:uid="{00000000-0005-0000-0000-0000571F0000}"/>
    <cellStyle name="Normal 2 2 4 2 2 2 6" xfId="3715" xr:uid="{00000000-0005-0000-0000-0000581F0000}"/>
    <cellStyle name="Normal 2 2 4 2 2 2 6 2" xfId="20438" xr:uid="{00000000-0005-0000-0000-0000591F0000}"/>
    <cellStyle name="Normal 2 2 4 2 2 2 7" xfId="18371" xr:uid="{00000000-0005-0000-0000-00005A1F0000}"/>
    <cellStyle name="Normal 2 2 4 2 2 3" xfId="2113" xr:uid="{00000000-0005-0000-0000-00005B1F0000}"/>
    <cellStyle name="Normal 2 2 4 2 2 3 2" xfId="6160" xr:uid="{00000000-0005-0000-0000-00005C1F0000}"/>
    <cellStyle name="Normal 2 2 4 2 2 3 2 2" xfId="9511" xr:uid="{00000000-0005-0000-0000-00005D1F0000}"/>
    <cellStyle name="Normal 2 2 4 2 2 3 2 2 2" xfId="16774" xr:uid="{00000000-0005-0000-0000-00005E1F0000}"/>
    <cellStyle name="Normal 2 2 4 2 2 3 2 2 2 2" xfId="33089" xr:uid="{00000000-0005-0000-0000-00005F1F0000}"/>
    <cellStyle name="Normal 2 2 4 2 2 3 2 2 3" xfId="26124" xr:uid="{00000000-0005-0000-0000-0000601F0000}"/>
    <cellStyle name="Normal 2 2 4 2 2 3 2 3" xfId="12853" xr:uid="{00000000-0005-0000-0000-0000611F0000}"/>
    <cellStyle name="Normal 2 2 4 2 2 3 2 3 2" xfId="29428" xr:uid="{00000000-0005-0000-0000-0000621F0000}"/>
    <cellStyle name="Normal 2 2 4 2 2 3 2 4" xfId="22824" xr:uid="{00000000-0005-0000-0000-0000631F0000}"/>
    <cellStyle name="Normal 2 2 4 2 2 3 3" xfId="7890" xr:uid="{00000000-0005-0000-0000-0000641F0000}"/>
    <cellStyle name="Normal 2 2 4 2 2 3 3 2" xfId="15153" xr:uid="{00000000-0005-0000-0000-0000651F0000}"/>
    <cellStyle name="Normal 2 2 4 2 2 3 3 2 2" xfId="31468" xr:uid="{00000000-0005-0000-0000-0000661F0000}"/>
    <cellStyle name="Normal 2 2 4 2 2 3 3 3" xfId="24503" xr:uid="{00000000-0005-0000-0000-0000671F0000}"/>
    <cellStyle name="Normal 2 2 4 2 2 3 4" xfId="11205" xr:uid="{00000000-0005-0000-0000-0000681F0000}"/>
    <cellStyle name="Normal 2 2 4 2 2 3 4 2" xfId="27803" xr:uid="{00000000-0005-0000-0000-0000691F0000}"/>
    <cellStyle name="Normal 2 2 4 2 2 3 5" xfId="3717" xr:uid="{00000000-0005-0000-0000-00006A1F0000}"/>
    <cellStyle name="Normal 2 2 4 2 2 3 5 2" xfId="20440" xr:uid="{00000000-0005-0000-0000-00006B1F0000}"/>
    <cellStyle name="Normal 2 2 4 2 2 3 6" xfId="18844" xr:uid="{00000000-0005-0000-0000-00006C1F0000}"/>
    <cellStyle name="Normal 2 2 4 2 2 4" xfId="2110" xr:uid="{00000000-0005-0000-0000-00006D1F0000}"/>
    <cellStyle name="Normal 2 2 4 2 2 4 2" xfId="8698" xr:uid="{00000000-0005-0000-0000-00006E1F0000}"/>
    <cellStyle name="Normal 2 2 4 2 2 4 2 2" xfId="15961" xr:uid="{00000000-0005-0000-0000-00006F1F0000}"/>
    <cellStyle name="Normal 2 2 4 2 2 4 2 2 2" xfId="32276" xr:uid="{00000000-0005-0000-0000-0000701F0000}"/>
    <cellStyle name="Normal 2 2 4 2 2 4 2 3" xfId="25311" xr:uid="{00000000-0005-0000-0000-0000711F0000}"/>
    <cellStyle name="Normal 2 2 4 2 2 4 3" xfId="12040" xr:uid="{00000000-0005-0000-0000-0000721F0000}"/>
    <cellStyle name="Normal 2 2 4 2 2 4 3 2" xfId="28615" xr:uid="{00000000-0005-0000-0000-0000731F0000}"/>
    <cellStyle name="Normal 2 2 4 2 2 4 4" xfId="5347" xr:uid="{00000000-0005-0000-0000-0000741F0000}"/>
    <cellStyle name="Normal 2 2 4 2 2 4 4 2" xfId="22011" xr:uid="{00000000-0005-0000-0000-0000751F0000}"/>
    <cellStyle name="Normal 2 2 4 2 2 4 5" xfId="18841" xr:uid="{00000000-0005-0000-0000-0000761F0000}"/>
    <cellStyle name="Normal 2 2 4 2 2 5" xfId="7078" xr:uid="{00000000-0005-0000-0000-0000771F0000}"/>
    <cellStyle name="Normal 2 2 4 2 2 5 2" xfId="14341" xr:uid="{00000000-0005-0000-0000-0000781F0000}"/>
    <cellStyle name="Normal 2 2 4 2 2 5 2 2" xfId="30656" xr:uid="{00000000-0005-0000-0000-0000791F0000}"/>
    <cellStyle name="Normal 2 2 4 2 2 5 3" xfId="23691" xr:uid="{00000000-0005-0000-0000-00007A1F0000}"/>
    <cellStyle name="Normal 2 2 4 2 2 6" xfId="10393" xr:uid="{00000000-0005-0000-0000-00007B1F0000}"/>
    <cellStyle name="Normal 2 2 4 2 2 6 2" xfId="26991" xr:uid="{00000000-0005-0000-0000-00007C1F0000}"/>
    <cellStyle name="Normal 2 2 4 2 2 7" xfId="3714" xr:uid="{00000000-0005-0000-0000-00007D1F0000}"/>
    <cellStyle name="Normal 2 2 4 2 2 7 2" xfId="20437" xr:uid="{00000000-0005-0000-0000-00007E1F0000}"/>
    <cellStyle name="Normal 2 2 4 2 2 8" xfId="17852" xr:uid="{00000000-0005-0000-0000-00007F1F0000}"/>
    <cellStyle name="Normal 2 2 4 2 3" xfId="1566" xr:uid="{00000000-0005-0000-0000-0000801F0000}"/>
    <cellStyle name="Normal 2 2 4 2 3 2" xfId="2115" xr:uid="{00000000-0005-0000-0000-0000811F0000}"/>
    <cellStyle name="Normal 2 2 4 2 3 2 2" xfId="6354" xr:uid="{00000000-0005-0000-0000-0000821F0000}"/>
    <cellStyle name="Normal 2 2 4 2 3 2 2 2" xfId="9705" xr:uid="{00000000-0005-0000-0000-0000831F0000}"/>
    <cellStyle name="Normal 2 2 4 2 3 2 2 2 2" xfId="16968" xr:uid="{00000000-0005-0000-0000-0000841F0000}"/>
    <cellStyle name="Normal 2 2 4 2 3 2 2 2 2 2" xfId="33283" xr:uid="{00000000-0005-0000-0000-0000851F0000}"/>
    <cellStyle name="Normal 2 2 4 2 3 2 2 2 3" xfId="26318" xr:uid="{00000000-0005-0000-0000-0000861F0000}"/>
    <cellStyle name="Normal 2 2 4 2 3 2 2 3" xfId="13047" xr:uid="{00000000-0005-0000-0000-0000871F0000}"/>
    <cellStyle name="Normal 2 2 4 2 3 2 2 3 2" xfId="29622" xr:uid="{00000000-0005-0000-0000-0000881F0000}"/>
    <cellStyle name="Normal 2 2 4 2 3 2 2 4" xfId="23018" xr:uid="{00000000-0005-0000-0000-0000891F0000}"/>
    <cellStyle name="Normal 2 2 4 2 3 2 3" xfId="8084" xr:uid="{00000000-0005-0000-0000-00008A1F0000}"/>
    <cellStyle name="Normal 2 2 4 2 3 2 3 2" xfId="15347" xr:uid="{00000000-0005-0000-0000-00008B1F0000}"/>
    <cellStyle name="Normal 2 2 4 2 3 2 3 2 2" xfId="31662" xr:uid="{00000000-0005-0000-0000-00008C1F0000}"/>
    <cellStyle name="Normal 2 2 4 2 3 2 3 3" xfId="24697" xr:uid="{00000000-0005-0000-0000-00008D1F0000}"/>
    <cellStyle name="Normal 2 2 4 2 3 2 4" xfId="11399" xr:uid="{00000000-0005-0000-0000-00008E1F0000}"/>
    <cellStyle name="Normal 2 2 4 2 3 2 4 2" xfId="27997" xr:uid="{00000000-0005-0000-0000-00008F1F0000}"/>
    <cellStyle name="Normal 2 2 4 2 3 2 5" xfId="3719" xr:uid="{00000000-0005-0000-0000-0000901F0000}"/>
    <cellStyle name="Normal 2 2 4 2 3 2 5 2" xfId="20442" xr:uid="{00000000-0005-0000-0000-0000911F0000}"/>
    <cellStyle name="Normal 2 2 4 2 3 2 6" xfId="18846" xr:uid="{00000000-0005-0000-0000-0000921F0000}"/>
    <cellStyle name="Normal 2 2 4 2 3 3" xfId="2114" xr:uid="{00000000-0005-0000-0000-0000931F0000}"/>
    <cellStyle name="Normal 2 2 4 2 3 3 2" xfId="8893" xr:uid="{00000000-0005-0000-0000-0000941F0000}"/>
    <cellStyle name="Normal 2 2 4 2 3 3 2 2" xfId="16156" xr:uid="{00000000-0005-0000-0000-0000951F0000}"/>
    <cellStyle name="Normal 2 2 4 2 3 3 2 2 2" xfId="32471" xr:uid="{00000000-0005-0000-0000-0000961F0000}"/>
    <cellStyle name="Normal 2 2 4 2 3 3 2 3" xfId="25506" xr:uid="{00000000-0005-0000-0000-0000971F0000}"/>
    <cellStyle name="Normal 2 2 4 2 3 3 3" xfId="12235" xr:uid="{00000000-0005-0000-0000-0000981F0000}"/>
    <cellStyle name="Normal 2 2 4 2 3 3 3 2" xfId="28810" xr:uid="{00000000-0005-0000-0000-0000991F0000}"/>
    <cellStyle name="Normal 2 2 4 2 3 3 4" xfId="5542" xr:uid="{00000000-0005-0000-0000-00009A1F0000}"/>
    <cellStyle name="Normal 2 2 4 2 3 3 4 2" xfId="22206" xr:uid="{00000000-0005-0000-0000-00009B1F0000}"/>
    <cellStyle name="Normal 2 2 4 2 3 3 5" xfId="18845" xr:uid="{00000000-0005-0000-0000-00009C1F0000}"/>
    <cellStyle name="Normal 2 2 4 2 3 4" xfId="7272" xr:uid="{00000000-0005-0000-0000-00009D1F0000}"/>
    <cellStyle name="Normal 2 2 4 2 3 4 2" xfId="14535" xr:uid="{00000000-0005-0000-0000-00009E1F0000}"/>
    <cellStyle name="Normal 2 2 4 2 3 4 2 2" xfId="30850" xr:uid="{00000000-0005-0000-0000-00009F1F0000}"/>
    <cellStyle name="Normal 2 2 4 2 3 4 3" xfId="23885" xr:uid="{00000000-0005-0000-0000-0000A01F0000}"/>
    <cellStyle name="Normal 2 2 4 2 3 5" xfId="10587" xr:uid="{00000000-0005-0000-0000-0000A11F0000}"/>
    <cellStyle name="Normal 2 2 4 2 3 5 2" xfId="27185" xr:uid="{00000000-0005-0000-0000-0000A21F0000}"/>
    <cellStyle name="Normal 2 2 4 2 3 6" xfId="3718" xr:uid="{00000000-0005-0000-0000-0000A31F0000}"/>
    <cellStyle name="Normal 2 2 4 2 3 6 2" xfId="20441" xr:uid="{00000000-0005-0000-0000-0000A41F0000}"/>
    <cellStyle name="Normal 2 2 4 2 3 7" xfId="18301" xr:uid="{00000000-0005-0000-0000-0000A51F0000}"/>
    <cellStyle name="Normal 2 2 4 2 4" xfId="2116" xr:uid="{00000000-0005-0000-0000-0000A61F0000}"/>
    <cellStyle name="Normal 2 2 4 2 4 2" xfId="5948" xr:uid="{00000000-0005-0000-0000-0000A71F0000}"/>
    <cellStyle name="Normal 2 2 4 2 4 2 2" xfId="9299" xr:uid="{00000000-0005-0000-0000-0000A81F0000}"/>
    <cellStyle name="Normal 2 2 4 2 4 2 2 2" xfId="16562" xr:uid="{00000000-0005-0000-0000-0000A91F0000}"/>
    <cellStyle name="Normal 2 2 4 2 4 2 2 2 2" xfId="32877" xr:uid="{00000000-0005-0000-0000-0000AA1F0000}"/>
    <cellStyle name="Normal 2 2 4 2 4 2 2 3" xfId="25912" xr:uid="{00000000-0005-0000-0000-0000AB1F0000}"/>
    <cellStyle name="Normal 2 2 4 2 4 2 3" xfId="12641" xr:uid="{00000000-0005-0000-0000-0000AC1F0000}"/>
    <cellStyle name="Normal 2 2 4 2 4 2 3 2" xfId="29216" xr:uid="{00000000-0005-0000-0000-0000AD1F0000}"/>
    <cellStyle name="Normal 2 2 4 2 4 2 4" xfId="22612" xr:uid="{00000000-0005-0000-0000-0000AE1F0000}"/>
    <cellStyle name="Normal 2 2 4 2 4 3" xfId="7678" xr:uid="{00000000-0005-0000-0000-0000AF1F0000}"/>
    <cellStyle name="Normal 2 2 4 2 4 3 2" xfId="14941" xr:uid="{00000000-0005-0000-0000-0000B01F0000}"/>
    <cellStyle name="Normal 2 2 4 2 4 3 2 2" xfId="31256" xr:uid="{00000000-0005-0000-0000-0000B11F0000}"/>
    <cellStyle name="Normal 2 2 4 2 4 3 3" xfId="24291" xr:uid="{00000000-0005-0000-0000-0000B21F0000}"/>
    <cellStyle name="Normal 2 2 4 2 4 4" xfId="10993" xr:uid="{00000000-0005-0000-0000-0000B31F0000}"/>
    <cellStyle name="Normal 2 2 4 2 4 4 2" xfId="27591" xr:uid="{00000000-0005-0000-0000-0000B41F0000}"/>
    <cellStyle name="Normal 2 2 4 2 4 5" xfId="3720" xr:uid="{00000000-0005-0000-0000-0000B51F0000}"/>
    <cellStyle name="Normal 2 2 4 2 4 5 2" xfId="20443" xr:uid="{00000000-0005-0000-0000-0000B61F0000}"/>
    <cellStyle name="Normal 2 2 4 2 4 6" xfId="18847" xr:uid="{00000000-0005-0000-0000-0000B71F0000}"/>
    <cellStyle name="Normal 2 2 4 2 5" xfId="2109" xr:uid="{00000000-0005-0000-0000-0000B81F0000}"/>
    <cellStyle name="Normal 2 2 4 2 5 2" xfId="8627" xr:uid="{00000000-0005-0000-0000-0000B91F0000}"/>
    <cellStyle name="Normal 2 2 4 2 5 2 2" xfId="15890" xr:uid="{00000000-0005-0000-0000-0000BA1F0000}"/>
    <cellStyle name="Normal 2 2 4 2 5 2 2 2" xfId="32205" xr:uid="{00000000-0005-0000-0000-0000BB1F0000}"/>
    <cellStyle name="Normal 2 2 4 2 5 2 3" xfId="25240" xr:uid="{00000000-0005-0000-0000-0000BC1F0000}"/>
    <cellStyle name="Normal 2 2 4 2 5 3" xfId="11969" xr:uid="{00000000-0005-0000-0000-0000BD1F0000}"/>
    <cellStyle name="Normal 2 2 4 2 5 3 2" xfId="28544" xr:uid="{00000000-0005-0000-0000-0000BE1F0000}"/>
    <cellStyle name="Normal 2 2 4 2 5 4" xfId="5276" xr:uid="{00000000-0005-0000-0000-0000BF1F0000}"/>
    <cellStyle name="Normal 2 2 4 2 5 4 2" xfId="21940" xr:uid="{00000000-0005-0000-0000-0000C01F0000}"/>
    <cellStyle name="Normal 2 2 4 2 5 5" xfId="18840" xr:uid="{00000000-0005-0000-0000-0000C11F0000}"/>
    <cellStyle name="Normal 2 2 4 2 6" xfId="7008" xr:uid="{00000000-0005-0000-0000-0000C21F0000}"/>
    <cellStyle name="Normal 2 2 4 2 6 2" xfId="14271" xr:uid="{00000000-0005-0000-0000-0000C31F0000}"/>
    <cellStyle name="Normal 2 2 4 2 6 2 2" xfId="30586" xr:uid="{00000000-0005-0000-0000-0000C41F0000}"/>
    <cellStyle name="Normal 2 2 4 2 6 3" xfId="23621" xr:uid="{00000000-0005-0000-0000-0000C51F0000}"/>
    <cellStyle name="Normal 2 2 4 2 7" xfId="10322" xr:uid="{00000000-0005-0000-0000-0000C61F0000}"/>
    <cellStyle name="Normal 2 2 4 2 7 2" xfId="26921" xr:uid="{00000000-0005-0000-0000-0000C71F0000}"/>
    <cellStyle name="Normal 2 2 4 2 8" xfId="3713" xr:uid="{00000000-0005-0000-0000-0000C81F0000}"/>
    <cellStyle name="Normal 2 2 4 2 8 2" xfId="20436" xr:uid="{00000000-0005-0000-0000-0000C91F0000}"/>
    <cellStyle name="Normal 2 2 4 2 9" xfId="17782" xr:uid="{00000000-0005-0000-0000-0000CA1F0000}"/>
    <cellStyle name="Normal 2 2 4 3" xfId="1114" xr:uid="{00000000-0005-0000-0000-0000CB1F0000}"/>
    <cellStyle name="Normal 2 2 4 3 2" xfId="1635" xr:uid="{00000000-0005-0000-0000-0000CC1F0000}"/>
    <cellStyle name="Normal 2 2 4 3 2 2" xfId="2119" xr:uid="{00000000-0005-0000-0000-0000CD1F0000}"/>
    <cellStyle name="Normal 2 2 4 3 2 2 2" xfId="6529" xr:uid="{00000000-0005-0000-0000-0000CE1F0000}"/>
    <cellStyle name="Normal 2 2 4 3 2 2 2 2" xfId="9880" xr:uid="{00000000-0005-0000-0000-0000CF1F0000}"/>
    <cellStyle name="Normal 2 2 4 3 2 2 2 2 2" xfId="17143" xr:uid="{00000000-0005-0000-0000-0000D01F0000}"/>
    <cellStyle name="Normal 2 2 4 3 2 2 2 2 2 2" xfId="33458" xr:uid="{00000000-0005-0000-0000-0000D11F0000}"/>
    <cellStyle name="Normal 2 2 4 3 2 2 2 2 3" xfId="26493" xr:uid="{00000000-0005-0000-0000-0000D21F0000}"/>
    <cellStyle name="Normal 2 2 4 3 2 2 2 3" xfId="13222" xr:uid="{00000000-0005-0000-0000-0000D31F0000}"/>
    <cellStyle name="Normal 2 2 4 3 2 2 2 3 2" xfId="29797" xr:uid="{00000000-0005-0000-0000-0000D41F0000}"/>
    <cellStyle name="Normal 2 2 4 3 2 2 2 4" xfId="23193" xr:uid="{00000000-0005-0000-0000-0000D51F0000}"/>
    <cellStyle name="Normal 2 2 4 3 2 2 3" xfId="8259" xr:uid="{00000000-0005-0000-0000-0000D61F0000}"/>
    <cellStyle name="Normal 2 2 4 3 2 2 3 2" xfId="15522" xr:uid="{00000000-0005-0000-0000-0000D71F0000}"/>
    <cellStyle name="Normal 2 2 4 3 2 2 3 2 2" xfId="31837" xr:uid="{00000000-0005-0000-0000-0000D81F0000}"/>
    <cellStyle name="Normal 2 2 4 3 2 2 3 3" xfId="24872" xr:uid="{00000000-0005-0000-0000-0000D91F0000}"/>
    <cellStyle name="Normal 2 2 4 3 2 2 4" xfId="11574" xr:uid="{00000000-0005-0000-0000-0000DA1F0000}"/>
    <cellStyle name="Normal 2 2 4 3 2 2 4 2" xfId="28172" xr:uid="{00000000-0005-0000-0000-0000DB1F0000}"/>
    <cellStyle name="Normal 2 2 4 3 2 2 5" xfId="3723" xr:uid="{00000000-0005-0000-0000-0000DC1F0000}"/>
    <cellStyle name="Normal 2 2 4 3 2 2 5 2" xfId="20446" xr:uid="{00000000-0005-0000-0000-0000DD1F0000}"/>
    <cellStyle name="Normal 2 2 4 3 2 2 6" xfId="18850" xr:uid="{00000000-0005-0000-0000-0000DE1F0000}"/>
    <cellStyle name="Normal 2 2 4 3 2 3" xfId="2118" xr:uid="{00000000-0005-0000-0000-0000DF1F0000}"/>
    <cellStyle name="Normal 2 2 4 3 2 3 2" xfId="9104" xr:uid="{00000000-0005-0000-0000-0000E01F0000}"/>
    <cellStyle name="Normal 2 2 4 3 2 3 2 2" xfId="16367" xr:uid="{00000000-0005-0000-0000-0000E11F0000}"/>
    <cellStyle name="Normal 2 2 4 3 2 3 2 2 2" xfId="32682" xr:uid="{00000000-0005-0000-0000-0000E21F0000}"/>
    <cellStyle name="Normal 2 2 4 3 2 3 2 3" xfId="25717" xr:uid="{00000000-0005-0000-0000-0000E31F0000}"/>
    <cellStyle name="Normal 2 2 4 3 2 3 3" xfId="12446" xr:uid="{00000000-0005-0000-0000-0000E41F0000}"/>
    <cellStyle name="Normal 2 2 4 3 2 3 3 2" xfId="29021" xr:uid="{00000000-0005-0000-0000-0000E51F0000}"/>
    <cellStyle name="Normal 2 2 4 3 2 3 4" xfId="5753" xr:uid="{00000000-0005-0000-0000-0000E61F0000}"/>
    <cellStyle name="Normal 2 2 4 3 2 3 4 2" xfId="22417" xr:uid="{00000000-0005-0000-0000-0000E71F0000}"/>
    <cellStyle name="Normal 2 2 4 3 2 3 5" xfId="18849" xr:uid="{00000000-0005-0000-0000-0000E81F0000}"/>
    <cellStyle name="Normal 2 2 4 3 2 4" xfId="7483" xr:uid="{00000000-0005-0000-0000-0000E91F0000}"/>
    <cellStyle name="Normal 2 2 4 3 2 4 2" xfId="14746" xr:uid="{00000000-0005-0000-0000-0000EA1F0000}"/>
    <cellStyle name="Normal 2 2 4 3 2 4 2 2" xfId="31061" xr:uid="{00000000-0005-0000-0000-0000EB1F0000}"/>
    <cellStyle name="Normal 2 2 4 3 2 4 3" xfId="24096" xr:uid="{00000000-0005-0000-0000-0000EC1F0000}"/>
    <cellStyle name="Normal 2 2 4 3 2 5" xfId="10798" xr:uid="{00000000-0005-0000-0000-0000ED1F0000}"/>
    <cellStyle name="Normal 2 2 4 3 2 5 2" xfId="27396" xr:uid="{00000000-0005-0000-0000-0000EE1F0000}"/>
    <cellStyle name="Normal 2 2 4 3 2 6" xfId="3722" xr:uid="{00000000-0005-0000-0000-0000EF1F0000}"/>
    <cellStyle name="Normal 2 2 4 3 2 6 2" xfId="20445" xr:uid="{00000000-0005-0000-0000-0000F01F0000}"/>
    <cellStyle name="Normal 2 2 4 3 2 7" xfId="18370" xr:uid="{00000000-0005-0000-0000-0000F11F0000}"/>
    <cellStyle name="Normal 2 2 4 3 3" xfId="2120" xr:uid="{00000000-0005-0000-0000-0000F21F0000}"/>
    <cellStyle name="Normal 2 2 4 3 3 2" xfId="6159" xr:uid="{00000000-0005-0000-0000-0000F31F0000}"/>
    <cellStyle name="Normal 2 2 4 3 3 2 2" xfId="9510" xr:uid="{00000000-0005-0000-0000-0000F41F0000}"/>
    <cellStyle name="Normal 2 2 4 3 3 2 2 2" xfId="16773" xr:uid="{00000000-0005-0000-0000-0000F51F0000}"/>
    <cellStyle name="Normal 2 2 4 3 3 2 2 2 2" xfId="33088" xr:uid="{00000000-0005-0000-0000-0000F61F0000}"/>
    <cellStyle name="Normal 2 2 4 3 3 2 2 3" xfId="26123" xr:uid="{00000000-0005-0000-0000-0000F71F0000}"/>
    <cellStyle name="Normal 2 2 4 3 3 2 3" xfId="12852" xr:uid="{00000000-0005-0000-0000-0000F81F0000}"/>
    <cellStyle name="Normal 2 2 4 3 3 2 3 2" xfId="29427" xr:uid="{00000000-0005-0000-0000-0000F91F0000}"/>
    <cellStyle name="Normal 2 2 4 3 3 2 4" xfId="22823" xr:uid="{00000000-0005-0000-0000-0000FA1F0000}"/>
    <cellStyle name="Normal 2 2 4 3 3 3" xfId="7889" xr:uid="{00000000-0005-0000-0000-0000FB1F0000}"/>
    <cellStyle name="Normal 2 2 4 3 3 3 2" xfId="15152" xr:uid="{00000000-0005-0000-0000-0000FC1F0000}"/>
    <cellStyle name="Normal 2 2 4 3 3 3 2 2" xfId="31467" xr:uid="{00000000-0005-0000-0000-0000FD1F0000}"/>
    <cellStyle name="Normal 2 2 4 3 3 3 3" xfId="24502" xr:uid="{00000000-0005-0000-0000-0000FE1F0000}"/>
    <cellStyle name="Normal 2 2 4 3 3 4" xfId="11204" xr:uid="{00000000-0005-0000-0000-0000FF1F0000}"/>
    <cellStyle name="Normal 2 2 4 3 3 4 2" xfId="27802" xr:uid="{00000000-0005-0000-0000-000000200000}"/>
    <cellStyle name="Normal 2 2 4 3 3 5" xfId="3724" xr:uid="{00000000-0005-0000-0000-000001200000}"/>
    <cellStyle name="Normal 2 2 4 3 3 5 2" xfId="20447" xr:uid="{00000000-0005-0000-0000-000002200000}"/>
    <cellStyle name="Normal 2 2 4 3 3 6" xfId="18851" xr:uid="{00000000-0005-0000-0000-000003200000}"/>
    <cellStyle name="Normal 2 2 4 3 4" xfId="2117" xr:uid="{00000000-0005-0000-0000-000004200000}"/>
    <cellStyle name="Normal 2 2 4 3 4 2" xfId="8697" xr:uid="{00000000-0005-0000-0000-000005200000}"/>
    <cellStyle name="Normal 2 2 4 3 4 2 2" xfId="15960" xr:uid="{00000000-0005-0000-0000-000006200000}"/>
    <cellStyle name="Normal 2 2 4 3 4 2 2 2" xfId="32275" xr:uid="{00000000-0005-0000-0000-000007200000}"/>
    <cellStyle name="Normal 2 2 4 3 4 2 3" xfId="25310" xr:uid="{00000000-0005-0000-0000-000008200000}"/>
    <cellStyle name="Normal 2 2 4 3 4 3" xfId="12039" xr:uid="{00000000-0005-0000-0000-000009200000}"/>
    <cellStyle name="Normal 2 2 4 3 4 3 2" xfId="28614" xr:uid="{00000000-0005-0000-0000-00000A200000}"/>
    <cellStyle name="Normal 2 2 4 3 4 4" xfId="5346" xr:uid="{00000000-0005-0000-0000-00000B200000}"/>
    <cellStyle name="Normal 2 2 4 3 4 4 2" xfId="22010" xr:uid="{00000000-0005-0000-0000-00000C200000}"/>
    <cellStyle name="Normal 2 2 4 3 4 5" xfId="18848" xr:uid="{00000000-0005-0000-0000-00000D200000}"/>
    <cellStyle name="Normal 2 2 4 3 5" xfId="7077" xr:uid="{00000000-0005-0000-0000-00000E200000}"/>
    <cellStyle name="Normal 2 2 4 3 5 2" xfId="14340" xr:uid="{00000000-0005-0000-0000-00000F200000}"/>
    <cellStyle name="Normal 2 2 4 3 5 2 2" xfId="30655" xr:uid="{00000000-0005-0000-0000-000010200000}"/>
    <cellStyle name="Normal 2 2 4 3 5 3" xfId="23690" xr:uid="{00000000-0005-0000-0000-000011200000}"/>
    <cellStyle name="Normal 2 2 4 3 6" xfId="10392" xr:uid="{00000000-0005-0000-0000-000012200000}"/>
    <cellStyle name="Normal 2 2 4 3 6 2" xfId="26990" xr:uid="{00000000-0005-0000-0000-000013200000}"/>
    <cellStyle name="Normal 2 2 4 3 7" xfId="3721" xr:uid="{00000000-0005-0000-0000-000014200000}"/>
    <cellStyle name="Normal 2 2 4 3 7 2" xfId="20444" xr:uid="{00000000-0005-0000-0000-000015200000}"/>
    <cellStyle name="Normal 2 2 4 3 8" xfId="17851" xr:uid="{00000000-0005-0000-0000-000016200000}"/>
    <cellStyle name="Normal 2 2 4 4" xfId="1460" xr:uid="{00000000-0005-0000-0000-000017200000}"/>
    <cellStyle name="Normal 2 2 4 4 2" xfId="2122" xr:uid="{00000000-0005-0000-0000-000018200000}"/>
    <cellStyle name="Normal 2 2 4 4 2 2" xfId="6353" xr:uid="{00000000-0005-0000-0000-000019200000}"/>
    <cellStyle name="Normal 2 2 4 4 2 2 2" xfId="9704" xr:uid="{00000000-0005-0000-0000-00001A200000}"/>
    <cellStyle name="Normal 2 2 4 4 2 2 2 2" xfId="16967" xr:uid="{00000000-0005-0000-0000-00001B200000}"/>
    <cellStyle name="Normal 2 2 4 4 2 2 2 2 2" xfId="33282" xr:uid="{00000000-0005-0000-0000-00001C200000}"/>
    <cellStyle name="Normal 2 2 4 4 2 2 2 3" xfId="26317" xr:uid="{00000000-0005-0000-0000-00001D200000}"/>
    <cellStyle name="Normal 2 2 4 4 2 2 3" xfId="13046" xr:uid="{00000000-0005-0000-0000-00001E200000}"/>
    <cellStyle name="Normal 2 2 4 4 2 2 3 2" xfId="29621" xr:uid="{00000000-0005-0000-0000-00001F200000}"/>
    <cellStyle name="Normal 2 2 4 4 2 2 4" xfId="23017" xr:uid="{00000000-0005-0000-0000-000020200000}"/>
    <cellStyle name="Normal 2 2 4 4 2 3" xfId="8083" xr:uid="{00000000-0005-0000-0000-000021200000}"/>
    <cellStyle name="Normal 2 2 4 4 2 3 2" xfId="15346" xr:uid="{00000000-0005-0000-0000-000022200000}"/>
    <cellStyle name="Normal 2 2 4 4 2 3 2 2" xfId="31661" xr:uid="{00000000-0005-0000-0000-000023200000}"/>
    <cellStyle name="Normal 2 2 4 4 2 3 3" xfId="24696" xr:uid="{00000000-0005-0000-0000-000024200000}"/>
    <cellStyle name="Normal 2 2 4 4 2 4" xfId="11398" xr:uid="{00000000-0005-0000-0000-000025200000}"/>
    <cellStyle name="Normal 2 2 4 4 2 4 2" xfId="27996" xr:uid="{00000000-0005-0000-0000-000026200000}"/>
    <cellStyle name="Normal 2 2 4 4 2 5" xfId="3726" xr:uid="{00000000-0005-0000-0000-000027200000}"/>
    <cellStyle name="Normal 2 2 4 4 2 5 2" xfId="20449" xr:uid="{00000000-0005-0000-0000-000028200000}"/>
    <cellStyle name="Normal 2 2 4 4 2 6" xfId="18853" xr:uid="{00000000-0005-0000-0000-000029200000}"/>
    <cellStyle name="Normal 2 2 4 4 3" xfId="2121" xr:uid="{00000000-0005-0000-0000-00002A200000}"/>
    <cellStyle name="Normal 2 2 4 4 3 2" xfId="8892" xr:uid="{00000000-0005-0000-0000-00002B200000}"/>
    <cellStyle name="Normal 2 2 4 4 3 2 2" xfId="16155" xr:uid="{00000000-0005-0000-0000-00002C200000}"/>
    <cellStyle name="Normal 2 2 4 4 3 2 2 2" xfId="32470" xr:uid="{00000000-0005-0000-0000-00002D200000}"/>
    <cellStyle name="Normal 2 2 4 4 3 2 3" xfId="25505" xr:uid="{00000000-0005-0000-0000-00002E200000}"/>
    <cellStyle name="Normal 2 2 4 4 3 3" xfId="12234" xr:uid="{00000000-0005-0000-0000-00002F200000}"/>
    <cellStyle name="Normal 2 2 4 4 3 3 2" xfId="28809" xr:uid="{00000000-0005-0000-0000-000030200000}"/>
    <cellStyle name="Normal 2 2 4 4 3 4" xfId="5541" xr:uid="{00000000-0005-0000-0000-000031200000}"/>
    <cellStyle name="Normal 2 2 4 4 3 4 2" xfId="22205" xr:uid="{00000000-0005-0000-0000-000032200000}"/>
    <cellStyle name="Normal 2 2 4 4 3 5" xfId="18852" xr:uid="{00000000-0005-0000-0000-000033200000}"/>
    <cellStyle name="Normal 2 2 4 4 4" xfId="7271" xr:uid="{00000000-0005-0000-0000-000034200000}"/>
    <cellStyle name="Normal 2 2 4 4 4 2" xfId="14534" xr:uid="{00000000-0005-0000-0000-000035200000}"/>
    <cellStyle name="Normal 2 2 4 4 4 2 2" xfId="30849" xr:uid="{00000000-0005-0000-0000-000036200000}"/>
    <cellStyle name="Normal 2 2 4 4 4 3" xfId="23884" xr:uid="{00000000-0005-0000-0000-000037200000}"/>
    <cellStyle name="Normal 2 2 4 4 5" xfId="10586" xr:uid="{00000000-0005-0000-0000-000038200000}"/>
    <cellStyle name="Normal 2 2 4 4 5 2" xfId="27184" xr:uid="{00000000-0005-0000-0000-000039200000}"/>
    <cellStyle name="Normal 2 2 4 4 6" xfId="3725" xr:uid="{00000000-0005-0000-0000-00003A200000}"/>
    <cellStyle name="Normal 2 2 4 4 6 2" xfId="20448" xr:uid="{00000000-0005-0000-0000-00003B200000}"/>
    <cellStyle name="Normal 2 2 4 4 7" xfId="18195" xr:uid="{00000000-0005-0000-0000-00003C200000}"/>
    <cellStyle name="Normal 2 2 4 5" xfId="2123" xr:uid="{00000000-0005-0000-0000-00003D200000}"/>
    <cellStyle name="Normal 2 2 4 5 2" xfId="5947" xr:uid="{00000000-0005-0000-0000-00003E200000}"/>
    <cellStyle name="Normal 2 2 4 5 2 2" xfId="9298" xr:uid="{00000000-0005-0000-0000-00003F200000}"/>
    <cellStyle name="Normal 2 2 4 5 2 2 2" xfId="16561" xr:uid="{00000000-0005-0000-0000-000040200000}"/>
    <cellStyle name="Normal 2 2 4 5 2 2 2 2" xfId="32876" xr:uid="{00000000-0005-0000-0000-000041200000}"/>
    <cellStyle name="Normal 2 2 4 5 2 2 3" xfId="25911" xr:uid="{00000000-0005-0000-0000-000042200000}"/>
    <cellStyle name="Normal 2 2 4 5 2 3" xfId="12640" xr:uid="{00000000-0005-0000-0000-000043200000}"/>
    <cellStyle name="Normal 2 2 4 5 2 3 2" xfId="29215" xr:uid="{00000000-0005-0000-0000-000044200000}"/>
    <cellStyle name="Normal 2 2 4 5 2 4" xfId="22611" xr:uid="{00000000-0005-0000-0000-000045200000}"/>
    <cellStyle name="Normal 2 2 4 5 3" xfId="7677" xr:uid="{00000000-0005-0000-0000-000046200000}"/>
    <cellStyle name="Normal 2 2 4 5 3 2" xfId="14940" xr:uid="{00000000-0005-0000-0000-000047200000}"/>
    <cellStyle name="Normal 2 2 4 5 3 2 2" xfId="31255" xr:uid="{00000000-0005-0000-0000-000048200000}"/>
    <cellStyle name="Normal 2 2 4 5 3 3" xfId="24290" xr:uid="{00000000-0005-0000-0000-000049200000}"/>
    <cellStyle name="Normal 2 2 4 5 4" xfId="10992" xr:uid="{00000000-0005-0000-0000-00004A200000}"/>
    <cellStyle name="Normal 2 2 4 5 4 2" xfId="27590" xr:uid="{00000000-0005-0000-0000-00004B200000}"/>
    <cellStyle name="Normal 2 2 4 5 5" xfId="3727" xr:uid="{00000000-0005-0000-0000-00004C200000}"/>
    <cellStyle name="Normal 2 2 4 5 5 2" xfId="20450" xr:uid="{00000000-0005-0000-0000-00004D200000}"/>
    <cellStyle name="Normal 2 2 4 5 6" xfId="18854" xr:uid="{00000000-0005-0000-0000-00004E200000}"/>
    <cellStyle name="Normal 2 2 4 6" xfId="2108" xr:uid="{00000000-0005-0000-0000-00004F200000}"/>
    <cellStyle name="Normal 2 2 4 6 2" xfId="8521" xr:uid="{00000000-0005-0000-0000-000050200000}"/>
    <cellStyle name="Normal 2 2 4 6 2 2" xfId="15784" xr:uid="{00000000-0005-0000-0000-000051200000}"/>
    <cellStyle name="Normal 2 2 4 6 2 2 2" xfId="32099" xr:uid="{00000000-0005-0000-0000-000052200000}"/>
    <cellStyle name="Normal 2 2 4 6 2 3" xfId="25134" xr:uid="{00000000-0005-0000-0000-000053200000}"/>
    <cellStyle name="Normal 2 2 4 6 3" xfId="11863" xr:uid="{00000000-0005-0000-0000-000054200000}"/>
    <cellStyle name="Normal 2 2 4 6 3 2" xfId="28438" xr:uid="{00000000-0005-0000-0000-000055200000}"/>
    <cellStyle name="Normal 2 2 4 6 4" xfId="5170" xr:uid="{00000000-0005-0000-0000-000056200000}"/>
    <cellStyle name="Normal 2 2 4 6 4 2" xfId="21834" xr:uid="{00000000-0005-0000-0000-000057200000}"/>
    <cellStyle name="Normal 2 2 4 6 5" xfId="18839" xr:uid="{00000000-0005-0000-0000-000058200000}"/>
    <cellStyle name="Normal 2 2 4 7" xfId="6902" xr:uid="{00000000-0005-0000-0000-000059200000}"/>
    <cellStyle name="Normal 2 2 4 7 2" xfId="14165" xr:uid="{00000000-0005-0000-0000-00005A200000}"/>
    <cellStyle name="Normal 2 2 4 7 2 2" xfId="30480" xr:uid="{00000000-0005-0000-0000-00005B200000}"/>
    <cellStyle name="Normal 2 2 4 7 3" xfId="23515" xr:uid="{00000000-0005-0000-0000-00005C200000}"/>
    <cellStyle name="Normal 2 2 4 8" xfId="10216" xr:uid="{00000000-0005-0000-0000-00005D200000}"/>
    <cellStyle name="Normal 2 2 4 8 2" xfId="26815" xr:uid="{00000000-0005-0000-0000-00005E200000}"/>
    <cellStyle name="Normal 2 2 4 9" xfId="3712" xr:uid="{00000000-0005-0000-0000-00005F200000}"/>
    <cellStyle name="Normal 2 2 4 9 2" xfId="20435" xr:uid="{00000000-0005-0000-0000-000060200000}"/>
    <cellStyle name="Normal 2 2 5" xfId="951" xr:uid="{00000000-0005-0000-0000-000061200000}"/>
    <cellStyle name="Normal 2 2 5 2" xfId="1116" xr:uid="{00000000-0005-0000-0000-000062200000}"/>
    <cellStyle name="Normal 2 2 5 2 2" xfId="1637" xr:uid="{00000000-0005-0000-0000-000063200000}"/>
    <cellStyle name="Normal 2 2 5 2 2 2" xfId="2127" xr:uid="{00000000-0005-0000-0000-000064200000}"/>
    <cellStyle name="Normal 2 2 5 2 2 2 2" xfId="6531" xr:uid="{00000000-0005-0000-0000-000065200000}"/>
    <cellStyle name="Normal 2 2 5 2 2 2 2 2" xfId="9882" xr:uid="{00000000-0005-0000-0000-000066200000}"/>
    <cellStyle name="Normal 2 2 5 2 2 2 2 2 2" xfId="17145" xr:uid="{00000000-0005-0000-0000-000067200000}"/>
    <cellStyle name="Normal 2 2 5 2 2 2 2 2 2 2" xfId="33460" xr:uid="{00000000-0005-0000-0000-000068200000}"/>
    <cellStyle name="Normal 2 2 5 2 2 2 2 2 3" xfId="26495" xr:uid="{00000000-0005-0000-0000-000069200000}"/>
    <cellStyle name="Normal 2 2 5 2 2 2 2 3" xfId="13224" xr:uid="{00000000-0005-0000-0000-00006A200000}"/>
    <cellStyle name="Normal 2 2 5 2 2 2 2 3 2" xfId="29799" xr:uid="{00000000-0005-0000-0000-00006B200000}"/>
    <cellStyle name="Normal 2 2 5 2 2 2 2 4" xfId="23195" xr:uid="{00000000-0005-0000-0000-00006C200000}"/>
    <cellStyle name="Normal 2 2 5 2 2 2 3" xfId="8261" xr:uid="{00000000-0005-0000-0000-00006D200000}"/>
    <cellStyle name="Normal 2 2 5 2 2 2 3 2" xfId="15524" xr:uid="{00000000-0005-0000-0000-00006E200000}"/>
    <cellStyle name="Normal 2 2 5 2 2 2 3 2 2" xfId="31839" xr:uid="{00000000-0005-0000-0000-00006F200000}"/>
    <cellStyle name="Normal 2 2 5 2 2 2 3 3" xfId="24874" xr:uid="{00000000-0005-0000-0000-000070200000}"/>
    <cellStyle name="Normal 2 2 5 2 2 2 4" xfId="11576" xr:uid="{00000000-0005-0000-0000-000071200000}"/>
    <cellStyle name="Normal 2 2 5 2 2 2 4 2" xfId="28174" xr:uid="{00000000-0005-0000-0000-000072200000}"/>
    <cellStyle name="Normal 2 2 5 2 2 2 5" xfId="3731" xr:uid="{00000000-0005-0000-0000-000073200000}"/>
    <cellStyle name="Normal 2 2 5 2 2 2 5 2" xfId="20454" xr:uid="{00000000-0005-0000-0000-000074200000}"/>
    <cellStyle name="Normal 2 2 5 2 2 2 6" xfId="18858" xr:uid="{00000000-0005-0000-0000-000075200000}"/>
    <cellStyle name="Normal 2 2 5 2 2 3" xfId="2126" xr:uid="{00000000-0005-0000-0000-000076200000}"/>
    <cellStyle name="Normal 2 2 5 2 2 3 2" xfId="9106" xr:uid="{00000000-0005-0000-0000-000077200000}"/>
    <cellStyle name="Normal 2 2 5 2 2 3 2 2" xfId="16369" xr:uid="{00000000-0005-0000-0000-000078200000}"/>
    <cellStyle name="Normal 2 2 5 2 2 3 2 2 2" xfId="32684" xr:uid="{00000000-0005-0000-0000-000079200000}"/>
    <cellStyle name="Normal 2 2 5 2 2 3 2 3" xfId="25719" xr:uid="{00000000-0005-0000-0000-00007A200000}"/>
    <cellStyle name="Normal 2 2 5 2 2 3 3" xfId="12448" xr:uid="{00000000-0005-0000-0000-00007B200000}"/>
    <cellStyle name="Normal 2 2 5 2 2 3 3 2" xfId="29023" xr:uid="{00000000-0005-0000-0000-00007C200000}"/>
    <cellStyle name="Normal 2 2 5 2 2 3 4" xfId="5755" xr:uid="{00000000-0005-0000-0000-00007D200000}"/>
    <cellStyle name="Normal 2 2 5 2 2 3 4 2" xfId="22419" xr:uid="{00000000-0005-0000-0000-00007E200000}"/>
    <cellStyle name="Normal 2 2 5 2 2 3 5" xfId="18857" xr:uid="{00000000-0005-0000-0000-00007F200000}"/>
    <cellStyle name="Normal 2 2 5 2 2 4" xfId="7485" xr:uid="{00000000-0005-0000-0000-000080200000}"/>
    <cellStyle name="Normal 2 2 5 2 2 4 2" xfId="14748" xr:uid="{00000000-0005-0000-0000-000081200000}"/>
    <cellStyle name="Normal 2 2 5 2 2 4 2 2" xfId="31063" xr:uid="{00000000-0005-0000-0000-000082200000}"/>
    <cellStyle name="Normal 2 2 5 2 2 4 3" xfId="24098" xr:uid="{00000000-0005-0000-0000-000083200000}"/>
    <cellStyle name="Normal 2 2 5 2 2 5" xfId="10800" xr:uid="{00000000-0005-0000-0000-000084200000}"/>
    <cellStyle name="Normal 2 2 5 2 2 5 2" xfId="27398" xr:uid="{00000000-0005-0000-0000-000085200000}"/>
    <cellStyle name="Normal 2 2 5 2 2 6" xfId="3730" xr:uid="{00000000-0005-0000-0000-000086200000}"/>
    <cellStyle name="Normal 2 2 5 2 2 6 2" xfId="20453" xr:uid="{00000000-0005-0000-0000-000087200000}"/>
    <cellStyle name="Normal 2 2 5 2 2 7" xfId="18372" xr:uid="{00000000-0005-0000-0000-000088200000}"/>
    <cellStyle name="Normal 2 2 5 2 3" xfId="2128" xr:uid="{00000000-0005-0000-0000-000089200000}"/>
    <cellStyle name="Normal 2 2 5 2 3 2" xfId="6161" xr:uid="{00000000-0005-0000-0000-00008A200000}"/>
    <cellStyle name="Normal 2 2 5 2 3 2 2" xfId="9512" xr:uid="{00000000-0005-0000-0000-00008B200000}"/>
    <cellStyle name="Normal 2 2 5 2 3 2 2 2" xfId="16775" xr:uid="{00000000-0005-0000-0000-00008C200000}"/>
    <cellStyle name="Normal 2 2 5 2 3 2 2 2 2" xfId="33090" xr:uid="{00000000-0005-0000-0000-00008D200000}"/>
    <cellStyle name="Normal 2 2 5 2 3 2 2 3" xfId="26125" xr:uid="{00000000-0005-0000-0000-00008E200000}"/>
    <cellStyle name="Normal 2 2 5 2 3 2 3" xfId="12854" xr:uid="{00000000-0005-0000-0000-00008F200000}"/>
    <cellStyle name="Normal 2 2 5 2 3 2 3 2" xfId="29429" xr:uid="{00000000-0005-0000-0000-000090200000}"/>
    <cellStyle name="Normal 2 2 5 2 3 2 4" xfId="22825" xr:uid="{00000000-0005-0000-0000-000091200000}"/>
    <cellStyle name="Normal 2 2 5 2 3 3" xfId="7891" xr:uid="{00000000-0005-0000-0000-000092200000}"/>
    <cellStyle name="Normal 2 2 5 2 3 3 2" xfId="15154" xr:uid="{00000000-0005-0000-0000-000093200000}"/>
    <cellStyle name="Normal 2 2 5 2 3 3 2 2" xfId="31469" xr:uid="{00000000-0005-0000-0000-000094200000}"/>
    <cellStyle name="Normal 2 2 5 2 3 3 3" xfId="24504" xr:uid="{00000000-0005-0000-0000-000095200000}"/>
    <cellStyle name="Normal 2 2 5 2 3 4" xfId="11206" xr:uid="{00000000-0005-0000-0000-000096200000}"/>
    <cellStyle name="Normal 2 2 5 2 3 4 2" xfId="27804" xr:uid="{00000000-0005-0000-0000-000097200000}"/>
    <cellStyle name="Normal 2 2 5 2 3 5" xfId="3732" xr:uid="{00000000-0005-0000-0000-000098200000}"/>
    <cellStyle name="Normal 2 2 5 2 3 5 2" xfId="20455" xr:uid="{00000000-0005-0000-0000-000099200000}"/>
    <cellStyle name="Normal 2 2 5 2 3 6" xfId="18859" xr:uid="{00000000-0005-0000-0000-00009A200000}"/>
    <cellStyle name="Normal 2 2 5 2 4" xfId="2125" xr:uid="{00000000-0005-0000-0000-00009B200000}"/>
    <cellStyle name="Normal 2 2 5 2 4 2" xfId="8699" xr:uid="{00000000-0005-0000-0000-00009C200000}"/>
    <cellStyle name="Normal 2 2 5 2 4 2 2" xfId="15962" xr:uid="{00000000-0005-0000-0000-00009D200000}"/>
    <cellStyle name="Normal 2 2 5 2 4 2 2 2" xfId="32277" xr:uid="{00000000-0005-0000-0000-00009E200000}"/>
    <cellStyle name="Normal 2 2 5 2 4 2 3" xfId="25312" xr:uid="{00000000-0005-0000-0000-00009F200000}"/>
    <cellStyle name="Normal 2 2 5 2 4 3" xfId="12041" xr:uid="{00000000-0005-0000-0000-0000A0200000}"/>
    <cellStyle name="Normal 2 2 5 2 4 3 2" xfId="28616" xr:uid="{00000000-0005-0000-0000-0000A1200000}"/>
    <cellStyle name="Normal 2 2 5 2 4 4" xfId="5348" xr:uid="{00000000-0005-0000-0000-0000A2200000}"/>
    <cellStyle name="Normal 2 2 5 2 4 4 2" xfId="22012" xr:uid="{00000000-0005-0000-0000-0000A3200000}"/>
    <cellStyle name="Normal 2 2 5 2 4 5" xfId="18856" xr:uid="{00000000-0005-0000-0000-0000A4200000}"/>
    <cellStyle name="Normal 2 2 5 2 5" xfId="7079" xr:uid="{00000000-0005-0000-0000-0000A5200000}"/>
    <cellStyle name="Normal 2 2 5 2 5 2" xfId="14342" xr:uid="{00000000-0005-0000-0000-0000A6200000}"/>
    <cellStyle name="Normal 2 2 5 2 5 2 2" xfId="30657" xr:uid="{00000000-0005-0000-0000-0000A7200000}"/>
    <cellStyle name="Normal 2 2 5 2 5 3" xfId="23692" xr:uid="{00000000-0005-0000-0000-0000A8200000}"/>
    <cellStyle name="Normal 2 2 5 2 6" xfId="10394" xr:uid="{00000000-0005-0000-0000-0000A9200000}"/>
    <cellStyle name="Normal 2 2 5 2 6 2" xfId="26992" xr:uid="{00000000-0005-0000-0000-0000AA200000}"/>
    <cellStyle name="Normal 2 2 5 2 7" xfId="3729" xr:uid="{00000000-0005-0000-0000-0000AB200000}"/>
    <cellStyle name="Normal 2 2 5 2 7 2" xfId="20452" xr:uid="{00000000-0005-0000-0000-0000AC200000}"/>
    <cellStyle name="Normal 2 2 5 2 8" xfId="17853" xr:uid="{00000000-0005-0000-0000-0000AD200000}"/>
    <cellStyle name="Normal 2 2 5 3" xfId="1513" xr:uid="{00000000-0005-0000-0000-0000AE200000}"/>
    <cellStyle name="Normal 2 2 5 3 2" xfId="2130" xr:uid="{00000000-0005-0000-0000-0000AF200000}"/>
    <cellStyle name="Normal 2 2 5 3 2 2" xfId="6355" xr:uid="{00000000-0005-0000-0000-0000B0200000}"/>
    <cellStyle name="Normal 2 2 5 3 2 2 2" xfId="9706" xr:uid="{00000000-0005-0000-0000-0000B1200000}"/>
    <cellStyle name="Normal 2 2 5 3 2 2 2 2" xfId="16969" xr:uid="{00000000-0005-0000-0000-0000B2200000}"/>
    <cellStyle name="Normal 2 2 5 3 2 2 2 2 2" xfId="33284" xr:uid="{00000000-0005-0000-0000-0000B3200000}"/>
    <cellStyle name="Normal 2 2 5 3 2 2 2 3" xfId="26319" xr:uid="{00000000-0005-0000-0000-0000B4200000}"/>
    <cellStyle name="Normal 2 2 5 3 2 2 3" xfId="13048" xr:uid="{00000000-0005-0000-0000-0000B5200000}"/>
    <cellStyle name="Normal 2 2 5 3 2 2 3 2" xfId="29623" xr:uid="{00000000-0005-0000-0000-0000B6200000}"/>
    <cellStyle name="Normal 2 2 5 3 2 2 4" xfId="23019" xr:uid="{00000000-0005-0000-0000-0000B7200000}"/>
    <cellStyle name="Normal 2 2 5 3 2 3" xfId="8085" xr:uid="{00000000-0005-0000-0000-0000B8200000}"/>
    <cellStyle name="Normal 2 2 5 3 2 3 2" xfId="15348" xr:uid="{00000000-0005-0000-0000-0000B9200000}"/>
    <cellStyle name="Normal 2 2 5 3 2 3 2 2" xfId="31663" xr:uid="{00000000-0005-0000-0000-0000BA200000}"/>
    <cellStyle name="Normal 2 2 5 3 2 3 3" xfId="24698" xr:uid="{00000000-0005-0000-0000-0000BB200000}"/>
    <cellStyle name="Normal 2 2 5 3 2 4" xfId="11400" xr:uid="{00000000-0005-0000-0000-0000BC200000}"/>
    <cellStyle name="Normal 2 2 5 3 2 4 2" xfId="27998" xr:uid="{00000000-0005-0000-0000-0000BD200000}"/>
    <cellStyle name="Normal 2 2 5 3 2 5" xfId="3734" xr:uid="{00000000-0005-0000-0000-0000BE200000}"/>
    <cellStyle name="Normal 2 2 5 3 2 5 2" xfId="20457" xr:uid="{00000000-0005-0000-0000-0000BF200000}"/>
    <cellStyle name="Normal 2 2 5 3 2 6" xfId="18861" xr:uid="{00000000-0005-0000-0000-0000C0200000}"/>
    <cellStyle name="Normal 2 2 5 3 3" xfId="2129" xr:uid="{00000000-0005-0000-0000-0000C1200000}"/>
    <cellStyle name="Normal 2 2 5 3 3 2" xfId="8894" xr:uid="{00000000-0005-0000-0000-0000C2200000}"/>
    <cellStyle name="Normal 2 2 5 3 3 2 2" xfId="16157" xr:uid="{00000000-0005-0000-0000-0000C3200000}"/>
    <cellStyle name="Normal 2 2 5 3 3 2 2 2" xfId="32472" xr:uid="{00000000-0005-0000-0000-0000C4200000}"/>
    <cellStyle name="Normal 2 2 5 3 3 2 3" xfId="25507" xr:uid="{00000000-0005-0000-0000-0000C5200000}"/>
    <cellStyle name="Normal 2 2 5 3 3 3" xfId="12236" xr:uid="{00000000-0005-0000-0000-0000C6200000}"/>
    <cellStyle name="Normal 2 2 5 3 3 3 2" xfId="28811" xr:uid="{00000000-0005-0000-0000-0000C7200000}"/>
    <cellStyle name="Normal 2 2 5 3 3 4" xfId="5543" xr:uid="{00000000-0005-0000-0000-0000C8200000}"/>
    <cellStyle name="Normal 2 2 5 3 3 4 2" xfId="22207" xr:uid="{00000000-0005-0000-0000-0000C9200000}"/>
    <cellStyle name="Normal 2 2 5 3 3 5" xfId="18860" xr:uid="{00000000-0005-0000-0000-0000CA200000}"/>
    <cellStyle name="Normal 2 2 5 3 4" xfId="7273" xr:uid="{00000000-0005-0000-0000-0000CB200000}"/>
    <cellStyle name="Normal 2 2 5 3 4 2" xfId="14536" xr:uid="{00000000-0005-0000-0000-0000CC200000}"/>
    <cellStyle name="Normal 2 2 5 3 4 2 2" xfId="30851" xr:uid="{00000000-0005-0000-0000-0000CD200000}"/>
    <cellStyle name="Normal 2 2 5 3 4 3" xfId="23886" xr:uid="{00000000-0005-0000-0000-0000CE200000}"/>
    <cellStyle name="Normal 2 2 5 3 5" xfId="10588" xr:uid="{00000000-0005-0000-0000-0000CF200000}"/>
    <cellStyle name="Normal 2 2 5 3 5 2" xfId="27186" xr:uid="{00000000-0005-0000-0000-0000D0200000}"/>
    <cellStyle name="Normal 2 2 5 3 6" xfId="3733" xr:uid="{00000000-0005-0000-0000-0000D1200000}"/>
    <cellStyle name="Normal 2 2 5 3 6 2" xfId="20456" xr:uid="{00000000-0005-0000-0000-0000D2200000}"/>
    <cellStyle name="Normal 2 2 5 3 7" xfId="18248" xr:uid="{00000000-0005-0000-0000-0000D3200000}"/>
    <cellStyle name="Normal 2 2 5 4" xfId="2131" xr:uid="{00000000-0005-0000-0000-0000D4200000}"/>
    <cellStyle name="Normal 2 2 5 4 2" xfId="5949" xr:uid="{00000000-0005-0000-0000-0000D5200000}"/>
    <cellStyle name="Normal 2 2 5 4 2 2" xfId="9300" xr:uid="{00000000-0005-0000-0000-0000D6200000}"/>
    <cellStyle name="Normal 2 2 5 4 2 2 2" xfId="16563" xr:uid="{00000000-0005-0000-0000-0000D7200000}"/>
    <cellStyle name="Normal 2 2 5 4 2 2 2 2" xfId="32878" xr:uid="{00000000-0005-0000-0000-0000D8200000}"/>
    <cellStyle name="Normal 2 2 5 4 2 2 3" xfId="25913" xr:uid="{00000000-0005-0000-0000-0000D9200000}"/>
    <cellStyle name="Normal 2 2 5 4 2 3" xfId="12642" xr:uid="{00000000-0005-0000-0000-0000DA200000}"/>
    <cellStyle name="Normal 2 2 5 4 2 3 2" xfId="29217" xr:uid="{00000000-0005-0000-0000-0000DB200000}"/>
    <cellStyle name="Normal 2 2 5 4 2 4" xfId="22613" xr:uid="{00000000-0005-0000-0000-0000DC200000}"/>
    <cellStyle name="Normal 2 2 5 4 3" xfId="7679" xr:uid="{00000000-0005-0000-0000-0000DD200000}"/>
    <cellStyle name="Normal 2 2 5 4 3 2" xfId="14942" xr:uid="{00000000-0005-0000-0000-0000DE200000}"/>
    <cellStyle name="Normal 2 2 5 4 3 2 2" xfId="31257" xr:uid="{00000000-0005-0000-0000-0000DF200000}"/>
    <cellStyle name="Normal 2 2 5 4 3 3" xfId="24292" xr:uid="{00000000-0005-0000-0000-0000E0200000}"/>
    <cellStyle name="Normal 2 2 5 4 4" xfId="10994" xr:uid="{00000000-0005-0000-0000-0000E1200000}"/>
    <cellStyle name="Normal 2 2 5 4 4 2" xfId="27592" xr:uid="{00000000-0005-0000-0000-0000E2200000}"/>
    <cellStyle name="Normal 2 2 5 4 5" xfId="3735" xr:uid="{00000000-0005-0000-0000-0000E3200000}"/>
    <cellStyle name="Normal 2 2 5 4 5 2" xfId="20458" xr:uid="{00000000-0005-0000-0000-0000E4200000}"/>
    <cellStyle name="Normal 2 2 5 4 6" xfId="18862" xr:uid="{00000000-0005-0000-0000-0000E5200000}"/>
    <cellStyle name="Normal 2 2 5 5" xfId="2124" xr:uid="{00000000-0005-0000-0000-0000E6200000}"/>
    <cellStyle name="Normal 2 2 5 5 2" xfId="8574" xr:uid="{00000000-0005-0000-0000-0000E7200000}"/>
    <cellStyle name="Normal 2 2 5 5 2 2" xfId="15837" xr:uid="{00000000-0005-0000-0000-0000E8200000}"/>
    <cellStyle name="Normal 2 2 5 5 2 2 2" xfId="32152" xr:uid="{00000000-0005-0000-0000-0000E9200000}"/>
    <cellStyle name="Normal 2 2 5 5 2 3" xfId="25187" xr:uid="{00000000-0005-0000-0000-0000EA200000}"/>
    <cellStyle name="Normal 2 2 5 5 3" xfId="11916" xr:uid="{00000000-0005-0000-0000-0000EB200000}"/>
    <cellStyle name="Normal 2 2 5 5 3 2" xfId="28491" xr:uid="{00000000-0005-0000-0000-0000EC200000}"/>
    <cellStyle name="Normal 2 2 5 5 4" xfId="5223" xr:uid="{00000000-0005-0000-0000-0000ED200000}"/>
    <cellStyle name="Normal 2 2 5 5 4 2" xfId="21887" xr:uid="{00000000-0005-0000-0000-0000EE200000}"/>
    <cellStyle name="Normal 2 2 5 5 5" xfId="18855" xr:uid="{00000000-0005-0000-0000-0000EF200000}"/>
    <cellStyle name="Normal 2 2 5 6" xfId="6955" xr:uid="{00000000-0005-0000-0000-0000F0200000}"/>
    <cellStyle name="Normal 2 2 5 6 2" xfId="14218" xr:uid="{00000000-0005-0000-0000-0000F1200000}"/>
    <cellStyle name="Normal 2 2 5 6 2 2" xfId="30533" xr:uid="{00000000-0005-0000-0000-0000F2200000}"/>
    <cellStyle name="Normal 2 2 5 6 3" xfId="23568" xr:uid="{00000000-0005-0000-0000-0000F3200000}"/>
    <cellStyle name="Normal 2 2 5 7" xfId="10269" xr:uid="{00000000-0005-0000-0000-0000F4200000}"/>
    <cellStyle name="Normal 2 2 5 7 2" xfId="26868" xr:uid="{00000000-0005-0000-0000-0000F5200000}"/>
    <cellStyle name="Normal 2 2 5 8" xfId="3728" xr:uid="{00000000-0005-0000-0000-0000F6200000}"/>
    <cellStyle name="Normal 2 2 5 8 2" xfId="20451" xr:uid="{00000000-0005-0000-0000-0000F7200000}"/>
    <cellStyle name="Normal 2 2 5 9" xfId="17729" xr:uid="{00000000-0005-0000-0000-0000F8200000}"/>
    <cellStyle name="Normal 2 2 6" xfId="1109" xr:uid="{00000000-0005-0000-0000-0000F9200000}"/>
    <cellStyle name="Normal 2 2 6 2" xfId="1630" xr:uid="{00000000-0005-0000-0000-0000FA200000}"/>
    <cellStyle name="Normal 2 2 6 2 2" xfId="2134" xr:uid="{00000000-0005-0000-0000-0000FB200000}"/>
    <cellStyle name="Normal 2 2 6 2 2 2" xfId="6524" xr:uid="{00000000-0005-0000-0000-0000FC200000}"/>
    <cellStyle name="Normal 2 2 6 2 2 2 2" xfId="9875" xr:uid="{00000000-0005-0000-0000-0000FD200000}"/>
    <cellStyle name="Normal 2 2 6 2 2 2 2 2" xfId="17138" xr:uid="{00000000-0005-0000-0000-0000FE200000}"/>
    <cellStyle name="Normal 2 2 6 2 2 2 2 2 2" xfId="33453" xr:uid="{00000000-0005-0000-0000-0000FF200000}"/>
    <cellStyle name="Normal 2 2 6 2 2 2 2 3" xfId="26488" xr:uid="{00000000-0005-0000-0000-000000210000}"/>
    <cellStyle name="Normal 2 2 6 2 2 2 3" xfId="13217" xr:uid="{00000000-0005-0000-0000-000001210000}"/>
    <cellStyle name="Normal 2 2 6 2 2 2 3 2" xfId="29792" xr:uid="{00000000-0005-0000-0000-000002210000}"/>
    <cellStyle name="Normal 2 2 6 2 2 2 4" xfId="23188" xr:uid="{00000000-0005-0000-0000-000003210000}"/>
    <cellStyle name="Normal 2 2 6 2 2 3" xfId="8254" xr:uid="{00000000-0005-0000-0000-000004210000}"/>
    <cellStyle name="Normal 2 2 6 2 2 3 2" xfId="15517" xr:uid="{00000000-0005-0000-0000-000005210000}"/>
    <cellStyle name="Normal 2 2 6 2 2 3 2 2" xfId="31832" xr:uid="{00000000-0005-0000-0000-000006210000}"/>
    <cellStyle name="Normal 2 2 6 2 2 3 3" xfId="24867" xr:uid="{00000000-0005-0000-0000-000007210000}"/>
    <cellStyle name="Normal 2 2 6 2 2 4" xfId="11569" xr:uid="{00000000-0005-0000-0000-000008210000}"/>
    <cellStyle name="Normal 2 2 6 2 2 4 2" xfId="28167" xr:uid="{00000000-0005-0000-0000-000009210000}"/>
    <cellStyle name="Normal 2 2 6 2 2 5" xfId="3738" xr:uid="{00000000-0005-0000-0000-00000A210000}"/>
    <cellStyle name="Normal 2 2 6 2 2 5 2" xfId="20461" xr:uid="{00000000-0005-0000-0000-00000B210000}"/>
    <cellStyle name="Normal 2 2 6 2 2 6" xfId="18865" xr:uid="{00000000-0005-0000-0000-00000C210000}"/>
    <cellStyle name="Normal 2 2 6 2 3" xfId="2133" xr:uid="{00000000-0005-0000-0000-00000D210000}"/>
    <cellStyle name="Normal 2 2 6 2 3 2" xfId="9099" xr:uid="{00000000-0005-0000-0000-00000E210000}"/>
    <cellStyle name="Normal 2 2 6 2 3 2 2" xfId="16362" xr:uid="{00000000-0005-0000-0000-00000F210000}"/>
    <cellStyle name="Normal 2 2 6 2 3 2 2 2" xfId="32677" xr:uid="{00000000-0005-0000-0000-000010210000}"/>
    <cellStyle name="Normal 2 2 6 2 3 2 3" xfId="25712" xr:uid="{00000000-0005-0000-0000-000011210000}"/>
    <cellStyle name="Normal 2 2 6 2 3 3" xfId="12441" xr:uid="{00000000-0005-0000-0000-000012210000}"/>
    <cellStyle name="Normal 2 2 6 2 3 3 2" xfId="29016" xr:uid="{00000000-0005-0000-0000-000013210000}"/>
    <cellStyle name="Normal 2 2 6 2 3 4" xfId="5748" xr:uid="{00000000-0005-0000-0000-000014210000}"/>
    <cellStyle name="Normal 2 2 6 2 3 4 2" xfId="22412" xr:uid="{00000000-0005-0000-0000-000015210000}"/>
    <cellStyle name="Normal 2 2 6 2 3 5" xfId="18864" xr:uid="{00000000-0005-0000-0000-000016210000}"/>
    <cellStyle name="Normal 2 2 6 2 4" xfId="7478" xr:uid="{00000000-0005-0000-0000-000017210000}"/>
    <cellStyle name="Normal 2 2 6 2 4 2" xfId="14741" xr:uid="{00000000-0005-0000-0000-000018210000}"/>
    <cellStyle name="Normal 2 2 6 2 4 2 2" xfId="31056" xr:uid="{00000000-0005-0000-0000-000019210000}"/>
    <cellStyle name="Normal 2 2 6 2 4 3" xfId="24091" xr:uid="{00000000-0005-0000-0000-00001A210000}"/>
    <cellStyle name="Normal 2 2 6 2 5" xfId="10793" xr:uid="{00000000-0005-0000-0000-00001B210000}"/>
    <cellStyle name="Normal 2 2 6 2 5 2" xfId="27391" xr:uid="{00000000-0005-0000-0000-00001C210000}"/>
    <cellStyle name="Normal 2 2 6 2 6" xfId="3737" xr:uid="{00000000-0005-0000-0000-00001D210000}"/>
    <cellStyle name="Normal 2 2 6 2 6 2" xfId="20460" xr:uid="{00000000-0005-0000-0000-00001E210000}"/>
    <cellStyle name="Normal 2 2 6 2 7" xfId="18365" xr:uid="{00000000-0005-0000-0000-00001F210000}"/>
    <cellStyle name="Normal 2 2 6 3" xfId="2135" xr:uid="{00000000-0005-0000-0000-000020210000}"/>
    <cellStyle name="Normal 2 2 6 3 2" xfId="6154" xr:uid="{00000000-0005-0000-0000-000021210000}"/>
    <cellStyle name="Normal 2 2 6 3 2 2" xfId="9505" xr:uid="{00000000-0005-0000-0000-000022210000}"/>
    <cellStyle name="Normal 2 2 6 3 2 2 2" xfId="16768" xr:uid="{00000000-0005-0000-0000-000023210000}"/>
    <cellStyle name="Normal 2 2 6 3 2 2 2 2" xfId="33083" xr:uid="{00000000-0005-0000-0000-000024210000}"/>
    <cellStyle name="Normal 2 2 6 3 2 2 3" xfId="26118" xr:uid="{00000000-0005-0000-0000-000025210000}"/>
    <cellStyle name="Normal 2 2 6 3 2 3" xfId="12847" xr:uid="{00000000-0005-0000-0000-000026210000}"/>
    <cellStyle name="Normal 2 2 6 3 2 3 2" xfId="29422" xr:uid="{00000000-0005-0000-0000-000027210000}"/>
    <cellStyle name="Normal 2 2 6 3 2 4" xfId="22818" xr:uid="{00000000-0005-0000-0000-000028210000}"/>
    <cellStyle name="Normal 2 2 6 3 3" xfId="7884" xr:uid="{00000000-0005-0000-0000-000029210000}"/>
    <cellStyle name="Normal 2 2 6 3 3 2" xfId="15147" xr:uid="{00000000-0005-0000-0000-00002A210000}"/>
    <cellStyle name="Normal 2 2 6 3 3 2 2" xfId="31462" xr:uid="{00000000-0005-0000-0000-00002B210000}"/>
    <cellStyle name="Normal 2 2 6 3 3 3" xfId="24497" xr:uid="{00000000-0005-0000-0000-00002C210000}"/>
    <cellStyle name="Normal 2 2 6 3 4" xfId="11199" xr:uid="{00000000-0005-0000-0000-00002D210000}"/>
    <cellStyle name="Normal 2 2 6 3 4 2" xfId="27797" xr:uid="{00000000-0005-0000-0000-00002E210000}"/>
    <cellStyle name="Normal 2 2 6 3 5" xfId="3739" xr:uid="{00000000-0005-0000-0000-00002F210000}"/>
    <cellStyle name="Normal 2 2 6 3 5 2" xfId="20462" xr:uid="{00000000-0005-0000-0000-000030210000}"/>
    <cellStyle name="Normal 2 2 6 3 6" xfId="18866" xr:uid="{00000000-0005-0000-0000-000031210000}"/>
    <cellStyle name="Normal 2 2 6 4" xfId="2132" xr:uid="{00000000-0005-0000-0000-000032210000}"/>
    <cellStyle name="Normal 2 2 6 4 2" xfId="8692" xr:uid="{00000000-0005-0000-0000-000033210000}"/>
    <cellStyle name="Normal 2 2 6 4 2 2" xfId="15955" xr:uid="{00000000-0005-0000-0000-000034210000}"/>
    <cellStyle name="Normal 2 2 6 4 2 2 2" xfId="32270" xr:uid="{00000000-0005-0000-0000-000035210000}"/>
    <cellStyle name="Normal 2 2 6 4 2 3" xfId="25305" xr:uid="{00000000-0005-0000-0000-000036210000}"/>
    <cellStyle name="Normal 2 2 6 4 3" xfId="12034" xr:uid="{00000000-0005-0000-0000-000037210000}"/>
    <cellStyle name="Normal 2 2 6 4 3 2" xfId="28609" xr:uid="{00000000-0005-0000-0000-000038210000}"/>
    <cellStyle name="Normal 2 2 6 4 4" xfId="5341" xr:uid="{00000000-0005-0000-0000-000039210000}"/>
    <cellStyle name="Normal 2 2 6 4 4 2" xfId="22005" xr:uid="{00000000-0005-0000-0000-00003A210000}"/>
    <cellStyle name="Normal 2 2 6 4 5" xfId="18863" xr:uid="{00000000-0005-0000-0000-00003B210000}"/>
    <cellStyle name="Normal 2 2 6 5" xfId="7072" xr:uid="{00000000-0005-0000-0000-00003C210000}"/>
    <cellStyle name="Normal 2 2 6 5 2" xfId="14335" xr:uid="{00000000-0005-0000-0000-00003D210000}"/>
    <cellStyle name="Normal 2 2 6 5 2 2" xfId="30650" xr:uid="{00000000-0005-0000-0000-00003E210000}"/>
    <cellStyle name="Normal 2 2 6 5 3" xfId="23685" xr:uid="{00000000-0005-0000-0000-00003F210000}"/>
    <cellStyle name="Normal 2 2 6 6" xfId="10387" xr:uid="{00000000-0005-0000-0000-000040210000}"/>
    <cellStyle name="Normal 2 2 6 6 2" xfId="26985" xr:uid="{00000000-0005-0000-0000-000041210000}"/>
    <cellStyle name="Normal 2 2 6 7" xfId="3736" xr:uid="{00000000-0005-0000-0000-000042210000}"/>
    <cellStyle name="Normal 2 2 6 7 2" xfId="20459" xr:uid="{00000000-0005-0000-0000-000043210000}"/>
    <cellStyle name="Normal 2 2 6 8" xfId="17846" xr:uid="{00000000-0005-0000-0000-000044210000}"/>
    <cellStyle name="Normal 2 2 7" xfId="2136" xr:uid="{00000000-0005-0000-0000-000045210000}"/>
    <cellStyle name="Normal 2 2 7 2" xfId="2137" xr:uid="{00000000-0005-0000-0000-000046210000}"/>
    <cellStyle name="Normal 2 2 7 2 2" xfId="6348" xr:uid="{00000000-0005-0000-0000-000047210000}"/>
    <cellStyle name="Normal 2 2 7 2 2 2" xfId="9699" xr:uid="{00000000-0005-0000-0000-000048210000}"/>
    <cellStyle name="Normal 2 2 7 2 2 2 2" xfId="16962" xr:uid="{00000000-0005-0000-0000-000049210000}"/>
    <cellStyle name="Normal 2 2 7 2 2 2 2 2" xfId="33277" xr:uid="{00000000-0005-0000-0000-00004A210000}"/>
    <cellStyle name="Normal 2 2 7 2 2 2 3" xfId="26312" xr:uid="{00000000-0005-0000-0000-00004B210000}"/>
    <cellStyle name="Normal 2 2 7 2 2 3" xfId="13041" xr:uid="{00000000-0005-0000-0000-00004C210000}"/>
    <cellStyle name="Normal 2 2 7 2 2 3 2" xfId="29616" xr:uid="{00000000-0005-0000-0000-00004D210000}"/>
    <cellStyle name="Normal 2 2 7 2 2 4" xfId="23012" xr:uid="{00000000-0005-0000-0000-00004E210000}"/>
    <cellStyle name="Normal 2 2 7 2 3" xfId="8078" xr:uid="{00000000-0005-0000-0000-00004F210000}"/>
    <cellStyle name="Normal 2 2 7 2 3 2" xfId="15341" xr:uid="{00000000-0005-0000-0000-000050210000}"/>
    <cellStyle name="Normal 2 2 7 2 3 2 2" xfId="31656" xr:uid="{00000000-0005-0000-0000-000051210000}"/>
    <cellStyle name="Normal 2 2 7 2 3 3" xfId="24691" xr:uid="{00000000-0005-0000-0000-000052210000}"/>
    <cellStyle name="Normal 2 2 7 2 4" xfId="11393" xr:uid="{00000000-0005-0000-0000-000053210000}"/>
    <cellStyle name="Normal 2 2 7 2 4 2" xfId="27991" xr:uid="{00000000-0005-0000-0000-000054210000}"/>
    <cellStyle name="Normal 2 2 7 2 5" xfId="3741" xr:uid="{00000000-0005-0000-0000-000055210000}"/>
    <cellStyle name="Normal 2 2 7 2 5 2" xfId="20464" xr:uid="{00000000-0005-0000-0000-000056210000}"/>
    <cellStyle name="Normal 2 2 7 2 6" xfId="18868" xr:uid="{00000000-0005-0000-0000-000057210000}"/>
    <cellStyle name="Normal 2 2 7 3" xfId="5536" xr:uid="{00000000-0005-0000-0000-000058210000}"/>
    <cellStyle name="Normal 2 2 7 3 2" xfId="8887" xr:uid="{00000000-0005-0000-0000-000059210000}"/>
    <cellStyle name="Normal 2 2 7 3 2 2" xfId="16150" xr:uid="{00000000-0005-0000-0000-00005A210000}"/>
    <cellStyle name="Normal 2 2 7 3 2 2 2" xfId="32465" xr:uid="{00000000-0005-0000-0000-00005B210000}"/>
    <cellStyle name="Normal 2 2 7 3 2 3" xfId="25500" xr:uid="{00000000-0005-0000-0000-00005C210000}"/>
    <cellStyle name="Normal 2 2 7 3 3" xfId="12229" xr:uid="{00000000-0005-0000-0000-00005D210000}"/>
    <cellStyle name="Normal 2 2 7 3 3 2" xfId="28804" xr:uid="{00000000-0005-0000-0000-00005E210000}"/>
    <cellStyle name="Normal 2 2 7 3 4" xfId="22200" xr:uid="{00000000-0005-0000-0000-00005F210000}"/>
    <cellStyle name="Normal 2 2 7 4" xfId="7266" xr:uid="{00000000-0005-0000-0000-000060210000}"/>
    <cellStyle name="Normal 2 2 7 4 2" xfId="14529" xr:uid="{00000000-0005-0000-0000-000061210000}"/>
    <cellStyle name="Normal 2 2 7 4 2 2" xfId="30844" xr:uid="{00000000-0005-0000-0000-000062210000}"/>
    <cellStyle name="Normal 2 2 7 4 3" xfId="23879" xr:uid="{00000000-0005-0000-0000-000063210000}"/>
    <cellStyle name="Normal 2 2 7 5" xfId="10581" xr:uid="{00000000-0005-0000-0000-000064210000}"/>
    <cellStyle name="Normal 2 2 7 5 2" xfId="27179" xr:uid="{00000000-0005-0000-0000-000065210000}"/>
    <cellStyle name="Normal 2 2 7 6" xfId="3740" xr:uid="{00000000-0005-0000-0000-000066210000}"/>
    <cellStyle name="Normal 2 2 7 6 2" xfId="20463" xr:uid="{00000000-0005-0000-0000-000067210000}"/>
    <cellStyle name="Normal 2 2 7 7" xfId="18867" xr:uid="{00000000-0005-0000-0000-000068210000}"/>
    <cellStyle name="Normal 2 2 8" xfId="2138" xr:uid="{00000000-0005-0000-0000-000069210000}"/>
    <cellStyle name="Normal 2 2 8 2" xfId="5942" xr:uid="{00000000-0005-0000-0000-00006A210000}"/>
    <cellStyle name="Normal 2 2 8 2 2" xfId="9293" xr:uid="{00000000-0005-0000-0000-00006B210000}"/>
    <cellStyle name="Normal 2 2 8 2 2 2" xfId="16556" xr:uid="{00000000-0005-0000-0000-00006C210000}"/>
    <cellStyle name="Normal 2 2 8 2 2 2 2" xfId="32871" xr:uid="{00000000-0005-0000-0000-00006D210000}"/>
    <cellStyle name="Normal 2 2 8 2 2 3" xfId="25906" xr:uid="{00000000-0005-0000-0000-00006E210000}"/>
    <cellStyle name="Normal 2 2 8 2 3" xfId="12635" xr:uid="{00000000-0005-0000-0000-00006F210000}"/>
    <cellStyle name="Normal 2 2 8 2 3 2" xfId="29210" xr:uid="{00000000-0005-0000-0000-000070210000}"/>
    <cellStyle name="Normal 2 2 8 2 4" xfId="22606" xr:uid="{00000000-0005-0000-0000-000071210000}"/>
    <cellStyle name="Normal 2 2 8 3" xfId="7672" xr:uid="{00000000-0005-0000-0000-000072210000}"/>
    <cellStyle name="Normal 2 2 8 3 2" xfId="14935" xr:uid="{00000000-0005-0000-0000-000073210000}"/>
    <cellStyle name="Normal 2 2 8 3 2 2" xfId="31250" xr:uid="{00000000-0005-0000-0000-000074210000}"/>
    <cellStyle name="Normal 2 2 8 3 3" xfId="24285" xr:uid="{00000000-0005-0000-0000-000075210000}"/>
    <cellStyle name="Normal 2 2 8 4" xfId="10987" xr:uid="{00000000-0005-0000-0000-000076210000}"/>
    <cellStyle name="Normal 2 2 8 4 2" xfId="27585" xr:uid="{00000000-0005-0000-0000-000077210000}"/>
    <cellStyle name="Normal 2 2 8 5" xfId="3742" xr:uid="{00000000-0005-0000-0000-000078210000}"/>
    <cellStyle name="Normal 2 2 8 5 2" xfId="20465" xr:uid="{00000000-0005-0000-0000-000079210000}"/>
    <cellStyle name="Normal 2 2 8 6" xfId="18869" xr:uid="{00000000-0005-0000-0000-00007A210000}"/>
    <cellStyle name="Normal 2 2 9" xfId="5076" xr:uid="{00000000-0005-0000-0000-00007B210000}"/>
    <cellStyle name="Normal 2 3" xfId="349" xr:uid="{00000000-0005-0000-0000-00007C210000}"/>
    <cellStyle name="Normal 2 3 10" xfId="5030" xr:uid="{00000000-0005-0000-0000-00007D210000}"/>
    <cellStyle name="Normal 2 3 10 2" xfId="6801" xr:uid="{00000000-0005-0000-0000-00007E210000}"/>
    <cellStyle name="Normal 2 3 10 2 2" xfId="10114" xr:uid="{00000000-0005-0000-0000-00007F210000}"/>
    <cellStyle name="Normal 2 3 10 2 2 2" xfId="17377" xr:uid="{00000000-0005-0000-0000-000080210000}"/>
    <cellStyle name="Normal 2 3 10 2 2 2 2" xfId="33692" xr:uid="{00000000-0005-0000-0000-000081210000}"/>
    <cellStyle name="Normal 2 3 10 2 2 3" xfId="26727" xr:uid="{00000000-0005-0000-0000-000082210000}"/>
    <cellStyle name="Normal 2 3 10 2 3" xfId="13459" xr:uid="{00000000-0005-0000-0000-000083210000}"/>
    <cellStyle name="Normal 2 3 10 2 3 2" xfId="30031" xr:uid="{00000000-0005-0000-0000-000084210000}"/>
    <cellStyle name="Normal 2 3 10 2 4" xfId="23427" xr:uid="{00000000-0005-0000-0000-000085210000}"/>
    <cellStyle name="Normal 2 3 10 3" xfId="8436" xr:uid="{00000000-0005-0000-0000-000086210000}"/>
    <cellStyle name="Normal 2 3 10 3 2" xfId="15699" xr:uid="{00000000-0005-0000-0000-000087210000}"/>
    <cellStyle name="Normal 2 3 10 3 2 2" xfId="32014" xr:uid="{00000000-0005-0000-0000-000088210000}"/>
    <cellStyle name="Normal 2 3 10 3 3" xfId="25049" xr:uid="{00000000-0005-0000-0000-000089210000}"/>
    <cellStyle name="Normal 2 3 10 4" xfId="11751" xr:uid="{00000000-0005-0000-0000-00008A210000}"/>
    <cellStyle name="Normal 2 3 10 4 2" xfId="28349" xr:uid="{00000000-0005-0000-0000-00008B210000}"/>
    <cellStyle name="Normal 2 3 10 5" xfId="21749" xr:uid="{00000000-0005-0000-0000-00008C210000}"/>
    <cellStyle name="Normal 2 3 11" xfId="5078" xr:uid="{00000000-0005-0000-0000-00008D210000}"/>
    <cellStyle name="Normal 2 3 12" xfId="5111" xr:uid="{00000000-0005-0000-0000-00008E210000}"/>
    <cellStyle name="Normal 2 3 12 2" xfId="8464" xr:uid="{00000000-0005-0000-0000-00008F210000}"/>
    <cellStyle name="Normal 2 3 12 2 2" xfId="15727" xr:uid="{00000000-0005-0000-0000-000090210000}"/>
    <cellStyle name="Normal 2 3 12 2 2 2" xfId="32042" xr:uid="{00000000-0005-0000-0000-000091210000}"/>
    <cellStyle name="Normal 2 3 12 2 3" xfId="25077" xr:uid="{00000000-0005-0000-0000-000092210000}"/>
    <cellStyle name="Normal 2 3 12 3" xfId="11805" xr:uid="{00000000-0005-0000-0000-000093210000}"/>
    <cellStyle name="Normal 2 3 12 3 2" xfId="28381" xr:uid="{00000000-0005-0000-0000-000094210000}"/>
    <cellStyle name="Normal 2 3 12 4" xfId="21777" xr:uid="{00000000-0005-0000-0000-000095210000}"/>
    <cellStyle name="Normal 2 3 13" xfId="6850" xr:uid="{00000000-0005-0000-0000-000096210000}"/>
    <cellStyle name="Normal 2 3 13 2" xfId="14113" xr:uid="{00000000-0005-0000-0000-000097210000}"/>
    <cellStyle name="Normal 2 3 13 2 2" xfId="30428" xr:uid="{00000000-0005-0000-0000-000098210000}"/>
    <cellStyle name="Normal 2 3 13 3" xfId="23463" xr:uid="{00000000-0005-0000-0000-000099210000}"/>
    <cellStyle name="Normal 2 3 14" xfId="10154" xr:uid="{00000000-0005-0000-0000-00009A210000}"/>
    <cellStyle name="Normal 2 3 14 2" xfId="26763" xr:uid="{00000000-0005-0000-0000-00009B210000}"/>
    <cellStyle name="Normal 2 3 2" xfId="516" xr:uid="{00000000-0005-0000-0000-00009C210000}"/>
    <cellStyle name="Normal 2 3 2 10" xfId="3743" xr:uid="{00000000-0005-0000-0000-00009D210000}"/>
    <cellStyle name="Normal 2 3 2 10 2" xfId="20466" xr:uid="{00000000-0005-0000-0000-00009E210000}"/>
    <cellStyle name="Normal 2 3 2 11" xfId="17413" xr:uid="{00000000-0005-0000-0000-00009F210000}"/>
    <cellStyle name="Normal 2 3 2 2" xfId="595" xr:uid="{00000000-0005-0000-0000-0000A0210000}"/>
    <cellStyle name="Normal 2 3 2 2 10" xfId="17430" xr:uid="{00000000-0005-0000-0000-0000A1210000}"/>
    <cellStyle name="Normal 2 3 2 2 2" xfId="686" xr:uid="{00000000-0005-0000-0000-0000A2210000}"/>
    <cellStyle name="Normal 2 3 2 2 2 2" xfId="1120" xr:uid="{00000000-0005-0000-0000-0000A3210000}"/>
    <cellStyle name="Normal 2 3 2 2 2 2 2" xfId="1641" xr:uid="{00000000-0005-0000-0000-0000A4210000}"/>
    <cellStyle name="Normal 2 3 2 2 2 2 2 2" xfId="2144" xr:uid="{00000000-0005-0000-0000-0000A5210000}"/>
    <cellStyle name="Normal 2 3 2 2 2 2 2 2 2" xfId="6535" xr:uid="{00000000-0005-0000-0000-0000A6210000}"/>
    <cellStyle name="Normal 2 3 2 2 2 2 2 2 2 2" xfId="9886" xr:uid="{00000000-0005-0000-0000-0000A7210000}"/>
    <cellStyle name="Normal 2 3 2 2 2 2 2 2 2 2 2" xfId="17149" xr:uid="{00000000-0005-0000-0000-0000A8210000}"/>
    <cellStyle name="Normal 2 3 2 2 2 2 2 2 2 2 2 2" xfId="33464" xr:uid="{00000000-0005-0000-0000-0000A9210000}"/>
    <cellStyle name="Normal 2 3 2 2 2 2 2 2 2 2 3" xfId="26499" xr:uid="{00000000-0005-0000-0000-0000AA210000}"/>
    <cellStyle name="Normal 2 3 2 2 2 2 2 2 2 3" xfId="13228" xr:uid="{00000000-0005-0000-0000-0000AB210000}"/>
    <cellStyle name="Normal 2 3 2 2 2 2 2 2 2 3 2" xfId="29803" xr:uid="{00000000-0005-0000-0000-0000AC210000}"/>
    <cellStyle name="Normal 2 3 2 2 2 2 2 2 2 4" xfId="23199" xr:uid="{00000000-0005-0000-0000-0000AD210000}"/>
    <cellStyle name="Normal 2 3 2 2 2 2 2 2 3" xfId="8265" xr:uid="{00000000-0005-0000-0000-0000AE210000}"/>
    <cellStyle name="Normal 2 3 2 2 2 2 2 2 3 2" xfId="15528" xr:uid="{00000000-0005-0000-0000-0000AF210000}"/>
    <cellStyle name="Normal 2 3 2 2 2 2 2 2 3 2 2" xfId="31843" xr:uid="{00000000-0005-0000-0000-0000B0210000}"/>
    <cellStyle name="Normal 2 3 2 2 2 2 2 2 3 3" xfId="24878" xr:uid="{00000000-0005-0000-0000-0000B1210000}"/>
    <cellStyle name="Normal 2 3 2 2 2 2 2 2 4" xfId="11580" xr:uid="{00000000-0005-0000-0000-0000B2210000}"/>
    <cellStyle name="Normal 2 3 2 2 2 2 2 2 4 2" xfId="28178" xr:uid="{00000000-0005-0000-0000-0000B3210000}"/>
    <cellStyle name="Normal 2 3 2 2 2 2 2 2 5" xfId="3748" xr:uid="{00000000-0005-0000-0000-0000B4210000}"/>
    <cellStyle name="Normal 2 3 2 2 2 2 2 2 5 2" xfId="20471" xr:uid="{00000000-0005-0000-0000-0000B5210000}"/>
    <cellStyle name="Normal 2 3 2 2 2 2 2 2 6" xfId="18875" xr:uid="{00000000-0005-0000-0000-0000B6210000}"/>
    <cellStyle name="Normal 2 3 2 2 2 2 2 3" xfId="2143" xr:uid="{00000000-0005-0000-0000-0000B7210000}"/>
    <cellStyle name="Normal 2 3 2 2 2 2 2 3 2" xfId="9110" xr:uid="{00000000-0005-0000-0000-0000B8210000}"/>
    <cellStyle name="Normal 2 3 2 2 2 2 2 3 2 2" xfId="16373" xr:uid="{00000000-0005-0000-0000-0000B9210000}"/>
    <cellStyle name="Normal 2 3 2 2 2 2 2 3 2 2 2" xfId="32688" xr:uid="{00000000-0005-0000-0000-0000BA210000}"/>
    <cellStyle name="Normal 2 3 2 2 2 2 2 3 2 3" xfId="25723" xr:uid="{00000000-0005-0000-0000-0000BB210000}"/>
    <cellStyle name="Normal 2 3 2 2 2 2 2 3 3" xfId="12452" xr:uid="{00000000-0005-0000-0000-0000BC210000}"/>
    <cellStyle name="Normal 2 3 2 2 2 2 2 3 3 2" xfId="29027" xr:uid="{00000000-0005-0000-0000-0000BD210000}"/>
    <cellStyle name="Normal 2 3 2 2 2 2 2 3 4" xfId="5759" xr:uid="{00000000-0005-0000-0000-0000BE210000}"/>
    <cellStyle name="Normal 2 3 2 2 2 2 2 3 4 2" xfId="22423" xr:uid="{00000000-0005-0000-0000-0000BF210000}"/>
    <cellStyle name="Normal 2 3 2 2 2 2 2 3 5" xfId="18874" xr:uid="{00000000-0005-0000-0000-0000C0210000}"/>
    <cellStyle name="Normal 2 3 2 2 2 2 2 4" xfId="7489" xr:uid="{00000000-0005-0000-0000-0000C1210000}"/>
    <cellStyle name="Normal 2 3 2 2 2 2 2 4 2" xfId="14752" xr:uid="{00000000-0005-0000-0000-0000C2210000}"/>
    <cellStyle name="Normal 2 3 2 2 2 2 2 4 2 2" xfId="31067" xr:uid="{00000000-0005-0000-0000-0000C3210000}"/>
    <cellStyle name="Normal 2 3 2 2 2 2 2 4 3" xfId="24102" xr:uid="{00000000-0005-0000-0000-0000C4210000}"/>
    <cellStyle name="Normal 2 3 2 2 2 2 2 5" xfId="10804" xr:uid="{00000000-0005-0000-0000-0000C5210000}"/>
    <cellStyle name="Normal 2 3 2 2 2 2 2 5 2" xfId="27402" xr:uid="{00000000-0005-0000-0000-0000C6210000}"/>
    <cellStyle name="Normal 2 3 2 2 2 2 2 6" xfId="3747" xr:uid="{00000000-0005-0000-0000-0000C7210000}"/>
    <cellStyle name="Normal 2 3 2 2 2 2 2 6 2" xfId="20470" xr:uid="{00000000-0005-0000-0000-0000C8210000}"/>
    <cellStyle name="Normal 2 3 2 2 2 2 2 7" xfId="18376" xr:uid="{00000000-0005-0000-0000-0000C9210000}"/>
    <cellStyle name="Normal 2 3 2 2 2 2 3" xfId="2145" xr:uid="{00000000-0005-0000-0000-0000CA210000}"/>
    <cellStyle name="Normal 2 3 2 2 2 2 3 2" xfId="6165" xr:uid="{00000000-0005-0000-0000-0000CB210000}"/>
    <cellStyle name="Normal 2 3 2 2 2 2 3 2 2" xfId="9516" xr:uid="{00000000-0005-0000-0000-0000CC210000}"/>
    <cellStyle name="Normal 2 3 2 2 2 2 3 2 2 2" xfId="16779" xr:uid="{00000000-0005-0000-0000-0000CD210000}"/>
    <cellStyle name="Normal 2 3 2 2 2 2 3 2 2 2 2" xfId="33094" xr:uid="{00000000-0005-0000-0000-0000CE210000}"/>
    <cellStyle name="Normal 2 3 2 2 2 2 3 2 2 3" xfId="26129" xr:uid="{00000000-0005-0000-0000-0000CF210000}"/>
    <cellStyle name="Normal 2 3 2 2 2 2 3 2 3" xfId="12858" xr:uid="{00000000-0005-0000-0000-0000D0210000}"/>
    <cellStyle name="Normal 2 3 2 2 2 2 3 2 3 2" xfId="29433" xr:uid="{00000000-0005-0000-0000-0000D1210000}"/>
    <cellStyle name="Normal 2 3 2 2 2 2 3 2 4" xfId="22829" xr:uid="{00000000-0005-0000-0000-0000D2210000}"/>
    <cellStyle name="Normal 2 3 2 2 2 2 3 3" xfId="7895" xr:uid="{00000000-0005-0000-0000-0000D3210000}"/>
    <cellStyle name="Normal 2 3 2 2 2 2 3 3 2" xfId="15158" xr:uid="{00000000-0005-0000-0000-0000D4210000}"/>
    <cellStyle name="Normal 2 3 2 2 2 2 3 3 2 2" xfId="31473" xr:uid="{00000000-0005-0000-0000-0000D5210000}"/>
    <cellStyle name="Normal 2 3 2 2 2 2 3 3 3" xfId="24508" xr:uid="{00000000-0005-0000-0000-0000D6210000}"/>
    <cellStyle name="Normal 2 3 2 2 2 2 3 4" xfId="11210" xr:uid="{00000000-0005-0000-0000-0000D7210000}"/>
    <cellStyle name="Normal 2 3 2 2 2 2 3 4 2" xfId="27808" xr:uid="{00000000-0005-0000-0000-0000D8210000}"/>
    <cellStyle name="Normal 2 3 2 2 2 2 3 5" xfId="3749" xr:uid="{00000000-0005-0000-0000-0000D9210000}"/>
    <cellStyle name="Normal 2 3 2 2 2 2 3 5 2" xfId="20472" xr:uid="{00000000-0005-0000-0000-0000DA210000}"/>
    <cellStyle name="Normal 2 3 2 2 2 2 3 6" xfId="18876" xr:uid="{00000000-0005-0000-0000-0000DB210000}"/>
    <cellStyle name="Normal 2 3 2 2 2 2 4" xfId="2142" xr:uid="{00000000-0005-0000-0000-0000DC210000}"/>
    <cellStyle name="Normal 2 3 2 2 2 2 4 2" xfId="8703" xr:uid="{00000000-0005-0000-0000-0000DD210000}"/>
    <cellStyle name="Normal 2 3 2 2 2 2 4 2 2" xfId="15966" xr:uid="{00000000-0005-0000-0000-0000DE210000}"/>
    <cellStyle name="Normal 2 3 2 2 2 2 4 2 2 2" xfId="32281" xr:uid="{00000000-0005-0000-0000-0000DF210000}"/>
    <cellStyle name="Normal 2 3 2 2 2 2 4 2 3" xfId="25316" xr:uid="{00000000-0005-0000-0000-0000E0210000}"/>
    <cellStyle name="Normal 2 3 2 2 2 2 4 3" xfId="12045" xr:uid="{00000000-0005-0000-0000-0000E1210000}"/>
    <cellStyle name="Normal 2 3 2 2 2 2 4 3 2" xfId="28620" xr:uid="{00000000-0005-0000-0000-0000E2210000}"/>
    <cellStyle name="Normal 2 3 2 2 2 2 4 4" xfId="5352" xr:uid="{00000000-0005-0000-0000-0000E3210000}"/>
    <cellStyle name="Normal 2 3 2 2 2 2 4 4 2" xfId="22016" xr:uid="{00000000-0005-0000-0000-0000E4210000}"/>
    <cellStyle name="Normal 2 3 2 2 2 2 4 5" xfId="18873" xr:uid="{00000000-0005-0000-0000-0000E5210000}"/>
    <cellStyle name="Normal 2 3 2 2 2 2 5" xfId="7083" xr:uid="{00000000-0005-0000-0000-0000E6210000}"/>
    <cellStyle name="Normal 2 3 2 2 2 2 5 2" xfId="14346" xr:uid="{00000000-0005-0000-0000-0000E7210000}"/>
    <cellStyle name="Normal 2 3 2 2 2 2 5 2 2" xfId="30661" xr:uid="{00000000-0005-0000-0000-0000E8210000}"/>
    <cellStyle name="Normal 2 3 2 2 2 2 5 3" xfId="23696" xr:uid="{00000000-0005-0000-0000-0000E9210000}"/>
    <cellStyle name="Normal 2 3 2 2 2 2 6" xfId="10398" xr:uid="{00000000-0005-0000-0000-0000EA210000}"/>
    <cellStyle name="Normal 2 3 2 2 2 2 6 2" xfId="26996" xr:uid="{00000000-0005-0000-0000-0000EB210000}"/>
    <cellStyle name="Normal 2 3 2 2 2 2 7" xfId="3746" xr:uid="{00000000-0005-0000-0000-0000EC210000}"/>
    <cellStyle name="Normal 2 3 2 2 2 2 7 2" xfId="20469" xr:uid="{00000000-0005-0000-0000-0000ED210000}"/>
    <cellStyle name="Normal 2 3 2 2 2 2 8" xfId="17857" xr:uid="{00000000-0005-0000-0000-0000EE210000}"/>
    <cellStyle name="Normal 2 3 2 2 2 3" xfId="1021" xr:uid="{00000000-0005-0000-0000-0000EF210000}"/>
    <cellStyle name="Normal 2 3 2 2 2 3 2" xfId="1582" xr:uid="{00000000-0005-0000-0000-0000F0210000}"/>
    <cellStyle name="Normal 2 3 2 2 2 3 2 2" xfId="2147" xr:uid="{00000000-0005-0000-0000-0000F1210000}"/>
    <cellStyle name="Normal 2 3 2 2 2 3 2 2 2" xfId="9710" xr:uid="{00000000-0005-0000-0000-0000F2210000}"/>
    <cellStyle name="Normal 2 3 2 2 2 3 2 2 2 2" xfId="16973" xr:uid="{00000000-0005-0000-0000-0000F3210000}"/>
    <cellStyle name="Normal 2 3 2 2 2 3 2 2 2 2 2" xfId="33288" xr:uid="{00000000-0005-0000-0000-0000F4210000}"/>
    <cellStyle name="Normal 2 3 2 2 2 3 2 2 2 3" xfId="26323" xr:uid="{00000000-0005-0000-0000-0000F5210000}"/>
    <cellStyle name="Normal 2 3 2 2 2 3 2 2 3" xfId="13052" xr:uid="{00000000-0005-0000-0000-0000F6210000}"/>
    <cellStyle name="Normal 2 3 2 2 2 3 2 2 3 2" xfId="29627" xr:uid="{00000000-0005-0000-0000-0000F7210000}"/>
    <cellStyle name="Normal 2 3 2 2 2 3 2 2 4" xfId="6359" xr:uid="{00000000-0005-0000-0000-0000F8210000}"/>
    <cellStyle name="Normal 2 3 2 2 2 3 2 2 4 2" xfId="23023" xr:uid="{00000000-0005-0000-0000-0000F9210000}"/>
    <cellStyle name="Normal 2 3 2 2 2 3 2 2 5" xfId="18878" xr:uid="{00000000-0005-0000-0000-0000FA210000}"/>
    <cellStyle name="Normal 2 3 2 2 2 3 2 3" xfId="8089" xr:uid="{00000000-0005-0000-0000-0000FB210000}"/>
    <cellStyle name="Normal 2 3 2 2 2 3 2 3 2" xfId="15352" xr:uid="{00000000-0005-0000-0000-0000FC210000}"/>
    <cellStyle name="Normal 2 3 2 2 2 3 2 3 2 2" xfId="31667" xr:uid="{00000000-0005-0000-0000-0000FD210000}"/>
    <cellStyle name="Normal 2 3 2 2 2 3 2 3 3" xfId="24702" xr:uid="{00000000-0005-0000-0000-0000FE210000}"/>
    <cellStyle name="Normal 2 3 2 2 2 3 2 4" xfId="11404" xr:uid="{00000000-0005-0000-0000-0000FF210000}"/>
    <cellStyle name="Normal 2 3 2 2 2 3 2 4 2" xfId="28002" xr:uid="{00000000-0005-0000-0000-000000220000}"/>
    <cellStyle name="Normal 2 3 2 2 2 3 2 5" xfId="3751" xr:uid="{00000000-0005-0000-0000-000001220000}"/>
    <cellStyle name="Normal 2 3 2 2 2 3 2 5 2" xfId="20474" xr:uid="{00000000-0005-0000-0000-000002220000}"/>
    <cellStyle name="Normal 2 3 2 2 2 3 2 6" xfId="18317" xr:uid="{00000000-0005-0000-0000-000003220000}"/>
    <cellStyle name="Normal 2 3 2 2 2 3 3" xfId="2146" xr:uid="{00000000-0005-0000-0000-000004220000}"/>
    <cellStyle name="Normal 2 3 2 2 2 3 3 2" xfId="8898" xr:uid="{00000000-0005-0000-0000-000005220000}"/>
    <cellStyle name="Normal 2 3 2 2 2 3 3 2 2" xfId="16161" xr:uid="{00000000-0005-0000-0000-000006220000}"/>
    <cellStyle name="Normal 2 3 2 2 2 3 3 2 2 2" xfId="32476" xr:uid="{00000000-0005-0000-0000-000007220000}"/>
    <cellStyle name="Normal 2 3 2 2 2 3 3 2 3" xfId="25511" xr:uid="{00000000-0005-0000-0000-000008220000}"/>
    <cellStyle name="Normal 2 3 2 2 2 3 3 3" xfId="12240" xr:uid="{00000000-0005-0000-0000-000009220000}"/>
    <cellStyle name="Normal 2 3 2 2 2 3 3 3 2" xfId="28815" xr:uid="{00000000-0005-0000-0000-00000A220000}"/>
    <cellStyle name="Normal 2 3 2 2 2 3 3 4" xfId="5547" xr:uid="{00000000-0005-0000-0000-00000B220000}"/>
    <cellStyle name="Normal 2 3 2 2 2 3 3 4 2" xfId="22211" xr:uid="{00000000-0005-0000-0000-00000C220000}"/>
    <cellStyle name="Normal 2 3 2 2 2 3 3 5" xfId="18877" xr:uid="{00000000-0005-0000-0000-00000D220000}"/>
    <cellStyle name="Normal 2 3 2 2 2 3 4" xfId="7277" xr:uid="{00000000-0005-0000-0000-00000E220000}"/>
    <cellStyle name="Normal 2 3 2 2 2 3 4 2" xfId="14540" xr:uid="{00000000-0005-0000-0000-00000F220000}"/>
    <cellStyle name="Normal 2 3 2 2 2 3 4 2 2" xfId="30855" xr:uid="{00000000-0005-0000-0000-000010220000}"/>
    <cellStyle name="Normal 2 3 2 2 2 3 4 3" xfId="23890" xr:uid="{00000000-0005-0000-0000-000011220000}"/>
    <cellStyle name="Normal 2 3 2 2 2 3 5" xfId="10592" xr:uid="{00000000-0005-0000-0000-000012220000}"/>
    <cellStyle name="Normal 2 3 2 2 2 3 5 2" xfId="27190" xr:uid="{00000000-0005-0000-0000-000013220000}"/>
    <cellStyle name="Normal 2 3 2 2 2 3 6" xfId="3750" xr:uid="{00000000-0005-0000-0000-000014220000}"/>
    <cellStyle name="Normal 2 3 2 2 2 3 6 2" xfId="20473" xr:uid="{00000000-0005-0000-0000-000015220000}"/>
    <cellStyle name="Normal 2 3 2 2 2 3 7" xfId="17798" xr:uid="{00000000-0005-0000-0000-000016220000}"/>
    <cellStyle name="Normal 2 3 2 2 2 4" xfId="792" xr:uid="{00000000-0005-0000-0000-000017220000}"/>
    <cellStyle name="Normal 2 3 2 2 2 4 2" xfId="2148" xr:uid="{00000000-0005-0000-0000-000018220000}"/>
    <cellStyle name="Normal 2 3 2 2 2 4 2 2" xfId="9304" xr:uid="{00000000-0005-0000-0000-000019220000}"/>
    <cellStyle name="Normal 2 3 2 2 2 4 2 2 2" xfId="16567" xr:uid="{00000000-0005-0000-0000-00001A220000}"/>
    <cellStyle name="Normal 2 3 2 2 2 4 2 2 2 2" xfId="32882" xr:uid="{00000000-0005-0000-0000-00001B220000}"/>
    <cellStyle name="Normal 2 3 2 2 2 4 2 2 3" xfId="25917" xr:uid="{00000000-0005-0000-0000-00001C220000}"/>
    <cellStyle name="Normal 2 3 2 2 2 4 2 3" xfId="12646" xr:uid="{00000000-0005-0000-0000-00001D220000}"/>
    <cellStyle name="Normal 2 3 2 2 2 4 2 3 2" xfId="29221" xr:uid="{00000000-0005-0000-0000-00001E220000}"/>
    <cellStyle name="Normal 2 3 2 2 2 4 2 4" xfId="5953" xr:uid="{00000000-0005-0000-0000-00001F220000}"/>
    <cellStyle name="Normal 2 3 2 2 2 4 2 4 2" xfId="22617" xr:uid="{00000000-0005-0000-0000-000020220000}"/>
    <cellStyle name="Normal 2 3 2 2 2 4 2 5" xfId="18879" xr:uid="{00000000-0005-0000-0000-000021220000}"/>
    <cellStyle name="Normal 2 3 2 2 2 4 3" xfId="7683" xr:uid="{00000000-0005-0000-0000-000022220000}"/>
    <cellStyle name="Normal 2 3 2 2 2 4 3 2" xfId="14946" xr:uid="{00000000-0005-0000-0000-000023220000}"/>
    <cellStyle name="Normal 2 3 2 2 2 4 3 2 2" xfId="31261" xr:uid="{00000000-0005-0000-0000-000024220000}"/>
    <cellStyle name="Normal 2 3 2 2 2 4 3 3" xfId="24296" xr:uid="{00000000-0005-0000-0000-000025220000}"/>
    <cellStyle name="Normal 2 3 2 2 2 4 4" xfId="10998" xr:uid="{00000000-0005-0000-0000-000026220000}"/>
    <cellStyle name="Normal 2 3 2 2 2 4 4 2" xfId="27596" xr:uid="{00000000-0005-0000-0000-000027220000}"/>
    <cellStyle name="Normal 2 3 2 2 2 4 5" xfId="3752" xr:uid="{00000000-0005-0000-0000-000028220000}"/>
    <cellStyle name="Normal 2 3 2 2 2 4 5 2" xfId="20475" xr:uid="{00000000-0005-0000-0000-000029220000}"/>
    <cellStyle name="Normal 2 3 2 2 2 4 6" xfId="17605" xr:uid="{00000000-0005-0000-0000-00002A220000}"/>
    <cellStyle name="Normal 2 3 2 2 2 5" xfId="1389" xr:uid="{00000000-0005-0000-0000-00002B220000}"/>
    <cellStyle name="Normal 2 3 2 2 2 5 2" xfId="8643" xr:uid="{00000000-0005-0000-0000-00002C220000}"/>
    <cellStyle name="Normal 2 3 2 2 2 5 2 2" xfId="15906" xr:uid="{00000000-0005-0000-0000-00002D220000}"/>
    <cellStyle name="Normal 2 3 2 2 2 5 2 2 2" xfId="32221" xr:uid="{00000000-0005-0000-0000-00002E220000}"/>
    <cellStyle name="Normal 2 3 2 2 2 5 2 3" xfId="25256" xr:uid="{00000000-0005-0000-0000-00002F220000}"/>
    <cellStyle name="Normal 2 3 2 2 2 5 3" xfId="11985" xr:uid="{00000000-0005-0000-0000-000030220000}"/>
    <cellStyle name="Normal 2 3 2 2 2 5 3 2" xfId="28560" xr:uid="{00000000-0005-0000-0000-000031220000}"/>
    <cellStyle name="Normal 2 3 2 2 2 5 4" xfId="5292" xr:uid="{00000000-0005-0000-0000-000032220000}"/>
    <cellStyle name="Normal 2 3 2 2 2 5 4 2" xfId="21956" xr:uid="{00000000-0005-0000-0000-000033220000}"/>
    <cellStyle name="Normal 2 3 2 2 2 5 5" xfId="18124" xr:uid="{00000000-0005-0000-0000-000034220000}"/>
    <cellStyle name="Normal 2 3 2 2 2 6" xfId="2141" xr:uid="{00000000-0005-0000-0000-000035220000}"/>
    <cellStyle name="Normal 2 3 2 2 2 6 2" xfId="14287" xr:uid="{00000000-0005-0000-0000-000036220000}"/>
    <cellStyle name="Normal 2 3 2 2 2 6 2 2" xfId="30602" xr:uid="{00000000-0005-0000-0000-000037220000}"/>
    <cellStyle name="Normal 2 3 2 2 2 6 3" xfId="7024" xr:uid="{00000000-0005-0000-0000-000038220000}"/>
    <cellStyle name="Normal 2 3 2 2 2 6 3 2" xfId="23637" xr:uid="{00000000-0005-0000-0000-000039220000}"/>
    <cellStyle name="Normal 2 3 2 2 2 6 4" xfId="18872" xr:uid="{00000000-0005-0000-0000-00003A220000}"/>
    <cellStyle name="Normal 2 3 2 2 2 7" xfId="10338" xr:uid="{00000000-0005-0000-0000-00003B220000}"/>
    <cellStyle name="Normal 2 3 2 2 2 7 2" xfId="26937" xr:uid="{00000000-0005-0000-0000-00003C220000}"/>
    <cellStyle name="Normal 2 3 2 2 2 8" xfId="3745" xr:uid="{00000000-0005-0000-0000-00003D220000}"/>
    <cellStyle name="Normal 2 3 2 2 2 8 2" xfId="20468" xr:uid="{00000000-0005-0000-0000-00003E220000}"/>
    <cellStyle name="Normal 2 3 2 2 2 9" xfId="17500" xr:uid="{00000000-0005-0000-0000-00003F220000}"/>
    <cellStyle name="Normal 2 3 2 2 3" xfId="648" xr:uid="{00000000-0005-0000-0000-000040220000}"/>
    <cellStyle name="Normal 2 3 2 2 3 2" xfId="1119" xr:uid="{00000000-0005-0000-0000-000041220000}"/>
    <cellStyle name="Normal 2 3 2 2 3 2 2" xfId="1640" xr:uid="{00000000-0005-0000-0000-000042220000}"/>
    <cellStyle name="Normal 2 3 2 2 3 2 2 2" xfId="2151" xr:uid="{00000000-0005-0000-0000-000043220000}"/>
    <cellStyle name="Normal 2 3 2 2 3 2 2 2 2" xfId="9885" xr:uid="{00000000-0005-0000-0000-000044220000}"/>
    <cellStyle name="Normal 2 3 2 2 3 2 2 2 2 2" xfId="17148" xr:uid="{00000000-0005-0000-0000-000045220000}"/>
    <cellStyle name="Normal 2 3 2 2 3 2 2 2 2 2 2" xfId="33463" xr:uid="{00000000-0005-0000-0000-000046220000}"/>
    <cellStyle name="Normal 2 3 2 2 3 2 2 2 2 3" xfId="26498" xr:uid="{00000000-0005-0000-0000-000047220000}"/>
    <cellStyle name="Normal 2 3 2 2 3 2 2 2 3" xfId="13227" xr:uid="{00000000-0005-0000-0000-000048220000}"/>
    <cellStyle name="Normal 2 3 2 2 3 2 2 2 3 2" xfId="29802" xr:uid="{00000000-0005-0000-0000-000049220000}"/>
    <cellStyle name="Normal 2 3 2 2 3 2 2 2 4" xfId="6534" xr:uid="{00000000-0005-0000-0000-00004A220000}"/>
    <cellStyle name="Normal 2 3 2 2 3 2 2 2 4 2" xfId="23198" xr:uid="{00000000-0005-0000-0000-00004B220000}"/>
    <cellStyle name="Normal 2 3 2 2 3 2 2 2 5" xfId="18882" xr:uid="{00000000-0005-0000-0000-00004C220000}"/>
    <cellStyle name="Normal 2 3 2 2 3 2 2 3" xfId="8264" xr:uid="{00000000-0005-0000-0000-00004D220000}"/>
    <cellStyle name="Normal 2 3 2 2 3 2 2 3 2" xfId="15527" xr:uid="{00000000-0005-0000-0000-00004E220000}"/>
    <cellStyle name="Normal 2 3 2 2 3 2 2 3 2 2" xfId="31842" xr:uid="{00000000-0005-0000-0000-00004F220000}"/>
    <cellStyle name="Normal 2 3 2 2 3 2 2 3 3" xfId="24877" xr:uid="{00000000-0005-0000-0000-000050220000}"/>
    <cellStyle name="Normal 2 3 2 2 3 2 2 4" xfId="11579" xr:uid="{00000000-0005-0000-0000-000051220000}"/>
    <cellStyle name="Normal 2 3 2 2 3 2 2 4 2" xfId="28177" xr:uid="{00000000-0005-0000-0000-000052220000}"/>
    <cellStyle name="Normal 2 3 2 2 3 2 2 5" xfId="3755" xr:uid="{00000000-0005-0000-0000-000053220000}"/>
    <cellStyle name="Normal 2 3 2 2 3 2 2 5 2" xfId="20478" xr:uid="{00000000-0005-0000-0000-000054220000}"/>
    <cellStyle name="Normal 2 3 2 2 3 2 2 6" xfId="18375" xr:uid="{00000000-0005-0000-0000-000055220000}"/>
    <cellStyle name="Normal 2 3 2 2 3 2 3" xfId="2150" xr:uid="{00000000-0005-0000-0000-000056220000}"/>
    <cellStyle name="Normal 2 3 2 2 3 2 3 2" xfId="9109" xr:uid="{00000000-0005-0000-0000-000057220000}"/>
    <cellStyle name="Normal 2 3 2 2 3 2 3 2 2" xfId="16372" xr:uid="{00000000-0005-0000-0000-000058220000}"/>
    <cellStyle name="Normal 2 3 2 2 3 2 3 2 2 2" xfId="32687" xr:uid="{00000000-0005-0000-0000-000059220000}"/>
    <cellStyle name="Normal 2 3 2 2 3 2 3 2 3" xfId="25722" xr:uid="{00000000-0005-0000-0000-00005A220000}"/>
    <cellStyle name="Normal 2 3 2 2 3 2 3 3" xfId="12451" xr:uid="{00000000-0005-0000-0000-00005B220000}"/>
    <cellStyle name="Normal 2 3 2 2 3 2 3 3 2" xfId="29026" xr:uid="{00000000-0005-0000-0000-00005C220000}"/>
    <cellStyle name="Normal 2 3 2 2 3 2 3 4" xfId="5758" xr:uid="{00000000-0005-0000-0000-00005D220000}"/>
    <cellStyle name="Normal 2 3 2 2 3 2 3 4 2" xfId="22422" xr:uid="{00000000-0005-0000-0000-00005E220000}"/>
    <cellStyle name="Normal 2 3 2 2 3 2 3 5" xfId="18881" xr:uid="{00000000-0005-0000-0000-00005F220000}"/>
    <cellStyle name="Normal 2 3 2 2 3 2 4" xfId="7488" xr:uid="{00000000-0005-0000-0000-000060220000}"/>
    <cellStyle name="Normal 2 3 2 2 3 2 4 2" xfId="14751" xr:uid="{00000000-0005-0000-0000-000061220000}"/>
    <cellStyle name="Normal 2 3 2 2 3 2 4 2 2" xfId="31066" xr:uid="{00000000-0005-0000-0000-000062220000}"/>
    <cellStyle name="Normal 2 3 2 2 3 2 4 3" xfId="24101" xr:uid="{00000000-0005-0000-0000-000063220000}"/>
    <cellStyle name="Normal 2 3 2 2 3 2 5" xfId="10803" xr:uid="{00000000-0005-0000-0000-000064220000}"/>
    <cellStyle name="Normal 2 3 2 2 3 2 5 2" xfId="27401" xr:uid="{00000000-0005-0000-0000-000065220000}"/>
    <cellStyle name="Normal 2 3 2 2 3 2 6" xfId="3754" xr:uid="{00000000-0005-0000-0000-000066220000}"/>
    <cellStyle name="Normal 2 3 2 2 3 2 6 2" xfId="20477" xr:uid="{00000000-0005-0000-0000-000067220000}"/>
    <cellStyle name="Normal 2 3 2 2 3 2 7" xfId="17856" xr:uid="{00000000-0005-0000-0000-000068220000}"/>
    <cellStyle name="Normal 2 3 2 2 3 3" xfId="757" xr:uid="{00000000-0005-0000-0000-000069220000}"/>
    <cellStyle name="Normal 2 3 2 2 3 3 2" xfId="2152" xr:uid="{00000000-0005-0000-0000-00006A220000}"/>
    <cellStyle name="Normal 2 3 2 2 3 3 2 2" xfId="9515" xr:uid="{00000000-0005-0000-0000-00006B220000}"/>
    <cellStyle name="Normal 2 3 2 2 3 3 2 2 2" xfId="16778" xr:uid="{00000000-0005-0000-0000-00006C220000}"/>
    <cellStyle name="Normal 2 3 2 2 3 3 2 2 2 2" xfId="33093" xr:uid="{00000000-0005-0000-0000-00006D220000}"/>
    <cellStyle name="Normal 2 3 2 2 3 3 2 2 3" xfId="26128" xr:uid="{00000000-0005-0000-0000-00006E220000}"/>
    <cellStyle name="Normal 2 3 2 2 3 3 2 3" xfId="12857" xr:uid="{00000000-0005-0000-0000-00006F220000}"/>
    <cellStyle name="Normal 2 3 2 2 3 3 2 3 2" xfId="29432" xr:uid="{00000000-0005-0000-0000-000070220000}"/>
    <cellStyle name="Normal 2 3 2 2 3 3 2 4" xfId="6164" xr:uid="{00000000-0005-0000-0000-000071220000}"/>
    <cellStyle name="Normal 2 3 2 2 3 3 2 4 2" xfId="22828" xr:uid="{00000000-0005-0000-0000-000072220000}"/>
    <cellStyle name="Normal 2 3 2 2 3 3 2 5" xfId="18883" xr:uid="{00000000-0005-0000-0000-000073220000}"/>
    <cellStyle name="Normal 2 3 2 2 3 3 3" xfId="7894" xr:uid="{00000000-0005-0000-0000-000074220000}"/>
    <cellStyle name="Normal 2 3 2 2 3 3 3 2" xfId="15157" xr:uid="{00000000-0005-0000-0000-000075220000}"/>
    <cellStyle name="Normal 2 3 2 2 3 3 3 2 2" xfId="31472" xr:uid="{00000000-0005-0000-0000-000076220000}"/>
    <cellStyle name="Normal 2 3 2 2 3 3 3 3" xfId="24507" xr:uid="{00000000-0005-0000-0000-000077220000}"/>
    <cellStyle name="Normal 2 3 2 2 3 3 4" xfId="11209" xr:uid="{00000000-0005-0000-0000-000078220000}"/>
    <cellStyle name="Normal 2 3 2 2 3 3 4 2" xfId="27807" xr:uid="{00000000-0005-0000-0000-000079220000}"/>
    <cellStyle name="Normal 2 3 2 2 3 3 5" xfId="3756" xr:uid="{00000000-0005-0000-0000-00007A220000}"/>
    <cellStyle name="Normal 2 3 2 2 3 3 5 2" xfId="20479" xr:uid="{00000000-0005-0000-0000-00007B220000}"/>
    <cellStyle name="Normal 2 3 2 2 3 3 6" xfId="17570" xr:uid="{00000000-0005-0000-0000-00007C220000}"/>
    <cellStyle name="Normal 2 3 2 2 3 4" xfId="1354" xr:uid="{00000000-0005-0000-0000-00007D220000}"/>
    <cellStyle name="Normal 2 3 2 2 3 4 2" xfId="8702" xr:uid="{00000000-0005-0000-0000-00007E220000}"/>
    <cellStyle name="Normal 2 3 2 2 3 4 2 2" xfId="15965" xr:uid="{00000000-0005-0000-0000-00007F220000}"/>
    <cellStyle name="Normal 2 3 2 2 3 4 2 2 2" xfId="32280" xr:uid="{00000000-0005-0000-0000-000080220000}"/>
    <cellStyle name="Normal 2 3 2 2 3 4 2 3" xfId="25315" xr:uid="{00000000-0005-0000-0000-000081220000}"/>
    <cellStyle name="Normal 2 3 2 2 3 4 3" xfId="12044" xr:uid="{00000000-0005-0000-0000-000082220000}"/>
    <cellStyle name="Normal 2 3 2 2 3 4 3 2" xfId="28619" xr:uid="{00000000-0005-0000-0000-000083220000}"/>
    <cellStyle name="Normal 2 3 2 2 3 4 4" xfId="5351" xr:uid="{00000000-0005-0000-0000-000084220000}"/>
    <cellStyle name="Normal 2 3 2 2 3 4 4 2" xfId="22015" xr:uid="{00000000-0005-0000-0000-000085220000}"/>
    <cellStyle name="Normal 2 3 2 2 3 4 5" xfId="18089" xr:uid="{00000000-0005-0000-0000-000086220000}"/>
    <cellStyle name="Normal 2 3 2 2 3 5" xfId="2149" xr:uid="{00000000-0005-0000-0000-000087220000}"/>
    <cellStyle name="Normal 2 3 2 2 3 5 2" xfId="14345" xr:uid="{00000000-0005-0000-0000-000088220000}"/>
    <cellStyle name="Normal 2 3 2 2 3 5 2 2" xfId="30660" xr:uid="{00000000-0005-0000-0000-000089220000}"/>
    <cellStyle name="Normal 2 3 2 2 3 5 3" xfId="7082" xr:uid="{00000000-0005-0000-0000-00008A220000}"/>
    <cellStyle name="Normal 2 3 2 2 3 5 3 2" xfId="23695" xr:uid="{00000000-0005-0000-0000-00008B220000}"/>
    <cellStyle name="Normal 2 3 2 2 3 5 4" xfId="18880" xr:uid="{00000000-0005-0000-0000-00008C220000}"/>
    <cellStyle name="Normal 2 3 2 2 3 6" xfId="10397" xr:uid="{00000000-0005-0000-0000-00008D220000}"/>
    <cellStyle name="Normal 2 3 2 2 3 6 2" xfId="26995" xr:uid="{00000000-0005-0000-0000-00008E220000}"/>
    <cellStyle name="Normal 2 3 2 2 3 7" xfId="3753" xr:uid="{00000000-0005-0000-0000-00008F220000}"/>
    <cellStyle name="Normal 2 3 2 2 3 7 2" xfId="20476" xr:uid="{00000000-0005-0000-0000-000090220000}"/>
    <cellStyle name="Normal 2 3 2 2 3 8" xfId="17465" xr:uid="{00000000-0005-0000-0000-000091220000}"/>
    <cellStyle name="Normal 2 3 2 2 4" xfId="914" xr:uid="{00000000-0005-0000-0000-000092220000}"/>
    <cellStyle name="Normal 2 3 2 2 4 2" xfId="1476" xr:uid="{00000000-0005-0000-0000-000093220000}"/>
    <cellStyle name="Normal 2 3 2 2 4 2 2" xfId="2154" xr:uid="{00000000-0005-0000-0000-000094220000}"/>
    <cellStyle name="Normal 2 3 2 2 4 2 2 2" xfId="9709" xr:uid="{00000000-0005-0000-0000-000095220000}"/>
    <cellStyle name="Normal 2 3 2 2 4 2 2 2 2" xfId="16972" xr:uid="{00000000-0005-0000-0000-000096220000}"/>
    <cellStyle name="Normal 2 3 2 2 4 2 2 2 2 2" xfId="33287" xr:uid="{00000000-0005-0000-0000-000097220000}"/>
    <cellStyle name="Normal 2 3 2 2 4 2 2 2 3" xfId="26322" xr:uid="{00000000-0005-0000-0000-000098220000}"/>
    <cellStyle name="Normal 2 3 2 2 4 2 2 3" xfId="13051" xr:uid="{00000000-0005-0000-0000-000099220000}"/>
    <cellStyle name="Normal 2 3 2 2 4 2 2 3 2" xfId="29626" xr:uid="{00000000-0005-0000-0000-00009A220000}"/>
    <cellStyle name="Normal 2 3 2 2 4 2 2 4" xfId="6358" xr:uid="{00000000-0005-0000-0000-00009B220000}"/>
    <cellStyle name="Normal 2 3 2 2 4 2 2 4 2" xfId="23022" xr:uid="{00000000-0005-0000-0000-00009C220000}"/>
    <cellStyle name="Normal 2 3 2 2 4 2 2 5" xfId="18885" xr:uid="{00000000-0005-0000-0000-00009D220000}"/>
    <cellStyle name="Normal 2 3 2 2 4 2 3" xfId="8088" xr:uid="{00000000-0005-0000-0000-00009E220000}"/>
    <cellStyle name="Normal 2 3 2 2 4 2 3 2" xfId="15351" xr:uid="{00000000-0005-0000-0000-00009F220000}"/>
    <cellStyle name="Normal 2 3 2 2 4 2 3 2 2" xfId="31666" xr:uid="{00000000-0005-0000-0000-0000A0220000}"/>
    <cellStyle name="Normal 2 3 2 2 4 2 3 3" xfId="24701" xr:uid="{00000000-0005-0000-0000-0000A1220000}"/>
    <cellStyle name="Normal 2 3 2 2 4 2 4" xfId="11403" xr:uid="{00000000-0005-0000-0000-0000A2220000}"/>
    <cellStyle name="Normal 2 3 2 2 4 2 4 2" xfId="28001" xr:uid="{00000000-0005-0000-0000-0000A3220000}"/>
    <cellStyle name="Normal 2 3 2 2 4 2 5" xfId="3758" xr:uid="{00000000-0005-0000-0000-0000A4220000}"/>
    <cellStyle name="Normal 2 3 2 2 4 2 5 2" xfId="20481" xr:uid="{00000000-0005-0000-0000-0000A5220000}"/>
    <cellStyle name="Normal 2 3 2 2 4 2 6" xfId="18211" xr:uid="{00000000-0005-0000-0000-0000A6220000}"/>
    <cellStyle name="Normal 2 3 2 2 4 3" xfId="2153" xr:uid="{00000000-0005-0000-0000-0000A7220000}"/>
    <cellStyle name="Normal 2 3 2 2 4 3 2" xfId="8897" xr:uid="{00000000-0005-0000-0000-0000A8220000}"/>
    <cellStyle name="Normal 2 3 2 2 4 3 2 2" xfId="16160" xr:uid="{00000000-0005-0000-0000-0000A9220000}"/>
    <cellStyle name="Normal 2 3 2 2 4 3 2 2 2" xfId="32475" xr:uid="{00000000-0005-0000-0000-0000AA220000}"/>
    <cellStyle name="Normal 2 3 2 2 4 3 2 3" xfId="25510" xr:uid="{00000000-0005-0000-0000-0000AB220000}"/>
    <cellStyle name="Normal 2 3 2 2 4 3 3" xfId="12239" xr:uid="{00000000-0005-0000-0000-0000AC220000}"/>
    <cellStyle name="Normal 2 3 2 2 4 3 3 2" xfId="28814" xr:uid="{00000000-0005-0000-0000-0000AD220000}"/>
    <cellStyle name="Normal 2 3 2 2 4 3 4" xfId="5546" xr:uid="{00000000-0005-0000-0000-0000AE220000}"/>
    <cellStyle name="Normal 2 3 2 2 4 3 4 2" xfId="22210" xr:uid="{00000000-0005-0000-0000-0000AF220000}"/>
    <cellStyle name="Normal 2 3 2 2 4 3 5" xfId="18884" xr:uid="{00000000-0005-0000-0000-0000B0220000}"/>
    <cellStyle name="Normal 2 3 2 2 4 4" xfId="7276" xr:uid="{00000000-0005-0000-0000-0000B1220000}"/>
    <cellStyle name="Normal 2 3 2 2 4 4 2" xfId="14539" xr:uid="{00000000-0005-0000-0000-0000B2220000}"/>
    <cellStyle name="Normal 2 3 2 2 4 4 2 2" xfId="30854" xr:uid="{00000000-0005-0000-0000-0000B3220000}"/>
    <cellStyle name="Normal 2 3 2 2 4 4 3" xfId="23889" xr:uid="{00000000-0005-0000-0000-0000B4220000}"/>
    <cellStyle name="Normal 2 3 2 2 4 5" xfId="10591" xr:uid="{00000000-0005-0000-0000-0000B5220000}"/>
    <cellStyle name="Normal 2 3 2 2 4 5 2" xfId="27189" xr:uid="{00000000-0005-0000-0000-0000B6220000}"/>
    <cellStyle name="Normal 2 3 2 2 4 6" xfId="3757" xr:uid="{00000000-0005-0000-0000-0000B7220000}"/>
    <cellStyle name="Normal 2 3 2 2 4 6 2" xfId="20480" xr:uid="{00000000-0005-0000-0000-0000B8220000}"/>
    <cellStyle name="Normal 2 3 2 2 4 7" xfId="17692" xr:uid="{00000000-0005-0000-0000-0000B9220000}"/>
    <cellStyle name="Normal 2 3 2 2 5" xfId="722" xr:uid="{00000000-0005-0000-0000-0000BA220000}"/>
    <cellStyle name="Normal 2 3 2 2 5 2" xfId="2155" xr:uid="{00000000-0005-0000-0000-0000BB220000}"/>
    <cellStyle name="Normal 2 3 2 2 5 2 2" xfId="9303" xr:uid="{00000000-0005-0000-0000-0000BC220000}"/>
    <cellStyle name="Normal 2 3 2 2 5 2 2 2" xfId="16566" xr:uid="{00000000-0005-0000-0000-0000BD220000}"/>
    <cellStyle name="Normal 2 3 2 2 5 2 2 2 2" xfId="32881" xr:uid="{00000000-0005-0000-0000-0000BE220000}"/>
    <cellStyle name="Normal 2 3 2 2 5 2 2 3" xfId="25916" xr:uid="{00000000-0005-0000-0000-0000BF220000}"/>
    <cellStyle name="Normal 2 3 2 2 5 2 3" xfId="12645" xr:uid="{00000000-0005-0000-0000-0000C0220000}"/>
    <cellStyle name="Normal 2 3 2 2 5 2 3 2" xfId="29220" xr:uid="{00000000-0005-0000-0000-0000C1220000}"/>
    <cellStyle name="Normal 2 3 2 2 5 2 4" xfId="5952" xr:uid="{00000000-0005-0000-0000-0000C2220000}"/>
    <cellStyle name="Normal 2 3 2 2 5 2 4 2" xfId="22616" xr:uid="{00000000-0005-0000-0000-0000C3220000}"/>
    <cellStyle name="Normal 2 3 2 2 5 2 5" xfId="18886" xr:uid="{00000000-0005-0000-0000-0000C4220000}"/>
    <cellStyle name="Normal 2 3 2 2 5 3" xfId="7682" xr:uid="{00000000-0005-0000-0000-0000C5220000}"/>
    <cellStyle name="Normal 2 3 2 2 5 3 2" xfId="14945" xr:uid="{00000000-0005-0000-0000-0000C6220000}"/>
    <cellStyle name="Normal 2 3 2 2 5 3 2 2" xfId="31260" xr:uid="{00000000-0005-0000-0000-0000C7220000}"/>
    <cellStyle name="Normal 2 3 2 2 5 3 3" xfId="24295" xr:uid="{00000000-0005-0000-0000-0000C8220000}"/>
    <cellStyle name="Normal 2 3 2 2 5 4" xfId="10997" xr:uid="{00000000-0005-0000-0000-0000C9220000}"/>
    <cellStyle name="Normal 2 3 2 2 5 4 2" xfId="27595" xr:uid="{00000000-0005-0000-0000-0000CA220000}"/>
    <cellStyle name="Normal 2 3 2 2 5 5" xfId="3759" xr:uid="{00000000-0005-0000-0000-0000CB220000}"/>
    <cellStyle name="Normal 2 3 2 2 5 5 2" xfId="20482" xr:uid="{00000000-0005-0000-0000-0000CC220000}"/>
    <cellStyle name="Normal 2 3 2 2 5 6" xfId="17535" xr:uid="{00000000-0005-0000-0000-0000CD220000}"/>
    <cellStyle name="Normal 2 3 2 2 6" xfId="1319" xr:uid="{00000000-0005-0000-0000-0000CE220000}"/>
    <cellStyle name="Normal 2 3 2 2 6 2" xfId="8537" xr:uid="{00000000-0005-0000-0000-0000CF220000}"/>
    <cellStyle name="Normal 2 3 2 2 6 2 2" xfId="15800" xr:uid="{00000000-0005-0000-0000-0000D0220000}"/>
    <cellStyle name="Normal 2 3 2 2 6 2 2 2" xfId="32115" xr:uid="{00000000-0005-0000-0000-0000D1220000}"/>
    <cellStyle name="Normal 2 3 2 2 6 2 3" xfId="25150" xr:uid="{00000000-0005-0000-0000-0000D2220000}"/>
    <cellStyle name="Normal 2 3 2 2 6 3" xfId="11879" xr:uid="{00000000-0005-0000-0000-0000D3220000}"/>
    <cellStyle name="Normal 2 3 2 2 6 3 2" xfId="28454" xr:uid="{00000000-0005-0000-0000-0000D4220000}"/>
    <cellStyle name="Normal 2 3 2 2 6 4" xfId="5186" xr:uid="{00000000-0005-0000-0000-0000D5220000}"/>
    <cellStyle name="Normal 2 3 2 2 6 4 2" xfId="21850" xr:uid="{00000000-0005-0000-0000-0000D6220000}"/>
    <cellStyle name="Normal 2 3 2 2 6 5" xfId="18054" xr:uid="{00000000-0005-0000-0000-0000D7220000}"/>
    <cellStyle name="Normal 2 3 2 2 7" xfId="2140" xr:uid="{00000000-0005-0000-0000-0000D8220000}"/>
    <cellStyle name="Normal 2 3 2 2 7 2" xfId="14181" xr:uid="{00000000-0005-0000-0000-0000D9220000}"/>
    <cellStyle name="Normal 2 3 2 2 7 2 2" xfId="30496" xr:uid="{00000000-0005-0000-0000-0000DA220000}"/>
    <cellStyle name="Normal 2 3 2 2 7 3" xfId="6918" xr:uid="{00000000-0005-0000-0000-0000DB220000}"/>
    <cellStyle name="Normal 2 3 2 2 7 3 2" xfId="23531" xr:uid="{00000000-0005-0000-0000-0000DC220000}"/>
    <cellStyle name="Normal 2 3 2 2 7 4" xfId="18871" xr:uid="{00000000-0005-0000-0000-0000DD220000}"/>
    <cellStyle name="Normal 2 3 2 2 8" xfId="10232" xr:uid="{00000000-0005-0000-0000-0000DE220000}"/>
    <cellStyle name="Normal 2 3 2 2 8 2" xfId="26831" xr:uid="{00000000-0005-0000-0000-0000DF220000}"/>
    <cellStyle name="Normal 2 3 2 2 9" xfId="3744" xr:uid="{00000000-0005-0000-0000-0000E0220000}"/>
    <cellStyle name="Normal 2 3 2 2 9 2" xfId="20467" xr:uid="{00000000-0005-0000-0000-0000E1220000}"/>
    <cellStyle name="Normal 2 3 2 3" xfId="667" xr:uid="{00000000-0005-0000-0000-0000E2220000}"/>
    <cellStyle name="Normal 2 3 2 3 2" xfId="1121" xr:uid="{00000000-0005-0000-0000-0000E3220000}"/>
    <cellStyle name="Normal 2 3 2 3 2 2" xfId="1642" xr:uid="{00000000-0005-0000-0000-0000E4220000}"/>
    <cellStyle name="Normal 2 3 2 3 2 2 2" xfId="2159" xr:uid="{00000000-0005-0000-0000-0000E5220000}"/>
    <cellStyle name="Normal 2 3 2 3 2 2 2 2" xfId="6536" xr:uid="{00000000-0005-0000-0000-0000E6220000}"/>
    <cellStyle name="Normal 2 3 2 3 2 2 2 2 2" xfId="9887" xr:uid="{00000000-0005-0000-0000-0000E7220000}"/>
    <cellStyle name="Normal 2 3 2 3 2 2 2 2 2 2" xfId="17150" xr:uid="{00000000-0005-0000-0000-0000E8220000}"/>
    <cellStyle name="Normal 2 3 2 3 2 2 2 2 2 2 2" xfId="33465" xr:uid="{00000000-0005-0000-0000-0000E9220000}"/>
    <cellStyle name="Normal 2 3 2 3 2 2 2 2 2 3" xfId="26500" xr:uid="{00000000-0005-0000-0000-0000EA220000}"/>
    <cellStyle name="Normal 2 3 2 3 2 2 2 2 3" xfId="13229" xr:uid="{00000000-0005-0000-0000-0000EB220000}"/>
    <cellStyle name="Normal 2 3 2 3 2 2 2 2 3 2" xfId="29804" xr:uid="{00000000-0005-0000-0000-0000EC220000}"/>
    <cellStyle name="Normal 2 3 2 3 2 2 2 2 4" xfId="23200" xr:uid="{00000000-0005-0000-0000-0000ED220000}"/>
    <cellStyle name="Normal 2 3 2 3 2 2 2 3" xfId="8266" xr:uid="{00000000-0005-0000-0000-0000EE220000}"/>
    <cellStyle name="Normal 2 3 2 3 2 2 2 3 2" xfId="15529" xr:uid="{00000000-0005-0000-0000-0000EF220000}"/>
    <cellStyle name="Normal 2 3 2 3 2 2 2 3 2 2" xfId="31844" xr:uid="{00000000-0005-0000-0000-0000F0220000}"/>
    <cellStyle name="Normal 2 3 2 3 2 2 2 3 3" xfId="24879" xr:uid="{00000000-0005-0000-0000-0000F1220000}"/>
    <cellStyle name="Normal 2 3 2 3 2 2 2 4" xfId="11581" xr:uid="{00000000-0005-0000-0000-0000F2220000}"/>
    <cellStyle name="Normal 2 3 2 3 2 2 2 4 2" xfId="28179" xr:uid="{00000000-0005-0000-0000-0000F3220000}"/>
    <cellStyle name="Normal 2 3 2 3 2 2 2 5" xfId="3763" xr:uid="{00000000-0005-0000-0000-0000F4220000}"/>
    <cellStyle name="Normal 2 3 2 3 2 2 2 5 2" xfId="20486" xr:uid="{00000000-0005-0000-0000-0000F5220000}"/>
    <cellStyle name="Normal 2 3 2 3 2 2 2 6" xfId="18890" xr:uid="{00000000-0005-0000-0000-0000F6220000}"/>
    <cellStyle name="Normal 2 3 2 3 2 2 3" xfId="2158" xr:uid="{00000000-0005-0000-0000-0000F7220000}"/>
    <cellStyle name="Normal 2 3 2 3 2 2 3 2" xfId="9111" xr:uid="{00000000-0005-0000-0000-0000F8220000}"/>
    <cellStyle name="Normal 2 3 2 3 2 2 3 2 2" xfId="16374" xr:uid="{00000000-0005-0000-0000-0000F9220000}"/>
    <cellStyle name="Normal 2 3 2 3 2 2 3 2 2 2" xfId="32689" xr:uid="{00000000-0005-0000-0000-0000FA220000}"/>
    <cellStyle name="Normal 2 3 2 3 2 2 3 2 3" xfId="25724" xr:uid="{00000000-0005-0000-0000-0000FB220000}"/>
    <cellStyle name="Normal 2 3 2 3 2 2 3 3" xfId="12453" xr:uid="{00000000-0005-0000-0000-0000FC220000}"/>
    <cellStyle name="Normal 2 3 2 3 2 2 3 3 2" xfId="29028" xr:uid="{00000000-0005-0000-0000-0000FD220000}"/>
    <cellStyle name="Normal 2 3 2 3 2 2 3 4" xfId="5760" xr:uid="{00000000-0005-0000-0000-0000FE220000}"/>
    <cellStyle name="Normal 2 3 2 3 2 2 3 4 2" xfId="22424" xr:uid="{00000000-0005-0000-0000-0000FF220000}"/>
    <cellStyle name="Normal 2 3 2 3 2 2 3 5" xfId="18889" xr:uid="{00000000-0005-0000-0000-000000230000}"/>
    <cellStyle name="Normal 2 3 2 3 2 2 4" xfId="7490" xr:uid="{00000000-0005-0000-0000-000001230000}"/>
    <cellStyle name="Normal 2 3 2 3 2 2 4 2" xfId="14753" xr:uid="{00000000-0005-0000-0000-000002230000}"/>
    <cellStyle name="Normal 2 3 2 3 2 2 4 2 2" xfId="31068" xr:uid="{00000000-0005-0000-0000-000003230000}"/>
    <cellStyle name="Normal 2 3 2 3 2 2 4 3" xfId="24103" xr:uid="{00000000-0005-0000-0000-000004230000}"/>
    <cellStyle name="Normal 2 3 2 3 2 2 5" xfId="10805" xr:uid="{00000000-0005-0000-0000-000005230000}"/>
    <cellStyle name="Normal 2 3 2 3 2 2 5 2" xfId="27403" xr:uid="{00000000-0005-0000-0000-000006230000}"/>
    <cellStyle name="Normal 2 3 2 3 2 2 6" xfId="3762" xr:uid="{00000000-0005-0000-0000-000007230000}"/>
    <cellStyle name="Normal 2 3 2 3 2 2 6 2" xfId="20485" xr:uid="{00000000-0005-0000-0000-000008230000}"/>
    <cellStyle name="Normal 2 3 2 3 2 2 7" xfId="18377" xr:uid="{00000000-0005-0000-0000-000009230000}"/>
    <cellStyle name="Normal 2 3 2 3 2 3" xfId="2160" xr:uid="{00000000-0005-0000-0000-00000A230000}"/>
    <cellStyle name="Normal 2 3 2 3 2 3 2" xfId="6166" xr:uid="{00000000-0005-0000-0000-00000B230000}"/>
    <cellStyle name="Normal 2 3 2 3 2 3 2 2" xfId="9517" xr:uid="{00000000-0005-0000-0000-00000C230000}"/>
    <cellStyle name="Normal 2 3 2 3 2 3 2 2 2" xfId="16780" xr:uid="{00000000-0005-0000-0000-00000D230000}"/>
    <cellStyle name="Normal 2 3 2 3 2 3 2 2 2 2" xfId="33095" xr:uid="{00000000-0005-0000-0000-00000E230000}"/>
    <cellStyle name="Normal 2 3 2 3 2 3 2 2 3" xfId="26130" xr:uid="{00000000-0005-0000-0000-00000F230000}"/>
    <cellStyle name="Normal 2 3 2 3 2 3 2 3" xfId="12859" xr:uid="{00000000-0005-0000-0000-000010230000}"/>
    <cellStyle name="Normal 2 3 2 3 2 3 2 3 2" xfId="29434" xr:uid="{00000000-0005-0000-0000-000011230000}"/>
    <cellStyle name="Normal 2 3 2 3 2 3 2 4" xfId="22830" xr:uid="{00000000-0005-0000-0000-000012230000}"/>
    <cellStyle name="Normal 2 3 2 3 2 3 3" xfId="7896" xr:uid="{00000000-0005-0000-0000-000013230000}"/>
    <cellStyle name="Normal 2 3 2 3 2 3 3 2" xfId="15159" xr:uid="{00000000-0005-0000-0000-000014230000}"/>
    <cellStyle name="Normal 2 3 2 3 2 3 3 2 2" xfId="31474" xr:uid="{00000000-0005-0000-0000-000015230000}"/>
    <cellStyle name="Normal 2 3 2 3 2 3 3 3" xfId="24509" xr:uid="{00000000-0005-0000-0000-000016230000}"/>
    <cellStyle name="Normal 2 3 2 3 2 3 4" xfId="11211" xr:uid="{00000000-0005-0000-0000-000017230000}"/>
    <cellStyle name="Normal 2 3 2 3 2 3 4 2" xfId="27809" xr:uid="{00000000-0005-0000-0000-000018230000}"/>
    <cellStyle name="Normal 2 3 2 3 2 3 5" xfId="3764" xr:uid="{00000000-0005-0000-0000-000019230000}"/>
    <cellStyle name="Normal 2 3 2 3 2 3 5 2" xfId="20487" xr:uid="{00000000-0005-0000-0000-00001A230000}"/>
    <cellStyle name="Normal 2 3 2 3 2 3 6" xfId="18891" xr:uid="{00000000-0005-0000-0000-00001B230000}"/>
    <cellStyle name="Normal 2 3 2 3 2 4" xfId="2157" xr:uid="{00000000-0005-0000-0000-00001C230000}"/>
    <cellStyle name="Normal 2 3 2 3 2 4 2" xfId="8704" xr:uid="{00000000-0005-0000-0000-00001D230000}"/>
    <cellStyle name="Normal 2 3 2 3 2 4 2 2" xfId="15967" xr:uid="{00000000-0005-0000-0000-00001E230000}"/>
    <cellStyle name="Normal 2 3 2 3 2 4 2 2 2" xfId="32282" xr:uid="{00000000-0005-0000-0000-00001F230000}"/>
    <cellStyle name="Normal 2 3 2 3 2 4 2 3" xfId="25317" xr:uid="{00000000-0005-0000-0000-000020230000}"/>
    <cellStyle name="Normal 2 3 2 3 2 4 3" xfId="12046" xr:uid="{00000000-0005-0000-0000-000021230000}"/>
    <cellStyle name="Normal 2 3 2 3 2 4 3 2" xfId="28621" xr:uid="{00000000-0005-0000-0000-000022230000}"/>
    <cellStyle name="Normal 2 3 2 3 2 4 4" xfId="5353" xr:uid="{00000000-0005-0000-0000-000023230000}"/>
    <cellStyle name="Normal 2 3 2 3 2 4 4 2" xfId="22017" xr:uid="{00000000-0005-0000-0000-000024230000}"/>
    <cellStyle name="Normal 2 3 2 3 2 4 5" xfId="18888" xr:uid="{00000000-0005-0000-0000-000025230000}"/>
    <cellStyle name="Normal 2 3 2 3 2 5" xfId="7084" xr:uid="{00000000-0005-0000-0000-000026230000}"/>
    <cellStyle name="Normal 2 3 2 3 2 5 2" xfId="14347" xr:uid="{00000000-0005-0000-0000-000027230000}"/>
    <cellStyle name="Normal 2 3 2 3 2 5 2 2" xfId="30662" xr:uid="{00000000-0005-0000-0000-000028230000}"/>
    <cellStyle name="Normal 2 3 2 3 2 5 3" xfId="23697" xr:uid="{00000000-0005-0000-0000-000029230000}"/>
    <cellStyle name="Normal 2 3 2 3 2 6" xfId="10399" xr:uid="{00000000-0005-0000-0000-00002A230000}"/>
    <cellStyle name="Normal 2 3 2 3 2 6 2" xfId="26997" xr:uid="{00000000-0005-0000-0000-00002B230000}"/>
    <cellStyle name="Normal 2 3 2 3 2 7" xfId="3761" xr:uid="{00000000-0005-0000-0000-00002C230000}"/>
    <cellStyle name="Normal 2 3 2 3 2 7 2" xfId="20484" xr:uid="{00000000-0005-0000-0000-00002D230000}"/>
    <cellStyle name="Normal 2 3 2 3 2 8" xfId="17858" xr:uid="{00000000-0005-0000-0000-00002E230000}"/>
    <cellStyle name="Normal 2 3 2 3 3" xfId="967" xr:uid="{00000000-0005-0000-0000-00002F230000}"/>
    <cellStyle name="Normal 2 3 2 3 3 2" xfId="1529" xr:uid="{00000000-0005-0000-0000-000030230000}"/>
    <cellStyle name="Normal 2 3 2 3 3 2 2" xfId="2162" xr:uid="{00000000-0005-0000-0000-000031230000}"/>
    <cellStyle name="Normal 2 3 2 3 3 2 2 2" xfId="9711" xr:uid="{00000000-0005-0000-0000-000032230000}"/>
    <cellStyle name="Normal 2 3 2 3 3 2 2 2 2" xfId="16974" xr:uid="{00000000-0005-0000-0000-000033230000}"/>
    <cellStyle name="Normal 2 3 2 3 3 2 2 2 2 2" xfId="33289" xr:uid="{00000000-0005-0000-0000-000034230000}"/>
    <cellStyle name="Normal 2 3 2 3 3 2 2 2 3" xfId="26324" xr:uid="{00000000-0005-0000-0000-000035230000}"/>
    <cellStyle name="Normal 2 3 2 3 3 2 2 3" xfId="13053" xr:uid="{00000000-0005-0000-0000-000036230000}"/>
    <cellStyle name="Normal 2 3 2 3 3 2 2 3 2" xfId="29628" xr:uid="{00000000-0005-0000-0000-000037230000}"/>
    <cellStyle name="Normal 2 3 2 3 3 2 2 4" xfId="6360" xr:uid="{00000000-0005-0000-0000-000038230000}"/>
    <cellStyle name="Normal 2 3 2 3 3 2 2 4 2" xfId="23024" xr:uid="{00000000-0005-0000-0000-000039230000}"/>
    <cellStyle name="Normal 2 3 2 3 3 2 2 5" xfId="18893" xr:uid="{00000000-0005-0000-0000-00003A230000}"/>
    <cellStyle name="Normal 2 3 2 3 3 2 3" xfId="8090" xr:uid="{00000000-0005-0000-0000-00003B230000}"/>
    <cellStyle name="Normal 2 3 2 3 3 2 3 2" xfId="15353" xr:uid="{00000000-0005-0000-0000-00003C230000}"/>
    <cellStyle name="Normal 2 3 2 3 3 2 3 2 2" xfId="31668" xr:uid="{00000000-0005-0000-0000-00003D230000}"/>
    <cellStyle name="Normal 2 3 2 3 3 2 3 3" xfId="24703" xr:uid="{00000000-0005-0000-0000-00003E230000}"/>
    <cellStyle name="Normal 2 3 2 3 3 2 4" xfId="11405" xr:uid="{00000000-0005-0000-0000-00003F230000}"/>
    <cellStyle name="Normal 2 3 2 3 3 2 4 2" xfId="28003" xr:uid="{00000000-0005-0000-0000-000040230000}"/>
    <cellStyle name="Normal 2 3 2 3 3 2 5" xfId="3766" xr:uid="{00000000-0005-0000-0000-000041230000}"/>
    <cellStyle name="Normal 2 3 2 3 3 2 5 2" xfId="20489" xr:uid="{00000000-0005-0000-0000-000042230000}"/>
    <cellStyle name="Normal 2 3 2 3 3 2 6" xfId="18264" xr:uid="{00000000-0005-0000-0000-000043230000}"/>
    <cellStyle name="Normal 2 3 2 3 3 3" xfId="2161" xr:uid="{00000000-0005-0000-0000-000044230000}"/>
    <cellStyle name="Normal 2 3 2 3 3 3 2" xfId="8899" xr:uid="{00000000-0005-0000-0000-000045230000}"/>
    <cellStyle name="Normal 2 3 2 3 3 3 2 2" xfId="16162" xr:uid="{00000000-0005-0000-0000-000046230000}"/>
    <cellStyle name="Normal 2 3 2 3 3 3 2 2 2" xfId="32477" xr:uid="{00000000-0005-0000-0000-000047230000}"/>
    <cellStyle name="Normal 2 3 2 3 3 3 2 3" xfId="25512" xr:uid="{00000000-0005-0000-0000-000048230000}"/>
    <cellStyle name="Normal 2 3 2 3 3 3 3" xfId="12241" xr:uid="{00000000-0005-0000-0000-000049230000}"/>
    <cellStyle name="Normal 2 3 2 3 3 3 3 2" xfId="28816" xr:uid="{00000000-0005-0000-0000-00004A230000}"/>
    <cellStyle name="Normal 2 3 2 3 3 3 4" xfId="5548" xr:uid="{00000000-0005-0000-0000-00004B230000}"/>
    <cellStyle name="Normal 2 3 2 3 3 3 4 2" xfId="22212" xr:uid="{00000000-0005-0000-0000-00004C230000}"/>
    <cellStyle name="Normal 2 3 2 3 3 3 5" xfId="18892" xr:uid="{00000000-0005-0000-0000-00004D230000}"/>
    <cellStyle name="Normal 2 3 2 3 3 4" xfId="7278" xr:uid="{00000000-0005-0000-0000-00004E230000}"/>
    <cellStyle name="Normal 2 3 2 3 3 4 2" xfId="14541" xr:uid="{00000000-0005-0000-0000-00004F230000}"/>
    <cellStyle name="Normal 2 3 2 3 3 4 2 2" xfId="30856" xr:uid="{00000000-0005-0000-0000-000050230000}"/>
    <cellStyle name="Normal 2 3 2 3 3 4 3" xfId="23891" xr:uid="{00000000-0005-0000-0000-000051230000}"/>
    <cellStyle name="Normal 2 3 2 3 3 5" xfId="10593" xr:uid="{00000000-0005-0000-0000-000052230000}"/>
    <cellStyle name="Normal 2 3 2 3 3 5 2" xfId="27191" xr:uid="{00000000-0005-0000-0000-000053230000}"/>
    <cellStyle name="Normal 2 3 2 3 3 6" xfId="3765" xr:uid="{00000000-0005-0000-0000-000054230000}"/>
    <cellStyle name="Normal 2 3 2 3 3 6 2" xfId="20488" xr:uid="{00000000-0005-0000-0000-000055230000}"/>
    <cellStyle name="Normal 2 3 2 3 3 7" xfId="17745" xr:uid="{00000000-0005-0000-0000-000056230000}"/>
    <cellStyle name="Normal 2 3 2 3 4" xfId="775" xr:uid="{00000000-0005-0000-0000-000057230000}"/>
    <cellStyle name="Normal 2 3 2 3 4 2" xfId="2163" xr:uid="{00000000-0005-0000-0000-000058230000}"/>
    <cellStyle name="Normal 2 3 2 3 4 2 2" xfId="9305" xr:uid="{00000000-0005-0000-0000-000059230000}"/>
    <cellStyle name="Normal 2 3 2 3 4 2 2 2" xfId="16568" xr:uid="{00000000-0005-0000-0000-00005A230000}"/>
    <cellStyle name="Normal 2 3 2 3 4 2 2 2 2" xfId="32883" xr:uid="{00000000-0005-0000-0000-00005B230000}"/>
    <cellStyle name="Normal 2 3 2 3 4 2 2 3" xfId="25918" xr:uid="{00000000-0005-0000-0000-00005C230000}"/>
    <cellStyle name="Normal 2 3 2 3 4 2 3" xfId="12647" xr:uid="{00000000-0005-0000-0000-00005D230000}"/>
    <cellStyle name="Normal 2 3 2 3 4 2 3 2" xfId="29222" xr:uid="{00000000-0005-0000-0000-00005E230000}"/>
    <cellStyle name="Normal 2 3 2 3 4 2 4" xfId="5954" xr:uid="{00000000-0005-0000-0000-00005F230000}"/>
    <cellStyle name="Normal 2 3 2 3 4 2 4 2" xfId="22618" xr:uid="{00000000-0005-0000-0000-000060230000}"/>
    <cellStyle name="Normal 2 3 2 3 4 2 5" xfId="18894" xr:uid="{00000000-0005-0000-0000-000061230000}"/>
    <cellStyle name="Normal 2 3 2 3 4 3" xfId="7684" xr:uid="{00000000-0005-0000-0000-000062230000}"/>
    <cellStyle name="Normal 2 3 2 3 4 3 2" xfId="14947" xr:uid="{00000000-0005-0000-0000-000063230000}"/>
    <cellStyle name="Normal 2 3 2 3 4 3 2 2" xfId="31262" xr:uid="{00000000-0005-0000-0000-000064230000}"/>
    <cellStyle name="Normal 2 3 2 3 4 3 3" xfId="24297" xr:uid="{00000000-0005-0000-0000-000065230000}"/>
    <cellStyle name="Normal 2 3 2 3 4 4" xfId="10999" xr:uid="{00000000-0005-0000-0000-000066230000}"/>
    <cellStyle name="Normal 2 3 2 3 4 4 2" xfId="27597" xr:uid="{00000000-0005-0000-0000-000067230000}"/>
    <cellStyle name="Normal 2 3 2 3 4 5" xfId="3767" xr:uid="{00000000-0005-0000-0000-000068230000}"/>
    <cellStyle name="Normal 2 3 2 3 4 5 2" xfId="20490" xr:uid="{00000000-0005-0000-0000-000069230000}"/>
    <cellStyle name="Normal 2 3 2 3 4 6" xfId="17588" xr:uid="{00000000-0005-0000-0000-00006A230000}"/>
    <cellStyle name="Normal 2 3 2 3 5" xfId="1372" xr:uid="{00000000-0005-0000-0000-00006B230000}"/>
    <cellStyle name="Normal 2 3 2 3 5 2" xfId="8590" xr:uid="{00000000-0005-0000-0000-00006C230000}"/>
    <cellStyle name="Normal 2 3 2 3 5 2 2" xfId="15853" xr:uid="{00000000-0005-0000-0000-00006D230000}"/>
    <cellStyle name="Normal 2 3 2 3 5 2 2 2" xfId="32168" xr:uid="{00000000-0005-0000-0000-00006E230000}"/>
    <cellStyle name="Normal 2 3 2 3 5 2 3" xfId="25203" xr:uid="{00000000-0005-0000-0000-00006F230000}"/>
    <cellStyle name="Normal 2 3 2 3 5 3" xfId="11932" xr:uid="{00000000-0005-0000-0000-000070230000}"/>
    <cellStyle name="Normal 2 3 2 3 5 3 2" xfId="28507" xr:uid="{00000000-0005-0000-0000-000071230000}"/>
    <cellStyle name="Normal 2 3 2 3 5 4" xfId="5239" xr:uid="{00000000-0005-0000-0000-000072230000}"/>
    <cellStyle name="Normal 2 3 2 3 5 4 2" xfId="21903" xr:uid="{00000000-0005-0000-0000-000073230000}"/>
    <cellStyle name="Normal 2 3 2 3 5 5" xfId="18107" xr:uid="{00000000-0005-0000-0000-000074230000}"/>
    <cellStyle name="Normal 2 3 2 3 6" xfId="2156" xr:uid="{00000000-0005-0000-0000-000075230000}"/>
    <cellStyle name="Normal 2 3 2 3 6 2" xfId="14234" xr:uid="{00000000-0005-0000-0000-000076230000}"/>
    <cellStyle name="Normal 2 3 2 3 6 2 2" xfId="30549" xr:uid="{00000000-0005-0000-0000-000077230000}"/>
    <cellStyle name="Normal 2 3 2 3 6 3" xfId="6971" xr:uid="{00000000-0005-0000-0000-000078230000}"/>
    <cellStyle name="Normal 2 3 2 3 6 3 2" xfId="23584" xr:uid="{00000000-0005-0000-0000-000079230000}"/>
    <cellStyle name="Normal 2 3 2 3 6 4" xfId="18887" xr:uid="{00000000-0005-0000-0000-00007A230000}"/>
    <cellStyle name="Normal 2 3 2 3 7" xfId="10285" xr:uid="{00000000-0005-0000-0000-00007B230000}"/>
    <cellStyle name="Normal 2 3 2 3 7 2" xfId="26884" xr:uid="{00000000-0005-0000-0000-00007C230000}"/>
    <cellStyle name="Normal 2 3 2 3 8" xfId="3760" xr:uid="{00000000-0005-0000-0000-00007D230000}"/>
    <cellStyle name="Normal 2 3 2 3 8 2" xfId="20483" xr:uid="{00000000-0005-0000-0000-00007E230000}"/>
    <cellStyle name="Normal 2 3 2 3 9" xfId="17483" xr:uid="{00000000-0005-0000-0000-00007F230000}"/>
    <cellStyle name="Normal 2 3 2 4" xfId="629" xr:uid="{00000000-0005-0000-0000-000080230000}"/>
    <cellStyle name="Normal 2 3 2 4 2" xfId="1118" xr:uid="{00000000-0005-0000-0000-000081230000}"/>
    <cellStyle name="Normal 2 3 2 4 2 2" xfId="1639" xr:uid="{00000000-0005-0000-0000-000082230000}"/>
    <cellStyle name="Normal 2 3 2 4 2 2 2" xfId="2166" xr:uid="{00000000-0005-0000-0000-000083230000}"/>
    <cellStyle name="Normal 2 3 2 4 2 2 2 2" xfId="9884" xr:uid="{00000000-0005-0000-0000-000084230000}"/>
    <cellStyle name="Normal 2 3 2 4 2 2 2 2 2" xfId="17147" xr:uid="{00000000-0005-0000-0000-000085230000}"/>
    <cellStyle name="Normal 2 3 2 4 2 2 2 2 2 2" xfId="33462" xr:uid="{00000000-0005-0000-0000-000086230000}"/>
    <cellStyle name="Normal 2 3 2 4 2 2 2 2 3" xfId="26497" xr:uid="{00000000-0005-0000-0000-000087230000}"/>
    <cellStyle name="Normal 2 3 2 4 2 2 2 3" xfId="13226" xr:uid="{00000000-0005-0000-0000-000088230000}"/>
    <cellStyle name="Normal 2 3 2 4 2 2 2 3 2" xfId="29801" xr:uid="{00000000-0005-0000-0000-000089230000}"/>
    <cellStyle name="Normal 2 3 2 4 2 2 2 4" xfId="6533" xr:uid="{00000000-0005-0000-0000-00008A230000}"/>
    <cellStyle name="Normal 2 3 2 4 2 2 2 4 2" xfId="23197" xr:uid="{00000000-0005-0000-0000-00008B230000}"/>
    <cellStyle name="Normal 2 3 2 4 2 2 2 5" xfId="18897" xr:uid="{00000000-0005-0000-0000-00008C230000}"/>
    <cellStyle name="Normal 2 3 2 4 2 2 3" xfId="8263" xr:uid="{00000000-0005-0000-0000-00008D230000}"/>
    <cellStyle name="Normal 2 3 2 4 2 2 3 2" xfId="15526" xr:uid="{00000000-0005-0000-0000-00008E230000}"/>
    <cellStyle name="Normal 2 3 2 4 2 2 3 2 2" xfId="31841" xr:uid="{00000000-0005-0000-0000-00008F230000}"/>
    <cellStyle name="Normal 2 3 2 4 2 2 3 3" xfId="24876" xr:uid="{00000000-0005-0000-0000-000090230000}"/>
    <cellStyle name="Normal 2 3 2 4 2 2 4" xfId="11578" xr:uid="{00000000-0005-0000-0000-000091230000}"/>
    <cellStyle name="Normal 2 3 2 4 2 2 4 2" xfId="28176" xr:uid="{00000000-0005-0000-0000-000092230000}"/>
    <cellStyle name="Normal 2 3 2 4 2 2 5" xfId="3770" xr:uid="{00000000-0005-0000-0000-000093230000}"/>
    <cellStyle name="Normal 2 3 2 4 2 2 5 2" xfId="20493" xr:uid="{00000000-0005-0000-0000-000094230000}"/>
    <cellStyle name="Normal 2 3 2 4 2 2 6" xfId="18374" xr:uid="{00000000-0005-0000-0000-000095230000}"/>
    <cellStyle name="Normal 2 3 2 4 2 3" xfId="2165" xr:uid="{00000000-0005-0000-0000-000096230000}"/>
    <cellStyle name="Normal 2 3 2 4 2 3 2" xfId="9108" xr:uid="{00000000-0005-0000-0000-000097230000}"/>
    <cellStyle name="Normal 2 3 2 4 2 3 2 2" xfId="16371" xr:uid="{00000000-0005-0000-0000-000098230000}"/>
    <cellStyle name="Normal 2 3 2 4 2 3 2 2 2" xfId="32686" xr:uid="{00000000-0005-0000-0000-000099230000}"/>
    <cellStyle name="Normal 2 3 2 4 2 3 2 3" xfId="25721" xr:uid="{00000000-0005-0000-0000-00009A230000}"/>
    <cellStyle name="Normal 2 3 2 4 2 3 3" xfId="12450" xr:uid="{00000000-0005-0000-0000-00009B230000}"/>
    <cellStyle name="Normal 2 3 2 4 2 3 3 2" xfId="29025" xr:uid="{00000000-0005-0000-0000-00009C230000}"/>
    <cellStyle name="Normal 2 3 2 4 2 3 4" xfId="5757" xr:uid="{00000000-0005-0000-0000-00009D230000}"/>
    <cellStyle name="Normal 2 3 2 4 2 3 4 2" xfId="22421" xr:uid="{00000000-0005-0000-0000-00009E230000}"/>
    <cellStyle name="Normal 2 3 2 4 2 3 5" xfId="18896" xr:uid="{00000000-0005-0000-0000-00009F230000}"/>
    <cellStyle name="Normal 2 3 2 4 2 4" xfId="7487" xr:uid="{00000000-0005-0000-0000-0000A0230000}"/>
    <cellStyle name="Normal 2 3 2 4 2 4 2" xfId="14750" xr:uid="{00000000-0005-0000-0000-0000A1230000}"/>
    <cellStyle name="Normal 2 3 2 4 2 4 2 2" xfId="31065" xr:uid="{00000000-0005-0000-0000-0000A2230000}"/>
    <cellStyle name="Normal 2 3 2 4 2 4 3" xfId="24100" xr:uid="{00000000-0005-0000-0000-0000A3230000}"/>
    <cellStyle name="Normal 2 3 2 4 2 5" xfId="10802" xr:uid="{00000000-0005-0000-0000-0000A4230000}"/>
    <cellStyle name="Normal 2 3 2 4 2 5 2" xfId="27400" xr:uid="{00000000-0005-0000-0000-0000A5230000}"/>
    <cellStyle name="Normal 2 3 2 4 2 6" xfId="3769" xr:uid="{00000000-0005-0000-0000-0000A6230000}"/>
    <cellStyle name="Normal 2 3 2 4 2 6 2" xfId="20492" xr:uid="{00000000-0005-0000-0000-0000A7230000}"/>
    <cellStyle name="Normal 2 3 2 4 2 7" xfId="17855" xr:uid="{00000000-0005-0000-0000-0000A8230000}"/>
    <cellStyle name="Normal 2 3 2 4 3" xfId="740" xr:uid="{00000000-0005-0000-0000-0000A9230000}"/>
    <cellStyle name="Normal 2 3 2 4 3 2" xfId="2167" xr:uid="{00000000-0005-0000-0000-0000AA230000}"/>
    <cellStyle name="Normal 2 3 2 4 3 2 2" xfId="9514" xr:uid="{00000000-0005-0000-0000-0000AB230000}"/>
    <cellStyle name="Normal 2 3 2 4 3 2 2 2" xfId="16777" xr:uid="{00000000-0005-0000-0000-0000AC230000}"/>
    <cellStyle name="Normal 2 3 2 4 3 2 2 2 2" xfId="33092" xr:uid="{00000000-0005-0000-0000-0000AD230000}"/>
    <cellStyle name="Normal 2 3 2 4 3 2 2 3" xfId="26127" xr:uid="{00000000-0005-0000-0000-0000AE230000}"/>
    <cellStyle name="Normal 2 3 2 4 3 2 3" xfId="12856" xr:uid="{00000000-0005-0000-0000-0000AF230000}"/>
    <cellStyle name="Normal 2 3 2 4 3 2 3 2" xfId="29431" xr:uid="{00000000-0005-0000-0000-0000B0230000}"/>
    <cellStyle name="Normal 2 3 2 4 3 2 4" xfId="6163" xr:uid="{00000000-0005-0000-0000-0000B1230000}"/>
    <cellStyle name="Normal 2 3 2 4 3 2 4 2" xfId="22827" xr:uid="{00000000-0005-0000-0000-0000B2230000}"/>
    <cellStyle name="Normal 2 3 2 4 3 2 5" xfId="18898" xr:uid="{00000000-0005-0000-0000-0000B3230000}"/>
    <cellStyle name="Normal 2 3 2 4 3 3" xfId="7893" xr:uid="{00000000-0005-0000-0000-0000B4230000}"/>
    <cellStyle name="Normal 2 3 2 4 3 3 2" xfId="15156" xr:uid="{00000000-0005-0000-0000-0000B5230000}"/>
    <cellStyle name="Normal 2 3 2 4 3 3 2 2" xfId="31471" xr:uid="{00000000-0005-0000-0000-0000B6230000}"/>
    <cellStyle name="Normal 2 3 2 4 3 3 3" xfId="24506" xr:uid="{00000000-0005-0000-0000-0000B7230000}"/>
    <cellStyle name="Normal 2 3 2 4 3 4" xfId="11208" xr:uid="{00000000-0005-0000-0000-0000B8230000}"/>
    <cellStyle name="Normal 2 3 2 4 3 4 2" xfId="27806" xr:uid="{00000000-0005-0000-0000-0000B9230000}"/>
    <cellStyle name="Normal 2 3 2 4 3 5" xfId="3771" xr:uid="{00000000-0005-0000-0000-0000BA230000}"/>
    <cellStyle name="Normal 2 3 2 4 3 5 2" xfId="20494" xr:uid="{00000000-0005-0000-0000-0000BB230000}"/>
    <cellStyle name="Normal 2 3 2 4 3 6" xfId="17553" xr:uid="{00000000-0005-0000-0000-0000BC230000}"/>
    <cellStyle name="Normal 2 3 2 4 4" xfId="1337" xr:uid="{00000000-0005-0000-0000-0000BD230000}"/>
    <cellStyle name="Normal 2 3 2 4 4 2" xfId="8701" xr:uid="{00000000-0005-0000-0000-0000BE230000}"/>
    <cellStyle name="Normal 2 3 2 4 4 2 2" xfId="15964" xr:uid="{00000000-0005-0000-0000-0000BF230000}"/>
    <cellStyle name="Normal 2 3 2 4 4 2 2 2" xfId="32279" xr:uid="{00000000-0005-0000-0000-0000C0230000}"/>
    <cellStyle name="Normal 2 3 2 4 4 2 3" xfId="25314" xr:uid="{00000000-0005-0000-0000-0000C1230000}"/>
    <cellStyle name="Normal 2 3 2 4 4 3" xfId="12043" xr:uid="{00000000-0005-0000-0000-0000C2230000}"/>
    <cellStyle name="Normal 2 3 2 4 4 3 2" xfId="28618" xr:uid="{00000000-0005-0000-0000-0000C3230000}"/>
    <cellStyle name="Normal 2 3 2 4 4 4" xfId="5350" xr:uid="{00000000-0005-0000-0000-0000C4230000}"/>
    <cellStyle name="Normal 2 3 2 4 4 4 2" xfId="22014" xr:uid="{00000000-0005-0000-0000-0000C5230000}"/>
    <cellStyle name="Normal 2 3 2 4 4 5" xfId="18072" xr:uid="{00000000-0005-0000-0000-0000C6230000}"/>
    <cellStyle name="Normal 2 3 2 4 5" xfId="2164" xr:uid="{00000000-0005-0000-0000-0000C7230000}"/>
    <cellStyle name="Normal 2 3 2 4 5 2" xfId="14344" xr:uid="{00000000-0005-0000-0000-0000C8230000}"/>
    <cellStyle name="Normal 2 3 2 4 5 2 2" xfId="30659" xr:uid="{00000000-0005-0000-0000-0000C9230000}"/>
    <cellStyle name="Normal 2 3 2 4 5 3" xfId="7081" xr:uid="{00000000-0005-0000-0000-0000CA230000}"/>
    <cellStyle name="Normal 2 3 2 4 5 3 2" xfId="23694" xr:uid="{00000000-0005-0000-0000-0000CB230000}"/>
    <cellStyle name="Normal 2 3 2 4 5 4" xfId="18895" xr:uid="{00000000-0005-0000-0000-0000CC230000}"/>
    <cellStyle name="Normal 2 3 2 4 6" xfId="10396" xr:uid="{00000000-0005-0000-0000-0000CD230000}"/>
    <cellStyle name="Normal 2 3 2 4 6 2" xfId="26994" xr:uid="{00000000-0005-0000-0000-0000CE230000}"/>
    <cellStyle name="Normal 2 3 2 4 7" xfId="3768" xr:uid="{00000000-0005-0000-0000-0000CF230000}"/>
    <cellStyle name="Normal 2 3 2 4 7 2" xfId="20491" xr:uid="{00000000-0005-0000-0000-0000D0230000}"/>
    <cellStyle name="Normal 2 3 2 4 8" xfId="17448" xr:uid="{00000000-0005-0000-0000-0000D1230000}"/>
    <cellStyle name="Normal 2 3 2 5" xfId="840" xr:uid="{00000000-0005-0000-0000-0000D2230000}"/>
    <cellStyle name="Normal 2 3 2 5 2" xfId="1417" xr:uid="{00000000-0005-0000-0000-0000D3230000}"/>
    <cellStyle name="Normal 2 3 2 5 2 2" xfId="2169" xr:uid="{00000000-0005-0000-0000-0000D4230000}"/>
    <cellStyle name="Normal 2 3 2 5 2 2 2" xfId="9708" xr:uid="{00000000-0005-0000-0000-0000D5230000}"/>
    <cellStyle name="Normal 2 3 2 5 2 2 2 2" xfId="16971" xr:uid="{00000000-0005-0000-0000-0000D6230000}"/>
    <cellStyle name="Normal 2 3 2 5 2 2 2 2 2" xfId="33286" xr:uid="{00000000-0005-0000-0000-0000D7230000}"/>
    <cellStyle name="Normal 2 3 2 5 2 2 2 3" xfId="26321" xr:uid="{00000000-0005-0000-0000-0000D8230000}"/>
    <cellStyle name="Normal 2 3 2 5 2 2 3" xfId="13050" xr:uid="{00000000-0005-0000-0000-0000D9230000}"/>
    <cellStyle name="Normal 2 3 2 5 2 2 3 2" xfId="29625" xr:uid="{00000000-0005-0000-0000-0000DA230000}"/>
    <cellStyle name="Normal 2 3 2 5 2 2 4" xfId="6357" xr:uid="{00000000-0005-0000-0000-0000DB230000}"/>
    <cellStyle name="Normal 2 3 2 5 2 2 4 2" xfId="23021" xr:uid="{00000000-0005-0000-0000-0000DC230000}"/>
    <cellStyle name="Normal 2 3 2 5 2 2 5" xfId="18900" xr:uid="{00000000-0005-0000-0000-0000DD230000}"/>
    <cellStyle name="Normal 2 3 2 5 2 3" xfId="8087" xr:uid="{00000000-0005-0000-0000-0000DE230000}"/>
    <cellStyle name="Normal 2 3 2 5 2 3 2" xfId="15350" xr:uid="{00000000-0005-0000-0000-0000DF230000}"/>
    <cellStyle name="Normal 2 3 2 5 2 3 2 2" xfId="31665" xr:uid="{00000000-0005-0000-0000-0000E0230000}"/>
    <cellStyle name="Normal 2 3 2 5 2 3 3" xfId="24700" xr:uid="{00000000-0005-0000-0000-0000E1230000}"/>
    <cellStyle name="Normal 2 3 2 5 2 4" xfId="11402" xr:uid="{00000000-0005-0000-0000-0000E2230000}"/>
    <cellStyle name="Normal 2 3 2 5 2 4 2" xfId="28000" xr:uid="{00000000-0005-0000-0000-0000E3230000}"/>
    <cellStyle name="Normal 2 3 2 5 2 5" xfId="3773" xr:uid="{00000000-0005-0000-0000-0000E4230000}"/>
    <cellStyle name="Normal 2 3 2 5 2 5 2" xfId="20496" xr:uid="{00000000-0005-0000-0000-0000E5230000}"/>
    <cellStyle name="Normal 2 3 2 5 2 6" xfId="18152" xr:uid="{00000000-0005-0000-0000-0000E6230000}"/>
    <cellStyle name="Normal 2 3 2 5 3" xfId="2168" xr:uid="{00000000-0005-0000-0000-0000E7230000}"/>
    <cellStyle name="Normal 2 3 2 5 3 2" xfId="8896" xr:uid="{00000000-0005-0000-0000-0000E8230000}"/>
    <cellStyle name="Normal 2 3 2 5 3 2 2" xfId="16159" xr:uid="{00000000-0005-0000-0000-0000E9230000}"/>
    <cellStyle name="Normal 2 3 2 5 3 2 2 2" xfId="32474" xr:uid="{00000000-0005-0000-0000-0000EA230000}"/>
    <cellStyle name="Normal 2 3 2 5 3 2 3" xfId="25509" xr:uid="{00000000-0005-0000-0000-0000EB230000}"/>
    <cellStyle name="Normal 2 3 2 5 3 3" xfId="12238" xr:uid="{00000000-0005-0000-0000-0000EC230000}"/>
    <cellStyle name="Normal 2 3 2 5 3 3 2" xfId="28813" xr:uid="{00000000-0005-0000-0000-0000ED230000}"/>
    <cellStyle name="Normal 2 3 2 5 3 4" xfId="5545" xr:uid="{00000000-0005-0000-0000-0000EE230000}"/>
    <cellStyle name="Normal 2 3 2 5 3 4 2" xfId="22209" xr:uid="{00000000-0005-0000-0000-0000EF230000}"/>
    <cellStyle name="Normal 2 3 2 5 3 5" xfId="18899" xr:uid="{00000000-0005-0000-0000-0000F0230000}"/>
    <cellStyle name="Normal 2 3 2 5 4" xfId="7275" xr:uid="{00000000-0005-0000-0000-0000F1230000}"/>
    <cellStyle name="Normal 2 3 2 5 4 2" xfId="14538" xr:uid="{00000000-0005-0000-0000-0000F2230000}"/>
    <cellStyle name="Normal 2 3 2 5 4 2 2" xfId="30853" xr:uid="{00000000-0005-0000-0000-0000F3230000}"/>
    <cellStyle name="Normal 2 3 2 5 4 3" xfId="23888" xr:uid="{00000000-0005-0000-0000-0000F4230000}"/>
    <cellStyle name="Normal 2 3 2 5 5" xfId="10590" xr:uid="{00000000-0005-0000-0000-0000F5230000}"/>
    <cellStyle name="Normal 2 3 2 5 5 2" xfId="27188" xr:uid="{00000000-0005-0000-0000-0000F6230000}"/>
    <cellStyle name="Normal 2 3 2 5 6" xfId="3772" xr:uid="{00000000-0005-0000-0000-0000F7230000}"/>
    <cellStyle name="Normal 2 3 2 5 6 2" xfId="20495" xr:uid="{00000000-0005-0000-0000-0000F8230000}"/>
    <cellStyle name="Normal 2 3 2 5 7" xfId="17633" xr:uid="{00000000-0005-0000-0000-0000F9230000}"/>
    <cellStyle name="Normal 2 3 2 6" xfId="705" xr:uid="{00000000-0005-0000-0000-0000FA230000}"/>
    <cellStyle name="Normal 2 3 2 6 2" xfId="2170" xr:uid="{00000000-0005-0000-0000-0000FB230000}"/>
    <cellStyle name="Normal 2 3 2 6 2 2" xfId="9302" xr:uid="{00000000-0005-0000-0000-0000FC230000}"/>
    <cellStyle name="Normal 2 3 2 6 2 2 2" xfId="16565" xr:uid="{00000000-0005-0000-0000-0000FD230000}"/>
    <cellStyle name="Normal 2 3 2 6 2 2 2 2" xfId="32880" xr:uid="{00000000-0005-0000-0000-0000FE230000}"/>
    <cellStyle name="Normal 2 3 2 6 2 2 3" xfId="25915" xr:uid="{00000000-0005-0000-0000-0000FF230000}"/>
    <cellStyle name="Normal 2 3 2 6 2 3" xfId="12644" xr:uid="{00000000-0005-0000-0000-000000240000}"/>
    <cellStyle name="Normal 2 3 2 6 2 3 2" xfId="29219" xr:uid="{00000000-0005-0000-0000-000001240000}"/>
    <cellStyle name="Normal 2 3 2 6 2 4" xfId="5951" xr:uid="{00000000-0005-0000-0000-000002240000}"/>
    <cellStyle name="Normal 2 3 2 6 2 4 2" xfId="22615" xr:uid="{00000000-0005-0000-0000-000003240000}"/>
    <cellStyle name="Normal 2 3 2 6 2 5" xfId="18901" xr:uid="{00000000-0005-0000-0000-000004240000}"/>
    <cellStyle name="Normal 2 3 2 6 3" xfId="7681" xr:uid="{00000000-0005-0000-0000-000005240000}"/>
    <cellStyle name="Normal 2 3 2 6 3 2" xfId="14944" xr:uid="{00000000-0005-0000-0000-000006240000}"/>
    <cellStyle name="Normal 2 3 2 6 3 2 2" xfId="31259" xr:uid="{00000000-0005-0000-0000-000007240000}"/>
    <cellStyle name="Normal 2 3 2 6 3 3" xfId="24294" xr:uid="{00000000-0005-0000-0000-000008240000}"/>
    <cellStyle name="Normal 2 3 2 6 4" xfId="10996" xr:uid="{00000000-0005-0000-0000-000009240000}"/>
    <cellStyle name="Normal 2 3 2 6 4 2" xfId="27594" xr:uid="{00000000-0005-0000-0000-00000A240000}"/>
    <cellStyle name="Normal 2 3 2 6 5" xfId="3774" xr:uid="{00000000-0005-0000-0000-00000B240000}"/>
    <cellStyle name="Normal 2 3 2 6 5 2" xfId="20497" xr:uid="{00000000-0005-0000-0000-00000C240000}"/>
    <cellStyle name="Normal 2 3 2 6 6" xfId="17518" xr:uid="{00000000-0005-0000-0000-00000D240000}"/>
    <cellStyle name="Normal 2 3 2 7" xfId="1302" xr:uid="{00000000-0005-0000-0000-00000E240000}"/>
    <cellStyle name="Normal 2 3 2 7 2" xfId="8484" xr:uid="{00000000-0005-0000-0000-00000F240000}"/>
    <cellStyle name="Normal 2 3 2 7 2 2" xfId="15747" xr:uid="{00000000-0005-0000-0000-000010240000}"/>
    <cellStyle name="Normal 2 3 2 7 2 2 2" xfId="32062" xr:uid="{00000000-0005-0000-0000-000011240000}"/>
    <cellStyle name="Normal 2 3 2 7 2 3" xfId="25097" xr:uid="{00000000-0005-0000-0000-000012240000}"/>
    <cellStyle name="Normal 2 3 2 7 3" xfId="11825" xr:uid="{00000000-0005-0000-0000-000013240000}"/>
    <cellStyle name="Normal 2 3 2 7 3 2" xfId="28401" xr:uid="{00000000-0005-0000-0000-000014240000}"/>
    <cellStyle name="Normal 2 3 2 7 4" xfId="5131" xr:uid="{00000000-0005-0000-0000-000015240000}"/>
    <cellStyle name="Normal 2 3 2 7 4 2" xfId="21797" xr:uid="{00000000-0005-0000-0000-000016240000}"/>
    <cellStyle name="Normal 2 3 2 7 5" xfId="18037" xr:uid="{00000000-0005-0000-0000-000017240000}"/>
    <cellStyle name="Normal 2 3 2 8" xfId="2139" xr:uid="{00000000-0005-0000-0000-000018240000}"/>
    <cellStyle name="Normal 2 3 2 8 2" xfId="14128" xr:uid="{00000000-0005-0000-0000-000019240000}"/>
    <cellStyle name="Normal 2 3 2 8 2 2" xfId="30443" xr:uid="{00000000-0005-0000-0000-00001A240000}"/>
    <cellStyle name="Normal 2 3 2 8 3" xfId="6865" xr:uid="{00000000-0005-0000-0000-00001B240000}"/>
    <cellStyle name="Normal 2 3 2 8 3 2" xfId="23478" xr:uid="{00000000-0005-0000-0000-00001C240000}"/>
    <cellStyle name="Normal 2 3 2 8 4" xfId="18870" xr:uid="{00000000-0005-0000-0000-00001D240000}"/>
    <cellStyle name="Normal 2 3 2 9" xfId="10178" xr:uid="{00000000-0005-0000-0000-00001E240000}"/>
    <cellStyle name="Normal 2 3 2 9 2" xfId="26778" xr:uid="{00000000-0005-0000-0000-00001F240000}"/>
    <cellStyle name="Normal 2 3 3" xfId="880" xr:uid="{00000000-0005-0000-0000-000020240000}"/>
    <cellStyle name="Normal 2 3 3 10" xfId="3775" xr:uid="{00000000-0005-0000-0000-000021240000}"/>
    <cellStyle name="Normal 2 3 3 10 2" xfId="20498" xr:uid="{00000000-0005-0000-0000-000022240000}"/>
    <cellStyle name="Normal 2 3 3 11" xfId="17658" xr:uid="{00000000-0005-0000-0000-000023240000}"/>
    <cellStyle name="Normal 2 3 3 2" xfId="933" xr:uid="{00000000-0005-0000-0000-000024240000}"/>
    <cellStyle name="Normal 2 3 3 2 10" xfId="17711" xr:uid="{00000000-0005-0000-0000-000025240000}"/>
    <cellStyle name="Normal 2 3 3 2 2" xfId="1040" xr:uid="{00000000-0005-0000-0000-000026240000}"/>
    <cellStyle name="Normal 2 3 3 2 2 2" xfId="1124" xr:uid="{00000000-0005-0000-0000-000027240000}"/>
    <cellStyle name="Normal 2 3 3 2 2 2 2" xfId="1645" xr:uid="{00000000-0005-0000-0000-000028240000}"/>
    <cellStyle name="Normal 2 3 3 2 2 2 2 2" xfId="2176" xr:uid="{00000000-0005-0000-0000-000029240000}"/>
    <cellStyle name="Normal 2 3 3 2 2 2 2 2 2" xfId="6539" xr:uid="{00000000-0005-0000-0000-00002A240000}"/>
    <cellStyle name="Normal 2 3 3 2 2 2 2 2 2 2" xfId="9890" xr:uid="{00000000-0005-0000-0000-00002B240000}"/>
    <cellStyle name="Normal 2 3 3 2 2 2 2 2 2 2 2" xfId="17153" xr:uid="{00000000-0005-0000-0000-00002C240000}"/>
    <cellStyle name="Normal 2 3 3 2 2 2 2 2 2 2 2 2" xfId="33468" xr:uid="{00000000-0005-0000-0000-00002D240000}"/>
    <cellStyle name="Normal 2 3 3 2 2 2 2 2 2 2 3" xfId="26503" xr:uid="{00000000-0005-0000-0000-00002E240000}"/>
    <cellStyle name="Normal 2 3 3 2 2 2 2 2 2 3" xfId="13232" xr:uid="{00000000-0005-0000-0000-00002F240000}"/>
    <cellStyle name="Normal 2 3 3 2 2 2 2 2 2 3 2" xfId="29807" xr:uid="{00000000-0005-0000-0000-000030240000}"/>
    <cellStyle name="Normal 2 3 3 2 2 2 2 2 2 4" xfId="23203" xr:uid="{00000000-0005-0000-0000-000031240000}"/>
    <cellStyle name="Normal 2 3 3 2 2 2 2 2 3" xfId="8269" xr:uid="{00000000-0005-0000-0000-000032240000}"/>
    <cellStyle name="Normal 2 3 3 2 2 2 2 2 3 2" xfId="15532" xr:uid="{00000000-0005-0000-0000-000033240000}"/>
    <cellStyle name="Normal 2 3 3 2 2 2 2 2 3 2 2" xfId="31847" xr:uid="{00000000-0005-0000-0000-000034240000}"/>
    <cellStyle name="Normal 2 3 3 2 2 2 2 2 3 3" xfId="24882" xr:uid="{00000000-0005-0000-0000-000035240000}"/>
    <cellStyle name="Normal 2 3 3 2 2 2 2 2 4" xfId="11584" xr:uid="{00000000-0005-0000-0000-000036240000}"/>
    <cellStyle name="Normal 2 3 3 2 2 2 2 2 4 2" xfId="28182" xr:uid="{00000000-0005-0000-0000-000037240000}"/>
    <cellStyle name="Normal 2 3 3 2 2 2 2 2 5" xfId="3780" xr:uid="{00000000-0005-0000-0000-000038240000}"/>
    <cellStyle name="Normal 2 3 3 2 2 2 2 2 5 2" xfId="20503" xr:uid="{00000000-0005-0000-0000-000039240000}"/>
    <cellStyle name="Normal 2 3 3 2 2 2 2 2 6" xfId="18907" xr:uid="{00000000-0005-0000-0000-00003A240000}"/>
    <cellStyle name="Normal 2 3 3 2 2 2 2 3" xfId="2175" xr:uid="{00000000-0005-0000-0000-00003B240000}"/>
    <cellStyle name="Normal 2 3 3 2 2 2 2 3 2" xfId="9114" xr:uid="{00000000-0005-0000-0000-00003C240000}"/>
    <cellStyle name="Normal 2 3 3 2 2 2 2 3 2 2" xfId="16377" xr:uid="{00000000-0005-0000-0000-00003D240000}"/>
    <cellStyle name="Normal 2 3 3 2 2 2 2 3 2 2 2" xfId="32692" xr:uid="{00000000-0005-0000-0000-00003E240000}"/>
    <cellStyle name="Normal 2 3 3 2 2 2 2 3 2 3" xfId="25727" xr:uid="{00000000-0005-0000-0000-00003F240000}"/>
    <cellStyle name="Normal 2 3 3 2 2 2 2 3 3" xfId="12456" xr:uid="{00000000-0005-0000-0000-000040240000}"/>
    <cellStyle name="Normal 2 3 3 2 2 2 2 3 3 2" xfId="29031" xr:uid="{00000000-0005-0000-0000-000041240000}"/>
    <cellStyle name="Normal 2 3 3 2 2 2 2 3 4" xfId="5763" xr:uid="{00000000-0005-0000-0000-000042240000}"/>
    <cellStyle name="Normal 2 3 3 2 2 2 2 3 4 2" xfId="22427" xr:uid="{00000000-0005-0000-0000-000043240000}"/>
    <cellStyle name="Normal 2 3 3 2 2 2 2 3 5" xfId="18906" xr:uid="{00000000-0005-0000-0000-000044240000}"/>
    <cellStyle name="Normal 2 3 3 2 2 2 2 4" xfId="7493" xr:uid="{00000000-0005-0000-0000-000045240000}"/>
    <cellStyle name="Normal 2 3 3 2 2 2 2 4 2" xfId="14756" xr:uid="{00000000-0005-0000-0000-000046240000}"/>
    <cellStyle name="Normal 2 3 3 2 2 2 2 4 2 2" xfId="31071" xr:uid="{00000000-0005-0000-0000-000047240000}"/>
    <cellStyle name="Normal 2 3 3 2 2 2 2 4 3" xfId="24106" xr:uid="{00000000-0005-0000-0000-000048240000}"/>
    <cellStyle name="Normal 2 3 3 2 2 2 2 5" xfId="10808" xr:uid="{00000000-0005-0000-0000-000049240000}"/>
    <cellStyle name="Normal 2 3 3 2 2 2 2 5 2" xfId="27406" xr:uid="{00000000-0005-0000-0000-00004A240000}"/>
    <cellStyle name="Normal 2 3 3 2 2 2 2 6" xfId="3779" xr:uid="{00000000-0005-0000-0000-00004B240000}"/>
    <cellStyle name="Normal 2 3 3 2 2 2 2 6 2" xfId="20502" xr:uid="{00000000-0005-0000-0000-00004C240000}"/>
    <cellStyle name="Normal 2 3 3 2 2 2 2 7" xfId="18380" xr:uid="{00000000-0005-0000-0000-00004D240000}"/>
    <cellStyle name="Normal 2 3 3 2 2 2 3" xfId="2177" xr:uid="{00000000-0005-0000-0000-00004E240000}"/>
    <cellStyle name="Normal 2 3 3 2 2 2 3 2" xfId="6169" xr:uid="{00000000-0005-0000-0000-00004F240000}"/>
    <cellStyle name="Normal 2 3 3 2 2 2 3 2 2" xfId="9520" xr:uid="{00000000-0005-0000-0000-000050240000}"/>
    <cellStyle name="Normal 2 3 3 2 2 2 3 2 2 2" xfId="16783" xr:uid="{00000000-0005-0000-0000-000051240000}"/>
    <cellStyle name="Normal 2 3 3 2 2 2 3 2 2 2 2" xfId="33098" xr:uid="{00000000-0005-0000-0000-000052240000}"/>
    <cellStyle name="Normal 2 3 3 2 2 2 3 2 2 3" xfId="26133" xr:uid="{00000000-0005-0000-0000-000053240000}"/>
    <cellStyle name="Normal 2 3 3 2 2 2 3 2 3" xfId="12862" xr:uid="{00000000-0005-0000-0000-000054240000}"/>
    <cellStyle name="Normal 2 3 3 2 2 2 3 2 3 2" xfId="29437" xr:uid="{00000000-0005-0000-0000-000055240000}"/>
    <cellStyle name="Normal 2 3 3 2 2 2 3 2 4" xfId="22833" xr:uid="{00000000-0005-0000-0000-000056240000}"/>
    <cellStyle name="Normal 2 3 3 2 2 2 3 3" xfId="7899" xr:uid="{00000000-0005-0000-0000-000057240000}"/>
    <cellStyle name="Normal 2 3 3 2 2 2 3 3 2" xfId="15162" xr:uid="{00000000-0005-0000-0000-000058240000}"/>
    <cellStyle name="Normal 2 3 3 2 2 2 3 3 2 2" xfId="31477" xr:uid="{00000000-0005-0000-0000-000059240000}"/>
    <cellStyle name="Normal 2 3 3 2 2 2 3 3 3" xfId="24512" xr:uid="{00000000-0005-0000-0000-00005A240000}"/>
    <cellStyle name="Normal 2 3 3 2 2 2 3 4" xfId="11214" xr:uid="{00000000-0005-0000-0000-00005B240000}"/>
    <cellStyle name="Normal 2 3 3 2 2 2 3 4 2" xfId="27812" xr:uid="{00000000-0005-0000-0000-00005C240000}"/>
    <cellStyle name="Normal 2 3 3 2 2 2 3 5" xfId="3781" xr:uid="{00000000-0005-0000-0000-00005D240000}"/>
    <cellStyle name="Normal 2 3 3 2 2 2 3 5 2" xfId="20504" xr:uid="{00000000-0005-0000-0000-00005E240000}"/>
    <cellStyle name="Normal 2 3 3 2 2 2 3 6" xfId="18908" xr:uid="{00000000-0005-0000-0000-00005F240000}"/>
    <cellStyle name="Normal 2 3 3 2 2 2 4" xfId="2174" xr:uid="{00000000-0005-0000-0000-000060240000}"/>
    <cellStyle name="Normal 2 3 3 2 2 2 4 2" xfId="8707" xr:uid="{00000000-0005-0000-0000-000061240000}"/>
    <cellStyle name="Normal 2 3 3 2 2 2 4 2 2" xfId="15970" xr:uid="{00000000-0005-0000-0000-000062240000}"/>
    <cellStyle name="Normal 2 3 3 2 2 2 4 2 2 2" xfId="32285" xr:uid="{00000000-0005-0000-0000-000063240000}"/>
    <cellStyle name="Normal 2 3 3 2 2 2 4 2 3" xfId="25320" xr:uid="{00000000-0005-0000-0000-000064240000}"/>
    <cellStyle name="Normal 2 3 3 2 2 2 4 3" xfId="12049" xr:uid="{00000000-0005-0000-0000-000065240000}"/>
    <cellStyle name="Normal 2 3 3 2 2 2 4 3 2" xfId="28624" xr:uid="{00000000-0005-0000-0000-000066240000}"/>
    <cellStyle name="Normal 2 3 3 2 2 2 4 4" xfId="5356" xr:uid="{00000000-0005-0000-0000-000067240000}"/>
    <cellStyle name="Normal 2 3 3 2 2 2 4 4 2" xfId="22020" xr:uid="{00000000-0005-0000-0000-000068240000}"/>
    <cellStyle name="Normal 2 3 3 2 2 2 4 5" xfId="18905" xr:uid="{00000000-0005-0000-0000-000069240000}"/>
    <cellStyle name="Normal 2 3 3 2 2 2 5" xfId="7087" xr:uid="{00000000-0005-0000-0000-00006A240000}"/>
    <cellStyle name="Normal 2 3 3 2 2 2 5 2" xfId="14350" xr:uid="{00000000-0005-0000-0000-00006B240000}"/>
    <cellStyle name="Normal 2 3 3 2 2 2 5 2 2" xfId="30665" xr:uid="{00000000-0005-0000-0000-00006C240000}"/>
    <cellStyle name="Normal 2 3 3 2 2 2 5 3" xfId="23700" xr:uid="{00000000-0005-0000-0000-00006D240000}"/>
    <cellStyle name="Normal 2 3 3 2 2 2 6" xfId="10402" xr:uid="{00000000-0005-0000-0000-00006E240000}"/>
    <cellStyle name="Normal 2 3 3 2 2 2 6 2" xfId="27000" xr:uid="{00000000-0005-0000-0000-00006F240000}"/>
    <cellStyle name="Normal 2 3 3 2 2 2 7" xfId="3778" xr:uid="{00000000-0005-0000-0000-000070240000}"/>
    <cellStyle name="Normal 2 3 3 2 2 2 7 2" xfId="20501" xr:uid="{00000000-0005-0000-0000-000071240000}"/>
    <cellStyle name="Normal 2 3 3 2 2 2 8" xfId="17861" xr:uid="{00000000-0005-0000-0000-000072240000}"/>
    <cellStyle name="Normal 2 3 3 2 2 3" xfId="1601" xr:uid="{00000000-0005-0000-0000-000073240000}"/>
    <cellStyle name="Normal 2 3 3 2 2 3 2" xfId="2179" xr:uid="{00000000-0005-0000-0000-000074240000}"/>
    <cellStyle name="Normal 2 3 3 2 2 3 2 2" xfId="6363" xr:uid="{00000000-0005-0000-0000-000075240000}"/>
    <cellStyle name="Normal 2 3 3 2 2 3 2 2 2" xfId="9714" xr:uid="{00000000-0005-0000-0000-000076240000}"/>
    <cellStyle name="Normal 2 3 3 2 2 3 2 2 2 2" xfId="16977" xr:uid="{00000000-0005-0000-0000-000077240000}"/>
    <cellStyle name="Normal 2 3 3 2 2 3 2 2 2 2 2" xfId="33292" xr:uid="{00000000-0005-0000-0000-000078240000}"/>
    <cellStyle name="Normal 2 3 3 2 2 3 2 2 2 3" xfId="26327" xr:uid="{00000000-0005-0000-0000-000079240000}"/>
    <cellStyle name="Normal 2 3 3 2 2 3 2 2 3" xfId="13056" xr:uid="{00000000-0005-0000-0000-00007A240000}"/>
    <cellStyle name="Normal 2 3 3 2 2 3 2 2 3 2" xfId="29631" xr:uid="{00000000-0005-0000-0000-00007B240000}"/>
    <cellStyle name="Normal 2 3 3 2 2 3 2 2 4" xfId="23027" xr:uid="{00000000-0005-0000-0000-00007C240000}"/>
    <cellStyle name="Normal 2 3 3 2 2 3 2 3" xfId="8093" xr:uid="{00000000-0005-0000-0000-00007D240000}"/>
    <cellStyle name="Normal 2 3 3 2 2 3 2 3 2" xfId="15356" xr:uid="{00000000-0005-0000-0000-00007E240000}"/>
    <cellStyle name="Normal 2 3 3 2 2 3 2 3 2 2" xfId="31671" xr:uid="{00000000-0005-0000-0000-00007F240000}"/>
    <cellStyle name="Normal 2 3 3 2 2 3 2 3 3" xfId="24706" xr:uid="{00000000-0005-0000-0000-000080240000}"/>
    <cellStyle name="Normal 2 3 3 2 2 3 2 4" xfId="11408" xr:uid="{00000000-0005-0000-0000-000081240000}"/>
    <cellStyle name="Normal 2 3 3 2 2 3 2 4 2" xfId="28006" xr:uid="{00000000-0005-0000-0000-000082240000}"/>
    <cellStyle name="Normal 2 3 3 2 2 3 2 5" xfId="3783" xr:uid="{00000000-0005-0000-0000-000083240000}"/>
    <cellStyle name="Normal 2 3 3 2 2 3 2 5 2" xfId="20506" xr:uid="{00000000-0005-0000-0000-000084240000}"/>
    <cellStyle name="Normal 2 3 3 2 2 3 2 6" xfId="18910" xr:uid="{00000000-0005-0000-0000-000085240000}"/>
    <cellStyle name="Normal 2 3 3 2 2 3 3" xfId="2178" xr:uid="{00000000-0005-0000-0000-000086240000}"/>
    <cellStyle name="Normal 2 3 3 2 2 3 3 2" xfId="8902" xr:uid="{00000000-0005-0000-0000-000087240000}"/>
    <cellStyle name="Normal 2 3 3 2 2 3 3 2 2" xfId="16165" xr:uid="{00000000-0005-0000-0000-000088240000}"/>
    <cellStyle name="Normal 2 3 3 2 2 3 3 2 2 2" xfId="32480" xr:uid="{00000000-0005-0000-0000-000089240000}"/>
    <cellStyle name="Normal 2 3 3 2 2 3 3 2 3" xfId="25515" xr:uid="{00000000-0005-0000-0000-00008A240000}"/>
    <cellStyle name="Normal 2 3 3 2 2 3 3 3" xfId="12244" xr:uid="{00000000-0005-0000-0000-00008B240000}"/>
    <cellStyle name="Normal 2 3 3 2 2 3 3 3 2" xfId="28819" xr:uid="{00000000-0005-0000-0000-00008C240000}"/>
    <cellStyle name="Normal 2 3 3 2 2 3 3 4" xfId="5551" xr:uid="{00000000-0005-0000-0000-00008D240000}"/>
    <cellStyle name="Normal 2 3 3 2 2 3 3 4 2" xfId="22215" xr:uid="{00000000-0005-0000-0000-00008E240000}"/>
    <cellStyle name="Normal 2 3 3 2 2 3 3 5" xfId="18909" xr:uid="{00000000-0005-0000-0000-00008F240000}"/>
    <cellStyle name="Normal 2 3 3 2 2 3 4" xfId="7281" xr:uid="{00000000-0005-0000-0000-000090240000}"/>
    <cellStyle name="Normal 2 3 3 2 2 3 4 2" xfId="14544" xr:uid="{00000000-0005-0000-0000-000091240000}"/>
    <cellStyle name="Normal 2 3 3 2 2 3 4 2 2" xfId="30859" xr:uid="{00000000-0005-0000-0000-000092240000}"/>
    <cellStyle name="Normal 2 3 3 2 2 3 4 3" xfId="23894" xr:uid="{00000000-0005-0000-0000-000093240000}"/>
    <cellStyle name="Normal 2 3 3 2 2 3 5" xfId="10596" xr:uid="{00000000-0005-0000-0000-000094240000}"/>
    <cellStyle name="Normal 2 3 3 2 2 3 5 2" xfId="27194" xr:uid="{00000000-0005-0000-0000-000095240000}"/>
    <cellStyle name="Normal 2 3 3 2 2 3 6" xfId="3782" xr:uid="{00000000-0005-0000-0000-000096240000}"/>
    <cellStyle name="Normal 2 3 3 2 2 3 6 2" xfId="20505" xr:uid="{00000000-0005-0000-0000-000097240000}"/>
    <cellStyle name="Normal 2 3 3 2 2 3 7" xfId="18336" xr:uid="{00000000-0005-0000-0000-000098240000}"/>
    <cellStyle name="Normal 2 3 3 2 2 4" xfId="2180" xr:uid="{00000000-0005-0000-0000-000099240000}"/>
    <cellStyle name="Normal 2 3 3 2 2 4 2" xfId="5957" xr:uid="{00000000-0005-0000-0000-00009A240000}"/>
    <cellStyle name="Normal 2 3 3 2 2 4 2 2" xfId="9308" xr:uid="{00000000-0005-0000-0000-00009B240000}"/>
    <cellStyle name="Normal 2 3 3 2 2 4 2 2 2" xfId="16571" xr:uid="{00000000-0005-0000-0000-00009C240000}"/>
    <cellStyle name="Normal 2 3 3 2 2 4 2 2 2 2" xfId="32886" xr:uid="{00000000-0005-0000-0000-00009D240000}"/>
    <cellStyle name="Normal 2 3 3 2 2 4 2 2 3" xfId="25921" xr:uid="{00000000-0005-0000-0000-00009E240000}"/>
    <cellStyle name="Normal 2 3 3 2 2 4 2 3" xfId="12650" xr:uid="{00000000-0005-0000-0000-00009F240000}"/>
    <cellStyle name="Normal 2 3 3 2 2 4 2 3 2" xfId="29225" xr:uid="{00000000-0005-0000-0000-0000A0240000}"/>
    <cellStyle name="Normal 2 3 3 2 2 4 2 4" xfId="22621" xr:uid="{00000000-0005-0000-0000-0000A1240000}"/>
    <cellStyle name="Normal 2 3 3 2 2 4 3" xfId="7687" xr:uid="{00000000-0005-0000-0000-0000A2240000}"/>
    <cellStyle name="Normal 2 3 3 2 2 4 3 2" xfId="14950" xr:uid="{00000000-0005-0000-0000-0000A3240000}"/>
    <cellStyle name="Normal 2 3 3 2 2 4 3 2 2" xfId="31265" xr:uid="{00000000-0005-0000-0000-0000A4240000}"/>
    <cellStyle name="Normal 2 3 3 2 2 4 3 3" xfId="24300" xr:uid="{00000000-0005-0000-0000-0000A5240000}"/>
    <cellStyle name="Normal 2 3 3 2 2 4 4" xfId="11002" xr:uid="{00000000-0005-0000-0000-0000A6240000}"/>
    <cellStyle name="Normal 2 3 3 2 2 4 4 2" xfId="27600" xr:uid="{00000000-0005-0000-0000-0000A7240000}"/>
    <cellStyle name="Normal 2 3 3 2 2 4 5" xfId="3784" xr:uid="{00000000-0005-0000-0000-0000A8240000}"/>
    <cellStyle name="Normal 2 3 3 2 2 4 5 2" xfId="20507" xr:uid="{00000000-0005-0000-0000-0000A9240000}"/>
    <cellStyle name="Normal 2 3 3 2 2 4 6" xfId="18911" xr:uid="{00000000-0005-0000-0000-0000AA240000}"/>
    <cellStyle name="Normal 2 3 3 2 2 5" xfId="2173" xr:uid="{00000000-0005-0000-0000-0000AB240000}"/>
    <cellStyle name="Normal 2 3 3 2 2 5 2" xfId="8662" xr:uid="{00000000-0005-0000-0000-0000AC240000}"/>
    <cellStyle name="Normal 2 3 3 2 2 5 2 2" xfId="15925" xr:uid="{00000000-0005-0000-0000-0000AD240000}"/>
    <cellStyle name="Normal 2 3 3 2 2 5 2 2 2" xfId="32240" xr:uid="{00000000-0005-0000-0000-0000AE240000}"/>
    <cellStyle name="Normal 2 3 3 2 2 5 2 3" xfId="25275" xr:uid="{00000000-0005-0000-0000-0000AF240000}"/>
    <cellStyle name="Normal 2 3 3 2 2 5 3" xfId="12004" xr:uid="{00000000-0005-0000-0000-0000B0240000}"/>
    <cellStyle name="Normal 2 3 3 2 2 5 3 2" xfId="28579" xr:uid="{00000000-0005-0000-0000-0000B1240000}"/>
    <cellStyle name="Normal 2 3 3 2 2 5 4" xfId="5311" xr:uid="{00000000-0005-0000-0000-0000B2240000}"/>
    <cellStyle name="Normal 2 3 3 2 2 5 4 2" xfId="21975" xr:uid="{00000000-0005-0000-0000-0000B3240000}"/>
    <cellStyle name="Normal 2 3 3 2 2 5 5" xfId="18904" xr:uid="{00000000-0005-0000-0000-0000B4240000}"/>
    <cellStyle name="Normal 2 3 3 2 2 6" xfId="7043" xr:uid="{00000000-0005-0000-0000-0000B5240000}"/>
    <cellStyle name="Normal 2 3 3 2 2 6 2" xfId="14306" xr:uid="{00000000-0005-0000-0000-0000B6240000}"/>
    <cellStyle name="Normal 2 3 3 2 2 6 2 2" xfId="30621" xr:uid="{00000000-0005-0000-0000-0000B7240000}"/>
    <cellStyle name="Normal 2 3 3 2 2 6 3" xfId="23656" xr:uid="{00000000-0005-0000-0000-0000B8240000}"/>
    <cellStyle name="Normal 2 3 3 2 2 7" xfId="10357" xr:uid="{00000000-0005-0000-0000-0000B9240000}"/>
    <cellStyle name="Normal 2 3 3 2 2 7 2" xfId="26956" xr:uid="{00000000-0005-0000-0000-0000BA240000}"/>
    <cellStyle name="Normal 2 3 3 2 2 8" xfId="3777" xr:uid="{00000000-0005-0000-0000-0000BB240000}"/>
    <cellStyle name="Normal 2 3 3 2 2 8 2" xfId="20500" xr:uid="{00000000-0005-0000-0000-0000BC240000}"/>
    <cellStyle name="Normal 2 3 3 2 2 9" xfId="17817" xr:uid="{00000000-0005-0000-0000-0000BD240000}"/>
    <cellStyle name="Normal 2 3 3 2 3" xfId="1123" xr:uid="{00000000-0005-0000-0000-0000BE240000}"/>
    <cellStyle name="Normal 2 3 3 2 3 2" xfId="1644" xr:uid="{00000000-0005-0000-0000-0000BF240000}"/>
    <cellStyle name="Normal 2 3 3 2 3 2 2" xfId="2183" xr:uid="{00000000-0005-0000-0000-0000C0240000}"/>
    <cellStyle name="Normal 2 3 3 2 3 2 2 2" xfId="6538" xr:uid="{00000000-0005-0000-0000-0000C1240000}"/>
    <cellStyle name="Normal 2 3 3 2 3 2 2 2 2" xfId="9889" xr:uid="{00000000-0005-0000-0000-0000C2240000}"/>
    <cellStyle name="Normal 2 3 3 2 3 2 2 2 2 2" xfId="17152" xr:uid="{00000000-0005-0000-0000-0000C3240000}"/>
    <cellStyle name="Normal 2 3 3 2 3 2 2 2 2 2 2" xfId="33467" xr:uid="{00000000-0005-0000-0000-0000C4240000}"/>
    <cellStyle name="Normal 2 3 3 2 3 2 2 2 2 3" xfId="26502" xr:uid="{00000000-0005-0000-0000-0000C5240000}"/>
    <cellStyle name="Normal 2 3 3 2 3 2 2 2 3" xfId="13231" xr:uid="{00000000-0005-0000-0000-0000C6240000}"/>
    <cellStyle name="Normal 2 3 3 2 3 2 2 2 3 2" xfId="29806" xr:uid="{00000000-0005-0000-0000-0000C7240000}"/>
    <cellStyle name="Normal 2 3 3 2 3 2 2 2 4" xfId="23202" xr:uid="{00000000-0005-0000-0000-0000C8240000}"/>
    <cellStyle name="Normal 2 3 3 2 3 2 2 3" xfId="8268" xr:uid="{00000000-0005-0000-0000-0000C9240000}"/>
    <cellStyle name="Normal 2 3 3 2 3 2 2 3 2" xfId="15531" xr:uid="{00000000-0005-0000-0000-0000CA240000}"/>
    <cellStyle name="Normal 2 3 3 2 3 2 2 3 2 2" xfId="31846" xr:uid="{00000000-0005-0000-0000-0000CB240000}"/>
    <cellStyle name="Normal 2 3 3 2 3 2 2 3 3" xfId="24881" xr:uid="{00000000-0005-0000-0000-0000CC240000}"/>
    <cellStyle name="Normal 2 3 3 2 3 2 2 4" xfId="11583" xr:uid="{00000000-0005-0000-0000-0000CD240000}"/>
    <cellStyle name="Normal 2 3 3 2 3 2 2 4 2" xfId="28181" xr:uid="{00000000-0005-0000-0000-0000CE240000}"/>
    <cellStyle name="Normal 2 3 3 2 3 2 2 5" xfId="3787" xr:uid="{00000000-0005-0000-0000-0000CF240000}"/>
    <cellStyle name="Normal 2 3 3 2 3 2 2 5 2" xfId="20510" xr:uid="{00000000-0005-0000-0000-0000D0240000}"/>
    <cellStyle name="Normal 2 3 3 2 3 2 2 6" xfId="18914" xr:uid="{00000000-0005-0000-0000-0000D1240000}"/>
    <cellStyle name="Normal 2 3 3 2 3 2 3" xfId="2182" xr:uid="{00000000-0005-0000-0000-0000D2240000}"/>
    <cellStyle name="Normal 2 3 3 2 3 2 3 2" xfId="9113" xr:uid="{00000000-0005-0000-0000-0000D3240000}"/>
    <cellStyle name="Normal 2 3 3 2 3 2 3 2 2" xfId="16376" xr:uid="{00000000-0005-0000-0000-0000D4240000}"/>
    <cellStyle name="Normal 2 3 3 2 3 2 3 2 2 2" xfId="32691" xr:uid="{00000000-0005-0000-0000-0000D5240000}"/>
    <cellStyle name="Normal 2 3 3 2 3 2 3 2 3" xfId="25726" xr:uid="{00000000-0005-0000-0000-0000D6240000}"/>
    <cellStyle name="Normal 2 3 3 2 3 2 3 3" xfId="12455" xr:uid="{00000000-0005-0000-0000-0000D7240000}"/>
    <cellStyle name="Normal 2 3 3 2 3 2 3 3 2" xfId="29030" xr:uid="{00000000-0005-0000-0000-0000D8240000}"/>
    <cellStyle name="Normal 2 3 3 2 3 2 3 4" xfId="5762" xr:uid="{00000000-0005-0000-0000-0000D9240000}"/>
    <cellStyle name="Normal 2 3 3 2 3 2 3 4 2" xfId="22426" xr:uid="{00000000-0005-0000-0000-0000DA240000}"/>
    <cellStyle name="Normal 2 3 3 2 3 2 3 5" xfId="18913" xr:uid="{00000000-0005-0000-0000-0000DB240000}"/>
    <cellStyle name="Normal 2 3 3 2 3 2 4" xfId="7492" xr:uid="{00000000-0005-0000-0000-0000DC240000}"/>
    <cellStyle name="Normal 2 3 3 2 3 2 4 2" xfId="14755" xr:uid="{00000000-0005-0000-0000-0000DD240000}"/>
    <cellStyle name="Normal 2 3 3 2 3 2 4 2 2" xfId="31070" xr:uid="{00000000-0005-0000-0000-0000DE240000}"/>
    <cellStyle name="Normal 2 3 3 2 3 2 4 3" xfId="24105" xr:uid="{00000000-0005-0000-0000-0000DF240000}"/>
    <cellStyle name="Normal 2 3 3 2 3 2 5" xfId="10807" xr:uid="{00000000-0005-0000-0000-0000E0240000}"/>
    <cellStyle name="Normal 2 3 3 2 3 2 5 2" xfId="27405" xr:uid="{00000000-0005-0000-0000-0000E1240000}"/>
    <cellStyle name="Normal 2 3 3 2 3 2 6" xfId="3786" xr:uid="{00000000-0005-0000-0000-0000E2240000}"/>
    <cellStyle name="Normal 2 3 3 2 3 2 6 2" xfId="20509" xr:uid="{00000000-0005-0000-0000-0000E3240000}"/>
    <cellStyle name="Normal 2 3 3 2 3 2 7" xfId="18379" xr:uid="{00000000-0005-0000-0000-0000E4240000}"/>
    <cellStyle name="Normal 2 3 3 2 3 3" xfId="2184" xr:uid="{00000000-0005-0000-0000-0000E5240000}"/>
    <cellStyle name="Normal 2 3 3 2 3 3 2" xfId="6168" xr:uid="{00000000-0005-0000-0000-0000E6240000}"/>
    <cellStyle name="Normal 2 3 3 2 3 3 2 2" xfId="9519" xr:uid="{00000000-0005-0000-0000-0000E7240000}"/>
    <cellStyle name="Normal 2 3 3 2 3 3 2 2 2" xfId="16782" xr:uid="{00000000-0005-0000-0000-0000E8240000}"/>
    <cellStyle name="Normal 2 3 3 2 3 3 2 2 2 2" xfId="33097" xr:uid="{00000000-0005-0000-0000-0000E9240000}"/>
    <cellStyle name="Normal 2 3 3 2 3 3 2 2 3" xfId="26132" xr:uid="{00000000-0005-0000-0000-0000EA240000}"/>
    <cellStyle name="Normal 2 3 3 2 3 3 2 3" xfId="12861" xr:uid="{00000000-0005-0000-0000-0000EB240000}"/>
    <cellStyle name="Normal 2 3 3 2 3 3 2 3 2" xfId="29436" xr:uid="{00000000-0005-0000-0000-0000EC240000}"/>
    <cellStyle name="Normal 2 3 3 2 3 3 2 4" xfId="22832" xr:uid="{00000000-0005-0000-0000-0000ED240000}"/>
    <cellStyle name="Normal 2 3 3 2 3 3 3" xfId="7898" xr:uid="{00000000-0005-0000-0000-0000EE240000}"/>
    <cellStyle name="Normal 2 3 3 2 3 3 3 2" xfId="15161" xr:uid="{00000000-0005-0000-0000-0000EF240000}"/>
    <cellStyle name="Normal 2 3 3 2 3 3 3 2 2" xfId="31476" xr:uid="{00000000-0005-0000-0000-0000F0240000}"/>
    <cellStyle name="Normal 2 3 3 2 3 3 3 3" xfId="24511" xr:uid="{00000000-0005-0000-0000-0000F1240000}"/>
    <cellStyle name="Normal 2 3 3 2 3 3 4" xfId="11213" xr:uid="{00000000-0005-0000-0000-0000F2240000}"/>
    <cellStyle name="Normal 2 3 3 2 3 3 4 2" xfId="27811" xr:uid="{00000000-0005-0000-0000-0000F3240000}"/>
    <cellStyle name="Normal 2 3 3 2 3 3 5" xfId="3788" xr:uid="{00000000-0005-0000-0000-0000F4240000}"/>
    <cellStyle name="Normal 2 3 3 2 3 3 5 2" xfId="20511" xr:uid="{00000000-0005-0000-0000-0000F5240000}"/>
    <cellStyle name="Normal 2 3 3 2 3 3 6" xfId="18915" xr:uid="{00000000-0005-0000-0000-0000F6240000}"/>
    <cellStyle name="Normal 2 3 3 2 3 4" xfId="2181" xr:uid="{00000000-0005-0000-0000-0000F7240000}"/>
    <cellStyle name="Normal 2 3 3 2 3 4 2" xfId="8706" xr:uid="{00000000-0005-0000-0000-0000F8240000}"/>
    <cellStyle name="Normal 2 3 3 2 3 4 2 2" xfId="15969" xr:uid="{00000000-0005-0000-0000-0000F9240000}"/>
    <cellStyle name="Normal 2 3 3 2 3 4 2 2 2" xfId="32284" xr:uid="{00000000-0005-0000-0000-0000FA240000}"/>
    <cellStyle name="Normal 2 3 3 2 3 4 2 3" xfId="25319" xr:uid="{00000000-0005-0000-0000-0000FB240000}"/>
    <cellStyle name="Normal 2 3 3 2 3 4 3" xfId="12048" xr:uid="{00000000-0005-0000-0000-0000FC240000}"/>
    <cellStyle name="Normal 2 3 3 2 3 4 3 2" xfId="28623" xr:uid="{00000000-0005-0000-0000-0000FD240000}"/>
    <cellStyle name="Normal 2 3 3 2 3 4 4" xfId="5355" xr:uid="{00000000-0005-0000-0000-0000FE240000}"/>
    <cellStyle name="Normal 2 3 3 2 3 4 4 2" xfId="22019" xr:uid="{00000000-0005-0000-0000-0000FF240000}"/>
    <cellStyle name="Normal 2 3 3 2 3 4 5" xfId="18912" xr:uid="{00000000-0005-0000-0000-000000250000}"/>
    <cellStyle name="Normal 2 3 3 2 3 5" xfId="7086" xr:uid="{00000000-0005-0000-0000-000001250000}"/>
    <cellStyle name="Normal 2 3 3 2 3 5 2" xfId="14349" xr:uid="{00000000-0005-0000-0000-000002250000}"/>
    <cellStyle name="Normal 2 3 3 2 3 5 2 2" xfId="30664" xr:uid="{00000000-0005-0000-0000-000003250000}"/>
    <cellStyle name="Normal 2 3 3 2 3 5 3" xfId="23699" xr:uid="{00000000-0005-0000-0000-000004250000}"/>
    <cellStyle name="Normal 2 3 3 2 3 6" xfId="10401" xr:uid="{00000000-0005-0000-0000-000005250000}"/>
    <cellStyle name="Normal 2 3 3 2 3 6 2" xfId="26999" xr:uid="{00000000-0005-0000-0000-000006250000}"/>
    <cellStyle name="Normal 2 3 3 2 3 7" xfId="3785" xr:uid="{00000000-0005-0000-0000-000007250000}"/>
    <cellStyle name="Normal 2 3 3 2 3 7 2" xfId="20508" xr:uid="{00000000-0005-0000-0000-000008250000}"/>
    <cellStyle name="Normal 2 3 3 2 3 8" xfId="17860" xr:uid="{00000000-0005-0000-0000-000009250000}"/>
    <cellStyle name="Normal 2 3 3 2 4" xfId="1495" xr:uid="{00000000-0005-0000-0000-00000A250000}"/>
    <cellStyle name="Normal 2 3 3 2 4 2" xfId="2186" xr:uid="{00000000-0005-0000-0000-00000B250000}"/>
    <cellStyle name="Normal 2 3 3 2 4 2 2" xfId="6362" xr:uid="{00000000-0005-0000-0000-00000C250000}"/>
    <cellStyle name="Normal 2 3 3 2 4 2 2 2" xfId="9713" xr:uid="{00000000-0005-0000-0000-00000D250000}"/>
    <cellStyle name="Normal 2 3 3 2 4 2 2 2 2" xfId="16976" xr:uid="{00000000-0005-0000-0000-00000E250000}"/>
    <cellStyle name="Normal 2 3 3 2 4 2 2 2 2 2" xfId="33291" xr:uid="{00000000-0005-0000-0000-00000F250000}"/>
    <cellStyle name="Normal 2 3 3 2 4 2 2 2 3" xfId="26326" xr:uid="{00000000-0005-0000-0000-000010250000}"/>
    <cellStyle name="Normal 2 3 3 2 4 2 2 3" xfId="13055" xr:uid="{00000000-0005-0000-0000-000011250000}"/>
    <cellStyle name="Normal 2 3 3 2 4 2 2 3 2" xfId="29630" xr:uid="{00000000-0005-0000-0000-000012250000}"/>
    <cellStyle name="Normal 2 3 3 2 4 2 2 4" xfId="23026" xr:uid="{00000000-0005-0000-0000-000013250000}"/>
    <cellStyle name="Normal 2 3 3 2 4 2 3" xfId="8092" xr:uid="{00000000-0005-0000-0000-000014250000}"/>
    <cellStyle name="Normal 2 3 3 2 4 2 3 2" xfId="15355" xr:uid="{00000000-0005-0000-0000-000015250000}"/>
    <cellStyle name="Normal 2 3 3 2 4 2 3 2 2" xfId="31670" xr:uid="{00000000-0005-0000-0000-000016250000}"/>
    <cellStyle name="Normal 2 3 3 2 4 2 3 3" xfId="24705" xr:uid="{00000000-0005-0000-0000-000017250000}"/>
    <cellStyle name="Normal 2 3 3 2 4 2 4" xfId="11407" xr:uid="{00000000-0005-0000-0000-000018250000}"/>
    <cellStyle name="Normal 2 3 3 2 4 2 4 2" xfId="28005" xr:uid="{00000000-0005-0000-0000-000019250000}"/>
    <cellStyle name="Normal 2 3 3 2 4 2 5" xfId="3790" xr:uid="{00000000-0005-0000-0000-00001A250000}"/>
    <cellStyle name="Normal 2 3 3 2 4 2 5 2" xfId="20513" xr:uid="{00000000-0005-0000-0000-00001B250000}"/>
    <cellStyle name="Normal 2 3 3 2 4 2 6" xfId="18917" xr:uid="{00000000-0005-0000-0000-00001C250000}"/>
    <cellStyle name="Normal 2 3 3 2 4 3" xfId="2185" xr:uid="{00000000-0005-0000-0000-00001D250000}"/>
    <cellStyle name="Normal 2 3 3 2 4 3 2" xfId="8901" xr:uid="{00000000-0005-0000-0000-00001E250000}"/>
    <cellStyle name="Normal 2 3 3 2 4 3 2 2" xfId="16164" xr:uid="{00000000-0005-0000-0000-00001F250000}"/>
    <cellStyle name="Normal 2 3 3 2 4 3 2 2 2" xfId="32479" xr:uid="{00000000-0005-0000-0000-000020250000}"/>
    <cellStyle name="Normal 2 3 3 2 4 3 2 3" xfId="25514" xr:uid="{00000000-0005-0000-0000-000021250000}"/>
    <cellStyle name="Normal 2 3 3 2 4 3 3" xfId="12243" xr:uid="{00000000-0005-0000-0000-000022250000}"/>
    <cellStyle name="Normal 2 3 3 2 4 3 3 2" xfId="28818" xr:uid="{00000000-0005-0000-0000-000023250000}"/>
    <cellStyle name="Normal 2 3 3 2 4 3 4" xfId="5550" xr:uid="{00000000-0005-0000-0000-000024250000}"/>
    <cellStyle name="Normal 2 3 3 2 4 3 4 2" xfId="22214" xr:uid="{00000000-0005-0000-0000-000025250000}"/>
    <cellStyle name="Normal 2 3 3 2 4 3 5" xfId="18916" xr:uid="{00000000-0005-0000-0000-000026250000}"/>
    <cellStyle name="Normal 2 3 3 2 4 4" xfId="7280" xr:uid="{00000000-0005-0000-0000-000027250000}"/>
    <cellStyle name="Normal 2 3 3 2 4 4 2" xfId="14543" xr:uid="{00000000-0005-0000-0000-000028250000}"/>
    <cellStyle name="Normal 2 3 3 2 4 4 2 2" xfId="30858" xr:uid="{00000000-0005-0000-0000-000029250000}"/>
    <cellStyle name="Normal 2 3 3 2 4 4 3" xfId="23893" xr:uid="{00000000-0005-0000-0000-00002A250000}"/>
    <cellStyle name="Normal 2 3 3 2 4 5" xfId="10595" xr:uid="{00000000-0005-0000-0000-00002B250000}"/>
    <cellStyle name="Normal 2 3 3 2 4 5 2" xfId="27193" xr:uid="{00000000-0005-0000-0000-00002C250000}"/>
    <cellStyle name="Normal 2 3 3 2 4 6" xfId="3789" xr:uid="{00000000-0005-0000-0000-00002D250000}"/>
    <cellStyle name="Normal 2 3 3 2 4 6 2" xfId="20512" xr:uid="{00000000-0005-0000-0000-00002E250000}"/>
    <cellStyle name="Normal 2 3 3 2 4 7" xfId="18230" xr:uid="{00000000-0005-0000-0000-00002F250000}"/>
    <cellStyle name="Normal 2 3 3 2 5" xfId="2187" xr:uid="{00000000-0005-0000-0000-000030250000}"/>
    <cellStyle name="Normal 2 3 3 2 5 2" xfId="5956" xr:uid="{00000000-0005-0000-0000-000031250000}"/>
    <cellStyle name="Normal 2 3 3 2 5 2 2" xfId="9307" xr:uid="{00000000-0005-0000-0000-000032250000}"/>
    <cellStyle name="Normal 2 3 3 2 5 2 2 2" xfId="16570" xr:uid="{00000000-0005-0000-0000-000033250000}"/>
    <cellStyle name="Normal 2 3 3 2 5 2 2 2 2" xfId="32885" xr:uid="{00000000-0005-0000-0000-000034250000}"/>
    <cellStyle name="Normal 2 3 3 2 5 2 2 3" xfId="25920" xr:uid="{00000000-0005-0000-0000-000035250000}"/>
    <cellStyle name="Normal 2 3 3 2 5 2 3" xfId="12649" xr:uid="{00000000-0005-0000-0000-000036250000}"/>
    <cellStyle name="Normal 2 3 3 2 5 2 3 2" xfId="29224" xr:uid="{00000000-0005-0000-0000-000037250000}"/>
    <cellStyle name="Normal 2 3 3 2 5 2 4" xfId="22620" xr:uid="{00000000-0005-0000-0000-000038250000}"/>
    <cellStyle name="Normal 2 3 3 2 5 3" xfId="7686" xr:uid="{00000000-0005-0000-0000-000039250000}"/>
    <cellStyle name="Normal 2 3 3 2 5 3 2" xfId="14949" xr:uid="{00000000-0005-0000-0000-00003A250000}"/>
    <cellStyle name="Normal 2 3 3 2 5 3 2 2" xfId="31264" xr:uid="{00000000-0005-0000-0000-00003B250000}"/>
    <cellStyle name="Normal 2 3 3 2 5 3 3" xfId="24299" xr:uid="{00000000-0005-0000-0000-00003C250000}"/>
    <cellStyle name="Normal 2 3 3 2 5 4" xfId="11001" xr:uid="{00000000-0005-0000-0000-00003D250000}"/>
    <cellStyle name="Normal 2 3 3 2 5 4 2" xfId="27599" xr:uid="{00000000-0005-0000-0000-00003E250000}"/>
    <cellStyle name="Normal 2 3 3 2 5 5" xfId="3791" xr:uid="{00000000-0005-0000-0000-00003F250000}"/>
    <cellStyle name="Normal 2 3 3 2 5 5 2" xfId="20514" xr:uid="{00000000-0005-0000-0000-000040250000}"/>
    <cellStyle name="Normal 2 3 3 2 5 6" xfId="18918" xr:uid="{00000000-0005-0000-0000-000041250000}"/>
    <cellStyle name="Normal 2 3 3 2 6" xfId="2172" xr:uid="{00000000-0005-0000-0000-000042250000}"/>
    <cellStyle name="Normal 2 3 3 2 6 2" xfId="8556" xr:uid="{00000000-0005-0000-0000-000043250000}"/>
    <cellStyle name="Normal 2 3 3 2 6 2 2" xfId="15819" xr:uid="{00000000-0005-0000-0000-000044250000}"/>
    <cellStyle name="Normal 2 3 3 2 6 2 2 2" xfId="32134" xr:uid="{00000000-0005-0000-0000-000045250000}"/>
    <cellStyle name="Normal 2 3 3 2 6 2 3" xfId="25169" xr:uid="{00000000-0005-0000-0000-000046250000}"/>
    <cellStyle name="Normal 2 3 3 2 6 3" xfId="11898" xr:uid="{00000000-0005-0000-0000-000047250000}"/>
    <cellStyle name="Normal 2 3 3 2 6 3 2" xfId="28473" xr:uid="{00000000-0005-0000-0000-000048250000}"/>
    <cellStyle name="Normal 2 3 3 2 6 4" xfId="5205" xr:uid="{00000000-0005-0000-0000-000049250000}"/>
    <cellStyle name="Normal 2 3 3 2 6 4 2" xfId="21869" xr:uid="{00000000-0005-0000-0000-00004A250000}"/>
    <cellStyle name="Normal 2 3 3 2 6 5" xfId="18903" xr:uid="{00000000-0005-0000-0000-00004B250000}"/>
    <cellStyle name="Normal 2 3 3 2 7" xfId="6937" xr:uid="{00000000-0005-0000-0000-00004C250000}"/>
    <cellStyle name="Normal 2 3 3 2 7 2" xfId="14200" xr:uid="{00000000-0005-0000-0000-00004D250000}"/>
    <cellStyle name="Normal 2 3 3 2 7 2 2" xfId="30515" xr:uid="{00000000-0005-0000-0000-00004E250000}"/>
    <cellStyle name="Normal 2 3 3 2 7 3" xfId="23550" xr:uid="{00000000-0005-0000-0000-00004F250000}"/>
    <cellStyle name="Normal 2 3 3 2 8" xfId="10251" xr:uid="{00000000-0005-0000-0000-000050250000}"/>
    <cellStyle name="Normal 2 3 3 2 8 2" xfId="26850" xr:uid="{00000000-0005-0000-0000-000051250000}"/>
    <cellStyle name="Normal 2 3 3 2 9" xfId="3776" xr:uid="{00000000-0005-0000-0000-000052250000}"/>
    <cellStyle name="Normal 2 3 3 2 9 2" xfId="20499" xr:uid="{00000000-0005-0000-0000-000053250000}"/>
    <cellStyle name="Normal 2 3 3 3" xfId="987" xr:uid="{00000000-0005-0000-0000-000054250000}"/>
    <cellStyle name="Normal 2 3 3 3 2" xfId="1125" xr:uid="{00000000-0005-0000-0000-000055250000}"/>
    <cellStyle name="Normal 2 3 3 3 2 2" xfId="1646" xr:uid="{00000000-0005-0000-0000-000056250000}"/>
    <cellStyle name="Normal 2 3 3 3 2 2 2" xfId="2191" xr:uid="{00000000-0005-0000-0000-000057250000}"/>
    <cellStyle name="Normal 2 3 3 3 2 2 2 2" xfId="6540" xr:uid="{00000000-0005-0000-0000-000058250000}"/>
    <cellStyle name="Normal 2 3 3 3 2 2 2 2 2" xfId="9891" xr:uid="{00000000-0005-0000-0000-000059250000}"/>
    <cellStyle name="Normal 2 3 3 3 2 2 2 2 2 2" xfId="17154" xr:uid="{00000000-0005-0000-0000-00005A250000}"/>
    <cellStyle name="Normal 2 3 3 3 2 2 2 2 2 2 2" xfId="33469" xr:uid="{00000000-0005-0000-0000-00005B250000}"/>
    <cellStyle name="Normal 2 3 3 3 2 2 2 2 2 3" xfId="26504" xr:uid="{00000000-0005-0000-0000-00005C250000}"/>
    <cellStyle name="Normal 2 3 3 3 2 2 2 2 3" xfId="13233" xr:uid="{00000000-0005-0000-0000-00005D250000}"/>
    <cellStyle name="Normal 2 3 3 3 2 2 2 2 3 2" xfId="29808" xr:uid="{00000000-0005-0000-0000-00005E250000}"/>
    <cellStyle name="Normal 2 3 3 3 2 2 2 2 4" xfId="23204" xr:uid="{00000000-0005-0000-0000-00005F250000}"/>
    <cellStyle name="Normal 2 3 3 3 2 2 2 3" xfId="8270" xr:uid="{00000000-0005-0000-0000-000060250000}"/>
    <cellStyle name="Normal 2 3 3 3 2 2 2 3 2" xfId="15533" xr:uid="{00000000-0005-0000-0000-000061250000}"/>
    <cellStyle name="Normal 2 3 3 3 2 2 2 3 2 2" xfId="31848" xr:uid="{00000000-0005-0000-0000-000062250000}"/>
    <cellStyle name="Normal 2 3 3 3 2 2 2 3 3" xfId="24883" xr:uid="{00000000-0005-0000-0000-000063250000}"/>
    <cellStyle name="Normal 2 3 3 3 2 2 2 4" xfId="11585" xr:uid="{00000000-0005-0000-0000-000064250000}"/>
    <cellStyle name="Normal 2 3 3 3 2 2 2 4 2" xfId="28183" xr:uid="{00000000-0005-0000-0000-000065250000}"/>
    <cellStyle name="Normal 2 3 3 3 2 2 2 5" xfId="3795" xr:uid="{00000000-0005-0000-0000-000066250000}"/>
    <cellStyle name="Normal 2 3 3 3 2 2 2 5 2" xfId="20518" xr:uid="{00000000-0005-0000-0000-000067250000}"/>
    <cellStyle name="Normal 2 3 3 3 2 2 2 6" xfId="18922" xr:uid="{00000000-0005-0000-0000-000068250000}"/>
    <cellStyle name="Normal 2 3 3 3 2 2 3" xfId="2190" xr:uid="{00000000-0005-0000-0000-000069250000}"/>
    <cellStyle name="Normal 2 3 3 3 2 2 3 2" xfId="9115" xr:uid="{00000000-0005-0000-0000-00006A250000}"/>
    <cellStyle name="Normal 2 3 3 3 2 2 3 2 2" xfId="16378" xr:uid="{00000000-0005-0000-0000-00006B250000}"/>
    <cellStyle name="Normal 2 3 3 3 2 2 3 2 2 2" xfId="32693" xr:uid="{00000000-0005-0000-0000-00006C250000}"/>
    <cellStyle name="Normal 2 3 3 3 2 2 3 2 3" xfId="25728" xr:uid="{00000000-0005-0000-0000-00006D250000}"/>
    <cellStyle name="Normal 2 3 3 3 2 2 3 3" xfId="12457" xr:uid="{00000000-0005-0000-0000-00006E250000}"/>
    <cellStyle name="Normal 2 3 3 3 2 2 3 3 2" xfId="29032" xr:uid="{00000000-0005-0000-0000-00006F250000}"/>
    <cellStyle name="Normal 2 3 3 3 2 2 3 4" xfId="5764" xr:uid="{00000000-0005-0000-0000-000070250000}"/>
    <cellStyle name="Normal 2 3 3 3 2 2 3 4 2" xfId="22428" xr:uid="{00000000-0005-0000-0000-000071250000}"/>
    <cellStyle name="Normal 2 3 3 3 2 2 3 5" xfId="18921" xr:uid="{00000000-0005-0000-0000-000072250000}"/>
    <cellStyle name="Normal 2 3 3 3 2 2 4" xfId="7494" xr:uid="{00000000-0005-0000-0000-000073250000}"/>
    <cellStyle name="Normal 2 3 3 3 2 2 4 2" xfId="14757" xr:uid="{00000000-0005-0000-0000-000074250000}"/>
    <cellStyle name="Normal 2 3 3 3 2 2 4 2 2" xfId="31072" xr:uid="{00000000-0005-0000-0000-000075250000}"/>
    <cellStyle name="Normal 2 3 3 3 2 2 4 3" xfId="24107" xr:uid="{00000000-0005-0000-0000-000076250000}"/>
    <cellStyle name="Normal 2 3 3 3 2 2 5" xfId="10809" xr:uid="{00000000-0005-0000-0000-000077250000}"/>
    <cellStyle name="Normal 2 3 3 3 2 2 5 2" xfId="27407" xr:uid="{00000000-0005-0000-0000-000078250000}"/>
    <cellStyle name="Normal 2 3 3 3 2 2 6" xfId="3794" xr:uid="{00000000-0005-0000-0000-000079250000}"/>
    <cellStyle name="Normal 2 3 3 3 2 2 6 2" xfId="20517" xr:uid="{00000000-0005-0000-0000-00007A250000}"/>
    <cellStyle name="Normal 2 3 3 3 2 2 7" xfId="18381" xr:uid="{00000000-0005-0000-0000-00007B250000}"/>
    <cellStyle name="Normal 2 3 3 3 2 3" xfId="2192" xr:uid="{00000000-0005-0000-0000-00007C250000}"/>
    <cellStyle name="Normal 2 3 3 3 2 3 2" xfId="6170" xr:uid="{00000000-0005-0000-0000-00007D250000}"/>
    <cellStyle name="Normal 2 3 3 3 2 3 2 2" xfId="9521" xr:uid="{00000000-0005-0000-0000-00007E250000}"/>
    <cellStyle name="Normal 2 3 3 3 2 3 2 2 2" xfId="16784" xr:uid="{00000000-0005-0000-0000-00007F250000}"/>
    <cellStyle name="Normal 2 3 3 3 2 3 2 2 2 2" xfId="33099" xr:uid="{00000000-0005-0000-0000-000080250000}"/>
    <cellStyle name="Normal 2 3 3 3 2 3 2 2 3" xfId="26134" xr:uid="{00000000-0005-0000-0000-000081250000}"/>
    <cellStyle name="Normal 2 3 3 3 2 3 2 3" xfId="12863" xr:uid="{00000000-0005-0000-0000-000082250000}"/>
    <cellStyle name="Normal 2 3 3 3 2 3 2 3 2" xfId="29438" xr:uid="{00000000-0005-0000-0000-000083250000}"/>
    <cellStyle name="Normal 2 3 3 3 2 3 2 4" xfId="22834" xr:uid="{00000000-0005-0000-0000-000084250000}"/>
    <cellStyle name="Normal 2 3 3 3 2 3 3" xfId="7900" xr:uid="{00000000-0005-0000-0000-000085250000}"/>
    <cellStyle name="Normal 2 3 3 3 2 3 3 2" xfId="15163" xr:uid="{00000000-0005-0000-0000-000086250000}"/>
    <cellStyle name="Normal 2 3 3 3 2 3 3 2 2" xfId="31478" xr:uid="{00000000-0005-0000-0000-000087250000}"/>
    <cellStyle name="Normal 2 3 3 3 2 3 3 3" xfId="24513" xr:uid="{00000000-0005-0000-0000-000088250000}"/>
    <cellStyle name="Normal 2 3 3 3 2 3 4" xfId="11215" xr:uid="{00000000-0005-0000-0000-000089250000}"/>
    <cellStyle name="Normal 2 3 3 3 2 3 4 2" xfId="27813" xr:uid="{00000000-0005-0000-0000-00008A250000}"/>
    <cellStyle name="Normal 2 3 3 3 2 3 5" xfId="3796" xr:uid="{00000000-0005-0000-0000-00008B250000}"/>
    <cellStyle name="Normal 2 3 3 3 2 3 5 2" xfId="20519" xr:uid="{00000000-0005-0000-0000-00008C250000}"/>
    <cellStyle name="Normal 2 3 3 3 2 3 6" xfId="18923" xr:uid="{00000000-0005-0000-0000-00008D250000}"/>
    <cellStyle name="Normal 2 3 3 3 2 4" xfId="2189" xr:uid="{00000000-0005-0000-0000-00008E250000}"/>
    <cellStyle name="Normal 2 3 3 3 2 4 2" xfId="8708" xr:uid="{00000000-0005-0000-0000-00008F250000}"/>
    <cellStyle name="Normal 2 3 3 3 2 4 2 2" xfId="15971" xr:uid="{00000000-0005-0000-0000-000090250000}"/>
    <cellStyle name="Normal 2 3 3 3 2 4 2 2 2" xfId="32286" xr:uid="{00000000-0005-0000-0000-000091250000}"/>
    <cellStyle name="Normal 2 3 3 3 2 4 2 3" xfId="25321" xr:uid="{00000000-0005-0000-0000-000092250000}"/>
    <cellStyle name="Normal 2 3 3 3 2 4 3" xfId="12050" xr:uid="{00000000-0005-0000-0000-000093250000}"/>
    <cellStyle name="Normal 2 3 3 3 2 4 3 2" xfId="28625" xr:uid="{00000000-0005-0000-0000-000094250000}"/>
    <cellStyle name="Normal 2 3 3 3 2 4 4" xfId="5357" xr:uid="{00000000-0005-0000-0000-000095250000}"/>
    <cellStyle name="Normal 2 3 3 3 2 4 4 2" xfId="22021" xr:uid="{00000000-0005-0000-0000-000096250000}"/>
    <cellStyle name="Normal 2 3 3 3 2 4 5" xfId="18920" xr:uid="{00000000-0005-0000-0000-000097250000}"/>
    <cellStyle name="Normal 2 3 3 3 2 5" xfId="7088" xr:uid="{00000000-0005-0000-0000-000098250000}"/>
    <cellStyle name="Normal 2 3 3 3 2 5 2" xfId="14351" xr:uid="{00000000-0005-0000-0000-000099250000}"/>
    <cellStyle name="Normal 2 3 3 3 2 5 2 2" xfId="30666" xr:uid="{00000000-0005-0000-0000-00009A250000}"/>
    <cellStyle name="Normal 2 3 3 3 2 5 3" xfId="23701" xr:uid="{00000000-0005-0000-0000-00009B250000}"/>
    <cellStyle name="Normal 2 3 3 3 2 6" xfId="10403" xr:uid="{00000000-0005-0000-0000-00009C250000}"/>
    <cellStyle name="Normal 2 3 3 3 2 6 2" xfId="27001" xr:uid="{00000000-0005-0000-0000-00009D250000}"/>
    <cellStyle name="Normal 2 3 3 3 2 7" xfId="3793" xr:uid="{00000000-0005-0000-0000-00009E250000}"/>
    <cellStyle name="Normal 2 3 3 3 2 7 2" xfId="20516" xr:uid="{00000000-0005-0000-0000-00009F250000}"/>
    <cellStyle name="Normal 2 3 3 3 2 8" xfId="17862" xr:uid="{00000000-0005-0000-0000-0000A0250000}"/>
    <cellStyle name="Normal 2 3 3 3 3" xfId="1548" xr:uid="{00000000-0005-0000-0000-0000A1250000}"/>
    <cellStyle name="Normal 2 3 3 3 3 2" xfId="2194" xr:uid="{00000000-0005-0000-0000-0000A2250000}"/>
    <cellStyle name="Normal 2 3 3 3 3 2 2" xfId="6364" xr:uid="{00000000-0005-0000-0000-0000A3250000}"/>
    <cellStyle name="Normal 2 3 3 3 3 2 2 2" xfId="9715" xr:uid="{00000000-0005-0000-0000-0000A4250000}"/>
    <cellStyle name="Normal 2 3 3 3 3 2 2 2 2" xfId="16978" xr:uid="{00000000-0005-0000-0000-0000A5250000}"/>
    <cellStyle name="Normal 2 3 3 3 3 2 2 2 2 2" xfId="33293" xr:uid="{00000000-0005-0000-0000-0000A6250000}"/>
    <cellStyle name="Normal 2 3 3 3 3 2 2 2 3" xfId="26328" xr:uid="{00000000-0005-0000-0000-0000A7250000}"/>
    <cellStyle name="Normal 2 3 3 3 3 2 2 3" xfId="13057" xr:uid="{00000000-0005-0000-0000-0000A8250000}"/>
    <cellStyle name="Normal 2 3 3 3 3 2 2 3 2" xfId="29632" xr:uid="{00000000-0005-0000-0000-0000A9250000}"/>
    <cellStyle name="Normal 2 3 3 3 3 2 2 4" xfId="23028" xr:uid="{00000000-0005-0000-0000-0000AA250000}"/>
    <cellStyle name="Normal 2 3 3 3 3 2 3" xfId="8094" xr:uid="{00000000-0005-0000-0000-0000AB250000}"/>
    <cellStyle name="Normal 2 3 3 3 3 2 3 2" xfId="15357" xr:uid="{00000000-0005-0000-0000-0000AC250000}"/>
    <cellStyle name="Normal 2 3 3 3 3 2 3 2 2" xfId="31672" xr:uid="{00000000-0005-0000-0000-0000AD250000}"/>
    <cellStyle name="Normal 2 3 3 3 3 2 3 3" xfId="24707" xr:uid="{00000000-0005-0000-0000-0000AE250000}"/>
    <cellStyle name="Normal 2 3 3 3 3 2 4" xfId="11409" xr:uid="{00000000-0005-0000-0000-0000AF250000}"/>
    <cellStyle name="Normal 2 3 3 3 3 2 4 2" xfId="28007" xr:uid="{00000000-0005-0000-0000-0000B0250000}"/>
    <cellStyle name="Normal 2 3 3 3 3 2 5" xfId="3798" xr:uid="{00000000-0005-0000-0000-0000B1250000}"/>
    <cellStyle name="Normal 2 3 3 3 3 2 5 2" xfId="20521" xr:uid="{00000000-0005-0000-0000-0000B2250000}"/>
    <cellStyle name="Normal 2 3 3 3 3 2 6" xfId="18925" xr:uid="{00000000-0005-0000-0000-0000B3250000}"/>
    <cellStyle name="Normal 2 3 3 3 3 3" xfId="2193" xr:uid="{00000000-0005-0000-0000-0000B4250000}"/>
    <cellStyle name="Normal 2 3 3 3 3 3 2" xfId="8903" xr:uid="{00000000-0005-0000-0000-0000B5250000}"/>
    <cellStyle name="Normal 2 3 3 3 3 3 2 2" xfId="16166" xr:uid="{00000000-0005-0000-0000-0000B6250000}"/>
    <cellStyle name="Normal 2 3 3 3 3 3 2 2 2" xfId="32481" xr:uid="{00000000-0005-0000-0000-0000B7250000}"/>
    <cellStyle name="Normal 2 3 3 3 3 3 2 3" xfId="25516" xr:uid="{00000000-0005-0000-0000-0000B8250000}"/>
    <cellStyle name="Normal 2 3 3 3 3 3 3" xfId="12245" xr:uid="{00000000-0005-0000-0000-0000B9250000}"/>
    <cellStyle name="Normal 2 3 3 3 3 3 3 2" xfId="28820" xr:uid="{00000000-0005-0000-0000-0000BA250000}"/>
    <cellStyle name="Normal 2 3 3 3 3 3 4" xfId="5552" xr:uid="{00000000-0005-0000-0000-0000BB250000}"/>
    <cellStyle name="Normal 2 3 3 3 3 3 4 2" xfId="22216" xr:uid="{00000000-0005-0000-0000-0000BC250000}"/>
    <cellStyle name="Normal 2 3 3 3 3 3 5" xfId="18924" xr:uid="{00000000-0005-0000-0000-0000BD250000}"/>
    <cellStyle name="Normal 2 3 3 3 3 4" xfId="7282" xr:uid="{00000000-0005-0000-0000-0000BE250000}"/>
    <cellStyle name="Normal 2 3 3 3 3 4 2" xfId="14545" xr:uid="{00000000-0005-0000-0000-0000BF250000}"/>
    <cellStyle name="Normal 2 3 3 3 3 4 2 2" xfId="30860" xr:uid="{00000000-0005-0000-0000-0000C0250000}"/>
    <cellStyle name="Normal 2 3 3 3 3 4 3" xfId="23895" xr:uid="{00000000-0005-0000-0000-0000C1250000}"/>
    <cellStyle name="Normal 2 3 3 3 3 5" xfId="10597" xr:uid="{00000000-0005-0000-0000-0000C2250000}"/>
    <cellStyle name="Normal 2 3 3 3 3 5 2" xfId="27195" xr:uid="{00000000-0005-0000-0000-0000C3250000}"/>
    <cellStyle name="Normal 2 3 3 3 3 6" xfId="3797" xr:uid="{00000000-0005-0000-0000-0000C4250000}"/>
    <cellStyle name="Normal 2 3 3 3 3 6 2" xfId="20520" xr:uid="{00000000-0005-0000-0000-0000C5250000}"/>
    <cellStyle name="Normal 2 3 3 3 3 7" xfId="18283" xr:uid="{00000000-0005-0000-0000-0000C6250000}"/>
    <cellStyle name="Normal 2 3 3 3 4" xfId="2195" xr:uid="{00000000-0005-0000-0000-0000C7250000}"/>
    <cellStyle name="Normal 2 3 3 3 4 2" xfId="5958" xr:uid="{00000000-0005-0000-0000-0000C8250000}"/>
    <cellStyle name="Normal 2 3 3 3 4 2 2" xfId="9309" xr:uid="{00000000-0005-0000-0000-0000C9250000}"/>
    <cellStyle name="Normal 2 3 3 3 4 2 2 2" xfId="16572" xr:uid="{00000000-0005-0000-0000-0000CA250000}"/>
    <cellStyle name="Normal 2 3 3 3 4 2 2 2 2" xfId="32887" xr:uid="{00000000-0005-0000-0000-0000CB250000}"/>
    <cellStyle name="Normal 2 3 3 3 4 2 2 3" xfId="25922" xr:uid="{00000000-0005-0000-0000-0000CC250000}"/>
    <cellStyle name="Normal 2 3 3 3 4 2 3" xfId="12651" xr:uid="{00000000-0005-0000-0000-0000CD250000}"/>
    <cellStyle name="Normal 2 3 3 3 4 2 3 2" xfId="29226" xr:uid="{00000000-0005-0000-0000-0000CE250000}"/>
    <cellStyle name="Normal 2 3 3 3 4 2 4" xfId="22622" xr:uid="{00000000-0005-0000-0000-0000CF250000}"/>
    <cellStyle name="Normal 2 3 3 3 4 3" xfId="7688" xr:uid="{00000000-0005-0000-0000-0000D0250000}"/>
    <cellStyle name="Normal 2 3 3 3 4 3 2" xfId="14951" xr:uid="{00000000-0005-0000-0000-0000D1250000}"/>
    <cellStyle name="Normal 2 3 3 3 4 3 2 2" xfId="31266" xr:uid="{00000000-0005-0000-0000-0000D2250000}"/>
    <cellStyle name="Normal 2 3 3 3 4 3 3" xfId="24301" xr:uid="{00000000-0005-0000-0000-0000D3250000}"/>
    <cellStyle name="Normal 2 3 3 3 4 4" xfId="11003" xr:uid="{00000000-0005-0000-0000-0000D4250000}"/>
    <cellStyle name="Normal 2 3 3 3 4 4 2" xfId="27601" xr:uid="{00000000-0005-0000-0000-0000D5250000}"/>
    <cellStyle name="Normal 2 3 3 3 4 5" xfId="3799" xr:uid="{00000000-0005-0000-0000-0000D6250000}"/>
    <cellStyle name="Normal 2 3 3 3 4 5 2" xfId="20522" xr:uid="{00000000-0005-0000-0000-0000D7250000}"/>
    <cellStyle name="Normal 2 3 3 3 4 6" xfId="18926" xr:uid="{00000000-0005-0000-0000-0000D8250000}"/>
    <cellStyle name="Normal 2 3 3 3 5" xfId="2188" xr:uid="{00000000-0005-0000-0000-0000D9250000}"/>
    <cellStyle name="Normal 2 3 3 3 5 2" xfId="8609" xr:uid="{00000000-0005-0000-0000-0000DA250000}"/>
    <cellStyle name="Normal 2 3 3 3 5 2 2" xfId="15872" xr:uid="{00000000-0005-0000-0000-0000DB250000}"/>
    <cellStyle name="Normal 2 3 3 3 5 2 2 2" xfId="32187" xr:uid="{00000000-0005-0000-0000-0000DC250000}"/>
    <cellStyle name="Normal 2 3 3 3 5 2 3" xfId="25222" xr:uid="{00000000-0005-0000-0000-0000DD250000}"/>
    <cellStyle name="Normal 2 3 3 3 5 3" xfId="11951" xr:uid="{00000000-0005-0000-0000-0000DE250000}"/>
    <cellStyle name="Normal 2 3 3 3 5 3 2" xfId="28526" xr:uid="{00000000-0005-0000-0000-0000DF250000}"/>
    <cellStyle name="Normal 2 3 3 3 5 4" xfId="5258" xr:uid="{00000000-0005-0000-0000-0000E0250000}"/>
    <cellStyle name="Normal 2 3 3 3 5 4 2" xfId="21922" xr:uid="{00000000-0005-0000-0000-0000E1250000}"/>
    <cellStyle name="Normal 2 3 3 3 5 5" xfId="18919" xr:uid="{00000000-0005-0000-0000-0000E2250000}"/>
    <cellStyle name="Normal 2 3 3 3 6" xfId="6990" xr:uid="{00000000-0005-0000-0000-0000E3250000}"/>
    <cellStyle name="Normal 2 3 3 3 6 2" xfId="14253" xr:uid="{00000000-0005-0000-0000-0000E4250000}"/>
    <cellStyle name="Normal 2 3 3 3 6 2 2" xfId="30568" xr:uid="{00000000-0005-0000-0000-0000E5250000}"/>
    <cellStyle name="Normal 2 3 3 3 6 3" xfId="23603" xr:uid="{00000000-0005-0000-0000-0000E6250000}"/>
    <cellStyle name="Normal 2 3 3 3 7" xfId="10304" xr:uid="{00000000-0005-0000-0000-0000E7250000}"/>
    <cellStyle name="Normal 2 3 3 3 7 2" xfId="26903" xr:uid="{00000000-0005-0000-0000-0000E8250000}"/>
    <cellStyle name="Normal 2 3 3 3 8" xfId="3792" xr:uid="{00000000-0005-0000-0000-0000E9250000}"/>
    <cellStyle name="Normal 2 3 3 3 8 2" xfId="20515" xr:uid="{00000000-0005-0000-0000-0000EA250000}"/>
    <cellStyle name="Normal 2 3 3 3 9" xfId="17764" xr:uid="{00000000-0005-0000-0000-0000EB250000}"/>
    <cellStyle name="Normal 2 3 3 4" xfId="1122" xr:uid="{00000000-0005-0000-0000-0000EC250000}"/>
    <cellStyle name="Normal 2 3 3 4 2" xfId="1643" xr:uid="{00000000-0005-0000-0000-0000ED250000}"/>
    <cellStyle name="Normal 2 3 3 4 2 2" xfId="2198" xr:uid="{00000000-0005-0000-0000-0000EE250000}"/>
    <cellStyle name="Normal 2 3 3 4 2 2 2" xfId="6537" xr:uid="{00000000-0005-0000-0000-0000EF250000}"/>
    <cellStyle name="Normal 2 3 3 4 2 2 2 2" xfId="9888" xr:uid="{00000000-0005-0000-0000-0000F0250000}"/>
    <cellStyle name="Normal 2 3 3 4 2 2 2 2 2" xfId="17151" xr:uid="{00000000-0005-0000-0000-0000F1250000}"/>
    <cellStyle name="Normal 2 3 3 4 2 2 2 2 2 2" xfId="33466" xr:uid="{00000000-0005-0000-0000-0000F2250000}"/>
    <cellStyle name="Normal 2 3 3 4 2 2 2 2 3" xfId="26501" xr:uid="{00000000-0005-0000-0000-0000F3250000}"/>
    <cellStyle name="Normal 2 3 3 4 2 2 2 3" xfId="13230" xr:uid="{00000000-0005-0000-0000-0000F4250000}"/>
    <cellStyle name="Normal 2 3 3 4 2 2 2 3 2" xfId="29805" xr:uid="{00000000-0005-0000-0000-0000F5250000}"/>
    <cellStyle name="Normal 2 3 3 4 2 2 2 4" xfId="23201" xr:uid="{00000000-0005-0000-0000-0000F6250000}"/>
    <cellStyle name="Normal 2 3 3 4 2 2 3" xfId="8267" xr:uid="{00000000-0005-0000-0000-0000F7250000}"/>
    <cellStyle name="Normal 2 3 3 4 2 2 3 2" xfId="15530" xr:uid="{00000000-0005-0000-0000-0000F8250000}"/>
    <cellStyle name="Normal 2 3 3 4 2 2 3 2 2" xfId="31845" xr:uid="{00000000-0005-0000-0000-0000F9250000}"/>
    <cellStyle name="Normal 2 3 3 4 2 2 3 3" xfId="24880" xr:uid="{00000000-0005-0000-0000-0000FA250000}"/>
    <cellStyle name="Normal 2 3 3 4 2 2 4" xfId="11582" xr:uid="{00000000-0005-0000-0000-0000FB250000}"/>
    <cellStyle name="Normal 2 3 3 4 2 2 4 2" xfId="28180" xr:uid="{00000000-0005-0000-0000-0000FC250000}"/>
    <cellStyle name="Normal 2 3 3 4 2 2 5" xfId="3802" xr:uid="{00000000-0005-0000-0000-0000FD250000}"/>
    <cellStyle name="Normal 2 3 3 4 2 2 5 2" xfId="20525" xr:uid="{00000000-0005-0000-0000-0000FE250000}"/>
    <cellStyle name="Normal 2 3 3 4 2 2 6" xfId="18929" xr:uid="{00000000-0005-0000-0000-0000FF250000}"/>
    <cellStyle name="Normal 2 3 3 4 2 3" xfId="2197" xr:uid="{00000000-0005-0000-0000-000000260000}"/>
    <cellStyle name="Normal 2 3 3 4 2 3 2" xfId="9112" xr:uid="{00000000-0005-0000-0000-000001260000}"/>
    <cellStyle name="Normal 2 3 3 4 2 3 2 2" xfId="16375" xr:uid="{00000000-0005-0000-0000-000002260000}"/>
    <cellStyle name="Normal 2 3 3 4 2 3 2 2 2" xfId="32690" xr:uid="{00000000-0005-0000-0000-000003260000}"/>
    <cellStyle name="Normal 2 3 3 4 2 3 2 3" xfId="25725" xr:uid="{00000000-0005-0000-0000-000004260000}"/>
    <cellStyle name="Normal 2 3 3 4 2 3 3" xfId="12454" xr:uid="{00000000-0005-0000-0000-000005260000}"/>
    <cellStyle name="Normal 2 3 3 4 2 3 3 2" xfId="29029" xr:uid="{00000000-0005-0000-0000-000006260000}"/>
    <cellStyle name="Normal 2 3 3 4 2 3 4" xfId="5761" xr:uid="{00000000-0005-0000-0000-000007260000}"/>
    <cellStyle name="Normal 2 3 3 4 2 3 4 2" xfId="22425" xr:uid="{00000000-0005-0000-0000-000008260000}"/>
    <cellStyle name="Normal 2 3 3 4 2 3 5" xfId="18928" xr:uid="{00000000-0005-0000-0000-000009260000}"/>
    <cellStyle name="Normal 2 3 3 4 2 4" xfId="7491" xr:uid="{00000000-0005-0000-0000-00000A260000}"/>
    <cellStyle name="Normal 2 3 3 4 2 4 2" xfId="14754" xr:uid="{00000000-0005-0000-0000-00000B260000}"/>
    <cellStyle name="Normal 2 3 3 4 2 4 2 2" xfId="31069" xr:uid="{00000000-0005-0000-0000-00000C260000}"/>
    <cellStyle name="Normal 2 3 3 4 2 4 3" xfId="24104" xr:uid="{00000000-0005-0000-0000-00000D260000}"/>
    <cellStyle name="Normal 2 3 3 4 2 5" xfId="10806" xr:uid="{00000000-0005-0000-0000-00000E260000}"/>
    <cellStyle name="Normal 2 3 3 4 2 5 2" xfId="27404" xr:uid="{00000000-0005-0000-0000-00000F260000}"/>
    <cellStyle name="Normal 2 3 3 4 2 6" xfId="3801" xr:uid="{00000000-0005-0000-0000-000010260000}"/>
    <cellStyle name="Normal 2 3 3 4 2 6 2" xfId="20524" xr:uid="{00000000-0005-0000-0000-000011260000}"/>
    <cellStyle name="Normal 2 3 3 4 2 7" xfId="18378" xr:uid="{00000000-0005-0000-0000-000012260000}"/>
    <cellStyle name="Normal 2 3 3 4 3" xfId="2199" xr:uid="{00000000-0005-0000-0000-000013260000}"/>
    <cellStyle name="Normal 2 3 3 4 3 2" xfId="6167" xr:uid="{00000000-0005-0000-0000-000014260000}"/>
    <cellStyle name="Normal 2 3 3 4 3 2 2" xfId="9518" xr:uid="{00000000-0005-0000-0000-000015260000}"/>
    <cellStyle name="Normal 2 3 3 4 3 2 2 2" xfId="16781" xr:uid="{00000000-0005-0000-0000-000016260000}"/>
    <cellStyle name="Normal 2 3 3 4 3 2 2 2 2" xfId="33096" xr:uid="{00000000-0005-0000-0000-000017260000}"/>
    <cellStyle name="Normal 2 3 3 4 3 2 2 3" xfId="26131" xr:uid="{00000000-0005-0000-0000-000018260000}"/>
    <cellStyle name="Normal 2 3 3 4 3 2 3" xfId="12860" xr:uid="{00000000-0005-0000-0000-000019260000}"/>
    <cellStyle name="Normal 2 3 3 4 3 2 3 2" xfId="29435" xr:uid="{00000000-0005-0000-0000-00001A260000}"/>
    <cellStyle name="Normal 2 3 3 4 3 2 4" xfId="22831" xr:uid="{00000000-0005-0000-0000-00001B260000}"/>
    <cellStyle name="Normal 2 3 3 4 3 3" xfId="7897" xr:uid="{00000000-0005-0000-0000-00001C260000}"/>
    <cellStyle name="Normal 2 3 3 4 3 3 2" xfId="15160" xr:uid="{00000000-0005-0000-0000-00001D260000}"/>
    <cellStyle name="Normal 2 3 3 4 3 3 2 2" xfId="31475" xr:uid="{00000000-0005-0000-0000-00001E260000}"/>
    <cellStyle name="Normal 2 3 3 4 3 3 3" xfId="24510" xr:uid="{00000000-0005-0000-0000-00001F260000}"/>
    <cellStyle name="Normal 2 3 3 4 3 4" xfId="11212" xr:uid="{00000000-0005-0000-0000-000020260000}"/>
    <cellStyle name="Normal 2 3 3 4 3 4 2" xfId="27810" xr:uid="{00000000-0005-0000-0000-000021260000}"/>
    <cellStyle name="Normal 2 3 3 4 3 5" xfId="3803" xr:uid="{00000000-0005-0000-0000-000022260000}"/>
    <cellStyle name="Normal 2 3 3 4 3 5 2" xfId="20526" xr:uid="{00000000-0005-0000-0000-000023260000}"/>
    <cellStyle name="Normal 2 3 3 4 3 6" xfId="18930" xr:uid="{00000000-0005-0000-0000-000024260000}"/>
    <cellStyle name="Normal 2 3 3 4 4" xfId="2196" xr:uid="{00000000-0005-0000-0000-000025260000}"/>
    <cellStyle name="Normal 2 3 3 4 4 2" xfId="8705" xr:uid="{00000000-0005-0000-0000-000026260000}"/>
    <cellStyle name="Normal 2 3 3 4 4 2 2" xfId="15968" xr:uid="{00000000-0005-0000-0000-000027260000}"/>
    <cellStyle name="Normal 2 3 3 4 4 2 2 2" xfId="32283" xr:uid="{00000000-0005-0000-0000-000028260000}"/>
    <cellStyle name="Normal 2 3 3 4 4 2 3" xfId="25318" xr:uid="{00000000-0005-0000-0000-000029260000}"/>
    <cellStyle name="Normal 2 3 3 4 4 3" xfId="12047" xr:uid="{00000000-0005-0000-0000-00002A260000}"/>
    <cellStyle name="Normal 2 3 3 4 4 3 2" xfId="28622" xr:uid="{00000000-0005-0000-0000-00002B260000}"/>
    <cellStyle name="Normal 2 3 3 4 4 4" xfId="5354" xr:uid="{00000000-0005-0000-0000-00002C260000}"/>
    <cellStyle name="Normal 2 3 3 4 4 4 2" xfId="22018" xr:uid="{00000000-0005-0000-0000-00002D260000}"/>
    <cellStyle name="Normal 2 3 3 4 4 5" xfId="18927" xr:uid="{00000000-0005-0000-0000-00002E260000}"/>
    <cellStyle name="Normal 2 3 3 4 5" xfId="7085" xr:uid="{00000000-0005-0000-0000-00002F260000}"/>
    <cellStyle name="Normal 2 3 3 4 5 2" xfId="14348" xr:uid="{00000000-0005-0000-0000-000030260000}"/>
    <cellStyle name="Normal 2 3 3 4 5 2 2" xfId="30663" xr:uid="{00000000-0005-0000-0000-000031260000}"/>
    <cellStyle name="Normal 2 3 3 4 5 3" xfId="23698" xr:uid="{00000000-0005-0000-0000-000032260000}"/>
    <cellStyle name="Normal 2 3 3 4 6" xfId="10400" xr:uid="{00000000-0005-0000-0000-000033260000}"/>
    <cellStyle name="Normal 2 3 3 4 6 2" xfId="26998" xr:uid="{00000000-0005-0000-0000-000034260000}"/>
    <cellStyle name="Normal 2 3 3 4 7" xfId="3800" xr:uid="{00000000-0005-0000-0000-000035260000}"/>
    <cellStyle name="Normal 2 3 3 4 7 2" xfId="20523" xr:uid="{00000000-0005-0000-0000-000036260000}"/>
    <cellStyle name="Normal 2 3 3 4 8" xfId="17859" xr:uid="{00000000-0005-0000-0000-000037260000}"/>
    <cellStyle name="Normal 2 3 3 5" xfId="1442" xr:uid="{00000000-0005-0000-0000-000038260000}"/>
    <cellStyle name="Normal 2 3 3 5 2" xfId="2201" xr:uid="{00000000-0005-0000-0000-000039260000}"/>
    <cellStyle name="Normal 2 3 3 5 2 2" xfId="6361" xr:uid="{00000000-0005-0000-0000-00003A260000}"/>
    <cellStyle name="Normal 2 3 3 5 2 2 2" xfId="9712" xr:uid="{00000000-0005-0000-0000-00003B260000}"/>
    <cellStyle name="Normal 2 3 3 5 2 2 2 2" xfId="16975" xr:uid="{00000000-0005-0000-0000-00003C260000}"/>
    <cellStyle name="Normal 2 3 3 5 2 2 2 2 2" xfId="33290" xr:uid="{00000000-0005-0000-0000-00003D260000}"/>
    <cellStyle name="Normal 2 3 3 5 2 2 2 3" xfId="26325" xr:uid="{00000000-0005-0000-0000-00003E260000}"/>
    <cellStyle name="Normal 2 3 3 5 2 2 3" xfId="13054" xr:uid="{00000000-0005-0000-0000-00003F260000}"/>
    <cellStyle name="Normal 2 3 3 5 2 2 3 2" xfId="29629" xr:uid="{00000000-0005-0000-0000-000040260000}"/>
    <cellStyle name="Normal 2 3 3 5 2 2 4" xfId="23025" xr:uid="{00000000-0005-0000-0000-000041260000}"/>
    <cellStyle name="Normal 2 3 3 5 2 3" xfId="8091" xr:uid="{00000000-0005-0000-0000-000042260000}"/>
    <cellStyle name="Normal 2 3 3 5 2 3 2" xfId="15354" xr:uid="{00000000-0005-0000-0000-000043260000}"/>
    <cellStyle name="Normal 2 3 3 5 2 3 2 2" xfId="31669" xr:uid="{00000000-0005-0000-0000-000044260000}"/>
    <cellStyle name="Normal 2 3 3 5 2 3 3" xfId="24704" xr:uid="{00000000-0005-0000-0000-000045260000}"/>
    <cellStyle name="Normal 2 3 3 5 2 4" xfId="11406" xr:uid="{00000000-0005-0000-0000-000046260000}"/>
    <cellStyle name="Normal 2 3 3 5 2 4 2" xfId="28004" xr:uid="{00000000-0005-0000-0000-000047260000}"/>
    <cellStyle name="Normal 2 3 3 5 2 5" xfId="3805" xr:uid="{00000000-0005-0000-0000-000048260000}"/>
    <cellStyle name="Normal 2 3 3 5 2 5 2" xfId="20528" xr:uid="{00000000-0005-0000-0000-000049260000}"/>
    <cellStyle name="Normal 2 3 3 5 2 6" xfId="18932" xr:uid="{00000000-0005-0000-0000-00004A260000}"/>
    <cellStyle name="Normal 2 3 3 5 3" xfId="2200" xr:uid="{00000000-0005-0000-0000-00004B260000}"/>
    <cellStyle name="Normal 2 3 3 5 3 2" xfId="8900" xr:uid="{00000000-0005-0000-0000-00004C260000}"/>
    <cellStyle name="Normal 2 3 3 5 3 2 2" xfId="16163" xr:uid="{00000000-0005-0000-0000-00004D260000}"/>
    <cellStyle name="Normal 2 3 3 5 3 2 2 2" xfId="32478" xr:uid="{00000000-0005-0000-0000-00004E260000}"/>
    <cellStyle name="Normal 2 3 3 5 3 2 3" xfId="25513" xr:uid="{00000000-0005-0000-0000-00004F260000}"/>
    <cellStyle name="Normal 2 3 3 5 3 3" xfId="12242" xr:uid="{00000000-0005-0000-0000-000050260000}"/>
    <cellStyle name="Normal 2 3 3 5 3 3 2" xfId="28817" xr:uid="{00000000-0005-0000-0000-000051260000}"/>
    <cellStyle name="Normal 2 3 3 5 3 4" xfId="5549" xr:uid="{00000000-0005-0000-0000-000052260000}"/>
    <cellStyle name="Normal 2 3 3 5 3 4 2" xfId="22213" xr:uid="{00000000-0005-0000-0000-000053260000}"/>
    <cellStyle name="Normal 2 3 3 5 3 5" xfId="18931" xr:uid="{00000000-0005-0000-0000-000054260000}"/>
    <cellStyle name="Normal 2 3 3 5 4" xfId="7279" xr:uid="{00000000-0005-0000-0000-000055260000}"/>
    <cellStyle name="Normal 2 3 3 5 4 2" xfId="14542" xr:uid="{00000000-0005-0000-0000-000056260000}"/>
    <cellStyle name="Normal 2 3 3 5 4 2 2" xfId="30857" xr:uid="{00000000-0005-0000-0000-000057260000}"/>
    <cellStyle name="Normal 2 3 3 5 4 3" xfId="23892" xr:uid="{00000000-0005-0000-0000-000058260000}"/>
    <cellStyle name="Normal 2 3 3 5 5" xfId="10594" xr:uid="{00000000-0005-0000-0000-000059260000}"/>
    <cellStyle name="Normal 2 3 3 5 5 2" xfId="27192" xr:uid="{00000000-0005-0000-0000-00005A260000}"/>
    <cellStyle name="Normal 2 3 3 5 6" xfId="3804" xr:uid="{00000000-0005-0000-0000-00005B260000}"/>
    <cellStyle name="Normal 2 3 3 5 6 2" xfId="20527" xr:uid="{00000000-0005-0000-0000-00005C260000}"/>
    <cellStyle name="Normal 2 3 3 5 7" xfId="18177" xr:uid="{00000000-0005-0000-0000-00005D260000}"/>
    <cellStyle name="Normal 2 3 3 6" xfId="2202" xr:uid="{00000000-0005-0000-0000-00005E260000}"/>
    <cellStyle name="Normal 2 3 3 6 2" xfId="5955" xr:uid="{00000000-0005-0000-0000-00005F260000}"/>
    <cellStyle name="Normal 2 3 3 6 2 2" xfId="9306" xr:uid="{00000000-0005-0000-0000-000060260000}"/>
    <cellStyle name="Normal 2 3 3 6 2 2 2" xfId="16569" xr:uid="{00000000-0005-0000-0000-000061260000}"/>
    <cellStyle name="Normal 2 3 3 6 2 2 2 2" xfId="32884" xr:uid="{00000000-0005-0000-0000-000062260000}"/>
    <cellStyle name="Normal 2 3 3 6 2 2 3" xfId="25919" xr:uid="{00000000-0005-0000-0000-000063260000}"/>
    <cellStyle name="Normal 2 3 3 6 2 3" xfId="12648" xr:uid="{00000000-0005-0000-0000-000064260000}"/>
    <cellStyle name="Normal 2 3 3 6 2 3 2" xfId="29223" xr:uid="{00000000-0005-0000-0000-000065260000}"/>
    <cellStyle name="Normal 2 3 3 6 2 4" xfId="22619" xr:uid="{00000000-0005-0000-0000-000066260000}"/>
    <cellStyle name="Normal 2 3 3 6 3" xfId="7685" xr:uid="{00000000-0005-0000-0000-000067260000}"/>
    <cellStyle name="Normal 2 3 3 6 3 2" xfId="14948" xr:uid="{00000000-0005-0000-0000-000068260000}"/>
    <cellStyle name="Normal 2 3 3 6 3 2 2" xfId="31263" xr:uid="{00000000-0005-0000-0000-000069260000}"/>
    <cellStyle name="Normal 2 3 3 6 3 3" xfId="24298" xr:uid="{00000000-0005-0000-0000-00006A260000}"/>
    <cellStyle name="Normal 2 3 3 6 4" xfId="11000" xr:uid="{00000000-0005-0000-0000-00006B260000}"/>
    <cellStyle name="Normal 2 3 3 6 4 2" xfId="27598" xr:uid="{00000000-0005-0000-0000-00006C260000}"/>
    <cellStyle name="Normal 2 3 3 6 5" xfId="3806" xr:uid="{00000000-0005-0000-0000-00006D260000}"/>
    <cellStyle name="Normal 2 3 3 6 5 2" xfId="20529" xr:uid="{00000000-0005-0000-0000-00006E260000}"/>
    <cellStyle name="Normal 2 3 3 6 6" xfId="18933" xr:uid="{00000000-0005-0000-0000-00006F260000}"/>
    <cellStyle name="Normal 2 3 3 7" xfId="2171" xr:uid="{00000000-0005-0000-0000-000070260000}"/>
    <cellStyle name="Normal 2 3 3 7 2" xfId="8503" xr:uid="{00000000-0005-0000-0000-000071260000}"/>
    <cellStyle name="Normal 2 3 3 7 2 2" xfId="15766" xr:uid="{00000000-0005-0000-0000-000072260000}"/>
    <cellStyle name="Normal 2 3 3 7 2 2 2" xfId="32081" xr:uid="{00000000-0005-0000-0000-000073260000}"/>
    <cellStyle name="Normal 2 3 3 7 2 3" xfId="25116" xr:uid="{00000000-0005-0000-0000-000074260000}"/>
    <cellStyle name="Normal 2 3 3 7 3" xfId="11845" xr:uid="{00000000-0005-0000-0000-000075260000}"/>
    <cellStyle name="Normal 2 3 3 7 3 2" xfId="28420" xr:uid="{00000000-0005-0000-0000-000076260000}"/>
    <cellStyle name="Normal 2 3 3 7 4" xfId="5152" xr:uid="{00000000-0005-0000-0000-000077260000}"/>
    <cellStyle name="Normal 2 3 3 7 4 2" xfId="21816" xr:uid="{00000000-0005-0000-0000-000078260000}"/>
    <cellStyle name="Normal 2 3 3 7 5" xfId="18902" xr:uid="{00000000-0005-0000-0000-000079260000}"/>
    <cellStyle name="Normal 2 3 3 8" xfId="6884" xr:uid="{00000000-0005-0000-0000-00007A260000}"/>
    <cellStyle name="Normal 2 3 3 8 2" xfId="14147" xr:uid="{00000000-0005-0000-0000-00007B260000}"/>
    <cellStyle name="Normal 2 3 3 8 2 2" xfId="30462" xr:uid="{00000000-0005-0000-0000-00007C260000}"/>
    <cellStyle name="Normal 2 3 3 8 3" xfId="23497" xr:uid="{00000000-0005-0000-0000-00007D260000}"/>
    <cellStyle name="Normal 2 3 3 9" xfId="10198" xr:uid="{00000000-0005-0000-0000-00007E260000}"/>
    <cellStyle name="Normal 2 3 3 9 2" xfId="26797" xr:uid="{00000000-0005-0000-0000-00007F260000}"/>
    <cellStyle name="Normal 2 3 4" xfId="899" xr:uid="{00000000-0005-0000-0000-000080260000}"/>
    <cellStyle name="Normal 2 3 4 10" xfId="17677" xr:uid="{00000000-0005-0000-0000-000081260000}"/>
    <cellStyle name="Normal 2 3 4 2" xfId="1006" xr:uid="{00000000-0005-0000-0000-000082260000}"/>
    <cellStyle name="Normal 2 3 4 2 2" xfId="1127" xr:uid="{00000000-0005-0000-0000-000083260000}"/>
    <cellStyle name="Normal 2 3 4 2 2 2" xfId="1648" xr:uid="{00000000-0005-0000-0000-000084260000}"/>
    <cellStyle name="Normal 2 3 4 2 2 2 2" xfId="2207" xr:uid="{00000000-0005-0000-0000-000085260000}"/>
    <cellStyle name="Normal 2 3 4 2 2 2 2 2" xfId="6542" xr:uid="{00000000-0005-0000-0000-000086260000}"/>
    <cellStyle name="Normal 2 3 4 2 2 2 2 2 2" xfId="9893" xr:uid="{00000000-0005-0000-0000-000087260000}"/>
    <cellStyle name="Normal 2 3 4 2 2 2 2 2 2 2" xfId="17156" xr:uid="{00000000-0005-0000-0000-000088260000}"/>
    <cellStyle name="Normal 2 3 4 2 2 2 2 2 2 2 2" xfId="33471" xr:uid="{00000000-0005-0000-0000-000089260000}"/>
    <cellStyle name="Normal 2 3 4 2 2 2 2 2 2 3" xfId="26506" xr:uid="{00000000-0005-0000-0000-00008A260000}"/>
    <cellStyle name="Normal 2 3 4 2 2 2 2 2 3" xfId="13235" xr:uid="{00000000-0005-0000-0000-00008B260000}"/>
    <cellStyle name="Normal 2 3 4 2 2 2 2 2 3 2" xfId="29810" xr:uid="{00000000-0005-0000-0000-00008C260000}"/>
    <cellStyle name="Normal 2 3 4 2 2 2 2 2 4" xfId="23206" xr:uid="{00000000-0005-0000-0000-00008D260000}"/>
    <cellStyle name="Normal 2 3 4 2 2 2 2 3" xfId="8272" xr:uid="{00000000-0005-0000-0000-00008E260000}"/>
    <cellStyle name="Normal 2 3 4 2 2 2 2 3 2" xfId="15535" xr:uid="{00000000-0005-0000-0000-00008F260000}"/>
    <cellStyle name="Normal 2 3 4 2 2 2 2 3 2 2" xfId="31850" xr:uid="{00000000-0005-0000-0000-000090260000}"/>
    <cellStyle name="Normal 2 3 4 2 2 2 2 3 3" xfId="24885" xr:uid="{00000000-0005-0000-0000-000091260000}"/>
    <cellStyle name="Normal 2 3 4 2 2 2 2 4" xfId="11587" xr:uid="{00000000-0005-0000-0000-000092260000}"/>
    <cellStyle name="Normal 2 3 4 2 2 2 2 4 2" xfId="28185" xr:uid="{00000000-0005-0000-0000-000093260000}"/>
    <cellStyle name="Normal 2 3 4 2 2 2 2 5" xfId="3811" xr:uid="{00000000-0005-0000-0000-000094260000}"/>
    <cellStyle name="Normal 2 3 4 2 2 2 2 5 2" xfId="20534" xr:uid="{00000000-0005-0000-0000-000095260000}"/>
    <cellStyle name="Normal 2 3 4 2 2 2 2 6" xfId="18938" xr:uid="{00000000-0005-0000-0000-000096260000}"/>
    <cellStyle name="Normal 2 3 4 2 2 2 3" xfId="2206" xr:uid="{00000000-0005-0000-0000-000097260000}"/>
    <cellStyle name="Normal 2 3 4 2 2 2 3 2" xfId="9117" xr:uid="{00000000-0005-0000-0000-000098260000}"/>
    <cellStyle name="Normal 2 3 4 2 2 2 3 2 2" xfId="16380" xr:uid="{00000000-0005-0000-0000-000099260000}"/>
    <cellStyle name="Normal 2 3 4 2 2 2 3 2 2 2" xfId="32695" xr:uid="{00000000-0005-0000-0000-00009A260000}"/>
    <cellStyle name="Normal 2 3 4 2 2 2 3 2 3" xfId="25730" xr:uid="{00000000-0005-0000-0000-00009B260000}"/>
    <cellStyle name="Normal 2 3 4 2 2 2 3 3" xfId="12459" xr:uid="{00000000-0005-0000-0000-00009C260000}"/>
    <cellStyle name="Normal 2 3 4 2 2 2 3 3 2" xfId="29034" xr:uid="{00000000-0005-0000-0000-00009D260000}"/>
    <cellStyle name="Normal 2 3 4 2 2 2 3 4" xfId="5766" xr:uid="{00000000-0005-0000-0000-00009E260000}"/>
    <cellStyle name="Normal 2 3 4 2 2 2 3 4 2" xfId="22430" xr:uid="{00000000-0005-0000-0000-00009F260000}"/>
    <cellStyle name="Normal 2 3 4 2 2 2 3 5" xfId="18937" xr:uid="{00000000-0005-0000-0000-0000A0260000}"/>
    <cellStyle name="Normal 2 3 4 2 2 2 4" xfId="7496" xr:uid="{00000000-0005-0000-0000-0000A1260000}"/>
    <cellStyle name="Normal 2 3 4 2 2 2 4 2" xfId="14759" xr:uid="{00000000-0005-0000-0000-0000A2260000}"/>
    <cellStyle name="Normal 2 3 4 2 2 2 4 2 2" xfId="31074" xr:uid="{00000000-0005-0000-0000-0000A3260000}"/>
    <cellStyle name="Normal 2 3 4 2 2 2 4 3" xfId="24109" xr:uid="{00000000-0005-0000-0000-0000A4260000}"/>
    <cellStyle name="Normal 2 3 4 2 2 2 5" xfId="10811" xr:uid="{00000000-0005-0000-0000-0000A5260000}"/>
    <cellStyle name="Normal 2 3 4 2 2 2 5 2" xfId="27409" xr:uid="{00000000-0005-0000-0000-0000A6260000}"/>
    <cellStyle name="Normal 2 3 4 2 2 2 6" xfId="3810" xr:uid="{00000000-0005-0000-0000-0000A7260000}"/>
    <cellStyle name="Normal 2 3 4 2 2 2 6 2" xfId="20533" xr:uid="{00000000-0005-0000-0000-0000A8260000}"/>
    <cellStyle name="Normal 2 3 4 2 2 2 7" xfId="18383" xr:uid="{00000000-0005-0000-0000-0000A9260000}"/>
    <cellStyle name="Normal 2 3 4 2 2 3" xfId="2208" xr:uid="{00000000-0005-0000-0000-0000AA260000}"/>
    <cellStyle name="Normal 2 3 4 2 2 3 2" xfId="6172" xr:uid="{00000000-0005-0000-0000-0000AB260000}"/>
    <cellStyle name="Normal 2 3 4 2 2 3 2 2" xfId="9523" xr:uid="{00000000-0005-0000-0000-0000AC260000}"/>
    <cellStyle name="Normal 2 3 4 2 2 3 2 2 2" xfId="16786" xr:uid="{00000000-0005-0000-0000-0000AD260000}"/>
    <cellStyle name="Normal 2 3 4 2 2 3 2 2 2 2" xfId="33101" xr:uid="{00000000-0005-0000-0000-0000AE260000}"/>
    <cellStyle name="Normal 2 3 4 2 2 3 2 2 3" xfId="26136" xr:uid="{00000000-0005-0000-0000-0000AF260000}"/>
    <cellStyle name="Normal 2 3 4 2 2 3 2 3" xfId="12865" xr:uid="{00000000-0005-0000-0000-0000B0260000}"/>
    <cellStyle name="Normal 2 3 4 2 2 3 2 3 2" xfId="29440" xr:uid="{00000000-0005-0000-0000-0000B1260000}"/>
    <cellStyle name="Normal 2 3 4 2 2 3 2 4" xfId="22836" xr:uid="{00000000-0005-0000-0000-0000B2260000}"/>
    <cellStyle name="Normal 2 3 4 2 2 3 3" xfId="7902" xr:uid="{00000000-0005-0000-0000-0000B3260000}"/>
    <cellStyle name="Normal 2 3 4 2 2 3 3 2" xfId="15165" xr:uid="{00000000-0005-0000-0000-0000B4260000}"/>
    <cellStyle name="Normal 2 3 4 2 2 3 3 2 2" xfId="31480" xr:uid="{00000000-0005-0000-0000-0000B5260000}"/>
    <cellStyle name="Normal 2 3 4 2 2 3 3 3" xfId="24515" xr:uid="{00000000-0005-0000-0000-0000B6260000}"/>
    <cellStyle name="Normal 2 3 4 2 2 3 4" xfId="11217" xr:uid="{00000000-0005-0000-0000-0000B7260000}"/>
    <cellStyle name="Normal 2 3 4 2 2 3 4 2" xfId="27815" xr:uid="{00000000-0005-0000-0000-0000B8260000}"/>
    <cellStyle name="Normal 2 3 4 2 2 3 5" xfId="3812" xr:uid="{00000000-0005-0000-0000-0000B9260000}"/>
    <cellStyle name="Normal 2 3 4 2 2 3 5 2" xfId="20535" xr:uid="{00000000-0005-0000-0000-0000BA260000}"/>
    <cellStyle name="Normal 2 3 4 2 2 3 6" xfId="18939" xr:uid="{00000000-0005-0000-0000-0000BB260000}"/>
    <cellStyle name="Normal 2 3 4 2 2 4" xfId="2205" xr:uid="{00000000-0005-0000-0000-0000BC260000}"/>
    <cellStyle name="Normal 2 3 4 2 2 4 2" xfId="8710" xr:uid="{00000000-0005-0000-0000-0000BD260000}"/>
    <cellStyle name="Normal 2 3 4 2 2 4 2 2" xfId="15973" xr:uid="{00000000-0005-0000-0000-0000BE260000}"/>
    <cellStyle name="Normal 2 3 4 2 2 4 2 2 2" xfId="32288" xr:uid="{00000000-0005-0000-0000-0000BF260000}"/>
    <cellStyle name="Normal 2 3 4 2 2 4 2 3" xfId="25323" xr:uid="{00000000-0005-0000-0000-0000C0260000}"/>
    <cellStyle name="Normal 2 3 4 2 2 4 3" xfId="12052" xr:uid="{00000000-0005-0000-0000-0000C1260000}"/>
    <cellStyle name="Normal 2 3 4 2 2 4 3 2" xfId="28627" xr:uid="{00000000-0005-0000-0000-0000C2260000}"/>
    <cellStyle name="Normal 2 3 4 2 2 4 4" xfId="5359" xr:uid="{00000000-0005-0000-0000-0000C3260000}"/>
    <cellStyle name="Normal 2 3 4 2 2 4 4 2" xfId="22023" xr:uid="{00000000-0005-0000-0000-0000C4260000}"/>
    <cellStyle name="Normal 2 3 4 2 2 4 5" xfId="18936" xr:uid="{00000000-0005-0000-0000-0000C5260000}"/>
    <cellStyle name="Normal 2 3 4 2 2 5" xfId="7090" xr:uid="{00000000-0005-0000-0000-0000C6260000}"/>
    <cellStyle name="Normal 2 3 4 2 2 5 2" xfId="14353" xr:uid="{00000000-0005-0000-0000-0000C7260000}"/>
    <cellStyle name="Normal 2 3 4 2 2 5 2 2" xfId="30668" xr:uid="{00000000-0005-0000-0000-0000C8260000}"/>
    <cellStyle name="Normal 2 3 4 2 2 5 3" xfId="23703" xr:uid="{00000000-0005-0000-0000-0000C9260000}"/>
    <cellStyle name="Normal 2 3 4 2 2 6" xfId="10405" xr:uid="{00000000-0005-0000-0000-0000CA260000}"/>
    <cellStyle name="Normal 2 3 4 2 2 6 2" xfId="27003" xr:uid="{00000000-0005-0000-0000-0000CB260000}"/>
    <cellStyle name="Normal 2 3 4 2 2 7" xfId="3809" xr:uid="{00000000-0005-0000-0000-0000CC260000}"/>
    <cellStyle name="Normal 2 3 4 2 2 7 2" xfId="20532" xr:uid="{00000000-0005-0000-0000-0000CD260000}"/>
    <cellStyle name="Normal 2 3 4 2 2 8" xfId="17864" xr:uid="{00000000-0005-0000-0000-0000CE260000}"/>
    <cellStyle name="Normal 2 3 4 2 3" xfId="1567" xr:uid="{00000000-0005-0000-0000-0000CF260000}"/>
    <cellStyle name="Normal 2 3 4 2 3 2" xfId="2210" xr:uid="{00000000-0005-0000-0000-0000D0260000}"/>
    <cellStyle name="Normal 2 3 4 2 3 2 2" xfId="6366" xr:uid="{00000000-0005-0000-0000-0000D1260000}"/>
    <cellStyle name="Normal 2 3 4 2 3 2 2 2" xfId="9717" xr:uid="{00000000-0005-0000-0000-0000D2260000}"/>
    <cellStyle name="Normal 2 3 4 2 3 2 2 2 2" xfId="16980" xr:uid="{00000000-0005-0000-0000-0000D3260000}"/>
    <cellStyle name="Normal 2 3 4 2 3 2 2 2 2 2" xfId="33295" xr:uid="{00000000-0005-0000-0000-0000D4260000}"/>
    <cellStyle name="Normal 2 3 4 2 3 2 2 2 3" xfId="26330" xr:uid="{00000000-0005-0000-0000-0000D5260000}"/>
    <cellStyle name="Normal 2 3 4 2 3 2 2 3" xfId="13059" xr:uid="{00000000-0005-0000-0000-0000D6260000}"/>
    <cellStyle name="Normal 2 3 4 2 3 2 2 3 2" xfId="29634" xr:uid="{00000000-0005-0000-0000-0000D7260000}"/>
    <cellStyle name="Normal 2 3 4 2 3 2 2 4" xfId="23030" xr:uid="{00000000-0005-0000-0000-0000D8260000}"/>
    <cellStyle name="Normal 2 3 4 2 3 2 3" xfId="8096" xr:uid="{00000000-0005-0000-0000-0000D9260000}"/>
    <cellStyle name="Normal 2 3 4 2 3 2 3 2" xfId="15359" xr:uid="{00000000-0005-0000-0000-0000DA260000}"/>
    <cellStyle name="Normal 2 3 4 2 3 2 3 2 2" xfId="31674" xr:uid="{00000000-0005-0000-0000-0000DB260000}"/>
    <cellStyle name="Normal 2 3 4 2 3 2 3 3" xfId="24709" xr:uid="{00000000-0005-0000-0000-0000DC260000}"/>
    <cellStyle name="Normal 2 3 4 2 3 2 4" xfId="11411" xr:uid="{00000000-0005-0000-0000-0000DD260000}"/>
    <cellStyle name="Normal 2 3 4 2 3 2 4 2" xfId="28009" xr:uid="{00000000-0005-0000-0000-0000DE260000}"/>
    <cellStyle name="Normal 2 3 4 2 3 2 5" xfId="3814" xr:uid="{00000000-0005-0000-0000-0000DF260000}"/>
    <cellStyle name="Normal 2 3 4 2 3 2 5 2" xfId="20537" xr:uid="{00000000-0005-0000-0000-0000E0260000}"/>
    <cellStyle name="Normal 2 3 4 2 3 2 6" xfId="18941" xr:uid="{00000000-0005-0000-0000-0000E1260000}"/>
    <cellStyle name="Normal 2 3 4 2 3 3" xfId="2209" xr:uid="{00000000-0005-0000-0000-0000E2260000}"/>
    <cellStyle name="Normal 2 3 4 2 3 3 2" xfId="8905" xr:uid="{00000000-0005-0000-0000-0000E3260000}"/>
    <cellStyle name="Normal 2 3 4 2 3 3 2 2" xfId="16168" xr:uid="{00000000-0005-0000-0000-0000E4260000}"/>
    <cellStyle name="Normal 2 3 4 2 3 3 2 2 2" xfId="32483" xr:uid="{00000000-0005-0000-0000-0000E5260000}"/>
    <cellStyle name="Normal 2 3 4 2 3 3 2 3" xfId="25518" xr:uid="{00000000-0005-0000-0000-0000E6260000}"/>
    <cellStyle name="Normal 2 3 4 2 3 3 3" xfId="12247" xr:uid="{00000000-0005-0000-0000-0000E7260000}"/>
    <cellStyle name="Normal 2 3 4 2 3 3 3 2" xfId="28822" xr:uid="{00000000-0005-0000-0000-0000E8260000}"/>
    <cellStyle name="Normal 2 3 4 2 3 3 4" xfId="5554" xr:uid="{00000000-0005-0000-0000-0000E9260000}"/>
    <cellStyle name="Normal 2 3 4 2 3 3 4 2" xfId="22218" xr:uid="{00000000-0005-0000-0000-0000EA260000}"/>
    <cellStyle name="Normal 2 3 4 2 3 3 5" xfId="18940" xr:uid="{00000000-0005-0000-0000-0000EB260000}"/>
    <cellStyle name="Normal 2 3 4 2 3 4" xfId="7284" xr:uid="{00000000-0005-0000-0000-0000EC260000}"/>
    <cellStyle name="Normal 2 3 4 2 3 4 2" xfId="14547" xr:uid="{00000000-0005-0000-0000-0000ED260000}"/>
    <cellStyle name="Normal 2 3 4 2 3 4 2 2" xfId="30862" xr:uid="{00000000-0005-0000-0000-0000EE260000}"/>
    <cellStyle name="Normal 2 3 4 2 3 4 3" xfId="23897" xr:uid="{00000000-0005-0000-0000-0000EF260000}"/>
    <cellStyle name="Normal 2 3 4 2 3 5" xfId="10599" xr:uid="{00000000-0005-0000-0000-0000F0260000}"/>
    <cellStyle name="Normal 2 3 4 2 3 5 2" xfId="27197" xr:uid="{00000000-0005-0000-0000-0000F1260000}"/>
    <cellStyle name="Normal 2 3 4 2 3 6" xfId="3813" xr:uid="{00000000-0005-0000-0000-0000F2260000}"/>
    <cellStyle name="Normal 2 3 4 2 3 6 2" xfId="20536" xr:uid="{00000000-0005-0000-0000-0000F3260000}"/>
    <cellStyle name="Normal 2 3 4 2 3 7" xfId="18302" xr:uid="{00000000-0005-0000-0000-0000F4260000}"/>
    <cellStyle name="Normal 2 3 4 2 4" xfId="2211" xr:uid="{00000000-0005-0000-0000-0000F5260000}"/>
    <cellStyle name="Normal 2 3 4 2 4 2" xfId="5960" xr:uid="{00000000-0005-0000-0000-0000F6260000}"/>
    <cellStyle name="Normal 2 3 4 2 4 2 2" xfId="9311" xr:uid="{00000000-0005-0000-0000-0000F7260000}"/>
    <cellStyle name="Normal 2 3 4 2 4 2 2 2" xfId="16574" xr:uid="{00000000-0005-0000-0000-0000F8260000}"/>
    <cellStyle name="Normal 2 3 4 2 4 2 2 2 2" xfId="32889" xr:uid="{00000000-0005-0000-0000-0000F9260000}"/>
    <cellStyle name="Normal 2 3 4 2 4 2 2 3" xfId="25924" xr:uid="{00000000-0005-0000-0000-0000FA260000}"/>
    <cellStyle name="Normal 2 3 4 2 4 2 3" xfId="12653" xr:uid="{00000000-0005-0000-0000-0000FB260000}"/>
    <cellStyle name="Normal 2 3 4 2 4 2 3 2" xfId="29228" xr:uid="{00000000-0005-0000-0000-0000FC260000}"/>
    <cellStyle name="Normal 2 3 4 2 4 2 4" xfId="22624" xr:uid="{00000000-0005-0000-0000-0000FD260000}"/>
    <cellStyle name="Normal 2 3 4 2 4 3" xfId="7690" xr:uid="{00000000-0005-0000-0000-0000FE260000}"/>
    <cellStyle name="Normal 2 3 4 2 4 3 2" xfId="14953" xr:uid="{00000000-0005-0000-0000-0000FF260000}"/>
    <cellStyle name="Normal 2 3 4 2 4 3 2 2" xfId="31268" xr:uid="{00000000-0005-0000-0000-000000270000}"/>
    <cellStyle name="Normal 2 3 4 2 4 3 3" xfId="24303" xr:uid="{00000000-0005-0000-0000-000001270000}"/>
    <cellStyle name="Normal 2 3 4 2 4 4" xfId="11005" xr:uid="{00000000-0005-0000-0000-000002270000}"/>
    <cellStyle name="Normal 2 3 4 2 4 4 2" xfId="27603" xr:uid="{00000000-0005-0000-0000-000003270000}"/>
    <cellStyle name="Normal 2 3 4 2 4 5" xfId="3815" xr:uid="{00000000-0005-0000-0000-000004270000}"/>
    <cellStyle name="Normal 2 3 4 2 4 5 2" xfId="20538" xr:uid="{00000000-0005-0000-0000-000005270000}"/>
    <cellStyle name="Normal 2 3 4 2 4 6" xfId="18942" xr:uid="{00000000-0005-0000-0000-000006270000}"/>
    <cellStyle name="Normal 2 3 4 2 5" xfId="2204" xr:uid="{00000000-0005-0000-0000-000007270000}"/>
    <cellStyle name="Normal 2 3 4 2 5 2" xfId="8628" xr:uid="{00000000-0005-0000-0000-000008270000}"/>
    <cellStyle name="Normal 2 3 4 2 5 2 2" xfId="15891" xr:uid="{00000000-0005-0000-0000-000009270000}"/>
    <cellStyle name="Normal 2 3 4 2 5 2 2 2" xfId="32206" xr:uid="{00000000-0005-0000-0000-00000A270000}"/>
    <cellStyle name="Normal 2 3 4 2 5 2 3" xfId="25241" xr:uid="{00000000-0005-0000-0000-00000B270000}"/>
    <cellStyle name="Normal 2 3 4 2 5 3" xfId="11970" xr:uid="{00000000-0005-0000-0000-00000C270000}"/>
    <cellStyle name="Normal 2 3 4 2 5 3 2" xfId="28545" xr:uid="{00000000-0005-0000-0000-00000D270000}"/>
    <cellStyle name="Normal 2 3 4 2 5 4" xfId="5277" xr:uid="{00000000-0005-0000-0000-00000E270000}"/>
    <cellStyle name="Normal 2 3 4 2 5 4 2" xfId="21941" xr:uid="{00000000-0005-0000-0000-00000F270000}"/>
    <cellStyle name="Normal 2 3 4 2 5 5" xfId="18935" xr:uid="{00000000-0005-0000-0000-000010270000}"/>
    <cellStyle name="Normal 2 3 4 2 6" xfId="7009" xr:uid="{00000000-0005-0000-0000-000011270000}"/>
    <cellStyle name="Normal 2 3 4 2 6 2" xfId="14272" xr:uid="{00000000-0005-0000-0000-000012270000}"/>
    <cellStyle name="Normal 2 3 4 2 6 2 2" xfId="30587" xr:uid="{00000000-0005-0000-0000-000013270000}"/>
    <cellStyle name="Normal 2 3 4 2 6 3" xfId="23622" xr:uid="{00000000-0005-0000-0000-000014270000}"/>
    <cellStyle name="Normal 2 3 4 2 7" xfId="10323" xr:uid="{00000000-0005-0000-0000-000015270000}"/>
    <cellStyle name="Normal 2 3 4 2 7 2" xfId="26922" xr:uid="{00000000-0005-0000-0000-000016270000}"/>
    <cellStyle name="Normal 2 3 4 2 8" xfId="3808" xr:uid="{00000000-0005-0000-0000-000017270000}"/>
    <cellStyle name="Normal 2 3 4 2 8 2" xfId="20531" xr:uid="{00000000-0005-0000-0000-000018270000}"/>
    <cellStyle name="Normal 2 3 4 2 9" xfId="17783" xr:uid="{00000000-0005-0000-0000-000019270000}"/>
    <cellStyle name="Normal 2 3 4 3" xfId="1126" xr:uid="{00000000-0005-0000-0000-00001A270000}"/>
    <cellStyle name="Normal 2 3 4 3 2" xfId="1647" xr:uid="{00000000-0005-0000-0000-00001B270000}"/>
    <cellStyle name="Normal 2 3 4 3 2 2" xfId="2214" xr:uid="{00000000-0005-0000-0000-00001C270000}"/>
    <cellStyle name="Normal 2 3 4 3 2 2 2" xfId="6541" xr:uid="{00000000-0005-0000-0000-00001D270000}"/>
    <cellStyle name="Normal 2 3 4 3 2 2 2 2" xfId="9892" xr:uid="{00000000-0005-0000-0000-00001E270000}"/>
    <cellStyle name="Normal 2 3 4 3 2 2 2 2 2" xfId="17155" xr:uid="{00000000-0005-0000-0000-00001F270000}"/>
    <cellStyle name="Normal 2 3 4 3 2 2 2 2 2 2" xfId="33470" xr:uid="{00000000-0005-0000-0000-000020270000}"/>
    <cellStyle name="Normal 2 3 4 3 2 2 2 2 3" xfId="26505" xr:uid="{00000000-0005-0000-0000-000021270000}"/>
    <cellStyle name="Normal 2 3 4 3 2 2 2 3" xfId="13234" xr:uid="{00000000-0005-0000-0000-000022270000}"/>
    <cellStyle name="Normal 2 3 4 3 2 2 2 3 2" xfId="29809" xr:uid="{00000000-0005-0000-0000-000023270000}"/>
    <cellStyle name="Normal 2 3 4 3 2 2 2 4" xfId="23205" xr:uid="{00000000-0005-0000-0000-000024270000}"/>
    <cellStyle name="Normal 2 3 4 3 2 2 3" xfId="8271" xr:uid="{00000000-0005-0000-0000-000025270000}"/>
    <cellStyle name="Normal 2 3 4 3 2 2 3 2" xfId="15534" xr:uid="{00000000-0005-0000-0000-000026270000}"/>
    <cellStyle name="Normal 2 3 4 3 2 2 3 2 2" xfId="31849" xr:uid="{00000000-0005-0000-0000-000027270000}"/>
    <cellStyle name="Normal 2 3 4 3 2 2 3 3" xfId="24884" xr:uid="{00000000-0005-0000-0000-000028270000}"/>
    <cellStyle name="Normal 2 3 4 3 2 2 4" xfId="11586" xr:uid="{00000000-0005-0000-0000-000029270000}"/>
    <cellStyle name="Normal 2 3 4 3 2 2 4 2" xfId="28184" xr:uid="{00000000-0005-0000-0000-00002A270000}"/>
    <cellStyle name="Normal 2 3 4 3 2 2 5" xfId="3818" xr:uid="{00000000-0005-0000-0000-00002B270000}"/>
    <cellStyle name="Normal 2 3 4 3 2 2 5 2" xfId="20541" xr:uid="{00000000-0005-0000-0000-00002C270000}"/>
    <cellStyle name="Normal 2 3 4 3 2 2 6" xfId="18945" xr:uid="{00000000-0005-0000-0000-00002D270000}"/>
    <cellStyle name="Normal 2 3 4 3 2 3" xfId="2213" xr:uid="{00000000-0005-0000-0000-00002E270000}"/>
    <cellStyle name="Normal 2 3 4 3 2 3 2" xfId="9116" xr:uid="{00000000-0005-0000-0000-00002F270000}"/>
    <cellStyle name="Normal 2 3 4 3 2 3 2 2" xfId="16379" xr:uid="{00000000-0005-0000-0000-000030270000}"/>
    <cellStyle name="Normal 2 3 4 3 2 3 2 2 2" xfId="32694" xr:uid="{00000000-0005-0000-0000-000031270000}"/>
    <cellStyle name="Normal 2 3 4 3 2 3 2 3" xfId="25729" xr:uid="{00000000-0005-0000-0000-000032270000}"/>
    <cellStyle name="Normal 2 3 4 3 2 3 3" xfId="12458" xr:uid="{00000000-0005-0000-0000-000033270000}"/>
    <cellStyle name="Normal 2 3 4 3 2 3 3 2" xfId="29033" xr:uid="{00000000-0005-0000-0000-000034270000}"/>
    <cellStyle name="Normal 2 3 4 3 2 3 4" xfId="5765" xr:uid="{00000000-0005-0000-0000-000035270000}"/>
    <cellStyle name="Normal 2 3 4 3 2 3 4 2" xfId="22429" xr:uid="{00000000-0005-0000-0000-000036270000}"/>
    <cellStyle name="Normal 2 3 4 3 2 3 5" xfId="18944" xr:uid="{00000000-0005-0000-0000-000037270000}"/>
    <cellStyle name="Normal 2 3 4 3 2 4" xfId="7495" xr:uid="{00000000-0005-0000-0000-000038270000}"/>
    <cellStyle name="Normal 2 3 4 3 2 4 2" xfId="14758" xr:uid="{00000000-0005-0000-0000-000039270000}"/>
    <cellStyle name="Normal 2 3 4 3 2 4 2 2" xfId="31073" xr:uid="{00000000-0005-0000-0000-00003A270000}"/>
    <cellStyle name="Normal 2 3 4 3 2 4 3" xfId="24108" xr:uid="{00000000-0005-0000-0000-00003B270000}"/>
    <cellStyle name="Normal 2 3 4 3 2 5" xfId="10810" xr:uid="{00000000-0005-0000-0000-00003C270000}"/>
    <cellStyle name="Normal 2 3 4 3 2 5 2" xfId="27408" xr:uid="{00000000-0005-0000-0000-00003D270000}"/>
    <cellStyle name="Normal 2 3 4 3 2 6" xfId="3817" xr:uid="{00000000-0005-0000-0000-00003E270000}"/>
    <cellStyle name="Normal 2 3 4 3 2 6 2" xfId="20540" xr:uid="{00000000-0005-0000-0000-00003F270000}"/>
    <cellStyle name="Normal 2 3 4 3 2 7" xfId="18382" xr:uid="{00000000-0005-0000-0000-000040270000}"/>
    <cellStyle name="Normal 2 3 4 3 3" xfId="2215" xr:uid="{00000000-0005-0000-0000-000041270000}"/>
    <cellStyle name="Normal 2 3 4 3 3 2" xfId="6171" xr:uid="{00000000-0005-0000-0000-000042270000}"/>
    <cellStyle name="Normal 2 3 4 3 3 2 2" xfId="9522" xr:uid="{00000000-0005-0000-0000-000043270000}"/>
    <cellStyle name="Normal 2 3 4 3 3 2 2 2" xfId="16785" xr:uid="{00000000-0005-0000-0000-000044270000}"/>
    <cellStyle name="Normal 2 3 4 3 3 2 2 2 2" xfId="33100" xr:uid="{00000000-0005-0000-0000-000045270000}"/>
    <cellStyle name="Normal 2 3 4 3 3 2 2 3" xfId="26135" xr:uid="{00000000-0005-0000-0000-000046270000}"/>
    <cellStyle name="Normal 2 3 4 3 3 2 3" xfId="12864" xr:uid="{00000000-0005-0000-0000-000047270000}"/>
    <cellStyle name="Normal 2 3 4 3 3 2 3 2" xfId="29439" xr:uid="{00000000-0005-0000-0000-000048270000}"/>
    <cellStyle name="Normal 2 3 4 3 3 2 4" xfId="22835" xr:uid="{00000000-0005-0000-0000-000049270000}"/>
    <cellStyle name="Normal 2 3 4 3 3 3" xfId="7901" xr:uid="{00000000-0005-0000-0000-00004A270000}"/>
    <cellStyle name="Normal 2 3 4 3 3 3 2" xfId="15164" xr:uid="{00000000-0005-0000-0000-00004B270000}"/>
    <cellStyle name="Normal 2 3 4 3 3 3 2 2" xfId="31479" xr:uid="{00000000-0005-0000-0000-00004C270000}"/>
    <cellStyle name="Normal 2 3 4 3 3 3 3" xfId="24514" xr:uid="{00000000-0005-0000-0000-00004D270000}"/>
    <cellStyle name="Normal 2 3 4 3 3 4" xfId="11216" xr:uid="{00000000-0005-0000-0000-00004E270000}"/>
    <cellStyle name="Normal 2 3 4 3 3 4 2" xfId="27814" xr:uid="{00000000-0005-0000-0000-00004F270000}"/>
    <cellStyle name="Normal 2 3 4 3 3 5" xfId="3819" xr:uid="{00000000-0005-0000-0000-000050270000}"/>
    <cellStyle name="Normal 2 3 4 3 3 5 2" xfId="20542" xr:uid="{00000000-0005-0000-0000-000051270000}"/>
    <cellStyle name="Normal 2 3 4 3 3 6" xfId="18946" xr:uid="{00000000-0005-0000-0000-000052270000}"/>
    <cellStyle name="Normal 2 3 4 3 4" xfId="2212" xr:uid="{00000000-0005-0000-0000-000053270000}"/>
    <cellStyle name="Normal 2 3 4 3 4 2" xfId="8709" xr:uid="{00000000-0005-0000-0000-000054270000}"/>
    <cellStyle name="Normal 2 3 4 3 4 2 2" xfId="15972" xr:uid="{00000000-0005-0000-0000-000055270000}"/>
    <cellStyle name="Normal 2 3 4 3 4 2 2 2" xfId="32287" xr:uid="{00000000-0005-0000-0000-000056270000}"/>
    <cellStyle name="Normal 2 3 4 3 4 2 3" xfId="25322" xr:uid="{00000000-0005-0000-0000-000057270000}"/>
    <cellStyle name="Normal 2 3 4 3 4 3" xfId="12051" xr:uid="{00000000-0005-0000-0000-000058270000}"/>
    <cellStyle name="Normal 2 3 4 3 4 3 2" xfId="28626" xr:uid="{00000000-0005-0000-0000-000059270000}"/>
    <cellStyle name="Normal 2 3 4 3 4 4" xfId="5358" xr:uid="{00000000-0005-0000-0000-00005A270000}"/>
    <cellStyle name="Normal 2 3 4 3 4 4 2" xfId="22022" xr:uid="{00000000-0005-0000-0000-00005B270000}"/>
    <cellStyle name="Normal 2 3 4 3 4 5" xfId="18943" xr:uid="{00000000-0005-0000-0000-00005C270000}"/>
    <cellStyle name="Normal 2 3 4 3 5" xfId="7089" xr:uid="{00000000-0005-0000-0000-00005D270000}"/>
    <cellStyle name="Normal 2 3 4 3 5 2" xfId="14352" xr:uid="{00000000-0005-0000-0000-00005E270000}"/>
    <cellStyle name="Normal 2 3 4 3 5 2 2" xfId="30667" xr:uid="{00000000-0005-0000-0000-00005F270000}"/>
    <cellStyle name="Normal 2 3 4 3 5 3" xfId="23702" xr:uid="{00000000-0005-0000-0000-000060270000}"/>
    <cellStyle name="Normal 2 3 4 3 6" xfId="10404" xr:uid="{00000000-0005-0000-0000-000061270000}"/>
    <cellStyle name="Normal 2 3 4 3 6 2" xfId="27002" xr:uid="{00000000-0005-0000-0000-000062270000}"/>
    <cellStyle name="Normal 2 3 4 3 7" xfId="3816" xr:uid="{00000000-0005-0000-0000-000063270000}"/>
    <cellStyle name="Normal 2 3 4 3 7 2" xfId="20539" xr:uid="{00000000-0005-0000-0000-000064270000}"/>
    <cellStyle name="Normal 2 3 4 3 8" xfId="17863" xr:uid="{00000000-0005-0000-0000-000065270000}"/>
    <cellStyle name="Normal 2 3 4 4" xfId="1461" xr:uid="{00000000-0005-0000-0000-000066270000}"/>
    <cellStyle name="Normal 2 3 4 4 2" xfId="2217" xr:uid="{00000000-0005-0000-0000-000067270000}"/>
    <cellStyle name="Normal 2 3 4 4 2 2" xfId="6365" xr:uid="{00000000-0005-0000-0000-000068270000}"/>
    <cellStyle name="Normal 2 3 4 4 2 2 2" xfId="9716" xr:uid="{00000000-0005-0000-0000-000069270000}"/>
    <cellStyle name="Normal 2 3 4 4 2 2 2 2" xfId="16979" xr:uid="{00000000-0005-0000-0000-00006A270000}"/>
    <cellStyle name="Normal 2 3 4 4 2 2 2 2 2" xfId="33294" xr:uid="{00000000-0005-0000-0000-00006B270000}"/>
    <cellStyle name="Normal 2 3 4 4 2 2 2 3" xfId="26329" xr:uid="{00000000-0005-0000-0000-00006C270000}"/>
    <cellStyle name="Normal 2 3 4 4 2 2 3" xfId="13058" xr:uid="{00000000-0005-0000-0000-00006D270000}"/>
    <cellStyle name="Normal 2 3 4 4 2 2 3 2" xfId="29633" xr:uid="{00000000-0005-0000-0000-00006E270000}"/>
    <cellStyle name="Normal 2 3 4 4 2 2 4" xfId="23029" xr:uid="{00000000-0005-0000-0000-00006F270000}"/>
    <cellStyle name="Normal 2 3 4 4 2 3" xfId="8095" xr:uid="{00000000-0005-0000-0000-000070270000}"/>
    <cellStyle name="Normal 2 3 4 4 2 3 2" xfId="15358" xr:uid="{00000000-0005-0000-0000-000071270000}"/>
    <cellStyle name="Normal 2 3 4 4 2 3 2 2" xfId="31673" xr:uid="{00000000-0005-0000-0000-000072270000}"/>
    <cellStyle name="Normal 2 3 4 4 2 3 3" xfId="24708" xr:uid="{00000000-0005-0000-0000-000073270000}"/>
    <cellStyle name="Normal 2 3 4 4 2 4" xfId="11410" xr:uid="{00000000-0005-0000-0000-000074270000}"/>
    <cellStyle name="Normal 2 3 4 4 2 4 2" xfId="28008" xr:uid="{00000000-0005-0000-0000-000075270000}"/>
    <cellStyle name="Normal 2 3 4 4 2 5" xfId="3821" xr:uid="{00000000-0005-0000-0000-000076270000}"/>
    <cellStyle name="Normal 2 3 4 4 2 5 2" xfId="20544" xr:uid="{00000000-0005-0000-0000-000077270000}"/>
    <cellStyle name="Normal 2 3 4 4 2 6" xfId="18948" xr:uid="{00000000-0005-0000-0000-000078270000}"/>
    <cellStyle name="Normal 2 3 4 4 3" xfId="2216" xr:uid="{00000000-0005-0000-0000-000079270000}"/>
    <cellStyle name="Normal 2 3 4 4 3 2" xfId="8904" xr:uid="{00000000-0005-0000-0000-00007A270000}"/>
    <cellStyle name="Normal 2 3 4 4 3 2 2" xfId="16167" xr:uid="{00000000-0005-0000-0000-00007B270000}"/>
    <cellStyle name="Normal 2 3 4 4 3 2 2 2" xfId="32482" xr:uid="{00000000-0005-0000-0000-00007C270000}"/>
    <cellStyle name="Normal 2 3 4 4 3 2 3" xfId="25517" xr:uid="{00000000-0005-0000-0000-00007D270000}"/>
    <cellStyle name="Normal 2 3 4 4 3 3" xfId="12246" xr:uid="{00000000-0005-0000-0000-00007E270000}"/>
    <cellStyle name="Normal 2 3 4 4 3 3 2" xfId="28821" xr:uid="{00000000-0005-0000-0000-00007F270000}"/>
    <cellStyle name="Normal 2 3 4 4 3 4" xfId="5553" xr:uid="{00000000-0005-0000-0000-000080270000}"/>
    <cellStyle name="Normal 2 3 4 4 3 4 2" xfId="22217" xr:uid="{00000000-0005-0000-0000-000081270000}"/>
    <cellStyle name="Normal 2 3 4 4 3 5" xfId="18947" xr:uid="{00000000-0005-0000-0000-000082270000}"/>
    <cellStyle name="Normal 2 3 4 4 4" xfId="7283" xr:uid="{00000000-0005-0000-0000-000083270000}"/>
    <cellStyle name="Normal 2 3 4 4 4 2" xfId="14546" xr:uid="{00000000-0005-0000-0000-000084270000}"/>
    <cellStyle name="Normal 2 3 4 4 4 2 2" xfId="30861" xr:uid="{00000000-0005-0000-0000-000085270000}"/>
    <cellStyle name="Normal 2 3 4 4 4 3" xfId="23896" xr:uid="{00000000-0005-0000-0000-000086270000}"/>
    <cellStyle name="Normal 2 3 4 4 5" xfId="10598" xr:uid="{00000000-0005-0000-0000-000087270000}"/>
    <cellStyle name="Normal 2 3 4 4 5 2" xfId="27196" xr:uid="{00000000-0005-0000-0000-000088270000}"/>
    <cellStyle name="Normal 2 3 4 4 6" xfId="3820" xr:uid="{00000000-0005-0000-0000-000089270000}"/>
    <cellStyle name="Normal 2 3 4 4 6 2" xfId="20543" xr:uid="{00000000-0005-0000-0000-00008A270000}"/>
    <cellStyle name="Normal 2 3 4 4 7" xfId="18196" xr:uid="{00000000-0005-0000-0000-00008B270000}"/>
    <cellStyle name="Normal 2 3 4 5" xfId="2218" xr:uid="{00000000-0005-0000-0000-00008C270000}"/>
    <cellStyle name="Normal 2 3 4 5 2" xfId="5959" xr:uid="{00000000-0005-0000-0000-00008D270000}"/>
    <cellStyle name="Normal 2 3 4 5 2 2" xfId="9310" xr:uid="{00000000-0005-0000-0000-00008E270000}"/>
    <cellStyle name="Normal 2 3 4 5 2 2 2" xfId="16573" xr:uid="{00000000-0005-0000-0000-00008F270000}"/>
    <cellStyle name="Normal 2 3 4 5 2 2 2 2" xfId="32888" xr:uid="{00000000-0005-0000-0000-000090270000}"/>
    <cellStyle name="Normal 2 3 4 5 2 2 3" xfId="25923" xr:uid="{00000000-0005-0000-0000-000091270000}"/>
    <cellStyle name="Normal 2 3 4 5 2 3" xfId="12652" xr:uid="{00000000-0005-0000-0000-000092270000}"/>
    <cellStyle name="Normal 2 3 4 5 2 3 2" xfId="29227" xr:uid="{00000000-0005-0000-0000-000093270000}"/>
    <cellStyle name="Normal 2 3 4 5 2 4" xfId="22623" xr:uid="{00000000-0005-0000-0000-000094270000}"/>
    <cellStyle name="Normal 2 3 4 5 3" xfId="7689" xr:uid="{00000000-0005-0000-0000-000095270000}"/>
    <cellStyle name="Normal 2 3 4 5 3 2" xfId="14952" xr:uid="{00000000-0005-0000-0000-000096270000}"/>
    <cellStyle name="Normal 2 3 4 5 3 2 2" xfId="31267" xr:uid="{00000000-0005-0000-0000-000097270000}"/>
    <cellStyle name="Normal 2 3 4 5 3 3" xfId="24302" xr:uid="{00000000-0005-0000-0000-000098270000}"/>
    <cellStyle name="Normal 2 3 4 5 4" xfId="11004" xr:uid="{00000000-0005-0000-0000-000099270000}"/>
    <cellStyle name="Normal 2 3 4 5 4 2" xfId="27602" xr:uid="{00000000-0005-0000-0000-00009A270000}"/>
    <cellStyle name="Normal 2 3 4 5 5" xfId="3822" xr:uid="{00000000-0005-0000-0000-00009B270000}"/>
    <cellStyle name="Normal 2 3 4 5 5 2" xfId="20545" xr:uid="{00000000-0005-0000-0000-00009C270000}"/>
    <cellStyle name="Normal 2 3 4 5 6" xfId="18949" xr:uid="{00000000-0005-0000-0000-00009D270000}"/>
    <cellStyle name="Normal 2 3 4 6" xfId="2203" xr:uid="{00000000-0005-0000-0000-00009E270000}"/>
    <cellStyle name="Normal 2 3 4 6 2" xfId="8522" xr:uid="{00000000-0005-0000-0000-00009F270000}"/>
    <cellStyle name="Normal 2 3 4 6 2 2" xfId="15785" xr:uid="{00000000-0005-0000-0000-0000A0270000}"/>
    <cellStyle name="Normal 2 3 4 6 2 2 2" xfId="32100" xr:uid="{00000000-0005-0000-0000-0000A1270000}"/>
    <cellStyle name="Normal 2 3 4 6 2 3" xfId="25135" xr:uid="{00000000-0005-0000-0000-0000A2270000}"/>
    <cellStyle name="Normal 2 3 4 6 3" xfId="11864" xr:uid="{00000000-0005-0000-0000-0000A3270000}"/>
    <cellStyle name="Normal 2 3 4 6 3 2" xfId="28439" xr:uid="{00000000-0005-0000-0000-0000A4270000}"/>
    <cellStyle name="Normal 2 3 4 6 4" xfId="5171" xr:uid="{00000000-0005-0000-0000-0000A5270000}"/>
    <cellStyle name="Normal 2 3 4 6 4 2" xfId="21835" xr:uid="{00000000-0005-0000-0000-0000A6270000}"/>
    <cellStyle name="Normal 2 3 4 6 5" xfId="18934" xr:uid="{00000000-0005-0000-0000-0000A7270000}"/>
    <cellStyle name="Normal 2 3 4 7" xfId="6903" xr:uid="{00000000-0005-0000-0000-0000A8270000}"/>
    <cellStyle name="Normal 2 3 4 7 2" xfId="14166" xr:uid="{00000000-0005-0000-0000-0000A9270000}"/>
    <cellStyle name="Normal 2 3 4 7 2 2" xfId="30481" xr:uid="{00000000-0005-0000-0000-0000AA270000}"/>
    <cellStyle name="Normal 2 3 4 7 3" xfId="23516" xr:uid="{00000000-0005-0000-0000-0000AB270000}"/>
    <cellStyle name="Normal 2 3 4 8" xfId="10217" xr:uid="{00000000-0005-0000-0000-0000AC270000}"/>
    <cellStyle name="Normal 2 3 4 8 2" xfId="26816" xr:uid="{00000000-0005-0000-0000-0000AD270000}"/>
    <cellStyle name="Normal 2 3 4 9" xfId="3807" xr:uid="{00000000-0005-0000-0000-0000AE270000}"/>
    <cellStyle name="Normal 2 3 4 9 2" xfId="20530" xr:uid="{00000000-0005-0000-0000-0000AF270000}"/>
    <cellStyle name="Normal 2 3 5" xfId="952" xr:uid="{00000000-0005-0000-0000-0000B0270000}"/>
    <cellStyle name="Normal 2 3 5 2" xfId="1128" xr:uid="{00000000-0005-0000-0000-0000B1270000}"/>
    <cellStyle name="Normal 2 3 5 2 2" xfId="1649" xr:uid="{00000000-0005-0000-0000-0000B2270000}"/>
    <cellStyle name="Normal 2 3 5 2 2 2" xfId="2222" xr:uid="{00000000-0005-0000-0000-0000B3270000}"/>
    <cellStyle name="Normal 2 3 5 2 2 2 2" xfId="6543" xr:uid="{00000000-0005-0000-0000-0000B4270000}"/>
    <cellStyle name="Normal 2 3 5 2 2 2 2 2" xfId="9894" xr:uid="{00000000-0005-0000-0000-0000B5270000}"/>
    <cellStyle name="Normal 2 3 5 2 2 2 2 2 2" xfId="17157" xr:uid="{00000000-0005-0000-0000-0000B6270000}"/>
    <cellStyle name="Normal 2 3 5 2 2 2 2 2 2 2" xfId="33472" xr:uid="{00000000-0005-0000-0000-0000B7270000}"/>
    <cellStyle name="Normal 2 3 5 2 2 2 2 2 3" xfId="26507" xr:uid="{00000000-0005-0000-0000-0000B8270000}"/>
    <cellStyle name="Normal 2 3 5 2 2 2 2 3" xfId="13236" xr:uid="{00000000-0005-0000-0000-0000B9270000}"/>
    <cellStyle name="Normal 2 3 5 2 2 2 2 3 2" xfId="29811" xr:uid="{00000000-0005-0000-0000-0000BA270000}"/>
    <cellStyle name="Normal 2 3 5 2 2 2 2 4" xfId="23207" xr:uid="{00000000-0005-0000-0000-0000BB270000}"/>
    <cellStyle name="Normal 2 3 5 2 2 2 3" xfId="8273" xr:uid="{00000000-0005-0000-0000-0000BC270000}"/>
    <cellStyle name="Normal 2 3 5 2 2 2 3 2" xfId="15536" xr:uid="{00000000-0005-0000-0000-0000BD270000}"/>
    <cellStyle name="Normal 2 3 5 2 2 2 3 2 2" xfId="31851" xr:uid="{00000000-0005-0000-0000-0000BE270000}"/>
    <cellStyle name="Normal 2 3 5 2 2 2 3 3" xfId="24886" xr:uid="{00000000-0005-0000-0000-0000BF270000}"/>
    <cellStyle name="Normal 2 3 5 2 2 2 4" xfId="11588" xr:uid="{00000000-0005-0000-0000-0000C0270000}"/>
    <cellStyle name="Normal 2 3 5 2 2 2 4 2" xfId="28186" xr:uid="{00000000-0005-0000-0000-0000C1270000}"/>
    <cellStyle name="Normal 2 3 5 2 2 2 5" xfId="3826" xr:uid="{00000000-0005-0000-0000-0000C2270000}"/>
    <cellStyle name="Normal 2 3 5 2 2 2 5 2" xfId="20549" xr:uid="{00000000-0005-0000-0000-0000C3270000}"/>
    <cellStyle name="Normal 2 3 5 2 2 2 6" xfId="18953" xr:uid="{00000000-0005-0000-0000-0000C4270000}"/>
    <cellStyle name="Normal 2 3 5 2 2 3" xfId="2221" xr:uid="{00000000-0005-0000-0000-0000C5270000}"/>
    <cellStyle name="Normal 2 3 5 2 2 3 2" xfId="9118" xr:uid="{00000000-0005-0000-0000-0000C6270000}"/>
    <cellStyle name="Normal 2 3 5 2 2 3 2 2" xfId="16381" xr:uid="{00000000-0005-0000-0000-0000C7270000}"/>
    <cellStyle name="Normal 2 3 5 2 2 3 2 2 2" xfId="32696" xr:uid="{00000000-0005-0000-0000-0000C8270000}"/>
    <cellStyle name="Normal 2 3 5 2 2 3 2 3" xfId="25731" xr:uid="{00000000-0005-0000-0000-0000C9270000}"/>
    <cellStyle name="Normal 2 3 5 2 2 3 3" xfId="12460" xr:uid="{00000000-0005-0000-0000-0000CA270000}"/>
    <cellStyle name="Normal 2 3 5 2 2 3 3 2" xfId="29035" xr:uid="{00000000-0005-0000-0000-0000CB270000}"/>
    <cellStyle name="Normal 2 3 5 2 2 3 4" xfId="5767" xr:uid="{00000000-0005-0000-0000-0000CC270000}"/>
    <cellStyle name="Normal 2 3 5 2 2 3 4 2" xfId="22431" xr:uid="{00000000-0005-0000-0000-0000CD270000}"/>
    <cellStyle name="Normal 2 3 5 2 2 3 5" xfId="18952" xr:uid="{00000000-0005-0000-0000-0000CE270000}"/>
    <cellStyle name="Normal 2 3 5 2 2 4" xfId="7497" xr:uid="{00000000-0005-0000-0000-0000CF270000}"/>
    <cellStyle name="Normal 2 3 5 2 2 4 2" xfId="14760" xr:uid="{00000000-0005-0000-0000-0000D0270000}"/>
    <cellStyle name="Normal 2 3 5 2 2 4 2 2" xfId="31075" xr:uid="{00000000-0005-0000-0000-0000D1270000}"/>
    <cellStyle name="Normal 2 3 5 2 2 4 3" xfId="24110" xr:uid="{00000000-0005-0000-0000-0000D2270000}"/>
    <cellStyle name="Normal 2 3 5 2 2 5" xfId="10812" xr:uid="{00000000-0005-0000-0000-0000D3270000}"/>
    <cellStyle name="Normal 2 3 5 2 2 5 2" xfId="27410" xr:uid="{00000000-0005-0000-0000-0000D4270000}"/>
    <cellStyle name="Normal 2 3 5 2 2 6" xfId="3825" xr:uid="{00000000-0005-0000-0000-0000D5270000}"/>
    <cellStyle name="Normal 2 3 5 2 2 6 2" xfId="20548" xr:uid="{00000000-0005-0000-0000-0000D6270000}"/>
    <cellStyle name="Normal 2 3 5 2 2 7" xfId="18384" xr:uid="{00000000-0005-0000-0000-0000D7270000}"/>
    <cellStyle name="Normal 2 3 5 2 3" xfId="2223" xr:uid="{00000000-0005-0000-0000-0000D8270000}"/>
    <cellStyle name="Normal 2 3 5 2 3 2" xfId="6173" xr:uid="{00000000-0005-0000-0000-0000D9270000}"/>
    <cellStyle name="Normal 2 3 5 2 3 2 2" xfId="9524" xr:uid="{00000000-0005-0000-0000-0000DA270000}"/>
    <cellStyle name="Normal 2 3 5 2 3 2 2 2" xfId="16787" xr:uid="{00000000-0005-0000-0000-0000DB270000}"/>
    <cellStyle name="Normal 2 3 5 2 3 2 2 2 2" xfId="33102" xr:uid="{00000000-0005-0000-0000-0000DC270000}"/>
    <cellStyle name="Normal 2 3 5 2 3 2 2 3" xfId="26137" xr:uid="{00000000-0005-0000-0000-0000DD270000}"/>
    <cellStyle name="Normal 2 3 5 2 3 2 3" xfId="12866" xr:uid="{00000000-0005-0000-0000-0000DE270000}"/>
    <cellStyle name="Normal 2 3 5 2 3 2 3 2" xfId="29441" xr:uid="{00000000-0005-0000-0000-0000DF270000}"/>
    <cellStyle name="Normal 2 3 5 2 3 2 4" xfId="22837" xr:uid="{00000000-0005-0000-0000-0000E0270000}"/>
    <cellStyle name="Normal 2 3 5 2 3 3" xfId="7903" xr:uid="{00000000-0005-0000-0000-0000E1270000}"/>
    <cellStyle name="Normal 2 3 5 2 3 3 2" xfId="15166" xr:uid="{00000000-0005-0000-0000-0000E2270000}"/>
    <cellStyle name="Normal 2 3 5 2 3 3 2 2" xfId="31481" xr:uid="{00000000-0005-0000-0000-0000E3270000}"/>
    <cellStyle name="Normal 2 3 5 2 3 3 3" xfId="24516" xr:uid="{00000000-0005-0000-0000-0000E4270000}"/>
    <cellStyle name="Normal 2 3 5 2 3 4" xfId="11218" xr:uid="{00000000-0005-0000-0000-0000E5270000}"/>
    <cellStyle name="Normal 2 3 5 2 3 4 2" xfId="27816" xr:uid="{00000000-0005-0000-0000-0000E6270000}"/>
    <cellStyle name="Normal 2 3 5 2 3 5" xfId="3827" xr:uid="{00000000-0005-0000-0000-0000E7270000}"/>
    <cellStyle name="Normal 2 3 5 2 3 5 2" xfId="20550" xr:uid="{00000000-0005-0000-0000-0000E8270000}"/>
    <cellStyle name="Normal 2 3 5 2 3 6" xfId="18954" xr:uid="{00000000-0005-0000-0000-0000E9270000}"/>
    <cellStyle name="Normal 2 3 5 2 4" xfId="2220" xr:uid="{00000000-0005-0000-0000-0000EA270000}"/>
    <cellStyle name="Normal 2 3 5 2 4 2" xfId="8711" xr:uid="{00000000-0005-0000-0000-0000EB270000}"/>
    <cellStyle name="Normal 2 3 5 2 4 2 2" xfId="15974" xr:uid="{00000000-0005-0000-0000-0000EC270000}"/>
    <cellStyle name="Normal 2 3 5 2 4 2 2 2" xfId="32289" xr:uid="{00000000-0005-0000-0000-0000ED270000}"/>
    <cellStyle name="Normal 2 3 5 2 4 2 3" xfId="25324" xr:uid="{00000000-0005-0000-0000-0000EE270000}"/>
    <cellStyle name="Normal 2 3 5 2 4 3" xfId="12053" xr:uid="{00000000-0005-0000-0000-0000EF270000}"/>
    <cellStyle name="Normal 2 3 5 2 4 3 2" xfId="28628" xr:uid="{00000000-0005-0000-0000-0000F0270000}"/>
    <cellStyle name="Normal 2 3 5 2 4 4" xfId="5360" xr:uid="{00000000-0005-0000-0000-0000F1270000}"/>
    <cellStyle name="Normal 2 3 5 2 4 4 2" xfId="22024" xr:uid="{00000000-0005-0000-0000-0000F2270000}"/>
    <cellStyle name="Normal 2 3 5 2 4 5" xfId="18951" xr:uid="{00000000-0005-0000-0000-0000F3270000}"/>
    <cellStyle name="Normal 2 3 5 2 5" xfId="7091" xr:uid="{00000000-0005-0000-0000-0000F4270000}"/>
    <cellStyle name="Normal 2 3 5 2 5 2" xfId="14354" xr:uid="{00000000-0005-0000-0000-0000F5270000}"/>
    <cellStyle name="Normal 2 3 5 2 5 2 2" xfId="30669" xr:uid="{00000000-0005-0000-0000-0000F6270000}"/>
    <cellStyle name="Normal 2 3 5 2 5 3" xfId="23704" xr:uid="{00000000-0005-0000-0000-0000F7270000}"/>
    <cellStyle name="Normal 2 3 5 2 6" xfId="10406" xr:uid="{00000000-0005-0000-0000-0000F8270000}"/>
    <cellStyle name="Normal 2 3 5 2 6 2" xfId="27004" xr:uid="{00000000-0005-0000-0000-0000F9270000}"/>
    <cellStyle name="Normal 2 3 5 2 7" xfId="3824" xr:uid="{00000000-0005-0000-0000-0000FA270000}"/>
    <cellStyle name="Normal 2 3 5 2 7 2" xfId="20547" xr:uid="{00000000-0005-0000-0000-0000FB270000}"/>
    <cellStyle name="Normal 2 3 5 2 8" xfId="17865" xr:uid="{00000000-0005-0000-0000-0000FC270000}"/>
    <cellStyle name="Normal 2 3 5 3" xfId="1514" xr:uid="{00000000-0005-0000-0000-0000FD270000}"/>
    <cellStyle name="Normal 2 3 5 3 2" xfId="2225" xr:uid="{00000000-0005-0000-0000-0000FE270000}"/>
    <cellStyle name="Normal 2 3 5 3 2 2" xfId="6367" xr:uid="{00000000-0005-0000-0000-0000FF270000}"/>
    <cellStyle name="Normal 2 3 5 3 2 2 2" xfId="9718" xr:uid="{00000000-0005-0000-0000-000000280000}"/>
    <cellStyle name="Normal 2 3 5 3 2 2 2 2" xfId="16981" xr:uid="{00000000-0005-0000-0000-000001280000}"/>
    <cellStyle name="Normal 2 3 5 3 2 2 2 2 2" xfId="33296" xr:uid="{00000000-0005-0000-0000-000002280000}"/>
    <cellStyle name="Normal 2 3 5 3 2 2 2 3" xfId="26331" xr:uid="{00000000-0005-0000-0000-000003280000}"/>
    <cellStyle name="Normal 2 3 5 3 2 2 3" xfId="13060" xr:uid="{00000000-0005-0000-0000-000004280000}"/>
    <cellStyle name="Normal 2 3 5 3 2 2 3 2" xfId="29635" xr:uid="{00000000-0005-0000-0000-000005280000}"/>
    <cellStyle name="Normal 2 3 5 3 2 2 4" xfId="23031" xr:uid="{00000000-0005-0000-0000-000006280000}"/>
    <cellStyle name="Normal 2 3 5 3 2 3" xfId="8097" xr:uid="{00000000-0005-0000-0000-000007280000}"/>
    <cellStyle name="Normal 2 3 5 3 2 3 2" xfId="15360" xr:uid="{00000000-0005-0000-0000-000008280000}"/>
    <cellStyle name="Normal 2 3 5 3 2 3 2 2" xfId="31675" xr:uid="{00000000-0005-0000-0000-000009280000}"/>
    <cellStyle name="Normal 2 3 5 3 2 3 3" xfId="24710" xr:uid="{00000000-0005-0000-0000-00000A280000}"/>
    <cellStyle name="Normal 2 3 5 3 2 4" xfId="11412" xr:uid="{00000000-0005-0000-0000-00000B280000}"/>
    <cellStyle name="Normal 2 3 5 3 2 4 2" xfId="28010" xr:uid="{00000000-0005-0000-0000-00000C280000}"/>
    <cellStyle name="Normal 2 3 5 3 2 5" xfId="3829" xr:uid="{00000000-0005-0000-0000-00000D280000}"/>
    <cellStyle name="Normal 2 3 5 3 2 5 2" xfId="20552" xr:uid="{00000000-0005-0000-0000-00000E280000}"/>
    <cellStyle name="Normal 2 3 5 3 2 6" xfId="18956" xr:uid="{00000000-0005-0000-0000-00000F280000}"/>
    <cellStyle name="Normal 2 3 5 3 3" xfId="2224" xr:uid="{00000000-0005-0000-0000-000010280000}"/>
    <cellStyle name="Normal 2 3 5 3 3 2" xfId="8906" xr:uid="{00000000-0005-0000-0000-000011280000}"/>
    <cellStyle name="Normal 2 3 5 3 3 2 2" xfId="16169" xr:uid="{00000000-0005-0000-0000-000012280000}"/>
    <cellStyle name="Normal 2 3 5 3 3 2 2 2" xfId="32484" xr:uid="{00000000-0005-0000-0000-000013280000}"/>
    <cellStyle name="Normal 2 3 5 3 3 2 3" xfId="25519" xr:uid="{00000000-0005-0000-0000-000014280000}"/>
    <cellStyle name="Normal 2 3 5 3 3 3" xfId="12248" xr:uid="{00000000-0005-0000-0000-000015280000}"/>
    <cellStyle name="Normal 2 3 5 3 3 3 2" xfId="28823" xr:uid="{00000000-0005-0000-0000-000016280000}"/>
    <cellStyle name="Normal 2 3 5 3 3 4" xfId="5555" xr:uid="{00000000-0005-0000-0000-000017280000}"/>
    <cellStyle name="Normal 2 3 5 3 3 4 2" xfId="22219" xr:uid="{00000000-0005-0000-0000-000018280000}"/>
    <cellStyle name="Normal 2 3 5 3 3 5" xfId="18955" xr:uid="{00000000-0005-0000-0000-000019280000}"/>
    <cellStyle name="Normal 2 3 5 3 4" xfId="7285" xr:uid="{00000000-0005-0000-0000-00001A280000}"/>
    <cellStyle name="Normal 2 3 5 3 4 2" xfId="14548" xr:uid="{00000000-0005-0000-0000-00001B280000}"/>
    <cellStyle name="Normal 2 3 5 3 4 2 2" xfId="30863" xr:uid="{00000000-0005-0000-0000-00001C280000}"/>
    <cellStyle name="Normal 2 3 5 3 4 3" xfId="23898" xr:uid="{00000000-0005-0000-0000-00001D280000}"/>
    <cellStyle name="Normal 2 3 5 3 5" xfId="10600" xr:uid="{00000000-0005-0000-0000-00001E280000}"/>
    <cellStyle name="Normal 2 3 5 3 5 2" xfId="27198" xr:uid="{00000000-0005-0000-0000-00001F280000}"/>
    <cellStyle name="Normal 2 3 5 3 6" xfId="3828" xr:uid="{00000000-0005-0000-0000-000020280000}"/>
    <cellStyle name="Normal 2 3 5 3 6 2" xfId="20551" xr:uid="{00000000-0005-0000-0000-000021280000}"/>
    <cellStyle name="Normal 2 3 5 3 7" xfId="18249" xr:uid="{00000000-0005-0000-0000-000022280000}"/>
    <cellStyle name="Normal 2 3 5 4" xfId="2226" xr:uid="{00000000-0005-0000-0000-000023280000}"/>
    <cellStyle name="Normal 2 3 5 4 2" xfId="5961" xr:uid="{00000000-0005-0000-0000-000024280000}"/>
    <cellStyle name="Normal 2 3 5 4 2 2" xfId="9312" xr:uid="{00000000-0005-0000-0000-000025280000}"/>
    <cellStyle name="Normal 2 3 5 4 2 2 2" xfId="16575" xr:uid="{00000000-0005-0000-0000-000026280000}"/>
    <cellStyle name="Normal 2 3 5 4 2 2 2 2" xfId="32890" xr:uid="{00000000-0005-0000-0000-000027280000}"/>
    <cellStyle name="Normal 2 3 5 4 2 2 3" xfId="25925" xr:uid="{00000000-0005-0000-0000-000028280000}"/>
    <cellStyle name="Normal 2 3 5 4 2 3" xfId="12654" xr:uid="{00000000-0005-0000-0000-000029280000}"/>
    <cellStyle name="Normal 2 3 5 4 2 3 2" xfId="29229" xr:uid="{00000000-0005-0000-0000-00002A280000}"/>
    <cellStyle name="Normal 2 3 5 4 2 4" xfId="22625" xr:uid="{00000000-0005-0000-0000-00002B280000}"/>
    <cellStyle name="Normal 2 3 5 4 3" xfId="7691" xr:uid="{00000000-0005-0000-0000-00002C280000}"/>
    <cellStyle name="Normal 2 3 5 4 3 2" xfId="14954" xr:uid="{00000000-0005-0000-0000-00002D280000}"/>
    <cellStyle name="Normal 2 3 5 4 3 2 2" xfId="31269" xr:uid="{00000000-0005-0000-0000-00002E280000}"/>
    <cellStyle name="Normal 2 3 5 4 3 3" xfId="24304" xr:uid="{00000000-0005-0000-0000-00002F280000}"/>
    <cellStyle name="Normal 2 3 5 4 4" xfId="11006" xr:uid="{00000000-0005-0000-0000-000030280000}"/>
    <cellStyle name="Normal 2 3 5 4 4 2" xfId="27604" xr:uid="{00000000-0005-0000-0000-000031280000}"/>
    <cellStyle name="Normal 2 3 5 4 5" xfId="3830" xr:uid="{00000000-0005-0000-0000-000032280000}"/>
    <cellStyle name="Normal 2 3 5 4 5 2" xfId="20553" xr:uid="{00000000-0005-0000-0000-000033280000}"/>
    <cellStyle name="Normal 2 3 5 4 6" xfId="18957" xr:uid="{00000000-0005-0000-0000-000034280000}"/>
    <cellStyle name="Normal 2 3 5 5" xfId="2219" xr:uid="{00000000-0005-0000-0000-000035280000}"/>
    <cellStyle name="Normal 2 3 5 5 2" xfId="8575" xr:uid="{00000000-0005-0000-0000-000036280000}"/>
    <cellStyle name="Normal 2 3 5 5 2 2" xfId="15838" xr:uid="{00000000-0005-0000-0000-000037280000}"/>
    <cellStyle name="Normal 2 3 5 5 2 2 2" xfId="32153" xr:uid="{00000000-0005-0000-0000-000038280000}"/>
    <cellStyle name="Normal 2 3 5 5 2 3" xfId="25188" xr:uid="{00000000-0005-0000-0000-000039280000}"/>
    <cellStyle name="Normal 2 3 5 5 3" xfId="11917" xr:uid="{00000000-0005-0000-0000-00003A280000}"/>
    <cellStyle name="Normal 2 3 5 5 3 2" xfId="28492" xr:uid="{00000000-0005-0000-0000-00003B280000}"/>
    <cellStyle name="Normal 2 3 5 5 4" xfId="5224" xr:uid="{00000000-0005-0000-0000-00003C280000}"/>
    <cellStyle name="Normal 2 3 5 5 4 2" xfId="21888" xr:uid="{00000000-0005-0000-0000-00003D280000}"/>
    <cellStyle name="Normal 2 3 5 5 5" xfId="18950" xr:uid="{00000000-0005-0000-0000-00003E280000}"/>
    <cellStyle name="Normal 2 3 5 6" xfId="6956" xr:uid="{00000000-0005-0000-0000-00003F280000}"/>
    <cellStyle name="Normal 2 3 5 6 2" xfId="14219" xr:uid="{00000000-0005-0000-0000-000040280000}"/>
    <cellStyle name="Normal 2 3 5 6 2 2" xfId="30534" xr:uid="{00000000-0005-0000-0000-000041280000}"/>
    <cellStyle name="Normal 2 3 5 6 3" xfId="23569" xr:uid="{00000000-0005-0000-0000-000042280000}"/>
    <cellStyle name="Normal 2 3 5 7" xfId="10270" xr:uid="{00000000-0005-0000-0000-000043280000}"/>
    <cellStyle name="Normal 2 3 5 7 2" xfId="26869" xr:uid="{00000000-0005-0000-0000-000044280000}"/>
    <cellStyle name="Normal 2 3 5 8" xfId="3823" xr:uid="{00000000-0005-0000-0000-000045280000}"/>
    <cellStyle name="Normal 2 3 5 8 2" xfId="20546" xr:uid="{00000000-0005-0000-0000-000046280000}"/>
    <cellStyle name="Normal 2 3 5 9" xfId="17730" xr:uid="{00000000-0005-0000-0000-000047280000}"/>
    <cellStyle name="Normal 2 3 6" xfId="1117" xr:uid="{00000000-0005-0000-0000-000048280000}"/>
    <cellStyle name="Normal 2 3 6 2" xfId="1638" xr:uid="{00000000-0005-0000-0000-000049280000}"/>
    <cellStyle name="Normal 2 3 6 2 2" xfId="2229" xr:uid="{00000000-0005-0000-0000-00004A280000}"/>
    <cellStyle name="Normal 2 3 6 2 2 2" xfId="6532" xr:uid="{00000000-0005-0000-0000-00004B280000}"/>
    <cellStyle name="Normal 2 3 6 2 2 2 2" xfId="9883" xr:uid="{00000000-0005-0000-0000-00004C280000}"/>
    <cellStyle name="Normal 2 3 6 2 2 2 2 2" xfId="17146" xr:uid="{00000000-0005-0000-0000-00004D280000}"/>
    <cellStyle name="Normal 2 3 6 2 2 2 2 2 2" xfId="33461" xr:uid="{00000000-0005-0000-0000-00004E280000}"/>
    <cellStyle name="Normal 2 3 6 2 2 2 2 3" xfId="26496" xr:uid="{00000000-0005-0000-0000-00004F280000}"/>
    <cellStyle name="Normal 2 3 6 2 2 2 3" xfId="13225" xr:uid="{00000000-0005-0000-0000-000050280000}"/>
    <cellStyle name="Normal 2 3 6 2 2 2 3 2" xfId="29800" xr:uid="{00000000-0005-0000-0000-000051280000}"/>
    <cellStyle name="Normal 2 3 6 2 2 2 4" xfId="23196" xr:uid="{00000000-0005-0000-0000-000052280000}"/>
    <cellStyle name="Normal 2 3 6 2 2 3" xfId="8262" xr:uid="{00000000-0005-0000-0000-000053280000}"/>
    <cellStyle name="Normal 2 3 6 2 2 3 2" xfId="15525" xr:uid="{00000000-0005-0000-0000-000054280000}"/>
    <cellStyle name="Normal 2 3 6 2 2 3 2 2" xfId="31840" xr:uid="{00000000-0005-0000-0000-000055280000}"/>
    <cellStyle name="Normal 2 3 6 2 2 3 3" xfId="24875" xr:uid="{00000000-0005-0000-0000-000056280000}"/>
    <cellStyle name="Normal 2 3 6 2 2 4" xfId="11577" xr:uid="{00000000-0005-0000-0000-000057280000}"/>
    <cellStyle name="Normal 2 3 6 2 2 4 2" xfId="28175" xr:uid="{00000000-0005-0000-0000-000058280000}"/>
    <cellStyle name="Normal 2 3 6 2 2 5" xfId="3833" xr:uid="{00000000-0005-0000-0000-000059280000}"/>
    <cellStyle name="Normal 2 3 6 2 2 5 2" xfId="20556" xr:uid="{00000000-0005-0000-0000-00005A280000}"/>
    <cellStyle name="Normal 2 3 6 2 2 6" xfId="18960" xr:uid="{00000000-0005-0000-0000-00005B280000}"/>
    <cellStyle name="Normal 2 3 6 2 3" xfId="2228" xr:uid="{00000000-0005-0000-0000-00005C280000}"/>
    <cellStyle name="Normal 2 3 6 2 3 2" xfId="9107" xr:uid="{00000000-0005-0000-0000-00005D280000}"/>
    <cellStyle name="Normal 2 3 6 2 3 2 2" xfId="16370" xr:uid="{00000000-0005-0000-0000-00005E280000}"/>
    <cellStyle name="Normal 2 3 6 2 3 2 2 2" xfId="32685" xr:uid="{00000000-0005-0000-0000-00005F280000}"/>
    <cellStyle name="Normal 2 3 6 2 3 2 3" xfId="25720" xr:uid="{00000000-0005-0000-0000-000060280000}"/>
    <cellStyle name="Normal 2 3 6 2 3 3" xfId="12449" xr:uid="{00000000-0005-0000-0000-000061280000}"/>
    <cellStyle name="Normal 2 3 6 2 3 3 2" xfId="29024" xr:uid="{00000000-0005-0000-0000-000062280000}"/>
    <cellStyle name="Normal 2 3 6 2 3 4" xfId="5756" xr:uid="{00000000-0005-0000-0000-000063280000}"/>
    <cellStyle name="Normal 2 3 6 2 3 4 2" xfId="22420" xr:uid="{00000000-0005-0000-0000-000064280000}"/>
    <cellStyle name="Normal 2 3 6 2 3 5" xfId="18959" xr:uid="{00000000-0005-0000-0000-000065280000}"/>
    <cellStyle name="Normal 2 3 6 2 4" xfId="7486" xr:uid="{00000000-0005-0000-0000-000066280000}"/>
    <cellStyle name="Normal 2 3 6 2 4 2" xfId="14749" xr:uid="{00000000-0005-0000-0000-000067280000}"/>
    <cellStyle name="Normal 2 3 6 2 4 2 2" xfId="31064" xr:uid="{00000000-0005-0000-0000-000068280000}"/>
    <cellStyle name="Normal 2 3 6 2 4 3" xfId="24099" xr:uid="{00000000-0005-0000-0000-000069280000}"/>
    <cellStyle name="Normal 2 3 6 2 5" xfId="10801" xr:uid="{00000000-0005-0000-0000-00006A280000}"/>
    <cellStyle name="Normal 2 3 6 2 5 2" xfId="27399" xr:uid="{00000000-0005-0000-0000-00006B280000}"/>
    <cellStyle name="Normal 2 3 6 2 6" xfId="3832" xr:uid="{00000000-0005-0000-0000-00006C280000}"/>
    <cellStyle name="Normal 2 3 6 2 6 2" xfId="20555" xr:uid="{00000000-0005-0000-0000-00006D280000}"/>
    <cellStyle name="Normal 2 3 6 2 7" xfId="18373" xr:uid="{00000000-0005-0000-0000-00006E280000}"/>
    <cellStyle name="Normal 2 3 6 3" xfId="2230" xr:uid="{00000000-0005-0000-0000-00006F280000}"/>
    <cellStyle name="Normal 2 3 6 3 2" xfId="6162" xr:uid="{00000000-0005-0000-0000-000070280000}"/>
    <cellStyle name="Normal 2 3 6 3 2 2" xfId="9513" xr:uid="{00000000-0005-0000-0000-000071280000}"/>
    <cellStyle name="Normal 2 3 6 3 2 2 2" xfId="16776" xr:uid="{00000000-0005-0000-0000-000072280000}"/>
    <cellStyle name="Normal 2 3 6 3 2 2 2 2" xfId="33091" xr:uid="{00000000-0005-0000-0000-000073280000}"/>
    <cellStyle name="Normal 2 3 6 3 2 2 3" xfId="26126" xr:uid="{00000000-0005-0000-0000-000074280000}"/>
    <cellStyle name="Normal 2 3 6 3 2 3" xfId="12855" xr:uid="{00000000-0005-0000-0000-000075280000}"/>
    <cellStyle name="Normal 2 3 6 3 2 3 2" xfId="29430" xr:uid="{00000000-0005-0000-0000-000076280000}"/>
    <cellStyle name="Normal 2 3 6 3 2 4" xfId="22826" xr:uid="{00000000-0005-0000-0000-000077280000}"/>
    <cellStyle name="Normal 2 3 6 3 3" xfId="7892" xr:uid="{00000000-0005-0000-0000-000078280000}"/>
    <cellStyle name="Normal 2 3 6 3 3 2" xfId="15155" xr:uid="{00000000-0005-0000-0000-000079280000}"/>
    <cellStyle name="Normal 2 3 6 3 3 2 2" xfId="31470" xr:uid="{00000000-0005-0000-0000-00007A280000}"/>
    <cellStyle name="Normal 2 3 6 3 3 3" xfId="24505" xr:uid="{00000000-0005-0000-0000-00007B280000}"/>
    <cellStyle name="Normal 2 3 6 3 4" xfId="11207" xr:uid="{00000000-0005-0000-0000-00007C280000}"/>
    <cellStyle name="Normal 2 3 6 3 4 2" xfId="27805" xr:uid="{00000000-0005-0000-0000-00007D280000}"/>
    <cellStyle name="Normal 2 3 6 3 5" xfId="3834" xr:uid="{00000000-0005-0000-0000-00007E280000}"/>
    <cellStyle name="Normal 2 3 6 3 5 2" xfId="20557" xr:uid="{00000000-0005-0000-0000-00007F280000}"/>
    <cellStyle name="Normal 2 3 6 3 6" xfId="18961" xr:uid="{00000000-0005-0000-0000-000080280000}"/>
    <cellStyle name="Normal 2 3 6 4" xfId="2227" xr:uid="{00000000-0005-0000-0000-000081280000}"/>
    <cellStyle name="Normal 2 3 6 4 2" xfId="8700" xr:uid="{00000000-0005-0000-0000-000082280000}"/>
    <cellStyle name="Normal 2 3 6 4 2 2" xfId="15963" xr:uid="{00000000-0005-0000-0000-000083280000}"/>
    <cellStyle name="Normal 2 3 6 4 2 2 2" xfId="32278" xr:uid="{00000000-0005-0000-0000-000084280000}"/>
    <cellStyle name="Normal 2 3 6 4 2 3" xfId="25313" xr:uid="{00000000-0005-0000-0000-000085280000}"/>
    <cellStyle name="Normal 2 3 6 4 3" xfId="12042" xr:uid="{00000000-0005-0000-0000-000086280000}"/>
    <cellStyle name="Normal 2 3 6 4 3 2" xfId="28617" xr:uid="{00000000-0005-0000-0000-000087280000}"/>
    <cellStyle name="Normal 2 3 6 4 4" xfId="5349" xr:uid="{00000000-0005-0000-0000-000088280000}"/>
    <cellStyle name="Normal 2 3 6 4 4 2" xfId="22013" xr:uid="{00000000-0005-0000-0000-000089280000}"/>
    <cellStyle name="Normal 2 3 6 4 5" xfId="18958" xr:uid="{00000000-0005-0000-0000-00008A280000}"/>
    <cellStyle name="Normal 2 3 6 5" xfId="7080" xr:uid="{00000000-0005-0000-0000-00008B280000}"/>
    <cellStyle name="Normal 2 3 6 5 2" xfId="14343" xr:uid="{00000000-0005-0000-0000-00008C280000}"/>
    <cellStyle name="Normal 2 3 6 5 2 2" xfId="30658" xr:uid="{00000000-0005-0000-0000-00008D280000}"/>
    <cellStyle name="Normal 2 3 6 5 3" xfId="23693" xr:uid="{00000000-0005-0000-0000-00008E280000}"/>
    <cellStyle name="Normal 2 3 6 6" xfId="10395" xr:uid="{00000000-0005-0000-0000-00008F280000}"/>
    <cellStyle name="Normal 2 3 6 6 2" xfId="26993" xr:uid="{00000000-0005-0000-0000-000090280000}"/>
    <cellStyle name="Normal 2 3 6 7" xfId="3831" xr:uid="{00000000-0005-0000-0000-000091280000}"/>
    <cellStyle name="Normal 2 3 6 7 2" xfId="20554" xr:uid="{00000000-0005-0000-0000-000092280000}"/>
    <cellStyle name="Normal 2 3 6 8" xfId="17854" xr:uid="{00000000-0005-0000-0000-000093280000}"/>
    <cellStyle name="Normal 2 3 7" xfId="2231" xr:uid="{00000000-0005-0000-0000-000094280000}"/>
    <cellStyle name="Normal 2 3 7 2" xfId="2232" xr:uid="{00000000-0005-0000-0000-000095280000}"/>
    <cellStyle name="Normal 2 3 7 2 2" xfId="2233" xr:uid="{00000000-0005-0000-0000-000096280000}"/>
    <cellStyle name="Normal 2 3 7 2 2 2" xfId="6688" xr:uid="{00000000-0005-0000-0000-000097280000}"/>
    <cellStyle name="Normal 2 3 7 2 2 2 2" xfId="10039" xr:uid="{00000000-0005-0000-0000-000098280000}"/>
    <cellStyle name="Normal 2 3 7 2 2 2 2 2" xfId="17302" xr:uid="{00000000-0005-0000-0000-000099280000}"/>
    <cellStyle name="Normal 2 3 7 2 2 2 2 2 2" xfId="33617" xr:uid="{00000000-0005-0000-0000-00009A280000}"/>
    <cellStyle name="Normal 2 3 7 2 2 2 2 3" xfId="26652" xr:uid="{00000000-0005-0000-0000-00009B280000}"/>
    <cellStyle name="Normal 2 3 7 2 2 2 3" xfId="13381" xr:uid="{00000000-0005-0000-0000-00009C280000}"/>
    <cellStyle name="Normal 2 3 7 2 2 2 3 2" xfId="29956" xr:uid="{00000000-0005-0000-0000-00009D280000}"/>
    <cellStyle name="Normal 2 3 7 2 2 2 4" xfId="23352" xr:uid="{00000000-0005-0000-0000-00009E280000}"/>
    <cellStyle name="Normal 2 3 7 2 2 3" xfId="8418" xr:uid="{00000000-0005-0000-0000-00009F280000}"/>
    <cellStyle name="Normal 2 3 7 2 2 3 2" xfId="15681" xr:uid="{00000000-0005-0000-0000-0000A0280000}"/>
    <cellStyle name="Normal 2 3 7 2 2 3 2 2" xfId="31996" xr:uid="{00000000-0005-0000-0000-0000A1280000}"/>
    <cellStyle name="Normal 2 3 7 2 2 3 3" xfId="25031" xr:uid="{00000000-0005-0000-0000-0000A2280000}"/>
    <cellStyle name="Normal 2 3 7 2 2 4" xfId="11733" xr:uid="{00000000-0005-0000-0000-0000A3280000}"/>
    <cellStyle name="Normal 2 3 7 2 2 4 2" xfId="28331" xr:uid="{00000000-0005-0000-0000-0000A4280000}"/>
    <cellStyle name="Normal 2 3 7 2 2 5" xfId="3837" xr:uid="{00000000-0005-0000-0000-0000A5280000}"/>
    <cellStyle name="Normal 2 3 7 2 2 5 2" xfId="20560" xr:uid="{00000000-0005-0000-0000-0000A6280000}"/>
    <cellStyle name="Normal 2 3 7 2 2 6" xfId="18964" xr:uid="{00000000-0005-0000-0000-0000A7280000}"/>
    <cellStyle name="Normal 2 3 7 2 3" xfId="5912" xr:uid="{00000000-0005-0000-0000-0000A8280000}"/>
    <cellStyle name="Normal 2 3 7 2 3 2" xfId="9263" xr:uid="{00000000-0005-0000-0000-0000A9280000}"/>
    <cellStyle name="Normal 2 3 7 2 3 2 2" xfId="16526" xr:uid="{00000000-0005-0000-0000-0000AA280000}"/>
    <cellStyle name="Normal 2 3 7 2 3 2 2 2" xfId="32841" xr:uid="{00000000-0005-0000-0000-0000AB280000}"/>
    <cellStyle name="Normal 2 3 7 2 3 2 3" xfId="25876" xr:uid="{00000000-0005-0000-0000-0000AC280000}"/>
    <cellStyle name="Normal 2 3 7 2 3 3" xfId="12605" xr:uid="{00000000-0005-0000-0000-0000AD280000}"/>
    <cellStyle name="Normal 2 3 7 2 3 3 2" xfId="29180" xr:uid="{00000000-0005-0000-0000-0000AE280000}"/>
    <cellStyle name="Normal 2 3 7 2 3 4" xfId="22576" xr:uid="{00000000-0005-0000-0000-0000AF280000}"/>
    <cellStyle name="Normal 2 3 7 2 4" xfId="7642" xr:uid="{00000000-0005-0000-0000-0000B0280000}"/>
    <cellStyle name="Normal 2 3 7 2 4 2" xfId="14905" xr:uid="{00000000-0005-0000-0000-0000B1280000}"/>
    <cellStyle name="Normal 2 3 7 2 4 2 2" xfId="31220" xr:uid="{00000000-0005-0000-0000-0000B2280000}"/>
    <cellStyle name="Normal 2 3 7 2 4 3" xfId="24255" xr:uid="{00000000-0005-0000-0000-0000B3280000}"/>
    <cellStyle name="Normal 2 3 7 2 5" xfId="10957" xr:uid="{00000000-0005-0000-0000-0000B4280000}"/>
    <cellStyle name="Normal 2 3 7 2 5 2" xfId="27555" xr:uid="{00000000-0005-0000-0000-0000B5280000}"/>
    <cellStyle name="Normal 2 3 7 2 6" xfId="3836" xr:uid="{00000000-0005-0000-0000-0000B6280000}"/>
    <cellStyle name="Normal 2 3 7 2 6 2" xfId="20559" xr:uid="{00000000-0005-0000-0000-0000B7280000}"/>
    <cellStyle name="Normal 2 3 7 2 7" xfId="18963" xr:uid="{00000000-0005-0000-0000-0000B8280000}"/>
    <cellStyle name="Normal 2 3 7 3" xfId="2234" xr:uid="{00000000-0005-0000-0000-0000B9280000}"/>
    <cellStyle name="Normal 2 3 7 3 2" xfId="6318" xr:uid="{00000000-0005-0000-0000-0000BA280000}"/>
    <cellStyle name="Normal 2 3 7 3 2 2" xfId="9669" xr:uid="{00000000-0005-0000-0000-0000BB280000}"/>
    <cellStyle name="Normal 2 3 7 3 2 2 2" xfId="16932" xr:uid="{00000000-0005-0000-0000-0000BC280000}"/>
    <cellStyle name="Normal 2 3 7 3 2 2 2 2" xfId="33247" xr:uid="{00000000-0005-0000-0000-0000BD280000}"/>
    <cellStyle name="Normal 2 3 7 3 2 2 3" xfId="26282" xr:uid="{00000000-0005-0000-0000-0000BE280000}"/>
    <cellStyle name="Normal 2 3 7 3 2 3" xfId="13011" xr:uid="{00000000-0005-0000-0000-0000BF280000}"/>
    <cellStyle name="Normal 2 3 7 3 2 3 2" xfId="29586" xr:uid="{00000000-0005-0000-0000-0000C0280000}"/>
    <cellStyle name="Normal 2 3 7 3 2 4" xfId="22982" xr:uid="{00000000-0005-0000-0000-0000C1280000}"/>
    <cellStyle name="Normal 2 3 7 3 3" xfId="8048" xr:uid="{00000000-0005-0000-0000-0000C2280000}"/>
    <cellStyle name="Normal 2 3 7 3 3 2" xfId="15311" xr:uid="{00000000-0005-0000-0000-0000C3280000}"/>
    <cellStyle name="Normal 2 3 7 3 3 2 2" xfId="31626" xr:uid="{00000000-0005-0000-0000-0000C4280000}"/>
    <cellStyle name="Normal 2 3 7 3 3 3" xfId="24661" xr:uid="{00000000-0005-0000-0000-0000C5280000}"/>
    <cellStyle name="Normal 2 3 7 3 4" xfId="11363" xr:uid="{00000000-0005-0000-0000-0000C6280000}"/>
    <cellStyle name="Normal 2 3 7 3 4 2" xfId="27961" xr:uid="{00000000-0005-0000-0000-0000C7280000}"/>
    <cellStyle name="Normal 2 3 7 3 5" xfId="3838" xr:uid="{00000000-0005-0000-0000-0000C8280000}"/>
    <cellStyle name="Normal 2 3 7 3 5 2" xfId="20561" xr:uid="{00000000-0005-0000-0000-0000C9280000}"/>
    <cellStyle name="Normal 2 3 7 3 6" xfId="18965" xr:uid="{00000000-0005-0000-0000-0000CA280000}"/>
    <cellStyle name="Normal 2 3 7 4" xfId="5505" xr:uid="{00000000-0005-0000-0000-0000CB280000}"/>
    <cellStyle name="Normal 2 3 7 4 2" xfId="8856" xr:uid="{00000000-0005-0000-0000-0000CC280000}"/>
    <cellStyle name="Normal 2 3 7 4 2 2" xfId="16119" xr:uid="{00000000-0005-0000-0000-0000CD280000}"/>
    <cellStyle name="Normal 2 3 7 4 2 2 2" xfId="32434" xr:uid="{00000000-0005-0000-0000-0000CE280000}"/>
    <cellStyle name="Normal 2 3 7 4 2 3" xfId="25469" xr:uid="{00000000-0005-0000-0000-0000CF280000}"/>
    <cellStyle name="Normal 2 3 7 4 3" xfId="12198" xr:uid="{00000000-0005-0000-0000-0000D0280000}"/>
    <cellStyle name="Normal 2 3 7 4 3 2" xfId="28773" xr:uid="{00000000-0005-0000-0000-0000D1280000}"/>
    <cellStyle name="Normal 2 3 7 4 4" xfId="22169" xr:uid="{00000000-0005-0000-0000-0000D2280000}"/>
    <cellStyle name="Normal 2 3 7 5" xfId="7236" xr:uid="{00000000-0005-0000-0000-0000D3280000}"/>
    <cellStyle name="Normal 2 3 7 5 2" xfId="14499" xr:uid="{00000000-0005-0000-0000-0000D4280000}"/>
    <cellStyle name="Normal 2 3 7 5 2 2" xfId="30814" xr:uid="{00000000-0005-0000-0000-0000D5280000}"/>
    <cellStyle name="Normal 2 3 7 5 3" xfId="23849" xr:uid="{00000000-0005-0000-0000-0000D6280000}"/>
    <cellStyle name="Normal 2 3 7 6" xfId="10551" xr:uid="{00000000-0005-0000-0000-0000D7280000}"/>
    <cellStyle name="Normal 2 3 7 6 2" xfId="27149" xr:uid="{00000000-0005-0000-0000-0000D8280000}"/>
    <cellStyle name="Normal 2 3 7 7" xfId="3835" xr:uid="{00000000-0005-0000-0000-0000D9280000}"/>
    <cellStyle name="Normal 2 3 7 7 2" xfId="20558" xr:uid="{00000000-0005-0000-0000-0000DA280000}"/>
    <cellStyle name="Normal 2 3 7 8" xfId="18962" xr:uid="{00000000-0005-0000-0000-0000DB280000}"/>
    <cellStyle name="Normal 2 3 8" xfId="2235" xr:uid="{00000000-0005-0000-0000-0000DC280000}"/>
    <cellStyle name="Normal 2 3 8 2" xfId="2236" xr:uid="{00000000-0005-0000-0000-0000DD280000}"/>
    <cellStyle name="Normal 2 3 8 2 2" xfId="6356" xr:uid="{00000000-0005-0000-0000-0000DE280000}"/>
    <cellStyle name="Normal 2 3 8 2 2 2" xfId="9707" xr:uid="{00000000-0005-0000-0000-0000DF280000}"/>
    <cellStyle name="Normal 2 3 8 2 2 2 2" xfId="16970" xr:uid="{00000000-0005-0000-0000-0000E0280000}"/>
    <cellStyle name="Normal 2 3 8 2 2 2 2 2" xfId="33285" xr:uid="{00000000-0005-0000-0000-0000E1280000}"/>
    <cellStyle name="Normal 2 3 8 2 2 2 3" xfId="26320" xr:uid="{00000000-0005-0000-0000-0000E2280000}"/>
    <cellStyle name="Normal 2 3 8 2 2 3" xfId="13049" xr:uid="{00000000-0005-0000-0000-0000E3280000}"/>
    <cellStyle name="Normal 2 3 8 2 2 3 2" xfId="29624" xr:uid="{00000000-0005-0000-0000-0000E4280000}"/>
    <cellStyle name="Normal 2 3 8 2 2 4" xfId="23020" xr:uid="{00000000-0005-0000-0000-0000E5280000}"/>
    <cellStyle name="Normal 2 3 8 2 3" xfId="8086" xr:uid="{00000000-0005-0000-0000-0000E6280000}"/>
    <cellStyle name="Normal 2 3 8 2 3 2" xfId="15349" xr:uid="{00000000-0005-0000-0000-0000E7280000}"/>
    <cellStyle name="Normal 2 3 8 2 3 2 2" xfId="31664" xr:uid="{00000000-0005-0000-0000-0000E8280000}"/>
    <cellStyle name="Normal 2 3 8 2 3 3" xfId="24699" xr:uid="{00000000-0005-0000-0000-0000E9280000}"/>
    <cellStyle name="Normal 2 3 8 2 4" xfId="11401" xr:uid="{00000000-0005-0000-0000-0000EA280000}"/>
    <cellStyle name="Normal 2 3 8 2 4 2" xfId="27999" xr:uid="{00000000-0005-0000-0000-0000EB280000}"/>
    <cellStyle name="Normal 2 3 8 2 5" xfId="3840" xr:uid="{00000000-0005-0000-0000-0000EC280000}"/>
    <cellStyle name="Normal 2 3 8 2 5 2" xfId="20563" xr:uid="{00000000-0005-0000-0000-0000ED280000}"/>
    <cellStyle name="Normal 2 3 8 2 6" xfId="18967" xr:uid="{00000000-0005-0000-0000-0000EE280000}"/>
    <cellStyle name="Normal 2 3 8 3" xfId="5544" xr:uid="{00000000-0005-0000-0000-0000EF280000}"/>
    <cellStyle name="Normal 2 3 8 3 2" xfId="8895" xr:uid="{00000000-0005-0000-0000-0000F0280000}"/>
    <cellStyle name="Normal 2 3 8 3 2 2" xfId="16158" xr:uid="{00000000-0005-0000-0000-0000F1280000}"/>
    <cellStyle name="Normal 2 3 8 3 2 2 2" xfId="32473" xr:uid="{00000000-0005-0000-0000-0000F2280000}"/>
    <cellStyle name="Normal 2 3 8 3 2 3" xfId="25508" xr:uid="{00000000-0005-0000-0000-0000F3280000}"/>
    <cellStyle name="Normal 2 3 8 3 3" xfId="12237" xr:uid="{00000000-0005-0000-0000-0000F4280000}"/>
    <cellStyle name="Normal 2 3 8 3 3 2" xfId="28812" xr:uid="{00000000-0005-0000-0000-0000F5280000}"/>
    <cellStyle name="Normal 2 3 8 3 4" xfId="22208" xr:uid="{00000000-0005-0000-0000-0000F6280000}"/>
    <cellStyle name="Normal 2 3 8 4" xfId="7274" xr:uid="{00000000-0005-0000-0000-0000F7280000}"/>
    <cellStyle name="Normal 2 3 8 4 2" xfId="14537" xr:uid="{00000000-0005-0000-0000-0000F8280000}"/>
    <cellStyle name="Normal 2 3 8 4 2 2" xfId="30852" xr:uid="{00000000-0005-0000-0000-0000F9280000}"/>
    <cellStyle name="Normal 2 3 8 4 3" xfId="23887" xr:uid="{00000000-0005-0000-0000-0000FA280000}"/>
    <cellStyle name="Normal 2 3 8 5" xfId="10589" xr:uid="{00000000-0005-0000-0000-0000FB280000}"/>
    <cellStyle name="Normal 2 3 8 5 2" xfId="27187" xr:uid="{00000000-0005-0000-0000-0000FC280000}"/>
    <cellStyle name="Normal 2 3 8 6" xfId="3839" xr:uid="{00000000-0005-0000-0000-0000FD280000}"/>
    <cellStyle name="Normal 2 3 8 6 2" xfId="20562" xr:uid="{00000000-0005-0000-0000-0000FE280000}"/>
    <cellStyle name="Normal 2 3 8 7" xfId="18966" xr:uid="{00000000-0005-0000-0000-0000FF280000}"/>
    <cellStyle name="Normal 2 3 9" xfId="2237" xr:uid="{00000000-0005-0000-0000-000000290000}"/>
    <cellStyle name="Normal 2 3 9 2" xfId="5950" xr:uid="{00000000-0005-0000-0000-000001290000}"/>
    <cellStyle name="Normal 2 3 9 2 2" xfId="9301" xr:uid="{00000000-0005-0000-0000-000002290000}"/>
    <cellStyle name="Normal 2 3 9 2 2 2" xfId="16564" xr:uid="{00000000-0005-0000-0000-000003290000}"/>
    <cellStyle name="Normal 2 3 9 2 2 2 2" xfId="32879" xr:uid="{00000000-0005-0000-0000-000004290000}"/>
    <cellStyle name="Normal 2 3 9 2 2 3" xfId="25914" xr:uid="{00000000-0005-0000-0000-000005290000}"/>
    <cellStyle name="Normal 2 3 9 2 3" xfId="12643" xr:uid="{00000000-0005-0000-0000-000006290000}"/>
    <cellStyle name="Normal 2 3 9 2 3 2" xfId="29218" xr:uid="{00000000-0005-0000-0000-000007290000}"/>
    <cellStyle name="Normal 2 3 9 2 4" xfId="22614" xr:uid="{00000000-0005-0000-0000-000008290000}"/>
    <cellStyle name="Normal 2 3 9 3" xfId="7680" xr:uid="{00000000-0005-0000-0000-000009290000}"/>
    <cellStyle name="Normal 2 3 9 3 2" xfId="14943" xr:uid="{00000000-0005-0000-0000-00000A290000}"/>
    <cellStyle name="Normal 2 3 9 3 2 2" xfId="31258" xr:uid="{00000000-0005-0000-0000-00000B290000}"/>
    <cellStyle name="Normal 2 3 9 3 3" xfId="24293" xr:uid="{00000000-0005-0000-0000-00000C290000}"/>
    <cellStyle name="Normal 2 3 9 4" xfId="10995" xr:uid="{00000000-0005-0000-0000-00000D290000}"/>
    <cellStyle name="Normal 2 3 9 4 2" xfId="27593" xr:uid="{00000000-0005-0000-0000-00000E290000}"/>
    <cellStyle name="Normal 2 3 9 5" xfId="3841" xr:uid="{00000000-0005-0000-0000-00000F290000}"/>
    <cellStyle name="Normal 2 3 9 5 2" xfId="20564" xr:uid="{00000000-0005-0000-0000-000010290000}"/>
    <cellStyle name="Normal 2 3 9 6" xfId="18968" xr:uid="{00000000-0005-0000-0000-000011290000}"/>
    <cellStyle name="Normal 2 4" xfId="517" xr:uid="{00000000-0005-0000-0000-000012290000}"/>
    <cellStyle name="Normal 2 4 10" xfId="2238" xr:uid="{00000000-0005-0000-0000-000013290000}"/>
    <cellStyle name="Normal 2 4 10 2" xfId="6806" xr:uid="{00000000-0005-0000-0000-000014290000}"/>
    <cellStyle name="Normal 2 4 10 2 2" xfId="10119" xr:uid="{00000000-0005-0000-0000-000015290000}"/>
    <cellStyle name="Normal 2 4 10 2 2 2" xfId="17382" xr:uid="{00000000-0005-0000-0000-000016290000}"/>
    <cellStyle name="Normal 2 4 10 2 2 2 2" xfId="33697" xr:uid="{00000000-0005-0000-0000-000017290000}"/>
    <cellStyle name="Normal 2 4 10 2 2 3" xfId="26732" xr:uid="{00000000-0005-0000-0000-000018290000}"/>
    <cellStyle name="Normal 2 4 10 2 3" xfId="13464" xr:uid="{00000000-0005-0000-0000-000019290000}"/>
    <cellStyle name="Normal 2 4 10 2 3 2" xfId="30036" xr:uid="{00000000-0005-0000-0000-00001A290000}"/>
    <cellStyle name="Normal 2 4 10 2 4" xfId="23432" xr:uid="{00000000-0005-0000-0000-00001B290000}"/>
    <cellStyle name="Normal 2 4 10 3" xfId="8441" xr:uid="{00000000-0005-0000-0000-00001C290000}"/>
    <cellStyle name="Normal 2 4 10 3 2" xfId="15704" xr:uid="{00000000-0005-0000-0000-00001D290000}"/>
    <cellStyle name="Normal 2 4 10 3 2 2" xfId="32019" xr:uid="{00000000-0005-0000-0000-00001E290000}"/>
    <cellStyle name="Normal 2 4 10 3 3" xfId="25054" xr:uid="{00000000-0005-0000-0000-00001F290000}"/>
    <cellStyle name="Normal 2 4 10 4" xfId="11756" xr:uid="{00000000-0005-0000-0000-000020290000}"/>
    <cellStyle name="Normal 2 4 10 4 2" xfId="28354" xr:uid="{00000000-0005-0000-0000-000021290000}"/>
    <cellStyle name="Normal 2 4 10 5" xfId="5035" xr:uid="{00000000-0005-0000-0000-000022290000}"/>
    <cellStyle name="Normal 2 4 10 5 2" xfId="21754" xr:uid="{00000000-0005-0000-0000-000023290000}"/>
    <cellStyle name="Normal 2 4 10 6" xfId="18969" xr:uid="{00000000-0005-0000-0000-000024290000}"/>
    <cellStyle name="Normal 2 4 11" xfId="5112" xr:uid="{00000000-0005-0000-0000-000025290000}"/>
    <cellStyle name="Normal 2 4 11 2" xfId="8465" xr:uid="{00000000-0005-0000-0000-000026290000}"/>
    <cellStyle name="Normal 2 4 11 2 2" xfId="15728" xr:uid="{00000000-0005-0000-0000-000027290000}"/>
    <cellStyle name="Normal 2 4 11 2 2 2" xfId="32043" xr:uid="{00000000-0005-0000-0000-000028290000}"/>
    <cellStyle name="Normal 2 4 11 2 3" xfId="25078" xr:uid="{00000000-0005-0000-0000-000029290000}"/>
    <cellStyle name="Normal 2 4 11 3" xfId="11806" xr:uid="{00000000-0005-0000-0000-00002A290000}"/>
    <cellStyle name="Normal 2 4 11 3 2" xfId="28382" xr:uid="{00000000-0005-0000-0000-00002B290000}"/>
    <cellStyle name="Normal 2 4 11 4" xfId="21778" xr:uid="{00000000-0005-0000-0000-00002C290000}"/>
    <cellStyle name="Normal 2 4 12" xfId="6851" xr:uid="{00000000-0005-0000-0000-00002D290000}"/>
    <cellStyle name="Normal 2 4 12 2" xfId="14114" xr:uid="{00000000-0005-0000-0000-00002E290000}"/>
    <cellStyle name="Normal 2 4 12 2 2" xfId="30429" xr:uid="{00000000-0005-0000-0000-00002F290000}"/>
    <cellStyle name="Normal 2 4 12 3" xfId="23464" xr:uid="{00000000-0005-0000-0000-000030290000}"/>
    <cellStyle name="Normal 2 4 13" xfId="10155" xr:uid="{00000000-0005-0000-0000-000031290000}"/>
    <cellStyle name="Normal 2 4 13 2" xfId="26764" xr:uid="{00000000-0005-0000-0000-000032290000}"/>
    <cellStyle name="Normal 2 4 14" xfId="3842" xr:uid="{00000000-0005-0000-0000-000033290000}"/>
    <cellStyle name="Normal 2 4 14 2" xfId="20565" xr:uid="{00000000-0005-0000-0000-000034290000}"/>
    <cellStyle name="Normal 2 4 15" xfId="17414" xr:uid="{00000000-0005-0000-0000-000035290000}"/>
    <cellStyle name="Normal 2 4 2" xfId="596" xr:uid="{00000000-0005-0000-0000-000036290000}"/>
    <cellStyle name="Normal 2 4 2 10" xfId="3843" xr:uid="{00000000-0005-0000-0000-000037290000}"/>
    <cellStyle name="Normal 2 4 2 10 2" xfId="20566" xr:uid="{00000000-0005-0000-0000-000038290000}"/>
    <cellStyle name="Normal 2 4 2 11" xfId="17431" xr:uid="{00000000-0005-0000-0000-000039290000}"/>
    <cellStyle name="Normal 2 4 2 2" xfId="687" xr:uid="{00000000-0005-0000-0000-00003A290000}"/>
    <cellStyle name="Normal 2 4 2 2 10" xfId="17501" xr:uid="{00000000-0005-0000-0000-00003B290000}"/>
    <cellStyle name="Normal 2 4 2 2 2" xfId="1022" xr:uid="{00000000-0005-0000-0000-00003C290000}"/>
    <cellStyle name="Normal 2 4 2 2 2 2" xfId="1132" xr:uid="{00000000-0005-0000-0000-00003D290000}"/>
    <cellStyle name="Normal 2 4 2 2 2 2 2" xfId="1653" xr:uid="{00000000-0005-0000-0000-00003E290000}"/>
    <cellStyle name="Normal 2 4 2 2 2 2 2 2" xfId="2244" xr:uid="{00000000-0005-0000-0000-00003F290000}"/>
    <cellStyle name="Normal 2 4 2 2 2 2 2 2 2" xfId="6547" xr:uid="{00000000-0005-0000-0000-000040290000}"/>
    <cellStyle name="Normal 2 4 2 2 2 2 2 2 2 2" xfId="9898" xr:uid="{00000000-0005-0000-0000-000041290000}"/>
    <cellStyle name="Normal 2 4 2 2 2 2 2 2 2 2 2" xfId="17161" xr:uid="{00000000-0005-0000-0000-000042290000}"/>
    <cellStyle name="Normal 2 4 2 2 2 2 2 2 2 2 2 2" xfId="33476" xr:uid="{00000000-0005-0000-0000-000043290000}"/>
    <cellStyle name="Normal 2 4 2 2 2 2 2 2 2 2 3" xfId="26511" xr:uid="{00000000-0005-0000-0000-000044290000}"/>
    <cellStyle name="Normal 2 4 2 2 2 2 2 2 2 3" xfId="13240" xr:uid="{00000000-0005-0000-0000-000045290000}"/>
    <cellStyle name="Normal 2 4 2 2 2 2 2 2 2 3 2" xfId="29815" xr:uid="{00000000-0005-0000-0000-000046290000}"/>
    <cellStyle name="Normal 2 4 2 2 2 2 2 2 2 4" xfId="23211" xr:uid="{00000000-0005-0000-0000-000047290000}"/>
    <cellStyle name="Normal 2 4 2 2 2 2 2 2 3" xfId="8277" xr:uid="{00000000-0005-0000-0000-000048290000}"/>
    <cellStyle name="Normal 2 4 2 2 2 2 2 2 3 2" xfId="15540" xr:uid="{00000000-0005-0000-0000-000049290000}"/>
    <cellStyle name="Normal 2 4 2 2 2 2 2 2 3 2 2" xfId="31855" xr:uid="{00000000-0005-0000-0000-00004A290000}"/>
    <cellStyle name="Normal 2 4 2 2 2 2 2 2 3 3" xfId="24890" xr:uid="{00000000-0005-0000-0000-00004B290000}"/>
    <cellStyle name="Normal 2 4 2 2 2 2 2 2 4" xfId="11592" xr:uid="{00000000-0005-0000-0000-00004C290000}"/>
    <cellStyle name="Normal 2 4 2 2 2 2 2 2 4 2" xfId="28190" xr:uid="{00000000-0005-0000-0000-00004D290000}"/>
    <cellStyle name="Normal 2 4 2 2 2 2 2 2 5" xfId="3848" xr:uid="{00000000-0005-0000-0000-00004E290000}"/>
    <cellStyle name="Normal 2 4 2 2 2 2 2 2 5 2" xfId="20571" xr:uid="{00000000-0005-0000-0000-00004F290000}"/>
    <cellStyle name="Normal 2 4 2 2 2 2 2 2 6" xfId="18975" xr:uid="{00000000-0005-0000-0000-000050290000}"/>
    <cellStyle name="Normal 2 4 2 2 2 2 2 3" xfId="2243" xr:uid="{00000000-0005-0000-0000-000051290000}"/>
    <cellStyle name="Normal 2 4 2 2 2 2 2 3 2" xfId="9122" xr:uid="{00000000-0005-0000-0000-000052290000}"/>
    <cellStyle name="Normal 2 4 2 2 2 2 2 3 2 2" xfId="16385" xr:uid="{00000000-0005-0000-0000-000053290000}"/>
    <cellStyle name="Normal 2 4 2 2 2 2 2 3 2 2 2" xfId="32700" xr:uid="{00000000-0005-0000-0000-000054290000}"/>
    <cellStyle name="Normal 2 4 2 2 2 2 2 3 2 3" xfId="25735" xr:uid="{00000000-0005-0000-0000-000055290000}"/>
    <cellStyle name="Normal 2 4 2 2 2 2 2 3 3" xfId="12464" xr:uid="{00000000-0005-0000-0000-000056290000}"/>
    <cellStyle name="Normal 2 4 2 2 2 2 2 3 3 2" xfId="29039" xr:uid="{00000000-0005-0000-0000-000057290000}"/>
    <cellStyle name="Normal 2 4 2 2 2 2 2 3 4" xfId="5771" xr:uid="{00000000-0005-0000-0000-000058290000}"/>
    <cellStyle name="Normal 2 4 2 2 2 2 2 3 4 2" xfId="22435" xr:uid="{00000000-0005-0000-0000-000059290000}"/>
    <cellStyle name="Normal 2 4 2 2 2 2 2 3 5" xfId="18974" xr:uid="{00000000-0005-0000-0000-00005A290000}"/>
    <cellStyle name="Normal 2 4 2 2 2 2 2 4" xfId="7501" xr:uid="{00000000-0005-0000-0000-00005B290000}"/>
    <cellStyle name="Normal 2 4 2 2 2 2 2 4 2" xfId="14764" xr:uid="{00000000-0005-0000-0000-00005C290000}"/>
    <cellStyle name="Normal 2 4 2 2 2 2 2 4 2 2" xfId="31079" xr:uid="{00000000-0005-0000-0000-00005D290000}"/>
    <cellStyle name="Normal 2 4 2 2 2 2 2 4 3" xfId="24114" xr:uid="{00000000-0005-0000-0000-00005E290000}"/>
    <cellStyle name="Normal 2 4 2 2 2 2 2 5" xfId="10816" xr:uid="{00000000-0005-0000-0000-00005F290000}"/>
    <cellStyle name="Normal 2 4 2 2 2 2 2 5 2" xfId="27414" xr:uid="{00000000-0005-0000-0000-000060290000}"/>
    <cellStyle name="Normal 2 4 2 2 2 2 2 6" xfId="3847" xr:uid="{00000000-0005-0000-0000-000061290000}"/>
    <cellStyle name="Normal 2 4 2 2 2 2 2 6 2" xfId="20570" xr:uid="{00000000-0005-0000-0000-000062290000}"/>
    <cellStyle name="Normal 2 4 2 2 2 2 2 7" xfId="18388" xr:uid="{00000000-0005-0000-0000-000063290000}"/>
    <cellStyle name="Normal 2 4 2 2 2 2 3" xfId="2245" xr:uid="{00000000-0005-0000-0000-000064290000}"/>
    <cellStyle name="Normal 2 4 2 2 2 2 3 2" xfId="6177" xr:uid="{00000000-0005-0000-0000-000065290000}"/>
    <cellStyle name="Normal 2 4 2 2 2 2 3 2 2" xfId="9528" xr:uid="{00000000-0005-0000-0000-000066290000}"/>
    <cellStyle name="Normal 2 4 2 2 2 2 3 2 2 2" xfId="16791" xr:uid="{00000000-0005-0000-0000-000067290000}"/>
    <cellStyle name="Normal 2 4 2 2 2 2 3 2 2 2 2" xfId="33106" xr:uid="{00000000-0005-0000-0000-000068290000}"/>
    <cellStyle name="Normal 2 4 2 2 2 2 3 2 2 3" xfId="26141" xr:uid="{00000000-0005-0000-0000-000069290000}"/>
    <cellStyle name="Normal 2 4 2 2 2 2 3 2 3" xfId="12870" xr:uid="{00000000-0005-0000-0000-00006A290000}"/>
    <cellStyle name="Normal 2 4 2 2 2 2 3 2 3 2" xfId="29445" xr:uid="{00000000-0005-0000-0000-00006B290000}"/>
    <cellStyle name="Normal 2 4 2 2 2 2 3 2 4" xfId="22841" xr:uid="{00000000-0005-0000-0000-00006C290000}"/>
    <cellStyle name="Normal 2 4 2 2 2 2 3 3" xfId="7907" xr:uid="{00000000-0005-0000-0000-00006D290000}"/>
    <cellStyle name="Normal 2 4 2 2 2 2 3 3 2" xfId="15170" xr:uid="{00000000-0005-0000-0000-00006E290000}"/>
    <cellStyle name="Normal 2 4 2 2 2 2 3 3 2 2" xfId="31485" xr:uid="{00000000-0005-0000-0000-00006F290000}"/>
    <cellStyle name="Normal 2 4 2 2 2 2 3 3 3" xfId="24520" xr:uid="{00000000-0005-0000-0000-000070290000}"/>
    <cellStyle name="Normal 2 4 2 2 2 2 3 4" xfId="11222" xr:uid="{00000000-0005-0000-0000-000071290000}"/>
    <cellStyle name="Normal 2 4 2 2 2 2 3 4 2" xfId="27820" xr:uid="{00000000-0005-0000-0000-000072290000}"/>
    <cellStyle name="Normal 2 4 2 2 2 2 3 5" xfId="3849" xr:uid="{00000000-0005-0000-0000-000073290000}"/>
    <cellStyle name="Normal 2 4 2 2 2 2 3 5 2" xfId="20572" xr:uid="{00000000-0005-0000-0000-000074290000}"/>
    <cellStyle name="Normal 2 4 2 2 2 2 3 6" xfId="18976" xr:uid="{00000000-0005-0000-0000-000075290000}"/>
    <cellStyle name="Normal 2 4 2 2 2 2 4" xfId="2242" xr:uid="{00000000-0005-0000-0000-000076290000}"/>
    <cellStyle name="Normal 2 4 2 2 2 2 4 2" xfId="8715" xr:uid="{00000000-0005-0000-0000-000077290000}"/>
    <cellStyle name="Normal 2 4 2 2 2 2 4 2 2" xfId="15978" xr:uid="{00000000-0005-0000-0000-000078290000}"/>
    <cellStyle name="Normal 2 4 2 2 2 2 4 2 2 2" xfId="32293" xr:uid="{00000000-0005-0000-0000-000079290000}"/>
    <cellStyle name="Normal 2 4 2 2 2 2 4 2 3" xfId="25328" xr:uid="{00000000-0005-0000-0000-00007A290000}"/>
    <cellStyle name="Normal 2 4 2 2 2 2 4 3" xfId="12057" xr:uid="{00000000-0005-0000-0000-00007B290000}"/>
    <cellStyle name="Normal 2 4 2 2 2 2 4 3 2" xfId="28632" xr:uid="{00000000-0005-0000-0000-00007C290000}"/>
    <cellStyle name="Normal 2 4 2 2 2 2 4 4" xfId="5364" xr:uid="{00000000-0005-0000-0000-00007D290000}"/>
    <cellStyle name="Normal 2 4 2 2 2 2 4 4 2" xfId="22028" xr:uid="{00000000-0005-0000-0000-00007E290000}"/>
    <cellStyle name="Normal 2 4 2 2 2 2 4 5" xfId="18973" xr:uid="{00000000-0005-0000-0000-00007F290000}"/>
    <cellStyle name="Normal 2 4 2 2 2 2 5" xfId="7095" xr:uid="{00000000-0005-0000-0000-000080290000}"/>
    <cellStyle name="Normal 2 4 2 2 2 2 5 2" xfId="14358" xr:uid="{00000000-0005-0000-0000-000081290000}"/>
    <cellStyle name="Normal 2 4 2 2 2 2 5 2 2" xfId="30673" xr:uid="{00000000-0005-0000-0000-000082290000}"/>
    <cellStyle name="Normal 2 4 2 2 2 2 5 3" xfId="23708" xr:uid="{00000000-0005-0000-0000-000083290000}"/>
    <cellStyle name="Normal 2 4 2 2 2 2 6" xfId="10410" xr:uid="{00000000-0005-0000-0000-000084290000}"/>
    <cellStyle name="Normal 2 4 2 2 2 2 6 2" xfId="27008" xr:uid="{00000000-0005-0000-0000-000085290000}"/>
    <cellStyle name="Normal 2 4 2 2 2 2 7" xfId="3846" xr:uid="{00000000-0005-0000-0000-000086290000}"/>
    <cellStyle name="Normal 2 4 2 2 2 2 7 2" xfId="20569" xr:uid="{00000000-0005-0000-0000-000087290000}"/>
    <cellStyle name="Normal 2 4 2 2 2 2 8" xfId="17869" xr:uid="{00000000-0005-0000-0000-000088290000}"/>
    <cellStyle name="Normal 2 4 2 2 2 3" xfId="1583" xr:uid="{00000000-0005-0000-0000-000089290000}"/>
    <cellStyle name="Normal 2 4 2 2 2 3 2" xfId="2247" xr:uid="{00000000-0005-0000-0000-00008A290000}"/>
    <cellStyle name="Normal 2 4 2 2 2 3 2 2" xfId="6371" xr:uid="{00000000-0005-0000-0000-00008B290000}"/>
    <cellStyle name="Normal 2 4 2 2 2 3 2 2 2" xfId="9722" xr:uid="{00000000-0005-0000-0000-00008C290000}"/>
    <cellStyle name="Normal 2 4 2 2 2 3 2 2 2 2" xfId="16985" xr:uid="{00000000-0005-0000-0000-00008D290000}"/>
    <cellStyle name="Normal 2 4 2 2 2 3 2 2 2 2 2" xfId="33300" xr:uid="{00000000-0005-0000-0000-00008E290000}"/>
    <cellStyle name="Normal 2 4 2 2 2 3 2 2 2 3" xfId="26335" xr:uid="{00000000-0005-0000-0000-00008F290000}"/>
    <cellStyle name="Normal 2 4 2 2 2 3 2 2 3" xfId="13064" xr:uid="{00000000-0005-0000-0000-000090290000}"/>
    <cellStyle name="Normal 2 4 2 2 2 3 2 2 3 2" xfId="29639" xr:uid="{00000000-0005-0000-0000-000091290000}"/>
    <cellStyle name="Normal 2 4 2 2 2 3 2 2 4" xfId="23035" xr:uid="{00000000-0005-0000-0000-000092290000}"/>
    <cellStyle name="Normal 2 4 2 2 2 3 2 3" xfId="8101" xr:uid="{00000000-0005-0000-0000-000093290000}"/>
    <cellStyle name="Normal 2 4 2 2 2 3 2 3 2" xfId="15364" xr:uid="{00000000-0005-0000-0000-000094290000}"/>
    <cellStyle name="Normal 2 4 2 2 2 3 2 3 2 2" xfId="31679" xr:uid="{00000000-0005-0000-0000-000095290000}"/>
    <cellStyle name="Normal 2 4 2 2 2 3 2 3 3" xfId="24714" xr:uid="{00000000-0005-0000-0000-000096290000}"/>
    <cellStyle name="Normal 2 4 2 2 2 3 2 4" xfId="11416" xr:uid="{00000000-0005-0000-0000-000097290000}"/>
    <cellStyle name="Normal 2 4 2 2 2 3 2 4 2" xfId="28014" xr:uid="{00000000-0005-0000-0000-000098290000}"/>
    <cellStyle name="Normal 2 4 2 2 2 3 2 5" xfId="3851" xr:uid="{00000000-0005-0000-0000-000099290000}"/>
    <cellStyle name="Normal 2 4 2 2 2 3 2 5 2" xfId="20574" xr:uid="{00000000-0005-0000-0000-00009A290000}"/>
    <cellStyle name="Normal 2 4 2 2 2 3 2 6" xfId="18978" xr:uid="{00000000-0005-0000-0000-00009B290000}"/>
    <cellStyle name="Normal 2 4 2 2 2 3 3" xfId="2246" xr:uid="{00000000-0005-0000-0000-00009C290000}"/>
    <cellStyle name="Normal 2 4 2 2 2 3 3 2" xfId="8910" xr:uid="{00000000-0005-0000-0000-00009D290000}"/>
    <cellStyle name="Normal 2 4 2 2 2 3 3 2 2" xfId="16173" xr:uid="{00000000-0005-0000-0000-00009E290000}"/>
    <cellStyle name="Normal 2 4 2 2 2 3 3 2 2 2" xfId="32488" xr:uid="{00000000-0005-0000-0000-00009F290000}"/>
    <cellStyle name="Normal 2 4 2 2 2 3 3 2 3" xfId="25523" xr:uid="{00000000-0005-0000-0000-0000A0290000}"/>
    <cellStyle name="Normal 2 4 2 2 2 3 3 3" xfId="12252" xr:uid="{00000000-0005-0000-0000-0000A1290000}"/>
    <cellStyle name="Normal 2 4 2 2 2 3 3 3 2" xfId="28827" xr:uid="{00000000-0005-0000-0000-0000A2290000}"/>
    <cellStyle name="Normal 2 4 2 2 2 3 3 4" xfId="5559" xr:uid="{00000000-0005-0000-0000-0000A3290000}"/>
    <cellStyle name="Normal 2 4 2 2 2 3 3 4 2" xfId="22223" xr:uid="{00000000-0005-0000-0000-0000A4290000}"/>
    <cellStyle name="Normal 2 4 2 2 2 3 3 5" xfId="18977" xr:uid="{00000000-0005-0000-0000-0000A5290000}"/>
    <cellStyle name="Normal 2 4 2 2 2 3 4" xfId="7289" xr:uid="{00000000-0005-0000-0000-0000A6290000}"/>
    <cellStyle name="Normal 2 4 2 2 2 3 4 2" xfId="14552" xr:uid="{00000000-0005-0000-0000-0000A7290000}"/>
    <cellStyle name="Normal 2 4 2 2 2 3 4 2 2" xfId="30867" xr:uid="{00000000-0005-0000-0000-0000A8290000}"/>
    <cellStyle name="Normal 2 4 2 2 2 3 4 3" xfId="23902" xr:uid="{00000000-0005-0000-0000-0000A9290000}"/>
    <cellStyle name="Normal 2 4 2 2 2 3 5" xfId="10604" xr:uid="{00000000-0005-0000-0000-0000AA290000}"/>
    <cellStyle name="Normal 2 4 2 2 2 3 5 2" xfId="27202" xr:uid="{00000000-0005-0000-0000-0000AB290000}"/>
    <cellStyle name="Normal 2 4 2 2 2 3 6" xfId="3850" xr:uid="{00000000-0005-0000-0000-0000AC290000}"/>
    <cellStyle name="Normal 2 4 2 2 2 3 6 2" xfId="20573" xr:uid="{00000000-0005-0000-0000-0000AD290000}"/>
    <cellStyle name="Normal 2 4 2 2 2 3 7" xfId="18318" xr:uid="{00000000-0005-0000-0000-0000AE290000}"/>
    <cellStyle name="Normal 2 4 2 2 2 4" xfId="2248" xr:uid="{00000000-0005-0000-0000-0000AF290000}"/>
    <cellStyle name="Normal 2 4 2 2 2 4 2" xfId="5965" xr:uid="{00000000-0005-0000-0000-0000B0290000}"/>
    <cellStyle name="Normal 2 4 2 2 2 4 2 2" xfId="9316" xr:uid="{00000000-0005-0000-0000-0000B1290000}"/>
    <cellStyle name="Normal 2 4 2 2 2 4 2 2 2" xfId="16579" xr:uid="{00000000-0005-0000-0000-0000B2290000}"/>
    <cellStyle name="Normal 2 4 2 2 2 4 2 2 2 2" xfId="32894" xr:uid="{00000000-0005-0000-0000-0000B3290000}"/>
    <cellStyle name="Normal 2 4 2 2 2 4 2 2 3" xfId="25929" xr:uid="{00000000-0005-0000-0000-0000B4290000}"/>
    <cellStyle name="Normal 2 4 2 2 2 4 2 3" xfId="12658" xr:uid="{00000000-0005-0000-0000-0000B5290000}"/>
    <cellStyle name="Normal 2 4 2 2 2 4 2 3 2" xfId="29233" xr:uid="{00000000-0005-0000-0000-0000B6290000}"/>
    <cellStyle name="Normal 2 4 2 2 2 4 2 4" xfId="22629" xr:uid="{00000000-0005-0000-0000-0000B7290000}"/>
    <cellStyle name="Normal 2 4 2 2 2 4 3" xfId="7695" xr:uid="{00000000-0005-0000-0000-0000B8290000}"/>
    <cellStyle name="Normal 2 4 2 2 2 4 3 2" xfId="14958" xr:uid="{00000000-0005-0000-0000-0000B9290000}"/>
    <cellStyle name="Normal 2 4 2 2 2 4 3 2 2" xfId="31273" xr:uid="{00000000-0005-0000-0000-0000BA290000}"/>
    <cellStyle name="Normal 2 4 2 2 2 4 3 3" xfId="24308" xr:uid="{00000000-0005-0000-0000-0000BB290000}"/>
    <cellStyle name="Normal 2 4 2 2 2 4 4" xfId="11010" xr:uid="{00000000-0005-0000-0000-0000BC290000}"/>
    <cellStyle name="Normal 2 4 2 2 2 4 4 2" xfId="27608" xr:uid="{00000000-0005-0000-0000-0000BD290000}"/>
    <cellStyle name="Normal 2 4 2 2 2 4 5" xfId="3852" xr:uid="{00000000-0005-0000-0000-0000BE290000}"/>
    <cellStyle name="Normal 2 4 2 2 2 4 5 2" xfId="20575" xr:uid="{00000000-0005-0000-0000-0000BF290000}"/>
    <cellStyle name="Normal 2 4 2 2 2 4 6" xfId="18979" xr:uid="{00000000-0005-0000-0000-0000C0290000}"/>
    <cellStyle name="Normal 2 4 2 2 2 5" xfId="2241" xr:uid="{00000000-0005-0000-0000-0000C1290000}"/>
    <cellStyle name="Normal 2 4 2 2 2 5 2" xfId="8644" xr:uid="{00000000-0005-0000-0000-0000C2290000}"/>
    <cellStyle name="Normal 2 4 2 2 2 5 2 2" xfId="15907" xr:uid="{00000000-0005-0000-0000-0000C3290000}"/>
    <cellStyle name="Normal 2 4 2 2 2 5 2 2 2" xfId="32222" xr:uid="{00000000-0005-0000-0000-0000C4290000}"/>
    <cellStyle name="Normal 2 4 2 2 2 5 2 3" xfId="25257" xr:uid="{00000000-0005-0000-0000-0000C5290000}"/>
    <cellStyle name="Normal 2 4 2 2 2 5 3" xfId="11986" xr:uid="{00000000-0005-0000-0000-0000C6290000}"/>
    <cellStyle name="Normal 2 4 2 2 2 5 3 2" xfId="28561" xr:uid="{00000000-0005-0000-0000-0000C7290000}"/>
    <cellStyle name="Normal 2 4 2 2 2 5 4" xfId="5293" xr:uid="{00000000-0005-0000-0000-0000C8290000}"/>
    <cellStyle name="Normal 2 4 2 2 2 5 4 2" xfId="21957" xr:uid="{00000000-0005-0000-0000-0000C9290000}"/>
    <cellStyle name="Normal 2 4 2 2 2 5 5" xfId="18972" xr:uid="{00000000-0005-0000-0000-0000CA290000}"/>
    <cellStyle name="Normal 2 4 2 2 2 6" xfId="7025" xr:uid="{00000000-0005-0000-0000-0000CB290000}"/>
    <cellStyle name="Normal 2 4 2 2 2 6 2" xfId="14288" xr:uid="{00000000-0005-0000-0000-0000CC290000}"/>
    <cellStyle name="Normal 2 4 2 2 2 6 2 2" xfId="30603" xr:uid="{00000000-0005-0000-0000-0000CD290000}"/>
    <cellStyle name="Normal 2 4 2 2 2 6 3" xfId="23638" xr:uid="{00000000-0005-0000-0000-0000CE290000}"/>
    <cellStyle name="Normal 2 4 2 2 2 7" xfId="10339" xr:uid="{00000000-0005-0000-0000-0000CF290000}"/>
    <cellStyle name="Normal 2 4 2 2 2 7 2" xfId="26938" xr:uid="{00000000-0005-0000-0000-0000D0290000}"/>
    <cellStyle name="Normal 2 4 2 2 2 8" xfId="3845" xr:uid="{00000000-0005-0000-0000-0000D1290000}"/>
    <cellStyle name="Normal 2 4 2 2 2 8 2" xfId="20568" xr:uid="{00000000-0005-0000-0000-0000D2290000}"/>
    <cellStyle name="Normal 2 4 2 2 2 9" xfId="17799" xr:uid="{00000000-0005-0000-0000-0000D3290000}"/>
    <cellStyle name="Normal 2 4 2 2 3" xfId="1131" xr:uid="{00000000-0005-0000-0000-0000D4290000}"/>
    <cellStyle name="Normal 2 4 2 2 3 2" xfId="1652" xr:uid="{00000000-0005-0000-0000-0000D5290000}"/>
    <cellStyle name="Normal 2 4 2 2 3 2 2" xfId="2251" xr:uid="{00000000-0005-0000-0000-0000D6290000}"/>
    <cellStyle name="Normal 2 4 2 2 3 2 2 2" xfId="6546" xr:uid="{00000000-0005-0000-0000-0000D7290000}"/>
    <cellStyle name="Normal 2 4 2 2 3 2 2 2 2" xfId="9897" xr:uid="{00000000-0005-0000-0000-0000D8290000}"/>
    <cellStyle name="Normal 2 4 2 2 3 2 2 2 2 2" xfId="17160" xr:uid="{00000000-0005-0000-0000-0000D9290000}"/>
    <cellStyle name="Normal 2 4 2 2 3 2 2 2 2 2 2" xfId="33475" xr:uid="{00000000-0005-0000-0000-0000DA290000}"/>
    <cellStyle name="Normal 2 4 2 2 3 2 2 2 2 3" xfId="26510" xr:uid="{00000000-0005-0000-0000-0000DB290000}"/>
    <cellStyle name="Normal 2 4 2 2 3 2 2 2 3" xfId="13239" xr:uid="{00000000-0005-0000-0000-0000DC290000}"/>
    <cellStyle name="Normal 2 4 2 2 3 2 2 2 3 2" xfId="29814" xr:uid="{00000000-0005-0000-0000-0000DD290000}"/>
    <cellStyle name="Normal 2 4 2 2 3 2 2 2 4" xfId="23210" xr:uid="{00000000-0005-0000-0000-0000DE290000}"/>
    <cellStyle name="Normal 2 4 2 2 3 2 2 3" xfId="8276" xr:uid="{00000000-0005-0000-0000-0000DF290000}"/>
    <cellStyle name="Normal 2 4 2 2 3 2 2 3 2" xfId="15539" xr:uid="{00000000-0005-0000-0000-0000E0290000}"/>
    <cellStyle name="Normal 2 4 2 2 3 2 2 3 2 2" xfId="31854" xr:uid="{00000000-0005-0000-0000-0000E1290000}"/>
    <cellStyle name="Normal 2 4 2 2 3 2 2 3 3" xfId="24889" xr:uid="{00000000-0005-0000-0000-0000E2290000}"/>
    <cellStyle name="Normal 2 4 2 2 3 2 2 4" xfId="11591" xr:uid="{00000000-0005-0000-0000-0000E3290000}"/>
    <cellStyle name="Normal 2 4 2 2 3 2 2 4 2" xfId="28189" xr:uid="{00000000-0005-0000-0000-0000E4290000}"/>
    <cellStyle name="Normal 2 4 2 2 3 2 2 5" xfId="3855" xr:uid="{00000000-0005-0000-0000-0000E5290000}"/>
    <cellStyle name="Normal 2 4 2 2 3 2 2 5 2" xfId="20578" xr:uid="{00000000-0005-0000-0000-0000E6290000}"/>
    <cellStyle name="Normal 2 4 2 2 3 2 2 6" xfId="18982" xr:uid="{00000000-0005-0000-0000-0000E7290000}"/>
    <cellStyle name="Normal 2 4 2 2 3 2 3" xfId="2250" xr:uid="{00000000-0005-0000-0000-0000E8290000}"/>
    <cellStyle name="Normal 2 4 2 2 3 2 3 2" xfId="9121" xr:uid="{00000000-0005-0000-0000-0000E9290000}"/>
    <cellStyle name="Normal 2 4 2 2 3 2 3 2 2" xfId="16384" xr:uid="{00000000-0005-0000-0000-0000EA290000}"/>
    <cellStyle name="Normal 2 4 2 2 3 2 3 2 2 2" xfId="32699" xr:uid="{00000000-0005-0000-0000-0000EB290000}"/>
    <cellStyle name="Normal 2 4 2 2 3 2 3 2 3" xfId="25734" xr:uid="{00000000-0005-0000-0000-0000EC290000}"/>
    <cellStyle name="Normal 2 4 2 2 3 2 3 3" xfId="12463" xr:uid="{00000000-0005-0000-0000-0000ED290000}"/>
    <cellStyle name="Normal 2 4 2 2 3 2 3 3 2" xfId="29038" xr:uid="{00000000-0005-0000-0000-0000EE290000}"/>
    <cellStyle name="Normal 2 4 2 2 3 2 3 4" xfId="5770" xr:uid="{00000000-0005-0000-0000-0000EF290000}"/>
    <cellStyle name="Normal 2 4 2 2 3 2 3 4 2" xfId="22434" xr:uid="{00000000-0005-0000-0000-0000F0290000}"/>
    <cellStyle name="Normal 2 4 2 2 3 2 3 5" xfId="18981" xr:uid="{00000000-0005-0000-0000-0000F1290000}"/>
    <cellStyle name="Normal 2 4 2 2 3 2 4" xfId="7500" xr:uid="{00000000-0005-0000-0000-0000F2290000}"/>
    <cellStyle name="Normal 2 4 2 2 3 2 4 2" xfId="14763" xr:uid="{00000000-0005-0000-0000-0000F3290000}"/>
    <cellStyle name="Normal 2 4 2 2 3 2 4 2 2" xfId="31078" xr:uid="{00000000-0005-0000-0000-0000F4290000}"/>
    <cellStyle name="Normal 2 4 2 2 3 2 4 3" xfId="24113" xr:uid="{00000000-0005-0000-0000-0000F5290000}"/>
    <cellStyle name="Normal 2 4 2 2 3 2 5" xfId="10815" xr:uid="{00000000-0005-0000-0000-0000F6290000}"/>
    <cellStyle name="Normal 2 4 2 2 3 2 5 2" xfId="27413" xr:uid="{00000000-0005-0000-0000-0000F7290000}"/>
    <cellStyle name="Normal 2 4 2 2 3 2 6" xfId="3854" xr:uid="{00000000-0005-0000-0000-0000F8290000}"/>
    <cellStyle name="Normal 2 4 2 2 3 2 6 2" xfId="20577" xr:uid="{00000000-0005-0000-0000-0000F9290000}"/>
    <cellStyle name="Normal 2 4 2 2 3 2 7" xfId="18387" xr:uid="{00000000-0005-0000-0000-0000FA290000}"/>
    <cellStyle name="Normal 2 4 2 2 3 3" xfId="2252" xr:uid="{00000000-0005-0000-0000-0000FB290000}"/>
    <cellStyle name="Normal 2 4 2 2 3 3 2" xfId="6176" xr:uid="{00000000-0005-0000-0000-0000FC290000}"/>
    <cellStyle name="Normal 2 4 2 2 3 3 2 2" xfId="9527" xr:uid="{00000000-0005-0000-0000-0000FD290000}"/>
    <cellStyle name="Normal 2 4 2 2 3 3 2 2 2" xfId="16790" xr:uid="{00000000-0005-0000-0000-0000FE290000}"/>
    <cellStyle name="Normal 2 4 2 2 3 3 2 2 2 2" xfId="33105" xr:uid="{00000000-0005-0000-0000-0000FF290000}"/>
    <cellStyle name="Normal 2 4 2 2 3 3 2 2 3" xfId="26140" xr:uid="{00000000-0005-0000-0000-0000002A0000}"/>
    <cellStyle name="Normal 2 4 2 2 3 3 2 3" xfId="12869" xr:uid="{00000000-0005-0000-0000-0000012A0000}"/>
    <cellStyle name="Normal 2 4 2 2 3 3 2 3 2" xfId="29444" xr:uid="{00000000-0005-0000-0000-0000022A0000}"/>
    <cellStyle name="Normal 2 4 2 2 3 3 2 4" xfId="22840" xr:uid="{00000000-0005-0000-0000-0000032A0000}"/>
    <cellStyle name="Normal 2 4 2 2 3 3 3" xfId="7906" xr:uid="{00000000-0005-0000-0000-0000042A0000}"/>
    <cellStyle name="Normal 2 4 2 2 3 3 3 2" xfId="15169" xr:uid="{00000000-0005-0000-0000-0000052A0000}"/>
    <cellStyle name="Normal 2 4 2 2 3 3 3 2 2" xfId="31484" xr:uid="{00000000-0005-0000-0000-0000062A0000}"/>
    <cellStyle name="Normal 2 4 2 2 3 3 3 3" xfId="24519" xr:uid="{00000000-0005-0000-0000-0000072A0000}"/>
    <cellStyle name="Normal 2 4 2 2 3 3 4" xfId="11221" xr:uid="{00000000-0005-0000-0000-0000082A0000}"/>
    <cellStyle name="Normal 2 4 2 2 3 3 4 2" xfId="27819" xr:uid="{00000000-0005-0000-0000-0000092A0000}"/>
    <cellStyle name="Normal 2 4 2 2 3 3 5" xfId="3856" xr:uid="{00000000-0005-0000-0000-00000A2A0000}"/>
    <cellStyle name="Normal 2 4 2 2 3 3 5 2" xfId="20579" xr:uid="{00000000-0005-0000-0000-00000B2A0000}"/>
    <cellStyle name="Normal 2 4 2 2 3 3 6" xfId="18983" xr:uid="{00000000-0005-0000-0000-00000C2A0000}"/>
    <cellStyle name="Normal 2 4 2 2 3 4" xfId="2249" xr:uid="{00000000-0005-0000-0000-00000D2A0000}"/>
    <cellStyle name="Normal 2 4 2 2 3 4 2" xfId="8714" xr:uid="{00000000-0005-0000-0000-00000E2A0000}"/>
    <cellStyle name="Normal 2 4 2 2 3 4 2 2" xfId="15977" xr:uid="{00000000-0005-0000-0000-00000F2A0000}"/>
    <cellStyle name="Normal 2 4 2 2 3 4 2 2 2" xfId="32292" xr:uid="{00000000-0005-0000-0000-0000102A0000}"/>
    <cellStyle name="Normal 2 4 2 2 3 4 2 3" xfId="25327" xr:uid="{00000000-0005-0000-0000-0000112A0000}"/>
    <cellStyle name="Normal 2 4 2 2 3 4 3" xfId="12056" xr:uid="{00000000-0005-0000-0000-0000122A0000}"/>
    <cellStyle name="Normal 2 4 2 2 3 4 3 2" xfId="28631" xr:uid="{00000000-0005-0000-0000-0000132A0000}"/>
    <cellStyle name="Normal 2 4 2 2 3 4 4" xfId="5363" xr:uid="{00000000-0005-0000-0000-0000142A0000}"/>
    <cellStyle name="Normal 2 4 2 2 3 4 4 2" xfId="22027" xr:uid="{00000000-0005-0000-0000-0000152A0000}"/>
    <cellStyle name="Normal 2 4 2 2 3 4 5" xfId="18980" xr:uid="{00000000-0005-0000-0000-0000162A0000}"/>
    <cellStyle name="Normal 2 4 2 2 3 5" xfId="7094" xr:uid="{00000000-0005-0000-0000-0000172A0000}"/>
    <cellStyle name="Normal 2 4 2 2 3 5 2" xfId="14357" xr:uid="{00000000-0005-0000-0000-0000182A0000}"/>
    <cellStyle name="Normal 2 4 2 2 3 5 2 2" xfId="30672" xr:uid="{00000000-0005-0000-0000-0000192A0000}"/>
    <cellStyle name="Normal 2 4 2 2 3 5 3" xfId="23707" xr:uid="{00000000-0005-0000-0000-00001A2A0000}"/>
    <cellStyle name="Normal 2 4 2 2 3 6" xfId="10409" xr:uid="{00000000-0005-0000-0000-00001B2A0000}"/>
    <cellStyle name="Normal 2 4 2 2 3 6 2" xfId="27007" xr:uid="{00000000-0005-0000-0000-00001C2A0000}"/>
    <cellStyle name="Normal 2 4 2 2 3 7" xfId="3853" xr:uid="{00000000-0005-0000-0000-00001D2A0000}"/>
    <cellStyle name="Normal 2 4 2 2 3 7 2" xfId="20576" xr:uid="{00000000-0005-0000-0000-00001E2A0000}"/>
    <cellStyle name="Normal 2 4 2 2 3 8" xfId="17868" xr:uid="{00000000-0005-0000-0000-00001F2A0000}"/>
    <cellStyle name="Normal 2 4 2 2 4" xfId="915" xr:uid="{00000000-0005-0000-0000-0000202A0000}"/>
    <cellStyle name="Normal 2 4 2 2 4 2" xfId="1477" xr:uid="{00000000-0005-0000-0000-0000212A0000}"/>
    <cellStyle name="Normal 2 4 2 2 4 2 2" xfId="2254" xr:uid="{00000000-0005-0000-0000-0000222A0000}"/>
    <cellStyle name="Normal 2 4 2 2 4 2 2 2" xfId="9721" xr:uid="{00000000-0005-0000-0000-0000232A0000}"/>
    <cellStyle name="Normal 2 4 2 2 4 2 2 2 2" xfId="16984" xr:uid="{00000000-0005-0000-0000-0000242A0000}"/>
    <cellStyle name="Normal 2 4 2 2 4 2 2 2 2 2" xfId="33299" xr:uid="{00000000-0005-0000-0000-0000252A0000}"/>
    <cellStyle name="Normal 2 4 2 2 4 2 2 2 3" xfId="26334" xr:uid="{00000000-0005-0000-0000-0000262A0000}"/>
    <cellStyle name="Normal 2 4 2 2 4 2 2 3" xfId="13063" xr:uid="{00000000-0005-0000-0000-0000272A0000}"/>
    <cellStyle name="Normal 2 4 2 2 4 2 2 3 2" xfId="29638" xr:uid="{00000000-0005-0000-0000-0000282A0000}"/>
    <cellStyle name="Normal 2 4 2 2 4 2 2 4" xfId="6370" xr:uid="{00000000-0005-0000-0000-0000292A0000}"/>
    <cellStyle name="Normal 2 4 2 2 4 2 2 4 2" xfId="23034" xr:uid="{00000000-0005-0000-0000-00002A2A0000}"/>
    <cellStyle name="Normal 2 4 2 2 4 2 2 5" xfId="18985" xr:uid="{00000000-0005-0000-0000-00002B2A0000}"/>
    <cellStyle name="Normal 2 4 2 2 4 2 3" xfId="8100" xr:uid="{00000000-0005-0000-0000-00002C2A0000}"/>
    <cellStyle name="Normal 2 4 2 2 4 2 3 2" xfId="15363" xr:uid="{00000000-0005-0000-0000-00002D2A0000}"/>
    <cellStyle name="Normal 2 4 2 2 4 2 3 2 2" xfId="31678" xr:uid="{00000000-0005-0000-0000-00002E2A0000}"/>
    <cellStyle name="Normal 2 4 2 2 4 2 3 3" xfId="24713" xr:uid="{00000000-0005-0000-0000-00002F2A0000}"/>
    <cellStyle name="Normal 2 4 2 2 4 2 4" xfId="11415" xr:uid="{00000000-0005-0000-0000-0000302A0000}"/>
    <cellStyle name="Normal 2 4 2 2 4 2 4 2" xfId="28013" xr:uid="{00000000-0005-0000-0000-0000312A0000}"/>
    <cellStyle name="Normal 2 4 2 2 4 2 5" xfId="3858" xr:uid="{00000000-0005-0000-0000-0000322A0000}"/>
    <cellStyle name="Normal 2 4 2 2 4 2 5 2" xfId="20581" xr:uid="{00000000-0005-0000-0000-0000332A0000}"/>
    <cellStyle name="Normal 2 4 2 2 4 2 6" xfId="18212" xr:uid="{00000000-0005-0000-0000-0000342A0000}"/>
    <cellStyle name="Normal 2 4 2 2 4 3" xfId="2253" xr:uid="{00000000-0005-0000-0000-0000352A0000}"/>
    <cellStyle name="Normal 2 4 2 2 4 3 2" xfId="8909" xr:uid="{00000000-0005-0000-0000-0000362A0000}"/>
    <cellStyle name="Normal 2 4 2 2 4 3 2 2" xfId="16172" xr:uid="{00000000-0005-0000-0000-0000372A0000}"/>
    <cellStyle name="Normal 2 4 2 2 4 3 2 2 2" xfId="32487" xr:uid="{00000000-0005-0000-0000-0000382A0000}"/>
    <cellStyle name="Normal 2 4 2 2 4 3 2 3" xfId="25522" xr:uid="{00000000-0005-0000-0000-0000392A0000}"/>
    <cellStyle name="Normal 2 4 2 2 4 3 3" xfId="12251" xr:uid="{00000000-0005-0000-0000-00003A2A0000}"/>
    <cellStyle name="Normal 2 4 2 2 4 3 3 2" xfId="28826" xr:uid="{00000000-0005-0000-0000-00003B2A0000}"/>
    <cellStyle name="Normal 2 4 2 2 4 3 4" xfId="5558" xr:uid="{00000000-0005-0000-0000-00003C2A0000}"/>
    <cellStyle name="Normal 2 4 2 2 4 3 4 2" xfId="22222" xr:uid="{00000000-0005-0000-0000-00003D2A0000}"/>
    <cellStyle name="Normal 2 4 2 2 4 3 5" xfId="18984" xr:uid="{00000000-0005-0000-0000-00003E2A0000}"/>
    <cellStyle name="Normal 2 4 2 2 4 4" xfId="7288" xr:uid="{00000000-0005-0000-0000-00003F2A0000}"/>
    <cellStyle name="Normal 2 4 2 2 4 4 2" xfId="14551" xr:uid="{00000000-0005-0000-0000-0000402A0000}"/>
    <cellStyle name="Normal 2 4 2 2 4 4 2 2" xfId="30866" xr:uid="{00000000-0005-0000-0000-0000412A0000}"/>
    <cellStyle name="Normal 2 4 2 2 4 4 3" xfId="23901" xr:uid="{00000000-0005-0000-0000-0000422A0000}"/>
    <cellStyle name="Normal 2 4 2 2 4 5" xfId="10603" xr:uid="{00000000-0005-0000-0000-0000432A0000}"/>
    <cellStyle name="Normal 2 4 2 2 4 5 2" xfId="27201" xr:uid="{00000000-0005-0000-0000-0000442A0000}"/>
    <cellStyle name="Normal 2 4 2 2 4 6" xfId="3857" xr:uid="{00000000-0005-0000-0000-0000452A0000}"/>
    <cellStyle name="Normal 2 4 2 2 4 6 2" xfId="20580" xr:uid="{00000000-0005-0000-0000-0000462A0000}"/>
    <cellStyle name="Normal 2 4 2 2 4 7" xfId="17693" xr:uid="{00000000-0005-0000-0000-0000472A0000}"/>
    <cellStyle name="Normal 2 4 2 2 5" xfId="793" xr:uid="{00000000-0005-0000-0000-0000482A0000}"/>
    <cellStyle name="Normal 2 4 2 2 5 2" xfId="2255" xr:uid="{00000000-0005-0000-0000-0000492A0000}"/>
    <cellStyle name="Normal 2 4 2 2 5 2 2" xfId="9315" xr:uid="{00000000-0005-0000-0000-00004A2A0000}"/>
    <cellStyle name="Normal 2 4 2 2 5 2 2 2" xfId="16578" xr:uid="{00000000-0005-0000-0000-00004B2A0000}"/>
    <cellStyle name="Normal 2 4 2 2 5 2 2 2 2" xfId="32893" xr:uid="{00000000-0005-0000-0000-00004C2A0000}"/>
    <cellStyle name="Normal 2 4 2 2 5 2 2 3" xfId="25928" xr:uid="{00000000-0005-0000-0000-00004D2A0000}"/>
    <cellStyle name="Normal 2 4 2 2 5 2 3" xfId="12657" xr:uid="{00000000-0005-0000-0000-00004E2A0000}"/>
    <cellStyle name="Normal 2 4 2 2 5 2 3 2" xfId="29232" xr:uid="{00000000-0005-0000-0000-00004F2A0000}"/>
    <cellStyle name="Normal 2 4 2 2 5 2 4" xfId="5964" xr:uid="{00000000-0005-0000-0000-0000502A0000}"/>
    <cellStyle name="Normal 2 4 2 2 5 2 4 2" xfId="22628" xr:uid="{00000000-0005-0000-0000-0000512A0000}"/>
    <cellStyle name="Normal 2 4 2 2 5 2 5" xfId="18986" xr:uid="{00000000-0005-0000-0000-0000522A0000}"/>
    <cellStyle name="Normal 2 4 2 2 5 3" xfId="7694" xr:uid="{00000000-0005-0000-0000-0000532A0000}"/>
    <cellStyle name="Normal 2 4 2 2 5 3 2" xfId="14957" xr:uid="{00000000-0005-0000-0000-0000542A0000}"/>
    <cellStyle name="Normal 2 4 2 2 5 3 2 2" xfId="31272" xr:uid="{00000000-0005-0000-0000-0000552A0000}"/>
    <cellStyle name="Normal 2 4 2 2 5 3 3" xfId="24307" xr:uid="{00000000-0005-0000-0000-0000562A0000}"/>
    <cellStyle name="Normal 2 4 2 2 5 4" xfId="11009" xr:uid="{00000000-0005-0000-0000-0000572A0000}"/>
    <cellStyle name="Normal 2 4 2 2 5 4 2" xfId="27607" xr:uid="{00000000-0005-0000-0000-0000582A0000}"/>
    <cellStyle name="Normal 2 4 2 2 5 5" xfId="3859" xr:uid="{00000000-0005-0000-0000-0000592A0000}"/>
    <cellStyle name="Normal 2 4 2 2 5 5 2" xfId="20582" xr:uid="{00000000-0005-0000-0000-00005A2A0000}"/>
    <cellStyle name="Normal 2 4 2 2 5 6" xfId="17606" xr:uid="{00000000-0005-0000-0000-00005B2A0000}"/>
    <cellStyle name="Normal 2 4 2 2 6" xfId="1390" xr:uid="{00000000-0005-0000-0000-00005C2A0000}"/>
    <cellStyle name="Normal 2 4 2 2 6 2" xfId="8538" xr:uid="{00000000-0005-0000-0000-00005D2A0000}"/>
    <cellStyle name="Normal 2 4 2 2 6 2 2" xfId="15801" xr:uid="{00000000-0005-0000-0000-00005E2A0000}"/>
    <cellStyle name="Normal 2 4 2 2 6 2 2 2" xfId="32116" xr:uid="{00000000-0005-0000-0000-00005F2A0000}"/>
    <cellStyle name="Normal 2 4 2 2 6 2 3" xfId="25151" xr:uid="{00000000-0005-0000-0000-0000602A0000}"/>
    <cellStyle name="Normal 2 4 2 2 6 3" xfId="11880" xr:uid="{00000000-0005-0000-0000-0000612A0000}"/>
    <cellStyle name="Normal 2 4 2 2 6 3 2" xfId="28455" xr:uid="{00000000-0005-0000-0000-0000622A0000}"/>
    <cellStyle name="Normal 2 4 2 2 6 4" xfId="5187" xr:uid="{00000000-0005-0000-0000-0000632A0000}"/>
    <cellStyle name="Normal 2 4 2 2 6 4 2" xfId="21851" xr:uid="{00000000-0005-0000-0000-0000642A0000}"/>
    <cellStyle name="Normal 2 4 2 2 6 5" xfId="18125" xr:uid="{00000000-0005-0000-0000-0000652A0000}"/>
    <cellStyle name="Normal 2 4 2 2 7" xfId="2240" xr:uid="{00000000-0005-0000-0000-0000662A0000}"/>
    <cellStyle name="Normal 2 4 2 2 7 2" xfId="14182" xr:uid="{00000000-0005-0000-0000-0000672A0000}"/>
    <cellStyle name="Normal 2 4 2 2 7 2 2" xfId="30497" xr:uid="{00000000-0005-0000-0000-0000682A0000}"/>
    <cellStyle name="Normal 2 4 2 2 7 3" xfId="6919" xr:uid="{00000000-0005-0000-0000-0000692A0000}"/>
    <cellStyle name="Normal 2 4 2 2 7 3 2" xfId="23532" xr:uid="{00000000-0005-0000-0000-00006A2A0000}"/>
    <cellStyle name="Normal 2 4 2 2 7 4" xfId="18971" xr:uid="{00000000-0005-0000-0000-00006B2A0000}"/>
    <cellStyle name="Normal 2 4 2 2 8" xfId="10233" xr:uid="{00000000-0005-0000-0000-00006C2A0000}"/>
    <cellStyle name="Normal 2 4 2 2 8 2" xfId="26832" xr:uid="{00000000-0005-0000-0000-00006D2A0000}"/>
    <cellStyle name="Normal 2 4 2 2 9" xfId="3844" xr:uid="{00000000-0005-0000-0000-00006E2A0000}"/>
    <cellStyle name="Normal 2 4 2 2 9 2" xfId="20567" xr:uid="{00000000-0005-0000-0000-00006F2A0000}"/>
    <cellStyle name="Normal 2 4 2 3" xfId="649" xr:uid="{00000000-0005-0000-0000-0000702A0000}"/>
    <cellStyle name="Normal 2 4 2 3 2" xfId="1133" xr:uid="{00000000-0005-0000-0000-0000712A0000}"/>
    <cellStyle name="Normal 2 4 2 3 2 2" xfId="1654" xr:uid="{00000000-0005-0000-0000-0000722A0000}"/>
    <cellStyle name="Normal 2 4 2 3 2 2 2" xfId="2259" xr:uid="{00000000-0005-0000-0000-0000732A0000}"/>
    <cellStyle name="Normal 2 4 2 3 2 2 2 2" xfId="6548" xr:uid="{00000000-0005-0000-0000-0000742A0000}"/>
    <cellStyle name="Normal 2 4 2 3 2 2 2 2 2" xfId="9899" xr:uid="{00000000-0005-0000-0000-0000752A0000}"/>
    <cellStyle name="Normal 2 4 2 3 2 2 2 2 2 2" xfId="17162" xr:uid="{00000000-0005-0000-0000-0000762A0000}"/>
    <cellStyle name="Normal 2 4 2 3 2 2 2 2 2 2 2" xfId="33477" xr:uid="{00000000-0005-0000-0000-0000772A0000}"/>
    <cellStyle name="Normal 2 4 2 3 2 2 2 2 2 3" xfId="26512" xr:uid="{00000000-0005-0000-0000-0000782A0000}"/>
    <cellStyle name="Normal 2 4 2 3 2 2 2 2 3" xfId="13241" xr:uid="{00000000-0005-0000-0000-0000792A0000}"/>
    <cellStyle name="Normal 2 4 2 3 2 2 2 2 3 2" xfId="29816" xr:uid="{00000000-0005-0000-0000-00007A2A0000}"/>
    <cellStyle name="Normal 2 4 2 3 2 2 2 2 4" xfId="23212" xr:uid="{00000000-0005-0000-0000-00007B2A0000}"/>
    <cellStyle name="Normal 2 4 2 3 2 2 2 3" xfId="8278" xr:uid="{00000000-0005-0000-0000-00007C2A0000}"/>
    <cellStyle name="Normal 2 4 2 3 2 2 2 3 2" xfId="15541" xr:uid="{00000000-0005-0000-0000-00007D2A0000}"/>
    <cellStyle name="Normal 2 4 2 3 2 2 2 3 2 2" xfId="31856" xr:uid="{00000000-0005-0000-0000-00007E2A0000}"/>
    <cellStyle name="Normal 2 4 2 3 2 2 2 3 3" xfId="24891" xr:uid="{00000000-0005-0000-0000-00007F2A0000}"/>
    <cellStyle name="Normal 2 4 2 3 2 2 2 4" xfId="11593" xr:uid="{00000000-0005-0000-0000-0000802A0000}"/>
    <cellStyle name="Normal 2 4 2 3 2 2 2 4 2" xfId="28191" xr:uid="{00000000-0005-0000-0000-0000812A0000}"/>
    <cellStyle name="Normal 2 4 2 3 2 2 2 5" xfId="3863" xr:uid="{00000000-0005-0000-0000-0000822A0000}"/>
    <cellStyle name="Normal 2 4 2 3 2 2 2 5 2" xfId="20586" xr:uid="{00000000-0005-0000-0000-0000832A0000}"/>
    <cellStyle name="Normal 2 4 2 3 2 2 2 6" xfId="18990" xr:uid="{00000000-0005-0000-0000-0000842A0000}"/>
    <cellStyle name="Normal 2 4 2 3 2 2 3" xfId="2258" xr:uid="{00000000-0005-0000-0000-0000852A0000}"/>
    <cellStyle name="Normal 2 4 2 3 2 2 3 2" xfId="9123" xr:uid="{00000000-0005-0000-0000-0000862A0000}"/>
    <cellStyle name="Normal 2 4 2 3 2 2 3 2 2" xfId="16386" xr:uid="{00000000-0005-0000-0000-0000872A0000}"/>
    <cellStyle name="Normal 2 4 2 3 2 2 3 2 2 2" xfId="32701" xr:uid="{00000000-0005-0000-0000-0000882A0000}"/>
    <cellStyle name="Normal 2 4 2 3 2 2 3 2 3" xfId="25736" xr:uid="{00000000-0005-0000-0000-0000892A0000}"/>
    <cellStyle name="Normal 2 4 2 3 2 2 3 3" xfId="12465" xr:uid="{00000000-0005-0000-0000-00008A2A0000}"/>
    <cellStyle name="Normal 2 4 2 3 2 2 3 3 2" xfId="29040" xr:uid="{00000000-0005-0000-0000-00008B2A0000}"/>
    <cellStyle name="Normal 2 4 2 3 2 2 3 4" xfId="5772" xr:uid="{00000000-0005-0000-0000-00008C2A0000}"/>
    <cellStyle name="Normal 2 4 2 3 2 2 3 4 2" xfId="22436" xr:uid="{00000000-0005-0000-0000-00008D2A0000}"/>
    <cellStyle name="Normal 2 4 2 3 2 2 3 5" xfId="18989" xr:uid="{00000000-0005-0000-0000-00008E2A0000}"/>
    <cellStyle name="Normal 2 4 2 3 2 2 4" xfId="7502" xr:uid="{00000000-0005-0000-0000-00008F2A0000}"/>
    <cellStyle name="Normal 2 4 2 3 2 2 4 2" xfId="14765" xr:uid="{00000000-0005-0000-0000-0000902A0000}"/>
    <cellStyle name="Normal 2 4 2 3 2 2 4 2 2" xfId="31080" xr:uid="{00000000-0005-0000-0000-0000912A0000}"/>
    <cellStyle name="Normal 2 4 2 3 2 2 4 3" xfId="24115" xr:uid="{00000000-0005-0000-0000-0000922A0000}"/>
    <cellStyle name="Normal 2 4 2 3 2 2 5" xfId="10817" xr:uid="{00000000-0005-0000-0000-0000932A0000}"/>
    <cellStyle name="Normal 2 4 2 3 2 2 5 2" xfId="27415" xr:uid="{00000000-0005-0000-0000-0000942A0000}"/>
    <cellStyle name="Normal 2 4 2 3 2 2 6" xfId="3862" xr:uid="{00000000-0005-0000-0000-0000952A0000}"/>
    <cellStyle name="Normal 2 4 2 3 2 2 6 2" xfId="20585" xr:uid="{00000000-0005-0000-0000-0000962A0000}"/>
    <cellStyle name="Normal 2 4 2 3 2 2 7" xfId="18389" xr:uid="{00000000-0005-0000-0000-0000972A0000}"/>
    <cellStyle name="Normal 2 4 2 3 2 3" xfId="2260" xr:uid="{00000000-0005-0000-0000-0000982A0000}"/>
    <cellStyle name="Normal 2 4 2 3 2 3 2" xfId="6178" xr:uid="{00000000-0005-0000-0000-0000992A0000}"/>
    <cellStyle name="Normal 2 4 2 3 2 3 2 2" xfId="9529" xr:uid="{00000000-0005-0000-0000-00009A2A0000}"/>
    <cellStyle name="Normal 2 4 2 3 2 3 2 2 2" xfId="16792" xr:uid="{00000000-0005-0000-0000-00009B2A0000}"/>
    <cellStyle name="Normal 2 4 2 3 2 3 2 2 2 2" xfId="33107" xr:uid="{00000000-0005-0000-0000-00009C2A0000}"/>
    <cellStyle name="Normal 2 4 2 3 2 3 2 2 3" xfId="26142" xr:uid="{00000000-0005-0000-0000-00009D2A0000}"/>
    <cellStyle name="Normal 2 4 2 3 2 3 2 3" xfId="12871" xr:uid="{00000000-0005-0000-0000-00009E2A0000}"/>
    <cellStyle name="Normal 2 4 2 3 2 3 2 3 2" xfId="29446" xr:uid="{00000000-0005-0000-0000-00009F2A0000}"/>
    <cellStyle name="Normal 2 4 2 3 2 3 2 4" xfId="22842" xr:uid="{00000000-0005-0000-0000-0000A02A0000}"/>
    <cellStyle name="Normal 2 4 2 3 2 3 3" xfId="7908" xr:uid="{00000000-0005-0000-0000-0000A12A0000}"/>
    <cellStyle name="Normal 2 4 2 3 2 3 3 2" xfId="15171" xr:uid="{00000000-0005-0000-0000-0000A22A0000}"/>
    <cellStyle name="Normal 2 4 2 3 2 3 3 2 2" xfId="31486" xr:uid="{00000000-0005-0000-0000-0000A32A0000}"/>
    <cellStyle name="Normal 2 4 2 3 2 3 3 3" xfId="24521" xr:uid="{00000000-0005-0000-0000-0000A42A0000}"/>
    <cellStyle name="Normal 2 4 2 3 2 3 4" xfId="11223" xr:uid="{00000000-0005-0000-0000-0000A52A0000}"/>
    <cellStyle name="Normal 2 4 2 3 2 3 4 2" xfId="27821" xr:uid="{00000000-0005-0000-0000-0000A62A0000}"/>
    <cellStyle name="Normal 2 4 2 3 2 3 5" xfId="3864" xr:uid="{00000000-0005-0000-0000-0000A72A0000}"/>
    <cellStyle name="Normal 2 4 2 3 2 3 5 2" xfId="20587" xr:uid="{00000000-0005-0000-0000-0000A82A0000}"/>
    <cellStyle name="Normal 2 4 2 3 2 3 6" xfId="18991" xr:uid="{00000000-0005-0000-0000-0000A92A0000}"/>
    <cellStyle name="Normal 2 4 2 3 2 4" xfId="2257" xr:uid="{00000000-0005-0000-0000-0000AA2A0000}"/>
    <cellStyle name="Normal 2 4 2 3 2 4 2" xfId="8716" xr:uid="{00000000-0005-0000-0000-0000AB2A0000}"/>
    <cellStyle name="Normal 2 4 2 3 2 4 2 2" xfId="15979" xr:uid="{00000000-0005-0000-0000-0000AC2A0000}"/>
    <cellStyle name="Normal 2 4 2 3 2 4 2 2 2" xfId="32294" xr:uid="{00000000-0005-0000-0000-0000AD2A0000}"/>
    <cellStyle name="Normal 2 4 2 3 2 4 2 3" xfId="25329" xr:uid="{00000000-0005-0000-0000-0000AE2A0000}"/>
    <cellStyle name="Normal 2 4 2 3 2 4 3" xfId="12058" xr:uid="{00000000-0005-0000-0000-0000AF2A0000}"/>
    <cellStyle name="Normal 2 4 2 3 2 4 3 2" xfId="28633" xr:uid="{00000000-0005-0000-0000-0000B02A0000}"/>
    <cellStyle name="Normal 2 4 2 3 2 4 4" xfId="5365" xr:uid="{00000000-0005-0000-0000-0000B12A0000}"/>
    <cellStyle name="Normal 2 4 2 3 2 4 4 2" xfId="22029" xr:uid="{00000000-0005-0000-0000-0000B22A0000}"/>
    <cellStyle name="Normal 2 4 2 3 2 4 5" xfId="18988" xr:uid="{00000000-0005-0000-0000-0000B32A0000}"/>
    <cellStyle name="Normal 2 4 2 3 2 5" xfId="7096" xr:uid="{00000000-0005-0000-0000-0000B42A0000}"/>
    <cellStyle name="Normal 2 4 2 3 2 5 2" xfId="14359" xr:uid="{00000000-0005-0000-0000-0000B52A0000}"/>
    <cellStyle name="Normal 2 4 2 3 2 5 2 2" xfId="30674" xr:uid="{00000000-0005-0000-0000-0000B62A0000}"/>
    <cellStyle name="Normal 2 4 2 3 2 5 3" xfId="23709" xr:uid="{00000000-0005-0000-0000-0000B72A0000}"/>
    <cellStyle name="Normal 2 4 2 3 2 6" xfId="10411" xr:uid="{00000000-0005-0000-0000-0000B82A0000}"/>
    <cellStyle name="Normal 2 4 2 3 2 6 2" xfId="27009" xr:uid="{00000000-0005-0000-0000-0000B92A0000}"/>
    <cellStyle name="Normal 2 4 2 3 2 7" xfId="3861" xr:uid="{00000000-0005-0000-0000-0000BA2A0000}"/>
    <cellStyle name="Normal 2 4 2 3 2 7 2" xfId="20584" xr:uid="{00000000-0005-0000-0000-0000BB2A0000}"/>
    <cellStyle name="Normal 2 4 2 3 2 8" xfId="17870" xr:uid="{00000000-0005-0000-0000-0000BC2A0000}"/>
    <cellStyle name="Normal 2 4 2 3 3" xfId="968" xr:uid="{00000000-0005-0000-0000-0000BD2A0000}"/>
    <cellStyle name="Normal 2 4 2 3 3 2" xfId="1530" xr:uid="{00000000-0005-0000-0000-0000BE2A0000}"/>
    <cellStyle name="Normal 2 4 2 3 3 2 2" xfId="2262" xr:uid="{00000000-0005-0000-0000-0000BF2A0000}"/>
    <cellStyle name="Normal 2 4 2 3 3 2 2 2" xfId="9723" xr:uid="{00000000-0005-0000-0000-0000C02A0000}"/>
    <cellStyle name="Normal 2 4 2 3 3 2 2 2 2" xfId="16986" xr:uid="{00000000-0005-0000-0000-0000C12A0000}"/>
    <cellStyle name="Normal 2 4 2 3 3 2 2 2 2 2" xfId="33301" xr:uid="{00000000-0005-0000-0000-0000C22A0000}"/>
    <cellStyle name="Normal 2 4 2 3 3 2 2 2 3" xfId="26336" xr:uid="{00000000-0005-0000-0000-0000C32A0000}"/>
    <cellStyle name="Normal 2 4 2 3 3 2 2 3" xfId="13065" xr:uid="{00000000-0005-0000-0000-0000C42A0000}"/>
    <cellStyle name="Normal 2 4 2 3 3 2 2 3 2" xfId="29640" xr:uid="{00000000-0005-0000-0000-0000C52A0000}"/>
    <cellStyle name="Normal 2 4 2 3 3 2 2 4" xfId="6372" xr:uid="{00000000-0005-0000-0000-0000C62A0000}"/>
    <cellStyle name="Normal 2 4 2 3 3 2 2 4 2" xfId="23036" xr:uid="{00000000-0005-0000-0000-0000C72A0000}"/>
    <cellStyle name="Normal 2 4 2 3 3 2 2 5" xfId="18993" xr:uid="{00000000-0005-0000-0000-0000C82A0000}"/>
    <cellStyle name="Normal 2 4 2 3 3 2 3" xfId="8102" xr:uid="{00000000-0005-0000-0000-0000C92A0000}"/>
    <cellStyle name="Normal 2 4 2 3 3 2 3 2" xfId="15365" xr:uid="{00000000-0005-0000-0000-0000CA2A0000}"/>
    <cellStyle name="Normal 2 4 2 3 3 2 3 2 2" xfId="31680" xr:uid="{00000000-0005-0000-0000-0000CB2A0000}"/>
    <cellStyle name="Normal 2 4 2 3 3 2 3 3" xfId="24715" xr:uid="{00000000-0005-0000-0000-0000CC2A0000}"/>
    <cellStyle name="Normal 2 4 2 3 3 2 4" xfId="11417" xr:uid="{00000000-0005-0000-0000-0000CD2A0000}"/>
    <cellStyle name="Normal 2 4 2 3 3 2 4 2" xfId="28015" xr:uid="{00000000-0005-0000-0000-0000CE2A0000}"/>
    <cellStyle name="Normal 2 4 2 3 3 2 5" xfId="3866" xr:uid="{00000000-0005-0000-0000-0000CF2A0000}"/>
    <cellStyle name="Normal 2 4 2 3 3 2 5 2" xfId="20589" xr:uid="{00000000-0005-0000-0000-0000D02A0000}"/>
    <cellStyle name="Normal 2 4 2 3 3 2 6" xfId="18265" xr:uid="{00000000-0005-0000-0000-0000D12A0000}"/>
    <cellStyle name="Normal 2 4 2 3 3 3" xfId="2261" xr:uid="{00000000-0005-0000-0000-0000D22A0000}"/>
    <cellStyle name="Normal 2 4 2 3 3 3 2" xfId="8911" xr:uid="{00000000-0005-0000-0000-0000D32A0000}"/>
    <cellStyle name="Normal 2 4 2 3 3 3 2 2" xfId="16174" xr:uid="{00000000-0005-0000-0000-0000D42A0000}"/>
    <cellStyle name="Normal 2 4 2 3 3 3 2 2 2" xfId="32489" xr:uid="{00000000-0005-0000-0000-0000D52A0000}"/>
    <cellStyle name="Normal 2 4 2 3 3 3 2 3" xfId="25524" xr:uid="{00000000-0005-0000-0000-0000D62A0000}"/>
    <cellStyle name="Normal 2 4 2 3 3 3 3" xfId="12253" xr:uid="{00000000-0005-0000-0000-0000D72A0000}"/>
    <cellStyle name="Normal 2 4 2 3 3 3 3 2" xfId="28828" xr:uid="{00000000-0005-0000-0000-0000D82A0000}"/>
    <cellStyle name="Normal 2 4 2 3 3 3 4" xfId="5560" xr:uid="{00000000-0005-0000-0000-0000D92A0000}"/>
    <cellStyle name="Normal 2 4 2 3 3 3 4 2" xfId="22224" xr:uid="{00000000-0005-0000-0000-0000DA2A0000}"/>
    <cellStyle name="Normal 2 4 2 3 3 3 5" xfId="18992" xr:uid="{00000000-0005-0000-0000-0000DB2A0000}"/>
    <cellStyle name="Normal 2 4 2 3 3 4" xfId="7290" xr:uid="{00000000-0005-0000-0000-0000DC2A0000}"/>
    <cellStyle name="Normal 2 4 2 3 3 4 2" xfId="14553" xr:uid="{00000000-0005-0000-0000-0000DD2A0000}"/>
    <cellStyle name="Normal 2 4 2 3 3 4 2 2" xfId="30868" xr:uid="{00000000-0005-0000-0000-0000DE2A0000}"/>
    <cellStyle name="Normal 2 4 2 3 3 4 3" xfId="23903" xr:uid="{00000000-0005-0000-0000-0000DF2A0000}"/>
    <cellStyle name="Normal 2 4 2 3 3 5" xfId="10605" xr:uid="{00000000-0005-0000-0000-0000E02A0000}"/>
    <cellStyle name="Normal 2 4 2 3 3 5 2" xfId="27203" xr:uid="{00000000-0005-0000-0000-0000E12A0000}"/>
    <cellStyle name="Normal 2 4 2 3 3 6" xfId="3865" xr:uid="{00000000-0005-0000-0000-0000E22A0000}"/>
    <cellStyle name="Normal 2 4 2 3 3 6 2" xfId="20588" xr:uid="{00000000-0005-0000-0000-0000E32A0000}"/>
    <cellStyle name="Normal 2 4 2 3 3 7" xfId="17746" xr:uid="{00000000-0005-0000-0000-0000E42A0000}"/>
    <cellStyle name="Normal 2 4 2 3 4" xfId="758" xr:uid="{00000000-0005-0000-0000-0000E52A0000}"/>
    <cellStyle name="Normal 2 4 2 3 4 2" xfId="2263" xr:uid="{00000000-0005-0000-0000-0000E62A0000}"/>
    <cellStyle name="Normal 2 4 2 3 4 2 2" xfId="9317" xr:uid="{00000000-0005-0000-0000-0000E72A0000}"/>
    <cellStyle name="Normal 2 4 2 3 4 2 2 2" xfId="16580" xr:uid="{00000000-0005-0000-0000-0000E82A0000}"/>
    <cellStyle name="Normal 2 4 2 3 4 2 2 2 2" xfId="32895" xr:uid="{00000000-0005-0000-0000-0000E92A0000}"/>
    <cellStyle name="Normal 2 4 2 3 4 2 2 3" xfId="25930" xr:uid="{00000000-0005-0000-0000-0000EA2A0000}"/>
    <cellStyle name="Normal 2 4 2 3 4 2 3" xfId="12659" xr:uid="{00000000-0005-0000-0000-0000EB2A0000}"/>
    <cellStyle name="Normal 2 4 2 3 4 2 3 2" xfId="29234" xr:uid="{00000000-0005-0000-0000-0000EC2A0000}"/>
    <cellStyle name="Normal 2 4 2 3 4 2 4" xfId="5966" xr:uid="{00000000-0005-0000-0000-0000ED2A0000}"/>
    <cellStyle name="Normal 2 4 2 3 4 2 4 2" xfId="22630" xr:uid="{00000000-0005-0000-0000-0000EE2A0000}"/>
    <cellStyle name="Normal 2 4 2 3 4 2 5" xfId="18994" xr:uid="{00000000-0005-0000-0000-0000EF2A0000}"/>
    <cellStyle name="Normal 2 4 2 3 4 3" xfId="7696" xr:uid="{00000000-0005-0000-0000-0000F02A0000}"/>
    <cellStyle name="Normal 2 4 2 3 4 3 2" xfId="14959" xr:uid="{00000000-0005-0000-0000-0000F12A0000}"/>
    <cellStyle name="Normal 2 4 2 3 4 3 2 2" xfId="31274" xr:uid="{00000000-0005-0000-0000-0000F22A0000}"/>
    <cellStyle name="Normal 2 4 2 3 4 3 3" xfId="24309" xr:uid="{00000000-0005-0000-0000-0000F32A0000}"/>
    <cellStyle name="Normal 2 4 2 3 4 4" xfId="11011" xr:uid="{00000000-0005-0000-0000-0000F42A0000}"/>
    <cellStyle name="Normal 2 4 2 3 4 4 2" xfId="27609" xr:uid="{00000000-0005-0000-0000-0000F52A0000}"/>
    <cellStyle name="Normal 2 4 2 3 4 5" xfId="3867" xr:uid="{00000000-0005-0000-0000-0000F62A0000}"/>
    <cellStyle name="Normal 2 4 2 3 4 5 2" xfId="20590" xr:uid="{00000000-0005-0000-0000-0000F72A0000}"/>
    <cellStyle name="Normal 2 4 2 3 4 6" xfId="17571" xr:uid="{00000000-0005-0000-0000-0000F82A0000}"/>
    <cellStyle name="Normal 2 4 2 3 5" xfId="1355" xr:uid="{00000000-0005-0000-0000-0000F92A0000}"/>
    <cellStyle name="Normal 2 4 2 3 5 2" xfId="8591" xr:uid="{00000000-0005-0000-0000-0000FA2A0000}"/>
    <cellStyle name="Normal 2 4 2 3 5 2 2" xfId="15854" xr:uid="{00000000-0005-0000-0000-0000FB2A0000}"/>
    <cellStyle name="Normal 2 4 2 3 5 2 2 2" xfId="32169" xr:uid="{00000000-0005-0000-0000-0000FC2A0000}"/>
    <cellStyle name="Normal 2 4 2 3 5 2 3" xfId="25204" xr:uid="{00000000-0005-0000-0000-0000FD2A0000}"/>
    <cellStyle name="Normal 2 4 2 3 5 3" xfId="11933" xr:uid="{00000000-0005-0000-0000-0000FE2A0000}"/>
    <cellStyle name="Normal 2 4 2 3 5 3 2" xfId="28508" xr:uid="{00000000-0005-0000-0000-0000FF2A0000}"/>
    <cellStyle name="Normal 2 4 2 3 5 4" xfId="5240" xr:uid="{00000000-0005-0000-0000-0000002B0000}"/>
    <cellStyle name="Normal 2 4 2 3 5 4 2" xfId="21904" xr:uid="{00000000-0005-0000-0000-0000012B0000}"/>
    <cellStyle name="Normal 2 4 2 3 5 5" xfId="18090" xr:uid="{00000000-0005-0000-0000-0000022B0000}"/>
    <cellStyle name="Normal 2 4 2 3 6" xfId="2256" xr:uid="{00000000-0005-0000-0000-0000032B0000}"/>
    <cellStyle name="Normal 2 4 2 3 6 2" xfId="14235" xr:uid="{00000000-0005-0000-0000-0000042B0000}"/>
    <cellStyle name="Normal 2 4 2 3 6 2 2" xfId="30550" xr:uid="{00000000-0005-0000-0000-0000052B0000}"/>
    <cellStyle name="Normal 2 4 2 3 6 3" xfId="6972" xr:uid="{00000000-0005-0000-0000-0000062B0000}"/>
    <cellStyle name="Normal 2 4 2 3 6 3 2" xfId="23585" xr:uid="{00000000-0005-0000-0000-0000072B0000}"/>
    <cellStyle name="Normal 2 4 2 3 6 4" xfId="18987" xr:uid="{00000000-0005-0000-0000-0000082B0000}"/>
    <cellStyle name="Normal 2 4 2 3 7" xfId="10286" xr:uid="{00000000-0005-0000-0000-0000092B0000}"/>
    <cellStyle name="Normal 2 4 2 3 7 2" xfId="26885" xr:uid="{00000000-0005-0000-0000-00000A2B0000}"/>
    <cellStyle name="Normal 2 4 2 3 8" xfId="3860" xr:uid="{00000000-0005-0000-0000-00000B2B0000}"/>
    <cellStyle name="Normal 2 4 2 3 8 2" xfId="20583" xr:uid="{00000000-0005-0000-0000-00000C2B0000}"/>
    <cellStyle name="Normal 2 4 2 3 9" xfId="17466" xr:uid="{00000000-0005-0000-0000-00000D2B0000}"/>
    <cellStyle name="Normal 2 4 2 4" xfId="1130" xr:uid="{00000000-0005-0000-0000-00000E2B0000}"/>
    <cellStyle name="Normal 2 4 2 4 2" xfId="1651" xr:uid="{00000000-0005-0000-0000-00000F2B0000}"/>
    <cellStyle name="Normal 2 4 2 4 2 2" xfId="2266" xr:uid="{00000000-0005-0000-0000-0000102B0000}"/>
    <cellStyle name="Normal 2 4 2 4 2 2 2" xfId="6545" xr:uid="{00000000-0005-0000-0000-0000112B0000}"/>
    <cellStyle name="Normal 2 4 2 4 2 2 2 2" xfId="9896" xr:uid="{00000000-0005-0000-0000-0000122B0000}"/>
    <cellStyle name="Normal 2 4 2 4 2 2 2 2 2" xfId="17159" xr:uid="{00000000-0005-0000-0000-0000132B0000}"/>
    <cellStyle name="Normal 2 4 2 4 2 2 2 2 2 2" xfId="33474" xr:uid="{00000000-0005-0000-0000-0000142B0000}"/>
    <cellStyle name="Normal 2 4 2 4 2 2 2 2 3" xfId="26509" xr:uid="{00000000-0005-0000-0000-0000152B0000}"/>
    <cellStyle name="Normal 2 4 2 4 2 2 2 3" xfId="13238" xr:uid="{00000000-0005-0000-0000-0000162B0000}"/>
    <cellStyle name="Normal 2 4 2 4 2 2 2 3 2" xfId="29813" xr:uid="{00000000-0005-0000-0000-0000172B0000}"/>
    <cellStyle name="Normal 2 4 2 4 2 2 2 4" xfId="23209" xr:uid="{00000000-0005-0000-0000-0000182B0000}"/>
    <cellStyle name="Normal 2 4 2 4 2 2 3" xfId="8275" xr:uid="{00000000-0005-0000-0000-0000192B0000}"/>
    <cellStyle name="Normal 2 4 2 4 2 2 3 2" xfId="15538" xr:uid="{00000000-0005-0000-0000-00001A2B0000}"/>
    <cellStyle name="Normal 2 4 2 4 2 2 3 2 2" xfId="31853" xr:uid="{00000000-0005-0000-0000-00001B2B0000}"/>
    <cellStyle name="Normal 2 4 2 4 2 2 3 3" xfId="24888" xr:uid="{00000000-0005-0000-0000-00001C2B0000}"/>
    <cellStyle name="Normal 2 4 2 4 2 2 4" xfId="11590" xr:uid="{00000000-0005-0000-0000-00001D2B0000}"/>
    <cellStyle name="Normal 2 4 2 4 2 2 4 2" xfId="28188" xr:uid="{00000000-0005-0000-0000-00001E2B0000}"/>
    <cellStyle name="Normal 2 4 2 4 2 2 5" xfId="3870" xr:uid="{00000000-0005-0000-0000-00001F2B0000}"/>
    <cellStyle name="Normal 2 4 2 4 2 2 5 2" xfId="20593" xr:uid="{00000000-0005-0000-0000-0000202B0000}"/>
    <cellStyle name="Normal 2 4 2 4 2 2 6" xfId="18997" xr:uid="{00000000-0005-0000-0000-0000212B0000}"/>
    <cellStyle name="Normal 2 4 2 4 2 3" xfId="2265" xr:uid="{00000000-0005-0000-0000-0000222B0000}"/>
    <cellStyle name="Normal 2 4 2 4 2 3 2" xfId="9120" xr:uid="{00000000-0005-0000-0000-0000232B0000}"/>
    <cellStyle name="Normal 2 4 2 4 2 3 2 2" xfId="16383" xr:uid="{00000000-0005-0000-0000-0000242B0000}"/>
    <cellStyle name="Normal 2 4 2 4 2 3 2 2 2" xfId="32698" xr:uid="{00000000-0005-0000-0000-0000252B0000}"/>
    <cellStyle name="Normal 2 4 2 4 2 3 2 3" xfId="25733" xr:uid="{00000000-0005-0000-0000-0000262B0000}"/>
    <cellStyle name="Normal 2 4 2 4 2 3 3" xfId="12462" xr:uid="{00000000-0005-0000-0000-0000272B0000}"/>
    <cellStyle name="Normal 2 4 2 4 2 3 3 2" xfId="29037" xr:uid="{00000000-0005-0000-0000-0000282B0000}"/>
    <cellStyle name="Normal 2 4 2 4 2 3 4" xfId="5769" xr:uid="{00000000-0005-0000-0000-0000292B0000}"/>
    <cellStyle name="Normal 2 4 2 4 2 3 4 2" xfId="22433" xr:uid="{00000000-0005-0000-0000-00002A2B0000}"/>
    <cellStyle name="Normal 2 4 2 4 2 3 5" xfId="18996" xr:uid="{00000000-0005-0000-0000-00002B2B0000}"/>
    <cellStyle name="Normal 2 4 2 4 2 4" xfId="7499" xr:uid="{00000000-0005-0000-0000-00002C2B0000}"/>
    <cellStyle name="Normal 2 4 2 4 2 4 2" xfId="14762" xr:uid="{00000000-0005-0000-0000-00002D2B0000}"/>
    <cellStyle name="Normal 2 4 2 4 2 4 2 2" xfId="31077" xr:uid="{00000000-0005-0000-0000-00002E2B0000}"/>
    <cellStyle name="Normal 2 4 2 4 2 4 3" xfId="24112" xr:uid="{00000000-0005-0000-0000-00002F2B0000}"/>
    <cellStyle name="Normal 2 4 2 4 2 5" xfId="10814" xr:uid="{00000000-0005-0000-0000-0000302B0000}"/>
    <cellStyle name="Normal 2 4 2 4 2 5 2" xfId="27412" xr:uid="{00000000-0005-0000-0000-0000312B0000}"/>
    <cellStyle name="Normal 2 4 2 4 2 6" xfId="3869" xr:uid="{00000000-0005-0000-0000-0000322B0000}"/>
    <cellStyle name="Normal 2 4 2 4 2 6 2" xfId="20592" xr:uid="{00000000-0005-0000-0000-0000332B0000}"/>
    <cellStyle name="Normal 2 4 2 4 2 7" xfId="18386" xr:uid="{00000000-0005-0000-0000-0000342B0000}"/>
    <cellStyle name="Normal 2 4 2 4 3" xfId="2267" xr:uid="{00000000-0005-0000-0000-0000352B0000}"/>
    <cellStyle name="Normal 2 4 2 4 3 2" xfId="6175" xr:uid="{00000000-0005-0000-0000-0000362B0000}"/>
    <cellStyle name="Normal 2 4 2 4 3 2 2" xfId="9526" xr:uid="{00000000-0005-0000-0000-0000372B0000}"/>
    <cellStyle name="Normal 2 4 2 4 3 2 2 2" xfId="16789" xr:uid="{00000000-0005-0000-0000-0000382B0000}"/>
    <cellStyle name="Normal 2 4 2 4 3 2 2 2 2" xfId="33104" xr:uid="{00000000-0005-0000-0000-0000392B0000}"/>
    <cellStyle name="Normal 2 4 2 4 3 2 2 3" xfId="26139" xr:uid="{00000000-0005-0000-0000-00003A2B0000}"/>
    <cellStyle name="Normal 2 4 2 4 3 2 3" xfId="12868" xr:uid="{00000000-0005-0000-0000-00003B2B0000}"/>
    <cellStyle name="Normal 2 4 2 4 3 2 3 2" xfId="29443" xr:uid="{00000000-0005-0000-0000-00003C2B0000}"/>
    <cellStyle name="Normal 2 4 2 4 3 2 4" xfId="22839" xr:uid="{00000000-0005-0000-0000-00003D2B0000}"/>
    <cellStyle name="Normal 2 4 2 4 3 3" xfId="7905" xr:uid="{00000000-0005-0000-0000-00003E2B0000}"/>
    <cellStyle name="Normal 2 4 2 4 3 3 2" xfId="15168" xr:uid="{00000000-0005-0000-0000-00003F2B0000}"/>
    <cellStyle name="Normal 2 4 2 4 3 3 2 2" xfId="31483" xr:uid="{00000000-0005-0000-0000-0000402B0000}"/>
    <cellStyle name="Normal 2 4 2 4 3 3 3" xfId="24518" xr:uid="{00000000-0005-0000-0000-0000412B0000}"/>
    <cellStyle name="Normal 2 4 2 4 3 4" xfId="11220" xr:uid="{00000000-0005-0000-0000-0000422B0000}"/>
    <cellStyle name="Normal 2 4 2 4 3 4 2" xfId="27818" xr:uid="{00000000-0005-0000-0000-0000432B0000}"/>
    <cellStyle name="Normal 2 4 2 4 3 5" xfId="3871" xr:uid="{00000000-0005-0000-0000-0000442B0000}"/>
    <cellStyle name="Normal 2 4 2 4 3 5 2" xfId="20594" xr:uid="{00000000-0005-0000-0000-0000452B0000}"/>
    <cellStyle name="Normal 2 4 2 4 3 6" xfId="18998" xr:uid="{00000000-0005-0000-0000-0000462B0000}"/>
    <cellStyle name="Normal 2 4 2 4 4" xfId="2264" xr:uid="{00000000-0005-0000-0000-0000472B0000}"/>
    <cellStyle name="Normal 2 4 2 4 4 2" xfId="8713" xr:uid="{00000000-0005-0000-0000-0000482B0000}"/>
    <cellStyle name="Normal 2 4 2 4 4 2 2" xfId="15976" xr:uid="{00000000-0005-0000-0000-0000492B0000}"/>
    <cellStyle name="Normal 2 4 2 4 4 2 2 2" xfId="32291" xr:uid="{00000000-0005-0000-0000-00004A2B0000}"/>
    <cellStyle name="Normal 2 4 2 4 4 2 3" xfId="25326" xr:uid="{00000000-0005-0000-0000-00004B2B0000}"/>
    <cellStyle name="Normal 2 4 2 4 4 3" xfId="12055" xr:uid="{00000000-0005-0000-0000-00004C2B0000}"/>
    <cellStyle name="Normal 2 4 2 4 4 3 2" xfId="28630" xr:uid="{00000000-0005-0000-0000-00004D2B0000}"/>
    <cellStyle name="Normal 2 4 2 4 4 4" xfId="5362" xr:uid="{00000000-0005-0000-0000-00004E2B0000}"/>
    <cellStyle name="Normal 2 4 2 4 4 4 2" xfId="22026" xr:uid="{00000000-0005-0000-0000-00004F2B0000}"/>
    <cellStyle name="Normal 2 4 2 4 4 5" xfId="18995" xr:uid="{00000000-0005-0000-0000-0000502B0000}"/>
    <cellStyle name="Normal 2 4 2 4 5" xfId="7093" xr:uid="{00000000-0005-0000-0000-0000512B0000}"/>
    <cellStyle name="Normal 2 4 2 4 5 2" xfId="14356" xr:uid="{00000000-0005-0000-0000-0000522B0000}"/>
    <cellStyle name="Normal 2 4 2 4 5 2 2" xfId="30671" xr:uid="{00000000-0005-0000-0000-0000532B0000}"/>
    <cellStyle name="Normal 2 4 2 4 5 3" xfId="23706" xr:uid="{00000000-0005-0000-0000-0000542B0000}"/>
    <cellStyle name="Normal 2 4 2 4 6" xfId="10408" xr:uid="{00000000-0005-0000-0000-0000552B0000}"/>
    <cellStyle name="Normal 2 4 2 4 6 2" xfId="27006" xr:uid="{00000000-0005-0000-0000-0000562B0000}"/>
    <cellStyle name="Normal 2 4 2 4 7" xfId="3868" xr:uid="{00000000-0005-0000-0000-0000572B0000}"/>
    <cellStyle name="Normal 2 4 2 4 7 2" xfId="20591" xr:uid="{00000000-0005-0000-0000-0000582B0000}"/>
    <cellStyle name="Normal 2 4 2 4 8" xfId="17867" xr:uid="{00000000-0005-0000-0000-0000592B0000}"/>
    <cellStyle name="Normal 2 4 2 5" xfId="842" xr:uid="{00000000-0005-0000-0000-00005A2B0000}"/>
    <cellStyle name="Normal 2 4 2 5 2" xfId="1419" xr:uid="{00000000-0005-0000-0000-00005B2B0000}"/>
    <cellStyle name="Normal 2 4 2 5 2 2" xfId="2269" xr:uid="{00000000-0005-0000-0000-00005C2B0000}"/>
    <cellStyle name="Normal 2 4 2 5 2 2 2" xfId="9720" xr:uid="{00000000-0005-0000-0000-00005D2B0000}"/>
    <cellStyle name="Normal 2 4 2 5 2 2 2 2" xfId="16983" xr:uid="{00000000-0005-0000-0000-00005E2B0000}"/>
    <cellStyle name="Normal 2 4 2 5 2 2 2 2 2" xfId="33298" xr:uid="{00000000-0005-0000-0000-00005F2B0000}"/>
    <cellStyle name="Normal 2 4 2 5 2 2 2 3" xfId="26333" xr:uid="{00000000-0005-0000-0000-0000602B0000}"/>
    <cellStyle name="Normal 2 4 2 5 2 2 3" xfId="13062" xr:uid="{00000000-0005-0000-0000-0000612B0000}"/>
    <cellStyle name="Normal 2 4 2 5 2 2 3 2" xfId="29637" xr:uid="{00000000-0005-0000-0000-0000622B0000}"/>
    <cellStyle name="Normal 2 4 2 5 2 2 4" xfId="6369" xr:uid="{00000000-0005-0000-0000-0000632B0000}"/>
    <cellStyle name="Normal 2 4 2 5 2 2 4 2" xfId="23033" xr:uid="{00000000-0005-0000-0000-0000642B0000}"/>
    <cellStyle name="Normal 2 4 2 5 2 2 5" xfId="19000" xr:uid="{00000000-0005-0000-0000-0000652B0000}"/>
    <cellStyle name="Normal 2 4 2 5 2 3" xfId="8099" xr:uid="{00000000-0005-0000-0000-0000662B0000}"/>
    <cellStyle name="Normal 2 4 2 5 2 3 2" xfId="15362" xr:uid="{00000000-0005-0000-0000-0000672B0000}"/>
    <cellStyle name="Normal 2 4 2 5 2 3 2 2" xfId="31677" xr:uid="{00000000-0005-0000-0000-0000682B0000}"/>
    <cellStyle name="Normal 2 4 2 5 2 3 3" xfId="24712" xr:uid="{00000000-0005-0000-0000-0000692B0000}"/>
    <cellStyle name="Normal 2 4 2 5 2 4" xfId="11414" xr:uid="{00000000-0005-0000-0000-00006A2B0000}"/>
    <cellStyle name="Normal 2 4 2 5 2 4 2" xfId="28012" xr:uid="{00000000-0005-0000-0000-00006B2B0000}"/>
    <cellStyle name="Normal 2 4 2 5 2 5" xfId="3873" xr:uid="{00000000-0005-0000-0000-00006C2B0000}"/>
    <cellStyle name="Normal 2 4 2 5 2 5 2" xfId="20596" xr:uid="{00000000-0005-0000-0000-00006D2B0000}"/>
    <cellStyle name="Normal 2 4 2 5 2 6" xfId="18154" xr:uid="{00000000-0005-0000-0000-00006E2B0000}"/>
    <cellStyle name="Normal 2 4 2 5 3" xfId="2268" xr:uid="{00000000-0005-0000-0000-00006F2B0000}"/>
    <cellStyle name="Normal 2 4 2 5 3 2" xfId="8908" xr:uid="{00000000-0005-0000-0000-0000702B0000}"/>
    <cellStyle name="Normal 2 4 2 5 3 2 2" xfId="16171" xr:uid="{00000000-0005-0000-0000-0000712B0000}"/>
    <cellStyle name="Normal 2 4 2 5 3 2 2 2" xfId="32486" xr:uid="{00000000-0005-0000-0000-0000722B0000}"/>
    <cellStyle name="Normal 2 4 2 5 3 2 3" xfId="25521" xr:uid="{00000000-0005-0000-0000-0000732B0000}"/>
    <cellStyle name="Normal 2 4 2 5 3 3" xfId="12250" xr:uid="{00000000-0005-0000-0000-0000742B0000}"/>
    <cellStyle name="Normal 2 4 2 5 3 3 2" xfId="28825" xr:uid="{00000000-0005-0000-0000-0000752B0000}"/>
    <cellStyle name="Normal 2 4 2 5 3 4" xfId="5557" xr:uid="{00000000-0005-0000-0000-0000762B0000}"/>
    <cellStyle name="Normal 2 4 2 5 3 4 2" xfId="22221" xr:uid="{00000000-0005-0000-0000-0000772B0000}"/>
    <cellStyle name="Normal 2 4 2 5 3 5" xfId="18999" xr:uid="{00000000-0005-0000-0000-0000782B0000}"/>
    <cellStyle name="Normal 2 4 2 5 4" xfId="7287" xr:uid="{00000000-0005-0000-0000-0000792B0000}"/>
    <cellStyle name="Normal 2 4 2 5 4 2" xfId="14550" xr:uid="{00000000-0005-0000-0000-00007A2B0000}"/>
    <cellStyle name="Normal 2 4 2 5 4 2 2" xfId="30865" xr:uid="{00000000-0005-0000-0000-00007B2B0000}"/>
    <cellStyle name="Normal 2 4 2 5 4 3" xfId="23900" xr:uid="{00000000-0005-0000-0000-00007C2B0000}"/>
    <cellStyle name="Normal 2 4 2 5 5" xfId="10602" xr:uid="{00000000-0005-0000-0000-00007D2B0000}"/>
    <cellStyle name="Normal 2 4 2 5 5 2" xfId="27200" xr:uid="{00000000-0005-0000-0000-00007E2B0000}"/>
    <cellStyle name="Normal 2 4 2 5 6" xfId="3872" xr:uid="{00000000-0005-0000-0000-00007F2B0000}"/>
    <cellStyle name="Normal 2 4 2 5 6 2" xfId="20595" xr:uid="{00000000-0005-0000-0000-0000802B0000}"/>
    <cellStyle name="Normal 2 4 2 5 7" xfId="17635" xr:uid="{00000000-0005-0000-0000-0000812B0000}"/>
    <cellStyle name="Normal 2 4 2 6" xfId="723" xr:uid="{00000000-0005-0000-0000-0000822B0000}"/>
    <cellStyle name="Normal 2 4 2 6 2" xfId="2270" xr:uid="{00000000-0005-0000-0000-0000832B0000}"/>
    <cellStyle name="Normal 2 4 2 6 2 2" xfId="9314" xr:uid="{00000000-0005-0000-0000-0000842B0000}"/>
    <cellStyle name="Normal 2 4 2 6 2 2 2" xfId="16577" xr:uid="{00000000-0005-0000-0000-0000852B0000}"/>
    <cellStyle name="Normal 2 4 2 6 2 2 2 2" xfId="32892" xr:uid="{00000000-0005-0000-0000-0000862B0000}"/>
    <cellStyle name="Normal 2 4 2 6 2 2 3" xfId="25927" xr:uid="{00000000-0005-0000-0000-0000872B0000}"/>
    <cellStyle name="Normal 2 4 2 6 2 3" xfId="12656" xr:uid="{00000000-0005-0000-0000-0000882B0000}"/>
    <cellStyle name="Normal 2 4 2 6 2 3 2" xfId="29231" xr:uid="{00000000-0005-0000-0000-0000892B0000}"/>
    <cellStyle name="Normal 2 4 2 6 2 4" xfId="5963" xr:uid="{00000000-0005-0000-0000-00008A2B0000}"/>
    <cellStyle name="Normal 2 4 2 6 2 4 2" xfId="22627" xr:uid="{00000000-0005-0000-0000-00008B2B0000}"/>
    <cellStyle name="Normal 2 4 2 6 2 5" xfId="19001" xr:uid="{00000000-0005-0000-0000-00008C2B0000}"/>
    <cellStyle name="Normal 2 4 2 6 3" xfId="7693" xr:uid="{00000000-0005-0000-0000-00008D2B0000}"/>
    <cellStyle name="Normal 2 4 2 6 3 2" xfId="14956" xr:uid="{00000000-0005-0000-0000-00008E2B0000}"/>
    <cellStyle name="Normal 2 4 2 6 3 2 2" xfId="31271" xr:uid="{00000000-0005-0000-0000-00008F2B0000}"/>
    <cellStyle name="Normal 2 4 2 6 3 3" xfId="24306" xr:uid="{00000000-0005-0000-0000-0000902B0000}"/>
    <cellStyle name="Normal 2 4 2 6 4" xfId="11008" xr:uid="{00000000-0005-0000-0000-0000912B0000}"/>
    <cellStyle name="Normal 2 4 2 6 4 2" xfId="27606" xr:uid="{00000000-0005-0000-0000-0000922B0000}"/>
    <cellStyle name="Normal 2 4 2 6 5" xfId="3874" xr:uid="{00000000-0005-0000-0000-0000932B0000}"/>
    <cellStyle name="Normal 2 4 2 6 5 2" xfId="20597" xr:uid="{00000000-0005-0000-0000-0000942B0000}"/>
    <cellStyle name="Normal 2 4 2 6 6" xfId="17536" xr:uid="{00000000-0005-0000-0000-0000952B0000}"/>
    <cellStyle name="Normal 2 4 2 7" xfId="1320" xr:uid="{00000000-0005-0000-0000-0000962B0000}"/>
    <cellStyle name="Normal 2 4 2 7 2" xfId="8485" xr:uid="{00000000-0005-0000-0000-0000972B0000}"/>
    <cellStyle name="Normal 2 4 2 7 2 2" xfId="15748" xr:uid="{00000000-0005-0000-0000-0000982B0000}"/>
    <cellStyle name="Normal 2 4 2 7 2 2 2" xfId="32063" xr:uid="{00000000-0005-0000-0000-0000992B0000}"/>
    <cellStyle name="Normal 2 4 2 7 2 3" xfId="25098" xr:uid="{00000000-0005-0000-0000-00009A2B0000}"/>
    <cellStyle name="Normal 2 4 2 7 3" xfId="11826" xr:uid="{00000000-0005-0000-0000-00009B2B0000}"/>
    <cellStyle name="Normal 2 4 2 7 3 2" xfId="28402" xr:uid="{00000000-0005-0000-0000-00009C2B0000}"/>
    <cellStyle name="Normal 2 4 2 7 4" xfId="5132" xr:uid="{00000000-0005-0000-0000-00009D2B0000}"/>
    <cellStyle name="Normal 2 4 2 7 4 2" xfId="21798" xr:uid="{00000000-0005-0000-0000-00009E2B0000}"/>
    <cellStyle name="Normal 2 4 2 7 5" xfId="18055" xr:uid="{00000000-0005-0000-0000-00009F2B0000}"/>
    <cellStyle name="Normal 2 4 2 8" xfId="2239" xr:uid="{00000000-0005-0000-0000-0000A02B0000}"/>
    <cellStyle name="Normal 2 4 2 8 2" xfId="14129" xr:uid="{00000000-0005-0000-0000-0000A12B0000}"/>
    <cellStyle name="Normal 2 4 2 8 2 2" xfId="30444" xr:uid="{00000000-0005-0000-0000-0000A22B0000}"/>
    <cellStyle name="Normal 2 4 2 8 3" xfId="6866" xr:uid="{00000000-0005-0000-0000-0000A32B0000}"/>
    <cellStyle name="Normal 2 4 2 8 3 2" xfId="23479" xr:uid="{00000000-0005-0000-0000-0000A42B0000}"/>
    <cellStyle name="Normal 2 4 2 8 4" xfId="18970" xr:uid="{00000000-0005-0000-0000-0000A52B0000}"/>
    <cellStyle name="Normal 2 4 2 9" xfId="10179" xr:uid="{00000000-0005-0000-0000-0000A62B0000}"/>
    <cellStyle name="Normal 2 4 2 9 2" xfId="26779" xr:uid="{00000000-0005-0000-0000-0000A72B0000}"/>
    <cellStyle name="Normal 2 4 3" xfId="668" xr:uid="{00000000-0005-0000-0000-0000A82B0000}"/>
    <cellStyle name="Normal 2 4 3 10" xfId="3875" xr:uid="{00000000-0005-0000-0000-0000A92B0000}"/>
    <cellStyle name="Normal 2 4 3 10 2" xfId="20598" xr:uid="{00000000-0005-0000-0000-0000AA2B0000}"/>
    <cellStyle name="Normal 2 4 3 11" xfId="17484" xr:uid="{00000000-0005-0000-0000-0000AB2B0000}"/>
    <cellStyle name="Normal 2 4 3 2" xfId="938" xr:uid="{00000000-0005-0000-0000-0000AC2B0000}"/>
    <cellStyle name="Normal 2 4 3 2 10" xfId="17716" xr:uid="{00000000-0005-0000-0000-0000AD2B0000}"/>
    <cellStyle name="Normal 2 4 3 2 2" xfId="1045" xr:uid="{00000000-0005-0000-0000-0000AE2B0000}"/>
    <cellStyle name="Normal 2 4 3 2 2 2" xfId="1136" xr:uid="{00000000-0005-0000-0000-0000AF2B0000}"/>
    <cellStyle name="Normal 2 4 3 2 2 2 2" xfId="1657" xr:uid="{00000000-0005-0000-0000-0000B02B0000}"/>
    <cellStyle name="Normal 2 4 3 2 2 2 2 2" xfId="2276" xr:uid="{00000000-0005-0000-0000-0000B12B0000}"/>
    <cellStyle name="Normal 2 4 3 2 2 2 2 2 2" xfId="6551" xr:uid="{00000000-0005-0000-0000-0000B22B0000}"/>
    <cellStyle name="Normal 2 4 3 2 2 2 2 2 2 2" xfId="9902" xr:uid="{00000000-0005-0000-0000-0000B32B0000}"/>
    <cellStyle name="Normal 2 4 3 2 2 2 2 2 2 2 2" xfId="17165" xr:uid="{00000000-0005-0000-0000-0000B42B0000}"/>
    <cellStyle name="Normal 2 4 3 2 2 2 2 2 2 2 2 2" xfId="33480" xr:uid="{00000000-0005-0000-0000-0000B52B0000}"/>
    <cellStyle name="Normal 2 4 3 2 2 2 2 2 2 2 3" xfId="26515" xr:uid="{00000000-0005-0000-0000-0000B62B0000}"/>
    <cellStyle name="Normal 2 4 3 2 2 2 2 2 2 3" xfId="13244" xr:uid="{00000000-0005-0000-0000-0000B72B0000}"/>
    <cellStyle name="Normal 2 4 3 2 2 2 2 2 2 3 2" xfId="29819" xr:uid="{00000000-0005-0000-0000-0000B82B0000}"/>
    <cellStyle name="Normal 2 4 3 2 2 2 2 2 2 4" xfId="23215" xr:uid="{00000000-0005-0000-0000-0000B92B0000}"/>
    <cellStyle name="Normal 2 4 3 2 2 2 2 2 3" xfId="8281" xr:uid="{00000000-0005-0000-0000-0000BA2B0000}"/>
    <cellStyle name="Normal 2 4 3 2 2 2 2 2 3 2" xfId="15544" xr:uid="{00000000-0005-0000-0000-0000BB2B0000}"/>
    <cellStyle name="Normal 2 4 3 2 2 2 2 2 3 2 2" xfId="31859" xr:uid="{00000000-0005-0000-0000-0000BC2B0000}"/>
    <cellStyle name="Normal 2 4 3 2 2 2 2 2 3 3" xfId="24894" xr:uid="{00000000-0005-0000-0000-0000BD2B0000}"/>
    <cellStyle name="Normal 2 4 3 2 2 2 2 2 4" xfId="11596" xr:uid="{00000000-0005-0000-0000-0000BE2B0000}"/>
    <cellStyle name="Normal 2 4 3 2 2 2 2 2 4 2" xfId="28194" xr:uid="{00000000-0005-0000-0000-0000BF2B0000}"/>
    <cellStyle name="Normal 2 4 3 2 2 2 2 2 5" xfId="3880" xr:uid="{00000000-0005-0000-0000-0000C02B0000}"/>
    <cellStyle name="Normal 2 4 3 2 2 2 2 2 5 2" xfId="20603" xr:uid="{00000000-0005-0000-0000-0000C12B0000}"/>
    <cellStyle name="Normal 2 4 3 2 2 2 2 2 6" xfId="19007" xr:uid="{00000000-0005-0000-0000-0000C22B0000}"/>
    <cellStyle name="Normal 2 4 3 2 2 2 2 3" xfId="2275" xr:uid="{00000000-0005-0000-0000-0000C32B0000}"/>
    <cellStyle name="Normal 2 4 3 2 2 2 2 3 2" xfId="9126" xr:uid="{00000000-0005-0000-0000-0000C42B0000}"/>
    <cellStyle name="Normal 2 4 3 2 2 2 2 3 2 2" xfId="16389" xr:uid="{00000000-0005-0000-0000-0000C52B0000}"/>
    <cellStyle name="Normal 2 4 3 2 2 2 2 3 2 2 2" xfId="32704" xr:uid="{00000000-0005-0000-0000-0000C62B0000}"/>
    <cellStyle name="Normal 2 4 3 2 2 2 2 3 2 3" xfId="25739" xr:uid="{00000000-0005-0000-0000-0000C72B0000}"/>
    <cellStyle name="Normal 2 4 3 2 2 2 2 3 3" xfId="12468" xr:uid="{00000000-0005-0000-0000-0000C82B0000}"/>
    <cellStyle name="Normal 2 4 3 2 2 2 2 3 3 2" xfId="29043" xr:uid="{00000000-0005-0000-0000-0000C92B0000}"/>
    <cellStyle name="Normal 2 4 3 2 2 2 2 3 4" xfId="5775" xr:uid="{00000000-0005-0000-0000-0000CA2B0000}"/>
    <cellStyle name="Normal 2 4 3 2 2 2 2 3 4 2" xfId="22439" xr:uid="{00000000-0005-0000-0000-0000CB2B0000}"/>
    <cellStyle name="Normal 2 4 3 2 2 2 2 3 5" xfId="19006" xr:uid="{00000000-0005-0000-0000-0000CC2B0000}"/>
    <cellStyle name="Normal 2 4 3 2 2 2 2 4" xfId="7505" xr:uid="{00000000-0005-0000-0000-0000CD2B0000}"/>
    <cellStyle name="Normal 2 4 3 2 2 2 2 4 2" xfId="14768" xr:uid="{00000000-0005-0000-0000-0000CE2B0000}"/>
    <cellStyle name="Normal 2 4 3 2 2 2 2 4 2 2" xfId="31083" xr:uid="{00000000-0005-0000-0000-0000CF2B0000}"/>
    <cellStyle name="Normal 2 4 3 2 2 2 2 4 3" xfId="24118" xr:uid="{00000000-0005-0000-0000-0000D02B0000}"/>
    <cellStyle name="Normal 2 4 3 2 2 2 2 5" xfId="10820" xr:uid="{00000000-0005-0000-0000-0000D12B0000}"/>
    <cellStyle name="Normal 2 4 3 2 2 2 2 5 2" xfId="27418" xr:uid="{00000000-0005-0000-0000-0000D22B0000}"/>
    <cellStyle name="Normal 2 4 3 2 2 2 2 6" xfId="3879" xr:uid="{00000000-0005-0000-0000-0000D32B0000}"/>
    <cellStyle name="Normal 2 4 3 2 2 2 2 6 2" xfId="20602" xr:uid="{00000000-0005-0000-0000-0000D42B0000}"/>
    <cellStyle name="Normal 2 4 3 2 2 2 2 7" xfId="18392" xr:uid="{00000000-0005-0000-0000-0000D52B0000}"/>
    <cellStyle name="Normal 2 4 3 2 2 2 3" xfId="2277" xr:uid="{00000000-0005-0000-0000-0000D62B0000}"/>
    <cellStyle name="Normal 2 4 3 2 2 2 3 2" xfId="6181" xr:uid="{00000000-0005-0000-0000-0000D72B0000}"/>
    <cellStyle name="Normal 2 4 3 2 2 2 3 2 2" xfId="9532" xr:uid="{00000000-0005-0000-0000-0000D82B0000}"/>
    <cellStyle name="Normal 2 4 3 2 2 2 3 2 2 2" xfId="16795" xr:uid="{00000000-0005-0000-0000-0000D92B0000}"/>
    <cellStyle name="Normal 2 4 3 2 2 2 3 2 2 2 2" xfId="33110" xr:uid="{00000000-0005-0000-0000-0000DA2B0000}"/>
    <cellStyle name="Normal 2 4 3 2 2 2 3 2 2 3" xfId="26145" xr:uid="{00000000-0005-0000-0000-0000DB2B0000}"/>
    <cellStyle name="Normal 2 4 3 2 2 2 3 2 3" xfId="12874" xr:uid="{00000000-0005-0000-0000-0000DC2B0000}"/>
    <cellStyle name="Normal 2 4 3 2 2 2 3 2 3 2" xfId="29449" xr:uid="{00000000-0005-0000-0000-0000DD2B0000}"/>
    <cellStyle name="Normal 2 4 3 2 2 2 3 2 4" xfId="22845" xr:uid="{00000000-0005-0000-0000-0000DE2B0000}"/>
    <cellStyle name="Normal 2 4 3 2 2 2 3 3" xfId="7911" xr:uid="{00000000-0005-0000-0000-0000DF2B0000}"/>
    <cellStyle name="Normal 2 4 3 2 2 2 3 3 2" xfId="15174" xr:uid="{00000000-0005-0000-0000-0000E02B0000}"/>
    <cellStyle name="Normal 2 4 3 2 2 2 3 3 2 2" xfId="31489" xr:uid="{00000000-0005-0000-0000-0000E12B0000}"/>
    <cellStyle name="Normal 2 4 3 2 2 2 3 3 3" xfId="24524" xr:uid="{00000000-0005-0000-0000-0000E22B0000}"/>
    <cellStyle name="Normal 2 4 3 2 2 2 3 4" xfId="11226" xr:uid="{00000000-0005-0000-0000-0000E32B0000}"/>
    <cellStyle name="Normal 2 4 3 2 2 2 3 4 2" xfId="27824" xr:uid="{00000000-0005-0000-0000-0000E42B0000}"/>
    <cellStyle name="Normal 2 4 3 2 2 2 3 5" xfId="3881" xr:uid="{00000000-0005-0000-0000-0000E52B0000}"/>
    <cellStyle name="Normal 2 4 3 2 2 2 3 5 2" xfId="20604" xr:uid="{00000000-0005-0000-0000-0000E62B0000}"/>
    <cellStyle name="Normal 2 4 3 2 2 2 3 6" xfId="19008" xr:uid="{00000000-0005-0000-0000-0000E72B0000}"/>
    <cellStyle name="Normal 2 4 3 2 2 2 4" xfId="2274" xr:uid="{00000000-0005-0000-0000-0000E82B0000}"/>
    <cellStyle name="Normal 2 4 3 2 2 2 4 2" xfId="8719" xr:uid="{00000000-0005-0000-0000-0000E92B0000}"/>
    <cellStyle name="Normal 2 4 3 2 2 2 4 2 2" xfId="15982" xr:uid="{00000000-0005-0000-0000-0000EA2B0000}"/>
    <cellStyle name="Normal 2 4 3 2 2 2 4 2 2 2" xfId="32297" xr:uid="{00000000-0005-0000-0000-0000EB2B0000}"/>
    <cellStyle name="Normal 2 4 3 2 2 2 4 2 3" xfId="25332" xr:uid="{00000000-0005-0000-0000-0000EC2B0000}"/>
    <cellStyle name="Normal 2 4 3 2 2 2 4 3" xfId="12061" xr:uid="{00000000-0005-0000-0000-0000ED2B0000}"/>
    <cellStyle name="Normal 2 4 3 2 2 2 4 3 2" xfId="28636" xr:uid="{00000000-0005-0000-0000-0000EE2B0000}"/>
    <cellStyle name="Normal 2 4 3 2 2 2 4 4" xfId="5368" xr:uid="{00000000-0005-0000-0000-0000EF2B0000}"/>
    <cellStyle name="Normal 2 4 3 2 2 2 4 4 2" xfId="22032" xr:uid="{00000000-0005-0000-0000-0000F02B0000}"/>
    <cellStyle name="Normal 2 4 3 2 2 2 4 5" xfId="19005" xr:uid="{00000000-0005-0000-0000-0000F12B0000}"/>
    <cellStyle name="Normal 2 4 3 2 2 2 5" xfId="7099" xr:uid="{00000000-0005-0000-0000-0000F22B0000}"/>
    <cellStyle name="Normal 2 4 3 2 2 2 5 2" xfId="14362" xr:uid="{00000000-0005-0000-0000-0000F32B0000}"/>
    <cellStyle name="Normal 2 4 3 2 2 2 5 2 2" xfId="30677" xr:uid="{00000000-0005-0000-0000-0000F42B0000}"/>
    <cellStyle name="Normal 2 4 3 2 2 2 5 3" xfId="23712" xr:uid="{00000000-0005-0000-0000-0000F52B0000}"/>
    <cellStyle name="Normal 2 4 3 2 2 2 6" xfId="10414" xr:uid="{00000000-0005-0000-0000-0000F62B0000}"/>
    <cellStyle name="Normal 2 4 3 2 2 2 6 2" xfId="27012" xr:uid="{00000000-0005-0000-0000-0000F72B0000}"/>
    <cellStyle name="Normal 2 4 3 2 2 2 7" xfId="3878" xr:uid="{00000000-0005-0000-0000-0000F82B0000}"/>
    <cellStyle name="Normal 2 4 3 2 2 2 7 2" xfId="20601" xr:uid="{00000000-0005-0000-0000-0000F92B0000}"/>
    <cellStyle name="Normal 2 4 3 2 2 2 8" xfId="17873" xr:uid="{00000000-0005-0000-0000-0000FA2B0000}"/>
    <cellStyle name="Normal 2 4 3 2 2 3" xfId="1606" xr:uid="{00000000-0005-0000-0000-0000FB2B0000}"/>
    <cellStyle name="Normal 2 4 3 2 2 3 2" xfId="2279" xr:uid="{00000000-0005-0000-0000-0000FC2B0000}"/>
    <cellStyle name="Normal 2 4 3 2 2 3 2 2" xfId="6375" xr:uid="{00000000-0005-0000-0000-0000FD2B0000}"/>
    <cellStyle name="Normal 2 4 3 2 2 3 2 2 2" xfId="9726" xr:uid="{00000000-0005-0000-0000-0000FE2B0000}"/>
    <cellStyle name="Normal 2 4 3 2 2 3 2 2 2 2" xfId="16989" xr:uid="{00000000-0005-0000-0000-0000FF2B0000}"/>
    <cellStyle name="Normal 2 4 3 2 2 3 2 2 2 2 2" xfId="33304" xr:uid="{00000000-0005-0000-0000-0000002C0000}"/>
    <cellStyle name="Normal 2 4 3 2 2 3 2 2 2 3" xfId="26339" xr:uid="{00000000-0005-0000-0000-0000012C0000}"/>
    <cellStyle name="Normal 2 4 3 2 2 3 2 2 3" xfId="13068" xr:uid="{00000000-0005-0000-0000-0000022C0000}"/>
    <cellStyle name="Normal 2 4 3 2 2 3 2 2 3 2" xfId="29643" xr:uid="{00000000-0005-0000-0000-0000032C0000}"/>
    <cellStyle name="Normal 2 4 3 2 2 3 2 2 4" xfId="23039" xr:uid="{00000000-0005-0000-0000-0000042C0000}"/>
    <cellStyle name="Normal 2 4 3 2 2 3 2 3" xfId="8105" xr:uid="{00000000-0005-0000-0000-0000052C0000}"/>
    <cellStyle name="Normal 2 4 3 2 2 3 2 3 2" xfId="15368" xr:uid="{00000000-0005-0000-0000-0000062C0000}"/>
    <cellStyle name="Normal 2 4 3 2 2 3 2 3 2 2" xfId="31683" xr:uid="{00000000-0005-0000-0000-0000072C0000}"/>
    <cellStyle name="Normal 2 4 3 2 2 3 2 3 3" xfId="24718" xr:uid="{00000000-0005-0000-0000-0000082C0000}"/>
    <cellStyle name="Normal 2 4 3 2 2 3 2 4" xfId="11420" xr:uid="{00000000-0005-0000-0000-0000092C0000}"/>
    <cellStyle name="Normal 2 4 3 2 2 3 2 4 2" xfId="28018" xr:uid="{00000000-0005-0000-0000-00000A2C0000}"/>
    <cellStyle name="Normal 2 4 3 2 2 3 2 5" xfId="3883" xr:uid="{00000000-0005-0000-0000-00000B2C0000}"/>
    <cellStyle name="Normal 2 4 3 2 2 3 2 5 2" xfId="20606" xr:uid="{00000000-0005-0000-0000-00000C2C0000}"/>
    <cellStyle name="Normal 2 4 3 2 2 3 2 6" xfId="19010" xr:uid="{00000000-0005-0000-0000-00000D2C0000}"/>
    <cellStyle name="Normal 2 4 3 2 2 3 3" xfId="2278" xr:uid="{00000000-0005-0000-0000-00000E2C0000}"/>
    <cellStyle name="Normal 2 4 3 2 2 3 3 2" xfId="8914" xr:uid="{00000000-0005-0000-0000-00000F2C0000}"/>
    <cellStyle name="Normal 2 4 3 2 2 3 3 2 2" xfId="16177" xr:uid="{00000000-0005-0000-0000-0000102C0000}"/>
    <cellStyle name="Normal 2 4 3 2 2 3 3 2 2 2" xfId="32492" xr:uid="{00000000-0005-0000-0000-0000112C0000}"/>
    <cellStyle name="Normal 2 4 3 2 2 3 3 2 3" xfId="25527" xr:uid="{00000000-0005-0000-0000-0000122C0000}"/>
    <cellStyle name="Normal 2 4 3 2 2 3 3 3" xfId="12256" xr:uid="{00000000-0005-0000-0000-0000132C0000}"/>
    <cellStyle name="Normal 2 4 3 2 2 3 3 3 2" xfId="28831" xr:uid="{00000000-0005-0000-0000-0000142C0000}"/>
    <cellStyle name="Normal 2 4 3 2 2 3 3 4" xfId="5563" xr:uid="{00000000-0005-0000-0000-0000152C0000}"/>
    <cellStyle name="Normal 2 4 3 2 2 3 3 4 2" xfId="22227" xr:uid="{00000000-0005-0000-0000-0000162C0000}"/>
    <cellStyle name="Normal 2 4 3 2 2 3 3 5" xfId="19009" xr:uid="{00000000-0005-0000-0000-0000172C0000}"/>
    <cellStyle name="Normal 2 4 3 2 2 3 4" xfId="7293" xr:uid="{00000000-0005-0000-0000-0000182C0000}"/>
    <cellStyle name="Normal 2 4 3 2 2 3 4 2" xfId="14556" xr:uid="{00000000-0005-0000-0000-0000192C0000}"/>
    <cellStyle name="Normal 2 4 3 2 2 3 4 2 2" xfId="30871" xr:uid="{00000000-0005-0000-0000-00001A2C0000}"/>
    <cellStyle name="Normal 2 4 3 2 2 3 4 3" xfId="23906" xr:uid="{00000000-0005-0000-0000-00001B2C0000}"/>
    <cellStyle name="Normal 2 4 3 2 2 3 5" xfId="10608" xr:uid="{00000000-0005-0000-0000-00001C2C0000}"/>
    <cellStyle name="Normal 2 4 3 2 2 3 5 2" xfId="27206" xr:uid="{00000000-0005-0000-0000-00001D2C0000}"/>
    <cellStyle name="Normal 2 4 3 2 2 3 6" xfId="3882" xr:uid="{00000000-0005-0000-0000-00001E2C0000}"/>
    <cellStyle name="Normal 2 4 3 2 2 3 6 2" xfId="20605" xr:uid="{00000000-0005-0000-0000-00001F2C0000}"/>
    <cellStyle name="Normal 2 4 3 2 2 3 7" xfId="18341" xr:uid="{00000000-0005-0000-0000-0000202C0000}"/>
    <cellStyle name="Normal 2 4 3 2 2 4" xfId="2280" xr:uid="{00000000-0005-0000-0000-0000212C0000}"/>
    <cellStyle name="Normal 2 4 3 2 2 4 2" xfId="5969" xr:uid="{00000000-0005-0000-0000-0000222C0000}"/>
    <cellStyle name="Normal 2 4 3 2 2 4 2 2" xfId="9320" xr:uid="{00000000-0005-0000-0000-0000232C0000}"/>
    <cellStyle name="Normal 2 4 3 2 2 4 2 2 2" xfId="16583" xr:uid="{00000000-0005-0000-0000-0000242C0000}"/>
    <cellStyle name="Normal 2 4 3 2 2 4 2 2 2 2" xfId="32898" xr:uid="{00000000-0005-0000-0000-0000252C0000}"/>
    <cellStyle name="Normal 2 4 3 2 2 4 2 2 3" xfId="25933" xr:uid="{00000000-0005-0000-0000-0000262C0000}"/>
    <cellStyle name="Normal 2 4 3 2 2 4 2 3" xfId="12662" xr:uid="{00000000-0005-0000-0000-0000272C0000}"/>
    <cellStyle name="Normal 2 4 3 2 2 4 2 3 2" xfId="29237" xr:uid="{00000000-0005-0000-0000-0000282C0000}"/>
    <cellStyle name="Normal 2 4 3 2 2 4 2 4" xfId="22633" xr:uid="{00000000-0005-0000-0000-0000292C0000}"/>
    <cellStyle name="Normal 2 4 3 2 2 4 3" xfId="7699" xr:uid="{00000000-0005-0000-0000-00002A2C0000}"/>
    <cellStyle name="Normal 2 4 3 2 2 4 3 2" xfId="14962" xr:uid="{00000000-0005-0000-0000-00002B2C0000}"/>
    <cellStyle name="Normal 2 4 3 2 2 4 3 2 2" xfId="31277" xr:uid="{00000000-0005-0000-0000-00002C2C0000}"/>
    <cellStyle name="Normal 2 4 3 2 2 4 3 3" xfId="24312" xr:uid="{00000000-0005-0000-0000-00002D2C0000}"/>
    <cellStyle name="Normal 2 4 3 2 2 4 4" xfId="11014" xr:uid="{00000000-0005-0000-0000-00002E2C0000}"/>
    <cellStyle name="Normal 2 4 3 2 2 4 4 2" xfId="27612" xr:uid="{00000000-0005-0000-0000-00002F2C0000}"/>
    <cellStyle name="Normal 2 4 3 2 2 4 5" xfId="3884" xr:uid="{00000000-0005-0000-0000-0000302C0000}"/>
    <cellStyle name="Normal 2 4 3 2 2 4 5 2" xfId="20607" xr:uid="{00000000-0005-0000-0000-0000312C0000}"/>
    <cellStyle name="Normal 2 4 3 2 2 4 6" xfId="19011" xr:uid="{00000000-0005-0000-0000-0000322C0000}"/>
    <cellStyle name="Normal 2 4 3 2 2 5" xfId="2273" xr:uid="{00000000-0005-0000-0000-0000332C0000}"/>
    <cellStyle name="Normal 2 4 3 2 2 5 2" xfId="8667" xr:uid="{00000000-0005-0000-0000-0000342C0000}"/>
    <cellStyle name="Normal 2 4 3 2 2 5 2 2" xfId="15930" xr:uid="{00000000-0005-0000-0000-0000352C0000}"/>
    <cellStyle name="Normal 2 4 3 2 2 5 2 2 2" xfId="32245" xr:uid="{00000000-0005-0000-0000-0000362C0000}"/>
    <cellStyle name="Normal 2 4 3 2 2 5 2 3" xfId="25280" xr:uid="{00000000-0005-0000-0000-0000372C0000}"/>
    <cellStyle name="Normal 2 4 3 2 2 5 3" xfId="12009" xr:uid="{00000000-0005-0000-0000-0000382C0000}"/>
    <cellStyle name="Normal 2 4 3 2 2 5 3 2" xfId="28584" xr:uid="{00000000-0005-0000-0000-0000392C0000}"/>
    <cellStyle name="Normal 2 4 3 2 2 5 4" xfId="5316" xr:uid="{00000000-0005-0000-0000-00003A2C0000}"/>
    <cellStyle name="Normal 2 4 3 2 2 5 4 2" xfId="21980" xr:uid="{00000000-0005-0000-0000-00003B2C0000}"/>
    <cellStyle name="Normal 2 4 3 2 2 5 5" xfId="19004" xr:uid="{00000000-0005-0000-0000-00003C2C0000}"/>
    <cellStyle name="Normal 2 4 3 2 2 6" xfId="7048" xr:uid="{00000000-0005-0000-0000-00003D2C0000}"/>
    <cellStyle name="Normal 2 4 3 2 2 6 2" xfId="14311" xr:uid="{00000000-0005-0000-0000-00003E2C0000}"/>
    <cellStyle name="Normal 2 4 3 2 2 6 2 2" xfId="30626" xr:uid="{00000000-0005-0000-0000-00003F2C0000}"/>
    <cellStyle name="Normal 2 4 3 2 2 6 3" xfId="23661" xr:uid="{00000000-0005-0000-0000-0000402C0000}"/>
    <cellStyle name="Normal 2 4 3 2 2 7" xfId="10362" xr:uid="{00000000-0005-0000-0000-0000412C0000}"/>
    <cellStyle name="Normal 2 4 3 2 2 7 2" xfId="26961" xr:uid="{00000000-0005-0000-0000-0000422C0000}"/>
    <cellStyle name="Normal 2 4 3 2 2 8" xfId="3877" xr:uid="{00000000-0005-0000-0000-0000432C0000}"/>
    <cellStyle name="Normal 2 4 3 2 2 8 2" xfId="20600" xr:uid="{00000000-0005-0000-0000-0000442C0000}"/>
    <cellStyle name="Normal 2 4 3 2 2 9" xfId="17822" xr:uid="{00000000-0005-0000-0000-0000452C0000}"/>
    <cellStyle name="Normal 2 4 3 2 3" xfId="1135" xr:uid="{00000000-0005-0000-0000-0000462C0000}"/>
    <cellStyle name="Normal 2 4 3 2 3 2" xfId="1656" xr:uid="{00000000-0005-0000-0000-0000472C0000}"/>
    <cellStyle name="Normal 2 4 3 2 3 2 2" xfId="2283" xr:uid="{00000000-0005-0000-0000-0000482C0000}"/>
    <cellStyle name="Normal 2 4 3 2 3 2 2 2" xfId="6550" xr:uid="{00000000-0005-0000-0000-0000492C0000}"/>
    <cellStyle name="Normal 2 4 3 2 3 2 2 2 2" xfId="9901" xr:uid="{00000000-0005-0000-0000-00004A2C0000}"/>
    <cellStyle name="Normal 2 4 3 2 3 2 2 2 2 2" xfId="17164" xr:uid="{00000000-0005-0000-0000-00004B2C0000}"/>
    <cellStyle name="Normal 2 4 3 2 3 2 2 2 2 2 2" xfId="33479" xr:uid="{00000000-0005-0000-0000-00004C2C0000}"/>
    <cellStyle name="Normal 2 4 3 2 3 2 2 2 2 3" xfId="26514" xr:uid="{00000000-0005-0000-0000-00004D2C0000}"/>
    <cellStyle name="Normal 2 4 3 2 3 2 2 2 3" xfId="13243" xr:uid="{00000000-0005-0000-0000-00004E2C0000}"/>
    <cellStyle name="Normal 2 4 3 2 3 2 2 2 3 2" xfId="29818" xr:uid="{00000000-0005-0000-0000-00004F2C0000}"/>
    <cellStyle name="Normal 2 4 3 2 3 2 2 2 4" xfId="23214" xr:uid="{00000000-0005-0000-0000-0000502C0000}"/>
    <cellStyle name="Normal 2 4 3 2 3 2 2 3" xfId="8280" xr:uid="{00000000-0005-0000-0000-0000512C0000}"/>
    <cellStyle name="Normal 2 4 3 2 3 2 2 3 2" xfId="15543" xr:uid="{00000000-0005-0000-0000-0000522C0000}"/>
    <cellStyle name="Normal 2 4 3 2 3 2 2 3 2 2" xfId="31858" xr:uid="{00000000-0005-0000-0000-0000532C0000}"/>
    <cellStyle name="Normal 2 4 3 2 3 2 2 3 3" xfId="24893" xr:uid="{00000000-0005-0000-0000-0000542C0000}"/>
    <cellStyle name="Normal 2 4 3 2 3 2 2 4" xfId="11595" xr:uid="{00000000-0005-0000-0000-0000552C0000}"/>
    <cellStyle name="Normal 2 4 3 2 3 2 2 4 2" xfId="28193" xr:uid="{00000000-0005-0000-0000-0000562C0000}"/>
    <cellStyle name="Normal 2 4 3 2 3 2 2 5" xfId="3887" xr:uid="{00000000-0005-0000-0000-0000572C0000}"/>
    <cellStyle name="Normal 2 4 3 2 3 2 2 5 2" xfId="20610" xr:uid="{00000000-0005-0000-0000-0000582C0000}"/>
    <cellStyle name="Normal 2 4 3 2 3 2 2 6" xfId="19014" xr:uid="{00000000-0005-0000-0000-0000592C0000}"/>
    <cellStyle name="Normal 2 4 3 2 3 2 3" xfId="2282" xr:uid="{00000000-0005-0000-0000-00005A2C0000}"/>
    <cellStyle name="Normal 2 4 3 2 3 2 3 2" xfId="9125" xr:uid="{00000000-0005-0000-0000-00005B2C0000}"/>
    <cellStyle name="Normal 2 4 3 2 3 2 3 2 2" xfId="16388" xr:uid="{00000000-0005-0000-0000-00005C2C0000}"/>
    <cellStyle name="Normal 2 4 3 2 3 2 3 2 2 2" xfId="32703" xr:uid="{00000000-0005-0000-0000-00005D2C0000}"/>
    <cellStyle name="Normal 2 4 3 2 3 2 3 2 3" xfId="25738" xr:uid="{00000000-0005-0000-0000-00005E2C0000}"/>
    <cellStyle name="Normal 2 4 3 2 3 2 3 3" xfId="12467" xr:uid="{00000000-0005-0000-0000-00005F2C0000}"/>
    <cellStyle name="Normal 2 4 3 2 3 2 3 3 2" xfId="29042" xr:uid="{00000000-0005-0000-0000-0000602C0000}"/>
    <cellStyle name="Normal 2 4 3 2 3 2 3 4" xfId="5774" xr:uid="{00000000-0005-0000-0000-0000612C0000}"/>
    <cellStyle name="Normal 2 4 3 2 3 2 3 4 2" xfId="22438" xr:uid="{00000000-0005-0000-0000-0000622C0000}"/>
    <cellStyle name="Normal 2 4 3 2 3 2 3 5" xfId="19013" xr:uid="{00000000-0005-0000-0000-0000632C0000}"/>
    <cellStyle name="Normal 2 4 3 2 3 2 4" xfId="7504" xr:uid="{00000000-0005-0000-0000-0000642C0000}"/>
    <cellStyle name="Normal 2 4 3 2 3 2 4 2" xfId="14767" xr:uid="{00000000-0005-0000-0000-0000652C0000}"/>
    <cellStyle name="Normal 2 4 3 2 3 2 4 2 2" xfId="31082" xr:uid="{00000000-0005-0000-0000-0000662C0000}"/>
    <cellStyle name="Normal 2 4 3 2 3 2 4 3" xfId="24117" xr:uid="{00000000-0005-0000-0000-0000672C0000}"/>
    <cellStyle name="Normal 2 4 3 2 3 2 5" xfId="10819" xr:uid="{00000000-0005-0000-0000-0000682C0000}"/>
    <cellStyle name="Normal 2 4 3 2 3 2 5 2" xfId="27417" xr:uid="{00000000-0005-0000-0000-0000692C0000}"/>
    <cellStyle name="Normal 2 4 3 2 3 2 6" xfId="3886" xr:uid="{00000000-0005-0000-0000-00006A2C0000}"/>
    <cellStyle name="Normal 2 4 3 2 3 2 6 2" xfId="20609" xr:uid="{00000000-0005-0000-0000-00006B2C0000}"/>
    <cellStyle name="Normal 2 4 3 2 3 2 7" xfId="18391" xr:uid="{00000000-0005-0000-0000-00006C2C0000}"/>
    <cellStyle name="Normal 2 4 3 2 3 3" xfId="2284" xr:uid="{00000000-0005-0000-0000-00006D2C0000}"/>
    <cellStyle name="Normal 2 4 3 2 3 3 2" xfId="6180" xr:uid="{00000000-0005-0000-0000-00006E2C0000}"/>
    <cellStyle name="Normal 2 4 3 2 3 3 2 2" xfId="9531" xr:uid="{00000000-0005-0000-0000-00006F2C0000}"/>
    <cellStyle name="Normal 2 4 3 2 3 3 2 2 2" xfId="16794" xr:uid="{00000000-0005-0000-0000-0000702C0000}"/>
    <cellStyle name="Normal 2 4 3 2 3 3 2 2 2 2" xfId="33109" xr:uid="{00000000-0005-0000-0000-0000712C0000}"/>
    <cellStyle name="Normal 2 4 3 2 3 3 2 2 3" xfId="26144" xr:uid="{00000000-0005-0000-0000-0000722C0000}"/>
    <cellStyle name="Normal 2 4 3 2 3 3 2 3" xfId="12873" xr:uid="{00000000-0005-0000-0000-0000732C0000}"/>
    <cellStyle name="Normal 2 4 3 2 3 3 2 3 2" xfId="29448" xr:uid="{00000000-0005-0000-0000-0000742C0000}"/>
    <cellStyle name="Normal 2 4 3 2 3 3 2 4" xfId="22844" xr:uid="{00000000-0005-0000-0000-0000752C0000}"/>
    <cellStyle name="Normal 2 4 3 2 3 3 3" xfId="7910" xr:uid="{00000000-0005-0000-0000-0000762C0000}"/>
    <cellStyle name="Normal 2 4 3 2 3 3 3 2" xfId="15173" xr:uid="{00000000-0005-0000-0000-0000772C0000}"/>
    <cellStyle name="Normal 2 4 3 2 3 3 3 2 2" xfId="31488" xr:uid="{00000000-0005-0000-0000-0000782C0000}"/>
    <cellStyle name="Normal 2 4 3 2 3 3 3 3" xfId="24523" xr:uid="{00000000-0005-0000-0000-0000792C0000}"/>
    <cellStyle name="Normal 2 4 3 2 3 3 4" xfId="11225" xr:uid="{00000000-0005-0000-0000-00007A2C0000}"/>
    <cellStyle name="Normal 2 4 3 2 3 3 4 2" xfId="27823" xr:uid="{00000000-0005-0000-0000-00007B2C0000}"/>
    <cellStyle name="Normal 2 4 3 2 3 3 5" xfId="3888" xr:uid="{00000000-0005-0000-0000-00007C2C0000}"/>
    <cellStyle name="Normal 2 4 3 2 3 3 5 2" xfId="20611" xr:uid="{00000000-0005-0000-0000-00007D2C0000}"/>
    <cellStyle name="Normal 2 4 3 2 3 3 6" xfId="19015" xr:uid="{00000000-0005-0000-0000-00007E2C0000}"/>
    <cellStyle name="Normal 2 4 3 2 3 4" xfId="2281" xr:uid="{00000000-0005-0000-0000-00007F2C0000}"/>
    <cellStyle name="Normal 2 4 3 2 3 4 2" xfId="8718" xr:uid="{00000000-0005-0000-0000-0000802C0000}"/>
    <cellStyle name="Normal 2 4 3 2 3 4 2 2" xfId="15981" xr:uid="{00000000-0005-0000-0000-0000812C0000}"/>
    <cellStyle name="Normal 2 4 3 2 3 4 2 2 2" xfId="32296" xr:uid="{00000000-0005-0000-0000-0000822C0000}"/>
    <cellStyle name="Normal 2 4 3 2 3 4 2 3" xfId="25331" xr:uid="{00000000-0005-0000-0000-0000832C0000}"/>
    <cellStyle name="Normal 2 4 3 2 3 4 3" xfId="12060" xr:uid="{00000000-0005-0000-0000-0000842C0000}"/>
    <cellStyle name="Normal 2 4 3 2 3 4 3 2" xfId="28635" xr:uid="{00000000-0005-0000-0000-0000852C0000}"/>
    <cellStyle name="Normal 2 4 3 2 3 4 4" xfId="5367" xr:uid="{00000000-0005-0000-0000-0000862C0000}"/>
    <cellStyle name="Normal 2 4 3 2 3 4 4 2" xfId="22031" xr:uid="{00000000-0005-0000-0000-0000872C0000}"/>
    <cellStyle name="Normal 2 4 3 2 3 4 5" xfId="19012" xr:uid="{00000000-0005-0000-0000-0000882C0000}"/>
    <cellStyle name="Normal 2 4 3 2 3 5" xfId="7098" xr:uid="{00000000-0005-0000-0000-0000892C0000}"/>
    <cellStyle name="Normal 2 4 3 2 3 5 2" xfId="14361" xr:uid="{00000000-0005-0000-0000-00008A2C0000}"/>
    <cellStyle name="Normal 2 4 3 2 3 5 2 2" xfId="30676" xr:uid="{00000000-0005-0000-0000-00008B2C0000}"/>
    <cellStyle name="Normal 2 4 3 2 3 5 3" xfId="23711" xr:uid="{00000000-0005-0000-0000-00008C2C0000}"/>
    <cellStyle name="Normal 2 4 3 2 3 6" xfId="10413" xr:uid="{00000000-0005-0000-0000-00008D2C0000}"/>
    <cellStyle name="Normal 2 4 3 2 3 6 2" xfId="27011" xr:uid="{00000000-0005-0000-0000-00008E2C0000}"/>
    <cellStyle name="Normal 2 4 3 2 3 7" xfId="3885" xr:uid="{00000000-0005-0000-0000-00008F2C0000}"/>
    <cellStyle name="Normal 2 4 3 2 3 7 2" xfId="20608" xr:uid="{00000000-0005-0000-0000-0000902C0000}"/>
    <cellStyle name="Normal 2 4 3 2 3 8" xfId="17872" xr:uid="{00000000-0005-0000-0000-0000912C0000}"/>
    <cellStyle name="Normal 2 4 3 2 4" xfId="1500" xr:uid="{00000000-0005-0000-0000-0000922C0000}"/>
    <cellStyle name="Normal 2 4 3 2 4 2" xfId="2286" xr:uid="{00000000-0005-0000-0000-0000932C0000}"/>
    <cellStyle name="Normal 2 4 3 2 4 2 2" xfId="6374" xr:uid="{00000000-0005-0000-0000-0000942C0000}"/>
    <cellStyle name="Normal 2 4 3 2 4 2 2 2" xfId="9725" xr:uid="{00000000-0005-0000-0000-0000952C0000}"/>
    <cellStyle name="Normal 2 4 3 2 4 2 2 2 2" xfId="16988" xr:uid="{00000000-0005-0000-0000-0000962C0000}"/>
    <cellStyle name="Normal 2 4 3 2 4 2 2 2 2 2" xfId="33303" xr:uid="{00000000-0005-0000-0000-0000972C0000}"/>
    <cellStyle name="Normal 2 4 3 2 4 2 2 2 3" xfId="26338" xr:uid="{00000000-0005-0000-0000-0000982C0000}"/>
    <cellStyle name="Normal 2 4 3 2 4 2 2 3" xfId="13067" xr:uid="{00000000-0005-0000-0000-0000992C0000}"/>
    <cellStyle name="Normal 2 4 3 2 4 2 2 3 2" xfId="29642" xr:uid="{00000000-0005-0000-0000-00009A2C0000}"/>
    <cellStyle name="Normal 2 4 3 2 4 2 2 4" xfId="23038" xr:uid="{00000000-0005-0000-0000-00009B2C0000}"/>
    <cellStyle name="Normal 2 4 3 2 4 2 3" xfId="8104" xr:uid="{00000000-0005-0000-0000-00009C2C0000}"/>
    <cellStyle name="Normal 2 4 3 2 4 2 3 2" xfId="15367" xr:uid="{00000000-0005-0000-0000-00009D2C0000}"/>
    <cellStyle name="Normal 2 4 3 2 4 2 3 2 2" xfId="31682" xr:uid="{00000000-0005-0000-0000-00009E2C0000}"/>
    <cellStyle name="Normal 2 4 3 2 4 2 3 3" xfId="24717" xr:uid="{00000000-0005-0000-0000-00009F2C0000}"/>
    <cellStyle name="Normal 2 4 3 2 4 2 4" xfId="11419" xr:uid="{00000000-0005-0000-0000-0000A02C0000}"/>
    <cellStyle name="Normal 2 4 3 2 4 2 4 2" xfId="28017" xr:uid="{00000000-0005-0000-0000-0000A12C0000}"/>
    <cellStyle name="Normal 2 4 3 2 4 2 5" xfId="3890" xr:uid="{00000000-0005-0000-0000-0000A22C0000}"/>
    <cellStyle name="Normal 2 4 3 2 4 2 5 2" xfId="20613" xr:uid="{00000000-0005-0000-0000-0000A32C0000}"/>
    <cellStyle name="Normal 2 4 3 2 4 2 6" xfId="19017" xr:uid="{00000000-0005-0000-0000-0000A42C0000}"/>
    <cellStyle name="Normal 2 4 3 2 4 3" xfId="2285" xr:uid="{00000000-0005-0000-0000-0000A52C0000}"/>
    <cellStyle name="Normal 2 4 3 2 4 3 2" xfId="8913" xr:uid="{00000000-0005-0000-0000-0000A62C0000}"/>
    <cellStyle name="Normal 2 4 3 2 4 3 2 2" xfId="16176" xr:uid="{00000000-0005-0000-0000-0000A72C0000}"/>
    <cellStyle name="Normal 2 4 3 2 4 3 2 2 2" xfId="32491" xr:uid="{00000000-0005-0000-0000-0000A82C0000}"/>
    <cellStyle name="Normal 2 4 3 2 4 3 2 3" xfId="25526" xr:uid="{00000000-0005-0000-0000-0000A92C0000}"/>
    <cellStyle name="Normal 2 4 3 2 4 3 3" xfId="12255" xr:uid="{00000000-0005-0000-0000-0000AA2C0000}"/>
    <cellStyle name="Normal 2 4 3 2 4 3 3 2" xfId="28830" xr:uid="{00000000-0005-0000-0000-0000AB2C0000}"/>
    <cellStyle name="Normal 2 4 3 2 4 3 4" xfId="5562" xr:uid="{00000000-0005-0000-0000-0000AC2C0000}"/>
    <cellStyle name="Normal 2 4 3 2 4 3 4 2" xfId="22226" xr:uid="{00000000-0005-0000-0000-0000AD2C0000}"/>
    <cellStyle name="Normal 2 4 3 2 4 3 5" xfId="19016" xr:uid="{00000000-0005-0000-0000-0000AE2C0000}"/>
    <cellStyle name="Normal 2 4 3 2 4 4" xfId="7292" xr:uid="{00000000-0005-0000-0000-0000AF2C0000}"/>
    <cellStyle name="Normal 2 4 3 2 4 4 2" xfId="14555" xr:uid="{00000000-0005-0000-0000-0000B02C0000}"/>
    <cellStyle name="Normal 2 4 3 2 4 4 2 2" xfId="30870" xr:uid="{00000000-0005-0000-0000-0000B12C0000}"/>
    <cellStyle name="Normal 2 4 3 2 4 4 3" xfId="23905" xr:uid="{00000000-0005-0000-0000-0000B22C0000}"/>
    <cellStyle name="Normal 2 4 3 2 4 5" xfId="10607" xr:uid="{00000000-0005-0000-0000-0000B32C0000}"/>
    <cellStyle name="Normal 2 4 3 2 4 5 2" xfId="27205" xr:uid="{00000000-0005-0000-0000-0000B42C0000}"/>
    <cellStyle name="Normal 2 4 3 2 4 6" xfId="3889" xr:uid="{00000000-0005-0000-0000-0000B52C0000}"/>
    <cellStyle name="Normal 2 4 3 2 4 6 2" xfId="20612" xr:uid="{00000000-0005-0000-0000-0000B62C0000}"/>
    <cellStyle name="Normal 2 4 3 2 4 7" xfId="18235" xr:uid="{00000000-0005-0000-0000-0000B72C0000}"/>
    <cellStyle name="Normal 2 4 3 2 5" xfId="2287" xr:uid="{00000000-0005-0000-0000-0000B82C0000}"/>
    <cellStyle name="Normal 2 4 3 2 5 2" xfId="5968" xr:uid="{00000000-0005-0000-0000-0000B92C0000}"/>
    <cellStyle name="Normal 2 4 3 2 5 2 2" xfId="9319" xr:uid="{00000000-0005-0000-0000-0000BA2C0000}"/>
    <cellStyle name="Normal 2 4 3 2 5 2 2 2" xfId="16582" xr:uid="{00000000-0005-0000-0000-0000BB2C0000}"/>
    <cellStyle name="Normal 2 4 3 2 5 2 2 2 2" xfId="32897" xr:uid="{00000000-0005-0000-0000-0000BC2C0000}"/>
    <cellStyle name="Normal 2 4 3 2 5 2 2 3" xfId="25932" xr:uid="{00000000-0005-0000-0000-0000BD2C0000}"/>
    <cellStyle name="Normal 2 4 3 2 5 2 3" xfId="12661" xr:uid="{00000000-0005-0000-0000-0000BE2C0000}"/>
    <cellStyle name="Normal 2 4 3 2 5 2 3 2" xfId="29236" xr:uid="{00000000-0005-0000-0000-0000BF2C0000}"/>
    <cellStyle name="Normal 2 4 3 2 5 2 4" xfId="22632" xr:uid="{00000000-0005-0000-0000-0000C02C0000}"/>
    <cellStyle name="Normal 2 4 3 2 5 3" xfId="7698" xr:uid="{00000000-0005-0000-0000-0000C12C0000}"/>
    <cellStyle name="Normal 2 4 3 2 5 3 2" xfId="14961" xr:uid="{00000000-0005-0000-0000-0000C22C0000}"/>
    <cellStyle name="Normal 2 4 3 2 5 3 2 2" xfId="31276" xr:uid="{00000000-0005-0000-0000-0000C32C0000}"/>
    <cellStyle name="Normal 2 4 3 2 5 3 3" xfId="24311" xr:uid="{00000000-0005-0000-0000-0000C42C0000}"/>
    <cellStyle name="Normal 2 4 3 2 5 4" xfId="11013" xr:uid="{00000000-0005-0000-0000-0000C52C0000}"/>
    <cellStyle name="Normal 2 4 3 2 5 4 2" xfId="27611" xr:uid="{00000000-0005-0000-0000-0000C62C0000}"/>
    <cellStyle name="Normal 2 4 3 2 5 5" xfId="3891" xr:uid="{00000000-0005-0000-0000-0000C72C0000}"/>
    <cellStyle name="Normal 2 4 3 2 5 5 2" xfId="20614" xr:uid="{00000000-0005-0000-0000-0000C82C0000}"/>
    <cellStyle name="Normal 2 4 3 2 5 6" xfId="19018" xr:uid="{00000000-0005-0000-0000-0000C92C0000}"/>
    <cellStyle name="Normal 2 4 3 2 6" xfId="2272" xr:uid="{00000000-0005-0000-0000-0000CA2C0000}"/>
    <cellStyle name="Normal 2 4 3 2 6 2" xfId="8561" xr:uid="{00000000-0005-0000-0000-0000CB2C0000}"/>
    <cellStyle name="Normal 2 4 3 2 6 2 2" xfId="15824" xr:uid="{00000000-0005-0000-0000-0000CC2C0000}"/>
    <cellStyle name="Normal 2 4 3 2 6 2 2 2" xfId="32139" xr:uid="{00000000-0005-0000-0000-0000CD2C0000}"/>
    <cellStyle name="Normal 2 4 3 2 6 2 3" xfId="25174" xr:uid="{00000000-0005-0000-0000-0000CE2C0000}"/>
    <cellStyle name="Normal 2 4 3 2 6 3" xfId="11903" xr:uid="{00000000-0005-0000-0000-0000CF2C0000}"/>
    <cellStyle name="Normal 2 4 3 2 6 3 2" xfId="28478" xr:uid="{00000000-0005-0000-0000-0000D02C0000}"/>
    <cellStyle name="Normal 2 4 3 2 6 4" xfId="5210" xr:uid="{00000000-0005-0000-0000-0000D12C0000}"/>
    <cellStyle name="Normal 2 4 3 2 6 4 2" xfId="21874" xr:uid="{00000000-0005-0000-0000-0000D22C0000}"/>
    <cellStyle name="Normal 2 4 3 2 6 5" xfId="19003" xr:uid="{00000000-0005-0000-0000-0000D32C0000}"/>
    <cellStyle name="Normal 2 4 3 2 7" xfId="6942" xr:uid="{00000000-0005-0000-0000-0000D42C0000}"/>
    <cellStyle name="Normal 2 4 3 2 7 2" xfId="14205" xr:uid="{00000000-0005-0000-0000-0000D52C0000}"/>
    <cellStyle name="Normal 2 4 3 2 7 2 2" xfId="30520" xr:uid="{00000000-0005-0000-0000-0000D62C0000}"/>
    <cellStyle name="Normal 2 4 3 2 7 3" xfId="23555" xr:uid="{00000000-0005-0000-0000-0000D72C0000}"/>
    <cellStyle name="Normal 2 4 3 2 8" xfId="10256" xr:uid="{00000000-0005-0000-0000-0000D82C0000}"/>
    <cellStyle name="Normal 2 4 3 2 8 2" xfId="26855" xr:uid="{00000000-0005-0000-0000-0000D92C0000}"/>
    <cellStyle name="Normal 2 4 3 2 9" xfId="3876" xr:uid="{00000000-0005-0000-0000-0000DA2C0000}"/>
    <cellStyle name="Normal 2 4 3 2 9 2" xfId="20599" xr:uid="{00000000-0005-0000-0000-0000DB2C0000}"/>
    <cellStyle name="Normal 2 4 3 3" xfId="992" xr:uid="{00000000-0005-0000-0000-0000DC2C0000}"/>
    <cellStyle name="Normal 2 4 3 3 2" xfId="1137" xr:uid="{00000000-0005-0000-0000-0000DD2C0000}"/>
    <cellStyle name="Normal 2 4 3 3 2 2" xfId="1658" xr:uid="{00000000-0005-0000-0000-0000DE2C0000}"/>
    <cellStyle name="Normal 2 4 3 3 2 2 2" xfId="2291" xr:uid="{00000000-0005-0000-0000-0000DF2C0000}"/>
    <cellStyle name="Normal 2 4 3 3 2 2 2 2" xfId="6552" xr:uid="{00000000-0005-0000-0000-0000E02C0000}"/>
    <cellStyle name="Normal 2 4 3 3 2 2 2 2 2" xfId="9903" xr:uid="{00000000-0005-0000-0000-0000E12C0000}"/>
    <cellStyle name="Normal 2 4 3 3 2 2 2 2 2 2" xfId="17166" xr:uid="{00000000-0005-0000-0000-0000E22C0000}"/>
    <cellStyle name="Normal 2 4 3 3 2 2 2 2 2 2 2" xfId="33481" xr:uid="{00000000-0005-0000-0000-0000E32C0000}"/>
    <cellStyle name="Normal 2 4 3 3 2 2 2 2 2 3" xfId="26516" xr:uid="{00000000-0005-0000-0000-0000E42C0000}"/>
    <cellStyle name="Normal 2 4 3 3 2 2 2 2 3" xfId="13245" xr:uid="{00000000-0005-0000-0000-0000E52C0000}"/>
    <cellStyle name="Normal 2 4 3 3 2 2 2 2 3 2" xfId="29820" xr:uid="{00000000-0005-0000-0000-0000E62C0000}"/>
    <cellStyle name="Normal 2 4 3 3 2 2 2 2 4" xfId="23216" xr:uid="{00000000-0005-0000-0000-0000E72C0000}"/>
    <cellStyle name="Normal 2 4 3 3 2 2 2 3" xfId="8282" xr:uid="{00000000-0005-0000-0000-0000E82C0000}"/>
    <cellStyle name="Normal 2 4 3 3 2 2 2 3 2" xfId="15545" xr:uid="{00000000-0005-0000-0000-0000E92C0000}"/>
    <cellStyle name="Normal 2 4 3 3 2 2 2 3 2 2" xfId="31860" xr:uid="{00000000-0005-0000-0000-0000EA2C0000}"/>
    <cellStyle name="Normal 2 4 3 3 2 2 2 3 3" xfId="24895" xr:uid="{00000000-0005-0000-0000-0000EB2C0000}"/>
    <cellStyle name="Normal 2 4 3 3 2 2 2 4" xfId="11597" xr:uid="{00000000-0005-0000-0000-0000EC2C0000}"/>
    <cellStyle name="Normal 2 4 3 3 2 2 2 4 2" xfId="28195" xr:uid="{00000000-0005-0000-0000-0000ED2C0000}"/>
    <cellStyle name="Normal 2 4 3 3 2 2 2 5" xfId="3895" xr:uid="{00000000-0005-0000-0000-0000EE2C0000}"/>
    <cellStyle name="Normal 2 4 3 3 2 2 2 5 2" xfId="20618" xr:uid="{00000000-0005-0000-0000-0000EF2C0000}"/>
    <cellStyle name="Normal 2 4 3 3 2 2 2 6" xfId="19022" xr:uid="{00000000-0005-0000-0000-0000F02C0000}"/>
    <cellStyle name="Normal 2 4 3 3 2 2 3" xfId="2290" xr:uid="{00000000-0005-0000-0000-0000F12C0000}"/>
    <cellStyle name="Normal 2 4 3 3 2 2 3 2" xfId="9127" xr:uid="{00000000-0005-0000-0000-0000F22C0000}"/>
    <cellStyle name="Normal 2 4 3 3 2 2 3 2 2" xfId="16390" xr:uid="{00000000-0005-0000-0000-0000F32C0000}"/>
    <cellStyle name="Normal 2 4 3 3 2 2 3 2 2 2" xfId="32705" xr:uid="{00000000-0005-0000-0000-0000F42C0000}"/>
    <cellStyle name="Normal 2 4 3 3 2 2 3 2 3" xfId="25740" xr:uid="{00000000-0005-0000-0000-0000F52C0000}"/>
    <cellStyle name="Normal 2 4 3 3 2 2 3 3" xfId="12469" xr:uid="{00000000-0005-0000-0000-0000F62C0000}"/>
    <cellStyle name="Normal 2 4 3 3 2 2 3 3 2" xfId="29044" xr:uid="{00000000-0005-0000-0000-0000F72C0000}"/>
    <cellStyle name="Normal 2 4 3 3 2 2 3 4" xfId="5776" xr:uid="{00000000-0005-0000-0000-0000F82C0000}"/>
    <cellStyle name="Normal 2 4 3 3 2 2 3 4 2" xfId="22440" xr:uid="{00000000-0005-0000-0000-0000F92C0000}"/>
    <cellStyle name="Normal 2 4 3 3 2 2 3 5" xfId="19021" xr:uid="{00000000-0005-0000-0000-0000FA2C0000}"/>
    <cellStyle name="Normal 2 4 3 3 2 2 4" xfId="7506" xr:uid="{00000000-0005-0000-0000-0000FB2C0000}"/>
    <cellStyle name="Normal 2 4 3 3 2 2 4 2" xfId="14769" xr:uid="{00000000-0005-0000-0000-0000FC2C0000}"/>
    <cellStyle name="Normal 2 4 3 3 2 2 4 2 2" xfId="31084" xr:uid="{00000000-0005-0000-0000-0000FD2C0000}"/>
    <cellStyle name="Normal 2 4 3 3 2 2 4 3" xfId="24119" xr:uid="{00000000-0005-0000-0000-0000FE2C0000}"/>
    <cellStyle name="Normal 2 4 3 3 2 2 5" xfId="10821" xr:uid="{00000000-0005-0000-0000-0000FF2C0000}"/>
    <cellStyle name="Normal 2 4 3 3 2 2 5 2" xfId="27419" xr:uid="{00000000-0005-0000-0000-0000002D0000}"/>
    <cellStyle name="Normal 2 4 3 3 2 2 6" xfId="3894" xr:uid="{00000000-0005-0000-0000-0000012D0000}"/>
    <cellStyle name="Normal 2 4 3 3 2 2 6 2" xfId="20617" xr:uid="{00000000-0005-0000-0000-0000022D0000}"/>
    <cellStyle name="Normal 2 4 3 3 2 2 7" xfId="18393" xr:uid="{00000000-0005-0000-0000-0000032D0000}"/>
    <cellStyle name="Normal 2 4 3 3 2 3" xfId="2292" xr:uid="{00000000-0005-0000-0000-0000042D0000}"/>
    <cellStyle name="Normal 2 4 3 3 2 3 2" xfId="6182" xr:uid="{00000000-0005-0000-0000-0000052D0000}"/>
    <cellStyle name="Normal 2 4 3 3 2 3 2 2" xfId="9533" xr:uid="{00000000-0005-0000-0000-0000062D0000}"/>
    <cellStyle name="Normal 2 4 3 3 2 3 2 2 2" xfId="16796" xr:uid="{00000000-0005-0000-0000-0000072D0000}"/>
    <cellStyle name="Normal 2 4 3 3 2 3 2 2 2 2" xfId="33111" xr:uid="{00000000-0005-0000-0000-0000082D0000}"/>
    <cellStyle name="Normal 2 4 3 3 2 3 2 2 3" xfId="26146" xr:uid="{00000000-0005-0000-0000-0000092D0000}"/>
    <cellStyle name="Normal 2 4 3 3 2 3 2 3" xfId="12875" xr:uid="{00000000-0005-0000-0000-00000A2D0000}"/>
    <cellStyle name="Normal 2 4 3 3 2 3 2 3 2" xfId="29450" xr:uid="{00000000-0005-0000-0000-00000B2D0000}"/>
    <cellStyle name="Normal 2 4 3 3 2 3 2 4" xfId="22846" xr:uid="{00000000-0005-0000-0000-00000C2D0000}"/>
    <cellStyle name="Normal 2 4 3 3 2 3 3" xfId="7912" xr:uid="{00000000-0005-0000-0000-00000D2D0000}"/>
    <cellStyle name="Normal 2 4 3 3 2 3 3 2" xfId="15175" xr:uid="{00000000-0005-0000-0000-00000E2D0000}"/>
    <cellStyle name="Normal 2 4 3 3 2 3 3 2 2" xfId="31490" xr:uid="{00000000-0005-0000-0000-00000F2D0000}"/>
    <cellStyle name="Normal 2 4 3 3 2 3 3 3" xfId="24525" xr:uid="{00000000-0005-0000-0000-0000102D0000}"/>
    <cellStyle name="Normal 2 4 3 3 2 3 4" xfId="11227" xr:uid="{00000000-0005-0000-0000-0000112D0000}"/>
    <cellStyle name="Normal 2 4 3 3 2 3 4 2" xfId="27825" xr:uid="{00000000-0005-0000-0000-0000122D0000}"/>
    <cellStyle name="Normal 2 4 3 3 2 3 5" xfId="3896" xr:uid="{00000000-0005-0000-0000-0000132D0000}"/>
    <cellStyle name="Normal 2 4 3 3 2 3 5 2" xfId="20619" xr:uid="{00000000-0005-0000-0000-0000142D0000}"/>
    <cellStyle name="Normal 2 4 3 3 2 3 6" xfId="19023" xr:uid="{00000000-0005-0000-0000-0000152D0000}"/>
    <cellStyle name="Normal 2 4 3 3 2 4" xfId="2289" xr:uid="{00000000-0005-0000-0000-0000162D0000}"/>
    <cellStyle name="Normal 2 4 3 3 2 4 2" xfId="8720" xr:uid="{00000000-0005-0000-0000-0000172D0000}"/>
    <cellStyle name="Normal 2 4 3 3 2 4 2 2" xfId="15983" xr:uid="{00000000-0005-0000-0000-0000182D0000}"/>
    <cellStyle name="Normal 2 4 3 3 2 4 2 2 2" xfId="32298" xr:uid="{00000000-0005-0000-0000-0000192D0000}"/>
    <cellStyle name="Normal 2 4 3 3 2 4 2 3" xfId="25333" xr:uid="{00000000-0005-0000-0000-00001A2D0000}"/>
    <cellStyle name="Normal 2 4 3 3 2 4 3" xfId="12062" xr:uid="{00000000-0005-0000-0000-00001B2D0000}"/>
    <cellStyle name="Normal 2 4 3 3 2 4 3 2" xfId="28637" xr:uid="{00000000-0005-0000-0000-00001C2D0000}"/>
    <cellStyle name="Normal 2 4 3 3 2 4 4" xfId="5369" xr:uid="{00000000-0005-0000-0000-00001D2D0000}"/>
    <cellStyle name="Normal 2 4 3 3 2 4 4 2" xfId="22033" xr:uid="{00000000-0005-0000-0000-00001E2D0000}"/>
    <cellStyle name="Normal 2 4 3 3 2 4 5" xfId="19020" xr:uid="{00000000-0005-0000-0000-00001F2D0000}"/>
    <cellStyle name="Normal 2 4 3 3 2 5" xfId="7100" xr:uid="{00000000-0005-0000-0000-0000202D0000}"/>
    <cellStyle name="Normal 2 4 3 3 2 5 2" xfId="14363" xr:uid="{00000000-0005-0000-0000-0000212D0000}"/>
    <cellStyle name="Normal 2 4 3 3 2 5 2 2" xfId="30678" xr:uid="{00000000-0005-0000-0000-0000222D0000}"/>
    <cellStyle name="Normal 2 4 3 3 2 5 3" xfId="23713" xr:uid="{00000000-0005-0000-0000-0000232D0000}"/>
    <cellStyle name="Normal 2 4 3 3 2 6" xfId="10415" xr:uid="{00000000-0005-0000-0000-0000242D0000}"/>
    <cellStyle name="Normal 2 4 3 3 2 6 2" xfId="27013" xr:uid="{00000000-0005-0000-0000-0000252D0000}"/>
    <cellStyle name="Normal 2 4 3 3 2 7" xfId="3893" xr:uid="{00000000-0005-0000-0000-0000262D0000}"/>
    <cellStyle name="Normal 2 4 3 3 2 7 2" xfId="20616" xr:uid="{00000000-0005-0000-0000-0000272D0000}"/>
    <cellStyle name="Normal 2 4 3 3 2 8" xfId="17874" xr:uid="{00000000-0005-0000-0000-0000282D0000}"/>
    <cellStyle name="Normal 2 4 3 3 3" xfId="1553" xr:uid="{00000000-0005-0000-0000-0000292D0000}"/>
    <cellStyle name="Normal 2 4 3 3 3 2" xfId="2294" xr:uid="{00000000-0005-0000-0000-00002A2D0000}"/>
    <cellStyle name="Normal 2 4 3 3 3 2 2" xfId="6376" xr:uid="{00000000-0005-0000-0000-00002B2D0000}"/>
    <cellStyle name="Normal 2 4 3 3 3 2 2 2" xfId="9727" xr:uid="{00000000-0005-0000-0000-00002C2D0000}"/>
    <cellStyle name="Normal 2 4 3 3 3 2 2 2 2" xfId="16990" xr:uid="{00000000-0005-0000-0000-00002D2D0000}"/>
    <cellStyle name="Normal 2 4 3 3 3 2 2 2 2 2" xfId="33305" xr:uid="{00000000-0005-0000-0000-00002E2D0000}"/>
    <cellStyle name="Normal 2 4 3 3 3 2 2 2 3" xfId="26340" xr:uid="{00000000-0005-0000-0000-00002F2D0000}"/>
    <cellStyle name="Normal 2 4 3 3 3 2 2 3" xfId="13069" xr:uid="{00000000-0005-0000-0000-0000302D0000}"/>
    <cellStyle name="Normal 2 4 3 3 3 2 2 3 2" xfId="29644" xr:uid="{00000000-0005-0000-0000-0000312D0000}"/>
    <cellStyle name="Normal 2 4 3 3 3 2 2 4" xfId="23040" xr:uid="{00000000-0005-0000-0000-0000322D0000}"/>
    <cellStyle name="Normal 2 4 3 3 3 2 3" xfId="8106" xr:uid="{00000000-0005-0000-0000-0000332D0000}"/>
    <cellStyle name="Normal 2 4 3 3 3 2 3 2" xfId="15369" xr:uid="{00000000-0005-0000-0000-0000342D0000}"/>
    <cellStyle name="Normal 2 4 3 3 3 2 3 2 2" xfId="31684" xr:uid="{00000000-0005-0000-0000-0000352D0000}"/>
    <cellStyle name="Normal 2 4 3 3 3 2 3 3" xfId="24719" xr:uid="{00000000-0005-0000-0000-0000362D0000}"/>
    <cellStyle name="Normal 2 4 3 3 3 2 4" xfId="11421" xr:uid="{00000000-0005-0000-0000-0000372D0000}"/>
    <cellStyle name="Normal 2 4 3 3 3 2 4 2" xfId="28019" xr:uid="{00000000-0005-0000-0000-0000382D0000}"/>
    <cellStyle name="Normal 2 4 3 3 3 2 5" xfId="3898" xr:uid="{00000000-0005-0000-0000-0000392D0000}"/>
    <cellStyle name="Normal 2 4 3 3 3 2 5 2" xfId="20621" xr:uid="{00000000-0005-0000-0000-00003A2D0000}"/>
    <cellStyle name="Normal 2 4 3 3 3 2 6" xfId="19025" xr:uid="{00000000-0005-0000-0000-00003B2D0000}"/>
    <cellStyle name="Normal 2 4 3 3 3 3" xfId="2293" xr:uid="{00000000-0005-0000-0000-00003C2D0000}"/>
    <cellStyle name="Normal 2 4 3 3 3 3 2" xfId="8915" xr:uid="{00000000-0005-0000-0000-00003D2D0000}"/>
    <cellStyle name="Normal 2 4 3 3 3 3 2 2" xfId="16178" xr:uid="{00000000-0005-0000-0000-00003E2D0000}"/>
    <cellStyle name="Normal 2 4 3 3 3 3 2 2 2" xfId="32493" xr:uid="{00000000-0005-0000-0000-00003F2D0000}"/>
    <cellStyle name="Normal 2 4 3 3 3 3 2 3" xfId="25528" xr:uid="{00000000-0005-0000-0000-0000402D0000}"/>
    <cellStyle name="Normal 2 4 3 3 3 3 3" xfId="12257" xr:uid="{00000000-0005-0000-0000-0000412D0000}"/>
    <cellStyle name="Normal 2 4 3 3 3 3 3 2" xfId="28832" xr:uid="{00000000-0005-0000-0000-0000422D0000}"/>
    <cellStyle name="Normal 2 4 3 3 3 3 4" xfId="5564" xr:uid="{00000000-0005-0000-0000-0000432D0000}"/>
    <cellStyle name="Normal 2 4 3 3 3 3 4 2" xfId="22228" xr:uid="{00000000-0005-0000-0000-0000442D0000}"/>
    <cellStyle name="Normal 2 4 3 3 3 3 5" xfId="19024" xr:uid="{00000000-0005-0000-0000-0000452D0000}"/>
    <cellStyle name="Normal 2 4 3 3 3 4" xfId="7294" xr:uid="{00000000-0005-0000-0000-0000462D0000}"/>
    <cellStyle name="Normal 2 4 3 3 3 4 2" xfId="14557" xr:uid="{00000000-0005-0000-0000-0000472D0000}"/>
    <cellStyle name="Normal 2 4 3 3 3 4 2 2" xfId="30872" xr:uid="{00000000-0005-0000-0000-0000482D0000}"/>
    <cellStyle name="Normal 2 4 3 3 3 4 3" xfId="23907" xr:uid="{00000000-0005-0000-0000-0000492D0000}"/>
    <cellStyle name="Normal 2 4 3 3 3 5" xfId="10609" xr:uid="{00000000-0005-0000-0000-00004A2D0000}"/>
    <cellStyle name="Normal 2 4 3 3 3 5 2" xfId="27207" xr:uid="{00000000-0005-0000-0000-00004B2D0000}"/>
    <cellStyle name="Normal 2 4 3 3 3 6" xfId="3897" xr:uid="{00000000-0005-0000-0000-00004C2D0000}"/>
    <cellStyle name="Normal 2 4 3 3 3 6 2" xfId="20620" xr:uid="{00000000-0005-0000-0000-00004D2D0000}"/>
    <cellStyle name="Normal 2 4 3 3 3 7" xfId="18288" xr:uid="{00000000-0005-0000-0000-00004E2D0000}"/>
    <cellStyle name="Normal 2 4 3 3 4" xfId="2295" xr:uid="{00000000-0005-0000-0000-00004F2D0000}"/>
    <cellStyle name="Normal 2 4 3 3 4 2" xfId="5970" xr:uid="{00000000-0005-0000-0000-0000502D0000}"/>
    <cellStyle name="Normal 2 4 3 3 4 2 2" xfId="9321" xr:uid="{00000000-0005-0000-0000-0000512D0000}"/>
    <cellStyle name="Normal 2 4 3 3 4 2 2 2" xfId="16584" xr:uid="{00000000-0005-0000-0000-0000522D0000}"/>
    <cellStyle name="Normal 2 4 3 3 4 2 2 2 2" xfId="32899" xr:uid="{00000000-0005-0000-0000-0000532D0000}"/>
    <cellStyle name="Normal 2 4 3 3 4 2 2 3" xfId="25934" xr:uid="{00000000-0005-0000-0000-0000542D0000}"/>
    <cellStyle name="Normal 2 4 3 3 4 2 3" xfId="12663" xr:uid="{00000000-0005-0000-0000-0000552D0000}"/>
    <cellStyle name="Normal 2 4 3 3 4 2 3 2" xfId="29238" xr:uid="{00000000-0005-0000-0000-0000562D0000}"/>
    <cellStyle name="Normal 2 4 3 3 4 2 4" xfId="22634" xr:uid="{00000000-0005-0000-0000-0000572D0000}"/>
    <cellStyle name="Normal 2 4 3 3 4 3" xfId="7700" xr:uid="{00000000-0005-0000-0000-0000582D0000}"/>
    <cellStyle name="Normal 2 4 3 3 4 3 2" xfId="14963" xr:uid="{00000000-0005-0000-0000-0000592D0000}"/>
    <cellStyle name="Normal 2 4 3 3 4 3 2 2" xfId="31278" xr:uid="{00000000-0005-0000-0000-00005A2D0000}"/>
    <cellStyle name="Normal 2 4 3 3 4 3 3" xfId="24313" xr:uid="{00000000-0005-0000-0000-00005B2D0000}"/>
    <cellStyle name="Normal 2 4 3 3 4 4" xfId="11015" xr:uid="{00000000-0005-0000-0000-00005C2D0000}"/>
    <cellStyle name="Normal 2 4 3 3 4 4 2" xfId="27613" xr:uid="{00000000-0005-0000-0000-00005D2D0000}"/>
    <cellStyle name="Normal 2 4 3 3 4 5" xfId="3899" xr:uid="{00000000-0005-0000-0000-00005E2D0000}"/>
    <cellStyle name="Normal 2 4 3 3 4 5 2" xfId="20622" xr:uid="{00000000-0005-0000-0000-00005F2D0000}"/>
    <cellStyle name="Normal 2 4 3 3 4 6" xfId="19026" xr:uid="{00000000-0005-0000-0000-0000602D0000}"/>
    <cellStyle name="Normal 2 4 3 3 5" xfId="2288" xr:uid="{00000000-0005-0000-0000-0000612D0000}"/>
    <cellStyle name="Normal 2 4 3 3 5 2" xfId="8614" xr:uid="{00000000-0005-0000-0000-0000622D0000}"/>
    <cellStyle name="Normal 2 4 3 3 5 2 2" xfId="15877" xr:uid="{00000000-0005-0000-0000-0000632D0000}"/>
    <cellStyle name="Normal 2 4 3 3 5 2 2 2" xfId="32192" xr:uid="{00000000-0005-0000-0000-0000642D0000}"/>
    <cellStyle name="Normal 2 4 3 3 5 2 3" xfId="25227" xr:uid="{00000000-0005-0000-0000-0000652D0000}"/>
    <cellStyle name="Normal 2 4 3 3 5 3" xfId="11956" xr:uid="{00000000-0005-0000-0000-0000662D0000}"/>
    <cellStyle name="Normal 2 4 3 3 5 3 2" xfId="28531" xr:uid="{00000000-0005-0000-0000-0000672D0000}"/>
    <cellStyle name="Normal 2 4 3 3 5 4" xfId="5263" xr:uid="{00000000-0005-0000-0000-0000682D0000}"/>
    <cellStyle name="Normal 2 4 3 3 5 4 2" xfId="21927" xr:uid="{00000000-0005-0000-0000-0000692D0000}"/>
    <cellStyle name="Normal 2 4 3 3 5 5" xfId="19019" xr:uid="{00000000-0005-0000-0000-00006A2D0000}"/>
    <cellStyle name="Normal 2 4 3 3 6" xfId="6995" xr:uid="{00000000-0005-0000-0000-00006B2D0000}"/>
    <cellStyle name="Normal 2 4 3 3 6 2" xfId="14258" xr:uid="{00000000-0005-0000-0000-00006C2D0000}"/>
    <cellStyle name="Normal 2 4 3 3 6 2 2" xfId="30573" xr:uid="{00000000-0005-0000-0000-00006D2D0000}"/>
    <cellStyle name="Normal 2 4 3 3 6 3" xfId="23608" xr:uid="{00000000-0005-0000-0000-00006E2D0000}"/>
    <cellStyle name="Normal 2 4 3 3 7" xfId="10309" xr:uid="{00000000-0005-0000-0000-00006F2D0000}"/>
    <cellStyle name="Normal 2 4 3 3 7 2" xfId="26908" xr:uid="{00000000-0005-0000-0000-0000702D0000}"/>
    <cellStyle name="Normal 2 4 3 3 8" xfId="3892" xr:uid="{00000000-0005-0000-0000-0000712D0000}"/>
    <cellStyle name="Normal 2 4 3 3 8 2" xfId="20615" xr:uid="{00000000-0005-0000-0000-0000722D0000}"/>
    <cellStyle name="Normal 2 4 3 3 9" xfId="17769" xr:uid="{00000000-0005-0000-0000-0000732D0000}"/>
    <cellStyle name="Normal 2 4 3 4" xfId="1134" xr:uid="{00000000-0005-0000-0000-0000742D0000}"/>
    <cellStyle name="Normal 2 4 3 4 2" xfId="1655" xr:uid="{00000000-0005-0000-0000-0000752D0000}"/>
    <cellStyle name="Normal 2 4 3 4 2 2" xfId="2298" xr:uid="{00000000-0005-0000-0000-0000762D0000}"/>
    <cellStyle name="Normal 2 4 3 4 2 2 2" xfId="6549" xr:uid="{00000000-0005-0000-0000-0000772D0000}"/>
    <cellStyle name="Normal 2 4 3 4 2 2 2 2" xfId="9900" xr:uid="{00000000-0005-0000-0000-0000782D0000}"/>
    <cellStyle name="Normal 2 4 3 4 2 2 2 2 2" xfId="17163" xr:uid="{00000000-0005-0000-0000-0000792D0000}"/>
    <cellStyle name="Normal 2 4 3 4 2 2 2 2 2 2" xfId="33478" xr:uid="{00000000-0005-0000-0000-00007A2D0000}"/>
    <cellStyle name="Normal 2 4 3 4 2 2 2 2 3" xfId="26513" xr:uid="{00000000-0005-0000-0000-00007B2D0000}"/>
    <cellStyle name="Normal 2 4 3 4 2 2 2 3" xfId="13242" xr:uid="{00000000-0005-0000-0000-00007C2D0000}"/>
    <cellStyle name="Normal 2 4 3 4 2 2 2 3 2" xfId="29817" xr:uid="{00000000-0005-0000-0000-00007D2D0000}"/>
    <cellStyle name="Normal 2 4 3 4 2 2 2 4" xfId="23213" xr:uid="{00000000-0005-0000-0000-00007E2D0000}"/>
    <cellStyle name="Normal 2 4 3 4 2 2 3" xfId="8279" xr:uid="{00000000-0005-0000-0000-00007F2D0000}"/>
    <cellStyle name="Normal 2 4 3 4 2 2 3 2" xfId="15542" xr:uid="{00000000-0005-0000-0000-0000802D0000}"/>
    <cellStyle name="Normal 2 4 3 4 2 2 3 2 2" xfId="31857" xr:uid="{00000000-0005-0000-0000-0000812D0000}"/>
    <cellStyle name="Normal 2 4 3 4 2 2 3 3" xfId="24892" xr:uid="{00000000-0005-0000-0000-0000822D0000}"/>
    <cellStyle name="Normal 2 4 3 4 2 2 4" xfId="11594" xr:uid="{00000000-0005-0000-0000-0000832D0000}"/>
    <cellStyle name="Normal 2 4 3 4 2 2 4 2" xfId="28192" xr:uid="{00000000-0005-0000-0000-0000842D0000}"/>
    <cellStyle name="Normal 2 4 3 4 2 2 5" xfId="3902" xr:uid="{00000000-0005-0000-0000-0000852D0000}"/>
    <cellStyle name="Normal 2 4 3 4 2 2 5 2" xfId="20625" xr:uid="{00000000-0005-0000-0000-0000862D0000}"/>
    <cellStyle name="Normal 2 4 3 4 2 2 6" xfId="19029" xr:uid="{00000000-0005-0000-0000-0000872D0000}"/>
    <cellStyle name="Normal 2 4 3 4 2 3" xfId="2297" xr:uid="{00000000-0005-0000-0000-0000882D0000}"/>
    <cellStyle name="Normal 2 4 3 4 2 3 2" xfId="9124" xr:uid="{00000000-0005-0000-0000-0000892D0000}"/>
    <cellStyle name="Normal 2 4 3 4 2 3 2 2" xfId="16387" xr:uid="{00000000-0005-0000-0000-00008A2D0000}"/>
    <cellStyle name="Normal 2 4 3 4 2 3 2 2 2" xfId="32702" xr:uid="{00000000-0005-0000-0000-00008B2D0000}"/>
    <cellStyle name="Normal 2 4 3 4 2 3 2 3" xfId="25737" xr:uid="{00000000-0005-0000-0000-00008C2D0000}"/>
    <cellStyle name="Normal 2 4 3 4 2 3 3" xfId="12466" xr:uid="{00000000-0005-0000-0000-00008D2D0000}"/>
    <cellStyle name="Normal 2 4 3 4 2 3 3 2" xfId="29041" xr:uid="{00000000-0005-0000-0000-00008E2D0000}"/>
    <cellStyle name="Normal 2 4 3 4 2 3 4" xfId="5773" xr:uid="{00000000-0005-0000-0000-00008F2D0000}"/>
    <cellStyle name="Normal 2 4 3 4 2 3 4 2" xfId="22437" xr:uid="{00000000-0005-0000-0000-0000902D0000}"/>
    <cellStyle name="Normal 2 4 3 4 2 3 5" xfId="19028" xr:uid="{00000000-0005-0000-0000-0000912D0000}"/>
    <cellStyle name="Normal 2 4 3 4 2 4" xfId="7503" xr:uid="{00000000-0005-0000-0000-0000922D0000}"/>
    <cellStyle name="Normal 2 4 3 4 2 4 2" xfId="14766" xr:uid="{00000000-0005-0000-0000-0000932D0000}"/>
    <cellStyle name="Normal 2 4 3 4 2 4 2 2" xfId="31081" xr:uid="{00000000-0005-0000-0000-0000942D0000}"/>
    <cellStyle name="Normal 2 4 3 4 2 4 3" xfId="24116" xr:uid="{00000000-0005-0000-0000-0000952D0000}"/>
    <cellStyle name="Normal 2 4 3 4 2 5" xfId="10818" xr:uid="{00000000-0005-0000-0000-0000962D0000}"/>
    <cellStyle name="Normal 2 4 3 4 2 5 2" xfId="27416" xr:uid="{00000000-0005-0000-0000-0000972D0000}"/>
    <cellStyle name="Normal 2 4 3 4 2 6" xfId="3901" xr:uid="{00000000-0005-0000-0000-0000982D0000}"/>
    <cellStyle name="Normal 2 4 3 4 2 6 2" xfId="20624" xr:uid="{00000000-0005-0000-0000-0000992D0000}"/>
    <cellStyle name="Normal 2 4 3 4 2 7" xfId="18390" xr:uid="{00000000-0005-0000-0000-00009A2D0000}"/>
    <cellStyle name="Normal 2 4 3 4 3" xfId="2299" xr:uid="{00000000-0005-0000-0000-00009B2D0000}"/>
    <cellStyle name="Normal 2 4 3 4 3 2" xfId="6179" xr:uid="{00000000-0005-0000-0000-00009C2D0000}"/>
    <cellStyle name="Normal 2 4 3 4 3 2 2" xfId="9530" xr:uid="{00000000-0005-0000-0000-00009D2D0000}"/>
    <cellStyle name="Normal 2 4 3 4 3 2 2 2" xfId="16793" xr:uid="{00000000-0005-0000-0000-00009E2D0000}"/>
    <cellStyle name="Normal 2 4 3 4 3 2 2 2 2" xfId="33108" xr:uid="{00000000-0005-0000-0000-00009F2D0000}"/>
    <cellStyle name="Normal 2 4 3 4 3 2 2 3" xfId="26143" xr:uid="{00000000-0005-0000-0000-0000A02D0000}"/>
    <cellStyle name="Normal 2 4 3 4 3 2 3" xfId="12872" xr:uid="{00000000-0005-0000-0000-0000A12D0000}"/>
    <cellStyle name="Normal 2 4 3 4 3 2 3 2" xfId="29447" xr:uid="{00000000-0005-0000-0000-0000A22D0000}"/>
    <cellStyle name="Normal 2 4 3 4 3 2 4" xfId="22843" xr:uid="{00000000-0005-0000-0000-0000A32D0000}"/>
    <cellStyle name="Normal 2 4 3 4 3 3" xfId="7909" xr:uid="{00000000-0005-0000-0000-0000A42D0000}"/>
    <cellStyle name="Normal 2 4 3 4 3 3 2" xfId="15172" xr:uid="{00000000-0005-0000-0000-0000A52D0000}"/>
    <cellStyle name="Normal 2 4 3 4 3 3 2 2" xfId="31487" xr:uid="{00000000-0005-0000-0000-0000A62D0000}"/>
    <cellStyle name="Normal 2 4 3 4 3 3 3" xfId="24522" xr:uid="{00000000-0005-0000-0000-0000A72D0000}"/>
    <cellStyle name="Normal 2 4 3 4 3 4" xfId="11224" xr:uid="{00000000-0005-0000-0000-0000A82D0000}"/>
    <cellStyle name="Normal 2 4 3 4 3 4 2" xfId="27822" xr:uid="{00000000-0005-0000-0000-0000A92D0000}"/>
    <cellStyle name="Normal 2 4 3 4 3 5" xfId="3903" xr:uid="{00000000-0005-0000-0000-0000AA2D0000}"/>
    <cellStyle name="Normal 2 4 3 4 3 5 2" xfId="20626" xr:uid="{00000000-0005-0000-0000-0000AB2D0000}"/>
    <cellStyle name="Normal 2 4 3 4 3 6" xfId="19030" xr:uid="{00000000-0005-0000-0000-0000AC2D0000}"/>
    <cellStyle name="Normal 2 4 3 4 4" xfId="2296" xr:uid="{00000000-0005-0000-0000-0000AD2D0000}"/>
    <cellStyle name="Normal 2 4 3 4 4 2" xfId="8717" xr:uid="{00000000-0005-0000-0000-0000AE2D0000}"/>
    <cellStyle name="Normal 2 4 3 4 4 2 2" xfId="15980" xr:uid="{00000000-0005-0000-0000-0000AF2D0000}"/>
    <cellStyle name="Normal 2 4 3 4 4 2 2 2" xfId="32295" xr:uid="{00000000-0005-0000-0000-0000B02D0000}"/>
    <cellStyle name="Normal 2 4 3 4 4 2 3" xfId="25330" xr:uid="{00000000-0005-0000-0000-0000B12D0000}"/>
    <cellStyle name="Normal 2 4 3 4 4 3" xfId="12059" xr:uid="{00000000-0005-0000-0000-0000B22D0000}"/>
    <cellStyle name="Normal 2 4 3 4 4 3 2" xfId="28634" xr:uid="{00000000-0005-0000-0000-0000B32D0000}"/>
    <cellStyle name="Normal 2 4 3 4 4 4" xfId="5366" xr:uid="{00000000-0005-0000-0000-0000B42D0000}"/>
    <cellStyle name="Normal 2 4 3 4 4 4 2" xfId="22030" xr:uid="{00000000-0005-0000-0000-0000B52D0000}"/>
    <cellStyle name="Normal 2 4 3 4 4 5" xfId="19027" xr:uid="{00000000-0005-0000-0000-0000B62D0000}"/>
    <cellStyle name="Normal 2 4 3 4 5" xfId="7097" xr:uid="{00000000-0005-0000-0000-0000B72D0000}"/>
    <cellStyle name="Normal 2 4 3 4 5 2" xfId="14360" xr:uid="{00000000-0005-0000-0000-0000B82D0000}"/>
    <cellStyle name="Normal 2 4 3 4 5 2 2" xfId="30675" xr:uid="{00000000-0005-0000-0000-0000B92D0000}"/>
    <cellStyle name="Normal 2 4 3 4 5 3" xfId="23710" xr:uid="{00000000-0005-0000-0000-0000BA2D0000}"/>
    <cellStyle name="Normal 2 4 3 4 6" xfId="10412" xr:uid="{00000000-0005-0000-0000-0000BB2D0000}"/>
    <cellStyle name="Normal 2 4 3 4 6 2" xfId="27010" xr:uid="{00000000-0005-0000-0000-0000BC2D0000}"/>
    <cellStyle name="Normal 2 4 3 4 7" xfId="3900" xr:uid="{00000000-0005-0000-0000-0000BD2D0000}"/>
    <cellStyle name="Normal 2 4 3 4 7 2" xfId="20623" xr:uid="{00000000-0005-0000-0000-0000BE2D0000}"/>
    <cellStyle name="Normal 2 4 3 4 8" xfId="17871" xr:uid="{00000000-0005-0000-0000-0000BF2D0000}"/>
    <cellStyle name="Normal 2 4 3 5" xfId="885" xr:uid="{00000000-0005-0000-0000-0000C02D0000}"/>
    <cellStyle name="Normal 2 4 3 5 2" xfId="1447" xr:uid="{00000000-0005-0000-0000-0000C12D0000}"/>
    <cellStyle name="Normal 2 4 3 5 2 2" xfId="2301" xr:uid="{00000000-0005-0000-0000-0000C22D0000}"/>
    <cellStyle name="Normal 2 4 3 5 2 2 2" xfId="9724" xr:uid="{00000000-0005-0000-0000-0000C32D0000}"/>
    <cellStyle name="Normal 2 4 3 5 2 2 2 2" xfId="16987" xr:uid="{00000000-0005-0000-0000-0000C42D0000}"/>
    <cellStyle name="Normal 2 4 3 5 2 2 2 2 2" xfId="33302" xr:uid="{00000000-0005-0000-0000-0000C52D0000}"/>
    <cellStyle name="Normal 2 4 3 5 2 2 2 3" xfId="26337" xr:uid="{00000000-0005-0000-0000-0000C62D0000}"/>
    <cellStyle name="Normal 2 4 3 5 2 2 3" xfId="13066" xr:uid="{00000000-0005-0000-0000-0000C72D0000}"/>
    <cellStyle name="Normal 2 4 3 5 2 2 3 2" xfId="29641" xr:uid="{00000000-0005-0000-0000-0000C82D0000}"/>
    <cellStyle name="Normal 2 4 3 5 2 2 4" xfId="6373" xr:uid="{00000000-0005-0000-0000-0000C92D0000}"/>
    <cellStyle name="Normal 2 4 3 5 2 2 4 2" xfId="23037" xr:uid="{00000000-0005-0000-0000-0000CA2D0000}"/>
    <cellStyle name="Normal 2 4 3 5 2 2 5" xfId="19032" xr:uid="{00000000-0005-0000-0000-0000CB2D0000}"/>
    <cellStyle name="Normal 2 4 3 5 2 3" xfId="8103" xr:uid="{00000000-0005-0000-0000-0000CC2D0000}"/>
    <cellStyle name="Normal 2 4 3 5 2 3 2" xfId="15366" xr:uid="{00000000-0005-0000-0000-0000CD2D0000}"/>
    <cellStyle name="Normal 2 4 3 5 2 3 2 2" xfId="31681" xr:uid="{00000000-0005-0000-0000-0000CE2D0000}"/>
    <cellStyle name="Normal 2 4 3 5 2 3 3" xfId="24716" xr:uid="{00000000-0005-0000-0000-0000CF2D0000}"/>
    <cellStyle name="Normal 2 4 3 5 2 4" xfId="11418" xr:uid="{00000000-0005-0000-0000-0000D02D0000}"/>
    <cellStyle name="Normal 2 4 3 5 2 4 2" xfId="28016" xr:uid="{00000000-0005-0000-0000-0000D12D0000}"/>
    <cellStyle name="Normal 2 4 3 5 2 5" xfId="3905" xr:uid="{00000000-0005-0000-0000-0000D22D0000}"/>
    <cellStyle name="Normal 2 4 3 5 2 5 2" xfId="20628" xr:uid="{00000000-0005-0000-0000-0000D32D0000}"/>
    <cellStyle name="Normal 2 4 3 5 2 6" xfId="18182" xr:uid="{00000000-0005-0000-0000-0000D42D0000}"/>
    <cellStyle name="Normal 2 4 3 5 3" xfId="2300" xr:uid="{00000000-0005-0000-0000-0000D52D0000}"/>
    <cellStyle name="Normal 2 4 3 5 3 2" xfId="8912" xr:uid="{00000000-0005-0000-0000-0000D62D0000}"/>
    <cellStyle name="Normal 2 4 3 5 3 2 2" xfId="16175" xr:uid="{00000000-0005-0000-0000-0000D72D0000}"/>
    <cellStyle name="Normal 2 4 3 5 3 2 2 2" xfId="32490" xr:uid="{00000000-0005-0000-0000-0000D82D0000}"/>
    <cellStyle name="Normal 2 4 3 5 3 2 3" xfId="25525" xr:uid="{00000000-0005-0000-0000-0000D92D0000}"/>
    <cellStyle name="Normal 2 4 3 5 3 3" xfId="12254" xr:uid="{00000000-0005-0000-0000-0000DA2D0000}"/>
    <cellStyle name="Normal 2 4 3 5 3 3 2" xfId="28829" xr:uid="{00000000-0005-0000-0000-0000DB2D0000}"/>
    <cellStyle name="Normal 2 4 3 5 3 4" xfId="5561" xr:uid="{00000000-0005-0000-0000-0000DC2D0000}"/>
    <cellStyle name="Normal 2 4 3 5 3 4 2" xfId="22225" xr:uid="{00000000-0005-0000-0000-0000DD2D0000}"/>
    <cellStyle name="Normal 2 4 3 5 3 5" xfId="19031" xr:uid="{00000000-0005-0000-0000-0000DE2D0000}"/>
    <cellStyle name="Normal 2 4 3 5 4" xfId="7291" xr:uid="{00000000-0005-0000-0000-0000DF2D0000}"/>
    <cellStyle name="Normal 2 4 3 5 4 2" xfId="14554" xr:uid="{00000000-0005-0000-0000-0000E02D0000}"/>
    <cellStyle name="Normal 2 4 3 5 4 2 2" xfId="30869" xr:uid="{00000000-0005-0000-0000-0000E12D0000}"/>
    <cellStyle name="Normal 2 4 3 5 4 3" xfId="23904" xr:uid="{00000000-0005-0000-0000-0000E22D0000}"/>
    <cellStyle name="Normal 2 4 3 5 5" xfId="10606" xr:uid="{00000000-0005-0000-0000-0000E32D0000}"/>
    <cellStyle name="Normal 2 4 3 5 5 2" xfId="27204" xr:uid="{00000000-0005-0000-0000-0000E42D0000}"/>
    <cellStyle name="Normal 2 4 3 5 6" xfId="3904" xr:uid="{00000000-0005-0000-0000-0000E52D0000}"/>
    <cellStyle name="Normal 2 4 3 5 6 2" xfId="20627" xr:uid="{00000000-0005-0000-0000-0000E62D0000}"/>
    <cellStyle name="Normal 2 4 3 5 7" xfId="17663" xr:uid="{00000000-0005-0000-0000-0000E72D0000}"/>
    <cellStyle name="Normal 2 4 3 6" xfId="776" xr:uid="{00000000-0005-0000-0000-0000E82D0000}"/>
    <cellStyle name="Normal 2 4 3 6 2" xfId="2302" xr:uid="{00000000-0005-0000-0000-0000E92D0000}"/>
    <cellStyle name="Normal 2 4 3 6 2 2" xfId="9318" xr:uid="{00000000-0005-0000-0000-0000EA2D0000}"/>
    <cellStyle name="Normal 2 4 3 6 2 2 2" xfId="16581" xr:uid="{00000000-0005-0000-0000-0000EB2D0000}"/>
    <cellStyle name="Normal 2 4 3 6 2 2 2 2" xfId="32896" xr:uid="{00000000-0005-0000-0000-0000EC2D0000}"/>
    <cellStyle name="Normal 2 4 3 6 2 2 3" xfId="25931" xr:uid="{00000000-0005-0000-0000-0000ED2D0000}"/>
    <cellStyle name="Normal 2 4 3 6 2 3" xfId="12660" xr:uid="{00000000-0005-0000-0000-0000EE2D0000}"/>
    <cellStyle name="Normal 2 4 3 6 2 3 2" xfId="29235" xr:uid="{00000000-0005-0000-0000-0000EF2D0000}"/>
    <cellStyle name="Normal 2 4 3 6 2 4" xfId="5967" xr:uid="{00000000-0005-0000-0000-0000F02D0000}"/>
    <cellStyle name="Normal 2 4 3 6 2 4 2" xfId="22631" xr:uid="{00000000-0005-0000-0000-0000F12D0000}"/>
    <cellStyle name="Normal 2 4 3 6 2 5" xfId="19033" xr:uid="{00000000-0005-0000-0000-0000F22D0000}"/>
    <cellStyle name="Normal 2 4 3 6 3" xfId="7697" xr:uid="{00000000-0005-0000-0000-0000F32D0000}"/>
    <cellStyle name="Normal 2 4 3 6 3 2" xfId="14960" xr:uid="{00000000-0005-0000-0000-0000F42D0000}"/>
    <cellStyle name="Normal 2 4 3 6 3 2 2" xfId="31275" xr:uid="{00000000-0005-0000-0000-0000F52D0000}"/>
    <cellStyle name="Normal 2 4 3 6 3 3" xfId="24310" xr:uid="{00000000-0005-0000-0000-0000F62D0000}"/>
    <cellStyle name="Normal 2 4 3 6 4" xfId="11012" xr:uid="{00000000-0005-0000-0000-0000F72D0000}"/>
    <cellStyle name="Normal 2 4 3 6 4 2" xfId="27610" xr:uid="{00000000-0005-0000-0000-0000F82D0000}"/>
    <cellStyle name="Normal 2 4 3 6 5" xfId="3906" xr:uid="{00000000-0005-0000-0000-0000F92D0000}"/>
    <cellStyle name="Normal 2 4 3 6 5 2" xfId="20629" xr:uid="{00000000-0005-0000-0000-0000FA2D0000}"/>
    <cellStyle name="Normal 2 4 3 6 6" xfId="17589" xr:uid="{00000000-0005-0000-0000-0000FB2D0000}"/>
    <cellStyle name="Normal 2 4 3 7" xfId="1373" xr:uid="{00000000-0005-0000-0000-0000FC2D0000}"/>
    <cellStyle name="Normal 2 4 3 7 2" xfId="8508" xr:uid="{00000000-0005-0000-0000-0000FD2D0000}"/>
    <cellStyle name="Normal 2 4 3 7 2 2" xfId="15771" xr:uid="{00000000-0005-0000-0000-0000FE2D0000}"/>
    <cellStyle name="Normal 2 4 3 7 2 2 2" xfId="32086" xr:uid="{00000000-0005-0000-0000-0000FF2D0000}"/>
    <cellStyle name="Normal 2 4 3 7 2 3" xfId="25121" xr:uid="{00000000-0005-0000-0000-0000002E0000}"/>
    <cellStyle name="Normal 2 4 3 7 3" xfId="11850" xr:uid="{00000000-0005-0000-0000-0000012E0000}"/>
    <cellStyle name="Normal 2 4 3 7 3 2" xfId="28425" xr:uid="{00000000-0005-0000-0000-0000022E0000}"/>
    <cellStyle name="Normal 2 4 3 7 4" xfId="5157" xr:uid="{00000000-0005-0000-0000-0000032E0000}"/>
    <cellStyle name="Normal 2 4 3 7 4 2" xfId="21821" xr:uid="{00000000-0005-0000-0000-0000042E0000}"/>
    <cellStyle name="Normal 2 4 3 7 5" xfId="18108" xr:uid="{00000000-0005-0000-0000-0000052E0000}"/>
    <cellStyle name="Normal 2 4 3 8" xfId="2271" xr:uid="{00000000-0005-0000-0000-0000062E0000}"/>
    <cellStyle name="Normal 2 4 3 8 2" xfId="14152" xr:uid="{00000000-0005-0000-0000-0000072E0000}"/>
    <cellStyle name="Normal 2 4 3 8 2 2" xfId="30467" xr:uid="{00000000-0005-0000-0000-0000082E0000}"/>
    <cellStyle name="Normal 2 4 3 8 3" xfId="6889" xr:uid="{00000000-0005-0000-0000-0000092E0000}"/>
    <cellStyle name="Normal 2 4 3 8 3 2" xfId="23502" xr:uid="{00000000-0005-0000-0000-00000A2E0000}"/>
    <cellStyle name="Normal 2 4 3 8 4" xfId="19002" xr:uid="{00000000-0005-0000-0000-00000B2E0000}"/>
    <cellStyle name="Normal 2 4 3 9" xfId="10203" xr:uid="{00000000-0005-0000-0000-00000C2E0000}"/>
    <cellStyle name="Normal 2 4 3 9 2" xfId="26802" xr:uid="{00000000-0005-0000-0000-00000D2E0000}"/>
    <cellStyle name="Normal 2 4 4" xfId="630" xr:uid="{00000000-0005-0000-0000-00000E2E0000}"/>
    <cellStyle name="Normal 2 4 4 10" xfId="17449" xr:uid="{00000000-0005-0000-0000-00000F2E0000}"/>
    <cellStyle name="Normal 2 4 4 2" xfId="1007" xr:uid="{00000000-0005-0000-0000-0000102E0000}"/>
    <cellStyle name="Normal 2 4 4 2 2" xfId="1139" xr:uid="{00000000-0005-0000-0000-0000112E0000}"/>
    <cellStyle name="Normal 2 4 4 2 2 2" xfId="1660" xr:uid="{00000000-0005-0000-0000-0000122E0000}"/>
    <cellStyle name="Normal 2 4 4 2 2 2 2" xfId="2307" xr:uid="{00000000-0005-0000-0000-0000132E0000}"/>
    <cellStyle name="Normal 2 4 4 2 2 2 2 2" xfId="6554" xr:uid="{00000000-0005-0000-0000-0000142E0000}"/>
    <cellStyle name="Normal 2 4 4 2 2 2 2 2 2" xfId="9905" xr:uid="{00000000-0005-0000-0000-0000152E0000}"/>
    <cellStyle name="Normal 2 4 4 2 2 2 2 2 2 2" xfId="17168" xr:uid="{00000000-0005-0000-0000-0000162E0000}"/>
    <cellStyle name="Normal 2 4 4 2 2 2 2 2 2 2 2" xfId="33483" xr:uid="{00000000-0005-0000-0000-0000172E0000}"/>
    <cellStyle name="Normal 2 4 4 2 2 2 2 2 2 3" xfId="26518" xr:uid="{00000000-0005-0000-0000-0000182E0000}"/>
    <cellStyle name="Normal 2 4 4 2 2 2 2 2 3" xfId="13247" xr:uid="{00000000-0005-0000-0000-0000192E0000}"/>
    <cellStyle name="Normal 2 4 4 2 2 2 2 2 3 2" xfId="29822" xr:uid="{00000000-0005-0000-0000-00001A2E0000}"/>
    <cellStyle name="Normal 2 4 4 2 2 2 2 2 4" xfId="23218" xr:uid="{00000000-0005-0000-0000-00001B2E0000}"/>
    <cellStyle name="Normal 2 4 4 2 2 2 2 3" xfId="8284" xr:uid="{00000000-0005-0000-0000-00001C2E0000}"/>
    <cellStyle name="Normal 2 4 4 2 2 2 2 3 2" xfId="15547" xr:uid="{00000000-0005-0000-0000-00001D2E0000}"/>
    <cellStyle name="Normal 2 4 4 2 2 2 2 3 2 2" xfId="31862" xr:uid="{00000000-0005-0000-0000-00001E2E0000}"/>
    <cellStyle name="Normal 2 4 4 2 2 2 2 3 3" xfId="24897" xr:uid="{00000000-0005-0000-0000-00001F2E0000}"/>
    <cellStyle name="Normal 2 4 4 2 2 2 2 4" xfId="11599" xr:uid="{00000000-0005-0000-0000-0000202E0000}"/>
    <cellStyle name="Normal 2 4 4 2 2 2 2 4 2" xfId="28197" xr:uid="{00000000-0005-0000-0000-0000212E0000}"/>
    <cellStyle name="Normal 2 4 4 2 2 2 2 5" xfId="3911" xr:uid="{00000000-0005-0000-0000-0000222E0000}"/>
    <cellStyle name="Normal 2 4 4 2 2 2 2 5 2" xfId="20634" xr:uid="{00000000-0005-0000-0000-0000232E0000}"/>
    <cellStyle name="Normal 2 4 4 2 2 2 2 6" xfId="19038" xr:uid="{00000000-0005-0000-0000-0000242E0000}"/>
    <cellStyle name="Normal 2 4 4 2 2 2 3" xfId="2306" xr:uid="{00000000-0005-0000-0000-0000252E0000}"/>
    <cellStyle name="Normal 2 4 4 2 2 2 3 2" xfId="9129" xr:uid="{00000000-0005-0000-0000-0000262E0000}"/>
    <cellStyle name="Normal 2 4 4 2 2 2 3 2 2" xfId="16392" xr:uid="{00000000-0005-0000-0000-0000272E0000}"/>
    <cellStyle name="Normal 2 4 4 2 2 2 3 2 2 2" xfId="32707" xr:uid="{00000000-0005-0000-0000-0000282E0000}"/>
    <cellStyle name="Normal 2 4 4 2 2 2 3 2 3" xfId="25742" xr:uid="{00000000-0005-0000-0000-0000292E0000}"/>
    <cellStyle name="Normal 2 4 4 2 2 2 3 3" xfId="12471" xr:uid="{00000000-0005-0000-0000-00002A2E0000}"/>
    <cellStyle name="Normal 2 4 4 2 2 2 3 3 2" xfId="29046" xr:uid="{00000000-0005-0000-0000-00002B2E0000}"/>
    <cellStyle name="Normal 2 4 4 2 2 2 3 4" xfId="5778" xr:uid="{00000000-0005-0000-0000-00002C2E0000}"/>
    <cellStyle name="Normal 2 4 4 2 2 2 3 4 2" xfId="22442" xr:uid="{00000000-0005-0000-0000-00002D2E0000}"/>
    <cellStyle name="Normal 2 4 4 2 2 2 3 5" xfId="19037" xr:uid="{00000000-0005-0000-0000-00002E2E0000}"/>
    <cellStyle name="Normal 2 4 4 2 2 2 4" xfId="7508" xr:uid="{00000000-0005-0000-0000-00002F2E0000}"/>
    <cellStyle name="Normal 2 4 4 2 2 2 4 2" xfId="14771" xr:uid="{00000000-0005-0000-0000-0000302E0000}"/>
    <cellStyle name="Normal 2 4 4 2 2 2 4 2 2" xfId="31086" xr:uid="{00000000-0005-0000-0000-0000312E0000}"/>
    <cellStyle name="Normal 2 4 4 2 2 2 4 3" xfId="24121" xr:uid="{00000000-0005-0000-0000-0000322E0000}"/>
    <cellStyle name="Normal 2 4 4 2 2 2 5" xfId="10823" xr:uid="{00000000-0005-0000-0000-0000332E0000}"/>
    <cellStyle name="Normal 2 4 4 2 2 2 5 2" xfId="27421" xr:uid="{00000000-0005-0000-0000-0000342E0000}"/>
    <cellStyle name="Normal 2 4 4 2 2 2 6" xfId="3910" xr:uid="{00000000-0005-0000-0000-0000352E0000}"/>
    <cellStyle name="Normal 2 4 4 2 2 2 6 2" xfId="20633" xr:uid="{00000000-0005-0000-0000-0000362E0000}"/>
    <cellStyle name="Normal 2 4 4 2 2 2 7" xfId="18395" xr:uid="{00000000-0005-0000-0000-0000372E0000}"/>
    <cellStyle name="Normal 2 4 4 2 2 3" xfId="2308" xr:uid="{00000000-0005-0000-0000-0000382E0000}"/>
    <cellStyle name="Normal 2 4 4 2 2 3 2" xfId="6184" xr:uid="{00000000-0005-0000-0000-0000392E0000}"/>
    <cellStyle name="Normal 2 4 4 2 2 3 2 2" xfId="9535" xr:uid="{00000000-0005-0000-0000-00003A2E0000}"/>
    <cellStyle name="Normal 2 4 4 2 2 3 2 2 2" xfId="16798" xr:uid="{00000000-0005-0000-0000-00003B2E0000}"/>
    <cellStyle name="Normal 2 4 4 2 2 3 2 2 2 2" xfId="33113" xr:uid="{00000000-0005-0000-0000-00003C2E0000}"/>
    <cellStyle name="Normal 2 4 4 2 2 3 2 2 3" xfId="26148" xr:uid="{00000000-0005-0000-0000-00003D2E0000}"/>
    <cellStyle name="Normal 2 4 4 2 2 3 2 3" xfId="12877" xr:uid="{00000000-0005-0000-0000-00003E2E0000}"/>
    <cellStyle name="Normal 2 4 4 2 2 3 2 3 2" xfId="29452" xr:uid="{00000000-0005-0000-0000-00003F2E0000}"/>
    <cellStyle name="Normal 2 4 4 2 2 3 2 4" xfId="22848" xr:uid="{00000000-0005-0000-0000-0000402E0000}"/>
    <cellStyle name="Normal 2 4 4 2 2 3 3" xfId="7914" xr:uid="{00000000-0005-0000-0000-0000412E0000}"/>
    <cellStyle name="Normal 2 4 4 2 2 3 3 2" xfId="15177" xr:uid="{00000000-0005-0000-0000-0000422E0000}"/>
    <cellStyle name="Normal 2 4 4 2 2 3 3 2 2" xfId="31492" xr:uid="{00000000-0005-0000-0000-0000432E0000}"/>
    <cellStyle name="Normal 2 4 4 2 2 3 3 3" xfId="24527" xr:uid="{00000000-0005-0000-0000-0000442E0000}"/>
    <cellStyle name="Normal 2 4 4 2 2 3 4" xfId="11229" xr:uid="{00000000-0005-0000-0000-0000452E0000}"/>
    <cellStyle name="Normal 2 4 4 2 2 3 4 2" xfId="27827" xr:uid="{00000000-0005-0000-0000-0000462E0000}"/>
    <cellStyle name="Normal 2 4 4 2 2 3 5" xfId="3912" xr:uid="{00000000-0005-0000-0000-0000472E0000}"/>
    <cellStyle name="Normal 2 4 4 2 2 3 5 2" xfId="20635" xr:uid="{00000000-0005-0000-0000-0000482E0000}"/>
    <cellStyle name="Normal 2 4 4 2 2 3 6" xfId="19039" xr:uid="{00000000-0005-0000-0000-0000492E0000}"/>
    <cellStyle name="Normal 2 4 4 2 2 4" xfId="2305" xr:uid="{00000000-0005-0000-0000-00004A2E0000}"/>
    <cellStyle name="Normal 2 4 4 2 2 4 2" xfId="8722" xr:uid="{00000000-0005-0000-0000-00004B2E0000}"/>
    <cellStyle name="Normal 2 4 4 2 2 4 2 2" xfId="15985" xr:uid="{00000000-0005-0000-0000-00004C2E0000}"/>
    <cellStyle name="Normal 2 4 4 2 2 4 2 2 2" xfId="32300" xr:uid="{00000000-0005-0000-0000-00004D2E0000}"/>
    <cellStyle name="Normal 2 4 4 2 2 4 2 3" xfId="25335" xr:uid="{00000000-0005-0000-0000-00004E2E0000}"/>
    <cellStyle name="Normal 2 4 4 2 2 4 3" xfId="12064" xr:uid="{00000000-0005-0000-0000-00004F2E0000}"/>
    <cellStyle name="Normal 2 4 4 2 2 4 3 2" xfId="28639" xr:uid="{00000000-0005-0000-0000-0000502E0000}"/>
    <cellStyle name="Normal 2 4 4 2 2 4 4" xfId="5371" xr:uid="{00000000-0005-0000-0000-0000512E0000}"/>
    <cellStyle name="Normal 2 4 4 2 2 4 4 2" xfId="22035" xr:uid="{00000000-0005-0000-0000-0000522E0000}"/>
    <cellStyle name="Normal 2 4 4 2 2 4 5" xfId="19036" xr:uid="{00000000-0005-0000-0000-0000532E0000}"/>
    <cellStyle name="Normal 2 4 4 2 2 5" xfId="7102" xr:uid="{00000000-0005-0000-0000-0000542E0000}"/>
    <cellStyle name="Normal 2 4 4 2 2 5 2" xfId="14365" xr:uid="{00000000-0005-0000-0000-0000552E0000}"/>
    <cellStyle name="Normal 2 4 4 2 2 5 2 2" xfId="30680" xr:uid="{00000000-0005-0000-0000-0000562E0000}"/>
    <cellStyle name="Normal 2 4 4 2 2 5 3" xfId="23715" xr:uid="{00000000-0005-0000-0000-0000572E0000}"/>
    <cellStyle name="Normal 2 4 4 2 2 6" xfId="10417" xr:uid="{00000000-0005-0000-0000-0000582E0000}"/>
    <cellStyle name="Normal 2 4 4 2 2 6 2" xfId="27015" xr:uid="{00000000-0005-0000-0000-0000592E0000}"/>
    <cellStyle name="Normal 2 4 4 2 2 7" xfId="3909" xr:uid="{00000000-0005-0000-0000-00005A2E0000}"/>
    <cellStyle name="Normal 2 4 4 2 2 7 2" xfId="20632" xr:uid="{00000000-0005-0000-0000-00005B2E0000}"/>
    <cellStyle name="Normal 2 4 4 2 2 8" xfId="17876" xr:uid="{00000000-0005-0000-0000-00005C2E0000}"/>
    <cellStyle name="Normal 2 4 4 2 3" xfId="1568" xr:uid="{00000000-0005-0000-0000-00005D2E0000}"/>
    <cellStyle name="Normal 2 4 4 2 3 2" xfId="2310" xr:uid="{00000000-0005-0000-0000-00005E2E0000}"/>
    <cellStyle name="Normal 2 4 4 2 3 2 2" xfId="6378" xr:uid="{00000000-0005-0000-0000-00005F2E0000}"/>
    <cellStyle name="Normal 2 4 4 2 3 2 2 2" xfId="9729" xr:uid="{00000000-0005-0000-0000-0000602E0000}"/>
    <cellStyle name="Normal 2 4 4 2 3 2 2 2 2" xfId="16992" xr:uid="{00000000-0005-0000-0000-0000612E0000}"/>
    <cellStyle name="Normal 2 4 4 2 3 2 2 2 2 2" xfId="33307" xr:uid="{00000000-0005-0000-0000-0000622E0000}"/>
    <cellStyle name="Normal 2 4 4 2 3 2 2 2 3" xfId="26342" xr:uid="{00000000-0005-0000-0000-0000632E0000}"/>
    <cellStyle name="Normal 2 4 4 2 3 2 2 3" xfId="13071" xr:uid="{00000000-0005-0000-0000-0000642E0000}"/>
    <cellStyle name="Normal 2 4 4 2 3 2 2 3 2" xfId="29646" xr:uid="{00000000-0005-0000-0000-0000652E0000}"/>
    <cellStyle name="Normal 2 4 4 2 3 2 2 4" xfId="23042" xr:uid="{00000000-0005-0000-0000-0000662E0000}"/>
    <cellStyle name="Normal 2 4 4 2 3 2 3" xfId="8108" xr:uid="{00000000-0005-0000-0000-0000672E0000}"/>
    <cellStyle name="Normal 2 4 4 2 3 2 3 2" xfId="15371" xr:uid="{00000000-0005-0000-0000-0000682E0000}"/>
    <cellStyle name="Normal 2 4 4 2 3 2 3 2 2" xfId="31686" xr:uid="{00000000-0005-0000-0000-0000692E0000}"/>
    <cellStyle name="Normal 2 4 4 2 3 2 3 3" xfId="24721" xr:uid="{00000000-0005-0000-0000-00006A2E0000}"/>
    <cellStyle name="Normal 2 4 4 2 3 2 4" xfId="11423" xr:uid="{00000000-0005-0000-0000-00006B2E0000}"/>
    <cellStyle name="Normal 2 4 4 2 3 2 4 2" xfId="28021" xr:uid="{00000000-0005-0000-0000-00006C2E0000}"/>
    <cellStyle name="Normal 2 4 4 2 3 2 5" xfId="3914" xr:uid="{00000000-0005-0000-0000-00006D2E0000}"/>
    <cellStyle name="Normal 2 4 4 2 3 2 5 2" xfId="20637" xr:uid="{00000000-0005-0000-0000-00006E2E0000}"/>
    <cellStyle name="Normal 2 4 4 2 3 2 6" xfId="19041" xr:uid="{00000000-0005-0000-0000-00006F2E0000}"/>
    <cellStyle name="Normal 2 4 4 2 3 3" xfId="2309" xr:uid="{00000000-0005-0000-0000-0000702E0000}"/>
    <cellStyle name="Normal 2 4 4 2 3 3 2" xfId="8917" xr:uid="{00000000-0005-0000-0000-0000712E0000}"/>
    <cellStyle name="Normal 2 4 4 2 3 3 2 2" xfId="16180" xr:uid="{00000000-0005-0000-0000-0000722E0000}"/>
    <cellStyle name="Normal 2 4 4 2 3 3 2 2 2" xfId="32495" xr:uid="{00000000-0005-0000-0000-0000732E0000}"/>
    <cellStyle name="Normal 2 4 4 2 3 3 2 3" xfId="25530" xr:uid="{00000000-0005-0000-0000-0000742E0000}"/>
    <cellStyle name="Normal 2 4 4 2 3 3 3" xfId="12259" xr:uid="{00000000-0005-0000-0000-0000752E0000}"/>
    <cellStyle name="Normal 2 4 4 2 3 3 3 2" xfId="28834" xr:uid="{00000000-0005-0000-0000-0000762E0000}"/>
    <cellStyle name="Normal 2 4 4 2 3 3 4" xfId="5566" xr:uid="{00000000-0005-0000-0000-0000772E0000}"/>
    <cellStyle name="Normal 2 4 4 2 3 3 4 2" xfId="22230" xr:uid="{00000000-0005-0000-0000-0000782E0000}"/>
    <cellStyle name="Normal 2 4 4 2 3 3 5" xfId="19040" xr:uid="{00000000-0005-0000-0000-0000792E0000}"/>
    <cellStyle name="Normal 2 4 4 2 3 4" xfId="7296" xr:uid="{00000000-0005-0000-0000-00007A2E0000}"/>
    <cellStyle name="Normal 2 4 4 2 3 4 2" xfId="14559" xr:uid="{00000000-0005-0000-0000-00007B2E0000}"/>
    <cellStyle name="Normal 2 4 4 2 3 4 2 2" xfId="30874" xr:uid="{00000000-0005-0000-0000-00007C2E0000}"/>
    <cellStyle name="Normal 2 4 4 2 3 4 3" xfId="23909" xr:uid="{00000000-0005-0000-0000-00007D2E0000}"/>
    <cellStyle name="Normal 2 4 4 2 3 5" xfId="10611" xr:uid="{00000000-0005-0000-0000-00007E2E0000}"/>
    <cellStyle name="Normal 2 4 4 2 3 5 2" xfId="27209" xr:uid="{00000000-0005-0000-0000-00007F2E0000}"/>
    <cellStyle name="Normal 2 4 4 2 3 6" xfId="3913" xr:uid="{00000000-0005-0000-0000-0000802E0000}"/>
    <cellStyle name="Normal 2 4 4 2 3 6 2" xfId="20636" xr:uid="{00000000-0005-0000-0000-0000812E0000}"/>
    <cellStyle name="Normal 2 4 4 2 3 7" xfId="18303" xr:uid="{00000000-0005-0000-0000-0000822E0000}"/>
    <cellStyle name="Normal 2 4 4 2 4" xfId="2311" xr:uid="{00000000-0005-0000-0000-0000832E0000}"/>
    <cellStyle name="Normal 2 4 4 2 4 2" xfId="5972" xr:uid="{00000000-0005-0000-0000-0000842E0000}"/>
    <cellStyle name="Normal 2 4 4 2 4 2 2" xfId="9323" xr:uid="{00000000-0005-0000-0000-0000852E0000}"/>
    <cellStyle name="Normal 2 4 4 2 4 2 2 2" xfId="16586" xr:uid="{00000000-0005-0000-0000-0000862E0000}"/>
    <cellStyle name="Normal 2 4 4 2 4 2 2 2 2" xfId="32901" xr:uid="{00000000-0005-0000-0000-0000872E0000}"/>
    <cellStyle name="Normal 2 4 4 2 4 2 2 3" xfId="25936" xr:uid="{00000000-0005-0000-0000-0000882E0000}"/>
    <cellStyle name="Normal 2 4 4 2 4 2 3" xfId="12665" xr:uid="{00000000-0005-0000-0000-0000892E0000}"/>
    <cellStyle name="Normal 2 4 4 2 4 2 3 2" xfId="29240" xr:uid="{00000000-0005-0000-0000-00008A2E0000}"/>
    <cellStyle name="Normal 2 4 4 2 4 2 4" xfId="22636" xr:uid="{00000000-0005-0000-0000-00008B2E0000}"/>
    <cellStyle name="Normal 2 4 4 2 4 3" xfId="7702" xr:uid="{00000000-0005-0000-0000-00008C2E0000}"/>
    <cellStyle name="Normal 2 4 4 2 4 3 2" xfId="14965" xr:uid="{00000000-0005-0000-0000-00008D2E0000}"/>
    <cellStyle name="Normal 2 4 4 2 4 3 2 2" xfId="31280" xr:uid="{00000000-0005-0000-0000-00008E2E0000}"/>
    <cellStyle name="Normal 2 4 4 2 4 3 3" xfId="24315" xr:uid="{00000000-0005-0000-0000-00008F2E0000}"/>
    <cellStyle name="Normal 2 4 4 2 4 4" xfId="11017" xr:uid="{00000000-0005-0000-0000-0000902E0000}"/>
    <cellStyle name="Normal 2 4 4 2 4 4 2" xfId="27615" xr:uid="{00000000-0005-0000-0000-0000912E0000}"/>
    <cellStyle name="Normal 2 4 4 2 4 5" xfId="3915" xr:uid="{00000000-0005-0000-0000-0000922E0000}"/>
    <cellStyle name="Normal 2 4 4 2 4 5 2" xfId="20638" xr:uid="{00000000-0005-0000-0000-0000932E0000}"/>
    <cellStyle name="Normal 2 4 4 2 4 6" xfId="19042" xr:uid="{00000000-0005-0000-0000-0000942E0000}"/>
    <cellStyle name="Normal 2 4 4 2 5" xfId="2304" xr:uid="{00000000-0005-0000-0000-0000952E0000}"/>
    <cellStyle name="Normal 2 4 4 2 5 2" xfId="8629" xr:uid="{00000000-0005-0000-0000-0000962E0000}"/>
    <cellStyle name="Normal 2 4 4 2 5 2 2" xfId="15892" xr:uid="{00000000-0005-0000-0000-0000972E0000}"/>
    <cellStyle name="Normal 2 4 4 2 5 2 2 2" xfId="32207" xr:uid="{00000000-0005-0000-0000-0000982E0000}"/>
    <cellStyle name="Normal 2 4 4 2 5 2 3" xfId="25242" xr:uid="{00000000-0005-0000-0000-0000992E0000}"/>
    <cellStyle name="Normal 2 4 4 2 5 3" xfId="11971" xr:uid="{00000000-0005-0000-0000-00009A2E0000}"/>
    <cellStyle name="Normal 2 4 4 2 5 3 2" xfId="28546" xr:uid="{00000000-0005-0000-0000-00009B2E0000}"/>
    <cellStyle name="Normal 2 4 4 2 5 4" xfId="5278" xr:uid="{00000000-0005-0000-0000-00009C2E0000}"/>
    <cellStyle name="Normal 2 4 4 2 5 4 2" xfId="21942" xr:uid="{00000000-0005-0000-0000-00009D2E0000}"/>
    <cellStyle name="Normal 2 4 4 2 5 5" xfId="19035" xr:uid="{00000000-0005-0000-0000-00009E2E0000}"/>
    <cellStyle name="Normal 2 4 4 2 6" xfId="7010" xr:uid="{00000000-0005-0000-0000-00009F2E0000}"/>
    <cellStyle name="Normal 2 4 4 2 6 2" xfId="14273" xr:uid="{00000000-0005-0000-0000-0000A02E0000}"/>
    <cellStyle name="Normal 2 4 4 2 6 2 2" xfId="30588" xr:uid="{00000000-0005-0000-0000-0000A12E0000}"/>
    <cellStyle name="Normal 2 4 4 2 6 3" xfId="23623" xr:uid="{00000000-0005-0000-0000-0000A22E0000}"/>
    <cellStyle name="Normal 2 4 4 2 7" xfId="10324" xr:uid="{00000000-0005-0000-0000-0000A32E0000}"/>
    <cellStyle name="Normal 2 4 4 2 7 2" xfId="26923" xr:uid="{00000000-0005-0000-0000-0000A42E0000}"/>
    <cellStyle name="Normal 2 4 4 2 8" xfId="3908" xr:uid="{00000000-0005-0000-0000-0000A52E0000}"/>
    <cellStyle name="Normal 2 4 4 2 8 2" xfId="20631" xr:uid="{00000000-0005-0000-0000-0000A62E0000}"/>
    <cellStyle name="Normal 2 4 4 2 9" xfId="17784" xr:uid="{00000000-0005-0000-0000-0000A72E0000}"/>
    <cellStyle name="Normal 2 4 4 3" xfId="1138" xr:uid="{00000000-0005-0000-0000-0000A82E0000}"/>
    <cellStyle name="Normal 2 4 4 3 2" xfId="1659" xr:uid="{00000000-0005-0000-0000-0000A92E0000}"/>
    <cellStyle name="Normal 2 4 4 3 2 2" xfId="2314" xr:uid="{00000000-0005-0000-0000-0000AA2E0000}"/>
    <cellStyle name="Normal 2 4 4 3 2 2 2" xfId="6553" xr:uid="{00000000-0005-0000-0000-0000AB2E0000}"/>
    <cellStyle name="Normal 2 4 4 3 2 2 2 2" xfId="9904" xr:uid="{00000000-0005-0000-0000-0000AC2E0000}"/>
    <cellStyle name="Normal 2 4 4 3 2 2 2 2 2" xfId="17167" xr:uid="{00000000-0005-0000-0000-0000AD2E0000}"/>
    <cellStyle name="Normal 2 4 4 3 2 2 2 2 2 2" xfId="33482" xr:uid="{00000000-0005-0000-0000-0000AE2E0000}"/>
    <cellStyle name="Normal 2 4 4 3 2 2 2 2 3" xfId="26517" xr:uid="{00000000-0005-0000-0000-0000AF2E0000}"/>
    <cellStyle name="Normal 2 4 4 3 2 2 2 3" xfId="13246" xr:uid="{00000000-0005-0000-0000-0000B02E0000}"/>
    <cellStyle name="Normal 2 4 4 3 2 2 2 3 2" xfId="29821" xr:uid="{00000000-0005-0000-0000-0000B12E0000}"/>
    <cellStyle name="Normal 2 4 4 3 2 2 2 4" xfId="23217" xr:uid="{00000000-0005-0000-0000-0000B22E0000}"/>
    <cellStyle name="Normal 2 4 4 3 2 2 3" xfId="8283" xr:uid="{00000000-0005-0000-0000-0000B32E0000}"/>
    <cellStyle name="Normal 2 4 4 3 2 2 3 2" xfId="15546" xr:uid="{00000000-0005-0000-0000-0000B42E0000}"/>
    <cellStyle name="Normal 2 4 4 3 2 2 3 2 2" xfId="31861" xr:uid="{00000000-0005-0000-0000-0000B52E0000}"/>
    <cellStyle name="Normal 2 4 4 3 2 2 3 3" xfId="24896" xr:uid="{00000000-0005-0000-0000-0000B62E0000}"/>
    <cellStyle name="Normal 2 4 4 3 2 2 4" xfId="11598" xr:uid="{00000000-0005-0000-0000-0000B72E0000}"/>
    <cellStyle name="Normal 2 4 4 3 2 2 4 2" xfId="28196" xr:uid="{00000000-0005-0000-0000-0000B82E0000}"/>
    <cellStyle name="Normal 2 4 4 3 2 2 5" xfId="3918" xr:uid="{00000000-0005-0000-0000-0000B92E0000}"/>
    <cellStyle name="Normal 2 4 4 3 2 2 5 2" xfId="20641" xr:uid="{00000000-0005-0000-0000-0000BA2E0000}"/>
    <cellStyle name="Normal 2 4 4 3 2 2 6" xfId="19045" xr:uid="{00000000-0005-0000-0000-0000BB2E0000}"/>
    <cellStyle name="Normal 2 4 4 3 2 3" xfId="2313" xr:uid="{00000000-0005-0000-0000-0000BC2E0000}"/>
    <cellStyle name="Normal 2 4 4 3 2 3 2" xfId="9128" xr:uid="{00000000-0005-0000-0000-0000BD2E0000}"/>
    <cellStyle name="Normal 2 4 4 3 2 3 2 2" xfId="16391" xr:uid="{00000000-0005-0000-0000-0000BE2E0000}"/>
    <cellStyle name="Normal 2 4 4 3 2 3 2 2 2" xfId="32706" xr:uid="{00000000-0005-0000-0000-0000BF2E0000}"/>
    <cellStyle name="Normal 2 4 4 3 2 3 2 3" xfId="25741" xr:uid="{00000000-0005-0000-0000-0000C02E0000}"/>
    <cellStyle name="Normal 2 4 4 3 2 3 3" xfId="12470" xr:uid="{00000000-0005-0000-0000-0000C12E0000}"/>
    <cellStyle name="Normal 2 4 4 3 2 3 3 2" xfId="29045" xr:uid="{00000000-0005-0000-0000-0000C22E0000}"/>
    <cellStyle name="Normal 2 4 4 3 2 3 4" xfId="5777" xr:uid="{00000000-0005-0000-0000-0000C32E0000}"/>
    <cellStyle name="Normal 2 4 4 3 2 3 4 2" xfId="22441" xr:uid="{00000000-0005-0000-0000-0000C42E0000}"/>
    <cellStyle name="Normal 2 4 4 3 2 3 5" xfId="19044" xr:uid="{00000000-0005-0000-0000-0000C52E0000}"/>
    <cellStyle name="Normal 2 4 4 3 2 4" xfId="7507" xr:uid="{00000000-0005-0000-0000-0000C62E0000}"/>
    <cellStyle name="Normal 2 4 4 3 2 4 2" xfId="14770" xr:uid="{00000000-0005-0000-0000-0000C72E0000}"/>
    <cellStyle name="Normal 2 4 4 3 2 4 2 2" xfId="31085" xr:uid="{00000000-0005-0000-0000-0000C82E0000}"/>
    <cellStyle name="Normal 2 4 4 3 2 4 3" xfId="24120" xr:uid="{00000000-0005-0000-0000-0000C92E0000}"/>
    <cellStyle name="Normal 2 4 4 3 2 5" xfId="10822" xr:uid="{00000000-0005-0000-0000-0000CA2E0000}"/>
    <cellStyle name="Normal 2 4 4 3 2 5 2" xfId="27420" xr:uid="{00000000-0005-0000-0000-0000CB2E0000}"/>
    <cellStyle name="Normal 2 4 4 3 2 6" xfId="3917" xr:uid="{00000000-0005-0000-0000-0000CC2E0000}"/>
    <cellStyle name="Normal 2 4 4 3 2 6 2" xfId="20640" xr:uid="{00000000-0005-0000-0000-0000CD2E0000}"/>
    <cellStyle name="Normal 2 4 4 3 2 7" xfId="18394" xr:uid="{00000000-0005-0000-0000-0000CE2E0000}"/>
    <cellStyle name="Normal 2 4 4 3 3" xfId="2315" xr:uid="{00000000-0005-0000-0000-0000CF2E0000}"/>
    <cellStyle name="Normal 2 4 4 3 3 2" xfId="6183" xr:uid="{00000000-0005-0000-0000-0000D02E0000}"/>
    <cellStyle name="Normal 2 4 4 3 3 2 2" xfId="9534" xr:uid="{00000000-0005-0000-0000-0000D12E0000}"/>
    <cellStyle name="Normal 2 4 4 3 3 2 2 2" xfId="16797" xr:uid="{00000000-0005-0000-0000-0000D22E0000}"/>
    <cellStyle name="Normal 2 4 4 3 3 2 2 2 2" xfId="33112" xr:uid="{00000000-0005-0000-0000-0000D32E0000}"/>
    <cellStyle name="Normal 2 4 4 3 3 2 2 3" xfId="26147" xr:uid="{00000000-0005-0000-0000-0000D42E0000}"/>
    <cellStyle name="Normal 2 4 4 3 3 2 3" xfId="12876" xr:uid="{00000000-0005-0000-0000-0000D52E0000}"/>
    <cellStyle name="Normal 2 4 4 3 3 2 3 2" xfId="29451" xr:uid="{00000000-0005-0000-0000-0000D62E0000}"/>
    <cellStyle name="Normal 2 4 4 3 3 2 4" xfId="22847" xr:uid="{00000000-0005-0000-0000-0000D72E0000}"/>
    <cellStyle name="Normal 2 4 4 3 3 3" xfId="7913" xr:uid="{00000000-0005-0000-0000-0000D82E0000}"/>
    <cellStyle name="Normal 2 4 4 3 3 3 2" xfId="15176" xr:uid="{00000000-0005-0000-0000-0000D92E0000}"/>
    <cellStyle name="Normal 2 4 4 3 3 3 2 2" xfId="31491" xr:uid="{00000000-0005-0000-0000-0000DA2E0000}"/>
    <cellStyle name="Normal 2 4 4 3 3 3 3" xfId="24526" xr:uid="{00000000-0005-0000-0000-0000DB2E0000}"/>
    <cellStyle name="Normal 2 4 4 3 3 4" xfId="11228" xr:uid="{00000000-0005-0000-0000-0000DC2E0000}"/>
    <cellStyle name="Normal 2 4 4 3 3 4 2" xfId="27826" xr:uid="{00000000-0005-0000-0000-0000DD2E0000}"/>
    <cellStyle name="Normal 2 4 4 3 3 5" xfId="3919" xr:uid="{00000000-0005-0000-0000-0000DE2E0000}"/>
    <cellStyle name="Normal 2 4 4 3 3 5 2" xfId="20642" xr:uid="{00000000-0005-0000-0000-0000DF2E0000}"/>
    <cellStyle name="Normal 2 4 4 3 3 6" xfId="19046" xr:uid="{00000000-0005-0000-0000-0000E02E0000}"/>
    <cellStyle name="Normal 2 4 4 3 4" xfId="2312" xr:uid="{00000000-0005-0000-0000-0000E12E0000}"/>
    <cellStyle name="Normal 2 4 4 3 4 2" xfId="8721" xr:uid="{00000000-0005-0000-0000-0000E22E0000}"/>
    <cellStyle name="Normal 2 4 4 3 4 2 2" xfId="15984" xr:uid="{00000000-0005-0000-0000-0000E32E0000}"/>
    <cellStyle name="Normal 2 4 4 3 4 2 2 2" xfId="32299" xr:uid="{00000000-0005-0000-0000-0000E42E0000}"/>
    <cellStyle name="Normal 2 4 4 3 4 2 3" xfId="25334" xr:uid="{00000000-0005-0000-0000-0000E52E0000}"/>
    <cellStyle name="Normal 2 4 4 3 4 3" xfId="12063" xr:uid="{00000000-0005-0000-0000-0000E62E0000}"/>
    <cellStyle name="Normal 2 4 4 3 4 3 2" xfId="28638" xr:uid="{00000000-0005-0000-0000-0000E72E0000}"/>
    <cellStyle name="Normal 2 4 4 3 4 4" xfId="5370" xr:uid="{00000000-0005-0000-0000-0000E82E0000}"/>
    <cellStyle name="Normal 2 4 4 3 4 4 2" xfId="22034" xr:uid="{00000000-0005-0000-0000-0000E92E0000}"/>
    <cellStyle name="Normal 2 4 4 3 4 5" xfId="19043" xr:uid="{00000000-0005-0000-0000-0000EA2E0000}"/>
    <cellStyle name="Normal 2 4 4 3 5" xfId="7101" xr:uid="{00000000-0005-0000-0000-0000EB2E0000}"/>
    <cellStyle name="Normal 2 4 4 3 5 2" xfId="14364" xr:uid="{00000000-0005-0000-0000-0000EC2E0000}"/>
    <cellStyle name="Normal 2 4 4 3 5 2 2" xfId="30679" xr:uid="{00000000-0005-0000-0000-0000ED2E0000}"/>
    <cellStyle name="Normal 2 4 4 3 5 3" xfId="23714" xr:uid="{00000000-0005-0000-0000-0000EE2E0000}"/>
    <cellStyle name="Normal 2 4 4 3 6" xfId="10416" xr:uid="{00000000-0005-0000-0000-0000EF2E0000}"/>
    <cellStyle name="Normal 2 4 4 3 6 2" xfId="27014" xr:uid="{00000000-0005-0000-0000-0000F02E0000}"/>
    <cellStyle name="Normal 2 4 4 3 7" xfId="3916" xr:uid="{00000000-0005-0000-0000-0000F12E0000}"/>
    <cellStyle name="Normal 2 4 4 3 7 2" xfId="20639" xr:uid="{00000000-0005-0000-0000-0000F22E0000}"/>
    <cellStyle name="Normal 2 4 4 3 8" xfId="17875" xr:uid="{00000000-0005-0000-0000-0000F32E0000}"/>
    <cellStyle name="Normal 2 4 4 4" xfId="900" xr:uid="{00000000-0005-0000-0000-0000F42E0000}"/>
    <cellStyle name="Normal 2 4 4 4 2" xfId="1462" xr:uid="{00000000-0005-0000-0000-0000F52E0000}"/>
    <cellStyle name="Normal 2 4 4 4 2 2" xfId="2317" xr:uid="{00000000-0005-0000-0000-0000F62E0000}"/>
    <cellStyle name="Normal 2 4 4 4 2 2 2" xfId="9728" xr:uid="{00000000-0005-0000-0000-0000F72E0000}"/>
    <cellStyle name="Normal 2 4 4 4 2 2 2 2" xfId="16991" xr:uid="{00000000-0005-0000-0000-0000F82E0000}"/>
    <cellStyle name="Normal 2 4 4 4 2 2 2 2 2" xfId="33306" xr:uid="{00000000-0005-0000-0000-0000F92E0000}"/>
    <cellStyle name="Normal 2 4 4 4 2 2 2 3" xfId="26341" xr:uid="{00000000-0005-0000-0000-0000FA2E0000}"/>
    <cellStyle name="Normal 2 4 4 4 2 2 3" xfId="13070" xr:uid="{00000000-0005-0000-0000-0000FB2E0000}"/>
    <cellStyle name="Normal 2 4 4 4 2 2 3 2" xfId="29645" xr:uid="{00000000-0005-0000-0000-0000FC2E0000}"/>
    <cellStyle name="Normal 2 4 4 4 2 2 4" xfId="6377" xr:uid="{00000000-0005-0000-0000-0000FD2E0000}"/>
    <cellStyle name="Normal 2 4 4 4 2 2 4 2" xfId="23041" xr:uid="{00000000-0005-0000-0000-0000FE2E0000}"/>
    <cellStyle name="Normal 2 4 4 4 2 2 5" xfId="19048" xr:uid="{00000000-0005-0000-0000-0000FF2E0000}"/>
    <cellStyle name="Normal 2 4 4 4 2 3" xfId="8107" xr:uid="{00000000-0005-0000-0000-0000002F0000}"/>
    <cellStyle name="Normal 2 4 4 4 2 3 2" xfId="15370" xr:uid="{00000000-0005-0000-0000-0000012F0000}"/>
    <cellStyle name="Normal 2 4 4 4 2 3 2 2" xfId="31685" xr:uid="{00000000-0005-0000-0000-0000022F0000}"/>
    <cellStyle name="Normal 2 4 4 4 2 3 3" xfId="24720" xr:uid="{00000000-0005-0000-0000-0000032F0000}"/>
    <cellStyle name="Normal 2 4 4 4 2 4" xfId="11422" xr:uid="{00000000-0005-0000-0000-0000042F0000}"/>
    <cellStyle name="Normal 2 4 4 4 2 4 2" xfId="28020" xr:uid="{00000000-0005-0000-0000-0000052F0000}"/>
    <cellStyle name="Normal 2 4 4 4 2 5" xfId="3921" xr:uid="{00000000-0005-0000-0000-0000062F0000}"/>
    <cellStyle name="Normal 2 4 4 4 2 5 2" xfId="20644" xr:uid="{00000000-0005-0000-0000-0000072F0000}"/>
    <cellStyle name="Normal 2 4 4 4 2 6" xfId="18197" xr:uid="{00000000-0005-0000-0000-0000082F0000}"/>
    <cellStyle name="Normal 2 4 4 4 3" xfId="2316" xr:uid="{00000000-0005-0000-0000-0000092F0000}"/>
    <cellStyle name="Normal 2 4 4 4 3 2" xfId="8916" xr:uid="{00000000-0005-0000-0000-00000A2F0000}"/>
    <cellStyle name="Normal 2 4 4 4 3 2 2" xfId="16179" xr:uid="{00000000-0005-0000-0000-00000B2F0000}"/>
    <cellStyle name="Normal 2 4 4 4 3 2 2 2" xfId="32494" xr:uid="{00000000-0005-0000-0000-00000C2F0000}"/>
    <cellStyle name="Normal 2 4 4 4 3 2 3" xfId="25529" xr:uid="{00000000-0005-0000-0000-00000D2F0000}"/>
    <cellStyle name="Normal 2 4 4 4 3 3" xfId="12258" xr:uid="{00000000-0005-0000-0000-00000E2F0000}"/>
    <cellStyle name="Normal 2 4 4 4 3 3 2" xfId="28833" xr:uid="{00000000-0005-0000-0000-00000F2F0000}"/>
    <cellStyle name="Normal 2 4 4 4 3 4" xfId="5565" xr:uid="{00000000-0005-0000-0000-0000102F0000}"/>
    <cellStyle name="Normal 2 4 4 4 3 4 2" xfId="22229" xr:uid="{00000000-0005-0000-0000-0000112F0000}"/>
    <cellStyle name="Normal 2 4 4 4 3 5" xfId="19047" xr:uid="{00000000-0005-0000-0000-0000122F0000}"/>
    <cellStyle name="Normal 2 4 4 4 4" xfId="7295" xr:uid="{00000000-0005-0000-0000-0000132F0000}"/>
    <cellStyle name="Normal 2 4 4 4 4 2" xfId="14558" xr:uid="{00000000-0005-0000-0000-0000142F0000}"/>
    <cellStyle name="Normal 2 4 4 4 4 2 2" xfId="30873" xr:uid="{00000000-0005-0000-0000-0000152F0000}"/>
    <cellStyle name="Normal 2 4 4 4 4 3" xfId="23908" xr:uid="{00000000-0005-0000-0000-0000162F0000}"/>
    <cellStyle name="Normal 2 4 4 4 5" xfId="10610" xr:uid="{00000000-0005-0000-0000-0000172F0000}"/>
    <cellStyle name="Normal 2 4 4 4 5 2" xfId="27208" xr:uid="{00000000-0005-0000-0000-0000182F0000}"/>
    <cellStyle name="Normal 2 4 4 4 6" xfId="3920" xr:uid="{00000000-0005-0000-0000-0000192F0000}"/>
    <cellStyle name="Normal 2 4 4 4 6 2" xfId="20643" xr:uid="{00000000-0005-0000-0000-00001A2F0000}"/>
    <cellStyle name="Normal 2 4 4 4 7" xfId="17678" xr:uid="{00000000-0005-0000-0000-00001B2F0000}"/>
    <cellStyle name="Normal 2 4 4 5" xfId="741" xr:uid="{00000000-0005-0000-0000-00001C2F0000}"/>
    <cellStyle name="Normal 2 4 4 5 2" xfId="2318" xr:uid="{00000000-0005-0000-0000-00001D2F0000}"/>
    <cellStyle name="Normal 2 4 4 5 2 2" xfId="9322" xr:uid="{00000000-0005-0000-0000-00001E2F0000}"/>
    <cellStyle name="Normal 2 4 4 5 2 2 2" xfId="16585" xr:uid="{00000000-0005-0000-0000-00001F2F0000}"/>
    <cellStyle name="Normal 2 4 4 5 2 2 2 2" xfId="32900" xr:uid="{00000000-0005-0000-0000-0000202F0000}"/>
    <cellStyle name="Normal 2 4 4 5 2 2 3" xfId="25935" xr:uid="{00000000-0005-0000-0000-0000212F0000}"/>
    <cellStyle name="Normal 2 4 4 5 2 3" xfId="12664" xr:uid="{00000000-0005-0000-0000-0000222F0000}"/>
    <cellStyle name="Normal 2 4 4 5 2 3 2" xfId="29239" xr:uid="{00000000-0005-0000-0000-0000232F0000}"/>
    <cellStyle name="Normal 2 4 4 5 2 4" xfId="5971" xr:uid="{00000000-0005-0000-0000-0000242F0000}"/>
    <cellStyle name="Normal 2 4 4 5 2 4 2" xfId="22635" xr:uid="{00000000-0005-0000-0000-0000252F0000}"/>
    <cellStyle name="Normal 2 4 4 5 2 5" xfId="19049" xr:uid="{00000000-0005-0000-0000-0000262F0000}"/>
    <cellStyle name="Normal 2 4 4 5 3" xfId="7701" xr:uid="{00000000-0005-0000-0000-0000272F0000}"/>
    <cellStyle name="Normal 2 4 4 5 3 2" xfId="14964" xr:uid="{00000000-0005-0000-0000-0000282F0000}"/>
    <cellStyle name="Normal 2 4 4 5 3 2 2" xfId="31279" xr:uid="{00000000-0005-0000-0000-0000292F0000}"/>
    <cellStyle name="Normal 2 4 4 5 3 3" xfId="24314" xr:uid="{00000000-0005-0000-0000-00002A2F0000}"/>
    <cellStyle name="Normal 2 4 4 5 4" xfId="11016" xr:uid="{00000000-0005-0000-0000-00002B2F0000}"/>
    <cellStyle name="Normal 2 4 4 5 4 2" xfId="27614" xr:uid="{00000000-0005-0000-0000-00002C2F0000}"/>
    <cellStyle name="Normal 2 4 4 5 5" xfId="3922" xr:uid="{00000000-0005-0000-0000-00002D2F0000}"/>
    <cellStyle name="Normal 2 4 4 5 5 2" xfId="20645" xr:uid="{00000000-0005-0000-0000-00002E2F0000}"/>
    <cellStyle name="Normal 2 4 4 5 6" xfId="17554" xr:uid="{00000000-0005-0000-0000-00002F2F0000}"/>
    <cellStyle name="Normal 2 4 4 6" xfId="1338" xr:uid="{00000000-0005-0000-0000-0000302F0000}"/>
    <cellStyle name="Normal 2 4 4 6 2" xfId="8523" xr:uid="{00000000-0005-0000-0000-0000312F0000}"/>
    <cellStyle name="Normal 2 4 4 6 2 2" xfId="15786" xr:uid="{00000000-0005-0000-0000-0000322F0000}"/>
    <cellStyle name="Normal 2 4 4 6 2 2 2" xfId="32101" xr:uid="{00000000-0005-0000-0000-0000332F0000}"/>
    <cellStyle name="Normal 2 4 4 6 2 3" xfId="25136" xr:uid="{00000000-0005-0000-0000-0000342F0000}"/>
    <cellStyle name="Normal 2 4 4 6 3" xfId="11865" xr:uid="{00000000-0005-0000-0000-0000352F0000}"/>
    <cellStyle name="Normal 2 4 4 6 3 2" xfId="28440" xr:uid="{00000000-0005-0000-0000-0000362F0000}"/>
    <cellStyle name="Normal 2 4 4 6 4" xfId="5172" xr:uid="{00000000-0005-0000-0000-0000372F0000}"/>
    <cellStyle name="Normal 2 4 4 6 4 2" xfId="21836" xr:uid="{00000000-0005-0000-0000-0000382F0000}"/>
    <cellStyle name="Normal 2 4 4 6 5" xfId="18073" xr:uid="{00000000-0005-0000-0000-0000392F0000}"/>
    <cellStyle name="Normal 2 4 4 7" xfId="2303" xr:uid="{00000000-0005-0000-0000-00003A2F0000}"/>
    <cellStyle name="Normal 2 4 4 7 2" xfId="14167" xr:uid="{00000000-0005-0000-0000-00003B2F0000}"/>
    <cellStyle name="Normal 2 4 4 7 2 2" xfId="30482" xr:uid="{00000000-0005-0000-0000-00003C2F0000}"/>
    <cellStyle name="Normal 2 4 4 7 3" xfId="6904" xr:uid="{00000000-0005-0000-0000-00003D2F0000}"/>
    <cellStyle name="Normal 2 4 4 7 3 2" xfId="23517" xr:uid="{00000000-0005-0000-0000-00003E2F0000}"/>
    <cellStyle name="Normal 2 4 4 7 4" xfId="19034" xr:uid="{00000000-0005-0000-0000-00003F2F0000}"/>
    <cellStyle name="Normal 2 4 4 8" xfId="10218" xr:uid="{00000000-0005-0000-0000-0000402F0000}"/>
    <cellStyle name="Normal 2 4 4 8 2" xfId="26817" xr:uid="{00000000-0005-0000-0000-0000412F0000}"/>
    <cellStyle name="Normal 2 4 4 9" xfId="3907" xr:uid="{00000000-0005-0000-0000-0000422F0000}"/>
    <cellStyle name="Normal 2 4 4 9 2" xfId="20630" xr:uid="{00000000-0005-0000-0000-0000432F0000}"/>
    <cellStyle name="Normal 2 4 5" xfId="953" xr:uid="{00000000-0005-0000-0000-0000442F0000}"/>
    <cellStyle name="Normal 2 4 5 2" xfId="1140" xr:uid="{00000000-0005-0000-0000-0000452F0000}"/>
    <cellStyle name="Normal 2 4 5 2 2" xfId="1661" xr:uid="{00000000-0005-0000-0000-0000462F0000}"/>
    <cellStyle name="Normal 2 4 5 2 2 2" xfId="2322" xr:uid="{00000000-0005-0000-0000-0000472F0000}"/>
    <cellStyle name="Normal 2 4 5 2 2 2 2" xfId="6555" xr:uid="{00000000-0005-0000-0000-0000482F0000}"/>
    <cellStyle name="Normal 2 4 5 2 2 2 2 2" xfId="9906" xr:uid="{00000000-0005-0000-0000-0000492F0000}"/>
    <cellStyle name="Normal 2 4 5 2 2 2 2 2 2" xfId="17169" xr:uid="{00000000-0005-0000-0000-00004A2F0000}"/>
    <cellStyle name="Normal 2 4 5 2 2 2 2 2 2 2" xfId="33484" xr:uid="{00000000-0005-0000-0000-00004B2F0000}"/>
    <cellStyle name="Normal 2 4 5 2 2 2 2 2 3" xfId="26519" xr:uid="{00000000-0005-0000-0000-00004C2F0000}"/>
    <cellStyle name="Normal 2 4 5 2 2 2 2 3" xfId="13248" xr:uid="{00000000-0005-0000-0000-00004D2F0000}"/>
    <cellStyle name="Normal 2 4 5 2 2 2 2 3 2" xfId="29823" xr:uid="{00000000-0005-0000-0000-00004E2F0000}"/>
    <cellStyle name="Normal 2 4 5 2 2 2 2 4" xfId="23219" xr:uid="{00000000-0005-0000-0000-00004F2F0000}"/>
    <cellStyle name="Normal 2 4 5 2 2 2 3" xfId="8285" xr:uid="{00000000-0005-0000-0000-0000502F0000}"/>
    <cellStyle name="Normal 2 4 5 2 2 2 3 2" xfId="15548" xr:uid="{00000000-0005-0000-0000-0000512F0000}"/>
    <cellStyle name="Normal 2 4 5 2 2 2 3 2 2" xfId="31863" xr:uid="{00000000-0005-0000-0000-0000522F0000}"/>
    <cellStyle name="Normal 2 4 5 2 2 2 3 3" xfId="24898" xr:uid="{00000000-0005-0000-0000-0000532F0000}"/>
    <cellStyle name="Normal 2 4 5 2 2 2 4" xfId="11600" xr:uid="{00000000-0005-0000-0000-0000542F0000}"/>
    <cellStyle name="Normal 2 4 5 2 2 2 4 2" xfId="28198" xr:uid="{00000000-0005-0000-0000-0000552F0000}"/>
    <cellStyle name="Normal 2 4 5 2 2 2 5" xfId="3926" xr:uid="{00000000-0005-0000-0000-0000562F0000}"/>
    <cellStyle name="Normal 2 4 5 2 2 2 5 2" xfId="20649" xr:uid="{00000000-0005-0000-0000-0000572F0000}"/>
    <cellStyle name="Normal 2 4 5 2 2 2 6" xfId="19053" xr:uid="{00000000-0005-0000-0000-0000582F0000}"/>
    <cellStyle name="Normal 2 4 5 2 2 3" xfId="2321" xr:uid="{00000000-0005-0000-0000-0000592F0000}"/>
    <cellStyle name="Normal 2 4 5 2 2 3 2" xfId="9130" xr:uid="{00000000-0005-0000-0000-00005A2F0000}"/>
    <cellStyle name="Normal 2 4 5 2 2 3 2 2" xfId="16393" xr:uid="{00000000-0005-0000-0000-00005B2F0000}"/>
    <cellStyle name="Normal 2 4 5 2 2 3 2 2 2" xfId="32708" xr:uid="{00000000-0005-0000-0000-00005C2F0000}"/>
    <cellStyle name="Normal 2 4 5 2 2 3 2 3" xfId="25743" xr:uid="{00000000-0005-0000-0000-00005D2F0000}"/>
    <cellStyle name="Normal 2 4 5 2 2 3 3" xfId="12472" xr:uid="{00000000-0005-0000-0000-00005E2F0000}"/>
    <cellStyle name="Normal 2 4 5 2 2 3 3 2" xfId="29047" xr:uid="{00000000-0005-0000-0000-00005F2F0000}"/>
    <cellStyle name="Normal 2 4 5 2 2 3 4" xfId="5779" xr:uid="{00000000-0005-0000-0000-0000602F0000}"/>
    <cellStyle name="Normal 2 4 5 2 2 3 4 2" xfId="22443" xr:uid="{00000000-0005-0000-0000-0000612F0000}"/>
    <cellStyle name="Normal 2 4 5 2 2 3 5" xfId="19052" xr:uid="{00000000-0005-0000-0000-0000622F0000}"/>
    <cellStyle name="Normal 2 4 5 2 2 4" xfId="7509" xr:uid="{00000000-0005-0000-0000-0000632F0000}"/>
    <cellStyle name="Normal 2 4 5 2 2 4 2" xfId="14772" xr:uid="{00000000-0005-0000-0000-0000642F0000}"/>
    <cellStyle name="Normal 2 4 5 2 2 4 2 2" xfId="31087" xr:uid="{00000000-0005-0000-0000-0000652F0000}"/>
    <cellStyle name="Normal 2 4 5 2 2 4 3" xfId="24122" xr:uid="{00000000-0005-0000-0000-0000662F0000}"/>
    <cellStyle name="Normal 2 4 5 2 2 5" xfId="10824" xr:uid="{00000000-0005-0000-0000-0000672F0000}"/>
    <cellStyle name="Normal 2 4 5 2 2 5 2" xfId="27422" xr:uid="{00000000-0005-0000-0000-0000682F0000}"/>
    <cellStyle name="Normal 2 4 5 2 2 6" xfId="3925" xr:uid="{00000000-0005-0000-0000-0000692F0000}"/>
    <cellStyle name="Normal 2 4 5 2 2 6 2" xfId="20648" xr:uid="{00000000-0005-0000-0000-00006A2F0000}"/>
    <cellStyle name="Normal 2 4 5 2 2 7" xfId="18396" xr:uid="{00000000-0005-0000-0000-00006B2F0000}"/>
    <cellStyle name="Normal 2 4 5 2 3" xfId="2323" xr:uid="{00000000-0005-0000-0000-00006C2F0000}"/>
    <cellStyle name="Normal 2 4 5 2 3 2" xfId="6185" xr:uid="{00000000-0005-0000-0000-00006D2F0000}"/>
    <cellStyle name="Normal 2 4 5 2 3 2 2" xfId="9536" xr:uid="{00000000-0005-0000-0000-00006E2F0000}"/>
    <cellStyle name="Normal 2 4 5 2 3 2 2 2" xfId="16799" xr:uid="{00000000-0005-0000-0000-00006F2F0000}"/>
    <cellStyle name="Normal 2 4 5 2 3 2 2 2 2" xfId="33114" xr:uid="{00000000-0005-0000-0000-0000702F0000}"/>
    <cellStyle name="Normal 2 4 5 2 3 2 2 3" xfId="26149" xr:uid="{00000000-0005-0000-0000-0000712F0000}"/>
    <cellStyle name="Normal 2 4 5 2 3 2 3" xfId="12878" xr:uid="{00000000-0005-0000-0000-0000722F0000}"/>
    <cellStyle name="Normal 2 4 5 2 3 2 3 2" xfId="29453" xr:uid="{00000000-0005-0000-0000-0000732F0000}"/>
    <cellStyle name="Normal 2 4 5 2 3 2 4" xfId="22849" xr:uid="{00000000-0005-0000-0000-0000742F0000}"/>
    <cellStyle name="Normal 2 4 5 2 3 3" xfId="7915" xr:uid="{00000000-0005-0000-0000-0000752F0000}"/>
    <cellStyle name="Normal 2 4 5 2 3 3 2" xfId="15178" xr:uid="{00000000-0005-0000-0000-0000762F0000}"/>
    <cellStyle name="Normal 2 4 5 2 3 3 2 2" xfId="31493" xr:uid="{00000000-0005-0000-0000-0000772F0000}"/>
    <cellStyle name="Normal 2 4 5 2 3 3 3" xfId="24528" xr:uid="{00000000-0005-0000-0000-0000782F0000}"/>
    <cellStyle name="Normal 2 4 5 2 3 4" xfId="11230" xr:uid="{00000000-0005-0000-0000-0000792F0000}"/>
    <cellStyle name="Normal 2 4 5 2 3 4 2" xfId="27828" xr:uid="{00000000-0005-0000-0000-00007A2F0000}"/>
    <cellStyle name="Normal 2 4 5 2 3 5" xfId="3927" xr:uid="{00000000-0005-0000-0000-00007B2F0000}"/>
    <cellStyle name="Normal 2 4 5 2 3 5 2" xfId="20650" xr:uid="{00000000-0005-0000-0000-00007C2F0000}"/>
    <cellStyle name="Normal 2 4 5 2 3 6" xfId="19054" xr:uid="{00000000-0005-0000-0000-00007D2F0000}"/>
    <cellStyle name="Normal 2 4 5 2 4" xfId="2320" xr:uid="{00000000-0005-0000-0000-00007E2F0000}"/>
    <cellStyle name="Normal 2 4 5 2 4 2" xfId="8723" xr:uid="{00000000-0005-0000-0000-00007F2F0000}"/>
    <cellStyle name="Normal 2 4 5 2 4 2 2" xfId="15986" xr:uid="{00000000-0005-0000-0000-0000802F0000}"/>
    <cellStyle name="Normal 2 4 5 2 4 2 2 2" xfId="32301" xr:uid="{00000000-0005-0000-0000-0000812F0000}"/>
    <cellStyle name="Normal 2 4 5 2 4 2 3" xfId="25336" xr:uid="{00000000-0005-0000-0000-0000822F0000}"/>
    <cellStyle name="Normal 2 4 5 2 4 3" xfId="12065" xr:uid="{00000000-0005-0000-0000-0000832F0000}"/>
    <cellStyle name="Normal 2 4 5 2 4 3 2" xfId="28640" xr:uid="{00000000-0005-0000-0000-0000842F0000}"/>
    <cellStyle name="Normal 2 4 5 2 4 4" xfId="5372" xr:uid="{00000000-0005-0000-0000-0000852F0000}"/>
    <cellStyle name="Normal 2 4 5 2 4 4 2" xfId="22036" xr:uid="{00000000-0005-0000-0000-0000862F0000}"/>
    <cellStyle name="Normal 2 4 5 2 4 5" xfId="19051" xr:uid="{00000000-0005-0000-0000-0000872F0000}"/>
    <cellStyle name="Normal 2 4 5 2 5" xfId="7103" xr:uid="{00000000-0005-0000-0000-0000882F0000}"/>
    <cellStyle name="Normal 2 4 5 2 5 2" xfId="14366" xr:uid="{00000000-0005-0000-0000-0000892F0000}"/>
    <cellStyle name="Normal 2 4 5 2 5 2 2" xfId="30681" xr:uid="{00000000-0005-0000-0000-00008A2F0000}"/>
    <cellStyle name="Normal 2 4 5 2 5 3" xfId="23716" xr:uid="{00000000-0005-0000-0000-00008B2F0000}"/>
    <cellStyle name="Normal 2 4 5 2 6" xfId="10418" xr:uid="{00000000-0005-0000-0000-00008C2F0000}"/>
    <cellStyle name="Normal 2 4 5 2 6 2" xfId="27016" xr:uid="{00000000-0005-0000-0000-00008D2F0000}"/>
    <cellStyle name="Normal 2 4 5 2 7" xfId="3924" xr:uid="{00000000-0005-0000-0000-00008E2F0000}"/>
    <cellStyle name="Normal 2 4 5 2 7 2" xfId="20647" xr:uid="{00000000-0005-0000-0000-00008F2F0000}"/>
    <cellStyle name="Normal 2 4 5 2 8" xfId="17877" xr:uid="{00000000-0005-0000-0000-0000902F0000}"/>
    <cellStyle name="Normal 2 4 5 3" xfId="1515" xr:uid="{00000000-0005-0000-0000-0000912F0000}"/>
    <cellStyle name="Normal 2 4 5 3 2" xfId="2325" xr:uid="{00000000-0005-0000-0000-0000922F0000}"/>
    <cellStyle name="Normal 2 4 5 3 2 2" xfId="6379" xr:uid="{00000000-0005-0000-0000-0000932F0000}"/>
    <cellStyle name="Normal 2 4 5 3 2 2 2" xfId="9730" xr:uid="{00000000-0005-0000-0000-0000942F0000}"/>
    <cellStyle name="Normal 2 4 5 3 2 2 2 2" xfId="16993" xr:uid="{00000000-0005-0000-0000-0000952F0000}"/>
    <cellStyle name="Normal 2 4 5 3 2 2 2 2 2" xfId="33308" xr:uid="{00000000-0005-0000-0000-0000962F0000}"/>
    <cellStyle name="Normal 2 4 5 3 2 2 2 3" xfId="26343" xr:uid="{00000000-0005-0000-0000-0000972F0000}"/>
    <cellStyle name="Normal 2 4 5 3 2 2 3" xfId="13072" xr:uid="{00000000-0005-0000-0000-0000982F0000}"/>
    <cellStyle name="Normal 2 4 5 3 2 2 3 2" xfId="29647" xr:uid="{00000000-0005-0000-0000-0000992F0000}"/>
    <cellStyle name="Normal 2 4 5 3 2 2 4" xfId="23043" xr:uid="{00000000-0005-0000-0000-00009A2F0000}"/>
    <cellStyle name="Normal 2 4 5 3 2 3" xfId="8109" xr:uid="{00000000-0005-0000-0000-00009B2F0000}"/>
    <cellStyle name="Normal 2 4 5 3 2 3 2" xfId="15372" xr:uid="{00000000-0005-0000-0000-00009C2F0000}"/>
    <cellStyle name="Normal 2 4 5 3 2 3 2 2" xfId="31687" xr:uid="{00000000-0005-0000-0000-00009D2F0000}"/>
    <cellStyle name="Normal 2 4 5 3 2 3 3" xfId="24722" xr:uid="{00000000-0005-0000-0000-00009E2F0000}"/>
    <cellStyle name="Normal 2 4 5 3 2 4" xfId="11424" xr:uid="{00000000-0005-0000-0000-00009F2F0000}"/>
    <cellStyle name="Normal 2 4 5 3 2 4 2" xfId="28022" xr:uid="{00000000-0005-0000-0000-0000A02F0000}"/>
    <cellStyle name="Normal 2 4 5 3 2 5" xfId="3929" xr:uid="{00000000-0005-0000-0000-0000A12F0000}"/>
    <cellStyle name="Normal 2 4 5 3 2 5 2" xfId="20652" xr:uid="{00000000-0005-0000-0000-0000A22F0000}"/>
    <cellStyle name="Normal 2 4 5 3 2 6" xfId="19056" xr:uid="{00000000-0005-0000-0000-0000A32F0000}"/>
    <cellStyle name="Normal 2 4 5 3 3" xfId="2324" xr:uid="{00000000-0005-0000-0000-0000A42F0000}"/>
    <cellStyle name="Normal 2 4 5 3 3 2" xfId="8918" xr:uid="{00000000-0005-0000-0000-0000A52F0000}"/>
    <cellStyle name="Normal 2 4 5 3 3 2 2" xfId="16181" xr:uid="{00000000-0005-0000-0000-0000A62F0000}"/>
    <cellStyle name="Normal 2 4 5 3 3 2 2 2" xfId="32496" xr:uid="{00000000-0005-0000-0000-0000A72F0000}"/>
    <cellStyle name="Normal 2 4 5 3 3 2 3" xfId="25531" xr:uid="{00000000-0005-0000-0000-0000A82F0000}"/>
    <cellStyle name="Normal 2 4 5 3 3 3" xfId="12260" xr:uid="{00000000-0005-0000-0000-0000A92F0000}"/>
    <cellStyle name="Normal 2 4 5 3 3 3 2" xfId="28835" xr:uid="{00000000-0005-0000-0000-0000AA2F0000}"/>
    <cellStyle name="Normal 2 4 5 3 3 4" xfId="5567" xr:uid="{00000000-0005-0000-0000-0000AB2F0000}"/>
    <cellStyle name="Normal 2 4 5 3 3 4 2" xfId="22231" xr:uid="{00000000-0005-0000-0000-0000AC2F0000}"/>
    <cellStyle name="Normal 2 4 5 3 3 5" xfId="19055" xr:uid="{00000000-0005-0000-0000-0000AD2F0000}"/>
    <cellStyle name="Normal 2 4 5 3 4" xfId="7297" xr:uid="{00000000-0005-0000-0000-0000AE2F0000}"/>
    <cellStyle name="Normal 2 4 5 3 4 2" xfId="14560" xr:uid="{00000000-0005-0000-0000-0000AF2F0000}"/>
    <cellStyle name="Normal 2 4 5 3 4 2 2" xfId="30875" xr:uid="{00000000-0005-0000-0000-0000B02F0000}"/>
    <cellStyle name="Normal 2 4 5 3 4 3" xfId="23910" xr:uid="{00000000-0005-0000-0000-0000B12F0000}"/>
    <cellStyle name="Normal 2 4 5 3 5" xfId="10612" xr:uid="{00000000-0005-0000-0000-0000B22F0000}"/>
    <cellStyle name="Normal 2 4 5 3 5 2" xfId="27210" xr:uid="{00000000-0005-0000-0000-0000B32F0000}"/>
    <cellStyle name="Normal 2 4 5 3 6" xfId="3928" xr:uid="{00000000-0005-0000-0000-0000B42F0000}"/>
    <cellStyle name="Normal 2 4 5 3 6 2" xfId="20651" xr:uid="{00000000-0005-0000-0000-0000B52F0000}"/>
    <cellStyle name="Normal 2 4 5 3 7" xfId="18250" xr:uid="{00000000-0005-0000-0000-0000B62F0000}"/>
    <cellStyle name="Normal 2 4 5 4" xfId="2326" xr:uid="{00000000-0005-0000-0000-0000B72F0000}"/>
    <cellStyle name="Normal 2 4 5 4 2" xfId="5973" xr:uid="{00000000-0005-0000-0000-0000B82F0000}"/>
    <cellStyle name="Normal 2 4 5 4 2 2" xfId="9324" xr:uid="{00000000-0005-0000-0000-0000B92F0000}"/>
    <cellStyle name="Normal 2 4 5 4 2 2 2" xfId="16587" xr:uid="{00000000-0005-0000-0000-0000BA2F0000}"/>
    <cellStyle name="Normal 2 4 5 4 2 2 2 2" xfId="32902" xr:uid="{00000000-0005-0000-0000-0000BB2F0000}"/>
    <cellStyle name="Normal 2 4 5 4 2 2 3" xfId="25937" xr:uid="{00000000-0005-0000-0000-0000BC2F0000}"/>
    <cellStyle name="Normal 2 4 5 4 2 3" xfId="12666" xr:uid="{00000000-0005-0000-0000-0000BD2F0000}"/>
    <cellStyle name="Normal 2 4 5 4 2 3 2" xfId="29241" xr:uid="{00000000-0005-0000-0000-0000BE2F0000}"/>
    <cellStyle name="Normal 2 4 5 4 2 4" xfId="22637" xr:uid="{00000000-0005-0000-0000-0000BF2F0000}"/>
    <cellStyle name="Normal 2 4 5 4 3" xfId="7703" xr:uid="{00000000-0005-0000-0000-0000C02F0000}"/>
    <cellStyle name="Normal 2 4 5 4 3 2" xfId="14966" xr:uid="{00000000-0005-0000-0000-0000C12F0000}"/>
    <cellStyle name="Normal 2 4 5 4 3 2 2" xfId="31281" xr:uid="{00000000-0005-0000-0000-0000C22F0000}"/>
    <cellStyle name="Normal 2 4 5 4 3 3" xfId="24316" xr:uid="{00000000-0005-0000-0000-0000C32F0000}"/>
    <cellStyle name="Normal 2 4 5 4 4" xfId="11018" xr:uid="{00000000-0005-0000-0000-0000C42F0000}"/>
    <cellStyle name="Normal 2 4 5 4 4 2" xfId="27616" xr:uid="{00000000-0005-0000-0000-0000C52F0000}"/>
    <cellStyle name="Normal 2 4 5 4 5" xfId="3930" xr:uid="{00000000-0005-0000-0000-0000C62F0000}"/>
    <cellStyle name="Normal 2 4 5 4 5 2" xfId="20653" xr:uid="{00000000-0005-0000-0000-0000C72F0000}"/>
    <cellStyle name="Normal 2 4 5 4 6" xfId="19057" xr:uid="{00000000-0005-0000-0000-0000C82F0000}"/>
    <cellStyle name="Normal 2 4 5 5" xfId="2319" xr:uid="{00000000-0005-0000-0000-0000C92F0000}"/>
    <cellStyle name="Normal 2 4 5 5 2" xfId="8576" xr:uid="{00000000-0005-0000-0000-0000CA2F0000}"/>
    <cellStyle name="Normal 2 4 5 5 2 2" xfId="15839" xr:uid="{00000000-0005-0000-0000-0000CB2F0000}"/>
    <cellStyle name="Normal 2 4 5 5 2 2 2" xfId="32154" xr:uid="{00000000-0005-0000-0000-0000CC2F0000}"/>
    <cellStyle name="Normal 2 4 5 5 2 3" xfId="25189" xr:uid="{00000000-0005-0000-0000-0000CD2F0000}"/>
    <cellStyle name="Normal 2 4 5 5 3" xfId="11918" xr:uid="{00000000-0005-0000-0000-0000CE2F0000}"/>
    <cellStyle name="Normal 2 4 5 5 3 2" xfId="28493" xr:uid="{00000000-0005-0000-0000-0000CF2F0000}"/>
    <cellStyle name="Normal 2 4 5 5 4" xfId="5225" xr:uid="{00000000-0005-0000-0000-0000D02F0000}"/>
    <cellStyle name="Normal 2 4 5 5 4 2" xfId="21889" xr:uid="{00000000-0005-0000-0000-0000D12F0000}"/>
    <cellStyle name="Normal 2 4 5 5 5" xfId="19050" xr:uid="{00000000-0005-0000-0000-0000D22F0000}"/>
    <cellStyle name="Normal 2 4 5 6" xfId="6957" xr:uid="{00000000-0005-0000-0000-0000D32F0000}"/>
    <cellStyle name="Normal 2 4 5 6 2" xfId="14220" xr:uid="{00000000-0005-0000-0000-0000D42F0000}"/>
    <cellStyle name="Normal 2 4 5 6 2 2" xfId="30535" xr:uid="{00000000-0005-0000-0000-0000D52F0000}"/>
    <cellStyle name="Normal 2 4 5 6 3" xfId="23570" xr:uid="{00000000-0005-0000-0000-0000D62F0000}"/>
    <cellStyle name="Normal 2 4 5 7" xfId="10271" xr:uid="{00000000-0005-0000-0000-0000D72F0000}"/>
    <cellStyle name="Normal 2 4 5 7 2" xfId="26870" xr:uid="{00000000-0005-0000-0000-0000D82F0000}"/>
    <cellStyle name="Normal 2 4 5 8" xfId="3923" xr:uid="{00000000-0005-0000-0000-0000D92F0000}"/>
    <cellStyle name="Normal 2 4 5 8 2" xfId="20646" xr:uid="{00000000-0005-0000-0000-0000DA2F0000}"/>
    <cellStyle name="Normal 2 4 5 9" xfId="17731" xr:uid="{00000000-0005-0000-0000-0000DB2F0000}"/>
    <cellStyle name="Normal 2 4 6" xfId="1129" xr:uid="{00000000-0005-0000-0000-0000DC2F0000}"/>
    <cellStyle name="Normal 2 4 6 2" xfId="1650" xr:uid="{00000000-0005-0000-0000-0000DD2F0000}"/>
    <cellStyle name="Normal 2 4 6 2 2" xfId="2329" xr:uid="{00000000-0005-0000-0000-0000DE2F0000}"/>
    <cellStyle name="Normal 2 4 6 2 2 2" xfId="6544" xr:uid="{00000000-0005-0000-0000-0000DF2F0000}"/>
    <cellStyle name="Normal 2 4 6 2 2 2 2" xfId="9895" xr:uid="{00000000-0005-0000-0000-0000E02F0000}"/>
    <cellStyle name="Normal 2 4 6 2 2 2 2 2" xfId="17158" xr:uid="{00000000-0005-0000-0000-0000E12F0000}"/>
    <cellStyle name="Normal 2 4 6 2 2 2 2 2 2" xfId="33473" xr:uid="{00000000-0005-0000-0000-0000E22F0000}"/>
    <cellStyle name="Normal 2 4 6 2 2 2 2 3" xfId="26508" xr:uid="{00000000-0005-0000-0000-0000E32F0000}"/>
    <cellStyle name="Normal 2 4 6 2 2 2 3" xfId="13237" xr:uid="{00000000-0005-0000-0000-0000E42F0000}"/>
    <cellStyle name="Normal 2 4 6 2 2 2 3 2" xfId="29812" xr:uid="{00000000-0005-0000-0000-0000E52F0000}"/>
    <cellStyle name="Normal 2 4 6 2 2 2 4" xfId="23208" xr:uid="{00000000-0005-0000-0000-0000E62F0000}"/>
    <cellStyle name="Normal 2 4 6 2 2 3" xfId="8274" xr:uid="{00000000-0005-0000-0000-0000E72F0000}"/>
    <cellStyle name="Normal 2 4 6 2 2 3 2" xfId="15537" xr:uid="{00000000-0005-0000-0000-0000E82F0000}"/>
    <cellStyle name="Normal 2 4 6 2 2 3 2 2" xfId="31852" xr:uid="{00000000-0005-0000-0000-0000E92F0000}"/>
    <cellStyle name="Normal 2 4 6 2 2 3 3" xfId="24887" xr:uid="{00000000-0005-0000-0000-0000EA2F0000}"/>
    <cellStyle name="Normal 2 4 6 2 2 4" xfId="11589" xr:uid="{00000000-0005-0000-0000-0000EB2F0000}"/>
    <cellStyle name="Normal 2 4 6 2 2 4 2" xfId="28187" xr:uid="{00000000-0005-0000-0000-0000EC2F0000}"/>
    <cellStyle name="Normal 2 4 6 2 2 5" xfId="3933" xr:uid="{00000000-0005-0000-0000-0000ED2F0000}"/>
    <cellStyle name="Normal 2 4 6 2 2 5 2" xfId="20656" xr:uid="{00000000-0005-0000-0000-0000EE2F0000}"/>
    <cellStyle name="Normal 2 4 6 2 2 6" xfId="19060" xr:uid="{00000000-0005-0000-0000-0000EF2F0000}"/>
    <cellStyle name="Normal 2 4 6 2 3" xfId="2328" xr:uid="{00000000-0005-0000-0000-0000F02F0000}"/>
    <cellStyle name="Normal 2 4 6 2 3 2" xfId="9119" xr:uid="{00000000-0005-0000-0000-0000F12F0000}"/>
    <cellStyle name="Normal 2 4 6 2 3 2 2" xfId="16382" xr:uid="{00000000-0005-0000-0000-0000F22F0000}"/>
    <cellStyle name="Normal 2 4 6 2 3 2 2 2" xfId="32697" xr:uid="{00000000-0005-0000-0000-0000F32F0000}"/>
    <cellStyle name="Normal 2 4 6 2 3 2 3" xfId="25732" xr:uid="{00000000-0005-0000-0000-0000F42F0000}"/>
    <cellStyle name="Normal 2 4 6 2 3 3" xfId="12461" xr:uid="{00000000-0005-0000-0000-0000F52F0000}"/>
    <cellStyle name="Normal 2 4 6 2 3 3 2" xfId="29036" xr:uid="{00000000-0005-0000-0000-0000F62F0000}"/>
    <cellStyle name="Normal 2 4 6 2 3 4" xfId="5768" xr:uid="{00000000-0005-0000-0000-0000F72F0000}"/>
    <cellStyle name="Normal 2 4 6 2 3 4 2" xfId="22432" xr:uid="{00000000-0005-0000-0000-0000F82F0000}"/>
    <cellStyle name="Normal 2 4 6 2 3 5" xfId="19059" xr:uid="{00000000-0005-0000-0000-0000F92F0000}"/>
    <cellStyle name="Normal 2 4 6 2 4" xfId="7498" xr:uid="{00000000-0005-0000-0000-0000FA2F0000}"/>
    <cellStyle name="Normal 2 4 6 2 4 2" xfId="14761" xr:uid="{00000000-0005-0000-0000-0000FB2F0000}"/>
    <cellStyle name="Normal 2 4 6 2 4 2 2" xfId="31076" xr:uid="{00000000-0005-0000-0000-0000FC2F0000}"/>
    <cellStyle name="Normal 2 4 6 2 4 3" xfId="24111" xr:uid="{00000000-0005-0000-0000-0000FD2F0000}"/>
    <cellStyle name="Normal 2 4 6 2 5" xfId="10813" xr:uid="{00000000-0005-0000-0000-0000FE2F0000}"/>
    <cellStyle name="Normal 2 4 6 2 5 2" xfId="27411" xr:uid="{00000000-0005-0000-0000-0000FF2F0000}"/>
    <cellStyle name="Normal 2 4 6 2 6" xfId="3932" xr:uid="{00000000-0005-0000-0000-000000300000}"/>
    <cellStyle name="Normal 2 4 6 2 6 2" xfId="20655" xr:uid="{00000000-0005-0000-0000-000001300000}"/>
    <cellStyle name="Normal 2 4 6 2 7" xfId="18385" xr:uid="{00000000-0005-0000-0000-000002300000}"/>
    <cellStyle name="Normal 2 4 6 3" xfId="2330" xr:uid="{00000000-0005-0000-0000-000003300000}"/>
    <cellStyle name="Normal 2 4 6 3 2" xfId="6174" xr:uid="{00000000-0005-0000-0000-000004300000}"/>
    <cellStyle name="Normal 2 4 6 3 2 2" xfId="9525" xr:uid="{00000000-0005-0000-0000-000005300000}"/>
    <cellStyle name="Normal 2 4 6 3 2 2 2" xfId="16788" xr:uid="{00000000-0005-0000-0000-000006300000}"/>
    <cellStyle name="Normal 2 4 6 3 2 2 2 2" xfId="33103" xr:uid="{00000000-0005-0000-0000-000007300000}"/>
    <cellStyle name="Normal 2 4 6 3 2 2 3" xfId="26138" xr:uid="{00000000-0005-0000-0000-000008300000}"/>
    <cellStyle name="Normal 2 4 6 3 2 3" xfId="12867" xr:uid="{00000000-0005-0000-0000-000009300000}"/>
    <cellStyle name="Normal 2 4 6 3 2 3 2" xfId="29442" xr:uid="{00000000-0005-0000-0000-00000A300000}"/>
    <cellStyle name="Normal 2 4 6 3 2 4" xfId="22838" xr:uid="{00000000-0005-0000-0000-00000B300000}"/>
    <cellStyle name="Normal 2 4 6 3 3" xfId="7904" xr:uid="{00000000-0005-0000-0000-00000C300000}"/>
    <cellStyle name="Normal 2 4 6 3 3 2" xfId="15167" xr:uid="{00000000-0005-0000-0000-00000D300000}"/>
    <cellStyle name="Normal 2 4 6 3 3 2 2" xfId="31482" xr:uid="{00000000-0005-0000-0000-00000E300000}"/>
    <cellStyle name="Normal 2 4 6 3 3 3" xfId="24517" xr:uid="{00000000-0005-0000-0000-00000F300000}"/>
    <cellStyle name="Normal 2 4 6 3 4" xfId="11219" xr:uid="{00000000-0005-0000-0000-000010300000}"/>
    <cellStyle name="Normal 2 4 6 3 4 2" xfId="27817" xr:uid="{00000000-0005-0000-0000-000011300000}"/>
    <cellStyle name="Normal 2 4 6 3 5" xfId="3934" xr:uid="{00000000-0005-0000-0000-000012300000}"/>
    <cellStyle name="Normal 2 4 6 3 5 2" xfId="20657" xr:uid="{00000000-0005-0000-0000-000013300000}"/>
    <cellStyle name="Normal 2 4 6 3 6" xfId="19061" xr:uid="{00000000-0005-0000-0000-000014300000}"/>
    <cellStyle name="Normal 2 4 6 4" xfId="2327" xr:uid="{00000000-0005-0000-0000-000015300000}"/>
    <cellStyle name="Normal 2 4 6 4 2" xfId="8712" xr:uid="{00000000-0005-0000-0000-000016300000}"/>
    <cellStyle name="Normal 2 4 6 4 2 2" xfId="15975" xr:uid="{00000000-0005-0000-0000-000017300000}"/>
    <cellStyle name="Normal 2 4 6 4 2 2 2" xfId="32290" xr:uid="{00000000-0005-0000-0000-000018300000}"/>
    <cellStyle name="Normal 2 4 6 4 2 3" xfId="25325" xr:uid="{00000000-0005-0000-0000-000019300000}"/>
    <cellStyle name="Normal 2 4 6 4 3" xfId="12054" xr:uid="{00000000-0005-0000-0000-00001A300000}"/>
    <cellStyle name="Normal 2 4 6 4 3 2" xfId="28629" xr:uid="{00000000-0005-0000-0000-00001B300000}"/>
    <cellStyle name="Normal 2 4 6 4 4" xfId="5361" xr:uid="{00000000-0005-0000-0000-00001C300000}"/>
    <cellStyle name="Normal 2 4 6 4 4 2" xfId="22025" xr:uid="{00000000-0005-0000-0000-00001D300000}"/>
    <cellStyle name="Normal 2 4 6 4 5" xfId="19058" xr:uid="{00000000-0005-0000-0000-00001E300000}"/>
    <cellStyle name="Normal 2 4 6 5" xfId="7092" xr:uid="{00000000-0005-0000-0000-00001F300000}"/>
    <cellStyle name="Normal 2 4 6 5 2" xfId="14355" xr:uid="{00000000-0005-0000-0000-000020300000}"/>
    <cellStyle name="Normal 2 4 6 5 2 2" xfId="30670" xr:uid="{00000000-0005-0000-0000-000021300000}"/>
    <cellStyle name="Normal 2 4 6 5 3" xfId="23705" xr:uid="{00000000-0005-0000-0000-000022300000}"/>
    <cellStyle name="Normal 2 4 6 6" xfId="10407" xr:uid="{00000000-0005-0000-0000-000023300000}"/>
    <cellStyle name="Normal 2 4 6 6 2" xfId="27005" xr:uid="{00000000-0005-0000-0000-000024300000}"/>
    <cellStyle name="Normal 2 4 6 7" xfId="3931" xr:uid="{00000000-0005-0000-0000-000025300000}"/>
    <cellStyle name="Normal 2 4 6 7 2" xfId="20654" xr:uid="{00000000-0005-0000-0000-000026300000}"/>
    <cellStyle name="Normal 2 4 6 8" xfId="17866" xr:uid="{00000000-0005-0000-0000-000027300000}"/>
    <cellStyle name="Normal 2 4 7" xfId="841" xr:uid="{00000000-0005-0000-0000-000028300000}"/>
    <cellStyle name="Normal 2 4 7 2" xfId="1418" xr:uid="{00000000-0005-0000-0000-000029300000}"/>
    <cellStyle name="Normal 2 4 7 2 2" xfId="2333" xr:uid="{00000000-0005-0000-0000-00002A300000}"/>
    <cellStyle name="Normal 2 4 7 2 2 2" xfId="6693" xr:uid="{00000000-0005-0000-0000-00002B300000}"/>
    <cellStyle name="Normal 2 4 7 2 2 2 2" xfId="10044" xr:uid="{00000000-0005-0000-0000-00002C300000}"/>
    <cellStyle name="Normal 2 4 7 2 2 2 2 2" xfId="17307" xr:uid="{00000000-0005-0000-0000-00002D300000}"/>
    <cellStyle name="Normal 2 4 7 2 2 2 2 2 2" xfId="33622" xr:uid="{00000000-0005-0000-0000-00002E300000}"/>
    <cellStyle name="Normal 2 4 7 2 2 2 2 3" xfId="26657" xr:uid="{00000000-0005-0000-0000-00002F300000}"/>
    <cellStyle name="Normal 2 4 7 2 2 2 3" xfId="13386" xr:uid="{00000000-0005-0000-0000-000030300000}"/>
    <cellStyle name="Normal 2 4 7 2 2 2 3 2" xfId="29961" xr:uid="{00000000-0005-0000-0000-000031300000}"/>
    <cellStyle name="Normal 2 4 7 2 2 2 4" xfId="23357" xr:uid="{00000000-0005-0000-0000-000032300000}"/>
    <cellStyle name="Normal 2 4 7 2 2 3" xfId="8423" xr:uid="{00000000-0005-0000-0000-000033300000}"/>
    <cellStyle name="Normal 2 4 7 2 2 3 2" xfId="15686" xr:uid="{00000000-0005-0000-0000-000034300000}"/>
    <cellStyle name="Normal 2 4 7 2 2 3 2 2" xfId="32001" xr:uid="{00000000-0005-0000-0000-000035300000}"/>
    <cellStyle name="Normal 2 4 7 2 2 3 3" xfId="25036" xr:uid="{00000000-0005-0000-0000-000036300000}"/>
    <cellStyle name="Normal 2 4 7 2 2 4" xfId="11738" xr:uid="{00000000-0005-0000-0000-000037300000}"/>
    <cellStyle name="Normal 2 4 7 2 2 4 2" xfId="28336" xr:uid="{00000000-0005-0000-0000-000038300000}"/>
    <cellStyle name="Normal 2 4 7 2 2 5" xfId="3937" xr:uid="{00000000-0005-0000-0000-000039300000}"/>
    <cellStyle name="Normal 2 4 7 2 2 5 2" xfId="20660" xr:uid="{00000000-0005-0000-0000-00003A300000}"/>
    <cellStyle name="Normal 2 4 7 2 2 6" xfId="19064" xr:uid="{00000000-0005-0000-0000-00003B300000}"/>
    <cellStyle name="Normal 2 4 7 2 3" xfId="2332" xr:uid="{00000000-0005-0000-0000-00003C300000}"/>
    <cellStyle name="Normal 2 4 7 2 3 2" xfId="9268" xr:uid="{00000000-0005-0000-0000-00003D300000}"/>
    <cellStyle name="Normal 2 4 7 2 3 2 2" xfId="16531" xr:uid="{00000000-0005-0000-0000-00003E300000}"/>
    <cellStyle name="Normal 2 4 7 2 3 2 2 2" xfId="32846" xr:uid="{00000000-0005-0000-0000-00003F300000}"/>
    <cellStyle name="Normal 2 4 7 2 3 2 3" xfId="25881" xr:uid="{00000000-0005-0000-0000-000040300000}"/>
    <cellStyle name="Normal 2 4 7 2 3 3" xfId="12610" xr:uid="{00000000-0005-0000-0000-000041300000}"/>
    <cellStyle name="Normal 2 4 7 2 3 3 2" xfId="29185" xr:uid="{00000000-0005-0000-0000-000042300000}"/>
    <cellStyle name="Normal 2 4 7 2 3 4" xfId="5917" xr:uid="{00000000-0005-0000-0000-000043300000}"/>
    <cellStyle name="Normal 2 4 7 2 3 4 2" xfId="22581" xr:uid="{00000000-0005-0000-0000-000044300000}"/>
    <cellStyle name="Normal 2 4 7 2 3 5" xfId="19063" xr:uid="{00000000-0005-0000-0000-000045300000}"/>
    <cellStyle name="Normal 2 4 7 2 4" xfId="7647" xr:uid="{00000000-0005-0000-0000-000046300000}"/>
    <cellStyle name="Normal 2 4 7 2 4 2" xfId="14910" xr:uid="{00000000-0005-0000-0000-000047300000}"/>
    <cellStyle name="Normal 2 4 7 2 4 2 2" xfId="31225" xr:uid="{00000000-0005-0000-0000-000048300000}"/>
    <cellStyle name="Normal 2 4 7 2 4 3" xfId="24260" xr:uid="{00000000-0005-0000-0000-000049300000}"/>
    <cellStyle name="Normal 2 4 7 2 5" xfId="10962" xr:uid="{00000000-0005-0000-0000-00004A300000}"/>
    <cellStyle name="Normal 2 4 7 2 5 2" xfId="27560" xr:uid="{00000000-0005-0000-0000-00004B300000}"/>
    <cellStyle name="Normal 2 4 7 2 6" xfId="3936" xr:uid="{00000000-0005-0000-0000-00004C300000}"/>
    <cellStyle name="Normal 2 4 7 2 6 2" xfId="20659" xr:uid="{00000000-0005-0000-0000-00004D300000}"/>
    <cellStyle name="Normal 2 4 7 2 7" xfId="18153" xr:uid="{00000000-0005-0000-0000-00004E300000}"/>
    <cellStyle name="Normal 2 4 7 3" xfId="2334" xr:uid="{00000000-0005-0000-0000-00004F300000}"/>
    <cellStyle name="Normal 2 4 7 3 2" xfId="6323" xr:uid="{00000000-0005-0000-0000-000050300000}"/>
    <cellStyle name="Normal 2 4 7 3 2 2" xfId="9674" xr:uid="{00000000-0005-0000-0000-000051300000}"/>
    <cellStyle name="Normal 2 4 7 3 2 2 2" xfId="16937" xr:uid="{00000000-0005-0000-0000-000052300000}"/>
    <cellStyle name="Normal 2 4 7 3 2 2 2 2" xfId="33252" xr:uid="{00000000-0005-0000-0000-000053300000}"/>
    <cellStyle name="Normal 2 4 7 3 2 2 3" xfId="26287" xr:uid="{00000000-0005-0000-0000-000054300000}"/>
    <cellStyle name="Normal 2 4 7 3 2 3" xfId="13016" xr:uid="{00000000-0005-0000-0000-000055300000}"/>
    <cellStyle name="Normal 2 4 7 3 2 3 2" xfId="29591" xr:uid="{00000000-0005-0000-0000-000056300000}"/>
    <cellStyle name="Normal 2 4 7 3 2 4" xfId="22987" xr:uid="{00000000-0005-0000-0000-000057300000}"/>
    <cellStyle name="Normal 2 4 7 3 3" xfId="8053" xr:uid="{00000000-0005-0000-0000-000058300000}"/>
    <cellStyle name="Normal 2 4 7 3 3 2" xfId="15316" xr:uid="{00000000-0005-0000-0000-000059300000}"/>
    <cellStyle name="Normal 2 4 7 3 3 2 2" xfId="31631" xr:uid="{00000000-0005-0000-0000-00005A300000}"/>
    <cellStyle name="Normal 2 4 7 3 3 3" xfId="24666" xr:uid="{00000000-0005-0000-0000-00005B300000}"/>
    <cellStyle name="Normal 2 4 7 3 4" xfId="11368" xr:uid="{00000000-0005-0000-0000-00005C300000}"/>
    <cellStyle name="Normal 2 4 7 3 4 2" xfId="27966" xr:uid="{00000000-0005-0000-0000-00005D300000}"/>
    <cellStyle name="Normal 2 4 7 3 5" xfId="3938" xr:uid="{00000000-0005-0000-0000-00005E300000}"/>
    <cellStyle name="Normal 2 4 7 3 5 2" xfId="20661" xr:uid="{00000000-0005-0000-0000-00005F300000}"/>
    <cellStyle name="Normal 2 4 7 3 6" xfId="19065" xr:uid="{00000000-0005-0000-0000-000060300000}"/>
    <cellStyle name="Normal 2 4 7 4" xfId="2331" xr:uid="{00000000-0005-0000-0000-000061300000}"/>
    <cellStyle name="Normal 2 4 7 4 2" xfId="8861" xr:uid="{00000000-0005-0000-0000-000062300000}"/>
    <cellStyle name="Normal 2 4 7 4 2 2" xfId="16124" xr:uid="{00000000-0005-0000-0000-000063300000}"/>
    <cellStyle name="Normal 2 4 7 4 2 2 2" xfId="32439" xr:uid="{00000000-0005-0000-0000-000064300000}"/>
    <cellStyle name="Normal 2 4 7 4 2 3" xfId="25474" xr:uid="{00000000-0005-0000-0000-000065300000}"/>
    <cellStyle name="Normal 2 4 7 4 3" xfId="12203" xr:uid="{00000000-0005-0000-0000-000066300000}"/>
    <cellStyle name="Normal 2 4 7 4 3 2" xfId="28778" xr:uid="{00000000-0005-0000-0000-000067300000}"/>
    <cellStyle name="Normal 2 4 7 4 4" xfId="5510" xr:uid="{00000000-0005-0000-0000-000068300000}"/>
    <cellStyle name="Normal 2 4 7 4 4 2" xfId="22174" xr:uid="{00000000-0005-0000-0000-000069300000}"/>
    <cellStyle name="Normal 2 4 7 4 5" xfId="19062" xr:uid="{00000000-0005-0000-0000-00006A300000}"/>
    <cellStyle name="Normal 2 4 7 5" xfId="7241" xr:uid="{00000000-0005-0000-0000-00006B300000}"/>
    <cellStyle name="Normal 2 4 7 5 2" xfId="14504" xr:uid="{00000000-0005-0000-0000-00006C300000}"/>
    <cellStyle name="Normal 2 4 7 5 2 2" xfId="30819" xr:uid="{00000000-0005-0000-0000-00006D300000}"/>
    <cellStyle name="Normal 2 4 7 5 3" xfId="23854" xr:uid="{00000000-0005-0000-0000-00006E300000}"/>
    <cellStyle name="Normal 2 4 7 6" xfId="10556" xr:uid="{00000000-0005-0000-0000-00006F300000}"/>
    <cellStyle name="Normal 2 4 7 6 2" xfId="27154" xr:uid="{00000000-0005-0000-0000-000070300000}"/>
    <cellStyle name="Normal 2 4 7 7" xfId="3935" xr:uid="{00000000-0005-0000-0000-000071300000}"/>
    <cellStyle name="Normal 2 4 7 7 2" xfId="20658" xr:uid="{00000000-0005-0000-0000-000072300000}"/>
    <cellStyle name="Normal 2 4 7 8" xfId="17634" xr:uid="{00000000-0005-0000-0000-000073300000}"/>
    <cellStyle name="Normal 2 4 8" xfId="706" xr:uid="{00000000-0005-0000-0000-000074300000}"/>
    <cellStyle name="Normal 2 4 8 2" xfId="2336" xr:uid="{00000000-0005-0000-0000-000075300000}"/>
    <cellStyle name="Normal 2 4 8 2 2" xfId="6368" xr:uid="{00000000-0005-0000-0000-000076300000}"/>
    <cellStyle name="Normal 2 4 8 2 2 2" xfId="9719" xr:uid="{00000000-0005-0000-0000-000077300000}"/>
    <cellStyle name="Normal 2 4 8 2 2 2 2" xfId="16982" xr:uid="{00000000-0005-0000-0000-000078300000}"/>
    <cellStyle name="Normal 2 4 8 2 2 2 2 2" xfId="33297" xr:uid="{00000000-0005-0000-0000-000079300000}"/>
    <cellStyle name="Normal 2 4 8 2 2 2 3" xfId="26332" xr:uid="{00000000-0005-0000-0000-00007A300000}"/>
    <cellStyle name="Normal 2 4 8 2 2 3" xfId="13061" xr:uid="{00000000-0005-0000-0000-00007B300000}"/>
    <cellStyle name="Normal 2 4 8 2 2 3 2" xfId="29636" xr:uid="{00000000-0005-0000-0000-00007C300000}"/>
    <cellStyle name="Normal 2 4 8 2 2 4" xfId="23032" xr:uid="{00000000-0005-0000-0000-00007D300000}"/>
    <cellStyle name="Normal 2 4 8 2 3" xfId="8098" xr:uid="{00000000-0005-0000-0000-00007E300000}"/>
    <cellStyle name="Normal 2 4 8 2 3 2" xfId="15361" xr:uid="{00000000-0005-0000-0000-00007F300000}"/>
    <cellStyle name="Normal 2 4 8 2 3 2 2" xfId="31676" xr:uid="{00000000-0005-0000-0000-000080300000}"/>
    <cellStyle name="Normal 2 4 8 2 3 3" xfId="24711" xr:uid="{00000000-0005-0000-0000-000081300000}"/>
    <cellStyle name="Normal 2 4 8 2 4" xfId="11413" xr:uid="{00000000-0005-0000-0000-000082300000}"/>
    <cellStyle name="Normal 2 4 8 2 4 2" xfId="28011" xr:uid="{00000000-0005-0000-0000-000083300000}"/>
    <cellStyle name="Normal 2 4 8 2 5" xfId="3940" xr:uid="{00000000-0005-0000-0000-000084300000}"/>
    <cellStyle name="Normal 2 4 8 2 5 2" xfId="20663" xr:uid="{00000000-0005-0000-0000-000085300000}"/>
    <cellStyle name="Normal 2 4 8 2 6" xfId="19067" xr:uid="{00000000-0005-0000-0000-000086300000}"/>
    <cellStyle name="Normal 2 4 8 3" xfId="2335" xr:uid="{00000000-0005-0000-0000-000087300000}"/>
    <cellStyle name="Normal 2 4 8 3 2" xfId="8907" xr:uid="{00000000-0005-0000-0000-000088300000}"/>
    <cellStyle name="Normal 2 4 8 3 2 2" xfId="16170" xr:uid="{00000000-0005-0000-0000-000089300000}"/>
    <cellStyle name="Normal 2 4 8 3 2 2 2" xfId="32485" xr:uid="{00000000-0005-0000-0000-00008A300000}"/>
    <cellStyle name="Normal 2 4 8 3 2 3" xfId="25520" xr:uid="{00000000-0005-0000-0000-00008B300000}"/>
    <cellStyle name="Normal 2 4 8 3 3" xfId="12249" xr:uid="{00000000-0005-0000-0000-00008C300000}"/>
    <cellStyle name="Normal 2 4 8 3 3 2" xfId="28824" xr:uid="{00000000-0005-0000-0000-00008D300000}"/>
    <cellStyle name="Normal 2 4 8 3 4" xfId="5556" xr:uid="{00000000-0005-0000-0000-00008E300000}"/>
    <cellStyle name="Normal 2 4 8 3 4 2" xfId="22220" xr:uid="{00000000-0005-0000-0000-00008F300000}"/>
    <cellStyle name="Normal 2 4 8 3 5" xfId="19066" xr:uid="{00000000-0005-0000-0000-000090300000}"/>
    <cellStyle name="Normal 2 4 8 4" xfId="7286" xr:uid="{00000000-0005-0000-0000-000091300000}"/>
    <cellStyle name="Normal 2 4 8 4 2" xfId="14549" xr:uid="{00000000-0005-0000-0000-000092300000}"/>
    <cellStyle name="Normal 2 4 8 4 2 2" xfId="30864" xr:uid="{00000000-0005-0000-0000-000093300000}"/>
    <cellStyle name="Normal 2 4 8 4 3" xfId="23899" xr:uid="{00000000-0005-0000-0000-000094300000}"/>
    <cellStyle name="Normal 2 4 8 5" xfId="10601" xr:uid="{00000000-0005-0000-0000-000095300000}"/>
    <cellStyle name="Normal 2 4 8 5 2" xfId="27199" xr:uid="{00000000-0005-0000-0000-000096300000}"/>
    <cellStyle name="Normal 2 4 8 6" xfId="3939" xr:uid="{00000000-0005-0000-0000-000097300000}"/>
    <cellStyle name="Normal 2 4 8 6 2" xfId="20662" xr:uid="{00000000-0005-0000-0000-000098300000}"/>
    <cellStyle name="Normal 2 4 8 7" xfId="17519" xr:uid="{00000000-0005-0000-0000-000099300000}"/>
    <cellStyle name="Normal 2 4 9" xfId="1303" xr:uid="{00000000-0005-0000-0000-00009A300000}"/>
    <cellStyle name="Normal 2 4 9 2" xfId="2337" xr:uid="{00000000-0005-0000-0000-00009B300000}"/>
    <cellStyle name="Normal 2 4 9 2 2" xfId="9313" xr:uid="{00000000-0005-0000-0000-00009C300000}"/>
    <cellStyle name="Normal 2 4 9 2 2 2" xfId="16576" xr:uid="{00000000-0005-0000-0000-00009D300000}"/>
    <cellStyle name="Normal 2 4 9 2 2 2 2" xfId="32891" xr:uid="{00000000-0005-0000-0000-00009E300000}"/>
    <cellStyle name="Normal 2 4 9 2 2 3" xfId="25926" xr:uid="{00000000-0005-0000-0000-00009F300000}"/>
    <cellStyle name="Normal 2 4 9 2 3" xfId="12655" xr:uid="{00000000-0005-0000-0000-0000A0300000}"/>
    <cellStyle name="Normal 2 4 9 2 3 2" xfId="29230" xr:uid="{00000000-0005-0000-0000-0000A1300000}"/>
    <cellStyle name="Normal 2 4 9 2 4" xfId="5962" xr:uid="{00000000-0005-0000-0000-0000A2300000}"/>
    <cellStyle name="Normal 2 4 9 2 4 2" xfId="22626" xr:uid="{00000000-0005-0000-0000-0000A3300000}"/>
    <cellStyle name="Normal 2 4 9 2 5" xfId="19068" xr:uid="{00000000-0005-0000-0000-0000A4300000}"/>
    <cellStyle name="Normal 2 4 9 3" xfId="7692" xr:uid="{00000000-0005-0000-0000-0000A5300000}"/>
    <cellStyle name="Normal 2 4 9 3 2" xfId="14955" xr:uid="{00000000-0005-0000-0000-0000A6300000}"/>
    <cellStyle name="Normal 2 4 9 3 2 2" xfId="31270" xr:uid="{00000000-0005-0000-0000-0000A7300000}"/>
    <cellStyle name="Normal 2 4 9 3 3" xfId="24305" xr:uid="{00000000-0005-0000-0000-0000A8300000}"/>
    <cellStyle name="Normal 2 4 9 4" xfId="11007" xr:uid="{00000000-0005-0000-0000-0000A9300000}"/>
    <cellStyle name="Normal 2 4 9 4 2" xfId="27605" xr:uid="{00000000-0005-0000-0000-0000AA300000}"/>
    <cellStyle name="Normal 2 4 9 5" xfId="3941" xr:uid="{00000000-0005-0000-0000-0000AB300000}"/>
    <cellStyle name="Normal 2 4 9 5 2" xfId="20664" xr:uid="{00000000-0005-0000-0000-0000AC300000}"/>
    <cellStyle name="Normal 2 4 9 6" xfId="18038" xr:uid="{00000000-0005-0000-0000-0000AD300000}"/>
    <cellStyle name="Normal 2 47" xfId="518" xr:uid="{00000000-0005-0000-0000-0000AE300000}"/>
    <cellStyle name="Normal 2 5" xfId="876" xr:uid="{00000000-0005-0000-0000-0000AF300000}"/>
    <cellStyle name="Normal 2 5 10" xfId="3942" xr:uid="{00000000-0005-0000-0000-0000B0300000}"/>
    <cellStyle name="Normal 2 5 10 2" xfId="20665" xr:uid="{00000000-0005-0000-0000-0000B1300000}"/>
    <cellStyle name="Normal 2 5 11" xfId="17654" xr:uid="{00000000-0005-0000-0000-0000B2300000}"/>
    <cellStyle name="Normal 2 5 2" xfId="929" xr:uid="{00000000-0005-0000-0000-0000B3300000}"/>
    <cellStyle name="Normal 2 5 2 10" xfId="17707" xr:uid="{00000000-0005-0000-0000-0000B4300000}"/>
    <cellStyle name="Normal 2 5 2 2" xfId="1036" xr:uid="{00000000-0005-0000-0000-0000B5300000}"/>
    <cellStyle name="Normal 2 5 2 2 2" xfId="1143" xr:uid="{00000000-0005-0000-0000-0000B6300000}"/>
    <cellStyle name="Normal 2 5 2 2 2 2" xfId="1664" xr:uid="{00000000-0005-0000-0000-0000B7300000}"/>
    <cellStyle name="Normal 2 5 2 2 2 2 2" xfId="2343" xr:uid="{00000000-0005-0000-0000-0000B8300000}"/>
    <cellStyle name="Normal 2 5 2 2 2 2 2 2" xfId="6558" xr:uid="{00000000-0005-0000-0000-0000B9300000}"/>
    <cellStyle name="Normal 2 5 2 2 2 2 2 2 2" xfId="9909" xr:uid="{00000000-0005-0000-0000-0000BA300000}"/>
    <cellStyle name="Normal 2 5 2 2 2 2 2 2 2 2" xfId="17172" xr:uid="{00000000-0005-0000-0000-0000BB300000}"/>
    <cellStyle name="Normal 2 5 2 2 2 2 2 2 2 2 2" xfId="33487" xr:uid="{00000000-0005-0000-0000-0000BC300000}"/>
    <cellStyle name="Normal 2 5 2 2 2 2 2 2 2 3" xfId="26522" xr:uid="{00000000-0005-0000-0000-0000BD300000}"/>
    <cellStyle name="Normal 2 5 2 2 2 2 2 2 3" xfId="13251" xr:uid="{00000000-0005-0000-0000-0000BE300000}"/>
    <cellStyle name="Normal 2 5 2 2 2 2 2 2 3 2" xfId="29826" xr:uid="{00000000-0005-0000-0000-0000BF300000}"/>
    <cellStyle name="Normal 2 5 2 2 2 2 2 2 4" xfId="23222" xr:uid="{00000000-0005-0000-0000-0000C0300000}"/>
    <cellStyle name="Normal 2 5 2 2 2 2 2 3" xfId="8288" xr:uid="{00000000-0005-0000-0000-0000C1300000}"/>
    <cellStyle name="Normal 2 5 2 2 2 2 2 3 2" xfId="15551" xr:uid="{00000000-0005-0000-0000-0000C2300000}"/>
    <cellStyle name="Normal 2 5 2 2 2 2 2 3 2 2" xfId="31866" xr:uid="{00000000-0005-0000-0000-0000C3300000}"/>
    <cellStyle name="Normal 2 5 2 2 2 2 2 3 3" xfId="24901" xr:uid="{00000000-0005-0000-0000-0000C4300000}"/>
    <cellStyle name="Normal 2 5 2 2 2 2 2 4" xfId="11603" xr:uid="{00000000-0005-0000-0000-0000C5300000}"/>
    <cellStyle name="Normal 2 5 2 2 2 2 2 4 2" xfId="28201" xr:uid="{00000000-0005-0000-0000-0000C6300000}"/>
    <cellStyle name="Normal 2 5 2 2 2 2 2 5" xfId="3947" xr:uid="{00000000-0005-0000-0000-0000C7300000}"/>
    <cellStyle name="Normal 2 5 2 2 2 2 2 5 2" xfId="20670" xr:uid="{00000000-0005-0000-0000-0000C8300000}"/>
    <cellStyle name="Normal 2 5 2 2 2 2 2 6" xfId="19074" xr:uid="{00000000-0005-0000-0000-0000C9300000}"/>
    <cellStyle name="Normal 2 5 2 2 2 2 3" xfId="2342" xr:uid="{00000000-0005-0000-0000-0000CA300000}"/>
    <cellStyle name="Normal 2 5 2 2 2 2 3 2" xfId="9133" xr:uid="{00000000-0005-0000-0000-0000CB300000}"/>
    <cellStyle name="Normal 2 5 2 2 2 2 3 2 2" xfId="16396" xr:uid="{00000000-0005-0000-0000-0000CC300000}"/>
    <cellStyle name="Normal 2 5 2 2 2 2 3 2 2 2" xfId="32711" xr:uid="{00000000-0005-0000-0000-0000CD300000}"/>
    <cellStyle name="Normal 2 5 2 2 2 2 3 2 3" xfId="25746" xr:uid="{00000000-0005-0000-0000-0000CE300000}"/>
    <cellStyle name="Normal 2 5 2 2 2 2 3 3" xfId="12475" xr:uid="{00000000-0005-0000-0000-0000CF300000}"/>
    <cellStyle name="Normal 2 5 2 2 2 2 3 3 2" xfId="29050" xr:uid="{00000000-0005-0000-0000-0000D0300000}"/>
    <cellStyle name="Normal 2 5 2 2 2 2 3 4" xfId="5782" xr:uid="{00000000-0005-0000-0000-0000D1300000}"/>
    <cellStyle name="Normal 2 5 2 2 2 2 3 4 2" xfId="22446" xr:uid="{00000000-0005-0000-0000-0000D2300000}"/>
    <cellStyle name="Normal 2 5 2 2 2 2 3 5" xfId="19073" xr:uid="{00000000-0005-0000-0000-0000D3300000}"/>
    <cellStyle name="Normal 2 5 2 2 2 2 4" xfId="7512" xr:uid="{00000000-0005-0000-0000-0000D4300000}"/>
    <cellStyle name="Normal 2 5 2 2 2 2 4 2" xfId="14775" xr:uid="{00000000-0005-0000-0000-0000D5300000}"/>
    <cellStyle name="Normal 2 5 2 2 2 2 4 2 2" xfId="31090" xr:uid="{00000000-0005-0000-0000-0000D6300000}"/>
    <cellStyle name="Normal 2 5 2 2 2 2 4 3" xfId="24125" xr:uid="{00000000-0005-0000-0000-0000D7300000}"/>
    <cellStyle name="Normal 2 5 2 2 2 2 5" xfId="10827" xr:uid="{00000000-0005-0000-0000-0000D8300000}"/>
    <cellStyle name="Normal 2 5 2 2 2 2 5 2" xfId="27425" xr:uid="{00000000-0005-0000-0000-0000D9300000}"/>
    <cellStyle name="Normal 2 5 2 2 2 2 6" xfId="3946" xr:uid="{00000000-0005-0000-0000-0000DA300000}"/>
    <cellStyle name="Normal 2 5 2 2 2 2 6 2" xfId="20669" xr:uid="{00000000-0005-0000-0000-0000DB300000}"/>
    <cellStyle name="Normal 2 5 2 2 2 2 7" xfId="18399" xr:uid="{00000000-0005-0000-0000-0000DC300000}"/>
    <cellStyle name="Normal 2 5 2 2 2 3" xfId="2344" xr:uid="{00000000-0005-0000-0000-0000DD300000}"/>
    <cellStyle name="Normal 2 5 2 2 2 3 2" xfId="6188" xr:uid="{00000000-0005-0000-0000-0000DE300000}"/>
    <cellStyle name="Normal 2 5 2 2 2 3 2 2" xfId="9539" xr:uid="{00000000-0005-0000-0000-0000DF300000}"/>
    <cellStyle name="Normal 2 5 2 2 2 3 2 2 2" xfId="16802" xr:uid="{00000000-0005-0000-0000-0000E0300000}"/>
    <cellStyle name="Normal 2 5 2 2 2 3 2 2 2 2" xfId="33117" xr:uid="{00000000-0005-0000-0000-0000E1300000}"/>
    <cellStyle name="Normal 2 5 2 2 2 3 2 2 3" xfId="26152" xr:uid="{00000000-0005-0000-0000-0000E2300000}"/>
    <cellStyle name="Normal 2 5 2 2 2 3 2 3" xfId="12881" xr:uid="{00000000-0005-0000-0000-0000E3300000}"/>
    <cellStyle name="Normal 2 5 2 2 2 3 2 3 2" xfId="29456" xr:uid="{00000000-0005-0000-0000-0000E4300000}"/>
    <cellStyle name="Normal 2 5 2 2 2 3 2 4" xfId="22852" xr:uid="{00000000-0005-0000-0000-0000E5300000}"/>
    <cellStyle name="Normal 2 5 2 2 2 3 3" xfId="7918" xr:uid="{00000000-0005-0000-0000-0000E6300000}"/>
    <cellStyle name="Normal 2 5 2 2 2 3 3 2" xfId="15181" xr:uid="{00000000-0005-0000-0000-0000E7300000}"/>
    <cellStyle name="Normal 2 5 2 2 2 3 3 2 2" xfId="31496" xr:uid="{00000000-0005-0000-0000-0000E8300000}"/>
    <cellStyle name="Normal 2 5 2 2 2 3 3 3" xfId="24531" xr:uid="{00000000-0005-0000-0000-0000E9300000}"/>
    <cellStyle name="Normal 2 5 2 2 2 3 4" xfId="11233" xr:uid="{00000000-0005-0000-0000-0000EA300000}"/>
    <cellStyle name="Normal 2 5 2 2 2 3 4 2" xfId="27831" xr:uid="{00000000-0005-0000-0000-0000EB300000}"/>
    <cellStyle name="Normal 2 5 2 2 2 3 5" xfId="3948" xr:uid="{00000000-0005-0000-0000-0000EC300000}"/>
    <cellStyle name="Normal 2 5 2 2 2 3 5 2" xfId="20671" xr:uid="{00000000-0005-0000-0000-0000ED300000}"/>
    <cellStyle name="Normal 2 5 2 2 2 3 6" xfId="19075" xr:uid="{00000000-0005-0000-0000-0000EE300000}"/>
    <cellStyle name="Normal 2 5 2 2 2 4" xfId="2341" xr:uid="{00000000-0005-0000-0000-0000EF300000}"/>
    <cellStyle name="Normal 2 5 2 2 2 4 2" xfId="8726" xr:uid="{00000000-0005-0000-0000-0000F0300000}"/>
    <cellStyle name="Normal 2 5 2 2 2 4 2 2" xfId="15989" xr:uid="{00000000-0005-0000-0000-0000F1300000}"/>
    <cellStyle name="Normal 2 5 2 2 2 4 2 2 2" xfId="32304" xr:uid="{00000000-0005-0000-0000-0000F2300000}"/>
    <cellStyle name="Normal 2 5 2 2 2 4 2 3" xfId="25339" xr:uid="{00000000-0005-0000-0000-0000F3300000}"/>
    <cellStyle name="Normal 2 5 2 2 2 4 3" xfId="12068" xr:uid="{00000000-0005-0000-0000-0000F4300000}"/>
    <cellStyle name="Normal 2 5 2 2 2 4 3 2" xfId="28643" xr:uid="{00000000-0005-0000-0000-0000F5300000}"/>
    <cellStyle name="Normal 2 5 2 2 2 4 4" xfId="5375" xr:uid="{00000000-0005-0000-0000-0000F6300000}"/>
    <cellStyle name="Normal 2 5 2 2 2 4 4 2" xfId="22039" xr:uid="{00000000-0005-0000-0000-0000F7300000}"/>
    <cellStyle name="Normal 2 5 2 2 2 4 5" xfId="19072" xr:uid="{00000000-0005-0000-0000-0000F8300000}"/>
    <cellStyle name="Normal 2 5 2 2 2 5" xfId="7106" xr:uid="{00000000-0005-0000-0000-0000F9300000}"/>
    <cellStyle name="Normal 2 5 2 2 2 5 2" xfId="14369" xr:uid="{00000000-0005-0000-0000-0000FA300000}"/>
    <cellStyle name="Normal 2 5 2 2 2 5 2 2" xfId="30684" xr:uid="{00000000-0005-0000-0000-0000FB300000}"/>
    <cellStyle name="Normal 2 5 2 2 2 5 3" xfId="23719" xr:uid="{00000000-0005-0000-0000-0000FC300000}"/>
    <cellStyle name="Normal 2 5 2 2 2 6" xfId="10421" xr:uid="{00000000-0005-0000-0000-0000FD300000}"/>
    <cellStyle name="Normal 2 5 2 2 2 6 2" xfId="27019" xr:uid="{00000000-0005-0000-0000-0000FE300000}"/>
    <cellStyle name="Normal 2 5 2 2 2 7" xfId="3945" xr:uid="{00000000-0005-0000-0000-0000FF300000}"/>
    <cellStyle name="Normal 2 5 2 2 2 7 2" xfId="20668" xr:uid="{00000000-0005-0000-0000-000000310000}"/>
    <cellStyle name="Normal 2 5 2 2 2 8" xfId="17880" xr:uid="{00000000-0005-0000-0000-000001310000}"/>
    <cellStyle name="Normal 2 5 2 2 3" xfId="1597" xr:uid="{00000000-0005-0000-0000-000002310000}"/>
    <cellStyle name="Normal 2 5 2 2 3 2" xfId="2346" xr:uid="{00000000-0005-0000-0000-000003310000}"/>
    <cellStyle name="Normal 2 5 2 2 3 2 2" xfId="6382" xr:uid="{00000000-0005-0000-0000-000004310000}"/>
    <cellStyle name="Normal 2 5 2 2 3 2 2 2" xfId="9733" xr:uid="{00000000-0005-0000-0000-000005310000}"/>
    <cellStyle name="Normal 2 5 2 2 3 2 2 2 2" xfId="16996" xr:uid="{00000000-0005-0000-0000-000006310000}"/>
    <cellStyle name="Normal 2 5 2 2 3 2 2 2 2 2" xfId="33311" xr:uid="{00000000-0005-0000-0000-000007310000}"/>
    <cellStyle name="Normal 2 5 2 2 3 2 2 2 3" xfId="26346" xr:uid="{00000000-0005-0000-0000-000008310000}"/>
    <cellStyle name="Normal 2 5 2 2 3 2 2 3" xfId="13075" xr:uid="{00000000-0005-0000-0000-000009310000}"/>
    <cellStyle name="Normal 2 5 2 2 3 2 2 3 2" xfId="29650" xr:uid="{00000000-0005-0000-0000-00000A310000}"/>
    <cellStyle name="Normal 2 5 2 2 3 2 2 4" xfId="23046" xr:uid="{00000000-0005-0000-0000-00000B310000}"/>
    <cellStyle name="Normal 2 5 2 2 3 2 3" xfId="8112" xr:uid="{00000000-0005-0000-0000-00000C310000}"/>
    <cellStyle name="Normal 2 5 2 2 3 2 3 2" xfId="15375" xr:uid="{00000000-0005-0000-0000-00000D310000}"/>
    <cellStyle name="Normal 2 5 2 2 3 2 3 2 2" xfId="31690" xr:uid="{00000000-0005-0000-0000-00000E310000}"/>
    <cellStyle name="Normal 2 5 2 2 3 2 3 3" xfId="24725" xr:uid="{00000000-0005-0000-0000-00000F310000}"/>
    <cellStyle name="Normal 2 5 2 2 3 2 4" xfId="11427" xr:uid="{00000000-0005-0000-0000-000010310000}"/>
    <cellStyle name="Normal 2 5 2 2 3 2 4 2" xfId="28025" xr:uid="{00000000-0005-0000-0000-000011310000}"/>
    <cellStyle name="Normal 2 5 2 2 3 2 5" xfId="3950" xr:uid="{00000000-0005-0000-0000-000012310000}"/>
    <cellStyle name="Normal 2 5 2 2 3 2 5 2" xfId="20673" xr:uid="{00000000-0005-0000-0000-000013310000}"/>
    <cellStyle name="Normal 2 5 2 2 3 2 6" xfId="19077" xr:uid="{00000000-0005-0000-0000-000014310000}"/>
    <cellStyle name="Normal 2 5 2 2 3 3" xfId="2345" xr:uid="{00000000-0005-0000-0000-000015310000}"/>
    <cellStyle name="Normal 2 5 2 2 3 3 2" xfId="8921" xr:uid="{00000000-0005-0000-0000-000016310000}"/>
    <cellStyle name="Normal 2 5 2 2 3 3 2 2" xfId="16184" xr:uid="{00000000-0005-0000-0000-000017310000}"/>
    <cellStyle name="Normal 2 5 2 2 3 3 2 2 2" xfId="32499" xr:uid="{00000000-0005-0000-0000-000018310000}"/>
    <cellStyle name="Normal 2 5 2 2 3 3 2 3" xfId="25534" xr:uid="{00000000-0005-0000-0000-000019310000}"/>
    <cellStyle name="Normal 2 5 2 2 3 3 3" xfId="12263" xr:uid="{00000000-0005-0000-0000-00001A310000}"/>
    <cellStyle name="Normal 2 5 2 2 3 3 3 2" xfId="28838" xr:uid="{00000000-0005-0000-0000-00001B310000}"/>
    <cellStyle name="Normal 2 5 2 2 3 3 4" xfId="5570" xr:uid="{00000000-0005-0000-0000-00001C310000}"/>
    <cellStyle name="Normal 2 5 2 2 3 3 4 2" xfId="22234" xr:uid="{00000000-0005-0000-0000-00001D310000}"/>
    <cellStyle name="Normal 2 5 2 2 3 3 5" xfId="19076" xr:uid="{00000000-0005-0000-0000-00001E310000}"/>
    <cellStyle name="Normal 2 5 2 2 3 4" xfId="7300" xr:uid="{00000000-0005-0000-0000-00001F310000}"/>
    <cellStyle name="Normal 2 5 2 2 3 4 2" xfId="14563" xr:uid="{00000000-0005-0000-0000-000020310000}"/>
    <cellStyle name="Normal 2 5 2 2 3 4 2 2" xfId="30878" xr:uid="{00000000-0005-0000-0000-000021310000}"/>
    <cellStyle name="Normal 2 5 2 2 3 4 3" xfId="23913" xr:uid="{00000000-0005-0000-0000-000022310000}"/>
    <cellStyle name="Normal 2 5 2 2 3 5" xfId="10615" xr:uid="{00000000-0005-0000-0000-000023310000}"/>
    <cellStyle name="Normal 2 5 2 2 3 5 2" xfId="27213" xr:uid="{00000000-0005-0000-0000-000024310000}"/>
    <cellStyle name="Normal 2 5 2 2 3 6" xfId="3949" xr:uid="{00000000-0005-0000-0000-000025310000}"/>
    <cellStyle name="Normal 2 5 2 2 3 6 2" xfId="20672" xr:uid="{00000000-0005-0000-0000-000026310000}"/>
    <cellStyle name="Normal 2 5 2 2 3 7" xfId="18332" xr:uid="{00000000-0005-0000-0000-000027310000}"/>
    <cellStyle name="Normal 2 5 2 2 4" xfId="2347" xr:uid="{00000000-0005-0000-0000-000028310000}"/>
    <cellStyle name="Normal 2 5 2 2 4 2" xfId="5976" xr:uid="{00000000-0005-0000-0000-000029310000}"/>
    <cellStyle name="Normal 2 5 2 2 4 2 2" xfId="9327" xr:uid="{00000000-0005-0000-0000-00002A310000}"/>
    <cellStyle name="Normal 2 5 2 2 4 2 2 2" xfId="16590" xr:uid="{00000000-0005-0000-0000-00002B310000}"/>
    <cellStyle name="Normal 2 5 2 2 4 2 2 2 2" xfId="32905" xr:uid="{00000000-0005-0000-0000-00002C310000}"/>
    <cellStyle name="Normal 2 5 2 2 4 2 2 3" xfId="25940" xr:uid="{00000000-0005-0000-0000-00002D310000}"/>
    <cellStyle name="Normal 2 5 2 2 4 2 3" xfId="12669" xr:uid="{00000000-0005-0000-0000-00002E310000}"/>
    <cellStyle name="Normal 2 5 2 2 4 2 3 2" xfId="29244" xr:uid="{00000000-0005-0000-0000-00002F310000}"/>
    <cellStyle name="Normal 2 5 2 2 4 2 4" xfId="22640" xr:uid="{00000000-0005-0000-0000-000030310000}"/>
    <cellStyle name="Normal 2 5 2 2 4 3" xfId="7706" xr:uid="{00000000-0005-0000-0000-000031310000}"/>
    <cellStyle name="Normal 2 5 2 2 4 3 2" xfId="14969" xr:uid="{00000000-0005-0000-0000-000032310000}"/>
    <cellStyle name="Normal 2 5 2 2 4 3 2 2" xfId="31284" xr:uid="{00000000-0005-0000-0000-000033310000}"/>
    <cellStyle name="Normal 2 5 2 2 4 3 3" xfId="24319" xr:uid="{00000000-0005-0000-0000-000034310000}"/>
    <cellStyle name="Normal 2 5 2 2 4 4" xfId="11021" xr:uid="{00000000-0005-0000-0000-000035310000}"/>
    <cellStyle name="Normal 2 5 2 2 4 4 2" xfId="27619" xr:uid="{00000000-0005-0000-0000-000036310000}"/>
    <cellStyle name="Normal 2 5 2 2 4 5" xfId="3951" xr:uid="{00000000-0005-0000-0000-000037310000}"/>
    <cellStyle name="Normal 2 5 2 2 4 5 2" xfId="20674" xr:uid="{00000000-0005-0000-0000-000038310000}"/>
    <cellStyle name="Normal 2 5 2 2 4 6" xfId="19078" xr:uid="{00000000-0005-0000-0000-000039310000}"/>
    <cellStyle name="Normal 2 5 2 2 5" xfId="2340" xr:uid="{00000000-0005-0000-0000-00003A310000}"/>
    <cellStyle name="Normal 2 5 2 2 5 2" xfId="8658" xr:uid="{00000000-0005-0000-0000-00003B310000}"/>
    <cellStyle name="Normal 2 5 2 2 5 2 2" xfId="15921" xr:uid="{00000000-0005-0000-0000-00003C310000}"/>
    <cellStyle name="Normal 2 5 2 2 5 2 2 2" xfId="32236" xr:uid="{00000000-0005-0000-0000-00003D310000}"/>
    <cellStyle name="Normal 2 5 2 2 5 2 3" xfId="25271" xr:uid="{00000000-0005-0000-0000-00003E310000}"/>
    <cellStyle name="Normal 2 5 2 2 5 3" xfId="12000" xr:uid="{00000000-0005-0000-0000-00003F310000}"/>
    <cellStyle name="Normal 2 5 2 2 5 3 2" xfId="28575" xr:uid="{00000000-0005-0000-0000-000040310000}"/>
    <cellStyle name="Normal 2 5 2 2 5 4" xfId="5307" xr:uid="{00000000-0005-0000-0000-000041310000}"/>
    <cellStyle name="Normal 2 5 2 2 5 4 2" xfId="21971" xr:uid="{00000000-0005-0000-0000-000042310000}"/>
    <cellStyle name="Normal 2 5 2 2 5 5" xfId="19071" xr:uid="{00000000-0005-0000-0000-000043310000}"/>
    <cellStyle name="Normal 2 5 2 2 6" xfId="7039" xr:uid="{00000000-0005-0000-0000-000044310000}"/>
    <cellStyle name="Normal 2 5 2 2 6 2" xfId="14302" xr:uid="{00000000-0005-0000-0000-000045310000}"/>
    <cellStyle name="Normal 2 5 2 2 6 2 2" xfId="30617" xr:uid="{00000000-0005-0000-0000-000046310000}"/>
    <cellStyle name="Normal 2 5 2 2 6 3" xfId="23652" xr:uid="{00000000-0005-0000-0000-000047310000}"/>
    <cellStyle name="Normal 2 5 2 2 7" xfId="10353" xr:uid="{00000000-0005-0000-0000-000048310000}"/>
    <cellStyle name="Normal 2 5 2 2 7 2" xfId="26952" xr:uid="{00000000-0005-0000-0000-000049310000}"/>
    <cellStyle name="Normal 2 5 2 2 8" xfId="3944" xr:uid="{00000000-0005-0000-0000-00004A310000}"/>
    <cellStyle name="Normal 2 5 2 2 8 2" xfId="20667" xr:uid="{00000000-0005-0000-0000-00004B310000}"/>
    <cellStyle name="Normal 2 5 2 2 9" xfId="17813" xr:uid="{00000000-0005-0000-0000-00004C310000}"/>
    <cellStyle name="Normal 2 5 2 3" xfId="1142" xr:uid="{00000000-0005-0000-0000-00004D310000}"/>
    <cellStyle name="Normal 2 5 2 3 2" xfId="1663" xr:uid="{00000000-0005-0000-0000-00004E310000}"/>
    <cellStyle name="Normal 2 5 2 3 2 2" xfId="2350" xr:uid="{00000000-0005-0000-0000-00004F310000}"/>
    <cellStyle name="Normal 2 5 2 3 2 2 2" xfId="6557" xr:uid="{00000000-0005-0000-0000-000050310000}"/>
    <cellStyle name="Normal 2 5 2 3 2 2 2 2" xfId="9908" xr:uid="{00000000-0005-0000-0000-000051310000}"/>
    <cellStyle name="Normal 2 5 2 3 2 2 2 2 2" xfId="17171" xr:uid="{00000000-0005-0000-0000-000052310000}"/>
    <cellStyle name="Normal 2 5 2 3 2 2 2 2 2 2" xfId="33486" xr:uid="{00000000-0005-0000-0000-000053310000}"/>
    <cellStyle name="Normal 2 5 2 3 2 2 2 2 3" xfId="26521" xr:uid="{00000000-0005-0000-0000-000054310000}"/>
    <cellStyle name="Normal 2 5 2 3 2 2 2 3" xfId="13250" xr:uid="{00000000-0005-0000-0000-000055310000}"/>
    <cellStyle name="Normal 2 5 2 3 2 2 2 3 2" xfId="29825" xr:uid="{00000000-0005-0000-0000-000056310000}"/>
    <cellStyle name="Normal 2 5 2 3 2 2 2 4" xfId="23221" xr:uid="{00000000-0005-0000-0000-000057310000}"/>
    <cellStyle name="Normal 2 5 2 3 2 2 3" xfId="8287" xr:uid="{00000000-0005-0000-0000-000058310000}"/>
    <cellStyle name="Normal 2 5 2 3 2 2 3 2" xfId="15550" xr:uid="{00000000-0005-0000-0000-000059310000}"/>
    <cellStyle name="Normal 2 5 2 3 2 2 3 2 2" xfId="31865" xr:uid="{00000000-0005-0000-0000-00005A310000}"/>
    <cellStyle name="Normal 2 5 2 3 2 2 3 3" xfId="24900" xr:uid="{00000000-0005-0000-0000-00005B310000}"/>
    <cellStyle name="Normal 2 5 2 3 2 2 4" xfId="11602" xr:uid="{00000000-0005-0000-0000-00005C310000}"/>
    <cellStyle name="Normal 2 5 2 3 2 2 4 2" xfId="28200" xr:uid="{00000000-0005-0000-0000-00005D310000}"/>
    <cellStyle name="Normal 2 5 2 3 2 2 5" xfId="3954" xr:uid="{00000000-0005-0000-0000-00005E310000}"/>
    <cellStyle name="Normal 2 5 2 3 2 2 5 2" xfId="20677" xr:uid="{00000000-0005-0000-0000-00005F310000}"/>
    <cellStyle name="Normal 2 5 2 3 2 2 6" xfId="19081" xr:uid="{00000000-0005-0000-0000-000060310000}"/>
    <cellStyle name="Normal 2 5 2 3 2 3" xfId="2349" xr:uid="{00000000-0005-0000-0000-000061310000}"/>
    <cellStyle name="Normal 2 5 2 3 2 3 2" xfId="9132" xr:uid="{00000000-0005-0000-0000-000062310000}"/>
    <cellStyle name="Normal 2 5 2 3 2 3 2 2" xfId="16395" xr:uid="{00000000-0005-0000-0000-000063310000}"/>
    <cellStyle name="Normal 2 5 2 3 2 3 2 2 2" xfId="32710" xr:uid="{00000000-0005-0000-0000-000064310000}"/>
    <cellStyle name="Normal 2 5 2 3 2 3 2 3" xfId="25745" xr:uid="{00000000-0005-0000-0000-000065310000}"/>
    <cellStyle name="Normal 2 5 2 3 2 3 3" xfId="12474" xr:uid="{00000000-0005-0000-0000-000066310000}"/>
    <cellStyle name="Normal 2 5 2 3 2 3 3 2" xfId="29049" xr:uid="{00000000-0005-0000-0000-000067310000}"/>
    <cellStyle name="Normal 2 5 2 3 2 3 4" xfId="5781" xr:uid="{00000000-0005-0000-0000-000068310000}"/>
    <cellStyle name="Normal 2 5 2 3 2 3 4 2" xfId="22445" xr:uid="{00000000-0005-0000-0000-000069310000}"/>
    <cellStyle name="Normal 2 5 2 3 2 3 5" xfId="19080" xr:uid="{00000000-0005-0000-0000-00006A310000}"/>
    <cellStyle name="Normal 2 5 2 3 2 4" xfId="7511" xr:uid="{00000000-0005-0000-0000-00006B310000}"/>
    <cellStyle name="Normal 2 5 2 3 2 4 2" xfId="14774" xr:uid="{00000000-0005-0000-0000-00006C310000}"/>
    <cellStyle name="Normal 2 5 2 3 2 4 2 2" xfId="31089" xr:uid="{00000000-0005-0000-0000-00006D310000}"/>
    <cellStyle name="Normal 2 5 2 3 2 4 3" xfId="24124" xr:uid="{00000000-0005-0000-0000-00006E310000}"/>
    <cellStyle name="Normal 2 5 2 3 2 5" xfId="10826" xr:uid="{00000000-0005-0000-0000-00006F310000}"/>
    <cellStyle name="Normal 2 5 2 3 2 5 2" xfId="27424" xr:uid="{00000000-0005-0000-0000-000070310000}"/>
    <cellStyle name="Normal 2 5 2 3 2 6" xfId="3953" xr:uid="{00000000-0005-0000-0000-000071310000}"/>
    <cellStyle name="Normal 2 5 2 3 2 6 2" xfId="20676" xr:uid="{00000000-0005-0000-0000-000072310000}"/>
    <cellStyle name="Normal 2 5 2 3 2 7" xfId="18398" xr:uid="{00000000-0005-0000-0000-000073310000}"/>
    <cellStyle name="Normal 2 5 2 3 3" xfId="2351" xr:uid="{00000000-0005-0000-0000-000074310000}"/>
    <cellStyle name="Normal 2 5 2 3 3 2" xfId="6187" xr:uid="{00000000-0005-0000-0000-000075310000}"/>
    <cellStyle name="Normal 2 5 2 3 3 2 2" xfId="9538" xr:uid="{00000000-0005-0000-0000-000076310000}"/>
    <cellStyle name="Normal 2 5 2 3 3 2 2 2" xfId="16801" xr:uid="{00000000-0005-0000-0000-000077310000}"/>
    <cellStyle name="Normal 2 5 2 3 3 2 2 2 2" xfId="33116" xr:uid="{00000000-0005-0000-0000-000078310000}"/>
    <cellStyle name="Normal 2 5 2 3 3 2 2 3" xfId="26151" xr:uid="{00000000-0005-0000-0000-000079310000}"/>
    <cellStyle name="Normal 2 5 2 3 3 2 3" xfId="12880" xr:uid="{00000000-0005-0000-0000-00007A310000}"/>
    <cellStyle name="Normal 2 5 2 3 3 2 3 2" xfId="29455" xr:uid="{00000000-0005-0000-0000-00007B310000}"/>
    <cellStyle name="Normal 2 5 2 3 3 2 4" xfId="22851" xr:uid="{00000000-0005-0000-0000-00007C310000}"/>
    <cellStyle name="Normal 2 5 2 3 3 3" xfId="7917" xr:uid="{00000000-0005-0000-0000-00007D310000}"/>
    <cellStyle name="Normal 2 5 2 3 3 3 2" xfId="15180" xr:uid="{00000000-0005-0000-0000-00007E310000}"/>
    <cellStyle name="Normal 2 5 2 3 3 3 2 2" xfId="31495" xr:uid="{00000000-0005-0000-0000-00007F310000}"/>
    <cellStyle name="Normal 2 5 2 3 3 3 3" xfId="24530" xr:uid="{00000000-0005-0000-0000-000080310000}"/>
    <cellStyle name="Normal 2 5 2 3 3 4" xfId="11232" xr:uid="{00000000-0005-0000-0000-000081310000}"/>
    <cellStyle name="Normal 2 5 2 3 3 4 2" xfId="27830" xr:uid="{00000000-0005-0000-0000-000082310000}"/>
    <cellStyle name="Normal 2 5 2 3 3 5" xfId="3955" xr:uid="{00000000-0005-0000-0000-000083310000}"/>
    <cellStyle name="Normal 2 5 2 3 3 5 2" xfId="20678" xr:uid="{00000000-0005-0000-0000-000084310000}"/>
    <cellStyle name="Normal 2 5 2 3 3 6" xfId="19082" xr:uid="{00000000-0005-0000-0000-000085310000}"/>
    <cellStyle name="Normal 2 5 2 3 4" xfId="2348" xr:uid="{00000000-0005-0000-0000-000086310000}"/>
    <cellStyle name="Normal 2 5 2 3 4 2" xfId="8725" xr:uid="{00000000-0005-0000-0000-000087310000}"/>
    <cellStyle name="Normal 2 5 2 3 4 2 2" xfId="15988" xr:uid="{00000000-0005-0000-0000-000088310000}"/>
    <cellStyle name="Normal 2 5 2 3 4 2 2 2" xfId="32303" xr:uid="{00000000-0005-0000-0000-000089310000}"/>
    <cellStyle name="Normal 2 5 2 3 4 2 3" xfId="25338" xr:uid="{00000000-0005-0000-0000-00008A310000}"/>
    <cellStyle name="Normal 2 5 2 3 4 3" xfId="12067" xr:uid="{00000000-0005-0000-0000-00008B310000}"/>
    <cellStyle name="Normal 2 5 2 3 4 3 2" xfId="28642" xr:uid="{00000000-0005-0000-0000-00008C310000}"/>
    <cellStyle name="Normal 2 5 2 3 4 4" xfId="5374" xr:uid="{00000000-0005-0000-0000-00008D310000}"/>
    <cellStyle name="Normal 2 5 2 3 4 4 2" xfId="22038" xr:uid="{00000000-0005-0000-0000-00008E310000}"/>
    <cellStyle name="Normal 2 5 2 3 4 5" xfId="19079" xr:uid="{00000000-0005-0000-0000-00008F310000}"/>
    <cellStyle name="Normal 2 5 2 3 5" xfId="7105" xr:uid="{00000000-0005-0000-0000-000090310000}"/>
    <cellStyle name="Normal 2 5 2 3 5 2" xfId="14368" xr:uid="{00000000-0005-0000-0000-000091310000}"/>
    <cellStyle name="Normal 2 5 2 3 5 2 2" xfId="30683" xr:uid="{00000000-0005-0000-0000-000092310000}"/>
    <cellStyle name="Normal 2 5 2 3 5 3" xfId="23718" xr:uid="{00000000-0005-0000-0000-000093310000}"/>
    <cellStyle name="Normal 2 5 2 3 6" xfId="10420" xr:uid="{00000000-0005-0000-0000-000094310000}"/>
    <cellStyle name="Normal 2 5 2 3 6 2" xfId="27018" xr:uid="{00000000-0005-0000-0000-000095310000}"/>
    <cellStyle name="Normal 2 5 2 3 7" xfId="3952" xr:uid="{00000000-0005-0000-0000-000096310000}"/>
    <cellStyle name="Normal 2 5 2 3 7 2" xfId="20675" xr:uid="{00000000-0005-0000-0000-000097310000}"/>
    <cellStyle name="Normal 2 5 2 3 8" xfId="17879" xr:uid="{00000000-0005-0000-0000-000098310000}"/>
    <cellStyle name="Normal 2 5 2 4" xfId="1491" xr:uid="{00000000-0005-0000-0000-000099310000}"/>
    <cellStyle name="Normal 2 5 2 4 2" xfId="2353" xr:uid="{00000000-0005-0000-0000-00009A310000}"/>
    <cellStyle name="Normal 2 5 2 4 2 2" xfId="6381" xr:uid="{00000000-0005-0000-0000-00009B310000}"/>
    <cellStyle name="Normal 2 5 2 4 2 2 2" xfId="9732" xr:uid="{00000000-0005-0000-0000-00009C310000}"/>
    <cellStyle name="Normal 2 5 2 4 2 2 2 2" xfId="16995" xr:uid="{00000000-0005-0000-0000-00009D310000}"/>
    <cellStyle name="Normal 2 5 2 4 2 2 2 2 2" xfId="33310" xr:uid="{00000000-0005-0000-0000-00009E310000}"/>
    <cellStyle name="Normal 2 5 2 4 2 2 2 3" xfId="26345" xr:uid="{00000000-0005-0000-0000-00009F310000}"/>
    <cellStyle name="Normal 2 5 2 4 2 2 3" xfId="13074" xr:uid="{00000000-0005-0000-0000-0000A0310000}"/>
    <cellStyle name="Normal 2 5 2 4 2 2 3 2" xfId="29649" xr:uid="{00000000-0005-0000-0000-0000A1310000}"/>
    <cellStyle name="Normal 2 5 2 4 2 2 4" xfId="23045" xr:uid="{00000000-0005-0000-0000-0000A2310000}"/>
    <cellStyle name="Normal 2 5 2 4 2 3" xfId="8111" xr:uid="{00000000-0005-0000-0000-0000A3310000}"/>
    <cellStyle name="Normal 2 5 2 4 2 3 2" xfId="15374" xr:uid="{00000000-0005-0000-0000-0000A4310000}"/>
    <cellStyle name="Normal 2 5 2 4 2 3 2 2" xfId="31689" xr:uid="{00000000-0005-0000-0000-0000A5310000}"/>
    <cellStyle name="Normal 2 5 2 4 2 3 3" xfId="24724" xr:uid="{00000000-0005-0000-0000-0000A6310000}"/>
    <cellStyle name="Normal 2 5 2 4 2 4" xfId="11426" xr:uid="{00000000-0005-0000-0000-0000A7310000}"/>
    <cellStyle name="Normal 2 5 2 4 2 4 2" xfId="28024" xr:uid="{00000000-0005-0000-0000-0000A8310000}"/>
    <cellStyle name="Normal 2 5 2 4 2 5" xfId="3957" xr:uid="{00000000-0005-0000-0000-0000A9310000}"/>
    <cellStyle name="Normal 2 5 2 4 2 5 2" xfId="20680" xr:uid="{00000000-0005-0000-0000-0000AA310000}"/>
    <cellStyle name="Normal 2 5 2 4 2 6" xfId="19084" xr:uid="{00000000-0005-0000-0000-0000AB310000}"/>
    <cellStyle name="Normal 2 5 2 4 3" xfId="2352" xr:uid="{00000000-0005-0000-0000-0000AC310000}"/>
    <cellStyle name="Normal 2 5 2 4 3 2" xfId="8920" xr:uid="{00000000-0005-0000-0000-0000AD310000}"/>
    <cellStyle name="Normal 2 5 2 4 3 2 2" xfId="16183" xr:uid="{00000000-0005-0000-0000-0000AE310000}"/>
    <cellStyle name="Normal 2 5 2 4 3 2 2 2" xfId="32498" xr:uid="{00000000-0005-0000-0000-0000AF310000}"/>
    <cellStyle name="Normal 2 5 2 4 3 2 3" xfId="25533" xr:uid="{00000000-0005-0000-0000-0000B0310000}"/>
    <cellStyle name="Normal 2 5 2 4 3 3" xfId="12262" xr:uid="{00000000-0005-0000-0000-0000B1310000}"/>
    <cellStyle name="Normal 2 5 2 4 3 3 2" xfId="28837" xr:uid="{00000000-0005-0000-0000-0000B2310000}"/>
    <cellStyle name="Normal 2 5 2 4 3 4" xfId="5569" xr:uid="{00000000-0005-0000-0000-0000B3310000}"/>
    <cellStyle name="Normal 2 5 2 4 3 4 2" xfId="22233" xr:uid="{00000000-0005-0000-0000-0000B4310000}"/>
    <cellStyle name="Normal 2 5 2 4 3 5" xfId="19083" xr:uid="{00000000-0005-0000-0000-0000B5310000}"/>
    <cellStyle name="Normal 2 5 2 4 4" xfId="7299" xr:uid="{00000000-0005-0000-0000-0000B6310000}"/>
    <cellStyle name="Normal 2 5 2 4 4 2" xfId="14562" xr:uid="{00000000-0005-0000-0000-0000B7310000}"/>
    <cellStyle name="Normal 2 5 2 4 4 2 2" xfId="30877" xr:uid="{00000000-0005-0000-0000-0000B8310000}"/>
    <cellStyle name="Normal 2 5 2 4 4 3" xfId="23912" xr:uid="{00000000-0005-0000-0000-0000B9310000}"/>
    <cellStyle name="Normal 2 5 2 4 5" xfId="10614" xr:uid="{00000000-0005-0000-0000-0000BA310000}"/>
    <cellStyle name="Normal 2 5 2 4 5 2" xfId="27212" xr:uid="{00000000-0005-0000-0000-0000BB310000}"/>
    <cellStyle name="Normal 2 5 2 4 6" xfId="3956" xr:uid="{00000000-0005-0000-0000-0000BC310000}"/>
    <cellStyle name="Normal 2 5 2 4 6 2" xfId="20679" xr:uid="{00000000-0005-0000-0000-0000BD310000}"/>
    <cellStyle name="Normal 2 5 2 4 7" xfId="18226" xr:uid="{00000000-0005-0000-0000-0000BE310000}"/>
    <cellStyle name="Normal 2 5 2 5" xfId="2354" xr:uid="{00000000-0005-0000-0000-0000BF310000}"/>
    <cellStyle name="Normal 2 5 2 5 2" xfId="5975" xr:uid="{00000000-0005-0000-0000-0000C0310000}"/>
    <cellStyle name="Normal 2 5 2 5 2 2" xfId="9326" xr:uid="{00000000-0005-0000-0000-0000C1310000}"/>
    <cellStyle name="Normal 2 5 2 5 2 2 2" xfId="16589" xr:uid="{00000000-0005-0000-0000-0000C2310000}"/>
    <cellStyle name="Normal 2 5 2 5 2 2 2 2" xfId="32904" xr:uid="{00000000-0005-0000-0000-0000C3310000}"/>
    <cellStyle name="Normal 2 5 2 5 2 2 3" xfId="25939" xr:uid="{00000000-0005-0000-0000-0000C4310000}"/>
    <cellStyle name="Normal 2 5 2 5 2 3" xfId="12668" xr:uid="{00000000-0005-0000-0000-0000C5310000}"/>
    <cellStyle name="Normal 2 5 2 5 2 3 2" xfId="29243" xr:uid="{00000000-0005-0000-0000-0000C6310000}"/>
    <cellStyle name="Normal 2 5 2 5 2 4" xfId="22639" xr:uid="{00000000-0005-0000-0000-0000C7310000}"/>
    <cellStyle name="Normal 2 5 2 5 3" xfId="7705" xr:uid="{00000000-0005-0000-0000-0000C8310000}"/>
    <cellStyle name="Normal 2 5 2 5 3 2" xfId="14968" xr:uid="{00000000-0005-0000-0000-0000C9310000}"/>
    <cellStyle name="Normal 2 5 2 5 3 2 2" xfId="31283" xr:uid="{00000000-0005-0000-0000-0000CA310000}"/>
    <cellStyle name="Normal 2 5 2 5 3 3" xfId="24318" xr:uid="{00000000-0005-0000-0000-0000CB310000}"/>
    <cellStyle name="Normal 2 5 2 5 4" xfId="11020" xr:uid="{00000000-0005-0000-0000-0000CC310000}"/>
    <cellStyle name="Normal 2 5 2 5 4 2" xfId="27618" xr:uid="{00000000-0005-0000-0000-0000CD310000}"/>
    <cellStyle name="Normal 2 5 2 5 5" xfId="3958" xr:uid="{00000000-0005-0000-0000-0000CE310000}"/>
    <cellStyle name="Normal 2 5 2 5 5 2" xfId="20681" xr:uid="{00000000-0005-0000-0000-0000CF310000}"/>
    <cellStyle name="Normal 2 5 2 5 6" xfId="19085" xr:uid="{00000000-0005-0000-0000-0000D0310000}"/>
    <cellStyle name="Normal 2 5 2 6" xfId="2339" xr:uid="{00000000-0005-0000-0000-0000D1310000}"/>
    <cellStyle name="Normal 2 5 2 6 2" xfId="8552" xr:uid="{00000000-0005-0000-0000-0000D2310000}"/>
    <cellStyle name="Normal 2 5 2 6 2 2" xfId="15815" xr:uid="{00000000-0005-0000-0000-0000D3310000}"/>
    <cellStyle name="Normal 2 5 2 6 2 2 2" xfId="32130" xr:uid="{00000000-0005-0000-0000-0000D4310000}"/>
    <cellStyle name="Normal 2 5 2 6 2 3" xfId="25165" xr:uid="{00000000-0005-0000-0000-0000D5310000}"/>
    <cellStyle name="Normal 2 5 2 6 3" xfId="11894" xr:uid="{00000000-0005-0000-0000-0000D6310000}"/>
    <cellStyle name="Normal 2 5 2 6 3 2" xfId="28469" xr:uid="{00000000-0005-0000-0000-0000D7310000}"/>
    <cellStyle name="Normal 2 5 2 6 4" xfId="5201" xr:uid="{00000000-0005-0000-0000-0000D8310000}"/>
    <cellStyle name="Normal 2 5 2 6 4 2" xfId="21865" xr:uid="{00000000-0005-0000-0000-0000D9310000}"/>
    <cellStyle name="Normal 2 5 2 6 5" xfId="19070" xr:uid="{00000000-0005-0000-0000-0000DA310000}"/>
    <cellStyle name="Normal 2 5 2 7" xfId="6933" xr:uid="{00000000-0005-0000-0000-0000DB310000}"/>
    <cellStyle name="Normal 2 5 2 7 2" xfId="14196" xr:uid="{00000000-0005-0000-0000-0000DC310000}"/>
    <cellStyle name="Normal 2 5 2 7 2 2" xfId="30511" xr:uid="{00000000-0005-0000-0000-0000DD310000}"/>
    <cellStyle name="Normal 2 5 2 7 3" xfId="23546" xr:uid="{00000000-0005-0000-0000-0000DE310000}"/>
    <cellStyle name="Normal 2 5 2 8" xfId="10247" xr:uid="{00000000-0005-0000-0000-0000DF310000}"/>
    <cellStyle name="Normal 2 5 2 8 2" xfId="26846" xr:uid="{00000000-0005-0000-0000-0000E0310000}"/>
    <cellStyle name="Normal 2 5 2 9" xfId="3943" xr:uid="{00000000-0005-0000-0000-0000E1310000}"/>
    <cellStyle name="Normal 2 5 2 9 2" xfId="20666" xr:uid="{00000000-0005-0000-0000-0000E2310000}"/>
    <cellStyle name="Normal 2 5 3" xfId="983" xr:uid="{00000000-0005-0000-0000-0000E3310000}"/>
    <cellStyle name="Normal 2 5 3 2" xfId="1144" xr:uid="{00000000-0005-0000-0000-0000E4310000}"/>
    <cellStyle name="Normal 2 5 3 2 2" xfId="1665" xr:uid="{00000000-0005-0000-0000-0000E5310000}"/>
    <cellStyle name="Normal 2 5 3 2 2 2" xfId="2358" xr:uid="{00000000-0005-0000-0000-0000E6310000}"/>
    <cellStyle name="Normal 2 5 3 2 2 2 2" xfId="6559" xr:uid="{00000000-0005-0000-0000-0000E7310000}"/>
    <cellStyle name="Normal 2 5 3 2 2 2 2 2" xfId="9910" xr:uid="{00000000-0005-0000-0000-0000E8310000}"/>
    <cellStyle name="Normal 2 5 3 2 2 2 2 2 2" xfId="17173" xr:uid="{00000000-0005-0000-0000-0000E9310000}"/>
    <cellStyle name="Normal 2 5 3 2 2 2 2 2 2 2" xfId="33488" xr:uid="{00000000-0005-0000-0000-0000EA310000}"/>
    <cellStyle name="Normal 2 5 3 2 2 2 2 2 3" xfId="26523" xr:uid="{00000000-0005-0000-0000-0000EB310000}"/>
    <cellStyle name="Normal 2 5 3 2 2 2 2 3" xfId="13252" xr:uid="{00000000-0005-0000-0000-0000EC310000}"/>
    <cellStyle name="Normal 2 5 3 2 2 2 2 3 2" xfId="29827" xr:uid="{00000000-0005-0000-0000-0000ED310000}"/>
    <cellStyle name="Normal 2 5 3 2 2 2 2 4" xfId="23223" xr:uid="{00000000-0005-0000-0000-0000EE310000}"/>
    <cellStyle name="Normal 2 5 3 2 2 2 3" xfId="8289" xr:uid="{00000000-0005-0000-0000-0000EF310000}"/>
    <cellStyle name="Normal 2 5 3 2 2 2 3 2" xfId="15552" xr:uid="{00000000-0005-0000-0000-0000F0310000}"/>
    <cellStyle name="Normal 2 5 3 2 2 2 3 2 2" xfId="31867" xr:uid="{00000000-0005-0000-0000-0000F1310000}"/>
    <cellStyle name="Normal 2 5 3 2 2 2 3 3" xfId="24902" xr:uid="{00000000-0005-0000-0000-0000F2310000}"/>
    <cellStyle name="Normal 2 5 3 2 2 2 4" xfId="11604" xr:uid="{00000000-0005-0000-0000-0000F3310000}"/>
    <cellStyle name="Normal 2 5 3 2 2 2 4 2" xfId="28202" xr:uid="{00000000-0005-0000-0000-0000F4310000}"/>
    <cellStyle name="Normal 2 5 3 2 2 2 5" xfId="3962" xr:uid="{00000000-0005-0000-0000-0000F5310000}"/>
    <cellStyle name="Normal 2 5 3 2 2 2 5 2" xfId="20685" xr:uid="{00000000-0005-0000-0000-0000F6310000}"/>
    <cellStyle name="Normal 2 5 3 2 2 2 6" xfId="19089" xr:uid="{00000000-0005-0000-0000-0000F7310000}"/>
    <cellStyle name="Normal 2 5 3 2 2 3" xfId="2357" xr:uid="{00000000-0005-0000-0000-0000F8310000}"/>
    <cellStyle name="Normal 2 5 3 2 2 3 2" xfId="9134" xr:uid="{00000000-0005-0000-0000-0000F9310000}"/>
    <cellStyle name="Normal 2 5 3 2 2 3 2 2" xfId="16397" xr:uid="{00000000-0005-0000-0000-0000FA310000}"/>
    <cellStyle name="Normal 2 5 3 2 2 3 2 2 2" xfId="32712" xr:uid="{00000000-0005-0000-0000-0000FB310000}"/>
    <cellStyle name="Normal 2 5 3 2 2 3 2 3" xfId="25747" xr:uid="{00000000-0005-0000-0000-0000FC310000}"/>
    <cellStyle name="Normal 2 5 3 2 2 3 3" xfId="12476" xr:uid="{00000000-0005-0000-0000-0000FD310000}"/>
    <cellStyle name="Normal 2 5 3 2 2 3 3 2" xfId="29051" xr:uid="{00000000-0005-0000-0000-0000FE310000}"/>
    <cellStyle name="Normal 2 5 3 2 2 3 4" xfId="5783" xr:uid="{00000000-0005-0000-0000-0000FF310000}"/>
    <cellStyle name="Normal 2 5 3 2 2 3 4 2" xfId="22447" xr:uid="{00000000-0005-0000-0000-000000320000}"/>
    <cellStyle name="Normal 2 5 3 2 2 3 5" xfId="19088" xr:uid="{00000000-0005-0000-0000-000001320000}"/>
    <cellStyle name="Normal 2 5 3 2 2 4" xfId="7513" xr:uid="{00000000-0005-0000-0000-000002320000}"/>
    <cellStyle name="Normal 2 5 3 2 2 4 2" xfId="14776" xr:uid="{00000000-0005-0000-0000-000003320000}"/>
    <cellStyle name="Normal 2 5 3 2 2 4 2 2" xfId="31091" xr:uid="{00000000-0005-0000-0000-000004320000}"/>
    <cellStyle name="Normal 2 5 3 2 2 4 3" xfId="24126" xr:uid="{00000000-0005-0000-0000-000005320000}"/>
    <cellStyle name="Normal 2 5 3 2 2 5" xfId="10828" xr:uid="{00000000-0005-0000-0000-000006320000}"/>
    <cellStyle name="Normal 2 5 3 2 2 5 2" xfId="27426" xr:uid="{00000000-0005-0000-0000-000007320000}"/>
    <cellStyle name="Normal 2 5 3 2 2 6" xfId="3961" xr:uid="{00000000-0005-0000-0000-000008320000}"/>
    <cellStyle name="Normal 2 5 3 2 2 6 2" xfId="20684" xr:uid="{00000000-0005-0000-0000-000009320000}"/>
    <cellStyle name="Normal 2 5 3 2 2 7" xfId="18400" xr:uid="{00000000-0005-0000-0000-00000A320000}"/>
    <cellStyle name="Normal 2 5 3 2 3" xfId="2359" xr:uid="{00000000-0005-0000-0000-00000B320000}"/>
    <cellStyle name="Normal 2 5 3 2 3 2" xfId="6189" xr:uid="{00000000-0005-0000-0000-00000C320000}"/>
    <cellStyle name="Normal 2 5 3 2 3 2 2" xfId="9540" xr:uid="{00000000-0005-0000-0000-00000D320000}"/>
    <cellStyle name="Normal 2 5 3 2 3 2 2 2" xfId="16803" xr:uid="{00000000-0005-0000-0000-00000E320000}"/>
    <cellStyle name="Normal 2 5 3 2 3 2 2 2 2" xfId="33118" xr:uid="{00000000-0005-0000-0000-00000F320000}"/>
    <cellStyle name="Normal 2 5 3 2 3 2 2 3" xfId="26153" xr:uid="{00000000-0005-0000-0000-000010320000}"/>
    <cellStyle name="Normal 2 5 3 2 3 2 3" xfId="12882" xr:uid="{00000000-0005-0000-0000-000011320000}"/>
    <cellStyle name="Normal 2 5 3 2 3 2 3 2" xfId="29457" xr:uid="{00000000-0005-0000-0000-000012320000}"/>
    <cellStyle name="Normal 2 5 3 2 3 2 4" xfId="22853" xr:uid="{00000000-0005-0000-0000-000013320000}"/>
    <cellStyle name="Normal 2 5 3 2 3 3" xfId="7919" xr:uid="{00000000-0005-0000-0000-000014320000}"/>
    <cellStyle name="Normal 2 5 3 2 3 3 2" xfId="15182" xr:uid="{00000000-0005-0000-0000-000015320000}"/>
    <cellStyle name="Normal 2 5 3 2 3 3 2 2" xfId="31497" xr:uid="{00000000-0005-0000-0000-000016320000}"/>
    <cellStyle name="Normal 2 5 3 2 3 3 3" xfId="24532" xr:uid="{00000000-0005-0000-0000-000017320000}"/>
    <cellStyle name="Normal 2 5 3 2 3 4" xfId="11234" xr:uid="{00000000-0005-0000-0000-000018320000}"/>
    <cellStyle name="Normal 2 5 3 2 3 4 2" xfId="27832" xr:uid="{00000000-0005-0000-0000-000019320000}"/>
    <cellStyle name="Normal 2 5 3 2 3 5" xfId="3963" xr:uid="{00000000-0005-0000-0000-00001A320000}"/>
    <cellStyle name="Normal 2 5 3 2 3 5 2" xfId="20686" xr:uid="{00000000-0005-0000-0000-00001B320000}"/>
    <cellStyle name="Normal 2 5 3 2 3 6" xfId="19090" xr:uid="{00000000-0005-0000-0000-00001C320000}"/>
    <cellStyle name="Normal 2 5 3 2 4" xfId="2356" xr:uid="{00000000-0005-0000-0000-00001D320000}"/>
    <cellStyle name="Normal 2 5 3 2 4 2" xfId="8727" xr:uid="{00000000-0005-0000-0000-00001E320000}"/>
    <cellStyle name="Normal 2 5 3 2 4 2 2" xfId="15990" xr:uid="{00000000-0005-0000-0000-00001F320000}"/>
    <cellStyle name="Normal 2 5 3 2 4 2 2 2" xfId="32305" xr:uid="{00000000-0005-0000-0000-000020320000}"/>
    <cellStyle name="Normal 2 5 3 2 4 2 3" xfId="25340" xr:uid="{00000000-0005-0000-0000-000021320000}"/>
    <cellStyle name="Normal 2 5 3 2 4 3" xfId="12069" xr:uid="{00000000-0005-0000-0000-000022320000}"/>
    <cellStyle name="Normal 2 5 3 2 4 3 2" xfId="28644" xr:uid="{00000000-0005-0000-0000-000023320000}"/>
    <cellStyle name="Normal 2 5 3 2 4 4" xfId="5376" xr:uid="{00000000-0005-0000-0000-000024320000}"/>
    <cellStyle name="Normal 2 5 3 2 4 4 2" xfId="22040" xr:uid="{00000000-0005-0000-0000-000025320000}"/>
    <cellStyle name="Normal 2 5 3 2 4 5" xfId="19087" xr:uid="{00000000-0005-0000-0000-000026320000}"/>
    <cellStyle name="Normal 2 5 3 2 5" xfId="7107" xr:uid="{00000000-0005-0000-0000-000027320000}"/>
    <cellStyle name="Normal 2 5 3 2 5 2" xfId="14370" xr:uid="{00000000-0005-0000-0000-000028320000}"/>
    <cellStyle name="Normal 2 5 3 2 5 2 2" xfId="30685" xr:uid="{00000000-0005-0000-0000-000029320000}"/>
    <cellStyle name="Normal 2 5 3 2 5 3" xfId="23720" xr:uid="{00000000-0005-0000-0000-00002A320000}"/>
    <cellStyle name="Normal 2 5 3 2 6" xfId="10422" xr:uid="{00000000-0005-0000-0000-00002B320000}"/>
    <cellStyle name="Normal 2 5 3 2 6 2" xfId="27020" xr:uid="{00000000-0005-0000-0000-00002C320000}"/>
    <cellStyle name="Normal 2 5 3 2 7" xfId="3960" xr:uid="{00000000-0005-0000-0000-00002D320000}"/>
    <cellStyle name="Normal 2 5 3 2 7 2" xfId="20683" xr:uid="{00000000-0005-0000-0000-00002E320000}"/>
    <cellStyle name="Normal 2 5 3 2 8" xfId="17881" xr:uid="{00000000-0005-0000-0000-00002F320000}"/>
    <cellStyle name="Normal 2 5 3 3" xfId="1544" xr:uid="{00000000-0005-0000-0000-000030320000}"/>
    <cellStyle name="Normal 2 5 3 3 2" xfId="2361" xr:uid="{00000000-0005-0000-0000-000031320000}"/>
    <cellStyle name="Normal 2 5 3 3 2 2" xfId="6383" xr:uid="{00000000-0005-0000-0000-000032320000}"/>
    <cellStyle name="Normal 2 5 3 3 2 2 2" xfId="9734" xr:uid="{00000000-0005-0000-0000-000033320000}"/>
    <cellStyle name="Normal 2 5 3 3 2 2 2 2" xfId="16997" xr:uid="{00000000-0005-0000-0000-000034320000}"/>
    <cellStyle name="Normal 2 5 3 3 2 2 2 2 2" xfId="33312" xr:uid="{00000000-0005-0000-0000-000035320000}"/>
    <cellStyle name="Normal 2 5 3 3 2 2 2 3" xfId="26347" xr:uid="{00000000-0005-0000-0000-000036320000}"/>
    <cellStyle name="Normal 2 5 3 3 2 2 3" xfId="13076" xr:uid="{00000000-0005-0000-0000-000037320000}"/>
    <cellStyle name="Normal 2 5 3 3 2 2 3 2" xfId="29651" xr:uid="{00000000-0005-0000-0000-000038320000}"/>
    <cellStyle name="Normal 2 5 3 3 2 2 4" xfId="23047" xr:uid="{00000000-0005-0000-0000-000039320000}"/>
    <cellStyle name="Normal 2 5 3 3 2 3" xfId="8113" xr:uid="{00000000-0005-0000-0000-00003A320000}"/>
    <cellStyle name="Normal 2 5 3 3 2 3 2" xfId="15376" xr:uid="{00000000-0005-0000-0000-00003B320000}"/>
    <cellStyle name="Normal 2 5 3 3 2 3 2 2" xfId="31691" xr:uid="{00000000-0005-0000-0000-00003C320000}"/>
    <cellStyle name="Normal 2 5 3 3 2 3 3" xfId="24726" xr:uid="{00000000-0005-0000-0000-00003D320000}"/>
    <cellStyle name="Normal 2 5 3 3 2 4" xfId="11428" xr:uid="{00000000-0005-0000-0000-00003E320000}"/>
    <cellStyle name="Normal 2 5 3 3 2 4 2" xfId="28026" xr:uid="{00000000-0005-0000-0000-00003F320000}"/>
    <cellStyle name="Normal 2 5 3 3 2 5" xfId="3965" xr:uid="{00000000-0005-0000-0000-000040320000}"/>
    <cellStyle name="Normal 2 5 3 3 2 5 2" xfId="20688" xr:uid="{00000000-0005-0000-0000-000041320000}"/>
    <cellStyle name="Normal 2 5 3 3 2 6" xfId="19092" xr:uid="{00000000-0005-0000-0000-000042320000}"/>
    <cellStyle name="Normal 2 5 3 3 3" xfId="2360" xr:uid="{00000000-0005-0000-0000-000043320000}"/>
    <cellStyle name="Normal 2 5 3 3 3 2" xfId="8922" xr:uid="{00000000-0005-0000-0000-000044320000}"/>
    <cellStyle name="Normal 2 5 3 3 3 2 2" xfId="16185" xr:uid="{00000000-0005-0000-0000-000045320000}"/>
    <cellStyle name="Normal 2 5 3 3 3 2 2 2" xfId="32500" xr:uid="{00000000-0005-0000-0000-000046320000}"/>
    <cellStyle name="Normal 2 5 3 3 3 2 3" xfId="25535" xr:uid="{00000000-0005-0000-0000-000047320000}"/>
    <cellStyle name="Normal 2 5 3 3 3 3" xfId="12264" xr:uid="{00000000-0005-0000-0000-000048320000}"/>
    <cellStyle name="Normal 2 5 3 3 3 3 2" xfId="28839" xr:uid="{00000000-0005-0000-0000-000049320000}"/>
    <cellStyle name="Normal 2 5 3 3 3 4" xfId="5571" xr:uid="{00000000-0005-0000-0000-00004A320000}"/>
    <cellStyle name="Normal 2 5 3 3 3 4 2" xfId="22235" xr:uid="{00000000-0005-0000-0000-00004B320000}"/>
    <cellStyle name="Normal 2 5 3 3 3 5" xfId="19091" xr:uid="{00000000-0005-0000-0000-00004C320000}"/>
    <cellStyle name="Normal 2 5 3 3 4" xfId="7301" xr:uid="{00000000-0005-0000-0000-00004D320000}"/>
    <cellStyle name="Normal 2 5 3 3 4 2" xfId="14564" xr:uid="{00000000-0005-0000-0000-00004E320000}"/>
    <cellStyle name="Normal 2 5 3 3 4 2 2" xfId="30879" xr:uid="{00000000-0005-0000-0000-00004F320000}"/>
    <cellStyle name="Normal 2 5 3 3 4 3" xfId="23914" xr:uid="{00000000-0005-0000-0000-000050320000}"/>
    <cellStyle name="Normal 2 5 3 3 5" xfId="10616" xr:uid="{00000000-0005-0000-0000-000051320000}"/>
    <cellStyle name="Normal 2 5 3 3 5 2" xfId="27214" xr:uid="{00000000-0005-0000-0000-000052320000}"/>
    <cellStyle name="Normal 2 5 3 3 6" xfId="3964" xr:uid="{00000000-0005-0000-0000-000053320000}"/>
    <cellStyle name="Normal 2 5 3 3 6 2" xfId="20687" xr:uid="{00000000-0005-0000-0000-000054320000}"/>
    <cellStyle name="Normal 2 5 3 3 7" xfId="18279" xr:uid="{00000000-0005-0000-0000-000055320000}"/>
    <cellStyle name="Normal 2 5 3 4" xfId="2362" xr:uid="{00000000-0005-0000-0000-000056320000}"/>
    <cellStyle name="Normal 2 5 3 4 2" xfId="5977" xr:uid="{00000000-0005-0000-0000-000057320000}"/>
    <cellStyle name="Normal 2 5 3 4 2 2" xfId="9328" xr:uid="{00000000-0005-0000-0000-000058320000}"/>
    <cellStyle name="Normal 2 5 3 4 2 2 2" xfId="16591" xr:uid="{00000000-0005-0000-0000-000059320000}"/>
    <cellStyle name="Normal 2 5 3 4 2 2 2 2" xfId="32906" xr:uid="{00000000-0005-0000-0000-00005A320000}"/>
    <cellStyle name="Normal 2 5 3 4 2 2 3" xfId="25941" xr:uid="{00000000-0005-0000-0000-00005B320000}"/>
    <cellStyle name="Normal 2 5 3 4 2 3" xfId="12670" xr:uid="{00000000-0005-0000-0000-00005C320000}"/>
    <cellStyle name="Normal 2 5 3 4 2 3 2" xfId="29245" xr:uid="{00000000-0005-0000-0000-00005D320000}"/>
    <cellStyle name="Normal 2 5 3 4 2 4" xfId="22641" xr:uid="{00000000-0005-0000-0000-00005E320000}"/>
    <cellStyle name="Normal 2 5 3 4 3" xfId="7707" xr:uid="{00000000-0005-0000-0000-00005F320000}"/>
    <cellStyle name="Normal 2 5 3 4 3 2" xfId="14970" xr:uid="{00000000-0005-0000-0000-000060320000}"/>
    <cellStyle name="Normal 2 5 3 4 3 2 2" xfId="31285" xr:uid="{00000000-0005-0000-0000-000061320000}"/>
    <cellStyle name="Normal 2 5 3 4 3 3" xfId="24320" xr:uid="{00000000-0005-0000-0000-000062320000}"/>
    <cellStyle name="Normal 2 5 3 4 4" xfId="11022" xr:uid="{00000000-0005-0000-0000-000063320000}"/>
    <cellStyle name="Normal 2 5 3 4 4 2" xfId="27620" xr:uid="{00000000-0005-0000-0000-000064320000}"/>
    <cellStyle name="Normal 2 5 3 4 5" xfId="3966" xr:uid="{00000000-0005-0000-0000-000065320000}"/>
    <cellStyle name="Normal 2 5 3 4 5 2" xfId="20689" xr:uid="{00000000-0005-0000-0000-000066320000}"/>
    <cellStyle name="Normal 2 5 3 4 6" xfId="19093" xr:uid="{00000000-0005-0000-0000-000067320000}"/>
    <cellStyle name="Normal 2 5 3 5" xfId="2355" xr:uid="{00000000-0005-0000-0000-000068320000}"/>
    <cellStyle name="Normal 2 5 3 5 2" xfId="8605" xr:uid="{00000000-0005-0000-0000-000069320000}"/>
    <cellStyle name="Normal 2 5 3 5 2 2" xfId="15868" xr:uid="{00000000-0005-0000-0000-00006A320000}"/>
    <cellStyle name="Normal 2 5 3 5 2 2 2" xfId="32183" xr:uid="{00000000-0005-0000-0000-00006B320000}"/>
    <cellStyle name="Normal 2 5 3 5 2 3" xfId="25218" xr:uid="{00000000-0005-0000-0000-00006C320000}"/>
    <cellStyle name="Normal 2 5 3 5 3" xfId="11947" xr:uid="{00000000-0005-0000-0000-00006D320000}"/>
    <cellStyle name="Normal 2 5 3 5 3 2" xfId="28522" xr:uid="{00000000-0005-0000-0000-00006E320000}"/>
    <cellStyle name="Normal 2 5 3 5 4" xfId="5254" xr:uid="{00000000-0005-0000-0000-00006F320000}"/>
    <cellStyle name="Normal 2 5 3 5 4 2" xfId="21918" xr:uid="{00000000-0005-0000-0000-000070320000}"/>
    <cellStyle name="Normal 2 5 3 5 5" xfId="19086" xr:uid="{00000000-0005-0000-0000-000071320000}"/>
    <cellStyle name="Normal 2 5 3 6" xfId="6986" xr:uid="{00000000-0005-0000-0000-000072320000}"/>
    <cellStyle name="Normal 2 5 3 6 2" xfId="14249" xr:uid="{00000000-0005-0000-0000-000073320000}"/>
    <cellStyle name="Normal 2 5 3 6 2 2" xfId="30564" xr:uid="{00000000-0005-0000-0000-000074320000}"/>
    <cellStyle name="Normal 2 5 3 6 3" xfId="23599" xr:uid="{00000000-0005-0000-0000-000075320000}"/>
    <cellStyle name="Normal 2 5 3 7" xfId="10300" xr:uid="{00000000-0005-0000-0000-000076320000}"/>
    <cellStyle name="Normal 2 5 3 7 2" xfId="26899" xr:uid="{00000000-0005-0000-0000-000077320000}"/>
    <cellStyle name="Normal 2 5 3 8" xfId="3959" xr:uid="{00000000-0005-0000-0000-000078320000}"/>
    <cellStyle name="Normal 2 5 3 8 2" xfId="20682" xr:uid="{00000000-0005-0000-0000-000079320000}"/>
    <cellStyle name="Normal 2 5 3 9" xfId="17760" xr:uid="{00000000-0005-0000-0000-00007A320000}"/>
    <cellStyle name="Normal 2 5 4" xfId="1141" xr:uid="{00000000-0005-0000-0000-00007B320000}"/>
    <cellStyle name="Normal 2 5 4 2" xfId="1662" xr:uid="{00000000-0005-0000-0000-00007C320000}"/>
    <cellStyle name="Normal 2 5 4 2 2" xfId="2365" xr:uid="{00000000-0005-0000-0000-00007D320000}"/>
    <cellStyle name="Normal 2 5 4 2 2 2" xfId="6556" xr:uid="{00000000-0005-0000-0000-00007E320000}"/>
    <cellStyle name="Normal 2 5 4 2 2 2 2" xfId="9907" xr:uid="{00000000-0005-0000-0000-00007F320000}"/>
    <cellStyle name="Normal 2 5 4 2 2 2 2 2" xfId="17170" xr:uid="{00000000-0005-0000-0000-000080320000}"/>
    <cellStyle name="Normal 2 5 4 2 2 2 2 2 2" xfId="33485" xr:uid="{00000000-0005-0000-0000-000081320000}"/>
    <cellStyle name="Normal 2 5 4 2 2 2 2 3" xfId="26520" xr:uid="{00000000-0005-0000-0000-000082320000}"/>
    <cellStyle name="Normal 2 5 4 2 2 2 3" xfId="13249" xr:uid="{00000000-0005-0000-0000-000083320000}"/>
    <cellStyle name="Normal 2 5 4 2 2 2 3 2" xfId="29824" xr:uid="{00000000-0005-0000-0000-000084320000}"/>
    <cellStyle name="Normal 2 5 4 2 2 2 4" xfId="23220" xr:uid="{00000000-0005-0000-0000-000085320000}"/>
    <cellStyle name="Normal 2 5 4 2 2 3" xfId="8286" xr:uid="{00000000-0005-0000-0000-000086320000}"/>
    <cellStyle name="Normal 2 5 4 2 2 3 2" xfId="15549" xr:uid="{00000000-0005-0000-0000-000087320000}"/>
    <cellStyle name="Normal 2 5 4 2 2 3 2 2" xfId="31864" xr:uid="{00000000-0005-0000-0000-000088320000}"/>
    <cellStyle name="Normal 2 5 4 2 2 3 3" xfId="24899" xr:uid="{00000000-0005-0000-0000-000089320000}"/>
    <cellStyle name="Normal 2 5 4 2 2 4" xfId="11601" xr:uid="{00000000-0005-0000-0000-00008A320000}"/>
    <cellStyle name="Normal 2 5 4 2 2 4 2" xfId="28199" xr:uid="{00000000-0005-0000-0000-00008B320000}"/>
    <cellStyle name="Normal 2 5 4 2 2 5" xfId="3969" xr:uid="{00000000-0005-0000-0000-00008C320000}"/>
    <cellStyle name="Normal 2 5 4 2 2 5 2" xfId="20692" xr:uid="{00000000-0005-0000-0000-00008D320000}"/>
    <cellStyle name="Normal 2 5 4 2 2 6" xfId="19096" xr:uid="{00000000-0005-0000-0000-00008E320000}"/>
    <cellStyle name="Normal 2 5 4 2 3" xfId="2364" xr:uid="{00000000-0005-0000-0000-00008F320000}"/>
    <cellStyle name="Normal 2 5 4 2 3 2" xfId="9131" xr:uid="{00000000-0005-0000-0000-000090320000}"/>
    <cellStyle name="Normal 2 5 4 2 3 2 2" xfId="16394" xr:uid="{00000000-0005-0000-0000-000091320000}"/>
    <cellStyle name="Normal 2 5 4 2 3 2 2 2" xfId="32709" xr:uid="{00000000-0005-0000-0000-000092320000}"/>
    <cellStyle name="Normal 2 5 4 2 3 2 3" xfId="25744" xr:uid="{00000000-0005-0000-0000-000093320000}"/>
    <cellStyle name="Normal 2 5 4 2 3 3" xfId="12473" xr:uid="{00000000-0005-0000-0000-000094320000}"/>
    <cellStyle name="Normal 2 5 4 2 3 3 2" xfId="29048" xr:uid="{00000000-0005-0000-0000-000095320000}"/>
    <cellStyle name="Normal 2 5 4 2 3 4" xfId="5780" xr:uid="{00000000-0005-0000-0000-000096320000}"/>
    <cellStyle name="Normal 2 5 4 2 3 4 2" xfId="22444" xr:uid="{00000000-0005-0000-0000-000097320000}"/>
    <cellStyle name="Normal 2 5 4 2 3 5" xfId="19095" xr:uid="{00000000-0005-0000-0000-000098320000}"/>
    <cellStyle name="Normal 2 5 4 2 4" xfId="7510" xr:uid="{00000000-0005-0000-0000-000099320000}"/>
    <cellStyle name="Normal 2 5 4 2 4 2" xfId="14773" xr:uid="{00000000-0005-0000-0000-00009A320000}"/>
    <cellStyle name="Normal 2 5 4 2 4 2 2" xfId="31088" xr:uid="{00000000-0005-0000-0000-00009B320000}"/>
    <cellStyle name="Normal 2 5 4 2 4 3" xfId="24123" xr:uid="{00000000-0005-0000-0000-00009C320000}"/>
    <cellStyle name="Normal 2 5 4 2 5" xfId="10825" xr:uid="{00000000-0005-0000-0000-00009D320000}"/>
    <cellStyle name="Normal 2 5 4 2 5 2" xfId="27423" xr:uid="{00000000-0005-0000-0000-00009E320000}"/>
    <cellStyle name="Normal 2 5 4 2 6" xfId="3968" xr:uid="{00000000-0005-0000-0000-00009F320000}"/>
    <cellStyle name="Normal 2 5 4 2 6 2" xfId="20691" xr:uid="{00000000-0005-0000-0000-0000A0320000}"/>
    <cellStyle name="Normal 2 5 4 2 7" xfId="18397" xr:uid="{00000000-0005-0000-0000-0000A1320000}"/>
    <cellStyle name="Normal 2 5 4 3" xfId="2366" xr:uid="{00000000-0005-0000-0000-0000A2320000}"/>
    <cellStyle name="Normal 2 5 4 3 2" xfId="6186" xr:uid="{00000000-0005-0000-0000-0000A3320000}"/>
    <cellStyle name="Normal 2 5 4 3 2 2" xfId="9537" xr:uid="{00000000-0005-0000-0000-0000A4320000}"/>
    <cellStyle name="Normal 2 5 4 3 2 2 2" xfId="16800" xr:uid="{00000000-0005-0000-0000-0000A5320000}"/>
    <cellStyle name="Normal 2 5 4 3 2 2 2 2" xfId="33115" xr:uid="{00000000-0005-0000-0000-0000A6320000}"/>
    <cellStyle name="Normal 2 5 4 3 2 2 3" xfId="26150" xr:uid="{00000000-0005-0000-0000-0000A7320000}"/>
    <cellStyle name="Normal 2 5 4 3 2 3" xfId="12879" xr:uid="{00000000-0005-0000-0000-0000A8320000}"/>
    <cellStyle name="Normal 2 5 4 3 2 3 2" xfId="29454" xr:uid="{00000000-0005-0000-0000-0000A9320000}"/>
    <cellStyle name="Normal 2 5 4 3 2 4" xfId="22850" xr:uid="{00000000-0005-0000-0000-0000AA320000}"/>
    <cellStyle name="Normal 2 5 4 3 3" xfId="7916" xr:uid="{00000000-0005-0000-0000-0000AB320000}"/>
    <cellStyle name="Normal 2 5 4 3 3 2" xfId="15179" xr:uid="{00000000-0005-0000-0000-0000AC320000}"/>
    <cellStyle name="Normal 2 5 4 3 3 2 2" xfId="31494" xr:uid="{00000000-0005-0000-0000-0000AD320000}"/>
    <cellStyle name="Normal 2 5 4 3 3 3" xfId="24529" xr:uid="{00000000-0005-0000-0000-0000AE320000}"/>
    <cellStyle name="Normal 2 5 4 3 4" xfId="11231" xr:uid="{00000000-0005-0000-0000-0000AF320000}"/>
    <cellStyle name="Normal 2 5 4 3 4 2" xfId="27829" xr:uid="{00000000-0005-0000-0000-0000B0320000}"/>
    <cellStyle name="Normal 2 5 4 3 5" xfId="3970" xr:uid="{00000000-0005-0000-0000-0000B1320000}"/>
    <cellStyle name="Normal 2 5 4 3 5 2" xfId="20693" xr:uid="{00000000-0005-0000-0000-0000B2320000}"/>
    <cellStyle name="Normal 2 5 4 3 6" xfId="19097" xr:uid="{00000000-0005-0000-0000-0000B3320000}"/>
    <cellStyle name="Normal 2 5 4 4" xfId="2363" xr:uid="{00000000-0005-0000-0000-0000B4320000}"/>
    <cellStyle name="Normal 2 5 4 4 2" xfId="8724" xr:uid="{00000000-0005-0000-0000-0000B5320000}"/>
    <cellStyle name="Normal 2 5 4 4 2 2" xfId="15987" xr:uid="{00000000-0005-0000-0000-0000B6320000}"/>
    <cellStyle name="Normal 2 5 4 4 2 2 2" xfId="32302" xr:uid="{00000000-0005-0000-0000-0000B7320000}"/>
    <cellStyle name="Normal 2 5 4 4 2 3" xfId="25337" xr:uid="{00000000-0005-0000-0000-0000B8320000}"/>
    <cellStyle name="Normal 2 5 4 4 3" xfId="12066" xr:uid="{00000000-0005-0000-0000-0000B9320000}"/>
    <cellStyle name="Normal 2 5 4 4 3 2" xfId="28641" xr:uid="{00000000-0005-0000-0000-0000BA320000}"/>
    <cellStyle name="Normal 2 5 4 4 4" xfId="5373" xr:uid="{00000000-0005-0000-0000-0000BB320000}"/>
    <cellStyle name="Normal 2 5 4 4 4 2" xfId="22037" xr:uid="{00000000-0005-0000-0000-0000BC320000}"/>
    <cellStyle name="Normal 2 5 4 4 5" xfId="19094" xr:uid="{00000000-0005-0000-0000-0000BD320000}"/>
    <cellStyle name="Normal 2 5 4 5" xfId="7104" xr:uid="{00000000-0005-0000-0000-0000BE320000}"/>
    <cellStyle name="Normal 2 5 4 5 2" xfId="14367" xr:uid="{00000000-0005-0000-0000-0000BF320000}"/>
    <cellStyle name="Normal 2 5 4 5 2 2" xfId="30682" xr:uid="{00000000-0005-0000-0000-0000C0320000}"/>
    <cellStyle name="Normal 2 5 4 5 3" xfId="23717" xr:uid="{00000000-0005-0000-0000-0000C1320000}"/>
    <cellStyle name="Normal 2 5 4 6" xfId="10419" xr:uid="{00000000-0005-0000-0000-0000C2320000}"/>
    <cellStyle name="Normal 2 5 4 6 2" xfId="27017" xr:uid="{00000000-0005-0000-0000-0000C3320000}"/>
    <cellStyle name="Normal 2 5 4 7" xfId="3967" xr:uid="{00000000-0005-0000-0000-0000C4320000}"/>
    <cellStyle name="Normal 2 5 4 7 2" xfId="20690" xr:uid="{00000000-0005-0000-0000-0000C5320000}"/>
    <cellStyle name="Normal 2 5 4 8" xfId="17878" xr:uid="{00000000-0005-0000-0000-0000C6320000}"/>
    <cellStyle name="Normal 2 5 5" xfId="1438" xr:uid="{00000000-0005-0000-0000-0000C7320000}"/>
    <cellStyle name="Normal 2 5 5 2" xfId="2368" xr:uid="{00000000-0005-0000-0000-0000C8320000}"/>
    <cellStyle name="Normal 2 5 5 2 2" xfId="6380" xr:uid="{00000000-0005-0000-0000-0000C9320000}"/>
    <cellStyle name="Normal 2 5 5 2 2 2" xfId="9731" xr:uid="{00000000-0005-0000-0000-0000CA320000}"/>
    <cellStyle name="Normal 2 5 5 2 2 2 2" xfId="16994" xr:uid="{00000000-0005-0000-0000-0000CB320000}"/>
    <cellStyle name="Normal 2 5 5 2 2 2 2 2" xfId="33309" xr:uid="{00000000-0005-0000-0000-0000CC320000}"/>
    <cellStyle name="Normal 2 5 5 2 2 2 3" xfId="26344" xr:uid="{00000000-0005-0000-0000-0000CD320000}"/>
    <cellStyle name="Normal 2 5 5 2 2 3" xfId="13073" xr:uid="{00000000-0005-0000-0000-0000CE320000}"/>
    <cellStyle name="Normal 2 5 5 2 2 3 2" xfId="29648" xr:uid="{00000000-0005-0000-0000-0000CF320000}"/>
    <cellStyle name="Normal 2 5 5 2 2 4" xfId="23044" xr:uid="{00000000-0005-0000-0000-0000D0320000}"/>
    <cellStyle name="Normal 2 5 5 2 3" xfId="8110" xr:uid="{00000000-0005-0000-0000-0000D1320000}"/>
    <cellStyle name="Normal 2 5 5 2 3 2" xfId="15373" xr:uid="{00000000-0005-0000-0000-0000D2320000}"/>
    <cellStyle name="Normal 2 5 5 2 3 2 2" xfId="31688" xr:uid="{00000000-0005-0000-0000-0000D3320000}"/>
    <cellStyle name="Normal 2 5 5 2 3 3" xfId="24723" xr:uid="{00000000-0005-0000-0000-0000D4320000}"/>
    <cellStyle name="Normal 2 5 5 2 4" xfId="11425" xr:uid="{00000000-0005-0000-0000-0000D5320000}"/>
    <cellStyle name="Normal 2 5 5 2 4 2" xfId="28023" xr:uid="{00000000-0005-0000-0000-0000D6320000}"/>
    <cellStyle name="Normal 2 5 5 2 5" xfId="3972" xr:uid="{00000000-0005-0000-0000-0000D7320000}"/>
    <cellStyle name="Normal 2 5 5 2 5 2" xfId="20695" xr:uid="{00000000-0005-0000-0000-0000D8320000}"/>
    <cellStyle name="Normal 2 5 5 2 6" xfId="19099" xr:uid="{00000000-0005-0000-0000-0000D9320000}"/>
    <cellStyle name="Normal 2 5 5 3" xfId="2367" xr:uid="{00000000-0005-0000-0000-0000DA320000}"/>
    <cellStyle name="Normal 2 5 5 3 2" xfId="8919" xr:uid="{00000000-0005-0000-0000-0000DB320000}"/>
    <cellStyle name="Normal 2 5 5 3 2 2" xfId="16182" xr:uid="{00000000-0005-0000-0000-0000DC320000}"/>
    <cellStyle name="Normal 2 5 5 3 2 2 2" xfId="32497" xr:uid="{00000000-0005-0000-0000-0000DD320000}"/>
    <cellStyle name="Normal 2 5 5 3 2 3" xfId="25532" xr:uid="{00000000-0005-0000-0000-0000DE320000}"/>
    <cellStyle name="Normal 2 5 5 3 3" xfId="12261" xr:uid="{00000000-0005-0000-0000-0000DF320000}"/>
    <cellStyle name="Normal 2 5 5 3 3 2" xfId="28836" xr:uid="{00000000-0005-0000-0000-0000E0320000}"/>
    <cellStyle name="Normal 2 5 5 3 4" xfId="5568" xr:uid="{00000000-0005-0000-0000-0000E1320000}"/>
    <cellStyle name="Normal 2 5 5 3 4 2" xfId="22232" xr:uid="{00000000-0005-0000-0000-0000E2320000}"/>
    <cellStyle name="Normal 2 5 5 3 5" xfId="19098" xr:uid="{00000000-0005-0000-0000-0000E3320000}"/>
    <cellStyle name="Normal 2 5 5 4" xfId="7298" xr:uid="{00000000-0005-0000-0000-0000E4320000}"/>
    <cellStyle name="Normal 2 5 5 4 2" xfId="14561" xr:uid="{00000000-0005-0000-0000-0000E5320000}"/>
    <cellStyle name="Normal 2 5 5 4 2 2" xfId="30876" xr:uid="{00000000-0005-0000-0000-0000E6320000}"/>
    <cellStyle name="Normal 2 5 5 4 3" xfId="23911" xr:uid="{00000000-0005-0000-0000-0000E7320000}"/>
    <cellStyle name="Normal 2 5 5 5" xfId="10613" xr:uid="{00000000-0005-0000-0000-0000E8320000}"/>
    <cellStyle name="Normal 2 5 5 5 2" xfId="27211" xr:uid="{00000000-0005-0000-0000-0000E9320000}"/>
    <cellStyle name="Normal 2 5 5 6" xfId="3971" xr:uid="{00000000-0005-0000-0000-0000EA320000}"/>
    <cellStyle name="Normal 2 5 5 6 2" xfId="20694" xr:uid="{00000000-0005-0000-0000-0000EB320000}"/>
    <cellStyle name="Normal 2 5 5 7" xfId="18173" xr:uid="{00000000-0005-0000-0000-0000EC320000}"/>
    <cellStyle name="Normal 2 5 6" xfId="2369" xr:uid="{00000000-0005-0000-0000-0000ED320000}"/>
    <cellStyle name="Normal 2 5 6 2" xfId="5974" xr:uid="{00000000-0005-0000-0000-0000EE320000}"/>
    <cellStyle name="Normal 2 5 6 2 2" xfId="9325" xr:uid="{00000000-0005-0000-0000-0000EF320000}"/>
    <cellStyle name="Normal 2 5 6 2 2 2" xfId="16588" xr:uid="{00000000-0005-0000-0000-0000F0320000}"/>
    <cellStyle name="Normal 2 5 6 2 2 2 2" xfId="32903" xr:uid="{00000000-0005-0000-0000-0000F1320000}"/>
    <cellStyle name="Normal 2 5 6 2 2 3" xfId="25938" xr:uid="{00000000-0005-0000-0000-0000F2320000}"/>
    <cellStyle name="Normal 2 5 6 2 3" xfId="12667" xr:uid="{00000000-0005-0000-0000-0000F3320000}"/>
    <cellStyle name="Normal 2 5 6 2 3 2" xfId="29242" xr:uid="{00000000-0005-0000-0000-0000F4320000}"/>
    <cellStyle name="Normal 2 5 6 2 4" xfId="22638" xr:uid="{00000000-0005-0000-0000-0000F5320000}"/>
    <cellStyle name="Normal 2 5 6 3" xfId="7704" xr:uid="{00000000-0005-0000-0000-0000F6320000}"/>
    <cellStyle name="Normal 2 5 6 3 2" xfId="14967" xr:uid="{00000000-0005-0000-0000-0000F7320000}"/>
    <cellStyle name="Normal 2 5 6 3 2 2" xfId="31282" xr:uid="{00000000-0005-0000-0000-0000F8320000}"/>
    <cellStyle name="Normal 2 5 6 3 3" xfId="24317" xr:uid="{00000000-0005-0000-0000-0000F9320000}"/>
    <cellStyle name="Normal 2 5 6 4" xfId="11019" xr:uid="{00000000-0005-0000-0000-0000FA320000}"/>
    <cellStyle name="Normal 2 5 6 4 2" xfId="27617" xr:uid="{00000000-0005-0000-0000-0000FB320000}"/>
    <cellStyle name="Normal 2 5 6 5" xfId="3973" xr:uid="{00000000-0005-0000-0000-0000FC320000}"/>
    <cellStyle name="Normal 2 5 6 5 2" xfId="20696" xr:uid="{00000000-0005-0000-0000-0000FD320000}"/>
    <cellStyle name="Normal 2 5 6 6" xfId="19100" xr:uid="{00000000-0005-0000-0000-0000FE320000}"/>
    <cellStyle name="Normal 2 5 7" xfId="2338" xr:uid="{00000000-0005-0000-0000-0000FF320000}"/>
    <cellStyle name="Normal 2 5 7 2" xfId="8499" xr:uid="{00000000-0005-0000-0000-000000330000}"/>
    <cellStyle name="Normal 2 5 7 2 2" xfId="15762" xr:uid="{00000000-0005-0000-0000-000001330000}"/>
    <cellStyle name="Normal 2 5 7 2 2 2" xfId="32077" xr:uid="{00000000-0005-0000-0000-000002330000}"/>
    <cellStyle name="Normal 2 5 7 2 3" xfId="25112" xr:uid="{00000000-0005-0000-0000-000003330000}"/>
    <cellStyle name="Normal 2 5 7 3" xfId="11841" xr:uid="{00000000-0005-0000-0000-000004330000}"/>
    <cellStyle name="Normal 2 5 7 3 2" xfId="28416" xr:uid="{00000000-0005-0000-0000-000005330000}"/>
    <cellStyle name="Normal 2 5 7 4" xfId="5148" xr:uid="{00000000-0005-0000-0000-000006330000}"/>
    <cellStyle name="Normal 2 5 7 4 2" xfId="21812" xr:uid="{00000000-0005-0000-0000-000007330000}"/>
    <cellStyle name="Normal 2 5 7 5" xfId="19069" xr:uid="{00000000-0005-0000-0000-000008330000}"/>
    <cellStyle name="Normal 2 5 8" xfId="6880" xr:uid="{00000000-0005-0000-0000-000009330000}"/>
    <cellStyle name="Normal 2 5 8 2" xfId="14143" xr:uid="{00000000-0005-0000-0000-00000A330000}"/>
    <cellStyle name="Normal 2 5 8 2 2" xfId="30458" xr:uid="{00000000-0005-0000-0000-00000B330000}"/>
    <cellStyle name="Normal 2 5 8 3" xfId="23493" xr:uid="{00000000-0005-0000-0000-00000C330000}"/>
    <cellStyle name="Normal 2 5 9" xfId="10194" xr:uid="{00000000-0005-0000-0000-00000D330000}"/>
    <cellStyle name="Normal 2 5 9 2" xfId="26793" xr:uid="{00000000-0005-0000-0000-00000E330000}"/>
    <cellStyle name="Normal 2 6" xfId="2370" xr:uid="{00000000-0005-0000-0000-00000F330000}"/>
    <cellStyle name="Normal 2 6 2" xfId="2371" xr:uid="{00000000-0005-0000-0000-000010330000}"/>
    <cellStyle name="Normal 2 6 2 2" xfId="2372" xr:uid="{00000000-0005-0000-0000-000011330000}"/>
    <cellStyle name="Normal 2 6 2 2 2" xfId="6684" xr:uid="{00000000-0005-0000-0000-000012330000}"/>
    <cellStyle name="Normal 2 6 2 2 2 2" xfId="10035" xr:uid="{00000000-0005-0000-0000-000013330000}"/>
    <cellStyle name="Normal 2 6 2 2 2 2 2" xfId="17298" xr:uid="{00000000-0005-0000-0000-000014330000}"/>
    <cellStyle name="Normal 2 6 2 2 2 2 2 2" xfId="33613" xr:uid="{00000000-0005-0000-0000-000015330000}"/>
    <cellStyle name="Normal 2 6 2 2 2 2 3" xfId="26648" xr:uid="{00000000-0005-0000-0000-000016330000}"/>
    <cellStyle name="Normal 2 6 2 2 2 3" xfId="13377" xr:uid="{00000000-0005-0000-0000-000017330000}"/>
    <cellStyle name="Normal 2 6 2 2 2 3 2" xfId="29952" xr:uid="{00000000-0005-0000-0000-000018330000}"/>
    <cellStyle name="Normal 2 6 2 2 2 4" xfId="23348" xr:uid="{00000000-0005-0000-0000-000019330000}"/>
    <cellStyle name="Normal 2 6 2 2 3" xfId="8414" xr:uid="{00000000-0005-0000-0000-00001A330000}"/>
    <cellStyle name="Normal 2 6 2 2 3 2" xfId="15677" xr:uid="{00000000-0005-0000-0000-00001B330000}"/>
    <cellStyle name="Normal 2 6 2 2 3 2 2" xfId="31992" xr:uid="{00000000-0005-0000-0000-00001C330000}"/>
    <cellStyle name="Normal 2 6 2 2 3 3" xfId="25027" xr:uid="{00000000-0005-0000-0000-00001D330000}"/>
    <cellStyle name="Normal 2 6 2 2 4" xfId="11729" xr:uid="{00000000-0005-0000-0000-00001E330000}"/>
    <cellStyle name="Normal 2 6 2 2 4 2" xfId="28327" xr:uid="{00000000-0005-0000-0000-00001F330000}"/>
    <cellStyle name="Normal 2 6 2 2 5" xfId="3976" xr:uid="{00000000-0005-0000-0000-000020330000}"/>
    <cellStyle name="Normal 2 6 2 2 5 2" xfId="20699" xr:uid="{00000000-0005-0000-0000-000021330000}"/>
    <cellStyle name="Normal 2 6 2 2 6" xfId="19103" xr:uid="{00000000-0005-0000-0000-000022330000}"/>
    <cellStyle name="Normal 2 6 2 3" xfId="5908" xr:uid="{00000000-0005-0000-0000-000023330000}"/>
    <cellStyle name="Normal 2 6 2 3 2" xfId="9259" xr:uid="{00000000-0005-0000-0000-000024330000}"/>
    <cellStyle name="Normal 2 6 2 3 2 2" xfId="16522" xr:uid="{00000000-0005-0000-0000-000025330000}"/>
    <cellStyle name="Normal 2 6 2 3 2 2 2" xfId="32837" xr:uid="{00000000-0005-0000-0000-000026330000}"/>
    <cellStyle name="Normal 2 6 2 3 2 3" xfId="25872" xr:uid="{00000000-0005-0000-0000-000027330000}"/>
    <cellStyle name="Normal 2 6 2 3 3" xfId="12601" xr:uid="{00000000-0005-0000-0000-000028330000}"/>
    <cellStyle name="Normal 2 6 2 3 3 2" xfId="29176" xr:uid="{00000000-0005-0000-0000-000029330000}"/>
    <cellStyle name="Normal 2 6 2 3 4" xfId="22572" xr:uid="{00000000-0005-0000-0000-00002A330000}"/>
    <cellStyle name="Normal 2 6 2 4" xfId="7638" xr:uid="{00000000-0005-0000-0000-00002B330000}"/>
    <cellStyle name="Normal 2 6 2 4 2" xfId="14901" xr:uid="{00000000-0005-0000-0000-00002C330000}"/>
    <cellStyle name="Normal 2 6 2 4 2 2" xfId="31216" xr:uid="{00000000-0005-0000-0000-00002D330000}"/>
    <cellStyle name="Normal 2 6 2 4 3" xfId="24251" xr:uid="{00000000-0005-0000-0000-00002E330000}"/>
    <cellStyle name="Normal 2 6 2 5" xfId="10953" xr:uid="{00000000-0005-0000-0000-00002F330000}"/>
    <cellStyle name="Normal 2 6 2 5 2" xfId="27551" xr:uid="{00000000-0005-0000-0000-000030330000}"/>
    <cellStyle name="Normal 2 6 2 6" xfId="3975" xr:uid="{00000000-0005-0000-0000-000031330000}"/>
    <cellStyle name="Normal 2 6 2 6 2" xfId="20698" xr:uid="{00000000-0005-0000-0000-000032330000}"/>
    <cellStyle name="Normal 2 6 2 7" xfId="19102" xr:uid="{00000000-0005-0000-0000-000033330000}"/>
    <cellStyle name="Normal 2 6 3" xfId="2373" xr:uid="{00000000-0005-0000-0000-000034330000}"/>
    <cellStyle name="Normal 2 6 3 2" xfId="6314" xr:uid="{00000000-0005-0000-0000-000035330000}"/>
    <cellStyle name="Normal 2 6 3 2 2" xfId="9665" xr:uid="{00000000-0005-0000-0000-000036330000}"/>
    <cellStyle name="Normal 2 6 3 2 2 2" xfId="16928" xr:uid="{00000000-0005-0000-0000-000037330000}"/>
    <cellStyle name="Normal 2 6 3 2 2 2 2" xfId="33243" xr:uid="{00000000-0005-0000-0000-000038330000}"/>
    <cellStyle name="Normal 2 6 3 2 2 3" xfId="26278" xr:uid="{00000000-0005-0000-0000-000039330000}"/>
    <cellStyle name="Normal 2 6 3 2 3" xfId="13007" xr:uid="{00000000-0005-0000-0000-00003A330000}"/>
    <cellStyle name="Normal 2 6 3 2 3 2" xfId="29582" xr:uid="{00000000-0005-0000-0000-00003B330000}"/>
    <cellStyle name="Normal 2 6 3 2 4" xfId="22978" xr:uid="{00000000-0005-0000-0000-00003C330000}"/>
    <cellStyle name="Normal 2 6 3 3" xfId="8044" xr:uid="{00000000-0005-0000-0000-00003D330000}"/>
    <cellStyle name="Normal 2 6 3 3 2" xfId="15307" xr:uid="{00000000-0005-0000-0000-00003E330000}"/>
    <cellStyle name="Normal 2 6 3 3 2 2" xfId="31622" xr:uid="{00000000-0005-0000-0000-00003F330000}"/>
    <cellStyle name="Normal 2 6 3 3 3" xfId="24657" xr:uid="{00000000-0005-0000-0000-000040330000}"/>
    <cellStyle name="Normal 2 6 3 4" xfId="11359" xr:uid="{00000000-0005-0000-0000-000041330000}"/>
    <cellStyle name="Normal 2 6 3 4 2" xfId="27957" xr:uid="{00000000-0005-0000-0000-000042330000}"/>
    <cellStyle name="Normal 2 6 3 5" xfId="3977" xr:uid="{00000000-0005-0000-0000-000043330000}"/>
    <cellStyle name="Normal 2 6 3 5 2" xfId="20700" xr:uid="{00000000-0005-0000-0000-000044330000}"/>
    <cellStyle name="Normal 2 6 3 6" xfId="19104" xr:uid="{00000000-0005-0000-0000-000045330000}"/>
    <cellStyle name="Normal 2 6 4" xfId="5501" xr:uid="{00000000-0005-0000-0000-000046330000}"/>
    <cellStyle name="Normal 2 6 4 2" xfId="8852" xr:uid="{00000000-0005-0000-0000-000047330000}"/>
    <cellStyle name="Normal 2 6 4 2 2" xfId="16115" xr:uid="{00000000-0005-0000-0000-000048330000}"/>
    <cellStyle name="Normal 2 6 4 2 2 2" xfId="32430" xr:uid="{00000000-0005-0000-0000-000049330000}"/>
    <cellStyle name="Normal 2 6 4 2 3" xfId="25465" xr:uid="{00000000-0005-0000-0000-00004A330000}"/>
    <cellStyle name="Normal 2 6 4 3" xfId="12194" xr:uid="{00000000-0005-0000-0000-00004B330000}"/>
    <cellStyle name="Normal 2 6 4 3 2" xfId="28769" xr:uid="{00000000-0005-0000-0000-00004C330000}"/>
    <cellStyle name="Normal 2 6 4 4" xfId="22165" xr:uid="{00000000-0005-0000-0000-00004D330000}"/>
    <cellStyle name="Normal 2 6 5" xfId="7232" xr:uid="{00000000-0005-0000-0000-00004E330000}"/>
    <cellStyle name="Normal 2 6 5 2" xfId="14495" xr:uid="{00000000-0005-0000-0000-00004F330000}"/>
    <cellStyle name="Normal 2 6 5 2 2" xfId="30810" xr:uid="{00000000-0005-0000-0000-000050330000}"/>
    <cellStyle name="Normal 2 6 5 3" xfId="23845" xr:uid="{00000000-0005-0000-0000-000051330000}"/>
    <cellStyle name="Normal 2 6 6" xfId="10547" xr:uid="{00000000-0005-0000-0000-000052330000}"/>
    <cellStyle name="Normal 2 6 6 2" xfId="27145" xr:uid="{00000000-0005-0000-0000-000053330000}"/>
    <cellStyle name="Normal 2 6 7" xfId="3974" xr:uid="{00000000-0005-0000-0000-000054330000}"/>
    <cellStyle name="Normal 2 6 7 2" xfId="20697" xr:uid="{00000000-0005-0000-0000-000055330000}"/>
    <cellStyle name="Normal 2 6 8" xfId="19101" xr:uid="{00000000-0005-0000-0000-000056330000}"/>
    <cellStyle name="Normal 2 7" xfId="5026" xr:uid="{00000000-0005-0000-0000-000057330000}"/>
    <cellStyle name="Normal 2 7 2" xfId="6797" xr:uid="{00000000-0005-0000-0000-000058330000}"/>
    <cellStyle name="Normal 2 7 2 2" xfId="10110" xr:uid="{00000000-0005-0000-0000-000059330000}"/>
    <cellStyle name="Normal 2 7 2 2 2" xfId="17373" xr:uid="{00000000-0005-0000-0000-00005A330000}"/>
    <cellStyle name="Normal 2 7 2 2 2 2" xfId="33688" xr:uid="{00000000-0005-0000-0000-00005B330000}"/>
    <cellStyle name="Normal 2 7 2 2 3" xfId="26723" xr:uid="{00000000-0005-0000-0000-00005C330000}"/>
    <cellStyle name="Normal 2 7 2 3" xfId="13455" xr:uid="{00000000-0005-0000-0000-00005D330000}"/>
    <cellStyle name="Normal 2 7 2 3 2" xfId="30027" xr:uid="{00000000-0005-0000-0000-00005E330000}"/>
    <cellStyle name="Normal 2 7 2 4" xfId="23423" xr:uid="{00000000-0005-0000-0000-00005F330000}"/>
    <cellStyle name="Normal 2 7 3" xfId="8432" xr:uid="{00000000-0005-0000-0000-000060330000}"/>
    <cellStyle name="Normal 2 7 3 2" xfId="15695" xr:uid="{00000000-0005-0000-0000-000061330000}"/>
    <cellStyle name="Normal 2 7 3 2 2" xfId="32010" xr:uid="{00000000-0005-0000-0000-000062330000}"/>
    <cellStyle name="Normal 2 7 3 3" xfId="25045" xr:uid="{00000000-0005-0000-0000-000063330000}"/>
    <cellStyle name="Normal 2 7 4" xfId="11747" xr:uid="{00000000-0005-0000-0000-000064330000}"/>
    <cellStyle name="Normal 2 7 4 2" xfId="28345" xr:uid="{00000000-0005-0000-0000-000065330000}"/>
    <cellStyle name="Normal 2 7 5" xfId="21745" xr:uid="{00000000-0005-0000-0000-000066330000}"/>
    <cellStyle name="Normal 2 8" xfId="5075" xr:uid="{00000000-0005-0000-0000-000067330000}"/>
    <cellStyle name="Normal 20" xfId="597" xr:uid="{00000000-0005-0000-0000-000068330000}"/>
    <cellStyle name="Normal 20 2" xfId="350" xr:uid="{00000000-0005-0000-0000-000069330000}"/>
    <cellStyle name="Normal 21" xfId="598" xr:uid="{00000000-0005-0000-0000-00006A330000}"/>
    <cellStyle name="Normal 21 2" xfId="519" xr:uid="{00000000-0005-0000-0000-00006B330000}"/>
    <cellStyle name="Normal 22" xfId="599" xr:uid="{00000000-0005-0000-0000-00006C330000}"/>
    <cellStyle name="Normal 22 2" xfId="520" xr:uid="{00000000-0005-0000-0000-00006D330000}"/>
    <cellStyle name="Normal 22 3" xfId="521" xr:uid="{00000000-0005-0000-0000-00006E330000}"/>
    <cellStyle name="Normal 23" xfId="600" xr:uid="{00000000-0005-0000-0000-00006F330000}"/>
    <cellStyle name="Normal 23 2" xfId="522" xr:uid="{00000000-0005-0000-0000-000070330000}"/>
    <cellStyle name="Normal 24" xfId="601" xr:uid="{00000000-0005-0000-0000-000071330000}"/>
    <cellStyle name="Normal 24 2" xfId="523" xr:uid="{00000000-0005-0000-0000-000072330000}"/>
    <cellStyle name="Normal 24 3" xfId="524" xr:uid="{00000000-0005-0000-0000-000073330000}"/>
    <cellStyle name="Normal 25" xfId="602" xr:uid="{00000000-0005-0000-0000-000074330000}"/>
    <cellStyle name="Normal 25 2" xfId="525" xr:uid="{00000000-0005-0000-0000-000075330000}"/>
    <cellStyle name="Normal 25 3" xfId="526" xr:uid="{00000000-0005-0000-0000-000076330000}"/>
    <cellStyle name="Normal 26" xfId="603" xr:uid="{00000000-0005-0000-0000-000077330000}"/>
    <cellStyle name="Normal 26 2" xfId="527" xr:uid="{00000000-0005-0000-0000-000078330000}"/>
    <cellStyle name="Normal 26 3" xfId="528" xr:uid="{00000000-0005-0000-0000-000079330000}"/>
    <cellStyle name="Normal 27" xfId="604" xr:uid="{00000000-0005-0000-0000-00007A330000}"/>
    <cellStyle name="Normal 27 2" xfId="529" xr:uid="{00000000-0005-0000-0000-00007B330000}"/>
    <cellStyle name="Normal 27 3" xfId="530" xr:uid="{00000000-0005-0000-0000-00007C330000}"/>
    <cellStyle name="Normal 28" xfId="605" xr:uid="{00000000-0005-0000-0000-00007D330000}"/>
    <cellStyle name="Normal 28 2" xfId="531" xr:uid="{00000000-0005-0000-0000-00007E330000}"/>
    <cellStyle name="Normal 28 2 2" xfId="532" xr:uid="{00000000-0005-0000-0000-00007F330000}"/>
    <cellStyle name="Normal 28 2 3" xfId="533" xr:uid="{00000000-0005-0000-0000-000080330000}"/>
    <cellStyle name="Normal 28 3" xfId="534" xr:uid="{00000000-0005-0000-0000-000081330000}"/>
    <cellStyle name="Normal 28 4" xfId="535" xr:uid="{00000000-0005-0000-0000-000082330000}"/>
    <cellStyle name="Normal 29" xfId="536" xr:uid="{00000000-0005-0000-0000-000083330000}"/>
    <cellStyle name="Normal 29 2" xfId="537" xr:uid="{00000000-0005-0000-0000-000084330000}"/>
    <cellStyle name="Normal 3" xfId="351" xr:uid="{00000000-0005-0000-0000-000085330000}"/>
    <cellStyle name="Normal 3 2" xfId="352" xr:uid="{00000000-0005-0000-0000-000086330000}"/>
    <cellStyle name="Normal 3 2 2" xfId="538" xr:uid="{00000000-0005-0000-0000-000087330000}"/>
    <cellStyle name="Normal 3 2 2 2" xfId="5080" xr:uid="{00000000-0005-0000-0000-000088330000}"/>
    <cellStyle name="Normal 3 3" xfId="353" xr:uid="{00000000-0005-0000-0000-000089330000}"/>
    <cellStyle name="Normal 3 4" xfId="5079" xr:uid="{00000000-0005-0000-0000-00008A330000}"/>
    <cellStyle name="Normal 30" xfId="539" xr:uid="{00000000-0005-0000-0000-00008B330000}"/>
    <cellStyle name="Normal 30 2" xfId="540" xr:uid="{00000000-0005-0000-0000-00008C330000}"/>
    <cellStyle name="Normal 30 3" xfId="541" xr:uid="{00000000-0005-0000-0000-00008D330000}"/>
    <cellStyle name="Normal 31" xfId="542" xr:uid="{00000000-0005-0000-0000-00008E330000}"/>
    <cellStyle name="Normal 31 2" xfId="843" xr:uid="{00000000-0005-0000-0000-00008F330000}"/>
    <cellStyle name="Normal 31 3" xfId="844" xr:uid="{00000000-0005-0000-0000-000090330000}"/>
    <cellStyle name="Normal 31 4" xfId="845" xr:uid="{00000000-0005-0000-0000-000091330000}"/>
    <cellStyle name="Normal 32" xfId="573" xr:uid="{00000000-0005-0000-0000-000092330000}"/>
    <cellStyle name="Normal 32 2" xfId="677" xr:uid="{00000000-0005-0000-0000-000093330000}"/>
    <cellStyle name="Normal 32 2 2" xfId="847" xr:uid="{00000000-0005-0000-0000-000094330000}"/>
    <cellStyle name="Normal 32 3" xfId="639" xr:uid="{00000000-0005-0000-0000-000095330000}"/>
    <cellStyle name="Normal 32 3 2" xfId="848" xr:uid="{00000000-0005-0000-0000-000096330000}"/>
    <cellStyle name="Normal 32 4" xfId="846" xr:uid="{00000000-0005-0000-0000-000097330000}"/>
    <cellStyle name="Normal 33" xfId="849" xr:uid="{00000000-0005-0000-0000-000098330000}"/>
    <cellStyle name="Normal 33 2" xfId="979" xr:uid="{00000000-0005-0000-0000-000099330000}"/>
    <cellStyle name="Normal 34" xfId="850" xr:uid="{00000000-0005-0000-0000-00009A330000}"/>
    <cellStyle name="Normal 34 2" xfId="1053" xr:uid="{00000000-0005-0000-0000-00009B330000}"/>
    <cellStyle name="Normal 34 2 2" xfId="2376" xr:uid="{00000000-0005-0000-0000-00009C330000}"/>
    <cellStyle name="Normal 34 2 3" xfId="2375" xr:uid="{00000000-0005-0000-0000-00009D330000}"/>
    <cellStyle name="Normal 34 2 3 2" xfId="19106" xr:uid="{00000000-0005-0000-0000-00009E330000}"/>
    <cellStyle name="Normal 34 2 4" xfId="3979" xr:uid="{00000000-0005-0000-0000-00009F330000}"/>
    <cellStyle name="Normal 34 2 4 2" xfId="20702" xr:uid="{00000000-0005-0000-0000-0000A0330000}"/>
    <cellStyle name="Normal 34 3" xfId="2377" xr:uid="{00000000-0005-0000-0000-0000A1330000}"/>
    <cellStyle name="Normal 34 4" xfId="2374" xr:uid="{00000000-0005-0000-0000-0000A2330000}"/>
    <cellStyle name="Normal 34 4 2" xfId="19105" xr:uid="{00000000-0005-0000-0000-0000A3330000}"/>
    <cellStyle name="Normal 34 5" xfId="3978" xr:uid="{00000000-0005-0000-0000-0000A4330000}"/>
    <cellStyle name="Normal 34 5 2" xfId="20701" xr:uid="{00000000-0005-0000-0000-0000A5330000}"/>
    <cellStyle name="Normal 35" xfId="2378" xr:uid="{00000000-0005-0000-0000-0000A6330000}"/>
    <cellStyle name="Normal 35 2" xfId="6711" xr:uid="{00000000-0005-0000-0000-0000A7330000}"/>
    <cellStyle name="Normal 35 3" xfId="6752" xr:uid="{00000000-0005-0000-0000-0000A8330000}"/>
    <cellStyle name="Normal 35 4" xfId="5025" xr:uid="{00000000-0005-0000-0000-0000A9330000}"/>
    <cellStyle name="Normal 35 5" xfId="3980" xr:uid="{00000000-0005-0000-0000-0000AA330000}"/>
    <cellStyle name="Normal 35 5 2" xfId="20703" xr:uid="{00000000-0005-0000-0000-0000AB330000}"/>
    <cellStyle name="Normal 36" xfId="2379" xr:uid="{00000000-0005-0000-0000-0000AC330000}"/>
    <cellStyle name="Normal 36 2" xfId="6747" xr:uid="{00000000-0005-0000-0000-0000AD330000}"/>
    <cellStyle name="Normal 36 3" xfId="6796" xr:uid="{00000000-0005-0000-0000-0000AE330000}"/>
    <cellStyle name="Normal 36 4" xfId="5022" xr:uid="{00000000-0005-0000-0000-0000AF330000}"/>
    <cellStyle name="Normal 36 5" xfId="3981" xr:uid="{00000000-0005-0000-0000-0000B0330000}"/>
    <cellStyle name="Normal 36 5 2" xfId="20704" xr:uid="{00000000-0005-0000-0000-0000B1330000}"/>
    <cellStyle name="Normal 37" xfId="1815" xr:uid="{00000000-0005-0000-0000-0000B2330000}"/>
    <cellStyle name="Normal 37 2" xfId="6816" xr:uid="{00000000-0005-0000-0000-0000B3330000}"/>
    <cellStyle name="Normal 37 2 2" xfId="10129" xr:uid="{00000000-0005-0000-0000-0000B4330000}"/>
    <cellStyle name="Normal 37 2 2 2" xfId="17392" xr:uid="{00000000-0005-0000-0000-0000B5330000}"/>
    <cellStyle name="Normal 37 2 2 2 2" xfId="33707" xr:uid="{00000000-0005-0000-0000-0000B6330000}"/>
    <cellStyle name="Normal 37 2 2 3" xfId="26742" xr:uid="{00000000-0005-0000-0000-0000B7330000}"/>
    <cellStyle name="Normal 37 2 3" xfId="13474" xr:uid="{00000000-0005-0000-0000-0000B8330000}"/>
    <cellStyle name="Normal 37 2 3 2" xfId="30046" xr:uid="{00000000-0005-0000-0000-0000B9330000}"/>
    <cellStyle name="Normal 37 2 4" xfId="23442" xr:uid="{00000000-0005-0000-0000-0000BA330000}"/>
    <cellStyle name="Normal 37 3" xfId="8451" xr:uid="{00000000-0005-0000-0000-0000BB330000}"/>
    <cellStyle name="Normal 37 3 2" xfId="15714" xr:uid="{00000000-0005-0000-0000-0000BC330000}"/>
    <cellStyle name="Normal 37 3 2 2" xfId="32029" xr:uid="{00000000-0005-0000-0000-0000BD330000}"/>
    <cellStyle name="Normal 37 3 3" xfId="25064" xr:uid="{00000000-0005-0000-0000-0000BE330000}"/>
    <cellStyle name="Normal 37 4" xfId="11766" xr:uid="{00000000-0005-0000-0000-0000BF330000}"/>
    <cellStyle name="Normal 37 4 2" xfId="28364" xr:uid="{00000000-0005-0000-0000-0000C0330000}"/>
    <cellStyle name="Normal 37 5" xfId="5045" xr:uid="{00000000-0005-0000-0000-0000C1330000}"/>
    <cellStyle name="Normal 37 5 2" xfId="21764" xr:uid="{00000000-0005-0000-0000-0000C2330000}"/>
    <cellStyle name="Normal 37 6" xfId="18550" xr:uid="{00000000-0005-0000-0000-0000C3330000}"/>
    <cellStyle name="Normal 38" xfId="13736" xr:uid="{00000000-0005-0000-0000-0000C4330000}"/>
    <cellStyle name="Normal 38 2" xfId="30095" xr:uid="{00000000-0005-0000-0000-0000C5330000}"/>
    <cellStyle name="Normal 39" xfId="13528" xr:uid="{00000000-0005-0000-0000-0000C6330000}"/>
    <cellStyle name="Normal 39 2" xfId="30063" xr:uid="{00000000-0005-0000-0000-0000C7330000}"/>
    <cellStyle name="Normal 4" xfId="354" xr:uid="{00000000-0005-0000-0000-0000C8330000}"/>
    <cellStyle name="Normal 4 2" xfId="355" xr:uid="{00000000-0005-0000-0000-0000C9330000}"/>
    <cellStyle name="Normal 4 2 2" xfId="543" xr:uid="{00000000-0005-0000-0000-0000CA330000}"/>
    <cellStyle name="Normal 4 2 2 10" xfId="10159" xr:uid="{00000000-0005-0000-0000-0000CB330000}"/>
    <cellStyle name="Normal 4 2 2 10 2" xfId="26765" xr:uid="{00000000-0005-0000-0000-0000CC330000}"/>
    <cellStyle name="Normal 4 2 2 11" xfId="3982" xr:uid="{00000000-0005-0000-0000-0000CD330000}"/>
    <cellStyle name="Normal 4 2 2 11 2" xfId="20705" xr:uid="{00000000-0005-0000-0000-0000CE330000}"/>
    <cellStyle name="Normal 4 2 2 12" xfId="17415" xr:uid="{00000000-0005-0000-0000-0000CF330000}"/>
    <cellStyle name="Normal 4 2 2 2" xfId="606" xr:uid="{00000000-0005-0000-0000-0000D0330000}"/>
    <cellStyle name="Normal 4 2 2 2 10" xfId="3983" xr:uid="{00000000-0005-0000-0000-0000D1330000}"/>
    <cellStyle name="Normal 4 2 2 2 10 2" xfId="20706" xr:uid="{00000000-0005-0000-0000-0000D2330000}"/>
    <cellStyle name="Normal 4 2 2 2 11" xfId="17432" xr:uid="{00000000-0005-0000-0000-0000D3330000}"/>
    <cellStyle name="Normal 4 2 2 2 2" xfId="688" xr:uid="{00000000-0005-0000-0000-0000D4330000}"/>
    <cellStyle name="Normal 4 2 2 2 2 10" xfId="17502" xr:uid="{00000000-0005-0000-0000-0000D5330000}"/>
    <cellStyle name="Normal 4 2 2 2 2 2" xfId="1023" xr:uid="{00000000-0005-0000-0000-0000D6330000}"/>
    <cellStyle name="Normal 4 2 2 2 2 2 2" xfId="1148" xr:uid="{00000000-0005-0000-0000-0000D7330000}"/>
    <cellStyle name="Normal 4 2 2 2 2 2 2 2" xfId="1669" xr:uid="{00000000-0005-0000-0000-0000D8330000}"/>
    <cellStyle name="Normal 4 2 2 2 2 2 2 2 2" xfId="2386" xr:uid="{00000000-0005-0000-0000-0000D9330000}"/>
    <cellStyle name="Normal 4 2 2 2 2 2 2 2 2 2" xfId="6563" xr:uid="{00000000-0005-0000-0000-0000DA330000}"/>
    <cellStyle name="Normal 4 2 2 2 2 2 2 2 2 2 2" xfId="9914" xr:uid="{00000000-0005-0000-0000-0000DB330000}"/>
    <cellStyle name="Normal 4 2 2 2 2 2 2 2 2 2 2 2" xfId="17177" xr:uid="{00000000-0005-0000-0000-0000DC330000}"/>
    <cellStyle name="Normal 4 2 2 2 2 2 2 2 2 2 2 2 2" xfId="33492" xr:uid="{00000000-0005-0000-0000-0000DD330000}"/>
    <cellStyle name="Normal 4 2 2 2 2 2 2 2 2 2 2 3" xfId="26527" xr:uid="{00000000-0005-0000-0000-0000DE330000}"/>
    <cellStyle name="Normal 4 2 2 2 2 2 2 2 2 2 3" xfId="13256" xr:uid="{00000000-0005-0000-0000-0000DF330000}"/>
    <cellStyle name="Normal 4 2 2 2 2 2 2 2 2 2 3 2" xfId="29831" xr:uid="{00000000-0005-0000-0000-0000E0330000}"/>
    <cellStyle name="Normal 4 2 2 2 2 2 2 2 2 2 4" xfId="23227" xr:uid="{00000000-0005-0000-0000-0000E1330000}"/>
    <cellStyle name="Normal 4 2 2 2 2 2 2 2 2 3" xfId="8293" xr:uid="{00000000-0005-0000-0000-0000E2330000}"/>
    <cellStyle name="Normal 4 2 2 2 2 2 2 2 2 3 2" xfId="15556" xr:uid="{00000000-0005-0000-0000-0000E3330000}"/>
    <cellStyle name="Normal 4 2 2 2 2 2 2 2 2 3 2 2" xfId="31871" xr:uid="{00000000-0005-0000-0000-0000E4330000}"/>
    <cellStyle name="Normal 4 2 2 2 2 2 2 2 2 3 3" xfId="24906" xr:uid="{00000000-0005-0000-0000-0000E5330000}"/>
    <cellStyle name="Normal 4 2 2 2 2 2 2 2 2 4" xfId="11608" xr:uid="{00000000-0005-0000-0000-0000E6330000}"/>
    <cellStyle name="Normal 4 2 2 2 2 2 2 2 2 4 2" xfId="28206" xr:uid="{00000000-0005-0000-0000-0000E7330000}"/>
    <cellStyle name="Normal 4 2 2 2 2 2 2 2 2 5" xfId="3988" xr:uid="{00000000-0005-0000-0000-0000E8330000}"/>
    <cellStyle name="Normal 4 2 2 2 2 2 2 2 2 5 2" xfId="20711" xr:uid="{00000000-0005-0000-0000-0000E9330000}"/>
    <cellStyle name="Normal 4 2 2 2 2 2 2 2 2 6" xfId="19113" xr:uid="{00000000-0005-0000-0000-0000EA330000}"/>
    <cellStyle name="Normal 4 2 2 2 2 2 2 2 3" xfId="2385" xr:uid="{00000000-0005-0000-0000-0000EB330000}"/>
    <cellStyle name="Normal 4 2 2 2 2 2 2 2 3 2" xfId="9138" xr:uid="{00000000-0005-0000-0000-0000EC330000}"/>
    <cellStyle name="Normal 4 2 2 2 2 2 2 2 3 2 2" xfId="16401" xr:uid="{00000000-0005-0000-0000-0000ED330000}"/>
    <cellStyle name="Normal 4 2 2 2 2 2 2 2 3 2 2 2" xfId="32716" xr:uid="{00000000-0005-0000-0000-0000EE330000}"/>
    <cellStyle name="Normal 4 2 2 2 2 2 2 2 3 2 3" xfId="25751" xr:uid="{00000000-0005-0000-0000-0000EF330000}"/>
    <cellStyle name="Normal 4 2 2 2 2 2 2 2 3 3" xfId="12480" xr:uid="{00000000-0005-0000-0000-0000F0330000}"/>
    <cellStyle name="Normal 4 2 2 2 2 2 2 2 3 3 2" xfId="29055" xr:uid="{00000000-0005-0000-0000-0000F1330000}"/>
    <cellStyle name="Normal 4 2 2 2 2 2 2 2 3 4" xfId="5787" xr:uid="{00000000-0005-0000-0000-0000F2330000}"/>
    <cellStyle name="Normal 4 2 2 2 2 2 2 2 3 4 2" xfId="22451" xr:uid="{00000000-0005-0000-0000-0000F3330000}"/>
    <cellStyle name="Normal 4 2 2 2 2 2 2 2 3 5" xfId="19112" xr:uid="{00000000-0005-0000-0000-0000F4330000}"/>
    <cellStyle name="Normal 4 2 2 2 2 2 2 2 4" xfId="7517" xr:uid="{00000000-0005-0000-0000-0000F5330000}"/>
    <cellStyle name="Normal 4 2 2 2 2 2 2 2 4 2" xfId="14780" xr:uid="{00000000-0005-0000-0000-0000F6330000}"/>
    <cellStyle name="Normal 4 2 2 2 2 2 2 2 4 2 2" xfId="31095" xr:uid="{00000000-0005-0000-0000-0000F7330000}"/>
    <cellStyle name="Normal 4 2 2 2 2 2 2 2 4 3" xfId="24130" xr:uid="{00000000-0005-0000-0000-0000F8330000}"/>
    <cellStyle name="Normal 4 2 2 2 2 2 2 2 5" xfId="10832" xr:uid="{00000000-0005-0000-0000-0000F9330000}"/>
    <cellStyle name="Normal 4 2 2 2 2 2 2 2 5 2" xfId="27430" xr:uid="{00000000-0005-0000-0000-0000FA330000}"/>
    <cellStyle name="Normal 4 2 2 2 2 2 2 2 6" xfId="3987" xr:uid="{00000000-0005-0000-0000-0000FB330000}"/>
    <cellStyle name="Normal 4 2 2 2 2 2 2 2 6 2" xfId="20710" xr:uid="{00000000-0005-0000-0000-0000FC330000}"/>
    <cellStyle name="Normal 4 2 2 2 2 2 2 2 7" xfId="18404" xr:uid="{00000000-0005-0000-0000-0000FD330000}"/>
    <cellStyle name="Normal 4 2 2 2 2 2 2 3" xfId="2387" xr:uid="{00000000-0005-0000-0000-0000FE330000}"/>
    <cellStyle name="Normal 4 2 2 2 2 2 2 3 2" xfId="6193" xr:uid="{00000000-0005-0000-0000-0000FF330000}"/>
    <cellStyle name="Normal 4 2 2 2 2 2 2 3 2 2" xfId="9544" xr:uid="{00000000-0005-0000-0000-000000340000}"/>
    <cellStyle name="Normal 4 2 2 2 2 2 2 3 2 2 2" xfId="16807" xr:uid="{00000000-0005-0000-0000-000001340000}"/>
    <cellStyle name="Normal 4 2 2 2 2 2 2 3 2 2 2 2" xfId="33122" xr:uid="{00000000-0005-0000-0000-000002340000}"/>
    <cellStyle name="Normal 4 2 2 2 2 2 2 3 2 2 3" xfId="26157" xr:uid="{00000000-0005-0000-0000-000003340000}"/>
    <cellStyle name="Normal 4 2 2 2 2 2 2 3 2 3" xfId="12886" xr:uid="{00000000-0005-0000-0000-000004340000}"/>
    <cellStyle name="Normal 4 2 2 2 2 2 2 3 2 3 2" xfId="29461" xr:uid="{00000000-0005-0000-0000-000005340000}"/>
    <cellStyle name="Normal 4 2 2 2 2 2 2 3 2 4" xfId="22857" xr:uid="{00000000-0005-0000-0000-000006340000}"/>
    <cellStyle name="Normal 4 2 2 2 2 2 2 3 3" xfId="7923" xr:uid="{00000000-0005-0000-0000-000007340000}"/>
    <cellStyle name="Normal 4 2 2 2 2 2 2 3 3 2" xfId="15186" xr:uid="{00000000-0005-0000-0000-000008340000}"/>
    <cellStyle name="Normal 4 2 2 2 2 2 2 3 3 2 2" xfId="31501" xr:uid="{00000000-0005-0000-0000-000009340000}"/>
    <cellStyle name="Normal 4 2 2 2 2 2 2 3 3 3" xfId="24536" xr:uid="{00000000-0005-0000-0000-00000A340000}"/>
    <cellStyle name="Normal 4 2 2 2 2 2 2 3 4" xfId="11238" xr:uid="{00000000-0005-0000-0000-00000B340000}"/>
    <cellStyle name="Normal 4 2 2 2 2 2 2 3 4 2" xfId="27836" xr:uid="{00000000-0005-0000-0000-00000C340000}"/>
    <cellStyle name="Normal 4 2 2 2 2 2 2 3 5" xfId="3989" xr:uid="{00000000-0005-0000-0000-00000D340000}"/>
    <cellStyle name="Normal 4 2 2 2 2 2 2 3 5 2" xfId="20712" xr:uid="{00000000-0005-0000-0000-00000E340000}"/>
    <cellStyle name="Normal 4 2 2 2 2 2 2 3 6" xfId="19114" xr:uid="{00000000-0005-0000-0000-00000F340000}"/>
    <cellStyle name="Normal 4 2 2 2 2 2 2 4" xfId="2384" xr:uid="{00000000-0005-0000-0000-000010340000}"/>
    <cellStyle name="Normal 4 2 2 2 2 2 2 4 2" xfId="8731" xr:uid="{00000000-0005-0000-0000-000011340000}"/>
    <cellStyle name="Normal 4 2 2 2 2 2 2 4 2 2" xfId="15994" xr:uid="{00000000-0005-0000-0000-000012340000}"/>
    <cellStyle name="Normal 4 2 2 2 2 2 2 4 2 2 2" xfId="32309" xr:uid="{00000000-0005-0000-0000-000013340000}"/>
    <cellStyle name="Normal 4 2 2 2 2 2 2 4 2 3" xfId="25344" xr:uid="{00000000-0005-0000-0000-000014340000}"/>
    <cellStyle name="Normal 4 2 2 2 2 2 2 4 3" xfId="12073" xr:uid="{00000000-0005-0000-0000-000015340000}"/>
    <cellStyle name="Normal 4 2 2 2 2 2 2 4 3 2" xfId="28648" xr:uid="{00000000-0005-0000-0000-000016340000}"/>
    <cellStyle name="Normal 4 2 2 2 2 2 2 4 4" xfId="5380" xr:uid="{00000000-0005-0000-0000-000017340000}"/>
    <cellStyle name="Normal 4 2 2 2 2 2 2 4 4 2" xfId="22044" xr:uid="{00000000-0005-0000-0000-000018340000}"/>
    <cellStyle name="Normal 4 2 2 2 2 2 2 4 5" xfId="19111" xr:uid="{00000000-0005-0000-0000-000019340000}"/>
    <cellStyle name="Normal 4 2 2 2 2 2 2 5" xfId="7111" xr:uid="{00000000-0005-0000-0000-00001A340000}"/>
    <cellStyle name="Normal 4 2 2 2 2 2 2 5 2" xfId="14374" xr:uid="{00000000-0005-0000-0000-00001B340000}"/>
    <cellStyle name="Normal 4 2 2 2 2 2 2 5 2 2" xfId="30689" xr:uid="{00000000-0005-0000-0000-00001C340000}"/>
    <cellStyle name="Normal 4 2 2 2 2 2 2 5 3" xfId="23724" xr:uid="{00000000-0005-0000-0000-00001D340000}"/>
    <cellStyle name="Normal 4 2 2 2 2 2 2 6" xfId="10426" xr:uid="{00000000-0005-0000-0000-00001E340000}"/>
    <cellStyle name="Normal 4 2 2 2 2 2 2 6 2" xfId="27024" xr:uid="{00000000-0005-0000-0000-00001F340000}"/>
    <cellStyle name="Normal 4 2 2 2 2 2 2 7" xfId="3986" xr:uid="{00000000-0005-0000-0000-000020340000}"/>
    <cellStyle name="Normal 4 2 2 2 2 2 2 7 2" xfId="20709" xr:uid="{00000000-0005-0000-0000-000021340000}"/>
    <cellStyle name="Normal 4 2 2 2 2 2 2 8" xfId="17885" xr:uid="{00000000-0005-0000-0000-000022340000}"/>
    <cellStyle name="Normal 4 2 2 2 2 2 3" xfId="1584" xr:uid="{00000000-0005-0000-0000-000023340000}"/>
    <cellStyle name="Normal 4 2 2 2 2 2 3 2" xfId="2389" xr:uid="{00000000-0005-0000-0000-000024340000}"/>
    <cellStyle name="Normal 4 2 2 2 2 2 3 2 2" xfId="6387" xr:uid="{00000000-0005-0000-0000-000025340000}"/>
    <cellStyle name="Normal 4 2 2 2 2 2 3 2 2 2" xfId="9738" xr:uid="{00000000-0005-0000-0000-000026340000}"/>
    <cellStyle name="Normal 4 2 2 2 2 2 3 2 2 2 2" xfId="17001" xr:uid="{00000000-0005-0000-0000-000027340000}"/>
    <cellStyle name="Normal 4 2 2 2 2 2 3 2 2 2 2 2" xfId="33316" xr:uid="{00000000-0005-0000-0000-000028340000}"/>
    <cellStyle name="Normal 4 2 2 2 2 2 3 2 2 2 3" xfId="26351" xr:uid="{00000000-0005-0000-0000-000029340000}"/>
    <cellStyle name="Normal 4 2 2 2 2 2 3 2 2 3" xfId="13080" xr:uid="{00000000-0005-0000-0000-00002A340000}"/>
    <cellStyle name="Normal 4 2 2 2 2 2 3 2 2 3 2" xfId="29655" xr:uid="{00000000-0005-0000-0000-00002B340000}"/>
    <cellStyle name="Normal 4 2 2 2 2 2 3 2 2 4" xfId="23051" xr:uid="{00000000-0005-0000-0000-00002C340000}"/>
    <cellStyle name="Normal 4 2 2 2 2 2 3 2 3" xfId="8117" xr:uid="{00000000-0005-0000-0000-00002D340000}"/>
    <cellStyle name="Normal 4 2 2 2 2 2 3 2 3 2" xfId="15380" xr:uid="{00000000-0005-0000-0000-00002E340000}"/>
    <cellStyle name="Normal 4 2 2 2 2 2 3 2 3 2 2" xfId="31695" xr:uid="{00000000-0005-0000-0000-00002F340000}"/>
    <cellStyle name="Normal 4 2 2 2 2 2 3 2 3 3" xfId="24730" xr:uid="{00000000-0005-0000-0000-000030340000}"/>
    <cellStyle name="Normal 4 2 2 2 2 2 3 2 4" xfId="11432" xr:uid="{00000000-0005-0000-0000-000031340000}"/>
    <cellStyle name="Normal 4 2 2 2 2 2 3 2 4 2" xfId="28030" xr:uid="{00000000-0005-0000-0000-000032340000}"/>
    <cellStyle name="Normal 4 2 2 2 2 2 3 2 5" xfId="3991" xr:uid="{00000000-0005-0000-0000-000033340000}"/>
    <cellStyle name="Normal 4 2 2 2 2 2 3 2 5 2" xfId="20714" xr:uid="{00000000-0005-0000-0000-000034340000}"/>
    <cellStyle name="Normal 4 2 2 2 2 2 3 2 6" xfId="19116" xr:uid="{00000000-0005-0000-0000-000035340000}"/>
    <cellStyle name="Normal 4 2 2 2 2 2 3 3" xfId="2388" xr:uid="{00000000-0005-0000-0000-000036340000}"/>
    <cellStyle name="Normal 4 2 2 2 2 2 3 3 2" xfId="8926" xr:uid="{00000000-0005-0000-0000-000037340000}"/>
    <cellStyle name="Normal 4 2 2 2 2 2 3 3 2 2" xfId="16189" xr:uid="{00000000-0005-0000-0000-000038340000}"/>
    <cellStyle name="Normal 4 2 2 2 2 2 3 3 2 2 2" xfId="32504" xr:uid="{00000000-0005-0000-0000-000039340000}"/>
    <cellStyle name="Normal 4 2 2 2 2 2 3 3 2 3" xfId="25539" xr:uid="{00000000-0005-0000-0000-00003A340000}"/>
    <cellStyle name="Normal 4 2 2 2 2 2 3 3 3" xfId="12268" xr:uid="{00000000-0005-0000-0000-00003B340000}"/>
    <cellStyle name="Normal 4 2 2 2 2 2 3 3 3 2" xfId="28843" xr:uid="{00000000-0005-0000-0000-00003C340000}"/>
    <cellStyle name="Normal 4 2 2 2 2 2 3 3 4" xfId="5575" xr:uid="{00000000-0005-0000-0000-00003D340000}"/>
    <cellStyle name="Normal 4 2 2 2 2 2 3 3 4 2" xfId="22239" xr:uid="{00000000-0005-0000-0000-00003E340000}"/>
    <cellStyle name="Normal 4 2 2 2 2 2 3 3 5" xfId="19115" xr:uid="{00000000-0005-0000-0000-00003F340000}"/>
    <cellStyle name="Normal 4 2 2 2 2 2 3 4" xfId="7305" xr:uid="{00000000-0005-0000-0000-000040340000}"/>
    <cellStyle name="Normal 4 2 2 2 2 2 3 4 2" xfId="14568" xr:uid="{00000000-0005-0000-0000-000041340000}"/>
    <cellStyle name="Normal 4 2 2 2 2 2 3 4 2 2" xfId="30883" xr:uid="{00000000-0005-0000-0000-000042340000}"/>
    <cellStyle name="Normal 4 2 2 2 2 2 3 4 3" xfId="23918" xr:uid="{00000000-0005-0000-0000-000043340000}"/>
    <cellStyle name="Normal 4 2 2 2 2 2 3 5" xfId="10620" xr:uid="{00000000-0005-0000-0000-000044340000}"/>
    <cellStyle name="Normal 4 2 2 2 2 2 3 5 2" xfId="27218" xr:uid="{00000000-0005-0000-0000-000045340000}"/>
    <cellStyle name="Normal 4 2 2 2 2 2 3 6" xfId="3990" xr:uid="{00000000-0005-0000-0000-000046340000}"/>
    <cellStyle name="Normal 4 2 2 2 2 2 3 6 2" xfId="20713" xr:uid="{00000000-0005-0000-0000-000047340000}"/>
    <cellStyle name="Normal 4 2 2 2 2 2 3 7" xfId="18319" xr:uid="{00000000-0005-0000-0000-000048340000}"/>
    <cellStyle name="Normal 4 2 2 2 2 2 4" xfId="2390" xr:uid="{00000000-0005-0000-0000-000049340000}"/>
    <cellStyle name="Normal 4 2 2 2 2 2 4 2" xfId="5981" xr:uid="{00000000-0005-0000-0000-00004A340000}"/>
    <cellStyle name="Normal 4 2 2 2 2 2 4 2 2" xfId="9332" xr:uid="{00000000-0005-0000-0000-00004B340000}"/>
    <cellStyle name="Normal 4 2 2 2 2 2 4 2 2 2" xfId="16595" xr:uid="{00000000-0005-0000-0000-00004C340000}"/>
    <cellStyle name="Normal 4 2 2 2 2 2 4 2 2 2 2" xfId="32910" xr:uid="{00000000-0005-0000-0000-00004D340000}"/>
    <cellStyle name="Normal 4 2 2 2 2 2 4 2 2 3" xfId="25945" xr:uid="{00000000-0005-0000-0000-00004E340000}"/>
    <cellStyle name="Normal 4 2 2 2 2 2 4 2 3" xfId="12674" xr:uid="{00000000-0005-0000-0000-00004F340000}"/>
    <cellStyle name="Normal 4 2 2 2 2 2 4 2 3 2" xfId="29249" xr:uid="{00000000-0005-0000-0000-000050340000}"/>
    <cellStyle name="Normal 4 2 2 2 2 2 4 2 4" xfId="22645" xr:uid="{00000000-0005-0000-0000-000051340000}"/>
    <cellStyle name="Normal 4 2 2 2 2 2 4 3" xfId="7711" xr:uid="{00000000-0005-0000-0000-000052340000}"/>
    <cellStyle name="Normal 4 2 2 2 2 2 4 3 2" xfId="14974" xr:uid="{00000000-0005-0000-0000-000053340000}"/>
    <cellStyle name="Normal 4 2 2 2 2 2 4 3 2 2" xfId="31289" xr:uid="{00000000-0005-0000-0000-000054340000}"/>
    <cellStyle name="Normal 4 2 2 2 2 2 4 3 3" xfId="24324" xr:uid="{00000000-0005-0000-0000-000055340000}"/>
    <cellStyle name="Normal 4 2 2 2 2 2 4 4" xfId="11026" xr:uid="{00000000-0005-0000-0000-000056340000}"/>
    <cellStyle name="Normal 4 2 2 2 2 2 4 4 2" xfId="27624" xr:uid="{00000000-0005-0000-0000-000057340000}"/>
    <cellStyle name="Normal 4 2 2 2 2 2 4 5" xfId="3992" xr:uid="{00000000-0005-0000-0000-000058340000}"/>
    <cellStyle name="Normal 4 2 2 2 2 2 4 5 2" xfId="20715" xr:uid="{00000000-0005-0000-0000-000059340000}"/>
    <cellStyle name="Normal 4 2 2 2 2 2 4 6" xfId="19117" xr:uid="{00000000-0005-0000-0000-00005A340000}"/>
    <cellStyle name="Normal 4 2 2 2 2 2 5" xfId="2383" xr:uid="{00000000-0005-0000-0000-00005B340000}"/>
    <cellStyle name="Normal 4 2 2 2 2 2 5 2" xfId="8645" xr:uid="{00000000-0005-0000-0000-00005C340000}"/>
    <cellStyle name="Normal 4 2 2 2 2 2 5 2 2" xfId="15908" xr:uid="{00000000-0005-0000-0000-00005D340000}"/>
    <cellStyle name="Normal 4 2 2 2 2 2 5 2 2 2" xfId="32223" xr:uid="{00000000-0005-0000-0000-00005E340000}"/>
    <cellStyle name="Normal 4 2 2 2 2 2 5 2 3" xfId="25258" xr:uid="{00000000-0005-0000-0000-00005F340000}"/>
    <cellStyle name="Normal 4 2 2 2 2 2 5 3" xfId="11987" xr:uid="{00000000-0005-0000-0000-000060340000}"/>
    <cellStyle name="Normal 4 2 2 2 2 2 5 3 2" xfId="28562" xr:uid="{00000000-0005-0000-0000-000061340000}"/>
    <cellStyle name="Normal 4 2 2 2 2 2 5 4" xfId="5294" xr:uid="{00000000-0005-0000-0000-000062340000}"/>
    <cellStyle name="Normal 4 2 2 2 2 2 5 4 2" xfId="21958" xr:uid="{00000000-0005-0000-0000-000063340000}"/>
    <cellStyle name="Normal 4 2 2 2 2 2 5 5" xfId="19110" xr:uid="{00000000-0005-0000-0000-000064340000}"/>
    <cellStyle name="Normal 4 2 2 2 2 2 6" xfId="7026" xr:uid="{00000000-0005-0000-0000-000065340000}"/>
    <cellStyle name="Normal 4 2 2 2 2 2 6 2" xfId="14289" xr:uid="{00000000-0005-0000-0000-000066340000}"/>
    <cellStyle name="Normal 4 2 2 2 2 2 6 2 2" xfId="30604" xr:uid="{00000000-0005-0000-0000-000067340000}"/>
    <cellStyle name="Normal 4 2 2 2 2 2 6 3" xfId="23639" xr:uid="{00000000-0005-0000-0000-000068340000}"/>
    <cellStyle name="Normal 4 2 2 2 2 2 7" xfId="10340" xr:uid="{00000000-0005-0000-0000-000069340000}"/>
    <cellStyle name="Normal 4 2 2 2 2 2 7 2" xfId="26939" xr:uid="{00000000-0005-0000-0000-00006A340000}"/>
    <cellStyle name="Normal 4 2 2 2 2 2 8" xfId="3985" xr:uid="{00000000-0005-0000-0000-00006B340000}"/>
    <cellStyle name="Normal 4 2 2 2 2 2 8 2" xfId="20708" xr:uid="{00000000-0005-0000-0000-00006C340000}"/>
    <cellStyle name="Normal 4 2 2 2 2 2 9" xfId="17800" xr:uid="{00000000-0005-0000-0000-00006D340000}"/>
    <cellStyle name="Normal 4 2 2 2 2 3" xfId="1147" xr:uid="{00000000-0005-0000-0000-00006E340000}"/>
    <cellStyle name="Normal 4 2 2 2 2 3 2" xfId="1668" xr:uid="{00000000-0005-0000-0000-00006F340000}"/>
    <cellStyle name="Normal 4 2 2 2 2 3 2 2" xfId="2393" xr:uid="{00000000-0005-0000-0000-000070340000}"/>
    <cellStyle name="Normal 4 2 2 2 2 3 2 2 2" xfId="6562" xr:uid="{00000000-0005-0000-0000-000071340000}"/>
    <cellStyle name="Normal 4 2 2 2 2 3 2 2 2 2" xfId="9913" xr:uid="{00000000-0005-0000-0000-000072340000}"/>
    <cellStyle name="Normal 4 2 2 2 2 3 2 2 2 2 2" xfId="17176" xr:uid="{00000000-0005-0000-0000-000073340000}"/>
    <cellStyle name="Normal 4 2 2 2 2 3 2 2 2 2 2 2" xfId="33491" xr:uid="{00000000-0005-0000-0000-000074340000}"/>
    <cellStyle name="Normal 4 2 2 2 2 3 2 2 2 2 3" xfId="26526" xr:uid="{00000000-0005-0000-0000-000075340000}"/>
    <cellStyle name="Normal 4 2 2 2 2 3 2 2 2 3" xfId="13255" xr:uid="{00000000-0005-0000-0000-000076340000}"/>
    <cellStyle name="Normal 4 2 2 2 2 3 2 2 2 3 2" xfId="29830" xr:uid="{00000000-0005-0000-0000-000077340000}"/>
    <cellStyle name="Normal 4 2 2 2 2 3 2 2 2 4" xfId="23226" xr:uid="{00000000-0005-0000-0000-000078340000}"/>
    <cellStyle name="Normal 4 2 2 2 2 3 2 2 3" xfId="8292" xr:uid="{00000000-0005-0000-0000-000079340000}"/>
    <cellStyle name="Normal 4 2 2 2 2 3 2 2 3 2" xfId="15555" xr:uid="{00000000-0005-0000-0000-00007A340000}"/>
    <cellStyle name="Normal 4 2 2 2 2 3 2 2 3 2 2" xfId="31870" xr:uid="{00000000-0005-0000-0000-00007B340000}"/>
    <cellStyle name="Normal 4 2 2 2 2 3 2 2 3 3" xfId="24905" xr:uid="{00000000-0005-0000-0000-00007C340000}"/>
    <cellStyle name="Normal 4 2 2 2 2 3 2 2 4" xfId="11607" xr:uid="{00000000-0005-0000-0000-00007D340000}"/>
    <cellStyle name="Normal 4 2 2 2 2 3 2 2 4 2" xfId="28205" xr:uid="{00000000-0005-0000-0000-00007E340000}"/>
    <cellStyle name="Normal 4 2 2 2 2 3 2 2 5" xfId="3995" xr:uid="{00000000-0005-0000-0000-00007F340000}"/>
    <cellStyle name="Normal 4 2 2 2 2 3 2 2 5 2" xfId="20718" xr:uid="{00000000-0005-0000-0000-000080340000}"/>
    <cellStyle name="Normal 4 2 2 2 2 3 2 2 6" xfId="19120" xr:uid="{00000000-0005-0000-0000-000081340000}"/>
    <cellStyle name="Normal 4 2 2 2 2 3 2 3" xfId="2392" xr:uid="{00000000-0005-0000-0000-000082340000}"/>
    <cellStyle name="Normal 4 2 2 2 2 3 2 3 2" xfId="9137" xr:uid="{00000000-0005-0000-0000-000083340000}"/>
    <cellStyle name="Normal 4 2 2 2 2 3 2 3 2 2" xfId="16400" xr:uid="{00000000-0005-0000-0000-000084340000}"/>
    <cellStyle name="Normal 4 2 2 2 2 3 2 3 2 2 2" xfId="32715" xr:uid="{00000000-0005-0000-0000-000085340000}"/>
    <cellStyle name="Normal 4 2 2 2 2 3 2 3 2 3" xfId="25750" xr:uid="{00000000-0005-0000-0000-000086340000}"/>
    <cellStyle name="Normal 4 2 2 2 2 3 2 3 3" xfId="12479" xr:uid="{00000000-0005-0000-0000-000087340000}"/>
    <cellStyle name="Normal 4 2 2 2 2 3 2 3 3 2" xfId="29054" xr:uid="{00000000-0005-0000-0000-000088340000}"/>
    <cellStyle name="Normal 4 2 2 2 2 3 2 3 4" xfId="5786" xr:uid="{00000000-0005-0000-0000-000089340000}"/>
    <cellStyle name="Normal 4 2 2 2 2 3 2 3 4 2" xfId="22450" xr:uid="{00000000-0005-0000-0000-00008A340000}"/>
    <cellStyle name="Normal 4 2 2 2 2 3 2 3 5" xfId="19119" xr:uid="{00000000-0005-0000-0000-00008B340000}"/>
    <cellStyle name="Normal 4 2 2 2 2 3 2 4" xfId="7516" xr:uid="{00000000-0005-0000-0000-00008C340000}"/>
    <cellStyle name="Normal 4 2 2 2 2 3 2 4 2" xfId="14779" xr:uid="{00000000-0005-0000-0000-00008D340000}"/>
    <cellStyle name="Normal 4 2 2 2 2 3 2 4 2 2" xfId="31094" xr:uid="{00000000-0005-0000-0000-00008E340000}"/>
    <cellStyle name="Normal 4 2 2 2 2 3 2 4 3" xfId="24129" xr:uid="{00000000-0005-0000-0000-00008F340000}"/>
    <cellStyle name="Normal 4 2 2 2 2 3 2 5" xfId="10831" xr:uid="{00000000-0005-0000-0000-000090340000}"/>
    <cellStyle name="Normal 4 2 2 2 2 3 2 5 2" xfId="27429" xr:uid="{00000000-0005-0000-0000-000091340000}"/>
    <cellStyle name="Normal 4 2 2 2 2 3 2 6" xfId="3994" xr:uid="{00000000-0005-0000-0000-000092340000}"/>
    <cellStyle name="Normal 4 2 2 2 2 3 2 6 2" xfId="20717" xr:uid="{00000000-0005-0000-0000-000093340000}"/>
    <cellStyle name="Normal 4 2 2 2 2 3 2 7" xfId="18403" xr:uid="{00000000-0005-0000-0000-000094340000}"/>
    <cellStyle name="Normal 4 2 2 2 2 3 3" xfId="2394" xr:uid="{00000000-0005-0000-0000-000095340000}"/>
    <cellStyle name="Normal 4 2 2 2 2 3 3 2" xfId="6192" xr:uid="{00000000-0005-0000-0000-000096340000}"/>
    <cellStyle name="Normal 4 2 2 2 2 3 3 2 2" xfId="9543" xr:uid="{00000000-0005-0000-0000-000097340000}"/>
    <cellStyle name="Normal 4 2 2 2 2 3 3 2 2 2" xfId="16806" xr:uid="{00000000-0005-0000-0000-000098340000}"/>
    <cellStyle name="Normal 4 2 2 2 2 3 3 2 2 2 2" xfId="33121" xr:uid="{00000000-0005-0000-0000-000099340000}"/>
    <cellStyle name="Normal 4 2 2 2 2 3 3 2 2 3" xfId="26156" xr:uid="{00000000-0005-0000-0000-00009A340000}"/>
    <cellStyle name="Normal 4 2 2 2 2 3 3 2 3" xfId="12885" xr:uid="{00000000-0005-0000-0000-00009B340000}"/>
    <cellStyle name="Normal 4 2 2 2 2 3 3 2 3 2" xfId="29460" xr:uid="{00000000-0005-0000-0000-00009C340000}"/>
    <cellStyle name="Normal 4 2 2 2 2 3 3 2 4" xfId="22856" xr:uid="{00000000-0005-0000-0000-00009D340000}"/>
    <cellStyle name="Normal 4 2 2 2 2 3 3 3" xfId="7922" xr:uid="{00000000-0005-0000-0000-00009E340000}"/>
    <cellStyle name="Normal 4 2 2 2 2 3 3 3 2" xfId="15185" xr:uid="{00000000-0005-0000-0000-00009F340000}"/>
    <cellStyle name="Normal 4 2 2 2 2 3 3 3 2 2" xfId="31500" xr:uid="{00000000-0005-0000-0000-0000A0340000}"/>
    <cellStyle name="Normal 4 2 2 2 2 3 3 3 3" xfId="24535" xr:uid="{00000000-0005-0000-0000-0000A1340000}"/>
    <cellStyle name="Normal 4 2 2 2 2 3 3 4" xfId="11237" xr:uid="{00000000-0005-0000-0000-0000A2340000}"/>
    <cellStyle name="Normal 4 2 2 2 2 3 3 4 2" xfId="27835" xr:uid="{00000000-0005-0000-0000-0000A3340000}"/>
    <cellStyle name="Normal 4 2 2 2 2 3 3 5" xfId="3996" xr:uid="{00000000-0005-0000-0000-0000A4340000}"/>
    <cellStyle name="Normal 4 2 2 2 2 3 3 5 2" xfId="20719" xr:uid="{00000000-0005-0000-0000-0000A5340000}"/>
    <cellStyle name="Normal 4 2 2 2 2 3 3 6" xfId="19121" xr:uid="{00000000-0005-0000-0000-0000A6340000}"/>
    <cellStyle name="Normal 4 2 2 2 2 3 4" xfId="2391" xr:uid="{00000000-0005-0000-0000-0000A7340000}"/>
    <cellStyle name="Normal 4 2 2 2 2 3 4 2" xfId="8730" xr:uid="{00000000-0005-0000-0000-0000A8340000}"/>
    <cellStyle name="Normal 4 2 2 2 2 3 4 2 2" xfId="15993" xr:uid="{00000000-0005-0000-0000-0000A9340000}"/>
    <cellStyle name="Normal 4 2 2 2 2 3 4 2 2 2" xfId="32308" xr:uid="{00000000-0005-0000-0000-0000AA340000}"/>
    <cellStyle name="Normal 4 2 2 2 2 3 4 2 3" xfId="25343" xr:uid="{00000000-0005-0000-0000-0000AB340000}"/>
    <cellStyle name="Normal 4 2 2 2 2 3 4 3" xfId="12072" xr:uid="{00000000-0005-0000-0000-0000AC340000}"/>
    <cellStyle name="Normal 4 2 2 2 2 3 4 3 2" xfId="28647" xr:uid="{00000000-0005-0000-0000-0000AD340000}"/>
    <cellStyle name="Normal 4 2 2 2 2 3 4 4" xfId="5379" xr:uid="{00000000-0005-0000-0000-0000AE340000}"/>
    <cellStyle name="Normal 4 2 2 2 2 3 4 4 2" xfId="22043" xr:uid="{00000000-0005-0000-0000-0000AF340000}"/>
    <cellStyle name="Normal 4 2 2 2 2 3 4 5" xfId="19118" xr:uid="{00000000-0005-0000-0000-0000B0340000}"/>
    <cellStyle name="Normal 4 2 2 2 2 3 5" xfId="7110" xr:uid="{00000000-0005-0000-0000-0000B1340000}"/>
    <cellStyle name="Normal 4 2 2 2 2 3 5 2" xfId="14373" xr:uid="{00000000-0005-0000-0000-0000B2340000}"/>
    <cellStyle name="Normal 4 2 2 2 2 3 5 2 2" xfId="30688" xr:uid="{00000000-0005-0000-0000-0000B3340000}"/>
    <cellStyle name="Normal 4 2 2 2 2 3 5 3" xfId="23723" xr:uid="{00000000-0005-0000-0000-0000B4340000}"/>
    <cellStyle name="Normal 4 2 2 2 2 3 6" xfId="10425" xr:uid="{00000000-0005-0000-0000-0000B5340000}"/>
    <cellStyle name="Normal 4 2 2 2 2 3 6 2" xfId="27023" xr:uid="{00000000-0005-0000-0000-0000B6340000}"/>
    <cellStyle name="Normal 4 2 2 2 2 3 7" xfId="3993" xr:uid="{00000000-0005-0000-0000-0000B7340000}"/>
    <cellStyle name="Normal 4 2 2 2 2 3 7 2" xfId="20716" xr:uid="{00000000-0005-0000-0000-0000B8340000}"/>
    <cellStyle name="Normal 4 2 2 2 2 3 8" xfId="17884" xr:uid="{00000000-0005-0000-0000-0000B9340000}"/>
    <cellStyle name="Normal 4 2 2 2 2 4" xfId="916" xr:uid="{00000000-0005-0000-0000-0000BA340000}"/>
    <cellStyle name="Normal 4 2 2 2 2 4 2" xfId="1478" xr:uid="{00000000-0005-0000-0000-0000BB340000}"/>
    <cellStyle name="Normal 4 2 2 2 2 4 2 2" xfId="2396" xr:uid="{00000000-0005-0000-0000-0000BC340000}"/>
    <cellStyle name="Normal 4 2 2 2 2 4 2 2 2" xfId="9737" xr:uid="{00000000-0005-0000-0000-0000BD340000}"/>
    <cellStyle name="Normal 4 2 2 2 2 4 2 2 2 2" xfId="17000" xr:uid="{00000000-0005-0000-0000-0000BE340000}"/>
    <cellStyle name="Normal 4 2 2 2 2 4 2 2 2 2 2" xfId="33315" xr:uid="{00000000-0005-0000-0000-0000BF340000}"/>
    <cellStyle name="Normal 4 2 2 2 2 4 2 2 2 3" xfId="26350" xr:uid="{00000000-0005-0000-0000-0000C0340000}"/>
    <cellStyle name="Normal 4 2 2 2 2 4 2 2 3" xfId="13079" xr:uid="{00000000-0005-0000-0000-0000C1340000}"/>
    <cellStyle name="Normal 4 2 2 2 2 4 2 2 3 2" xfId="29654" xr:uid="{00000000-0005-0000-0000-0000C2340000}"/>
    <cellStyle name="Normal 4 2 2 2 2 4 2 2 4" xfId="6386" xr:uid="{00000000-0005-0000-0000-0000C3340000}"/>
    <cellStyle name="Normal 4 2 2 2 2 4 2 2 4 2" xfId="23050" xr:uid="{00000000-0005-0000-0000-0000C4340000}"/>
    <cellStyle name="Normal 4 2 2 2 2 4 2 2 5" xfId="19123" xr:uid="{00000000-0005-0000-0000-0000C5340000}"/>
    <cellStyle name="Normal 4 2 2 2 2 4 2 3" xfId="8116" xr:uid="{00000000-0005-0000-0000-0000C6340000}"/>
    <cellStyle name="Normal 4 2 2 2 2 4 2 3 2" xfId="15379" xr:uid="{00000000-0005-0000-0000-0000C7340000}"/>
    <cellStyle name="Normal 4 2 2 2 2 4 2 3 2 2" xfId="31694" xr:uid="{00000000-0005-0000-0000-0000C8340000}"/>
    <cellStyle name="Normal 4 2 2 2 2 4 2 3 3" xfId="24729" xr:uid="{00000000-0005-0000-0000-0000C9340000}"/>
    <cellStyle name="Normal 4 2 2 2 2 4 2 4" xfId="11431" xr:uid="{00000000-0005-0000-0000-0000CA340000}"/>
    <cellStyle name="Normal 4 2 2 2 2 4 2 4 2" xfId="28029" xr:uid="{00000000-0005-0000-0000-0000CB340000}"/>
    <cellStyle name="Normal 4 2 2 2 2 4 2 5" xfId="3998" xr:uid="{00000000-0005-0000-0000-0000CC340000}"/>
    <cellStyle name="Normal 4 2 2 2 2 4 2 5 2" xfId="20721" xr:uid="{00000000-0005-0000-0000-0000CD340000}"/>
    <cellStyle name="Normal 4 2 2 2 2 4 2 6" xfId="18213" xr:uid="{00000000-0005-0000-0000-0000CE340000}"/>
    <cellStyle name="Normal 4 2 2 2 2 4 3" xfId="2395" xr:uid="{00000000-0005-0000-0000-0000CF340000}"/>
    <cellStyle name="Normal 4 2 2 2 2 4 3 2" xfId="8925" xr:uid="{00000000-0005-0000-0000-0000D0340000}"/>
    <cellStyle name="Normal 4 2 2 2 2 4 3 2 2" xfId="16188" xr:uid="{00000000-0005-0000-0000-0000D1340000}"/>
    <cellStyle name="Normal 4 2 2 2 2 4 3 2 2 2" xfId="32503" xr:uid="{00000000-0005-0000-0000-0000D2340000}"/>
    <cellStyle name="Normal 4 2 2 2 2 4 3 2 3" xfId="25538" xr:uid="{00000000-0005-0000-0000-0000D3340000}"/>
    <cellStyle name="Normal 4 2 2 2 2 4 3 3" xfId="12267" xr:uid="{00000000-0005-0000-0000-0000D4340000}"/>
    <cellStyle name="Normal 4 2 2 2 2 4 3 3 2" xfId="28842" xr:uid="{00000000-0005-0000-0000-0000D5340000}"/>
    <cellStyle name="Normal 4 2 2 2 2 4 3 4" xfId="5574" xr:uid="{00000000-0005-0000-0000-0000D6340000}"/>
    <cellStyle name="Normal 4 2 2 2 2 4 3 4 2" xfId="22238" xr:uid="{00000000-0005-0000-0000-0000D7340000}"/>
    <cellStyle name="Normal 4 2 2 2 2 4 3 5" xfId="19122" xr:uid="{00000000-0005-0000-0000-0000D8340000}"/>
    <cellStyle name="Normal 4 2 2 2 2 4 4" xfId="7304" xr:uid="{00000000-0005-0000-0000-0000D9340000}"/>
    <cellStyle name="Normal 4 2 2 2 2 4 4 2" xfId="14567" xr:uid="{00000000-0005-0000-0000-0000DA340000}"/>
    <cellStyle name="Normal 4 2 2 2 2 4 4 2 2" xfId="30882" xr:uid="{00000000-0005-0000-0000-0000DB340000}"/>
    <cellStyle name="Normal 4 2 2 2 2 4 4 3" xfId="23917" xr:uid="{00000000-0005-0000-0000-0000DC340000}"/>
    <cellStyle name="Normal 4 2 2 2 2 4 5" xfId="10619" xr:uid="{00000000-0005-0000-0000-0000DD340000}"/>
    <cellStyle name="Normal 4 2 2 2 2 4 5 2" xfId="27217" xr:uid="{00000000-0005-0000-0000-0000DE340000}"/>
    <cellStyle name="Normal 4 2 2 2 2 4 6" xfId="3997" xr:uid="{00000000-0005-0000-0000-0000DF340000}"/>
    <cellStyle name="Normal 4 2 2 2 2 4 6 2" xfId="20720" xr:uid="{00000000-0005-0000-0000-0000E0340000}"/>
    <cellStyle name="Normal 4 2 2 2 2 4 7" xfId="17694" xr:uid="{00000000-0005-0000-0000-0000E1340000}"/>
    <cellStyle name="Normal 4 2 2 2 2 5" xfId="794" xr:uid="{00000000-0005-0000-0000-0000E2340000}"/>
    <cellStyle name="Normal 4 2 2 2 2 5 2" xfId="2397" xr:uid="{00000000-0005-0000-0000-0000E3340000}"/>
    <cellStyle name="Normal 4 2 2 2 2 5 2 2" xfId="9331" xr:uid="{00000000-0005-0000-0000-0000E4340000}"/>
    <cellStyle name="Normal 4 2 2 2 2 5 2 2 2" xfId="16594" xr:uid="{00000000-0005-0000-0000-0000E5340000}"/>
    <cellStyle name="Normal 4 2 2 2 2 5 2 2 2 2" xfId="32909" xr:uid="{00000000-0005-0000-0000-0000E6340000}"/>
    <cellStyle name="Normal 4 2 2 2 2 5 2 2 3" xfId="25944" xr:uid="{00000000-0005-0000-0000-0000E7340000}"/>
    <cellStyle name="Normal 4 2 2 2 2 5 2 3" xfId="12673" xr:uid="{00000000-0005-0000-0000-0000E8340000}"/>
    <cellStyle name="Normal 4 2 2 2 2 5 2 3 2" xfId="29248" xr:uid="{00000000-0005-0000-0000-0000E9340000}"/>
    <cellStyle name="Normal 4 2 2 2 2 5 2 4" xfId="5980" xr:uid="{00000000-0005-0000-0000-0000EA340000}"/>
    <cellStyle name="Normal 4 2 2 2 2 5 2 4 2" xfId="22644" xr:uid="{00000000-0005-0000-0000-0000EB340000}"/>
    <cellStyle name="Normal 4 2 2 2 2 5 2 5" xfId="19124" xr:uid="{00000000-0005-0000-0000-0000EC340000}"/>
    <cellStyle name="Normal 4 2 2 2 2 5 3" xfId="7710" xr:uid="{00000000-0005-0000-0000-0000ED340000}"/>
    <cellStyle name="Normal 4 2 2 2 2 5 3 2" xfId="14973" xr:uid="{00000000-0005-0000-0000-0000EE340000}"/>
    <cellStyle name="Normal 4 2 2 2 2 5 3 2 2" xfId="31288" xr:uid="{00000000-0005-0000-0000-0000EF340000}"/>
    <cellStyle name="Normal 4 2 2 2 2 5 3 3" xfId="24323" xr:uid="{00000000-0005-0000-0000-0000F0340000}"/>
    <cellStyle name="Normal 4 2 2 2 2 5 4" xfId="11025" xr:uid="{00000000-0005-0000-0000-0000F1340000}"/>
    <cellStyle name="Normal 4 2 2 2 2 5 4 2" xfId="27623" xr:uid="{00000000-0005-0000-0000-0000F2340000}"/>
    <cellStyle name="Normal 4 2 2 2 2 5 5" xfId="3999" xr:uid="{00000000-0005-0000-0000-0000F3340000}"/>
    <cellStyle name="Normal 4 2 2 2 2 5 5 2" xfId="20722" xr:uid="{00000000-0005-0000-0000-0000F4340000}"/>
    <cellStyle name="Normal 4 2 2 2 2 5 6" xfId="17607" xr:uid="{00000000-0005-0000-0000-0000F5340000}"/>
    <cellStyle name="Normal 4 2 2 2 2 6" xfId="1391" xr:uid="{00000000-0005-0000-0000-0000F6340000}"/>
    <cellStyle name="Normal 4 2 2 2 2 6 2" xfId="8539" xr:uid="{00000000-0005-0000-0000-0000F7340000}"/>
    <cellStyle name="Normal 4 2 2 2 2 6 2 2" xfId="15802" xr:uid="{00000000-0005-0000-0000-0000F8340000}"/>
    <cellStyle name="Normal 4 2 2 2 2 6 2 2 2" xfId="32117" xr:uid="{00000000-0005-0000-0000-0000F9340000}"/>
    <cellStyle name="Normal 4 2 2 2 2 6 2 3" xfId="25152" xr:uid="{00000000-0005-0000-0000-0000FA340000}"/>
    <cellStyle name="Normal 4 2 2 2 2 6 3" xfId="11881" xr:uid="{00000000-0005-0000-0000-0000FB340000}"/>
    <cellStyle name="Normal 4 2 2 2 2 6 3 2" xfId="28456" xr:uid="{00000000-0005-0000-0000-0000FC340000}"/>
    <cellStyle name="Normal 4 2 2 2 2 6 4" xfId="5188" xr:uid="{00000000-0005-0000-0000-0000FD340000}"/>
    <cellStyle name="Normal 4 2 2 2 2 6 4 2" xfId="21852" xr:uid="{00000000-0005-0000-0000-0000FE340000}"/>
    <cellStyle name="Normal 4 2 2 2 2 6 5" xfId="18126" xr:uid="{00000000-0005-0000-0000-0000FF340000}"/>
    <cellStyle name="Normal 4 2 2 2 2 7" xfId="2382" xr:uid="{00000000-0005-0000-0000-000000350000}"/>
    <cellStyle name="Normal 4 2 2 2 2 7 2" xfId="14183" xr:uid="{00000000-0005-0000-0000-000001350000}"/>
    <cellStyle name="Normal 4 2 2 2 2 7 2 2" xfId="30498" xr:uid="{00000000-0005-0000-0000-000002350000}"/>
    <cellStyle name="Normal 4 2 2 2 2 7 3" xfId="6920" xr:uid="{00000000-0005-0000-0000-000003350000}"/>
    <cellStyle name="Normal 4 2 2 2 2 7 3 2" xfId="23533" xr:uid="{00000000-0005-0000-0000-000004350000}"/>
    <cellStyle name="Normal 4 2 2 2 2 7 4" xfId="19109" xr:uid="{00000000-0005-0000-0000-000005350000}"/>
    <cellStyle name="Normal 4 2 2 2 2 8" xfId="10234" xr:uid="{00000000-0005-0000-0000-000006350000}"/>
    <cellStyle name="Normal 4 2 2 2 2 8 2" xfId="26833" xr:uid="{00000000-0005-0000-0000-000007350000}"/>
    <cellStyle name="Normal 4 2 2 2 2 9" xfId="3984" xr:uid="{00000000-0005-0000-0000-000008350000}"/>
    <cellStyle name="Normal 4 2 2 2 2 9 2" xfId="20707" xr:uid="{00000000-0005-0000-0000-000009350000}"/>
    <cellStyle name="Normal 4 2 2 2 3" xfId="650" xr:uid="{00000000-0005-0000-0000-00000A350000}"/>
    <cellStyle name="Normal 4 2 2 2 3 2" xfId="1149" xr:uid="{00000000-0005-0000-0000-00000B350000}"/>
    <cellStyle name="Normal 4 2 2 2 3 2 2" xfId="1670" xr:uid="{00000000-0005-0000-0000-00000C350000}"/>
    <cellStyle name="Normal 4 2 2 2 3 2 2 2" xfId="2401" xr:uid="{00000000-0005-0000-0000-00000D350000}"/>
    <cellStyle name="Normal 4 2 2 2 3 2 2 2 2" xfId="6564" xr:uid="{00000000-0005-0000-0000-00000E350000}"/>
    <cellStyle name="Normal 4 2 2 2 3 2 2 2 2 2" xfId="9915" xr:uid="{00000000-0005-0000-0000-00000F350000}"/>
    <cellStyle name="Normal 4 2 2 2 3 2 2 2 2 2 2" xfId="17178" xr:uid="{00000000-0005-0000-0000-000010350000}"/>
    <cellStyle name="Normal 4 2 2 2 3 2 2 2 2 2 2 2" xfId="33493" xr:uid="{00000000-0005-0000-0000-000011350000}"/>
    <cellStyle name="Normal 4 2 2 2 3 2 2 2 2 2 3" xfId="26528" xr:uid="{00000000-0005-0000-0000-000012350000}"/>
    <cellStyle name="Normal 4 2 2 2 3 2 2 2 2 3" xfId="13257" xr:uid="{00000000-0005-0000-0000-000013350000}"/>
    <cellStyle name="Normal 4 2 2 2 3 2 2 2 2 3 2" xfId="29832" xr:uid="{00000000-0005-0000-0000-000014350000}"/>
    <cellStyle name="Normal 4 2 2 2 3 2 2 2 2 4" xfId="23228" xr:uid="{00000000-0005-0000-0000-000015350000}"/>
    <cellStyle name="Normal 4 2 2 2 3 2 2 2 3" xfId="8294" xr:uid="{00000000-0005-0000-0000-000016350000}"/>
    <cellStyle name="Normal 4 2 2 2 3 2 2 2 3 2" xfId="15557" xr:uid="{00000000-0005-0000-0000-000017350000}"/>
    <cellStyle name="Normal 4 2 2 2 3 2 2 2 3 2 2" xfId="31872" xr:uid="{00000000-0005-0000-0000-000018350000}"/>
    <cellStyle name="Normal 4 2 2 2 3 2 2 2 3 3" xfId="24907" xr:uid="{00000000-0005-0000-0000-000019350000}"/>
    <cellStyle name="Normal 4 2 2 2 3 2 2 2 4" xfId="11609" xr:uid="{00000000-0005-0000-0000-00001A350000}"/>
    <cellStyle name="Normal 4 2 2 2 3 2 2 2 4 2" xfId="28207" xr:uid="{00000000-0005-0000-0000-00001B350000}"/>
    <cellStyle name="Normal 4 2 2 2 3 2 2 2 5" xfId="4003" xr:uid="{00000000-0005-0000-0000-00001C350000}"/>
    <cellStyle name="Normal 4 2 2 2 3 2 2 2 5 2" xfId="20726" xr:uid="{00000000-0005-0000-0000-00001D350000}"/>
    <cellStyle name="Normal 4 2 2 2 3 2 2 2 6" xfId="19128" xr:uid="{00000000-0005-0000-0000-00001E350000}"/>
    <cellStyle name="Normal 4 2 2 2 3 2 2 3" xfId="2400" xr:uid="{00000000-0005-0000-0000-00001F350000}"/>
    <cellStyle name="Normal 4 2 2 2 3 2 2 3 2" xfId="9139" xr:uid="{00000000-0005-0000-0000-000020350000}"/>
    <cellStyle name="Normal 4 2 2 2 3 2 2 3 2 2" xfId="16402" xr:uid="{00000000-0005-0000-0000-000021350000}"/>
    <cellStyle name="Normal 4 2 2 2 3 2 2 3 2 2 2" xfId="32717" xr:uid="{00000000-0005-0000-0000-000022350000}"/>
    <cellStyle name="Normal 4 2 2 2 3 2 2 3 2 3" xfId="25752" xr:uid="{00000000-0005-0000-0000-000023350000}"/>
    <cellStyle name="Normal 4 2 2 2 3 2 2 3 3" xfId="12481" xr:uid="{00000000-0005-0000-0000-000024350000}"/>
    <cellStyle name="Normal 4 2 2 2 3 2 2 3 3 2" xfId="29056" xr:uid="{00000000-0005-0000-0000-000025350000}"/>
    <cellStyle name="Normal 4 2 2 2 3 2 2 3 4" xfId="5788" xr:uid="{00000000-0005-0000-0000-000026350000}"/>
    <cellStyle name="Normal 4 2 2 2 3 2 2 3 4 2" xfId="22452" xr:uid="{00000000-0005-0000-0000-000027350000}"/>
    <cellStyle name="Normal 4 2 2 2 3 2 2 3 5" xfId="19127" xr:uid="{00000000-0005-0000-0000-000028350000}"/>
    <cellStyle name="Normal 4 2 2 2 3 2 2 4" xfId="7518" xr:uid="{00000000-0005-0000-0000-000029350000}"/>
    <cellStyle name="Normal 4 2 2 2 3 2 2 4 2" xfId="14781" xr:uid="{00000000-0005-0000-0000-00002A350000}"/>
    <cellStyle name="Normal 4 2 2 2 3 2 2 4 2 2" xfId="31096" xr:uid="{00000000-0005-0000-0000-00002B350000}"/>
    <cellStyle name="Normal 4 2 2 2 3 2 2 4 3" xfId="24131" xr:uid="{00000000-0005-0000-0000-00002C350000}"/>
    <cellStyle name="Normal 4 2 2 2 3 2 2 5" xfId="10833" xr:uid="{00000000-0005-0000-0000-00002D350000}"/>
    <cellStyle name="Normal 4 2 2 2 3 2 2 5 2" xfId="27431" xr:uid="{00000000-0005-0000-0000-00002E350000}"/>
    <cellStyle name="Normal 4 2 2 2 3 2 2 6" xfId="4002" xr:uid="{00000000-0005-0000-0000-00002F350000}"/>
    <cellStyle name="Normal 4 2 2 2 3 2 2 6 2" xfId="20725" xr:uid="{00000000-0005-0000-0000-000030350000}"/>
    <cellStyle name="Normal 4 2 2 2 3 2 2 7" xfId="18405" xr:uid="{00000000-0005-0000-0000-000031350000}"/>
    <cellStyle name="Normal 4 2 2 2 3 2 3" xfId="2402" xr:uid="{00000000-0005-0000-0000-000032350000}"/>
    <cellStyle name="Normal 4 2 2 2 3 2 3 2" xfId="6194" xr:uid="{00000000-0005-0000-0000-000033350000}"/>
    <cellStyle name="Normal 4 2 2 2 3 2 3 2 2" xfId="9545" xr:uid="{00000000-0005-0000-0000-000034350000}"/>
    <cellStyle name="Normal 4 2 2 2 3 2 3 2 2 2" xfId="16808" xr:uid="{00000000-0005-0000-0000-000035350000}"/>
    <cellStyle name="Normal 4 2 2 2 3 2 3 2 2 2 2" xfId="33123" xr:uid="{00000000-0005-0000-0000-000036350000}"/>
    <cellStyle name="Normal 4 2 2 2 3 2 3 2 2 3" xfId="26158" xr:uid="{00000000-0005-0000-0000-000037350000}"/>
    <cellStyle name="Normal 4 2 2 2 3 2 3 2 3" xfId="12887" xr:uid="{00000000-0005-0000-0000-000038350000}"/>
    <cellStyle name="Normal 4 2 2 2 3 2 3 2 3 2" xfId="29462" xr:uid="{00000000-0005-0000-0000-000039350000}"/>
    <cellStyle name="Normal 4 2 2 2 3 2 3 2 4" xfId="22858" xr:uid="{00000000-0005-0000-0000-00003A350000}"/>
    <cellStyle name="Normal 4 2 2 2 3 2 3 3" xfId="7924" xr:uid="{00000000-0005-0000-0000-00003B350000}"/>
    <cellStyle name="Normal 4 2 2 2 3 2 3 3 2" xfId="15187" xr:uid="{00000000-0005-0000-0000-00003C350000}"/>
    <cellStyle name="Normal 4 2 2 2 3 2 3 3 2 2" xfId="31502" xr:uid="{00000000-0005-0000-0000-00003D350000}"/>
    <cellStyle name="Normal 4 2 2 2 3 2 3 3 3" xfId="24537" xr:uid="{00000000-0005-0000-0000-00003E350000}"/>
    <cellStyle name="Normal 4 2 2 2 3 2 3 4" xfId="11239" xr:uid="{00000000-0005-0000-0000-00003F350000}"/>
    <cellStyle name="Normal 4 2 2 2 3 2 3 4 2" xfId="27837" xr:uid="{00000000-0005-0000-0000-000040350000}"/>
    <cellStyle name="Normal 4 2 2 2 3 2 3 5" xfId="4004" xr:uid="{00000000-0005-0000-0000-000041350000}"/>
    <cellStyle name="Normal 4 2 2 2 3 2 3 5 2" xfId="20727" xr:uid="{00000000-0005-0000-0000-000042350000}"/>
    <cellStyle name="Normal 4 2 2 2 3 2 3 6" xfId="19129" xr:uid="{00000000-0005-0000-0000-000043350000}"/>
    <cellStyle name="Normal 4 2 2 2 3 2 4" xfId="2399" xr:uid="{00000000-0005-0000-0000-000044350000}"/>
    <cellStyle name="Normal 4 2 2 2 3 2 4 2" xfId="8732" xr:uid="{00000000-0005-0000-0000-000045350000}"/>
    <cellStyle name="Normal 4 2 2 2 3 2 4 2 2" xfId="15995" xr:uid="{00000000-0005-0000-0000-000046350000}"/>
    <cellStyle name="Normal 4 2 2 2 3 2 4 2 2 2" xfId="32310" xr:uid="{00000000-0005-0000-0000-000047350000}"/>
    <cellStyle name="Normal 4 2 2 2 3 2 4 2 3" xfId="25345" xr:uid="{00000000-0005-0000-0000-000048350000}"/>
    <cellStyle name="Normal 4 2 2 2 3 2 4 3" xfId="12074" xr:uid="{00000000-0005-0000-0000-000049350000}"/>
    <cellStyle name="Normal 4 2 2 2 3 2 4 3 2" xfId="28649" xr:uid="{00000000-0005-0000-0000-00004A350000}"/>
    <cellStyle name="Normal 4 2 2 2 3 2 4 4" xfId="5381" xr:uid="{00000000-0005-0000-0000-00004B350000}"/>
    <cellStyle name="Normal 4 2 2 2 3 2 4 4 2" xfId="22045" xr:uid="{00000000-0005-0000-0000-00004C350000}"/>
    <cellStyle name="Normal 4 2 2 2 3 2 4 5" xfId="19126" xr:uid="{00000000-0005-0000-0000-00004D350000}"/>
    <cellStyle name="Normal 4 2 2 2 3 2 5" xfId="7112" xr:uid="{00000000-0005-0000-0000-00004E350000}"/>
    <cellStyle name="Normal 4 2 2 2 3 2 5 2" xfId="14375" xr:uid="{00000000-0005-0000-0000-00004F350000}"/>
    <cellStyle name="Normal 4 2 2 2 3 2 5 2 2" xfId="30690" xr:uid="{00000000-0005-0000-0000-000050350000}"/>
    <cellStyle name="Normal 4 2 2 2 3 2 5 3" xfId="23725" xr:uid="{00000000-0005-0000-0000-000051350000}"/>
    <cellStyle name="Normal 4 2 2 2 3 2 6" xfId="10427" xr:uid="{00000000-0005-0000-0000-000052350000}"/>
    <cellStyle name="Normal 4 2 2 2 3 2 6 2" xfId="27025" xr:uid="{00000000-0005-0000-0000-000053350000}"/>
    <cellStyle name="Normal 4 2 2 2 3 2 7" xfId="4001" xr:uid="{00000000-0005-0000-0000-000054350000}"/>
    <cellStyle name="Normal 4 2 2 2 3 2 7 2" xfId="20724" xr:uid="{00000000-0005-0000-0000-000055350000}"/>
    <cellStyle name="Normal 4 2 2 2 3 2 8" xfId="17886" xr:uid="{00000000-0005-0000-0000-000056350000}"/>
    <cellStyle name="Normal 4 2 2 2 3 3" xfId="969" xr:uid="{00000000-0005-0000-0000-000057350000}"/>
    <cellStyle name="Normal 4 2 2 2 3 3 2" xfId="1531" xr:uid="{00000000-0005-0000-0000-000058350000}"/>
    <cellStyle name="Normal 4 2 2 2 3 3 2 2" xfId="2404" xr:uid="{00000000-0005-0000-0000-000059350000}"/>
    <cellStyle name="Normal 4 2 2 2 3 3 2 2 2" xfId="9739" xr:uid="{00000000-0005-0000-0000-00005A350000}"/>
    <cellStyle name="Normal 4 2 2 2 3 3 2 2 2 2" xfId="17002" xr:uid="{00000000-0005-0000-0000-00005B350000}"/>
    <cellStyle name="Normal 4 2 2 2 3 3 2 2 2 2 2" xfId="33317" xr:uid="{00000000-0005-0000-0000-00005C350000}"/>
    <cellStyle name="Normal 4 2 2 2 3 3 2 2 2 3" xfId="26352" xr:uid="{00000000-0005-0000-0000-00005D350000}"/>
    <cellStyle name="Normal 4 2 2 2 3 3 2 2 3" xfId="13081" xr:uid="{00000000-0005-0000-0000-00005E350000}"/>
    <cellStyle name="Normal 4 2 2 2 3 3 2 2 3 2" xfId="29656" xr:uid="{00000000-0005-0000-0000-00005F350000}"/>
    <cellStyle name="Normal 4 2 2 2 3 3 2 2 4" xfId="6388" xr:uid="{00000000-0005-0000-0000-000060350000}"/>
    <cellStyle name="Normal 4 2 2 2 3 3 2 2 4 2" xfId="23052" xr:uid="{00000000-0005-0000-0000-000061350000}"/>
    <cellStyle name="Normal 4 2 2 2 3 3 2 2 5" xfId="19131" xr:uid="{00000000-0005-0000-0000-000062350000}"/>
    <cellStyle name="Normal 4 2 2 2 3 3 2 3" xfId="8118" xr:uid="{00000000-0005-0000-0000-000063350000}"/>
    <cellStyle name="Normal 4 2 2 2 3 3 2 3 2" xfId="15381" xr:uid="{00000000-0005-0000-0000-000064350000}"/>
    <cellStyle name="Normal 4 2 2 2 3 3 2 3 2 2" xfId="31696" xr:uid="{00000000-0005-0000-0000-000065350000}"/>
    <cellStyle name="Normal 4 2 2 2 3 3 2 3 3" xfId="24731" xr:uid="{00000000-0005-0000-0000-000066350000}"/>
    <cellStyle name="Normal 4 2 2 2 3 3 2 4" xfId="11433" xr:uid="{00000000-0005-0000-0000-000067350000}"/>
    <cellStyle name="Normal 4 2 2 2 3 3 2 4 2" xfId="28031" xr:uid="{00000000-0005-0000-0000-000068350000}"/>
    <cellStyle name="Normal 4 2 2 2 3 3 2 5" xfId="4006" xr:uid="{00000000-0005-0000-0000-000069350000}"/>
    <cellStyle name="Normal 4 2 2 2 3 3 2 5 2" xfId="20729" xr:uid="{00000000-0005-0000-0000-00006A350000}"/>
    <cellStyle name="Normal 4 2 2 2 3 3 2 6" xfId="18266" xr:uid="{00000000-0005-0000-0000-00006B350000}"/>
    <cellStyle name="Normal 4 2 2 2 3 3 3" xfId="2403" xr:uid="{00000000-0005-0000-0000-00006C350000}"/>
    <cellStyle name="Normal 4 2 2 2 3 3 3 2" xfId="8927" xr:uid="{00000000-0005-0000-0000-00006D350000}"/>
    <cellStyle name="Normal 4 2 2 2 3 3 3 2 2" xfId="16190" xr:uid="{00000000-0005-0000-0000-00006E350000}"/>
    <cellStyle name="Normal 4 2 2 2 3 3 3 2 2 2" xfId="32505" xr:uid="{00000000-0005-0000-0000-00006F350000}"/>
    <cellStyle name="Normal 4 2 2 2 3 3 3 2 3" xfId="25540" xr:uid="{00000000-0005-0000-0000-000070350000}"/>
    <cellStyle name="Normal 4 2 2 2 3 3 3 3" xfId="12269" xr:uid="{00000000-0005-0000-0000-000071350000}"/>
    <cellStyle name="Normal 4 2 2 2 3 3 3 3 2" xfId="28844" xr:uid="{00000000-0005-0000-0000-000072350000}"/>
    <cellStyle name="Normal 4 2 2 2 3 3 3 4" xfId="5576" xr:uid="{00000000-0005-0000-0000-000073350000}"/>
    <cellStyle name="Normal 4 2 2 2 3 3 3 4 2" xfId="22240" xr:uid="{00000000-0005-0000-0000-000074350000}"/>
    <cellStyle name="Normal 4 2 2 2 3 3 3 5" xfId="19130" xr:uid="{00000000-0005-0000-0000-000075350000}"/>
    <cellStyle name="Normal 4 2 2 2 3 3 4" xfId="7306" xr:uid="{00000000-0005-0000-0000-000076350000}"/>
    <cellStyle name="Normal 4 2 2 2 3 3 4 2" xfId="14569" xr:uid="{00000000-0005-0000-0000-000077350000}"/>
    <cellStyle name="Normal 4 2 2 2 3 3 4 2 2" xfId="30884" xr:uid="{00000000-0005-0000-0000-000078350000}"/>
    <cellStyle name="Normal 4 2 2 2 3 3 4 3" xfId="23919" xr:uid="{00000000-0005-0000-0000-000079350000}"/>
    <cellStyle name="Normal 4 2 2 2 3 3 5" xfId="10621" xr:uid="{00000000-0005-0000-0000-00007A350000}"/>
    <cellStyle name="Normal 4 2 2 2 3 3 5 2" xfId="27219" xr:uid="{00000000-0005-0000-0000-00007B350000}"/>
    <cellStyle name="Normal 4 2 2 2 3 3 6" xfId="4005" xr:uid="{00000000-0005-0000-0000-00007C350000}"/>
    <cellStyle name="Normal 4 2 2 2 3 3 6 2" xfId="20728" xr:uid="{00000000-0005-0000-0000-00007D350000}"/>
    <cellStyle name="Normal 4 2 2 2 3 3 7" xfId="17747" xr:uid="{00000000-0005-0000-0000-00007E350000}"/>
    <cellStyle name="Normal 4 2 2 2 3 4" xfId="759" xr:uid="{00000000-0005-0000-0000-00007F350000}"/>
    <cellStyle name="Normal 4 2 2 2 3 4 2" xfId="2405" xr:uid="{00000000-0005-0000-0000-000080350000}"/>
    <cellStyle name="Normal 4 2 2 2 3 4 2 2" xfId="9333" xr:uid="{00000000-0005-0000-0000-000081350000}"/>
    <cellStyle name="Normal 4 2 2 2 3 4 2 2 2" xfId="16596" xr:uid="{00000000-0005-0000-0000-000082350000}"/>
    <cellStyle name="Normal 4 2 2 2 3 4 2 2 2 2" xfId="32911" xr:uid="{00000000-0005-0000-0000-000083350000}"/>
    <cellStyle name="Normal 4 2 2 2 3 4 2 2 3" xfId="25946" xr:uid="{00000000-0005-0000-0000-000084350000}"/>
    <cellStyle name="Normal 4 2 2 2 3 4 2 3" xfId="12675" xr:uid="{00000000-0005-0000-0000-000085350000}"/>
    <cellStyle name="Normal 4 2 2 2 3 4 2 3 2" xfId="29250" xr:uid="{00000000-0005-0000-0000-000086350000}"/>
    <cellStyle name="Normal 4 2 2 2 3 4 2 4" xfId="5982" xr:uid="{00000000-0005-0000-0000-000087350000}"/>
    <cellStyle name="Normal 4 2 2 2 3 4 2 4 2" xfId="22646" xr:uid="{00000000-0005-0000-0000-000088350000}"/>
    <cellStyle name="Normal 4 2 2 2 3 4 2 5" xfId="19132" xr:uid="{00000000-0005-0000-0000-000089350000}"/>
    <cellStyle name="Normal 4 2 2 2 3 4 3" xfId="7712" xr:uid="{00000000-0005-0000-0000-00008A350000}"/>
    <cellStyle name="Normal 4 2 2 2 3 4 3 2" xfId="14975" xr:uid="{00000000-0005-0000-0000-00008B350000}"/>
    <cellStyle name="Normal 4 2 2 2 3 4 3 2 2" xfId="31290" xr:uid="{00000000-0005-0000-0000-00008C350000}"/>
    <cellStyle name="Normal 4 2 2 2 3 4 3 3" xfId="24325" xr:uid="{00000000-0005-0000-0000-00008D350000}"/>
    <cellStyle name="Normal 4 2 2 2 3 4 4" xfId="11027" xr:uid="{00000000-0005-0000-0000-00008E350000}"/>
    <cellStyle name="Normal 4 2 2 2 3 4 4 2" xfId="27625" xr:uid="{00000000-0005-0000-0000-00008F350000}"/>
    <cellStyle name="Normal 4 2 2 2 3 4 5" xfId="4007" xr:uid="{00000000-0005-0000-0000-000090350000}"/>
    <cellStyle name="Normal 4 2 2 2 3 4 5 2" xfId="20730" xr:uid="{00000000-0005-0000-0000-000091350000}"/>
    <cellStyle name="Normal 4 2 2 2 3 4 6" xfId="17572" xr:uid="{00000000-0005-0000-0000-000092350000}"/>
    <cellStyle name="Normal 4 2 2 2 3 5" xfId="1356" xr:uid="{00000000-0005-0000-0000-000093350000}"/>
    <cellStyle name="Normal 4 2 2 2 3 5 2" xfId="8592" xr:uid="{00000000-0005-0000-0000-000094350000}"/>
    <cellStyle name="Normal 4 2 2 2 3 5 2 2" xfId="15855" xr:uid="{00000000-0005-0000-0000-000095350000}"/>
    <cellStyle name="Normal 4 2 2 2 3 5 2 2 2" xfId="32170" xr:uid="{00000000-0005-0000-0000-000096350000}"/>
    <cellStyle name="Normal 4 2 2 2 3 5 2 3" xfId="25205" xr:uid="{00000000-0005-0000-0000-000097350000}"/>
    <cellStyle name="Normal 4 2 2 2 3 5 3" xfId="11934" xr:uid="{00000000-0005-0000-0000-000098350000}"/>
    <cellStyle name="Normal 4 2 2 2 3 5 3 2" xfId="28509" xr:uid="{00000000-0005-0000-0000-000099350000}"/>
    <cellStyle name="Normal 4 2 2 2 3 5 4" xfId="5241" xr:uid="{00000000-0005-0000-0000-00009A350000}"/>
    <cellStyle name="Normal 4 2 2 2 3 5 4 2" xfId="21905" xr:uid="{00000000-0005-0000-0000-00009B350000}"/>
    <cellStyle name="Normal 4 2 2 2 3 5 5" xfId="18091" xr:uid="{00000000-0005-0000-0000-00009C350000}"/>
    <cellStyle name="Normal 4 2 2 2 3 6" xfId="2398" xr:uid="{00000000-0005-0000-0000-00009D350000}"/>
    <cellStyle name="Normal 4 2 2 2 3 6 2" xfId="14236" xr:uid="{00000000-0005-0000-0000-00009E350000}"/>
    <cellStyle name="Normal 4 2 2 2 3 6 2 2" xfId="30551" xr:uid="{00000000-0005-0000-0000-00009F350000}"/>
    <cellStyle name="Normal 4 2 2 2 3 6 3" xfId="6973" xr:uid="{00000000-0005-0000-0000-0000A0350000}"/>
    <cellStyle name="Normal 4 2 2 2 3 6 3 2" xfId="23586" xr:uid="{00000000-0005-0000-0000-0000A1350000}"/>
    <cellStyle name="Normal 4 2 2 2 3 6 4" xfId="19125" xr:uid="{00000000-0005-0000-0000-0000A2350000}"/>
    <cellStyle name="Normal 4 2 2 2 3 7" xfId="10287" xr:uid="{00000000-0005-0000-0000-0000A3350000}"/>
    <cellStyle name="Normal 4 2 2 2 3 7 2" xfId="26886" xr:uid="{00000000-0005-0000-0000-0000A4350000}"/>
    <cellStyle name="Normal 4 2 2 2 3 8" xfId="4000" xr:uid="{00000000-0005-0000-0000-0000A5350000}"/>
    <cellStyle name="Normal 4 2 2 2 3 8 2" xfId="20723" xr:uid="{00000000-0005-0000-0000-0000A6350000}"/>
    <cellStyle name="Normal 4 2 2 2 3 9" xfId="17467" xr:uid="{00000000-0005-0000-0000-0000A7350000}"/>
    <cellStyle name="Normal 4 2 2 2 4" xfId="1146" xr:uid="{00000000-0005-0000-0000-0000A8350000}"/>
    <cellStyle name="Normal 4 2 2 2 4 2" xfId="1667" xr:uid="{00000000-0005-0000-0000-0000A9350000}"/>
    <cellStyle name="Normal 4 2 2 2 4 2 2" xfId="2408" xr:uid="{00000000-0005-0000-0000-0000AA350000}"/>
    <cellStyle name="Normal 4 2 2 2 4 2 2 2" xfId="6561" xr:uid="{00000000-0005-0000-0000-0000AB350000}"/>
    <cellStyle name="Normal 4 2 2 2 4 2 2 2 2" xfId="9912" xr:uid="{00000000-0005-0000-0000-0000AC350000}"/>
    <cellStyle name="Normal 4 2 2 2 4 2 2 2 2 2" xfId="17175" xr:uid="{00000000-0005-0000-0000-0000AD350000}"/>
    <cellStyle name="Normal 4 2 2 2 4 2 2 2 2 2 2" xfId="33490" xr:uid="{00000000-0005-0000-0000-0000AE350000}"/>
    <cellStyle name="Normal 4 2 2 2 4 2 2 2 2 3" xfId="26525" xr:uid="{00000000-0005-0000-0000-0000AF350000}"/>
    <cellStyle name="Normal 4 2 2 2 4 2 2 2 3" xfId="13254" xr:uid="{00000000-0005-0000-0000-0000B0350000}"/>
    <cellStyle name="Normal 4 2 2 2 4 2 2 2 3 2" xfId="29829" xr:uid="{00000000-0005-0000-0000-0000B1350000}"/>
    <cellStyle name="Normal 4 2 2 2 4 2 2 2 4" xfId="23225" xr:uid="{00000000-0005-0000-0000-0000B2350000}"/>
    <cellStyle name="Normal 4 2 2 2 4 2 2 3" xfId="8291" xr:uid="{00000000-0005-0000-0000-0000B3350000}"/>
    <cellStyle name="Normal 4 2 2 2 4 2 2 3 2" xfId="15554" xr:uid="{00000000-0005-0000-0000-0000B4350000}"/>
    <cellStyle name="Normal 4 2 2 2 4 2 2 3 2 2" xfId="31869" xr:uid="{00000000-0005-0000-0000-0000B5350000}"/>
    <cellStyle name="Normal 4 2 2 2 4 2 2 3 3" xfId="24904" xr:uid="{00000000-0005-0000-0000-0000B6350000}"/>
    <cellStyle name="Normal 4 2 2 2 4 2 2 4" xfId="11606" xr:uid="{00000000-0005-0000-0000-0000B7350000}"/>
    <cellStyle name="Normal 4 2 2 2 4 2 2 4 2" xfId="28204" xr:uid="{00000000-0005-0000-0000-0000B8350000}"/>
    <cellStyle name="Normal 4 2 2 2 4 2 2 5" xfId="4010" xr:uid="{00000000-0005-0000-0000-0000B9350000}"/>
    <cellStyle name="Normal 4 2 2 2 4 2 2 5 2" xfId="20733" xr:uid="{00000000-0005-0000-0000-0000BA350000}"/>
    <cellStyle name="Normal 4 2 2 2 4 2 2 6" xfId="19135" xr:uid="{00000000-0005-0000-0000-0000BB350000}"/>
    <cellStyle name="Normal 4 2 2 2 4 2 3" xfId="2407" xr:uid="{00000000-0005-0000-0000-0000BC350000}"/>
    <cellStyle name="Normal 4 2 2 2 4 2 3 2" xfId="9136" xr:uid="{00000000-0005-0000-0000-0000BD350000}"/>
    <cellStyle name="Normal 4 2 2 2 4 2 3 2 2" xfId="16399" xr:uid="{00000000-0005-0000-0000-0000BE350000}"/>
    <cellStyle name="Normal 4 2 2 2 4 2 3 2 2 2" xfId="32714" xr:uid="{00000000-0005-0000-0000-0000BF350000}"/>
    <cellStyle name="Normal 4 2 2 2 4 2 3 2 3" xfId="25749" xr:uid="{00000000-0005-0000-0000-0000C0350000}"/>
    <cellStyle name="Normal 4 2 2 2 4 2 3 3" xfId="12478" xr:uid="{00000000-0005-0000-0000-0000C1350000}"/>
    <cellStyle name="Normal 4 2 2 2 4 2 3 3 2" xfId="29053" xr:uid="{00000000-0005-0000-0000-0000C2350000}"/>
    <cellStyle name="Normal 4 2 2 2 4 2 3 4" xfId="5785" xr:uid="{00000000-0005-0000-0000-0000C3350000}"/>
    <cellStyle name="Normal 4 2 2 2 4 2 3 4 2" xfId="22449" xr:uid="{00000000-0005-0000-0000-0000C4350000}"/>
    <cellStyle name="Normal 4 2 2 2 4 2 3 5" xfId="19134" xr:uid="{00000000-0005-0000-0000-0000C5350000}"/>
    <cellStyle name="Normal 4 2 2 2 4 2 4" xfId="7515" xr:uid="{00000000-0005-0000-0000-0000C6350000}"/>
    <cellStyle name="Normal 4 2 2 2 4 2 4 2" xfId="14778" xr:uid="{00000000-0005-0000-0000-0000C7350000}"/>
    <cellStyle name="Normal 4 2 2 2 4 2 4 2 2" xfId="31093" xr:uid="{00000000-0005-0000-0000-0000C8350000}"/>
    <cellStyle name="Normal 4 2 2 2 4 2 4 3" xfId="24128" xr:uid="{00000000-0005-0000-0000-0000C9350000}"/>
    <cellStyle name="Normal 4 2 2 2 4 2 5" xfId="10830" xr:uid="{00000000-0005-0000-0000-0000CA350000}"/>
    <cellStyle name="Normal 4 2 2 2 4 2 5 2" xfId="27428" xr:uid="{00000000-0005-0000-0000-0000CB350000}"/>
    <cellStyle name="Normal 4 2 2 2 4 2 6" xfId="4009" xr:uid="{00000000-0005-0000-0000-0000CC350000}"/>
    <cellStyle name="Normal 4 2 2 2 4 2 6 2" xfId="20732" xr:uid="{00000000-0005-0000-0000-0000CD350000}"/>
    <cellStyle name="Normal 4 2 2 2 4 2 7" xfId="18402" xr:uid="{00000000-0005-0000-0000-0000CE350000}"/>
    <cellStyle name="Normal 4 2 2 2 4 3" xfId="2409" xr:uid="{00000000-0005-0000-0000-0000CF350000}"/>
    <cellStyle name="Normal 4 2 2 2 4 3 2" xfId="6191" xr:uid="{00000000-0005-0000-0000-0000D0350000}"/>
    <cellStyle name="Normal 4 2 2 2 4 3 2 2" xfId="9542" xr:uid="{00000000-0005-0000-0000-0000D1350000}"/>
    <cellStyle name="Normal 4 2 2 2 4 3 2 2 2" xfId="16805" xr:uid="{00000000-0005-0000-0000-0000D2350000}"/>
    <cellStyle name="Normal 4 2 2 2 4 3 2 2 2 2" xfId="33120" xr:uid="{00000000-0005-0000-0000-0000D3350000}"/>
    <cellStyle name="Normal 4 2 2 2 4 3 2 2 3" xfId="26155" xr:uid="{00000000-0005-0000-0000-0000D4350000}"/>
    <cellStyle name="Normal 4 2 2 2 4 3 2 3" xfId="12884" xr:uid="{00000000-0005-0000-0000-0000D5350000}"/>
    <cellStyle name="Normal 4 2 2 2 4 3 2 3 2" xfId="29459" xr:uid="{00000000-0005-0000-0000-0000D6350000}"/>
    <cellStyle name="Normal 4 2 2 2 4 3 2 4" xfId="22855" xr:uid="{00000000-0005-0000-0000-0000D7350000}"/>
    <cellStyle name="Normal 4 2 2 2 4 3 3" xfId="7921" xr:uid="{00000000-0005-0000-0000-0000D8350000}"/>
    <cellStyle name="Normal 4 2 2 2 4 3 3 2" xfId="15184" xr:uid="{00000000-0005-0000-0000-0000D9350000}"/>
    <cellStyle name="Normal 4 2 2 2 4 3 3 2 2" xfId="31499" xr:uid="{00000000-0005-0000-0000-0000DA350000}"/>
    <cellStyle name="Normal 4 2 2 2 4 3 3 3" xfId="24534" xr:uid="{00000000-0005-0000-0000-0000DB350000}"/>
    <cellStyle name="Normal 4 2 2 2 4 3 4" xfId="11236" xr:uid="{00000000-0005-0000-0000-0000DC350000}"/>
    <cellStyle name="Normal 4 2 2 2 4 3 4 2" xfId="27834" xr:uid="{00000000-0005-0000-0000-0000DD350000}"/>
    <cellStyle name="Normal 4 2 2 2 4 3 5" xfId="4011" xr:uid="{00000000-0005-0000-0000-0000DE350000}"/>
    <cellStyle name="Normal 4 2 2 2 4 3 5 2" xfId="20734" xr:uid="{00000000-0005-0000-0000-0000DF350000}"/>
    <cellStyle name="Normal 4 2 2 2 4 3 6" xfId="19136" xr:uid="{00000000-0005-0000-0000-0000E0350000}"/>
    <cellStyle name="Normal 4 2 2 2 4 4" xfId="2406" xr:uid="{00000000-0005-0000-0000-0000E1350000}"/>
    <cellStyle name="Normal 4 2 2 2 4 4 2" xfId="8729" xr:uid="{00000000-0005-0000-0000-0000E2350000}"/>
    <cellStyle name="Normal 4 2 2 2 4 4 2 2" xfId="15992" xr:uid="{00000000-0005-0000-0000-0000E3350000}"/>
    <cellStyle name="Normal 4 2 2 2 4 4 2 2 2" xfId="32307" xr:uid="{00000000-0005-0000-0000-0000E4350000}"/>
    <cellStyle name="Normal 4 2 2 2 4 4 2 3" xfId="25342" xr:uid="{00000000-0005-0000-0000-0000E5350000}"/>
    <cellStyle name="Normal 4 2 2 2 4 4 3" xfId="12071" xr:uid="{00000000-0005-0000-0000-0000E6350000}"/>
    <cellStyle name="Normal 4 2 2 2 4 4 3 2" xfId="28646" xr:uid="{00000000-0005-0000-0000-0000E7350000}"/>
    <cellStyle name="Normal 4 2 2 2 4 4 4" xfId="5378" xr:uid="{00000000-0005-0000-0000-0000E8350000}"/>
    <cellStyle name="Normal 4 2 2 2 4 4 4 2" xfId="22042" xr:uid="{00000000-0005-0000-0000-0000E9350000}"/>
    <cellStyle name="Normal 4 2 2 2 4 4 5" xfId="19133" xr:uid="{00000000-0005-0000-0000-0000EA350000}"/>
    <cellStyle name="Normal 4 2 2 2 4 5" xfId="7109" xr:uid="{00000000-0005-0000-0000-0000EB350000}"/>
    <cellStyle name="Normal 4 2 2 2 4 5 2" xfId="14372" xr:uid="{00000000-0005-0000-0000-0000EC350000}"/>
    <cellStyle name="Normal 4 2 2 2 4 5 2 2" xfId="30687" xr:uid="{00000000-0005-0000-0000-0000ED350000}"/>
    <cellStyle name="Normal 4 2 2 2 4 5 3" xfId="23722" xr:uid="{00000000-0005-0000-0000-0000EE350000}"/>
    <cellStyle name="Normal 4 2 2 2 4 6" xfId="10424" xr:uid="{00000000-0005-0000-0000-0000EF350000}"/>
    <cellStyle name="Normal 4 2 2 2 4 6 2" xfId="27022" xr:uid="{00000000-0005-0000-0000-0000F0350000}"/>
    <cellStyle name="Normal 4 2 2 2 4 7" xfId="4008" xr:uid="{00000000-0005-0000-0000-0000F1350000}"/>
    <cellStyle name="Normal 4 2 2 2 4 7 2" xfId="20731" xr:uid="{00000000-0005-0000-0000-0000F2350000}"/>
    <cellStyle name="Normal 4 2 2 2 4 8" xfId="17883" xr:uid="{00000000-0005-0000-0000-0000F3350000}"/>
    <cellStyle name="Normal 4 2 2 2 5" xfId="852" xr:uid="{00000000-0005-0000-0000-0000F4350000}"/>
    <cellStyle name="Normal 4 2 2 2 5 2" xfId="1421" xr:uid="{00000000-0005-0000-0000-0000F5350000}"/>
    <cellStyle name="Normal 4 2 2 2 5 2 2" xfId="2411" xr:uid="{00000000-0005-0000-0000-0000F6350000}"/>
    <cellStyle name="Normal 4 2 2 2 5 2 2 2" xfId="9736" xr:uid="{00000000-0005-0000-0000-0000F7350000}"/>
    <cellStyle name="Normal 4 2 2 2 5 2 2 2 2" xfId="16999" xr:uid="{00000000-0005-0000-0000-0000F8350000}"/>
    <cellStyle name="Normal 4 2 2 2 5 2 2 2 2 2" xfId="33314" xr:uid="{00000000-0005-0000-0000-0000F9350000}"/>
    <cellStyle name="Normal 4 2 2 2 5 2 2 2 3" xfId="26349" xr:uid="{00000000-0005-0000-0000-0000FA350000}"/>
    <cellStyle name="Normal 4 2 2 2 5 2 2 3" xfId="13078" xr:uid="{00000000-0005-0000-0000-0000FB350000}"/>
    <cellStyle name="Normal 4 2 2 2 5 2 2 3 2" xfId="29653" xr:uid="{00000000-0005-0000-0000-0000FC350000}"/>
    <cellStyle name="Normal 4 2 2 2 5 2 2 4" xfId="6385" xr:uid="{00000000-0005-0000-0000-0000FD350000}"/>
    <cellStyle name="Normal 4 2 2 2 5 2 2 4 2" xfId="23049" xr:uid="{00000000-0005-0000-0000-0000FE350000}"/>
    <cellStyle name="Normal 4 2 2 2 5 2 2 5" xfId="19138" xr:uid="{00000000-0005-0000-0000-0000FF350000}"/>
    <cellStyle name="Normal 4 2 2 2 5 2 3" xfId="8115" xr:uid="{00000000-0005-0000-0000-000000360000}"/>
    <cellStyle name="Normal 4 2 2 2 5 2 3 2" xfId="15378" xr:uid="{00000000-0005-0000-0000-000001360000}"/>
    <cellStyle name="Normal 4 2 2 2 5 2 3 2 2" xfId="31693" xr:uid="{00000000-0005-0000-0000-000002360000}"/>
    <cellStyle name="Normal 4 2 2 2 5 2 3 3" xfId="24728" xr:uid="{00000000-0005-0000-0000-000003360000}"/>
    <cellStyle name="Normal 4 2 2 2 5 2 4" xfId="11430" xr:uid="{00000000-0005-0000-0000-000004360000}"/>
    <cellStyle name="Normal 4 2 2 2 5 2 4 2" xfId="28028" xr:uid="{00000000-0005-0000-0000-000005360000}"/>
    <cellStyle name="Normal 4 2 2 2 5 2 5" xfId="4013" xr:uid="{00000000-0005-0000-0000-000006360000}"/>
    <cellStyle name="Normal 4 2 2 2 5 2 5 2" xfId="20736" xr:uid="{00000000-0005-0000-0000-000007360000}"/>
    <cellStyle name="Normal 4 2 2 2 5 2 6" xfId="18156" xr:uid="{00000000-0005-0000-0000-000008360000}"/>
    <cellStyle name="Normal 4 2 2 2 5 3" xfId="2410" xr:uid="{00000000-0005-0000-0000-000009360000}"/>
    <cellStyle name="Normal 4 2 2 2 5 3 2" xfId="8924" xr:uid="{00000000-0005-0000-0000-00000A360000}"/>
    <cellStyle name="Normal 4 2 2 2 5 3 2 2" xfId="16187" xr:uid="{00000000-0005-0000-0000-00000B360000}"/>
    <cellStyle name="Normal 4 2 2 2 5 3 2 2 2" xfId="32502" xr:uid="{00000000-0005-0000-0000-00000C360000}"/>
    <cellStyle name="Normal 4 2 2 2 5 3 2 3" xfId="25537" xr:uid="{00000000-0005-0000-0000-00000D360000}"/>
    <cellStyle name="Normal 4 2 2 2 5 3 3" xfId="12266" xr:uid="{00000000-0005-0000-0000-00000E360000}"/>
    <cellStyle name="Normal 4 2 2 2 5 3 3 2" xfId="28841" xr:uid="{00000000-0005-0000-0000-00000F360000}"/>
    <cellStyle name="Normal 4 2 2 2 5 3 4" xfId="5573" xr:uid="{00000000-0005-0000-0000-000010360000}"/>
    <cellStyle name="Normal 4 2 2 2 5 3 4 2" xfId="22237" xr:uid="{00000000-0005-0000-0000-000011360000}"/>
    <cellStyle name="Normal 4 2 2 2 5 3 5" xfId="19137" xr:uid="{00000000-0005-0000-0000-000012360000}"/>
    <cellStyle name="Normal 4 2 2 2 5 4" xfId="7303" xr:uid="{00000000-0005-0000-0000-000013360000}"/>
    <cellStyle name="Normal 4 2 2 2 5 4 2" xfId="14566" xr:uid="{00000000-0005-0000-0000-000014360000}"/>
    <cellStyle name="Normal 4 2 2 2 5 4 2 2" xfId="30881" xr:uid="{00000000-0005-0000-0000-000015360000}"/>
    <cellStyle name="Normal 4 2 2 2 5 4 3" xfId="23916" xr:uid="{00000000-0005-0000-0000-000016360000}"/>
    <cellStyle name="Normal 4 2 2 2 5 5" xfId="10618" xr:uid="{00000000-0005-0000-0000-000017360000}"/>
    <cellStyle name="Normal 4 2 2 2 5 5 2" xfId="27216" xr:uid="{00000000-0005-0000-0000-000018360000}"/>
    <cellStyle name="Normal 4 2 2 2 5 6" xfId="4012" xr:uid="{00000000-0005-0000-0000-000019360000}"/>
    <cellStyle name="Normal 4 2 2 2 5 6 2" xfId="20735" xr:uid="{00000000-0005-0000-0000-00001A360000}"/>
    <cellStyle name="Normal 4 2 2 2 5 7" xfId="17637" xr:uid="{00000000-0005-0000-0000-00001B360000}"/>
    <cellStyle name="Normal 4 2 2 2 6" xfId="724" xr:uid="{00000000-0005-0000-0000-00001C360000}"/>
    <cellStyle name="Normal 4 2 2 2 6 2" xfId="2412" xr:uid="{00000000-0005-0000-0000-00001D360000}"/>
    <cellStyle name="Normal 4 2 2 2 6 2 2" xfId="9330" xr:uid="{00000000-0005-0000-0000-00001E360000}"/>
    <cellStyle name="Normal 4 2 2 2 6 2 2 2" xfId="16593" xr:uid="{00000000-0005-0000-0000-00001F360000}"/>
    <cellStyle name="Normal 4 2 2 2 6 2 2 2 2" xfId="32908" xr:uid="{00000000-0005-0000-0000-000020360000}"/>
    <cellStyle name="Normal 4 2 2 2 6 2 2 3" xfId="25943" xr:uid="{00000000-0005-0000-0000-000021360000}"/>
    <cellStyle name="Normal 4 2 2 2 6 2 3" xfId="12672" xr:uid="{00000000-0005-0000-0000-000022360000}"/>
    <cellStyle name="Normal 4 2 2 2 6 2 3 2" xfId="29247" xr:uid="{00000000-0005-0000-0000-000023360000}"/>
    <cellStyle name="Normal 4 2 2 2 6 2 4" xfId="5979" xr:uid="{00000000-0005-0000-0000-000024360000}"/>
    <cellStyle name="Normal 4 2 2 2 6 2 4 2" xfId="22643" xr:uid="{00000000-0005-0000-0000-000025360000}"/>
    <cellStyle name="Normal 4 2 2 2 6 2 5" xfId="19139" xr:uid="{00000000-0005-0000-0000-000026360000}"/>
    <cellStyle name="Normal 4 2 2 2 6 3" xfId="7709" xr:uid="{00000000-0005-0000-0000-000027360000}"/>
    <cellStyle name="Normal 4 2 2 2 6 3 2" xfId="14972" xr:uid="{00000000-0005-0000-0000-000028360000}"/>
    <cellStyle name="Normal 4 2 2 2 6 3 2 2" xfId="31287" xr:uid="{00000000-0005-0000-0000-000029360000}"/>
    <cellStyle name="Normal 4 2 2 2 6 3 3" xfId="24322" xr:uid="{00000000-0005-0000-0000-00002A360000}"/>
    <cellStyle name="Normal 4 2 2 2 6 4" xfId="11024" xr:uid="{00000000-0005-0000-0000-00002B360000}"/>
    <cellStyle name="Normal 4 2 2 2 6 4 2" xfId="27622" xr:uid="{00000000-0005-0000-0000-00002C360000}"/>
    <cellStyle name="Normal 4 2 2 2 6 5" xfId="4014" xr:uid="{00000000-0005-0000-0000-00002D360000}"/>
    <cellStyle name="Normal 4 2 2 2 6 5 2" xfId="20737" xr:uid="{00000000-0005-0000-0000-00002E360000}"/>
    <cellStyle name="Normal 4 2 2 2 6 6" xfId="17537" xr:uid="{00000000-0005-0000-0000-00002F360000}"/>
    <cellStyle name="Normal 4 2 2 2 7" xfId="1321" xr:uid="{00000000-0005-0000-0000-000030360000}"/>
    <cellStyle name="Normal 4 2 2 2 7 2" xfId="8486" xr:uid="{00000000-0005-0000-0000-000031360000}"/>
    <cellStyle name="Normal 4 2 2 2 7 2 2" xfId="15749" xr:uid="{00000000-0005-0000-0000-000032360000}"/>
    <cellStyle name="Normal 4 2 2 2 7 2 2 2" xfId="32064" xr:uid="{00000000-0005-0000-0000-000033360000}"/>
    <cellStyle name="Normal 4 2 2 2 7 2 3" xfId="25099" xr:uid="{00000000-0005-0000-0000-000034360000}"/>
    <cellStyle name="Normal 4 2 2 2 7 3" xfId="11827" xr:uid="{00000000-0005-0000-0000-000035360000}"/>
    <cellStyle name="Normal 4 2 2 2 7 3 2" xfId="28403" xr:uid="{00000000-0005-0000-0000-000036360000}"/>
    <cellStyle name="Normal 4 2 2 2 7 4" xfId="5133" xr:uid="{00000000-0005-0000-0000-000037360000}"/>
    <cellStyle name="Normal 4 2 2 2 7 4 2" xfId="21799" xr:uid="{00000000-0005-0000-0000-000038360000}"/>
    <cellStyle name="Normal 4 2 2 2 7 5" xfId="18056" xr:uid="{00000000-0005-0000-0000-000039360000}"/>
    <cellStyle name="Normal 4 2 2 2 8" xfId="2381" xr:uid="{00000000-0005-0000-0000-00003A360000}"/>
    <cellStyle name="Normal 4 2 2 2 8 2" xfId="14130" xr:uid="{00000000-0005-0000-0000-00003B360000}"/>
    <cellStyle name="Normal 4 2 2 2 8 2 2" xfId="30445" xr:uid="{00000000-0005-0000-0000-00003C360000}"/>
    <cellStyle name="Normal 4 2 2 2 8 3" xfId="6867" xr:uid="{00000000-0005-0000-0000-00003D360000}"/>
    <cellStyle name="Normal 4 2 2 2 8 3 2" xfId="23480" xr:uid="{00000000-0005-0000-0000-00003E360000}"/>
    <cellStyle name="Normal 4 2 2 2 8 4" xfId="19108" xr:uid="{00000000-0005-0000-0000-00003F360000}"/>
    <cellStyle name="Normal 4 2 2 2 9" xfId="10180" xr:uid="{00000000-0005-0000-0000-000040360000}"/>
    <cellStyle name="Normal 4 2 2 2 9 2" xfId="26780" xr:uid="{00000000-0005-0000-0000-000041360000}"/>
    <cellStyle name="Normal 4 2 2 3" xfId="669" xr:uid="{00000000-0005-0000-0000-000042360000}"/>
    <cellStyle name="Normal 4 2 2 3 10" xfId="17485" xr:uid="{00000000-0005-0000-0000-000043360000}"/>
    <cellStyle name="Normal 4 2 2 3 2" xfId="1008" xr:uid="{00000000-0005-0000-0000-000044360000}"/>
    <cellStyle name="Normal 4 2 2 3 2 2" xfId="1151" xr:uid="{00000000-0005-0000-0000-000045360000}"/>
    <cellStyle name="Normal 4 2 2 3 2 2 2" xfId="1672" xr:uid="{00000000-0005-0000-0000-000046360000}"/>
    <cellStyle name="Normal 4 2 2 3 2 2 2 2" xfId="2417" xr:uid="{00000000-0005-0000-0000-000047360000}"/>
    <cellStyle name="Normal 4 2 2 3 2 2 2 2 2" xfId="6566" xr:uid="{00000000-0005-0000-0000-000048360000}"/>
    <cellStyle name="Normal 4 2 2 3 2 2 2 2 2 2" xfId="9917" xr:uid="{00000000-0005-0000-0000-000049360000}"/>
    <cellStyle name="Normal 4 2 2 3 2 2 2 2 2 2 2" xfId="17180" xr:uid="{00000000-0005-0000-0000-00004A360000}"/>
    <cellStyle name="Normal 4 2 2 3 2 2 2 2 2 2 2 2" xfId="33495" xr:uid="{00000000-0005-0000-0000-00004B360000}"/>
    <cellStyle name="Normal 4 2 2 3 2 2 2 2 2 2 3" xfId="26530" xr:uid="{00000000-0005-0000-0000-00004C360000}"/>
    <cellStyle name="Normal 4 2 2 3 2 2 2 2 2 3" xfId="13259" xr:uid="{00000000-0005-0000-0000-00004D360000}"/>
    <cellStyle name="Normal 4 2 2 3 2 2 2 2 2 3 2" xfId="29834" xr:uid="{00000000-0005-0000-0000-00004E360000}"/>
    <cellStyle name="Normal 4 2 2 3 2 2 2 2 2 4" xfId="23230" xr:uid="{00000000-0005-0000-0000-00004F360000}"/>
    <cellStyle name="Normal 4 2 2 3 2 2 2 2 3" xfId="8296" xr:uid="{00000000-0005-0000-0000-000050360000}"/>
    <cellStyle name="Normal 4 2 2 3 2 2 2 2 3 2" xfId="15559" xr:uid="{00000000-0005-0000-0000-000051360000}"/>
    <cellStyle name="Normal 4 2 2 3 2 2 2 2 3 2 2" xfId="31874" xr:uid="{00000000-0005-0000-0000-000052360000}"/>
    <cellStyle name="Normal 4 2 2 3 2 2 2 2 3 3" xfId="24909" xr:uid="{00000000-0005-0000-0000-000053360000}"/>
    <cellStyle name="Normal 4 2 2 3 2 2 2 2 4" xfId="11611" xr:uid="{00000000-0005-0000-0000-000054360000}"/>
    <cellStyle name="Normal 4 2 2 3 2 2 2 2 4 2" xfId="28209" xr:uid="{00000000-0005-0000-0000-000055360000}"/>
    <cellStyle name="Normal 4 2 2 3 2 2 2 2 5" xfId="4019" xr:uid="{00000000-0005-0000-0000-000056360000}"/>
    <cellStyle name="Normal 4 2 2 3 2 2 2 2 5 2" xfId="20742" xr:uid="{00000000-0005-0000-0000-000057360000}"/>
    <cellStyle name="Normal 4 2 2 3 2 2 2 2 6" xfId="19144" xr:uid="{00000000-0005-0000-0000-000058360000}"/>
    <cellStyle name="Normal 4 2 2 3 2 2 2 3" xfId="2416" xr:uid="{00000000-0005-0000-0000-000059360000}"/>
    <cellStyle name="Normal 4 2 2 3 2 2 2 3 2" xfId="9141" xr:uid="{00000000-0005-0000-0000-00005A360000}"/>
    <cellStyle name="Normal 4 2 2 3 2 2 2 3 2 2" xfId="16404" xr:uid="{00000000-0005-0000-0000-00005B360000}"/>
    <cellStyle name="Normal 4 2 2 3 2 2 2 3 2 2 2" xfId="32719" xr:uid="{00000000-0005-0000-0000-00005C360000}"/>
    <cellStyle name="Normal 4 2 2 3 2 2 2 3 2 3" xfId="25754" xr:uid="{00000000-0005-0000-0000-00005D360000}"/>
    <cellStyle name="Normal 4 2 2 3 2 2 2 3 3" xfId="12483" xr:uid="{00000000-0005-0000-0000-00005E360000}"/>
    <cellStyle name="Normal 4 2 2 3 2 2 2 3 3 2" xfId="29058" xr:uid="{00000000-0005-0000-0000-00005F360000}"/>
    <cellStyle name="Normal 4 2 2 3 2 2 2 3 4" xfId="5790" xr:uid="{00000000-0005-0000-0000-000060360000}"/>
    <cellStyle name="Normal 4 2 2 3 2 2 2 3 4 2" xfId="22454" xr:uid="{00000000-0005-0000-0000-000061360000}"/>
    <cellStyle name="Normal 4 2 2 3 2 2 2 3 5" xfId="19143" xr:uid="{00000000-0005-0000-0000-000062360000}"/>
    <cellStyle name="Normal 4 2 2 3 2 2 2 4" xfId="7520" xr:uid="{00000000-0005-0000-0000-000063360000}"/>
    <cellStyle name="Normal 4 2 2 3 2 2 2 4 2" xfId="14783" xr:uid="{00000000-0005-0000-0000-000064360000}"/>
    <cellStyle name="Normal 4 2 2 3 2 2 2 4 2 2" xfId="31098" xr:uid="{00000000-0005-0000-0000-000065360000}"/>
    <cellStyle name="Normal 4 2 2 3 2 2 2 4 3" xfId="24133" xr:uid="{00000000-0005-0000-0000-000066360000}"/>
    <cellStyle name="Normal 4 2 2 3 2 2 2 5" xfId="10835" xr:uid="{00000000-0005-0000-0000-000067360000}"/>
    <cellStyle name="Normal 4 2 2 3 2 2 2 5 2" xfId="27433" xr:uid="{00000000-0005-0000-0000-000068360000}"/>
    <cellStyle name="Normal 4 2 2 3 2 2 2 6" xfId="4018" xr:uid="{00000000-0005-0000-0000-000069360000}"/>
    <cellStyle name="Normal 4 2 2 3 2 2 2 6 2" xfId="20741" xr:uid="{00000000-0005-0000-0000-00006A360000}"/>
    <cellStyle name="Normal 4 2 2 3 2 2 2 7" xfId="18407" xr:uid="{00000000-0005-0000-0000-00006B360000}"/>
    <cellStyle name="Normal 4 2 2 3 2 2 3" xfId="2418" xr:uid="{00000000-0005-0000-0000-00006C360000}"/>
    <cellStyle name="Normal 4 2 2 3 2 2 3 2" xfId="6196" xr:uid="{00000000-0005-0000-0000-00006D360000}"/>
    <cellStyle name="Normal 4 2 2 3 2 2 3 2 2" xfId="9547" xr:uid="{00000000-0005-0000-0000-00006E360000}"/>
    <cellStyle name="Normal 4 2 2 3 2 2 3 2 2 2" xfId="16810" xr:uid="{00000000-0005-0000-0000-00006F360000}"/>
    <cellStyle name="Normal 4 2 2 3 2 2 3 2 2 2 2" xfId="33125" xr:uid="{00000000-0005-0000-0000-000070360000}"/>
    <cellStyle name="Normal 4 2 2 3 2 2 3 2 2 3" xfId="26160" xr:uid="{00000000-0005-0000-0000-000071360000}"/>
    <cellStyle name="Normal 4 2 2 3 2 2 3 2 3" xfId="12889" xr:uid="{00000000-0005-0000-0000-000072360000}"/>
    <cellStyle name="Normal 4 2 2 3 2 2 3 2 3 2" xfId="29464" xr:uid="{00000000-0005-0000-0000-000073360000}"/>
    <cellStyle name="Normal 4 2 2 3 2 2 3 2 4" xfId="22860" xr:uid="{00000000-0005-0000-0000-000074360000}"/>
    <cellStyle name="Normal 4 2 2 3 2 2 3 3" xfId="7926" xr:uid="{00000000-0005-0000-0000-000075360000}"/>
    <cellStyle name="Normal 4 2 2 3 2 2 3 3 2" xfId="15189" xr:uid="{00000000-0005-0000-0000-000076360000}"/>
    <cellStyle name="Normal 4 2 2 3 2 2 3 3 2 2" xfId="31504" xr:uid="{00000000-0005-0000-0000-000077360000}"/>
    <cellStyle name="Normal 4 2 2 3 2 2 3 3 3" xfId="24539" xr:uid="{00000000-0005-0000-0000-000078360000}"/>
    <cellStyle name="Normal 4 2 2 3 2 2 3 4" xfId="11241" xr:uid="{00000000-0005-0000-0000-000079360000}"/>
    <cellStyle name="Normal 4 2 2 3 2 2 3 4 2" xfId="27839" xr:uid="{00000000-0005-0000-0000-00007A360000}"/>
    <cellStyle name="Normal 4 2 2 3 2 2 3 5" xfId="4020" xr:uid="{00000000-0005-0000-0000-00007B360000}"/>
    <cellStyle name="Normal 4 2 2 3 2 2 3 5 2" xfId="20743" xr:uid="{00000000-0005-0000-0000-00007C360000}"/>
    <cellStyle name="Normal 4 2 2 3 2 2 3 6" xfId="19145" xr:uid="{00000000-0005-0000-0000-00007D360000}"/>
    <cellStyle name="Normal 4 2 2 3 2 2 4" xfId="2415" xr:uid="{00000000-0005-0000-0000-00007E360000}"/>
    <cellStyle name="Normal 4 2 2 3 2 2 4 2" xfId="8734" xr:uid="{00000000-0005-0000-0000-00007F360000}"/>
    <cellStyle name="Normal 4 2 2 3 2 2 4 2 2" xfId="15997" xr:uid="{00000000-0005-0000-0000-000080360000}"/>
    <cellStyle name="Normal 4 2 2 3 2 2 4 2 2 2" xfId="32312" xr:uid="{00000000-0005-0000-0000-000081360000}"/>
    <cellStyle name="Normal 4 2 2 3 2 2 4 2 3" xfId="25347" xr:uid="{00000000-0005-0000-0000-000082360000}"/>
    <cellStyle name="Normal 4 2 2 3 2 2 4 3" xfId="12076" xr:uid="{00000000-0005-0000-0000-000083360000}"/>
    <cellStyle name="Normal 4 2 2 3 2 2 4 3 2" xfId="28651" xr:uid="{00000000-0005-0000-0000-000084360000}"/>
    <cellStyle name="Normal 4 2 2 3 2 2 4 4" xfId="5383" xr:uid="{00000000-0005-0000-0000-000085360000}"/>
    <cellStyle name="Normal 4 2 2 3 2 2 4 4 2" xfId="22047" xr:uid="{00000000-0005-0000-0000-000086360000}"/>
    <cellStyle name="Normal 4 2 2 3 2 2 4 5" xfId="19142" xr:uid="{00000000-0005-0000-0000-000087360000}"/>
    <cellStyle name="Normal 4 2 2 3 2 2 5" xfId="7114" xr:uid="{00000000-0005-0000-0000-000088360000}"/>
    <cellStyle name="Normal 4 2 2 3 2 2 5 2" xfId="14377" xr:uid="{00000000-0005-0000-0000-000089360000}"/>
    <cellStyle name="Normal 4 2 2 3 2 2 5 2 2" xfId="30692" xr:uid="{00000000-0005-0000-0000-00008A360000}"/>
    <cellStyle name="Normal 4 2 2 3 2 2 5 3" xfId="23727" xr:uid="{00000000-0005-0000-0000-00008B360000}"/>
    <cellStyle name="Normal 4 2 2 3 2 2 6" xfId="10429" xr:uid="{00000000-0005-0000-0000-00008C360000}"/>
    <cellStyle name="Normal 4 2 2 3 2 2 6 2" xfId="27027" xr:uid="{00000000-0005-0000-0000-00008D360000}"/>
    <cellStyle name="Normal 4 2 2 3 2 2 7" xfId="4017" xr:uid="{00000000-0005-0000-0000-00008E360000}"/>
    <cellStyle name="Normal 4 2 2 3 2 2 7 2" xfId="20740" xr:uid="{00000000-0005-0000-0000-00008F360000}"/>
    <cellStyle name="Normal 4 2 2 3 2 2 8" xfId="17888" xr:uid="{00000000-0005-0000-0000-000090360000}"/>
    <cellStyle name="Normal 4 2 2 3 2 3" xfId="1569" xr:uid="{00000000-0005-0000-0000-000091360000}"/>
    <cellStyle name="Normal 4 2 2 3 2 3 2" xfId="2420" xr:uid="{00000000-0005-0000-0000-000092360000}"/>
    <cellStyle name="Normal 4 2 2 3 2 3 2 2" xfId="6390" xr:uid="{00000000-0005-0000-0000-000093360000}"/>
    <cellStyle name="Normal 4 2 2 3 2 3 2 2 2" xfId="9741" xr:uid="{00000000-0005-0000-0000-000094360000}"/>
    <cellStyle name="Normal 4 2 2 3 2 3 2 2 2 2" xfId="17004" xr:uid="{00000000-0005-0000-0000-000095360000}"/>
    <cellStyle name="Normal 4 2 2 3 2 3 2 2 2 2 2" xfId="33319" xr:uid="{00000000-0005-0000-0000-000096360000}"/>
    <cellStyle name="Normal 4 2 2 3 2 3 2 2 2 3" xfId="26354" xr:uid="{00000000-0005-0000-0000-000097360000}"/>
    <cellStyle name="Normal 4 2 2 3 2 3 2 2 3" xfId="13083" xr:uid="{00000000-0005-0000-0000-000098360000}"/>
    <cellStyle name="Normal 4 2 2 3 2 3 2 2 3 2" xfId="29658" xr:uid="{00000000-0005-0000-0000-000099360000}"/>
    <cellStyle name="Normal 4 2 2 3 2 3 2 2 4" xfId="23054" xr:uid="{00000000-0005-0000-0000-00009A360000}"/>
    <cellStyle name="Normal 4 2 2 3 2 3 2 3" xfId="8120" xr:uid="{00000000-0005-0000-0000-00009B360000}"/>
    <cellStyle name="Normal 4 2 2 3 2 3 2 3 2" xfId="15383" xr:uid="{00000000-0005-0000-0000-00009C360000}"/>
    <cellStyle name="Normal 4 2 2 3 2 3 2 3 2 2" xfId="31698" xr:uid="{00000000-0005-0000-0000-00009D360000}"/>
    <cellStyle name="Normal 4 2 2 3 2 3 2 3 3" xfId="24733" xr:uid="{00000000-0005-0000-0000-00009E360000}"/>
    <cellStyle name="Normal 4 2 2 3 2 3 2 4" xfId="11435" xr:uid="{00000000-0005-0000-0000-00009F360000}"/>
    <cellStyle name="Normal 4 2 2 3 2 3 2 4 2" xfId="28033" xr:uid="{00000000-0005-0000-0000-0000A0360000}"/>
    <cellStyle name="Normal 4 2 2 3 2 3 2 5" xfId="4022" xr:uid="{00000000-0005-0000-0000-0000A1360000}"/>
    <cellStyle name="Normal 4 2 2 3 2 3 2 5 2" xfId="20745" xr:uid="{00000000-0005-0000-0000-0000A2360000}"/>
    <cellStyle name="Normal 4 2 2 3 2 3 2 6" xfId="19147" xr:uid="{00000000-0005-0000-0000-0000A3360000}"/>
    <cellStyle name="Normal 4 2 2 3 2 3 3" xfId="2419" xr:uid="{00000000-0005-0000-0000-0000A4360000}"/>
    <cellStyle name="Normal 4 2 2 3 2 3 3 2" xfId="8929" xr:uid="{00000000-0005-0000-0000-0000A5360000}"/>
    <cellStyle name="Normal 4 2 2 3 2 3 3 2 2" xfId="16192" xr:uid="{00000000-0005-0000-0000-0000A6360000}"/>
    <cellStyle name="Normal 4 2 2 3 2 3 3 2 2 2" xfId="32507" xr:uid="{00000000-0005-0000-0000-0000A7360000}"/>
    <cellStyle name="Normal 4 2 2 3 2 3 3 2 3" xfId="25542" xr:uid="{00000000-0005-0000-0000-0000A8360000}"/>
    <cellStyle name="Normal 4 2 2 3 2 3 3 3" xfId="12271" xr:uid="{00000000-0005-0000-0000-0000A9360000}"/>
    <cellStyle name="Normal 4 2 2 3 2 3 3 3 2" xfId="28846" xr:uid="{00000000-0005-0000-0000-0000AA360000}"/>
    <cellStyle name="Normal 4 2 2 3 2 3 3 4" xfId="5578" xr:uid="{00000000-0005-0000-0000-0000AB360000}"/>
    <cellStyle name="Normal 4 2 2 3 2 3 3 4 2" xfId="22242" xr:uid="{00000000-0005-0000-0000-0000AC360000}"/>
    <cellStyle name="Normal 4 2 2 3 2 3 3 5" xfId="19146" xr:uid="{00000000-0005-0000-0000-0000AD360000}"/>
    <cellStyle name="Normal 4 2 2 3 2 3 4" xfId="7308" xr:uid="{00000000-0005-0000-0000-0000AE360000}"/>
    <cellStyle name="Normal 4 2 2 3 2 3 4 2" xfId="14571" xr:uid="{00000000-0005-0000-0000-0000AF360000}"/>
    <cellStyle name="Normal 4 2 2 3 2 3 4 2 2" xfId="30886" xr:uid="{00000000-0005-0000-0000-0000B0360000}"/>
    <cellStyle name="Normal 4 2 2 3 2 3 4 3" xfId="23921" xr:uid="{00000000-0005-0000-0000-0000B1360000}"/>
    <cellStyle name="Normal 4 2 2 3 2 3 5" xfId="10623" xr:uid="{00000000-0005-0000-0000-0000B2360000}"/>
    <cellStyle name="Normal 4 2 2 3 2 3 5 2" xfId="27221" xr:uid="{00000000-0005-0000-0000-0000B3360000}"/>
    <cellStyle name="Normal 4 2 2 3 2 3 6" xfId="4021" xr:uid="{00000000-0005-0000-0000-0000B4360000}"/>
    <cellStyle name="Normal 4 2 2 3 2 3 6 2" xfId="20744" xr:uid="{00000000-0005-0000-0000-0000B5360000}"/>
    <cellStyle name="Normal 4 2 2 3 2 3 7" xfId="18304" xr:uid="{00000000-0005-0000-0000-0000B6360000}"/>
    <cellStyle name="Normal 4 2 2 3 2 4" xfId="2421" xr:uid="{00000000-0005-0000-0000-0000B7360000}"/>
    <cellStyle name="Normal 4 2 2 3 2 4 2" xfId="5984" xr:uid="{00000000-0005-0000-0000-0000B8360000}"/>
    <cellStyle name="Normal 4 2 2 3 2 4 2 2" xfId="9335" xr:uid="{00000000-0005-0000-0000-0000B9360000}"/>
    <cellStyle name="Normal 4 2 2 3 2 4 2 2 2" xfId="16598" xr:uid="{00000000-0005-0000-0000-0000BA360000}"/>
    <cellStyle name="Normal 4 2 2 3 2 4 2 2 2 2" xfId="32913" xr:uid="{00000000-0005-0000-0000-0000BB360000}"/>
    <cellStyle name="Normal 4 2 2 3 2 4 2 2 3" xfId="25948" xr:uid="{00000000-0005-0000-0000-0000BC360000}"/>
    <cellStyle name="Normal 4 2 2 3 2 4 2 3" xfId="12677" xr:uid="{00000000-0005-0000-0000-0000BD360000}"/>
    <cellStyle name="Normal 4 2 2 3 2 4 2 3 2" xfId="29252" xr:uid="{00000000-0005-0000-0000-0000BE360000}"/>
    <cellStyle name="Normal 4 2 2 3 2 4 2 4" xfId="22648" xr:uid="{00000000-0005-0000-0000-0000BF360000}"/>
    <cellStyle name="Normal 4 2 2 3 2 4 3" xfId="7714" xr:uid="{00000000-0005-0000-0000-0000C0360000}"/>
    <cellStyle name="Normal 4 2 2 3 2 4 3 2" xfId="14977" xr:uid="{00000000-0005-0000-0000-0000C1360000}"/>
    <cellStyle name="Normal 4 2 2 3 2 4 3 2 2" xfId="31292" xr:uid="{00000000-0005-0000-0000-0000C2360000}"/>
    <cellStyle name="Normal 4 2 2 3 2 4 3 3" xfId="24327" xr:uid="{00000000-0005-0000-0000-0000C3360000}"/>
    <cellStyle name="Normal 4 2 2 3 2 4 4" xfId="11029" xr:uid="{00000000-0005-0000-0000-0000C4360000}"/>
    <cellStyle name="Normal 4 2 2 3 2 4 4 2" xfId="27627" xr:uid="{00000000-0005-0000-0000-0000C5360000}"/>
    <cellStyle name="Normal 4 2 2 3 2 4 5" xfId="4023" xr:uid="{00000000-0005-0000-0000-0000C6360000}"/>
    <cellStyle name="Normal 4 2 2 3 2 4 5 2" xfId="20746" xr:uid="{00000000-0005-0000-0000-0000C7360000}"/>
    <cellStyle name="Normal 4 2 2 3 2 4 6" xfId="19148" xr:uid="{00000000-0005-0000-0000-0000C8360000}"/>
    <cellStyle name="Normal 4 2 2 3 2 5" xfId="2414" xr:uid="{00000000-0005-0000-0000-0000C9360000}"/>
    <cellStyle name="Normal 4 2 2 3 2 5 2" xfId="8630" xr:uid="{00000000-0005-0000-0000-0000CA360000}"/>
    <cellStyle name="Normal 4 2 2 3 2 5 2 2" xfId="15893" xr:uid="{00000000-0005-0000-0000-0000CB360000}"/>
    <cellStyle name="Normal 4 2 2 3 2 5 2 2 2" xfId="32208" xr:uid="{00000000-0005-0000-0000-0000CC360000}"/>
    <cellStyle name="Normal 4 2 2 3 2 5 2 3" xfId="25243" xr:uid="{00000000-0005-0000-0000-0000CD360000}"/>
    <cellStyle name="Normal 4 2 2 3 2 5 3" xfId="11972" xr:uid="{00000000-0005-0000-0000-0000CE360000}"/>
    <cellStyle name="Normal 4 2 2 3 2 5 3 2" xfId="28547" xr:uid="{00000000-0005-0000-0000-0000CF360000}"/>
    <cellStyle name="Normal 4 2 2 3 2 5 4" xfId="5279" xr:uid="{00000000-0005-0000-0000-0000D0360000}"/>
    <cellStyle name="Normal 4 2 2 3 2 5 4 2" xfId="21943" xr:uid="{00000000-0005-0000-0000-0000D1360000}"/>
    <cellStyle name="Normal 4 2 2 3 2 5 5" xfId="19141" xr:uid="{00000000-0005-0000-0000-0000D2360000}"/>
    <cellStyle name="Normal 4 2 2 3 2 6" xfId="7011" xr:uid="{00000000-0005-0000-0000-0000D3360000}"/>
    <cellStyle name="Normal 4 2 2 3 2 6 2" xfId="14274" xr:uid="{00000000-0005-0000-0000-0000D4360000}"/>
    <cellStyle name="Normal 4 2 2 3 2 6 2 2" xfId="30589" xr:uid="{00000000-0005-0000-0000-0000D5360000}"/>
    <cellStyle name="Normal 4 2 2 3 2 6 3" xfId="23624" xr:uid="{00000000-0005-0000-0000-0000D6360000}"/>
    <cellStyle name="Normal 4 2 2 3 2 7" xfId="10325" xr:uid="{00000000-0005-0000-0000-0000D7360000}"/>
    <cellStyle name="Normal 4 2 2 3 2 7 2" xfId="26924" xr:uid="{00000000-0005-0000-0000-0000D8360000}"/>
    <cellStyle name="Normal 4 2 2 3 2 8" xfId="4016" xr:uid="{00000000-0005-0000-0000-0000D9360000}"/>
    <cellStyle name="Normal 4 2 2 3 2 8 2" xfId="20739" xr:uid="{00000000-0005-0000-0000-0000DA360000}"/>
    <cellStyle name="Normal 4 2 2 3 2 9" xfId="17785" xr:uid="{00000000-0005-0000-0000-0000DB360000}"/>
    <cellStyle name="Normal 4 2 2 3 3" xfId="1150" xr:uid="{00000000-0005-0000-0000-0000DC360000}"/>
    <cellStyle name="Normal 4 2 2 3 3 2" xfId="1671" xr:uid="{00000000-0005-0000-0000-0000DD360000}"/>
    <cellStyle name="Normal 4 2 2 3 3 2 2" xfId="2424" xr:uid="{00000000-0005-0000-0000-0000DE360000}"/>
    <cellStyle name="Normal 4 2 2 3 3 2 2 2" xfId="6565" xr:uid="{00000000-0005-0000-0000-0000DF360000}"/>
    <cellStyle name="Normal 4 2 2 3 3 2 2 2 2" xfId="9916" xr:uid="{00000000-0005-0000-0000-0000E0360000}"/>
    <cellStyle name="Normal 4 2 2 3 3 2 2 2 2 2" xfId="17179" xr:uid="{00000000-0005-0000-0000-0000E1360000}"/>
    <cellStyle name="Normal 4 2 2 3 3 2 2 2 2 2 2" xfId="33494" xr:uid="{00000000-0005-0000-0000-0000E2360000}"/>
    <cellStyle name="Normal 4 2 2 3 3 2 2 2 2 3" xfId="26529" xr:uid="{00000000-0005-0000-0000-0000E3360000}"/>
    <cellStyle name="Normal 4 2 2 3 3 2 2 2 3" xfId="13258" xr:uid="{00000000-0005-0000-0000-0000E4360000}"/>
    <cellStyle name="Normal 4 2 2 3 3 2 2 2 3 2" xfId="29833" xr:uid="{00000000-0005-0000-0000-0000E5360000}"/>
    <cellStyle name="Normal 4 2 2 3 3 2 2 2 4" xfId="23229" xr:uid="{00000000-0005-0000-0000-0000E6360000}"/>
    <cellStyle name="Normal 4 2 2 3 3 2 2 3" xfId="8295" xr:uid="{00000000-0005-0000-0000-0000E7360000}"/>
    <cellStyle name="Normal 4 2 2 3 3 2 2 3 2" xfId="15558" xr:uid="{00000000-0005-0000-0000-0000E8360000}"/>
    <cellStyle name="Normal 4 2 2 3 3 2 2 3 2 2" xfId="31873" xr:uid="{00000000-0005-0000-0000-0000E9360000}"/>
    <cellStyle name="Normal 4 2 2 3 3 2 2 3 3" xfId="24908" xr:uid="{00000000-0005-0000-0000-0000EA360000}"/>
    <cellStyle name="Normal 4 2 2 3 3 2 2 4" xfId="11610" xr:uid="{00000000-0005-0000-0000-0000EB360000}"/>
    <cellStyle name="Normal 4 2 2 3 3 2 2 4 2" xfId="28208" xr:uid="{00000000-0005-0000-0000-0000EC360000}"/>
    <cellStyle name="Normal 4 2 2 3 3 2 2 5" xfId="4026" xr:uid="{00000000-0005-0000-0000-0000ED360000}"/>
    <cellStyle name="Normal 4 2 2 3 3 2 2 5 2" xfId="20749" xr:uid="{00000000-0005-0000-0000-0000EE360000}"/>
    <cellStyle name="Normal 4 2 2 3 3 2 2 6" xfId="19151" xr:uid="{00000000-0005-0000-0000-0000EF360000}"/>
    <cellStyle name="Normal 4 2 2 3 3 2 3" xfId="2423" xr:uid="{00000000-0005-0000-0000-0000F0360000}"/>
    <cellStyle name="Normal 4 2 2 3 3 2 3 2" xfId="9140" xr:uid="{00000000-0005-0000-0000-0000F1360000}"/>
    <cellStyle name="Normal 4 2 2 3 3 2 3 2 2" xfId="16403" xr:uid="{00000000-0005-0000-0000-0000F2360000}"/>
    <cellStyle name="Normal 4 2 2 3 3 2 3 2 2 2" xfId="32718" xr:uid="{00000000-0005-0000-0000-0000F3360000}"/>
    <cellStyle name="Normal 4 2 2 3 3 2 3 2 3" xfId="25753" xr:uid="{00000000-0005-0000-0000-0000F4360000}"/>
    <cellStyle name="Normal 4 2 2 3 3 2 3 3" xfId="12482" xr:uid="{00000000-0005-0000-0000-0000F5360000}"/>
    <cellStyle name="Normal 4 2 2 3 3 2 3 3 2" xfId="29057" xr:uid="{00000000-0005-0000-0000-0000F6360000}"/>
    <cellStyle name="Normal 4 2 2 3 3 2 3 4" xfId="5789" xr:uid="{00000000-0005-0000-0000-0000F7360000}"/>
    <cellStyle name="Normal 4 2 2 3 3 2 3 4 2" xfId="22453" xr:uid="{00000000-0005-0000-0000-0000F8360000}"/>
    <cellStyle name="Normal 4 2 2 3 3 2 3 5" xfId="19150" xr:uid="{00000000-0005-0000-0000-0000F9360000}"/>
    <cellStyle name="Normal 4 2 2 3 3 2 4" xfId="7519" xr:uid="{00000000-0005-0000-0000-0000FA360000}"/>
    <cellStyle name="Normal 4 2 2 3 3 2 4 2" xfId="14782" xr:uid="{00000000-0005-0000-0000-0000FB360000}"/>
    <cellStyle name="Normal 4 2 2 3 3 2 4 2 2" xfId="31097" xr:uid="{00000000-0005-0000-0000-0000FC360000}"/>
    <cellStyle name="Normal 4 2 2 3 3 2 4 3" xfId="24132" xr:uid="{00000000-0005-0000-0000-0000FD360000}"/>
    <cellStyle name="Normal 4 2 2 3 3 2 5" xfId="10834" xr:uid="{00000000-0005-0000-0000-0000FE360000}"/>
    <cellStyle name="Normal 4 2 2 3 3 2 5 2" xfId="27432" xr:uid="{00000000-0005-0000-0000-0000FF360000}"/>
    <cellStyle name="Normal 4 2 2 3 3 2 6" xfId="4025" xr:uid="{00000000-0005-0000-0000-000000370000}"/>
    <cellStyle name="Normal 4 2 2 3 3 2 6 2" xfId="20748" xr:uid="{00000000-0005-0000-0000-000001370000}"/>
    <cellStyle name="Normal 4 2 2 3 3 2 7" xfId="18406" xr:uid="{00000000-0005-0000-0000-000002370000}"/>
    <cellStyle name="Normal 4 2 2 3 3 3" xfId="2425" xr:uid="{00000000-0005-0000-0000-000003370000}"/>
    <cellStyle name="Normal 4 2 2 3 3 3 2" xfId="6195" xr:uid="{00000000-0005-0000-0000-000004370000}"/>
    <cellStyle name="Normal 4 2 2 3 3 3 2 2" xfId="9546" xr:uid="{00000000-0005-0000-0000-000005370000}"/>
    <cellStyle name="Normal 4 2 2 3 3 3 2 2 2" xfId="16809" xr:uid="{00000000-0005-0000-0000-000006370000}"/>
    <cellStyle name="Normal 4 2 2 3 3 3 2 2 2 2" xfId="33124" xr:uid="{00000000-0005-0000-0000-000007370000}"/>
    <cellStyle name="Normal 4 2 2 3 3 3 2 2 3" xfId="26159" xr:uid="{00000000-0005-0000-0000-000008370000}"/>
    <cellStyle name="Normal 4 2 2 3 3 3 2 3" xfId="12888" xr:uid="{00000000-0005-0000-0000-000009370000}"/>
    <cellStyle name="Normal 4 2 2 3 3 3 2 3 2" xfId="29463" xr:uid="{00000000-0005-0000-0000-00000A370000}"/>
    <cellStyle name="Normal 4 2 2 3 3 3 2 4" xfId="22859" xr:uid="{00000000-0005-0000-0000-00000B370000}"/>
    <cellStyle name="Normal 4 2 2 3 3 3 3" xfId="7925" xr:uid="{00000000-0005-0000-0000-00000C370000}"/>
    <cellStyle name="Normal 4 2 2 3 3 3 3 2" xfId="15188" xr:uid="{00000000-0005-0000-0000-00000D370000}"/>
    <cellStyle name="Normal 4 2 2 3 3 3 3 2 2" xfId="31503" xr:uid="{00000000-0005-0000-0000-00000E370000}"/>
    <cellStyle name="Normal 4 2 2 3 3 3 3 3" xfId="24538" xr:uid="{00000000-0005-0000-0000-00000F370000}"/>
    <cellStyle name="Normal 4 2 2 3 3 3 4" xfId="11240" xr:uid="{00000000-0005-0000-0000-000010370000}"/>
    <cellStyle name="Normal 4 2 2 3 3 3 4 2" xfId="27838" xr:uid="{00000000-0005-0000-0000-000011370000}"/>
    <cellStyle name="Normal 4 2 2 3 3 3 5" xfId="4027" xr:uid="{00000000-0005-0000-0000-000012370000}"/>
    <cellStyle name="Normal 4 2 2 3 3 3 5 2" xfId="20750" xr:uid="{00000000-0005-0000-0000-000013370000}"/>
    <cellStyle name="Normal 4 2 2 3 3 3 6" xfId="19152" xr:uid="{00000000-0005-0000-0000-000014370000}"/>
    <cellStyle name="Normal 4 2 2 3 3 4" xfId="2422" xr:uid="{00000000-0005-0000-0000-000015370000}"/>
    <cellStyle name="Normal 4 2 2 3 3 4 2" xfId="8733" xr:uid="{00000000-0005-0000-0000-000016370000}"/>
    <cellStyle name="Normal 4 2 2 3 3 4 2 2" xfId="15996" xr:uid="{00000000-0005-0000-0000-000017370000}"/>
    <cellStyle name="Normal 4 2 2 3 3 4 2 2 2" xfId="32311" xr:uid="{00000000-0005-0000-0000-000018370000}"/>
    <cellStyle name="Normal 4 2 2 3 3 4 2 3" xfId="25346" xr:uid="{00000000-0005-0000-0000-000019370000}"/>
    <cellStyle name="Normal 4 2 2 3 3 4 3" xfId="12075" xr:uid="{00000000-0005-0000-0000-00001A370000}"/>
    <cellStyle name="Normal 4 2 2 3 3 4 3 2" xfId="28650" xr:uid="{00000000-0005-0000-0000-00001B370000}"/>
    <cellStyle name="Normal 4 2 2 3 3 4 4" xfId="5382" xr:uid="{00000000-0005-0000-0000-00001C370000}"/>
    <cellStyle name="Normal 4 2 2 3 3 4 4 2" xfId="22046" xr:uid="{00000000-0005-0000-0000-00001D370000}"/>
    <cellStyle name="Normal 4 2 2 3 3 4 5" xfId="19149" xr:uid="{00000000-0005-0000-0000-00001E370000}"/>
    <cellStyle name="Normal 4 2 2 3 3 5" xfId="7113" xr:uid="{00000000-0005-0000-0000-00001F370000}"/>
    <cellStyle name="Normal 4 2 2 3 3 5 2" xfId="14376" xr:uid="{00000000-0005-0000-0000-000020370000}"/>
    <cellStyle name="Normal 4 2 2 3 3 5 2 2" xfId="30691" xr:uid="{00000000-0005-0000-0000-000021370000}"/>
    <cellStyle name="Normal 4 2 2 3 3 5 3" xfId="23726" xr:uid="{00000000-0005-0000-0000-000022370000}"/>
    <cellStyle name="Normal 4 2 2 3 3 6" xfId="10428" xr:uid="{00000000-0005-0000-0000-000023370000}"/>
    <cellStyle name="Normal 4 2 2 3 3 6 2" xfId="27026" xr:uid="{00000000-0005-0000-0000-000024370000}"/>
    <cellStyle name="Normal 4 2 2 3 3 7" xfId="4024" xr:uid="{00000000-0005-0000-0000-000025370000}"/>
    <cellStyle name="Normal 4 2 2 3 3 7 2" xfId="20747" xr:uid="{00000000-0005-0000-0000-000026370000}"/>
    <cellStyle name="Normal 4 2 2 3 3 8" xfId="17887" xr:uid="{00000000-0005-0000-0000-000027370000}"/>
    <cellStyle name="Normal 4 2 2 3 4" xfId="901" xr:uid="{00000000-0005-0000-0000-000028370000}"/>
    <cellStyle name="Normal 4 2 2 3 4 2" xfId="1463" xr:uid="{00000000-0005-0000-0000-000029370000}"/>
    <cellStyle name="Normal 4 2 2 3 4 2 2" xfId="2427" xr:uid="{00000000-0005-0000-0000-00002A370000}"/>
    <cellStyle name="Normal 4 2 2 3 4 2 2 2" xfId="9740" xr:uid="{00000000-0005-0000-0000-00002B370000}"/>
    <cellStyle name="Normal 4 2 2 3 4 2 2 2 2" xfId="17003" xr:uid="{00000000-0005-0000-0000-00002C370000}"/>
    <cellStyle name="Normal 4 2 2 3 4 2 2 2 2 2" xfId="33318" xr:uid="{00000000-0005-0000-0000-00002D370000}"/>
    <cellStyle name="Normal 4 2 2 3 4 2 2 2 3" xfId="26353" xr:uid="{00000000-0005-0000-0000-00002E370000}"/>
    <cellStyle name="Normal 4 2 2 3 4 2 2 3" xfId="13082" xr:uid="{00000000-0005-0000-0000-00002F370000}"/>
    <cellStyle name="Normal 4 2 2 3 4 2 2 3 2" xfId="29657" xr:uid="{00000000-0005-0000-0000-000030370000}"/>
    <cellStyle name="Normal 4 2 2 3 4 2 2 4" xfId="6389" xr:uid="{00000000-0005-0000-0000-000031370000}"/>
    <cellStyle name="Normal 4 2 2 3 4 2 2 4 2" xfId="23053" xr:uid="{00000000-0005-0000-0000-000032370000}"/>
    <cellStyle name="Normal 4 2 2 3 4 2 2 5" xfId="19154" xr:uid="{00000000-0005-0000-0000-000033370000}"/>
    <cellStyle name="Normal 4 2 2 3 4 2 3" xfId="8119" xr:uid="{00000000-0005-0000-0000-000034370000}"/>
    <cellStyle name="Normal 4 2 2 3 4 2 3 2" xfId="15382" xr:uid="{00000000-0005-0000-0000-000035370000}"/>
    <cellStyle name="Normal 4 2 2 3 4 2 3 2 2" xfId="31697" xr:uid="{00000000-0005-0000-0000-000036370000}"/>
    <cellStyle name="Normal 4 2 2 3 4 2 3 3" xfId="24732" xr:uid="{00000000-0005-0000-0000-000037370000}"/>
    <cellStyle name="Normal 4 2 2 3 4 2 4" xfId="11434" xr:uid="{00000000-0005-0000-0000-000038370000}"/>
    <cellStyle name="Normal 4 2 2 3 4 2 4 2" xfId="28032" xr:uid="{00000000-0005-0000-0000-000039370000}"/>
    <cellStyle name="Normal 4 2 2 3 4 2 5" xfId="4029" xr:uid="{00000000-0005-0000-0000-00003A370000}"/>
    <cellStyle name="Normal 4 2 2 3 4 2 5 2" xfId="20752" xr:uid="{00000000-0005-0000-0000-00003B370000}"/>
    <cellStyle name="Normal 4 2 2 3 4 2 6" xfId="18198" xr:uid="{00000000-0005-0000-0000-00003C370000}"/>
    <cellStyle name="Normal 4 2 2 3 4 3" xfId="2426" xr:uid="{00000000-0005-0000-0000-00003D370000}"/>
    <cellStyle name="Normal 4 2 2 3 4 3 2" xfId="8928" xr:uid="{00000000-0005-0000-0000-00003E370000}"/>
    <cellStyle name="Normal 4 2 2 3 4 3 2 2" xfId="16191" xr:uid="{00000000-0005-0000-0000-00003F370000}"/>
    <cellStyle name="Normal 4 2 2 3 4 3 2 2 2" xfId="32506" xr:uid="{00000000-0005-0000-0000-000040370000}"/>
    <cellStyle name="Normal 4 2 2 3 4 3 2 3" xfId="25541" xr:uid="{00000000-0005-0000-0000-000041370000}"/>
    <cellStyle name="Normal 4 2 2 3 4 3 3" xfId="12270" xr:uid="{00000000-0005-0000-0000-000042370000}"/>
    <cellStyle name="Normal 4 2 2 3 4 3 3 2" xfId="28845" xr:uid="{00000000-0005-0000-0000-000043370000}"/>
    <cellStyle name="Normal 4 2 2 3 4 3 4" xfId="5577" xr:uid="{00000000-0005-0000-0000-000044370000}"/>
    <cellStyle name="Normal 4 2 2 3 4 3 4 2" xfId="22241" xr:uid="{00000000-0005-0000-0000-000045370000}"/>
    <cellStyle name="Normal 4 2 2 3 4 3 5" xfId="19153" xr:uid="{00000000-0005-0000-0000-000046370000}"/>
    <cellStyle name="Normal 4 2 2 3 4 4" xfId="7307" xr:uid="{00000000-0005-0000-0000-000047370000}"/>
    <cellStyle name="Normal 4 2 2 3 4 4 2" xfId="14570" xr:uid="{00000000-0005-0000-0000-000048370000}"/>
    <cellStyle name="Normal 4 2 2 3 4 4 2 2" xfId="30885" xr:uid="{00000000-0005-0000-0000-000049370000}"/>
    <cellStyle name="Normal 4 2 2 3 4 4 3" xfId="23920" xr:uid="{00000000-0005-0000-0000-00004A370000}"/>
    <cellStyle name="Normal 4 2 2 3 4 5" xfId="10622" xr:uid="{00000000-0005-0000-0000-00004B370000}"/>
    <cellStyle name="Normal 4 2 2 3 4 5 2" xfId="27220" xr:uid="{00000000-0005-0000-0000-00004C370000}"/>
    <cellStyle name="Normal 4 2 2 3 4 6" xfId="4028" xr:uid="{00000000-0005-0000-0000-00004D370000}"/>
    <cellStyle name="Normal 4 2 2 3 4 6 2" xfId="20751" xr:uid="{00000000-0005-0000-0000-00004E370000}"/>
    <cellStyle name="Normal 4 2 2 3 4 7" xfId="17679" xr:uid="{00000000-0005-0000-0000-00004F370000}"/>
    <cellStyle name="Normal 4 2 2 3 5" xfId="777" xr:uid="{00000000-0005-0000-0000-000050370000}"/>
    <cellStyle name="Normal 4 2 2 3 5 2" xfId="2428" xr:uid="{00000000-0005-0000-0000-000051370000}"/>
    <cellStyle name="Normal 4 2 2 3 5 2 2" xfId="9334" xr:uid="{00000000-0005-0000-0000-000052370000}"/>
    <cellStyle name="Normal 4 2 2 3 5 2 2 2" xfId="16597" xr:uid="{00000000-0005-0000-0000-000053370000}"/>
    <cellStyle name="Normal 4 2 2 3 5 2 2 2 2" xfId="32912" xr:uid="{00000000-0005-0000-0000-000054370000}"/>
    <cellStyle name="Normal 4 2 2 3 5 2 2 3" xfId="25947" xr:uid="{00000000-0005-0000-0000-000055370000}"/>
    <cellStyle name="Normal 4 2 2 3 5 2 3" xfId="12676" xr:uid="{00000000-0005-0000-0000-000056370000}"/>
    <cellStyle name="Normal 4 2 2 3 5 2 3 2" xfId="29251" xr:uid="{00000000-0005-0000-0000-000057370000}"/>
    <cellStyle name="Normal 4 2 2 3 5 2 4" xfId="5983" xr:uid="{00000000-0005-0000-0000-000058370000}"/>
    <cellStyle name="Normal 4 2 2 3 5 2 4 2" xfId="22647" xr:uid="{00000000-0005-0000-0000-000059370000}"/>
    <cellStyle name="Normal 4 2 2 3 5 2 5" xfId="19155" xr:uid="{00000000-0005-0000-0000-00005A370000}"/>
    <cellStyle name="Normal 4 2 2 3 5 3" xfId="7713" xr:uid="{00000000-0005-0000-0000-00005B370000}"/>
    <cellStyle name="Normal 4 2 2 3 5 3 2" xfId="14976" xr:uid="{00000000-0005-0000-0000-00005C370000}"/>
    <cellStyle name="Normal 4 2 2 3 5 3 2 2" xfId="31291" xr:uid="{00000000-0005-0000-0000-00005D370000}"/>
    <cellStyle name="Normal 4 2 2 3 5 3 3" xfId="24326" xr:uid="{00000000-0005-0000-0000-00005E370000}"/>
    <cellStyle name="Normal 4 2 2 3 5 4" xfId="11028" xr:uid="{00000000-0005-0000-0000-00005F370000}"/>
    <cellStyle name="Normal 4 2 2 3 5 4 2" xfId="27626" xr:uid="{00000000-0005-0000-0000-000060370000}"/>
    <cellStyle name="Normal 4 2 2 3 5 5" xfId="4030" xr:uid="{00000000-0005-0000-0000-000061370000}"/>
    <cellStyle name="Normal 4 2 2 3 5 5 2" xfId="20753" xr:uid="{00000000-0005-0000-0000-000062370000}"/>
    <cellStyle name="Normal 4 2 2 3 5 6" xfId="17590" xr:uid="{00000000-0005-0000-0000-000063370000}"/>
    <cellStyle name="Normal 4 2 2 3 6" xfId="1374" xr:uid="{00000000-0005-0000-0000-000064370000}"/>
    <cellStyle name="Normal 4 2 2 3 6 2" xfId="8524" xr:uid="{00000000-0005-0000-0000-000065370000}"/>
    <cellStyle name="Normal 4 2 2 3 6 2 2" xfId="15787" xr:uid="{00000000-0005-0000-0000-000066370000}"/>
    <cellStyle name="Normal 4 2 2 3 6 2 2 2" xfId="32102" xr:uid="{00000000-0005-0000-0000-000067370000}"/>
    <cellStyle name="Normal 4 2 2 3 6 2 3" xfId="25137" xr:uid="{00000000-0005-0000-0000-000068370000}"/>
    <cellStyle name="Normal 4 2 2 3 6 3" xfId="11866" xr:uid="{00000000-0005-0000-0000-000069370000}"/>
    <cellStyle name="Normal 4 2 2 3 6 3 2" xfId="28441" xr:uid="{00000000-0005-0000-0000-00006A370000}"/>
    <cellStyle name="Normal 4 2 2 3 6 4" xfId="5173" xr:uid="{00000000-0005-0000-0000-00006B370000}"/>
    <cellStyle name="Normal 4 2 2 3 6 4 2" xfId="21837" xr:uid="{00000000-0005-0000-0000-00006C370000}"/>
    <cellStyle name="Normal 4 2 2 3 6 5" xfId="18109" xr:uid="{00000000-0005-0000-0000-00006D370000}"/>
    <cellStyle name="Normal 4 2 2 3 7" xfId="2413" xr:uid="{00000000-0005-0000-0000-00006E370000}"/>
    <cellStyle name="Normal 4 2 2 3 7 2" xfId="14168" xr:uid="{00000000-0005-0000-0000-00006F370000}"/>
    <cellStyle name="Normal 4 2 2 3 7 2 2" xfId="30483" xr:uid="{00000000-0005-0000-0000-000070370000}"/>
    <cellStyle name="Normal 4 2 2 3 7 3" xfId="6905" xr:uid="{00000000-0005-0000-0000-000071370000}"/>
    <cellStyle name="Normal 4 2 2 3 7 3 2" xfId="23518" xr:uid="{00000000-0005-0000-0000-000072370000}"/>
    <cellStyle name="Normal 4 2 2 3 7 4" xfId="19140" xr:uid="{00000000-0005-0000-0000-000073370000}"/>
    <cellStyle name="Normal 4 2 2 3 8" xfId="10219" xr:uid="{00000000-0005-0000-0000-000074370000}"/>
    <cellStyle name="Normal 4 2 2 3 8 2" xfId="26818" xr:uid="{00000000-0005-0000-0000-000075370000}"/>
    <cellStyle name="Normal 4 2 2 3 9" xfId="4015" xr:uid="{00000000-0005-0000-0000-000076370000}"/>
    <cellStyle name="Normal 4 2 2 3 9 2" xfId="20738" xr:uid="{00000000-0005-0000-0000-000077370000}"/>
    <cellStyle name="Normal 4 2 2 4" xfId="631" xr:uid="{00000000-0005-0000-0000-000078370000}"/>
    <cellStyle name="Normal 4 2 2 4 2" xfId="1152" xr:uid="{00000000-0005-0000-0000-000079370000}"/>
    <cellStyle name="Normal 4 2 2 4 2 2" xfId="1673" xr:uid="{00000000-0005-0000-0000-00007A370000}"/>
    <cellStyle name="Normal 4 2 2 4 2 2 2" xfId="2432" xr:uid="{00000000-0005-0000-0000-00007B370000}"/>
    <cellStyle name="Normal 4 2 2 4 2 2 2 2" xfId="6567" xr:uid="{00000000-0005-0000-0000-00007C370000}"/>
    <cellStyle name="Normal 4 2 2 4 2 2 2 2 2" xfId="9918" xr:uid="{00000000-0005-0000-0000-00007D370000}"/>
    <cellStyle name="Normal 4 2 2 4 2 2 2 2 2 2" xfId="17181" xr:uid="{00000000-0005-0000-0000-00007E370000}"/>
    <cellStyle name="Normal 4 2 2 4 2 2 2 2 2 2 2" xfId="33496" xr:uid="{00000000-0005-0000-0000-00007F370000}"/>
    <cellStyle name="Normal 4 2 2 4 2 2 2 2 2 3" xfId="26531" xr:uid="{00000000-0005-0000-0000-000080370000}"/>
    <cellStyle name="Normal 4 2 2 4 2 2 2 2 3" xfId="13260" xr:uid="{00000000-0005-0000-0000-000081370000}"/>
    <cellStyle name="Normal 4 2 2 4 2 2 2 2 3 2" xfId="29835" xr:uid="{00000000-0005-0000-0000-000082370000}"/>
    <cellStyle name="Normal 4 2 2 4 2 2 2 2 4" xfId="23231" xr:uid="{00000000-0005-0000-0000-000083370000}"/>
    <cellStyle name="Normal 4 2 2 4 2 2 2 3" xfId="8297" xr:uid="{00000000-0005-0000-0000-000084370000}"/>
    <cellStyle name="Normal 4 2 2 4 2 2 2 3 2" xfId="15560" xr:uid="{00000000-0005-0000-0000-000085370000}"/>
    <cellStyle name="Normal 4 2 2 4 2 2 2 3 2 2" xfId="31875" xr:uid="{00000000-0005-0000-0000-000086370000}"/>
    <cellStyle name="Normal 4 2 2 4 2 2 2 3 3" xfId="24910" xr:uid="{00000000-0005-0000-0000-000087370000}"/>
    <cellStyle name="Normal 4 2 2 4 2 2 2 4" xfId="11612" xr:uid="{00000000-0005-0000-0000-000088370000}"/>
    <cellStyle name="Normal 4 2 2 4 2 2 2 4 2" xfId="28210" xr:uid="{00000000-0005-0000-0000-000089370000}"/>
    <cellStyle name="Normal 4 2 2 4 2 2 2 5" xfId="4034" xr:uid="{00000000-0005-0000-0000-00008A370000}"/>
    <cellStyle name="Normal 4 2 2 4 2 2 2 5 2" xfId="20757" xr:uid="{00000000-0005-0000-0000-00008B370000}"/>
    <cellStyle name="Normal 4 2 2 4 2 2 2 6" xfId="19159" xr:uid="{00000000-0005-0000-0000-00008C370000}"/>
    <cellStyle name="Normal 4 2 2 4 2 2 3" xfId="2431" xr:uid="{00000000-0005-0000-0000-00008D370000}"/>
    <cellStyle name="Normal 4 2 2 4 2 2 3 2" xfId="9142" xr:uid="{00000000-0005-0000-0000-00008E370000}"/>
    <cellStyle name="Normal 4 2 2 4 2 2 3 2 2" xfId="16405" xr:uid="{00000000-0005-0000-0000-00008F370000}"/>
    <cellStyle name="Normal 4 2 2 4 2 2 3 2 2 2" xfId="32720" xr:uid="{00000000-0005-0000-0000-000090370000}"/>
    <cellStyle name="Normal 4 2 2 4 2 2 3 2 3" xfId="25755" xr:uid="{00000000-0005-0000-0000-000091370000}"/>
    <cellStyle name="Normal 4 2 2 4 2 2 3 3" xfId="12484" xr:uid="{00000000-0005-0000-0000-000092370000}"/>
    <cellStyle name="Normal 4 2 2 4 2 2 3 3 2" xfId="29059" xr:uid="{00000000-0005-0000-0000-000093370000}"/>
    <cellStyle name="Normal 4 2 2 4 2 2 3 4" xfId="5791" xr:uid="{00000000-0005-0000-0000-000094370000}"/>
    <cellStyle name="Normal 4 2 2 4 2 2 3 4 2" xfId="22455" xr:uid="{00000000-0005-0000-0000-000095370000}"/>
    <cellStyle name="Normal 4 2 2 4 2 2 3 5" xfId="19158" xr:uid="{00000000-0005-0000-0000-000096370000}"/>
    <cellStyle name="Normal 4 2 2 4 2 2 4" xfId="7521" xr:uid="{00000000-0005-0000-0000-000097370000}"/>
    <cellStyle name="Normal 4 2 2 4 2 2 4 2" xfId="14784" xr:uid="{00000000-0005-0000-0000-000098370000}"/>
    <cellStyle name="Normal 4 2 2 4 2 2 4 2 2" xfId="31099" xr:uid="{00000000-0005-0000-0000-000099370000}"/>
    <cellStyle name="Normal 4 2 2 4 2 2 4 3" xfId="24134" xr:uid="{00000000-0005-0000-0000-00009A370000}"/>
    <cellStyle name="Normal 4 2 2 4 2 2 5" xfId="10836" xr:uid="{00000000-0005-0000-0000-00009B370000}"/>
    <cellStyle name="Normal 4 2 2 4 2 2 5 2" xfId="27434" xr:uid="{00000000-0005-0000-0000-00009C370000}"/>
    <cellStyle name="Normal 4 2 2 4 2 2 6" xfId="4033" xr:uid="{00000000-0005-0000-0000-00009D370000}"/>
    <cellStyle name="Normal 4 2 2 4 2 2 6 2" xfId="20756" xr:uid="{00000000-0005-0000-0000-00009E370000}"/>
    <cellStyle name="Normal 4 2 2 4 2 2 7" xfId="18408" xr:uid="{00000000-0005-0000-0000-00009F370000}"/>
    <cellStyle name="Normal 4 2 2 4 2 3" xfId="2433" xr:uid="{00000000-0005-0000-0000-0000A0370000}"/>
    <cellStyle name="Normal 4 2 2 4 2 3 2" xfId="6197" xr:uid="{00000000-0005-0000-0000-0000A1370000}"/>
    <cellStyle name="Normal 4 2 2 4 2 3 2 2" xfId="9548" xr:uid="{00000000-0005-0000-0000-0000A2370000}"/>
    <cellStyle name="Normal 4 2 2 4 2 3 2 2 2" xfId="16811" xr:uid="{00000000-0005-0000-0000-0000A3370000}"/>
    <cellStyle name="Normal 4 2 2 4 2 3 2 2 2 2" xfId="33126" xr:uid="{00000000-0005-0000-0000-0000A4370000}"/>
    <cellStyle name="Normal 4 2 2 4 2 3 2 2 3" xfId="26161" xr:uid="{00000000-0005-0000-0000-0000A5370000}"/>
    <cellStyle name="Normal 4 2 2 4 2 3 2 3" xfId="12890" xr:uid="{00000000-0005-0000-0000-0000A6370000}"/>
    <cellStyle name="Normal 4 2 2 4 2 3 2 3 2" xfId="29465" xr:uid="{00000000-0005-0000-0000-0000A7370000}"/>
    <cellStyle name="Normal 4 2 2 4 2 3 2 4" xfId="22861" xr:uid="{00000000-0005-0000-0000-0000A8370000}"/>
    <cellStyle name="Normal 4 2 2 4 2 3 3" xfId="7927" xr:uid="{00000000-0005-0000-0000-0000A9370000}"/>
    <cellStyle name="Normal 4 2 2 4 2 3 3 2" xfId="15190" xr:uid="{00000000-0005-0000-0000-0000AA370000}"/>
    <cellStyle name="Normal 4 2 2 4 2 3 3 2 2" xfId="31505" xr:uid="{00000000-0005-0000-0000-0000AB370000}"/>
    <cellStyle name="Normal 4 2 2 4 2 3 3 3" xfId="24540" xr:uid="{00000000-0005-0000-0000-0000AC370000}"/>
    <cellStyle name="Normal 4 2 2 4 2 3 4" xfId="11242" xr:uid="{00000000-0005-0000-0000-0000AD370000}"/>
    <cellStyle name="Normal 4 2 2 4 2 3 4 2" xfId="27840" xr:uid="{00000000-0005-0000-0000-0000AE370000}"/>
    <cellStyle name="Normal 4 2 2 4 2 3 5" xfId="4035" xr:uid="{00000000-0005-0000-0000-0000AF370000}"/>
    <cellStyle name="Normal 4 2 2 4 2 3 5 2" xfId="20758" xr:uid="{00000000-0005-0000-0000-0000B0370000}"/>
    <cellStyle name="Normal 4 2 2 4 2 3 6" xfId="19160" xr:uid="{00000000-0005-0000-0000-0000B1370000}"/>
    <cellStyle name="Normal 4 2 2 4 2 4" xfId="2430" xr:uid="{00000000-0005-0000-0000-0000B2370000}"/>
    <cellStyle name="Normal 4 2 2 4 2 4 2" xfId="8735" xr:uid="{00000000-0005-0000-0000-0000B3370000}"/>
    <cellStyle name="Normal 4 2 2 4 2 4 2 2" xfId="15998" xr:uid="{00000000-0005-0000-0000-0000B4370000}"/>
    <cellStyle name="Normal 4 2 2 4 2 4 2 2 2" xfId="32313" xr:uid="{00000000-0005-0000-0000-0000B5370000}"/>
    <cellStyle name="Normal 4 2 2 4 2 4 2 3" xfId="25348" xr:uid="{00000000-0005-0000-0000-0000B6370000}"/>
    <cellStyle name="Normal 4 2 2 4 2 4 3" xfId="12077" xr:uid="{00000000-0005-0000-0000-0000B7370000}"/>
    <cellStyle name="Normal 4 2 2 4 2 4 3 2" xfId="28652" xr:uid="{00000000-0005-0000-0000-0000B8370000}"/>
    <cellStyle name="Normal 4 2 2 4 2 4 4" xfId="5384" xr:uid="{00000000-0005-0000-0000-0000B9370000}"/>
    <cellStyle name="Normal 4 2 2 4 2 4 4 2" xfId="22048" xr:uid="{00000000-0005-0000-0000-0000BA370000}"/>
    <cellStyle name="Normal 4 2 2 4 2 4 5" xfId="19157" xr:uid="{00000000-0005-0000-0000-0000BB370000}"/>
    <cellStyle name="Normal 4 2 2 4 2 5" xfId="7115" xr:uid="{00000000-0005-0000-0000-0000BC370000}"/>
    <cellStyle name="Normal 4 2 2 4 2 5 2" xfId="14378" xr:uid="{00000000-0005-0000-0000-0000BD370000}"/>
    <cellStyle name="Normal 4 2 2 4 2 5 2 2" xfId="30693" xr:uid="{00000000-0005-0000-0000-0000BE370000}"/>
    <cellStyle name="Normal 4 2 2 4 2 5 3" xfId="23728" xr:uid="{00000000-0005-0000-0000-0000BF370000}"/>
    <cellStyle name="Normal 4 2 2 4 2 6" xfId="10430" xr:uid="{00000000-0005-0000-0000-0000C0370000}"/>
    <cellStyle name="Normal 4 2 2 4 2 6 2" xfId="27028" xr:uid="{00000000-0005-0000-0000-0000C1370000}"/>
    <cellStyle name="Normal 4 2 2 4 2 7" xfId="4032" xr:uid="{00000000-0005-0000-0000-0000C2370000}"/>
    <cellStyle name="Normal 4 2 2 4 2 7 2" xfId="20755" xr:uid="{00000000-0005-0000-0000-0000C3370000}"/>
    <cellStyle name="Normal 4 2 2 4 2 8" xfId="17889" xr:uid="{00000000-0005-0000-0000-0000C4370000}"/>
    <cellStyle name="Normal 4 2 2 4 3" xfId="954" xr:uid="{00000000-0005-0000-0000-0000C5370000}"/>
    <cellStyle name="Normal 4 2 2 4 3 2" xfId="1516" xr:uid="{00000000-0005-0000-0000-0000C6370000}"/>
    <cellStyle name="Normal 4 2 2 4 3 2 2" xfId="2435" xr:uid="{00000000-0005-0000-0000-0000C7370000}"/>
    <cellStyle name="Normal 4 2 2 4 3 2 2 2" xfId="9742" xr:uid="{00000000-0005-0000-0000-0000C8370000}"/>
    <cellStyle name="Normal 4 2 2 4 3 2 2 2 2" xfId="17005" xr:uid="{00000000-0005-0000-0000-0000C9370000}"/>
    <cellStyle name="Normal 4 2 2 4 3 2 2 2 2 2" xfId="33320" xr:uid="{00000000-0005-0000-0000-0000CA370000}"/>
    <cellStyle name="Normal 4 2 2 4 3 2 2 2 3" xfId="26355" xr:uid="{00000000-0005-0000-0000-0000CB370000}"/>
    <cellStyle name="Normal 4 2 2 4 3 2 2 3" xfId="13084" xr:uid="{00000000-0005-0000-0000-0000CC370000}"/>
    <cellStyle name="Normal 4 2 2 4 3 2 2 3 2" xfId="29659" xr:uid="{00000000-0005-0000-0000-0000CD370000}"/>
    <cellStyle name="Normal 4 2 2 4 3 2 2 4" xfId="6391" xr:uid="{00000000-0005-0000-0000-0000CE370000}"/>
    <cellStyle name="Normal 4 2 2 4 3 2 2 4 2" xfId="23055" xr:uid="{00000000-0005-0000-0000-0000CF370000}"/>
    <cellStyle name="Normal 4 2 2 4 3 2 2 5" xfId="19162" xr:uid="{00000000-0005-0000-0000-0000D0370000}"/>
    <cellStyle name="Normal 4 2 2 4 3 2 3" xfId="8121" xr:uid="{00000000-0005-0000-0000-0000D1370000}"/>
    <cellStyle name="Normal 4 2 2 4 3 2 3 2" xfId="15384" xr:uid="{00000000-0005-0000-0000-0000D2370000}"/>
    <cellStyle name="Normal 4 2 2 4 3 2 3 2 2" xfId="31699" xr:uid="{00000000-0005-0000-0000-0000D3370000}"/>
    <cellStyle name="Normal 4 2 2 4 3 2 3 3" xfId="24734" xr:uid="{00000000-0005-0000-0000-0000D4370000}"/>
    <cellStyle name="Normal 4 2 2 4 3 2 4" xfId="11436" xr:uid="{00000000-0005-0000-0000-0000D5370000}"/>
    <cellStyle name="Normal 4 2 2 4 3 2 4 2" xfId="28034" xr:uid="{00000000-0005-0000-0000-0000D6370000}"/>
    <cellStyle name="Normal 4 2 2 4 3 2 5" xfId="4037" xr:uid="{00000000-0005-0000-0000-0000D7370000}"/>
    <cellStyle name="Normal 4 2 2 4 3 2 5 2" xfId="20760" xr:uid="{00000000-0005-0000-0000-0000D8370000}"/>
    <cellStyle name="Normal 4 2 2 4 3 2 6" xfId="18251" xr:uid="{00000000-0005-0000-0000-0000D9370000}"/>
    <cellStyle name="Normal 4 2 2 4 3 3" xfId="2434" xr:uid="{00000000-0005-0000-0000-0000DA370000}"/>
    <cellStyle name="Normal 4 2 2 4 3 3 2" xfId="8930" xr:uid="{00000000-0005-0000-0000-0000DB370000}"/>
    <cellStyle name="Normal 4 2 2 4 3 3 2 2" xfId="16193" xr:uid="{00000000-0005-0000-0000-0000DC370000}"/>
    <cellStyle name="Normal 4 2 2 4 3 3 2 2 2" xfId="32508" xr:uid="{00000000-0005-0000-0000-0000DD370000}"/>
    <cellStyle name="Normal 4 2 2 4 3 3 2 3" xfId="25543" xr:uid="{00000000-0005-0000-0000-0000DE370000}"/>
    <cellStyle name="Normal 4 2 2 4 3 3 3" xfId="12272" xr:uid="{00000000-0005-0000-0000-0000DF370000}"/>
    <cellStyle name="Normal 4 2 2 4 3 3 3 2" xfId="28847" xr:uid="{00000000-0005-0000-0000-0000E0370000}"/>
    <cellStyle name="Normal 4 2 2 4 3 3 4" xfId="5579" xr:uid="{00000000-0005-0000-0000-0000E1370000}"/>
    <cellStyle name="Normal 4 2 2 4 3 3 4 2" xfId="22243" xr:uid="{00000000-0005-0000-0000-0000E2370000}"/>
    <cellStyle name="Normal 4 2 2 4 3 3 5" xfId="19161" xr:uid="{00000000-0005-0000-0000-0000E3370000}"/>
    <cellStyle name="Normal 4 2 2 4 3 4" xfId="7309" xr:uid="{00000000-0005-0000-0000-0000E4370000}"/>
    <cellStyle name="Normal 4 2 2 4 3 4 2" xfId="14572" xr:uid="{00000000-0005-0000-0000-0000E5370000}"/>
    <cellStyle name="Normal 4 2 2 4 3 4 2 2" xfId="30887" xr:uid="{00000000-0005-0000-0000-0000E6370000}"/>
    <cellStyle name="Normal 4 2 2 4 3 4 3" xfId="23922" xr:uid="{00000000-0005-0000-0000-0000E7370000}"/>
    <cellStyle name="Normal 4 2 2 4 3 5" xfId="10624" xr:uid="{00000000-0005-0000-0000-0000E8370000}"/>
    <cellStyle name="Normal 4 2 2 4 3 5 2" xfId="27222" xr:uid="{00000000-0005-0000-0000-0000E9370000}"/>
    <cellStyle name="Normal 4 2 2 4 3 6" xfId="4036" xr:uid="{00000000-0005-0000-0000-0000EA370000}"/>
    <cellStyle name="Normal 4 2 2 4 3 6 2" xfId="20759" xr:uid="{00000000-0005-0000-0000-0000EB370000}"/>
    <cellStyle name="Normal 4 2 2 4 3 7" xfId="17732" xr:uid="{00000000-0005-0000-0000-0000EC370000}"/>
    <cellStyle name="Normal 4 2 2 4 4" xfId="742" xr:uid="{00000000-0005-0000-0000-0000ED370000}"/>
    <cellStyle name="Normal 4 2 2 4 4 2" xfId="2436" xr:uid="{00000000-0005-0000-0000-0000EE370000}"/>
    <cellStyle name="Normal 4 2 2 4 4 2 2" xfId="9336" xr:uid="{00000000-0005-0000-0000-0000EF370000}"/>
    <cellStyle name="Normal 4 2 2 4 4 2 2 2" xfId="16599" xr:uid="{00000000-0005-0000-0000-0000F0370000}"/>
    <cellStyle name="Normal 4 2 2 4 4 2 2 2 2" xfId="32914" xr:uid="{00000000-0005-0000-0000-0000F1370000}"/>
    <cellStyle name="Normal 4 2 2 4 4 2 2 3" xfId="25949" xr:uid="{00000000-0005-0000-0000-0000F2370000}"/>
    <cellStyle name="Normal 4 2 2 4 4 2 3" xfId="12678" xr:uid="{00000000-0005-0000-0000-0000F3370000}"/>
    <cellStyle name="Normal 4 2 2 4 4 2 3 2" xfId="29253" xr:uid="{00000000-0005-0000-0000-0000F4370000}"/>
    <cellStyle name="Normal 4 2 2 4 4 2 4" xfId="5985" xr:uid="{00000000-0005-0000-0000-0000F5370000}"/>
    <cellStyle name="Normal 4 2 2 4 4 2 4 2" xfId="22649" xr:uid="{00000000-0005-0000-0000-0000F6370000}"/>
    <cellStyle name="Normal 4 2 2 4 4 2 5" xfId="19163" xr:uid="{00000000-0005-0000-0000-0000F7370000}"/>
    <cellStyle name="Normal 4 2 2 4 4 3" xfId="7715" xr:uid="{00000000-0005-0000-0000-0000F8370000}"/>
    <cellStyle name="Normal 4 2 2 4 4 3 2" xfId="14978" xr:uid="{00000000-0005-0000-0000-0000F9370000}"/>
    <cellStyle name="Normal 4 2 2 4 4 3 2 2" xfId="31293" xr:uid="{00000000-0005-0000-0000-0000FA370000}"/>
    <cellStyle name="Normal 4 2 2 4 4 3 3" xfId="24328" xr:uid="{00000000-0005-0000-0000-0000FB370000}"/>
    <cellStyle name="Normal 4 2 2 4 4 4" xfId="11030" xr:uid="{00000000-0005-0000-0000-0000FC370000}"/>
    <cellStyle name="Normal 4 2 2 4 4 4 2" xfId="27628" xr:uid="{00000000-0005-0000-0000-0000FD370000}"/>
    <cellStyle name="Normal 4 2 2 4 4 5" xfId="4038" xr:uid="{00000000-0005-0000-0000-0000FE370000}"/>
    <cellStyle name="Normal 4 2 2 4 4 5 2" xfId="20761" xr:uid="{00000000-0005-0000-0000-0000FF370000}"/>
    <cellStyle name="Normal 4 2 2 4 4 6" xfId="17555" xr:uid="{00000000-0005-0000-0000-000000380000}"/>
    <cellStyle name="Normal 4 2 2 4 5" xfId="1339" xr:uid="{00000000-0005-0000-0000-000001380000}"/>
    <cellStyle name="Normal 4 2 2 4 5 2" xfId="8577" xr:uid="{00000000-0005-0000-0000-000002380000}"/>
    <cellStyle name="Normal 4 2 2 4 5 2 2" xfId="15840" xr:uid="{00000000-0005-0000-0000-000003380000}"/>
    <cellStyle name="Normal 4 2 2 4 5 2 2 2" xfId="32155" xr:uid="{00000000-0005-0000-0000-000004380000}"/>
    <cellStyle name="Normal 4 2 2 4 5 2 3" xfId="25190" xr:uid="{00000000-0005-0000-0000-000005380000}"/>
    <cellStyle name="Normal 4 2 2 4 5 3" xfId="11919" xr:uid="{00000000-0005-0000-0000-000006380000}"/>
    <cellStyle name="Normal 4 2 2 4 5 3 2" xfId="28494" xr:uid="{00000000-0005-0000-0000-000007380000}"/>
    <cellStyle name="Normal 4 2 2 4 5 4" xfId="5226" xr:uid="{00000000-0005-0000-0000-000008380000}"/>
    <cellStyle name="Normal 4 2 2 4 5 4 2" xfId="21890" xr:uid="{00000000-0005-0000-0000-000009380000}"/>
    <cellStyle name="Normal 4 2 2 4 5 5" xfId="18074" xr:uid="{00000000-0005-0000-0000-00000A380000}"/>
    <cellStyle name="Normal 4 2 2 4 6" xfId="2429" xr:uid="{00000000-0005-0000-0000-00000B380000}"/>
    <cellStyle name="Normal 4 2 2 4 6 2" xfId="14221" xr:uid="{00000000-0005-0000-0000-00000C380000}"/>
    <cellStyle name="Normal 4 2 2 4 6 2 2" xfId="30536" xr:uid="{00000000-0005-0000-0000-00000D380000}"/>
    <cellStyle name="Normal 4 2 2 4 6 3" xfId="6958" xr:uid="{00000000-0005-0000-0000-00000E380000}"/>
    <cellStyle name="Normal 4 2 2 4 6 3 2" xfId="23571" xr:uid="{00000000-0005-0000-0000-00000F380000}"/>
    <cellStyle name="Normal 4 2 2 4 6 4" xfId="19156" xr:uid="{00000000-0005-0000-0000-000010380000}"/>
    <cellStyle name="Normal 4 2 2 4 7" xfId="10272" xr:uid="{00000000-0005-0000-0000-000011380000}"/>
    <cellStyle name="Normal 4 2 2 4 7 2" xfId="26871" xr:uid="{00000000-0005-0000-0000-000012380000}"/>
    <cellStyle name="Normal 4 2 2 4 8" xfId="4031" xr:uid="{00000000-0005-0000-0000-000013380000}"/>
    <cellStyle name="Normal 4 2 2 4 8 2" xfId="20754" xr:uid="{00000000-0005-0000-0000-000014380000}"/>
    <cellStyle name="Normal 4 2 2 4 9" xfId="17450" xr:uid="{00000000-0005-0000-0000-000015380000}"/>
    <cellStyle name="Normal 4 2 2 5" xfId="1145" xr:uid="{00000000-0005-0000-0000-000016380000}"/>
    <cellStyle name="Normal 4 2 2 5 2" xfId="1666" xr:uid="{00000000-0005-0000-0000-000017380000}"/>
    <cellStyle name="Normal 4 2 2 5 2 2" xfId="2439" xr:uid="{00000000-0005-0000-0000-000018380000}"/>
    <cellStyle name="Normal 4 2 2 5 2 2 2" xfId="6560" xr:uid="{00000000-0005-0000-0000-000019380000}"/>
    <cellStyle name="Normal 4 2 2 5 2 2 2 2" xfId="9911" xr:uid="{00000000-0005-0000-0000-00001A380000}"/>
    <cellStyle name="Normal 4 2 2 5 2 2 2 2 2" xfId="17174" xr:uid="{00000000-0005-0000-0000-00001B380000}"/>
    <cellStyle name="Normal 4 2 2 5 2 2 2 2 2 2" xfId="33489" xr:uid="{00000000-0005-0000-0000-00001C380000}"/>
    <cellStyle name="Normal 4 2 2 5 2 2 2 2 3" xfId="26524" xr:uid="{00000000-0005-0000-0000-00001D380000}"/>
    <cellStyle name="Normal 4 2 2 5 2 2 2 3" xfId="13253" xr:uid="{00000000-0005-0000-0000-00001E380000}"/>
    <cellStyle name="Normal 4 2 2 5 2 2 2 3 2" xfId="29828" xr:uid="{00000000-0005-0000-0000-00001F380000}"/>
    <cellStyle name="Normal 4 2 2 5 2 2 2 4" xfId="23224" xr:uid="{00000000-0005-0000-0000-000020380000}"/>
    <cellStyle name="Normal 4 2 2 5 2 2 3" xfId="8290" xr:uid="{00000000-0005-0000-0000-000021380000}"/>
    <cellStyle name="Normal 4 2 2 5 2 2 3 2" xfId="15553" xr:uid="{00000000-0005-0000-0000-000022380000}"/>
    <cellStyle name="Normal 4 2 2 5 2 2 3 2 2" xfId="31868" xr:uid="{00000000-0005-0000-0000-000023380000}"/>
    <cellStyle name="Normal 4 2 2 5 2 2 3 3" xfId="24903" xr:uid="{00000000-0005-0000-0000-000024380000}"/>
    <cellStyle name="Normal 4 2 2 5 2 2 4" xfId="11605" xr:uid="{00000000-0005-0000-0000-000025380000}"/>
    <cellStyle name="Normal 4 2 2 5 2 2 4 2" xfId="28203" xr:uid="{00000000-0005-0000-0000-000026380000}"/>
    <cellStyle name="Normal 4 2 2 5 2 2 5" xfId="4041" xr:uid="{00000000-0005-0000-0000-000027380000}"/>
    <cellStyle name="Normal 4 2 2 5 2 2 5 2" xfId="20764" xr:uid="{00000000-0005-0000-0000-000028380000}"/>
    <cellStyle name="Normal 4 2 2 5 2 2 6" xfId="19166" xr:uid="{00000000-0005-0000-0000-000029380000}"/>
    <cellStyle name="Normal 4 2 2 5 2 3" xfId="2438" xr:uid="{00000000-0005-0000-0000-00002A380000}"/>
    <cellStyle name="Normal 4 2 2 5 2 3 2" xfId="9135" xr:uid="{00000000-0005-0000-0000-00002B380000}"/>
    <cellStyle name="Normal 4 2 2 5 2 3 2 2" xfId="16398" xr:uid="{00000000-0005-0000-0000-00002C380000}"/>
    <cellStyle name="Normal 4 2 2 5 2 3 2 2 2" xfId="32713" xr:uid="{00000000-0005-0000-0000-00002D380000}"/>
    <cellStyle name="Normal 4 2 2 5 2 3 2 3" xfId="25748" xr:uid="{00000000-0005-0000-0000-00002E380000}"/>
    <cellStyle name="Normal 4 2 2 5 2 3 3" xfId="12477" xr:uid="{00000000-0005-0000-0000-00002F380000}"/>
    <cellStyle name="Normal 4 2 2 5 2 3 3 2" xfId="29052" xr:uid="{00000000-0005-0000-0000-000030380000}"/>
    <cellStyle name="Normal 4 2 2 5 2 3 4" xfId="5784" xr:uid="{00000000-0005-0000-0000-000031380000}"/>
    <cellStyle name="Normal 4 2 2 5 2 3 4 2" xfId="22448" xr:uid="{00000000-0005-0000-0000-000032380000}"/>
    <cellStyle name="Normal 4 2 2 5 2 3 5" xfId="19165" xr:uid="{00000000-0005-0000-0000-000033380000}"/>
    <cellStyle name="Normal 4 2 2 5 2 4" xfId="7514" xr:uid="{00000000-0005-0000-0000-000034380000}"/>
    <cellStyle name="Normal 4 2 2 5 2 4 2" xfId="14777" xr:uid="{00000000-0005-0000-0000-000035380000}"/>
    <cellStyle name="Normal 4 2 2 5 2 4 2 2" xfId="31092" xr:uid="{00000000-0005-0000-0000-000036380000}"/>
    <cellStyle name="Normal 4 2 2 5 2 4 3" xfId="24127" xr:uid="{00000000-0005-0000-0000-000037380000}"/>
    <cellStyle name="Normal 4 2 2 5 2 5" xfId="10829" xr:uid="{00000000-0005-0000-0000-000038380000}"/>
    <cellStyle name="Normal 4 2 2 5 2 5 2" xfId="27427" xr:uid="{00000000-0005-0000-0000-000039380000}"/>
    <cellStyle name="Normal 4 2 2 5 2 6" xfId="4040" xr:uid="{00000000-0005-0000-0000-00003A380000}"/>
    <cellStyle name="Normal 4 2 2 5 2 6 2" xfId="20763" xr:uid="{00000000-0005-0000-0000-00003B380000}"/>
    <cellStyle name="Normal 4 2 2 5 2 7" xfId="18401" xr:uid="{00000000-0005-0000-0000-00003C380000}"/>
    <cellStyle name="Normal 4 2 2 5 3" xfId="2440" xr:uid="{00000000-0005-0000-0000-00003D380000}"/>
    <cellStyle name="Normal 4 2 2 5 3 2" xfId="6190" xr:uid="{00000000-0005-0000-0000-00003E380000}"/>
    <cellStyle name="Normal 4 2 2 5 3 2 2" xfId="9541" xr:uid="{00000000-0005-0000-0000-00003F380000}"/>
    <cellStyle name="Normal 4 2 2 5 3 2 2 2" xfId="16804" xr:uid="{00000000-0005-0000-0000-000040380000}"/>
    <cellStyle name="Normal 4 2 2 5 3 2 2 2 2" xfId="33119" xr:uid="{00000000-0005-0000-0000-000041380000}"/>
    <cellStyle name="Normal 4 2 2 5 3 2 2 3" xfId="26154" xr:uid="{00000000-0005-0000-0000-000042380000}"/>
    <cellStyle name="Normal 4 2 2 5 3 2 3" xfId="12883" xr:uid="{00000000-0005-0000-0000-000043380000}"/>
    <cellStyle name="Normal 4 2 2 5 3 2 3 2" xfId="29458" xr:uid="{00000000-0005-0000-0000-000044380000}"/>
    <cellStyle name="Normal 4 2 2 5 3 2 4" xfId="22854" xr:uid="{00000000-0005-0000-0000-000045380000}"/>
    <cellStyle name="Normal 4 2 2 5 3 3" xfId="7920" xr:uid="{00000000-0005-0000-0000-000046380000}"/>
    <cellStyle name="Normal 4 2 2 5 3 3 2" xfId="15183" xr:uid="{00000000-0005-0000-0000-000047380000}"/>
    <cellStyle name="Normal 4 2 2 5 3 3 2 2" xfId="31498" xr:uid="{00000000-0005-0000-0000-000048380000}"/>
    <cellStyle name="Normal 4 2 2 5 3 3 3" xfId="24533" xr:uid="{00000000-0005-0000-0000-000049380000}"/>
    <cellStyle name="Normal 4 2 2 5 3 4" xfId="11235" xr:uid="{00000000-0005-0000-0000-00004A380000}"/>
    <cellStyle name="Normal 4 2 2 5 3 4 2" xfId="27833" xr:uid="{00000000-0005-0000-0000-00004B380000}"/>
    <cellStyle name="Normal 4 2 2 5 3 5" xfId="4042" xr:uid="{00000000-0005-0000-0000-00004C380000}"/>
    <cellStyle name="Normal 4 2 2 5 3 5 2" xfId="20765" xr:uid="{00000000-0005-0000-0000-00004D380000}"/>
    <cellStyle name="Normal 4 2 2 5 3 6" xfId="19167" xr:uid="{00000000-0005-0000-0000-00004E380000}"/>
    <cellStyle name="Normal 4 2 2 5 4" xfId="2437" xr:uid="{00000000-0005-0000-0000-00004F380000}"/>
    <cellStyle name="Normal 4 2 2 5 4 2" xfId="8728" xr:uid="{00000000-0005-0000-0000-000050380000}"/>
    <cellStyle name="Normal 4 2 2 5 4 2 2" xfId="15991" xr:uid="{00000000-0005-0000-0000-000051380000}"/>
    <cellStyle name="Normal 4 2 2 5 4 2 2 2" xfId="32306" xr:uid="{00000000-0005-0000-0000-000052380000}"/>
    <cellStyle name="Normal 4 2 2 5 4 2 3" xfId="25341" xr:uid="{00000000-0005-0000-0000-000053380000}"/>
    <cellStyle name="Normal 4 2 2 5 4 3" xfId="12070" xr:uid="{00000000-0005-0000-0000-000054380000}"/>
    <cellStyle name="Normal 4 2 2 5 4 3 2" xfId="28645" xr:uid="{00000000-0005-0000-0000-000055380000}"/>
    <cellStyle name="Normal 4 2 2 5 4 4" xfId="5377" xr:uid="{00000000-0005-0000-0000-000056380000}"/>
    <cellStyle name="Normal 4 2 2 5 4 4 2" xfId="22041" xr:uid="{00000000-0005-0000-0000-000057380000}"/>
    <cellStyle name="Normal 4 2 2 5 4 5" xfId="19164" xr:uid="{00000000-0005-0000-0000-000058380000}"/>
    <cellStyle name="Normal 4 2 2 5 5" xfId="7108" xr:uid="{00000000-0005-0000-0000-000059380000}"/>
    <cellStyle name="Normal 4 2 2 5 5 2" xfId="14371" xr:uid="{00000000-0005-0000-0000-00005A380000}"/>
    <cellStyle name="Normal 4 2 2 5 5 2 2" xfId="30686" xr:uid="{00000000-0005-0000-0000-00005B380000}"/>
    <cellStyle name="Normal 4 2 2 5 5 3" xfId="23721" xr:uid="{00000000-0005-0000-0000-00005C380000}"/>
    <cellStyle name="Normal 4 2 2 5 6" xfId="10423" xr:uid="{00000000-0005-0000-0000-00005D380000}"/>
    <cellStyle name="Normal 4 2 2 5 6 2" xfId="27021" xr:uid="{00000000-0005-0000-0000-00005E380000}"/>
    <cellStyle name="Normal 4 2 2 5 7" xfId="4039" xr:uid="{00000000-0005-0000-0000-00005F380000}"/>
    <cellStyle name="Normal 4 2 2 5 7 2" xfId="20762" xr:uid="{00000000-0005-0000-0000-000060380000}"/>
    <cellStyle name="Normal 4 2 2 5 8" xfId="17882" xr:uid="{00000000-0005-0000-0000-000061380000}"/>
    <cellStyle name="Normal 4 2 2 6" xfId="851" xr:uid="{00000000-0005-0000-0000-000062380000}"/>
    <cellStyle name="Normal 4 2 2 6 2" xfId="1420" xr:uid="{00000000-0005-0000-0000-000063380000}"/>
    <cellStyle name="Normal 4 2 2 6 2 2" xfId="2442" xr:uid="{00000000-0005-0000-0000-000064380000}"/>
    <cellStyle name="Normal 4 2 2 6 2 2 2" xfId="9735" xr:uid="{00000000-0005-0000-0000-000065380000}"/>
    <cellStyle name="Normal 4 2 2 6 2 2 2 2" xfId="16998" xr:uid="{00000000-0005-0000-0000-000066380000}"/>
    <cellStyle name="Normal 4 2 2 6 2 2 2 2 2" xfId="33313" xr:uid="{00000000-0005-0000-0000-000067380000}"/>
    <cellStyle name="Normal 4 2 2 6 2 2 2 3" xfId="26348" xr:uid="{00000000-0005-0000-0000-000068380000}"/>
    <cellStyle name="Normal 4 2 2 6 2 2 3" xfId="13077" xr:uid="{00000000-0005-0000-0000-000069380000}"/>
    <cellStyle name="Normal 4 2 2 6 2 2 3 2" xfId="29652" xr:uid="{00000000-0005-0000-0000-00006A380000}"/>
    <cellStyle name="Normal 4 2 2 6 2 2 4" xfId="6384" xr:uid="{00000000-0005-0000-0000-00006B380000}"/>
    <cellStyle name="Normal 4 2 2 6 2 2 4 2" xfId="23048" xr:uid="{00000000-0005-0000-0000-00006C380000}"/>
    <cellStyle name="Normal 4 2 2 6 2 2 5" xfId="19169" xr:uid="{00000000-0005-0000-0000-00006D380000}"/>
    <cellStyle name="Normal 4 2 2 6 2 3" xfId="8114" xr:uid="{00000000-0005-0000-0000-00006E380000}"/>
    <cellStyle name="Normal 4 2 2 6 2 3 2" xfId="15377" xr:uid="{00000000-0005-0000-0000-00006F380000}"/>
    <cellStyle name="Normal 4 2 2 6 2 3 2 2" xfId="31692" xr:uid="{00000000-0005-0000-0000-000070380000}"/>
    <cellStyle name="Normal 4 2 2 6 2 3 3" xfId="24727" xr:uid="{00000000-0005-0000-0000-000071380000}"/>
    <cellStyle name="Normal 4 2 2 6 2 4" xfId="11429" xr:uid="{00000000-0005-0000-0000-000072380000}"/>
    <cellStyle name="Normal 4 2 2 6 2 4 2" xfId="28027" xr:uid="{00000000-0005-0000-0000-000073380000}"/>
    <cellStyle name="Normal 4 2 2 6 2 5" xfId="4044" xr:uid="{00000000-0005-0000-0000-000074380000}"/>
    <cellStyle name="Normal 4 2 2 6 2 5 2" xfId="20767" xr:uid="{00000000-0005-0000-0000-000075380000}"/>
    <cellStyle name="Normal 4 2 2 6 2 6" xfId="18155" xr:uid="{00000000-0005-0000-0000-000076380000}"/>
    <cellStyle name="Normal 4 2 2 6 3" xfId="2441" xr:uid="{00000000-0005-0000-0000-000077380000}"/>
    <cellStyle name="Normal 4 2 2 6 3 2" xfId="8923" xr:uid="{00000000-0005-0000-0000-000078380000}"/>
    <cellStyle name="Normal 4 2 2 6 3 2 2" xfId="16186" xr:uid="{00000000-0005-0000-0000-000079380000}"/>
    <cellStyle name="Normal 4 2 2 6 3 2 2 2" xfId="32501" xr:uid="{00000000-0005-0000-0000-00007A380000}"/>
    <cellStyle name="Normal 4 2 2 6 3 2 3" xfId="25536" xr:uid="{00000000-0005-0000-0000-00007B380000}"/>
    <cellStyle name="Normal 4 2 2 6 3 3" xfId="12265" xr:uid="{00000000-0005-0000-0000-00007C380000}"/>
    <cellStyle name="Normal 4 2 2 6 3 3 2" xfId="28840" xr:uid="{00000000-0005-0000-0000-00007D380000}"/>
    <cellStyle name="Normal 4 2 2 6 3 4" xfId="5572" xr:uid="{00000000-0005-0000-0000-00007E380000}"/>
    <cellStyle name="Normal 4 2 2 6 3 4 2" xfId="22236" xr:uid="{00000000-0005-0000-0000-00007F380000}"/>
    <cellStyle name="Normal 4 2 2 6 3 5" xfId="19168" xr:uid="{00000000-0005-0000-0000-000080380000}"/>
    <cellStyle name="Normal 4 2 2 6 4" xfId="7302" xr:uid="{00000000-0005-0000-0000-000081380000}"/>
    <cellStyle name="Normal 4 2 2 6 4 2" xfId="14565" xr:uid="{00000000-0005-0000-0000-000082380000}"/>
    <cellStyle name="Normal 4 2 2 6 4 2 2" xfId="30880" xr:uid="{00000000-0005-0000-0000-000083380000}"/>
    <cellStyle name="Normal 4 2 2 6 4 3" xfId="23915" xr:uid="{00000000-0005-0000-0000-000084380000}"/>
    <cellStyle name="Normal 4 2 2 6 5" xfId="10617" xr:uid="{00000000-0005-0000-0000-000085380000}"/>
    <cellStyle name="Normal 4 2 2 6 5 2" xfId="27215" xr:uid="{00000000-0005-0000-0000-000086380000}"/>
    <cellStyle name="Normal 4 2 2 6 6" xfId="4043" xr:uid="{00000000-0005-0000-0000-000087380000}"/>
    <cellStyle name="Normal 4 2 2 6 6 2" xfId="20766" xr:uid="{00000000-0005-0000-0000-000088380000}"/>
    <cellStyle name="Normal 4 2 2 6 7" xfId="17636" xr:uid="{00000000-0005-0000-0000-000089380000}"/>
    <cellStyle name="Normal 4 2 2 7" xfId="707" xr:uid="{00000000-0005-0000-0000-00008A380000}"/>
    <cellStyle name="Normal 4 2 2 7 2" xfId="2443" xr:uid="{00000000-0005-0000-0000-00008B380000}"/>
    <cellStyle name="Normal 4 2 2 7 2 2" xfId="9329" xr:uid="{00000000-0005-0000-0000-00008C380000}"/>
    <cellStyle name="Normal 4 2 2 7 2 2 2" xfId="16592" xr:uid="{00000000-0005-0000-0000-00008D380000}"/>
    <cellStyle name="Normal 4 2 2 7 2 2 2 2" xfId="32907" xr:uid="{00000000-0005-0000-0000-00008E380000}"/>
    <cellStyle name="Normal 4 2 2 7 2 2 3" xfId="25942" xr:uid="{00000000-0005-0000-0000-00008F380000}"/>
    <cellStyle name="Normal 4 2 2 7 2 3" xfId="12671" xr:uid="{00000000-0005-0000-0000-000090380000}"/>
    <cellStyle name="Normal 4 2 2 7 2 3 2" xfId="29246" xr:uid="{00000000-0005-0000-0000-000091380000}"/>
    <cellStyle name="Normal 4 2 2 7 2 4" xfId="5978" xr:uid="{00000000-0005-0000-0000-000092380000}"/>
    <cellStyle name="Normal 4 2 2 7 2 4 2" xfId="22642" xr:uid="{00000000-0005-0000-0000-000093380000}"/>
    <cellStyle name="Normal 4 2 2 7 2 5" xfId="19170" xr:uid="{00000000-0005-0000-0000-000094380000}"/>
    <cellStyle name="Normal 4 2 2 7 3" xfId="7708" xr:uid="{00000000-0005-0000-0000-000095380000}"/>
    <cellStyle name="Normal 4 2 2 7 3 2" xfId="14971" xr:uid="{00000000-0005-0000-0000-000096380000}"/>
    <cellStyle name="Normal 4 2 2 7 3 2 2" xfId="31286" xr:uid="{00000000-0005-0000-0000-000097380000}"/>
    <cellStyle name="Normal 4 2 2 7 3 3" xfId="24321" xr:uid="{00000000-0005-0000-0000-000098380000}"/>
    <cellStyle name="Normal 4 2 2 7 4" xfId="11023" xr:uid="{00000000-0005-0000-0000-000099380000}"/>
    <cellStyle name="Normal 4 2 2 7 4 2" xfId="27621" xr:uid="{00000000-0005-0000-0000-00009A380000}"/>
    <cellStyle name="Normal 4 2 2 7 5" xfId="4045" xr:uid="{00000000-0005-0000-0000-00009B380000}"/>
    <cellStyle name="Normal 4 2 2 7 5 2" xfId="20768" xr:uid="{00000000-0005-0000-0000-00009C380000}"/>
    <cellStyle name="Normal 4 2 2 7 6" xfId="17520" xr:uid="{00000000-0005-0000-0000-00009D380000}"/>
    <cellStyle name="Normal 4 2 2 8" xfId="1304" xr:uid="{00000000-0005-0000-0000-00009E380000}"/>
    <cellStyle name="Normal 4 2 2 8 2" xfId="8467" xr:uid="{00000000-0005-0000-0000-00009F380000}"/>
    <cellStyle name="Normal 4 2 2 8 2 2" xfId="15730" xr:uid="{00000000-0005-0000-0000-0000A0380000}"/>
    <cellStyle name="Normal 4 2 2 8 2 2 2" xfId="32045" xr:uid="{00000000-0005-0000-0000-0000A1380000}"/>
    <cellStyle name="Normal 4 2 2 8 2 3" xfId="25080" xr:uid="{00000000-0005-0000-0000-0000A2380000}"/>
    <cellStyle name="Normal 4 2 2 8 3" xfId="11808" xr:uid="{00000000-0005-0000-0000-0000A3380000}"/>
    <cellStyle name="Normal 4 2 2 8 3 2" xfId="28384" xr:uid="{00000000-0005-0000-0000-0000A4380000}"/>
    <cellStyle name="Normal 4 2 2 8 4" xfId="5114" xr:uid="{00000000-0005-0000-0000-0000A5380000}"/>
    <cellStyle name="Normal 4 2 2 8 4 2" xfId="21780" xr:uid="{00000000-0005-0000-0000-0000A6380000}"/>
    <cellStyle name="Normal 4 2 2 8 5" xfId="18039" xr:uid="{00000000-0005-0000-0000-0000A7380000}"/>
    <cellStyle name="Normal 4 2 2 9" xfId="2380" xr:uid="{00000000-0005-0000-0000-0000A8380000}"/>
    <cellStyle name="Normal 4 2 2 9 2" xfId="14115" xr:uid="{00000000-0005-0000-0000-0000A9380000}"/>
    <cellStyle name="Normal 4 2 2 9 2 2" xfId="30430" xr:uid="{00000000-0005-0000-0000-0000AA380000}"/>
    <cellStyle name="Normal 4 2 2 9 3" xfId="6852" xr:uid="{00000000-0005-0000-0000-0000AB380000}"/>
    <cellStyle name="Normal 4 2 2 9 3 2" xfId="23465" xr:uid="{00000000-0005-0000-0000-0000AC380000}"/>
    <cellStyle name="Normal 4 2 2 9 4" xfId="19107" xr:uid="{00000000-0005-0000-0000-0000AD380000}"/>
    <cellStyle name="Normal 4 2 3" xfId="882" xr:uid="{00000000-0005-0000-0000-0000AE380000}"/>
    <cellStyle name="Normal 4 2 3 10" xfId="4046" xr:uid="{00000000-0005-0000-0000-0000AF380000}"/>
    <cellStyle name="Normal 4 2 3 10 2" xfId="20769" xr:uid="{00000000-0005-0000-0000-0000B0380000}"/>
    <cellStyle name="Normal 4 2 3 11" xfId="17660" xr:uid="{00000000-0005-0000-0000-0000B1380000}"/>
    <cellStyle name="Normal 4 2 3 2" xfId="935" xr:uid="{00000000-0005-0000-0000-0000B2380000}"/>
    <cellStyle name="Normal 4 2 3 2 10" xfId="17713" xr:uid="{00000000-0005-0000-0000-0000B3380000}"/>
    <cellStyle name="Normal 4 2 3 2 2" xfId="1042" xr:uid="{00000000-0005-0000-0000-0000B4380000}"/>
    <cellStyle name="Normal 4 2 3 2 2 2" xfId="1155" xr:uid="{00000000-0005-0000-0000-0000B5380000}"/>
    <cellStyle name="Normal 4 2 3 2 2 2 2" xfId="1676" xr:uid="{00000000-0005-0000-0000-0000B6380000}"/>
    <cellStyle name="Normal 4 2 3 2 2 2 2 2" xfId="2449" xr:uid="{00000000-0005-0000-0000-0000B7380000}"/>
    <cellStyle name="Normal 4 2 3 2 2 2 2 2 2" xfId="6570" xr:uid="{00000000-0005-0000-0000-0000B8380000}"/>
    <cellStyle name="Normal 4 2 3 2 2 2 2 2 2 2" xfId="9921" xr:uid="{00000000-0005-0000-0000-0000B9380000}"/>
    <cellStyle name="Normal 4 2 3 2 2 2 2 2 2 2 2" xfId="17184" xr:uid="{00000000-0005-0000-0000-0000BA380000}"/>
    <cellStyle name="Normal 4 2 3 2 2 2 2 2 2 2 2 2" xfId="33499" xr:uid="{00000000-0005-0000-0000-0000BB380000}"/>
    <cellStyle name="Normal 4 2 3 2 2 2 2 2 2 2 3" xfId="26534" xr:uid="{00000000-0005-0000-0000-0000BC380000}"/>
    <cellStyle name="Normal 4 2 3 2 2 2 2 2 2 3" xfId="13263" xr:uid="{00000000-0005-0000-0000-0000BD380000}"/>
    <cellStyle name="Normal 4 2 3 2 2 2 2 2 2 3 2" xfId="29838" xr:uid="{00000000-0005-0000-0000-0000BE380000}"/>
    <cellStyle name="Normal 4 2 3 2 2 2 2 2 2 4" xfId="23234" xr:uid="{00000000-0005-0000-0000-0000BF380000}"/>
    <cellStyle name="Normal 4 2 3 2 2 2 2 2 3" xfId="8300" xr:uid="{00000000-0005-0000-0000-0000C0380000}"/>
    <cellStyle name="Normal 4 2 3 2 2 2 2 2 3 2" xfId="15563" xr:uid="{00000000-0005-0000-0000-0000C1380000}"/>
    <cellStyle name="Normal 4 2 3 2 2 2 2 2 3 2 2" xfId="31878" xr:uid="{00000000-0005-0000-0000-0000C2380000}"/>
    <cellStyle name="Normal 4 2 3 2 2 2 2 2 3 3" xfId="24913" xr:uid="{00000000-0005-0000-0000-0000C3380000}"/>
    <cellStyle name="Normal 4 2 3 2 2 2 2 2 4" xfId="11615" xr:uid="{00000000-0005-0000-0000-0000C4380000}"/>
    <cellStyle name="Normal 4 2 3 2 2 2 2 2 4 2" xfId="28213" xr:uid="{00000000-0005-0000-0000-0000C5380000}"/>
    <cellStyle name="Normal 4 2 3 2 2 2 2 2 5" xfId="4051" xr:uid="{00000000-0005-0000-0000-0000C6380000}"/>
    <cellStyle name="Normal 4 2 3 2 2 2 2 2 5 2" xfId="20774" xr:uid="{00000000-0005-0000-0000-0000C7380000}"/>
    <cellStyle name="Normal 4 2 3 2 2 2 2 2 6" xfId="19176" xr:uid="{00000000-0005-0000-0000-0000C8380000}"/>
    <cellStyle name="Normal 4 2 3 2 2 2 2 3" xfId="2448" xr:uid="{00000000-0005-0000-0000-0000C9380000}"/>
    <cellStyle name="Normal 4 2 3 2 2 2 2 3 2" xfId="9145" xr:uid="{00000000-0005-0000-0000-0000CA380000}"/>
    <cellStyle name="Normal 4 2 3 2 2 2 2 3 2 2" xfId="16408" xr:uid="{00000000-0005-0000-0000-0000CB380000}"/>
    <cellStyle name="Normal 4 2 3 2 2 2 2 3 2 2 2" xfId="32723" xr:uid="{00000000-0005-0000-0000-0000CC380000}"/>
    <cellStyle name="Normal 4 2 3 2 2 2 2 3 2 3" xfId="25758" xr:uid="{00000000-0005-0000-0000-0000CD380000}"/>
    <cellStyle name="Normal 4 2 3 2 2 2 2 3 3" xfId="12487" xr:uid="{00000000-0005-0000-0000-0000CE380000}"/>
    <cellStyle name="Normal 4 2 3 2 2 2 2 3 3 2" xfId="29062" xr:uid="{00000000-0005-0000-0000-0000CF380000}"/>
    <cellStyle name="Normal 4 2 3 2 2 2 2 3 4" xfId="5794" xr:uid="{00000000-0005-0000-0000-0000D0380000}"/>
    <cellStyle name="Normal 4 2 3 2 2 2 2 3 4 2" xfId="22458" xr:uid="{00000000-0005-0000-0000-0000D1380000}"/>
    <cellStyle name="Normal 4 2 3 2 2 2 2 3 5" xfId="19175" xr:uid="{00000000-0005-0000-0000-0000D2380000}"/>
    <cellStyle name="Normal 4 2 3 2 2 2 2 4" xfId="7524" xr:uid="{00000000-0005-0000-0000-0000D3380000}"/>
    <cellStyle name="Normal 4 2 3 2 2 2 2 4 2" xfId="14787" xr:uid="{00000000-0005-0000-0000-0000D4380000}"/>
    <cellStyle name="Normal 4 2 3 2 2 2 2 4 2 2" xfId="31102" xr:uid="{00000000-0005-0000-0000-0000D5380000}"/>
    <cellStyle name="Normal 4 2 3 2 2 2 2 4 3" xfId="24137" xr:uid="{00000000-0005-0000-0000-0000D6380000}"/>
    <cellStyle name="Normal 4 2 3 2 2 2 2 5" xfId="10839" xr:uid="{00000000-0005-0000-0000-0000D7380000}"/>
    <cellStyle name="Normal 4 2 3 2 2 2 2 5 2" xfId="27437" xr:uid="{00000000-0005-0000-0000-0000D8380000}"/>
    <cellStyle name="Normal 4 2 3 2 2 2 2 6" xfId="4050" xr:uid="{00000000-0005-0000-0000-0000D9380000}"/>
    <cellStyle name="Normal 4 2 3 2 2 2 2 6 2" xfId="20773" xr:uid="{00000000-0005-0000-0000-0000DA380000}"/>
    <cellStyle name="Normal 4 2 3 2 2 2 2 7" xfId="18411" xr:uid="{00000000-0005-0000-0000-0000DB380000}"/>
    <cellStyle name="Normal 4 2 3 2 2 2 3" xfId="2450" xr:uid="{00000000-0005-0000-0000-0000DC380000}"/>
    <cellStyle name="Normal 4 2 3 2 2 2 3 2" xfId="6200" xr:uid="{00000000-0005-0000-0000-0000DD380000}"/>
    <cellStyle name="Normal 4 2 3 2 2 2 3 2 2" xfId="9551" xr:uid="{00000000-0005-0000-0000-0000DE380000}"/>
    <cellStyle name="Normal 4 2 3 2 2 2 3 2 2 2" xfId="16814" xr:uid="{00000000-0005-0000-0000-0000DF380000}"/>
    <cellStyle name="Normal 4 2 3 2 2 2 3 2 2 2 2" xfId="33129" xr:uid="{00000000-0005-0000-0000-0000E0380000}"/>
    <cellStyle name="Normal 4 2 3 2 2 2 3 2 2 3" xfId="26164" xr:uid="{00000000-0005-0000-0000-0000E1380000}"/>
    <cellStyle name="Normal 4 2 3 2 2 2 3 2 3" xfId="12893" xr:uid="{00000000-0005-0000-0000-0000E2380000}"/>
    <cellStyle name="Normal 4 2 3 2 2 2 3 2 3 2" xfId="29468" xr:uid="{00000000-0005-0000-0000-0000E3380000}"/>
    <cellStyle name="Normal 4 2 3 2 2 2 3 2 4" xfId="22864" xr:uid="{00000000-0005-0000-0000-0000E4380000}"/>
    <cellStyle name="Normal 4 2 3 2 2 2 3 3" xfId="7930" xr:uid="{00000000-0005-0000-0000-0000E5380000}"/>
    <cellStyle name="Normal 4 2 3 2 2 2 3 3 2" xfId="15193" xr:uid="{00000000-0005-0000-0000-0000E6380000}"/>
    <cellStyle name="Normal 4 2 3 2 2 2 3 3 2 2" xfId="31508" xr:uid="{00000000-0005-0000-0000-0000E7380000}"/>
    <cellStyle name="Normal 4 2 3 2 2 2 3 3 3" xfId="24543" xr:uid="{00000000-0005-0000-0000-0000E8380000}"/>
    <cellStyle name="Normal 4 2 3 2 2 2 3 4" xfId="11245" xr:uid="{00000000-0005-0000-0000-0000E9380000}"/>
    <cellStyle name="Normal 4 2 3 2 2 2 3 4 2" xfId="27843" xr:uid="{00000000-0005-0000-0000-0000EA380000}"/>
    <cellStyle name="Normal 4 2 3 2 2 2 3 5" xfId="4052" xr:uid="{00000000-0005-0000-0000-0000EB380000}"/>
    <cellStyle name="Normal 4 2 3 2 2 2 3 5 2" xfId="20775" xr:uid="{00000000-0005-0000-0000-0000EC380000}"/>
    <cellStyle name="Normal 4 2 3 2 2 2 3 6" xfId="19177" xr:uid="{00000000-0005-0000-0000-0000ED380000}"/>
    <cellStyle name="Normal 4 2 3 2 2 2 4" xfId="2447" xr:uid="{00000000-0005-0000-0000-0000EE380000}"/>
    <cellStyle name="Normal 4 2 3 2 2 2 4 2" xfId="8738" xr:uid="{00000000-0005-0000-0000-0000EF380000}"/>
    <cellStyle name="Normal 4 2 3 2 2 2 4 2 2" xfId="16001" xr:uid="{00000000-0005-0000-0000-0000F0380000}"/>
    <cellStyle name="Normal 4 2 3 2 2 2 4 2 2 2" xfId="32316" xr:uid="{00000000-0005-0000-0000-0000F1380000}"/>
    <cellStyle name="Normal 4 2 3 2 2 2 4 2 3" xfId="25351" xr:uid="{00000000-0005-0000-0000-0000F2380000}"/>
    <cellStyle name="Normal 4 2 3 2 2 2 4 3" xfId="12080" xr:uid="{00000000-0005-0000-0000-0000F3380000}"/>
    <cellStyle name="Normal 4 2 3 2 2 2 4 3 2" xfId="28655" xr:uid="{00000000-0005-0000-0000-0000F4380000}"/>
    <cellStyle name="Normal 4 2 3 2 2 2 4 4" xfId="5387" xr:uid="{00000000-0005-0000-0000-0000F5380000}"/>
    <cellStyle name="Normal 4 2 3 2 2 2 4 4 2" xfId="22051" xr:uid="{00000000-0005-0000-0000-0000F6380000}"/>
    <cellStyle name="Normal 4 2 3 2 2 2 4 5" xfId="19174" xr:uid="{00000000-0005-0000-0000-0000F7380000}"/>
    <cellStyle name="Normal 4 2 3 2 2 2 5" xfId="7118" xr:uid="{00000000-0005-0000-0000-0000F8380000}"/>
    <cellStyle name="Normal 4 2 3 2 2 2 5 2" xfId="14381" xr:uid="{00000000-0005-0000-0000-0000F9380000}"/>
    <cellStyle name="Normal 4 2 3 2 2 2 5 2 2" xfId="30696" xr:uid="{00000000-0005-0000-0000-0000FA380000}"/>
    <cellStyle name="Normal 4 2 3 2 2 2 5 3" xfId="23731" xr:uid="{00000000-0005-0000-0000-0000FB380000}"/>
    <cellStyle name="Normal 4 2 3 2 2 2 6" xfId="10433" xr:uid="{00000000-0005-0000-0000-0000FC380000}"/>
    <cellStyle name="Normal 4 2 3 2 2 2 6 2" xfId="27031" xr:uid="{00000000-0005-0000-0000-0000FD380000}"/>
    <cellStyle name="Normal 4 2 3 2 2 2 7" xfId="4049" xr:uid="{00000000-0005-0000-0000-0000FE380000}"/>
    <cellStyle name="Normal 4 2 3 2 2 2 7 2" xfId="20772" xr:uid="{00000000-0005-0000-0000-0000FF380000}"/>
    <cellStyle name="Normal 4 2 3 2 2 2 8" xfId="17892" xr:uid="{00000000-0005-0000-0000-000000390000}"/>
    <cellStyle name="Normal 4 2 3 2 2 3" xfId="1603" xr:uid="{00000000-0005-0000-0000-000001390000}"/>
    <cellStyle name="Normal 4 2 3 2 2 3 2" xfId="2452" xr:uid="{00000000-0005-0000-0000-000002390000}"/>
    <cellStyle name="Normal 4 2 3 2 2 3 2 2" xfId="6394" xr:uid="{00000000-0005-0000-0000-000003390000}"/>
    <cellStyle name="Normal 4 2 3 2 2 3 2 2 2" xfId="9745" xr:uid="{00000000-0005-0000-0000-000004390000}"/>
    <cellStyle name="Normal 4 2 3 2 2 3 2 2 2 2" xfId="17008" xr:uid="{00000000-0005-0000-0000-000005390000}"/>
    <cellStyle name="Normal 4 2 3 2 2 3 2 2 2 2 2" xfId="33323" xr:uid="{00000000-0005-0000-0000-000006390000}"/>
    <cellStyle name="Normal 4 2 3 2 2 3 2 2 2 3" xfId="26358" xr:uid="{00000000-0005-0000-0000-000007390000}"/>
    <cellStyle name="Normal 4 2 3 2 2 3 2 2 3" xfId="13087" xr:uid="{00000000-0005-0000-0000-000008390000}"/>
    <cellStyle name="Normal 4 2 3 2 2 3 2 2 3 2" xfId="29662" xr:uid="{00000000-0005-0000-0000-000009390000}"/>
    <cellStyle name="Normal 4 2 3 2 2 3 2 2 4" xfId="23058" xr:uid="{00000000-0005-0000-0000-00000A390000}"/>
    <cellStyle name="Normal 4 2 3 2 2 3 2 3" xfId="8124" xr:uid="{00000000-0005-0000-0000-00000B390000}"/>
    <cellStyle name="Normal 4 2 3 2 2 3 2 3 2" xfId="15387" xr:uid="{00000000-0005-0000-0000-00000C390000}"/>
    <cellStyle name="Normal 4 2 3 2 2 3 2 3 2 2" xfId="31702" xr:uid="{00000000-0005-0000-0000-00000D390000}"/>
    <cellStyle name="Normal 4 2 3 2 2 3 2 3 3" xfId="24737" xr:uid="{00000000-0005-0000-0000-00000E390000}"/>
    <cellStyle name="Normal 4 2 3 2 2 3 2 4" xfId="11439" xr:uid="{00000000-0005-0000-0000-00000F390000}"/>
    <cellStyle name="Normal 4 2 3 2 2 3 2 4 2" xfId="28037" xr:uid="{00000000-0005-0000-0000-000010390000}"/>
    <cellStyle name="Normal 4 2 3 2 2 3 2 5" xfId="4054" xr:uid="{00000000-0005-0000-0000-000011390000}"/>
    <cellStyle name="Normal 4 2 3 2 2 3 2 5 2" xfId="20777" xr:uid="{00000000-0005-0000-0000-000012390000}"/>
    <cellStyle name="Normal 4 2 3 2 2 3 2 6" xfId="19179" xr:uid="{00000000-0005-0000-0000-000013390000}"/>
    <cellStyle name="Normal 4 2 3 2 2 3 3" xfId="2451" xr:uid="{00000000-0005-0000-0000-000014390000}"/>
    <cellStyle name="Normal 4 2 3 2 2 3 3 2" xfId="8933" xr:uid="{00000000-0005-0000-0000-000015390000}"/>
    <cellStyle name="Normal 4 2 3 2 2 3 3 2 2" xfId="16196" xr:uid="{00000000-0005-0000-0000-000016390000}"/>
    <cellStyle name="Normal 4 2 3 2 2 3 3 2 2 2" xfId="32511" xr:uid="{00000000-0005-0000-0000-000017390000}"/>
    <cellStyle name="Normal 4 2 3 2 2 3 3 2 3" xfId="25546" xr:uid="{00000000-0005-0000-0000-000018390000}"/>
    <cellStyle name="Normal 4 2 3 2 2 3 3 3" xfId="12275" xr:uid="{00000000-0005-0000-0000-000019390000}"/>
    <cellStyle name="Normal 4 2 3 2 2 3 3 3 2" xfId="28850" xr:uid="{00000000-0005-0000-0000-00001A390000}"/>
    <cellStyle name="Normal 4 2 3 2 2 3 3 4" xfId="5582" xr:uid="{00000000-0005-0000-0000-00001B390000}"/>
    <cellStyle name="Normal 4 2 3 2 2 3 3 4 2" xfId="22246" xr:uid="{00000000-0005-0000-0000-00001C390000}"/>
    <cellStyle name="Normal 4 2 3 2 2 3 3 5" xfId="19178" xr:uid="{00000000-0005-0000-0000-00001D390000}"/>
    <cellStyle name="Normal 4 2 3 2 2 3 4" xfId="7312" xr:uid="{00000000-0005-0000-0000-00001E390000}"/>
    <cellStyle name="Normal 4 2 3 2 2 3 4 2" xfId="14575" xr:uid="{00000000-0005-0000-0000-00001F390000}"/>
    <cellStyle name="Normal 4 2 3 2 2 3 4 2 2" xfId="30890" xr:uid="{00000000-0005-0000-0000-000020390000}"/>
    <cellStyle name="Normal 4 2 3 2 2 3 4 3" xfId="23925" xr:uid="{00000000-0005-0000-0000-000021390000}"/>
    <cellStyle name="Normal 4 2 3 2 2 3 5" xfId="10627" xr:uid="{00000000-0005-0000-0000-000022390000}"/>
    <cellStyle name="Normal 4 2 3 2 2 3 5 2" xfId="27225" xr:uid="{00000000-0005-0000-0000-000023390000}"/>
    <cellStyle name="Normal 4 2 3 2 2 3 6" xfId="4053" xr:uid="{00000000-0005-0000-0000-000024390000}"/>
    <cellStyle name="Normal 4 2 3 2 2 3 6 2" xfId="20776" xr:uid="{00000000-0005-0000-0000-000025390000}"/>
    <cellStyle name="Normal 4 2 3 2 2 3 7" xfId="18338" xr:uid="{00000000-0005-0000-0000-000026390000}"/>
    <cellStyle name="Normal 4 2 3 2 2 4" xfId="2453" xr:uid="{00000000-0005-0000-0000-000027390000}"/>
    <cellStyle name="Normal 4 2 3 2 2 4 2" xfId="5988" xr:uid="{00000000-0005-0000-0000-000028390000}"/>
    <cellStyle name="Normal 4 2 3 2 2 4 2 2" xfId="9339" xr:uid="{00000000-0005-0000-0000-000029390000}"/>
    <cellStyle name="Normal 4 2 3 2 2 4 2 2 2" xfId="16602" xr:uid="{00000000-0005-0000-0000-00002A390000}"/>
    <cellStyle name="Normal 4 2 3 2 2 4 2 2 2 2" xfId="32917" xr:uid="{00000000-0005-0000-0000-00002B390000}"/>
    <cellStyle name="Normal 4 2 3 2 2 4 2 2 3" xfId="25952" xr:uid="{00000000-0005-0000-0000-00002C390000}"/>
    <cellStyle name="Normal 4 2 3 2 2 4 2 3" xfId="12681" xr:uid="{00000000-0005-0000-0000-00002D390000}"/>
    <cellStyle name="Normal 4 2 3 2 2 4 2 3 2" xfId="29256" xr:uid="{00000000-0005-0000-0000-00002E390000}"/>
    <cellStyle name="Normal 4 2 3 2 2 4 2 4" xfId="22652" xr:uid="{00000000-0005-0000-0000-00002F390000}"/>
    <cellStyle name="Normal 4 2 3 2 2 4 3" xfId="7718" xr:uid="{00000000-0005-0000-0000-000030390000}"/>
    <cellStyle name="Normal 4 2 3 2 2 4 3 2" xfId="14981" xr:uid="{00000000-0005-0000-0000-000031390000}"/>
    <cellStyle name="Normal 4 2 3 2 2 4 3 2 2" xfId="31296" xr:uid="{00000000-0005-0000-0000-000032390000}"/>
    <cellStyle name="Normal 4 2 3 2 2 4 3 3" xfId="24331" xr:uid="{00000000-0005-0000-0000-000033390000}"/>
    <cellStyle name="Normal 4 2 3 2 2 4 4" xfId="11033" xr:uid="{00000000-0005-0000-0000-000034390000}"/>
    <cellStyle name="Normal 4 2 3 2 2 4 4 2" xfId="27631" xr:uid="{00000000-0005-0000-0000-000035390000}"/>
    <cellStyle name="Normal 4 2 3 2 2 4 5" xfId="4055" xr:uid="{00000000-0005-0000-0000-000036390000}"/>
    <cellStyle name="Normal 4 2 3 2 2 4 5 2" xfId="20778" xr:uid="{00000000-0005-0000-0000-000037390000}"/>
    <cellStyle name="Normal 4 2 3 2 2 4 6" xfId="19180" xr:uid="{00000000-0005-0000-0000-000038390000}"/>
    <cellStyle name="Normal 4 2 3 2 2 5" xfId="2446" xr:uid="{00000000-0005-0000-0000-000039390000}"/>
    <cellStyle name="Normal 4 2 3 2 2 5 2" xfId="8664" xr:uid="{00000000-0005-0000-0000-00003A390000}"/>
    <cellStyle name="Normal 4 2 3 2 2 5 2 2" xfId="15927" xr:uid="{00000000-0005-0000-0000-00003B390000}"/>
    <cellStyle name="Normal 4 2 3 2 2 5 2 2 2" xfId="32242" xr:uid="{00000000-0005-0000-0000-00003C390000}"/>
    <cellStyle name="Normal 4 2 3 2 2 5 2 3" xfId="25277" xr:uid="{00000000-0005-0000-0000-00003D390000}"/>
    <cellStyle name="Normal 4 2 3 2 2 5 3" xfId="12006" xr:uid="{00000000-0005-0000-0000-00003E390000}"/>
    <cellStyle name="Normal 4 2 3 2 2 5 3 2" xfId="28581" xr:uid="{00000000-0005-0000-0000-00003F390000}"/>
    <cellStyle name="Normal 4 2 3 2 2 5 4" xfId="5313" xr:uid="{00000000-0005-0000-0000-000040390000}"/>
    <cellStyle name="Normal 4 2 3 2 2 5 4 2" xfId="21977" xr:uid="{00000000-0005-0000-0000-000041390000}"/>
    <cellStyle name="Normal 4 2 3 2 2 5 5" xfId="19173" xr:uid="{00000000-0005-0000-0000-000042390000}"/>
    <cellStyle name="Normal 4 2 3 2 2 6" xfId="7045" xr:uid="{00000000-0005-0000-0000-000043390000}"/>
    <cellStyle name="Normal 4 2 3 2 2 6 2" xfId="14308" xr:uid="{00000000-0005-0000-0000-000044390000}"/>
    <cellStyle name="Normal 4 2 3 2 2 6 2 2" xfId="30623" xr:uid="{00000000-0005-0000-0000-000045390000}"/>
    <cellStyle name="Normal 4 2 3 2 2 6 3" xfId="23658" xr:uid="{00000000-0005-0000-0000-000046390000}"/>
    <cellStyle name="Normal 4 2 3 2 2 7" xfId="10359" xr:uid="{00000000-0005-0000-0000-000047390000}"/>
    <cellStyle name="Normal 4 2 3 2 2 7 2" xfId="26958" xr:uid="{00000000-0005-0000-0000-000048390000}"/>
    <cellStyle name="Normal 4 2 3 2 2 8" xfId="4048" xr:uid="{00000000-0005-0000-0000-000049390000}"/>
    <cellStyle name="Normal 4 2 3 2 2 8 2" xfId="20771" xr:uid="{00000000-0005-0000-0000-00004A390000}"/>
    <cellStyle name="Normal 4 2 3 2 2 9" xfId="17819" xr:uid="{00000000-0005-0000-0000-00004B390000}"/>
    <cellStyle name="Normal 4 2 3 2 3" xfId="1154" xr:uid="{00000000-0005-0000-0000-00004C390000}"/>
    <cellStyle name="Normal 4 2 3 2 3 2" xfId="1675" xr:uid="{00000000-0005-0000-0000-00004D390000}"/>
    <cellStyle name="Normal 4 2 3 2 3 2 2" xfId="2456" xr:uid="{00000000-0005-0000-0000-00004E390000}"/>
    <cellStyle name="Normal 4 2 3 2 3 2 2 2" xfId="6569" xr:uid="{00000000-0005-0000-0000-00004F390000}"/>
    <cellStyle name="Normal 4 2 3 2 3 2 2 2 2" xfId="9920" xr:uid="{00000000-0005-0000-0000-000050390000}"/>
    <cellStyle name="Normal 4 2 3 2 3 2 2 2 2 2" xfId="17183" xr:uid="{00000000-0005-0000-0000-000051390000}"/>
    <cellStyle name="Normal 4 2 3 2 3 2 2 2 2 2 2" xfId="33498" xr:uid="{00000000-0005-0000-0000-000052390000}"/>
    <cellStyle name="Normal 4 2 3 2 3 2 2 2 2 3" xfId="26533" xr:uid="{00000000-0005-0000-0000-000053390000}"/>
    <cellStyle name="Normal 4 2 3 2 3 2 2 2 3" xfId="13262" xr:uid="{00000000-0005-0000-0000-000054390000}"/>
    <cellStyle name="Normal 4 2 3 2 3 2 2 2 3 2" xfId="29837" xr:uid="{00000000-0005-0000-0000-000055390000}"/>
    <cellStyle name="Normal 4 2 3 2 3 2 2 2 4" xfId="23233" xr:uid="{00000000-0005-0000-0000-000056390000}"/>
    <cellStyle name="Normal 4 2 3 2 3 2 2 3" xfId="8299" xr:uid="{00000000-0005-0000-0000-000057390000}"/>
    <cellStyle name="Normal 4 2 3 2 3 2 2 3 2" xfId="15562" xr:uid="{00000000-0005-0000-0000-000058390000}"/>
    <cellStyle name="Normal 4 2 3 2 3 2 2 3 2 2" xfId="31877" xr:uid="{00000000-0005-0000-0000-000059390000}"/>
    <cellStyle name="Normal 4 2 3 2 3 2 2 3 3" xfId="24912" xr:uid="{00000000-0005-0000-0000-00005A390000}"/>
    <cellStyle name="Normal 4 2 3 2 3 2 2 4" xfId="11614" xr:uid="{00000000-0005-0000-0000-00005B390000}"/>
    <cellStyle name="Normal 4 2 3 2 3 2 2 4 2" xfId="28212" xr:uid="{00000000-0005-0000-0000-00005C390000}"/>
    <cellStyle name="Normal 4 2 3 2 3 2 2 5" xfId="4058" xr:uid="{00000000-0005-0000-0000-00005D390000}"/>
    <cellStyle name="Normal 4 2 3 2 3 2 2 5 2" xfId="20781" xr:uid="{00000000-0005-0000-0000-00005E390000}"/>
    <cellStyle name="Normal 4 2 3 2 3 2 2 6" xfId="19183" xr:uid="{00000000-0005-0000-0000-00005F390000}"/>
    <cellStyle name="Normal 4 2 3 2 3 2 3" xfId="2455" xr:uid="{00000000-0005-0000-0000-000060390000}"/>
    <cellStyle name="Normal 4 2 3 2 3 2 3 2" xfId="9144" xr:uid="{00000000-0005-0000-0000-000061390000}"/>
    <cellStyle name="Normal 4 2 3 2 3 2 3 2 2" xfId="16407" xr:uid="{00000000-0005-0000-0000-000062390000}"/>
    <cellStyle name="Normal 4 2 3 2 3 2 3 2 2 2" xfId="32722" xr:uid="{00000000-0005-0000-0000-000063390000}"/>
    <cellStyle name="Normal 4 2 3 2 3 2 3 2 3" xfId="25757" xr:uid="{00000000-0005-0000-0000-000064390000}"/>
    <cellStyle name="Normal 4 2 3 2 3 2 3 3" xfId="12486" xr:uid="{00000000-0005-0000-0000-000065390000}"/>
    <cellStyle name="Normal 4 2 3 2 3 2 3 3 2" xfId="29061" xr:uid="{00000000-0005-0000-0000-000066390000}"/>
    <cellStyle name="Normal 4 2 3 2 3 2 3 4" xfId="5793" xr:uid="{00000000-0005-0000-0000-000067390000}"/>
    <cellStyle name="Normal 4 2 3 2 3 2 3 4 2" xfId="22457" xr:uid="{00000000-0005-0000-0000-000068390000}"/>
    <cellStyle name="Normal 4 2 3 2 3 2 3 5" xfId="19182" xr:uid="{00000000-0005-0000-0000-000069390000}"/>
    <cellStyle name="Normal 4 2 3 2 3 2 4" xfId="7523" xr:uid="{00000000-0005-0000-0000-00006A390000}"/>
    <cellStyle name="Normal 4 2 3 2 3 2 4 2" xfId="14786" xr:uid="{00000000-0005-0000-0000-00006B390000}"/>
    <cellStyle name="Normal 4 2 3 2 3 2 4 2 2" xfId="31101" xr:uid="{00000000-0005-0000-0000-00006C390000}"/>
    <cellStyle name="Normal 4 2 3 2 3 2 4 3" xfId="24136" xr:uid="{00000000-0005-0000-0000-00006D390000}"/>
    <cellStyle name="Normal 4 2 3 2 3 2 5" xfId="10838" xr:uid="{00000000-0005-0000-0000-00006E390000}"/>
    <cellStyle name="Normal 4 2 3 2 3 2 5 2" xfId="27436" xr:uid="{00000000-0005-0000-0000-00006F390000}"/>
    <cellStyle name="Normal 4 2 3 2 3 2 6" xfId="4057" xr:uid="{00000000-0005-0000-0000-000070390000}"/>
    <cellStyle name="Normal 4 2 3 2 3 2 6 2" xfId="20780" xr:uid="{00000000-0005-0000-0000-000071390000}"/>
    <cellStyle name="Normal 4 2 3 2 3 2 7" xfId="18410" xr:uid="{00000000-0005-0000-0000-000072390000}"/>
    <cellStyle name="Normal 4 2 3 2 3 3" xfId="2457" xr:uid="{00000000-0005-0000-0000-000073390000}"/>
    <cellStyle name="Normal 4 2 3 2 3 3 2" xfId="6199" xr:uid="{00000000-0005-0000-0000-000074390000}"/>
    <cellStyle name="Normal 4 2 3 2 3 3 2 2" xfId="9550" xr:uid="{00000000-0005-0000-0000-000075390000}"/>
    <cellStyle name="Normal 4 2 3 2 3 3 2 2 2" xfId="16813" xr:uid="{00000000-0005-0000-0000-000076390000}"/>
    <cellStyle name="Normal 4 2 3 2 3 3 2 2 2 2" xfId="33128" xr:uid="{00000000-0005-0000-0000-000077390000}"/>
    <cellStyle name="Normal 4 2 3 2 3 3 2 2 3" xfId="26163" xr:uid="{00000000-0005-0000-0000-000078390000}"/>
    <cellStyle name="Normal 4 2 3 2 3 3 2 3" xfId="12892" xr:uid="{00000000-0005-0000-0000-000079390000}"/>
    <cellStyle name="Normal 4 2 3 2 3 3 2 3 2" xfId="29467" xr:uid="{00000000-0005-0000-0000-00007A390000}"/>
    <cellStyle name="Normal 4 2 3 2 3 3 2 4" xfId="22863" xr:uid="{00000000-0005-0000-0000-00007B390000}"/>
    <cellStyle name="Normal 4 2 3 2 3 3 3" xfId="7929" xr:uid="{00000000-0005-0000-0000-00007C390000}"/>
    <cellStyle name="Normal 4 2 3 2 3 3 3 2" xfId="15192" xr:uid="{00000000-0005-0000-0000-00007D390000}"/>
    <cellStyle name="Normal 4 2 3 2 3 3 3 2 2" xfId="31507" xr:uid="{00000000-0005-0000-0000-00007E390000}"/>
    <cellStyle name="Normal 4 2 3 2 3 3 3 3" xfId="24542" xr:uid="{00000000-0005-0000-0000-00007F390000}"/>
    <cellStyle name="Normal 4 2 3 2 3 3 4" xfId="11244" xr:uid="{00000000-0005-0000-0000-000080390000}"/>
    <cellStyle name="Normal 4 2 3 2 3 3 4 2" xfId="27842" xr:uid="{00000000-0005-0000-0000-000081390000}"/>
    <cellStyle name="Normal 4 2 3 2 3 3 5" xfId="4059" xr:uid="{00000000-0005-0000-0000-000082390000}"/>
    <cellStyle name="Normal 4 2 3 2 3 3 5 2" xfId="20782" xr:uid="{00000000-0005-0000-0000-000083390000}"/>
    <cellStyle name="Normal 4 2 3 2 3 3 6" xfId="19184" xr:uid="{00000000-0005-0000-0000-000084390000}"/>
    <cellStyle name="Normal 4 2 3 2 3 4" xfId="2454" xr:uid="{00000000-0005-0000-0000-000085390000}"/>
    <cellStyle name="Normal 4 2 3 2 3 4 2" xfId="8737" xr:uid="{00000000-0005-0000-0000-000086390000}"/>
    <cellStyle name="Normal 4 2 3 2 3 4 2 2" xfId="16000" xr:uid="{00000000-0005-0000-0000-000087390000}"/>
    <cellStyle name="Normal 4 2 3 2 3 4 2 2 2" xfId="32315" xr:uid="{00000000-0005-0000-0000-000088390000}"/>
    <cellStyle name="Normal 4 2 3 2 3 4 2 3" xfId="25350" xr:uid="{00000000-0005-0000-0000-000089390000}"/>
    <cellStyle name="Normal 4 2 3 2 3 4 3" xfId="12079" xr:uid="{00000000-0005-0000-0000-00008A390000}"/>
    <cellStyle name="Normal 4 2 3 2 3 4 3 2" xfId="28654" xr:uid="{00000000-0005-0000-0000-00008B390000}"/>
    <cellStyle name="Normal 4 2 3 2 3 4 4" xfId="5386" xr:uid="{00000000-0005-0000-0000-00008C390000}"/>
    <cellStyle name="Normal 4 2 3 2 3 4 4 2" xfId="22050" xr:uid="{00000000-0005-0000-0000-00008D390000}"/>
    <cellStyle name="Normal 4 2 3 2 3 4 5" xfId="19181" xr:uid="{00000000-0005-0000-0000-00008E390000}"/>
    <cellStyle name="Normal 4 2 3 2 3 5" xfId="7117" xr:uid="{00000000-0005-0000-0000-00008F390000}"/>
    <cellStyle name="Normal 4 2 3 2 3 5 2" xfId="14380" xr:uid="{00000000-0005-0000-0000-000090390000}"/>
    <cellStyle name="Normal 4 2 3 2 3 5 2 2" xfId="30695" xr:uid="{00000000-0005-0000-0000-000091390000}"/>
    <cellStyle name="Normal 4 2 3 2 3 5 3" xfId="23730" xr:uid="{00000000-0005-0000-0000-000092390000}"/>
    <cellStyle name="Normal 4 2 3 2 3 6" xfId="10432" xr:uid="{00000000-0005-0000-0000-000093390000}"/>
    <cellStyle name="Normal 4 2 3 2 3 6 2" xfId="27030" xr:uid="{00000000-0005-0000-0000-000094390000}"/>
    <cellStyle name="Normal 4 2 3 2 3 7" xfId="4056" xr:uid="{00000000-0005-0000-0000-000095390000}"/>
    <cellStyle name="Normal 4 2 3 2 3 7 2" xfId="20779" xr:uid="{00000000-0005-0000-0000-000096390000}"/>
    <cellStyle name="Normal 4 2 3 2 3 8" xfId="17891" xr:uid="{00000000-0005-0000-0000-000097390000}"/>
    <cellStyle name="Normal 4 2 3 2 4" xfId="1497" xr:uid="{00000000-0005-0000-0000-000098390000}"/>
    <cellStyle name="Normal 4 2 3 2 4 2" xfId="2459" xr:uid="{00000000-0005-0000-0000-000099390000}"/>
    <cellStyle name="Normal 4 2 3 2 4 2 2" xfId="6393" xr:uid="{00000000-0005-0000-0000-00009A390000}"/>
    <cellStyle name="Normal 4 2 3 2 4 2 2 2" xfId="9744" xr:uid="{00000000-0005-0000-0000-00009B390000}"/>
    <cellStyle name="Normal 4 2 3 2 4 2 2 2 2" xfId="17007" xr:uid="{00000000-0005-0000-0000-00009C390000}"/>
    <cellStyle name="Normal 4 2 3 2 4 2 2 2 2 2" xfId="33322" xr:uid="{00000000-0005-0000-0000-00009D390000}"/>
    <cellStyle name="Normal 4 2 3 2 4 2 2 2 3" xfId="26357" xr:uid="{00000000-0005-0000-0000-00009E390000}"/>
    <cellStyle name="Normal 4 2 3 2 4 2 2 3" xfId="13086" xr:uid="{00000000-0005-0000-0000-00009F390000}"/>
    <cellStyle name="Normal 4 2 3 2 4 2 2 3 2" xfId="29661" xr:uid="{00000000-0005-0000-0000-0000A0390000}"/>
    <cellStyle name="Normal 4 2 3 2 4 2 2 4" xfId="23057" xr:uid="{00000000-0005-0000-0000-0000A1390000}"/>
    <cellStyle name="Normal 4 2 3 2 4 2 3" xfId="8123" xr:uid="{00000000-0005-0000-0000-0000A2390000}"/>
    <cellStyle name="Normal 4 2 3 2 4 2 3 2" xfId="15386" xr:uid="{00000000-0005-0000-0000-0000A3390000}"/>
    <cellStyle name="Normal 4 2 3 2 4 2 3 2 2" xfId="31701" xr:uid="{00000000-0005-0000-0000-0000A4390000}"/>
    <cellStyle name="Normal 4 2 3 2 4 2 3 3" xfId="24736" xr:uid="{00000000-0005-0000-0000-0000A5390000}"/>
    <cellStyle name="Normal 4 2 3 2 4 2 4" xfId="11438" xr:uid="{00000000-0005-0000-0000-0000A6390000}"/>
    <cellStyle name="Normal 4 2 3 2 4 2 4 2" xfId="28036" xr:uid="{00000000-0005-0000-0000-0000A7390000}"/>
    <cellStyle name="Normal 4 2 3 2 4 2 5" xfId="4061" xr:uid="{00000000-0005-0000-0000-0000A8390000}"/>
    <cellStyle name="Normal 4 2 3 2 4 2 5 2" xfId="20784" xr:uid="{00000000-0005-0000-0000-0000A9390000}"/>
    <cellStyle name="Normal 4 2 3 2 4 2 6" xfId="19186" xr:uid="{00000000-0005-0000-0000-0000AA390000}"/>
    <cellStyle name="Normal 4 2 3 2 4 3" xfId="2458" xr:uid="{00000000-0005-0000-0000-0000AB390000}"/>
    <cellStyle name="Normal 4 2 3 2 4 3 2" xfId="8932" xr:uid="{00000000-0005-0000-0000-0000AC390000}"/>
    <cellStyle name="Normal 4 2 3 2 4 3 2 2" xfId="16195" xr:uid="{00000000-0005-0000-0000-0000AD390000}"/>
    <cellStyle name="Normal 4 2 3 2 4 3 2 2 2" xfId="32510" xr:uid="{00000000-0005-0000-0000-0000AE390000}"/>
    <cellStyle name="Normal 4 2 3 2 4 3 2 3" xfId="25545" xr:uid="{00000000-0005-0000-0000-0000AF390000}"/>
    <cellStyle name="Normal 4 2 3 2 4 3 3" xfId="12274" xr:uid="{00000000-0005-0000-0000-0000B0390000}"/>
    <cellStyle name="Normal 4 2 3 2 4 3 3 2" xfId="28849" xr:uid="{00000000-0005-0000-0000-0000B1390000}"/>
    <cellStyle name="Normal 4 2 3 2 4 3 4" xfId="5581" xr:uid="{00000000-0005-0000-0000-0000B2390000}"/>
    <cellStyle name="Normal 4 2 3 2 4 3 4 2" xfId="22245" xr:uid="{00000000-0005-0000-0000-0000B3390000}"/>
    <cellStyle name="Normal 4 2 3 2 4 3 5" xfId="19185" xr:uid="{00000000-0005-0000-0000-0000B4390000}"/>
    <cellStyle name="Normal 4 2 3 2 4 4" xfId="7311" xr:uid="{00000000-0005-0000-0000-0000B5390000}"/>
    <cellStyle name="Normal 4 2 3 2 4 4 2" xfId="14574" xr:uid="{00000000-0005-0000-0000-0000B6390000}"/>
    <cellStyle name="Normal 4 2 3 2 4 4 2 2" xfId="30889" xr:uid="{00000000-0005-0000-0000-0000B7390000}"/>
    <cellStyle name="Normal 4 2 3 2 4 4 3" xfId="23924" xr:uid="{00000000-0005-0000-0000-0000B8390000}"/>
    <cellStyle name="Normal 4 2 3 2 4 5" xfId="10626" xr:uid="{00000000-0005-0000-0000-0000B9390000}"/>
    <cellStyle name="Normal 4 2 3 2 4 5 2" xfId="27224" xr:uid="{00000000-0005-0000-0000-0000BA390000}"/>
    <cellStyle name="Normal 4 2 3 2 4 6" xfId="4060" xr:uid="{00000000-0005-0000-0000-0000BB390000}"/>
    <cellStyle name="Normal 4 2 3 2 4 6 2" xfId="20783" xr:uid="{00000000-0005-0000-0000-0000BC390000}"/>
    <cellStyle name="Normal 4 2 3 2 4 7" xfId="18232" xr:uid="{00000000-0005-0000-0000-0000BD390000}"/>
    <cellStyle name="Normal 4 2 3 2 5" xfId="2460" xr:uid="{00000000-0005-0000-0000-0000BE390000}"/>
    <cellStyle name="Normal 4 2 3 2 5 2" xfId="5987" xr:uid="{00000000-0005-0000-0000-0000BF390000}"/>
    <cellStyle name="Normal 4 2 3 2 5 2 2" xfId="9338" xr:uid="{00000000-0005-0000-0000-0000C0390000}"/>
    <cellStyle name="Normal 4 2 3 2 5 2 2 2" xfId="16601" xr:uid="{00000000-0005-0000-0000-0000C1390000}"/>
    <cellStyle name="Normal 4 2 3 2 5 2 2 2 2" xfId="32916" xr:uid="{00000000-0005-0000-0000-0000C2390000}"/>
    <cellStyle name="Normal 4 2 3 2 5 2 2 3" xfId="25951" xr:uid="{00000000-0005-0000-0000-0000C3390000}"/>
    <cellStyle name="Normal 4 2 3 2 5 2 3" xfId="12680" xr:uid="{00000000-0005-0000-0000-0000C4390000}"/>
    <cellStyle name="Normal 4 2 3 2 5 2 3 2" xfId="29255" xr:uid="{00000000-0005-0000-0000-0000C5390000}"/>
    <cellStyle name="Normal 4 2 3 2 5 2 4" xfId="22651" xr:uid="{00000000-0005-0000-0000-0000C6390000}"/>
    <cellStyle name="Normal 4 2 3 2 5 3" xfId="7717" xr:uid="{00000000-0005-0000-0000-0000C7390000}"/>
    <cellStyle name="Normal 4 2 3 2 5 3 2" xfId="14980" xr:uid="{00000000-0005-0000-0000-0000C8390000}"/>
    <cellStyle name="Normal 4 2 3 2 5 3 2 2" xfId="31295" xr:uid="{00000000-0005-0000-0000-0000C9390000}"/>
    <cellStyle name="Normal 4 2 3 2 5 3 3" xfId="24330" xr:uid="{00000000-0005-0000-0000-0000CA390000}"/>
    <cellStyle name="Normal 4 2 3 2 5 4" xfId="11032" xr:uid="{00000000-0005-0000-0000-0000CB390000}"/>
    <cellStyle name="Normal 4 2 3 2 5 4 2" xfId="27630" xr:uid="{00000000-0005-0000-0000-0000CC390000}"/>
    <cellStyle name="Normal 4 2 3 2 5 5" xfId="4062" xr:uid="{00000000-0005-0000-0000-0000CD390000}"/>
    <cellStyle name="Normal 4 2 3 2 5 5 2" xfId="20785" xr:uid="{00000000-0005-0000-0000-0000CE390000}"/>
    <cellStyle name="Normal 4 2 3 2 5 6" xfId="19187" xr:uid="{00000000-0005-0000-0000-0000CF390000}"/>
    <cellStyle name="Normal 4 2 3 2 6" xfId="2445" xr:uid="{00000000-0005-0000-0000-0000D0390000}"/>
    <cellStyle name="Normal 4 2 3 2 6 2" xfId="8558" xr:uid="{00000000-0005-0000-0000-0000D1390000}"/>
    <cellStyle name="Normal 4 2 3 2 6 2 2" xfId="15821" xr:uid="{00000000-0005-0000-0000-0000D2390000}"/>
    <cellStyle name="Normal 4 2 3 2 6 2 2 2" xfId="32136" xr:uid="{00000000-0005-0000-0000-0000D3390000}"/>
    <cellStyle name="Normal 4 2 3 2 6 2 3" xfId="25171" xr:uid="{00000000-0005-0000-0000-0000D4390000}"/>
    <cellStyle name="Normal 4 2 3 2 6 3" xfId="11900" xr:uid="{00000000-0005-0000-0000-0000D5390000}"/>
    <cellStyle name="Normal 4 2 3 2 6 3 2" xfId="28475" xr:uid="{00000000-0005-0000-0000-0000D6390000}"/>
    <cellStyle name="Normal 4 2 3 2 6 4" xfId="5207" xr:uid="{00000000-0005-0000-0000-0000D7390000}"/>
    <cellStyle name="Normal 4 2 3 2 6 4 2" xfId="21871" xr:uid="{00000000-0005-0000-0000-0000D8390000}"/>
    <cellStyle name="Normal 4 2 3 2 6 5" xfId="19172" xr:uid="{00000000-0005-0000-0000-0000D9390000}"/>
    <cellStyle name="Normal 4 2 3 2 7" xfId="6939" xr:uid="{00000000-0005-0000-0000-0000DA390000}"/>
    <cellStyle name="Normal 4 2 3 2 7 2" xfId="14202" xr:uid="{00000000-0005-0000-0000-0000DB390000}"/>
    <cellStyle name="Normal 4 2 3 2 7 2 2" xfId="30517" xr:uid="{00000000-0005-0000-0000-0000DC390000}"/>
    <cellStyle name="Normal 4 2 3 2 7 3" xfId="23552" xr:uid="{00000000-0005-0000-0000-0000DD390000}"/>
    <cellStyle name="Normal 4 2 3 2 8" xfId="10253" xr:uid="{00000000-0005-0000-0000-0000DE390000}"/>
    <cellStyle name="Normal 4 2 3 2 8 2" xfId="26852" xr:uid="{00000000-0005-0000-0000-0000DF390000}"/>
    <cellStyle name="Normal 4 2 3 2 9" xfId="4047" xr:uid="{00000000-0005-0000-0000-0000E0390000}"/>
    <cellStyle name="Normal 4 2 3 2 9 2" xfId="20770" xr:uid="{00000000-0005-0000-0000-0000E1390000}"/>
    <cellStyle name="Normal 4 2 3 3" xfId="989" xr:uid="{00000000-0005-0000-0000-0000E2390000}"/>
    <cellStyle name="Normal 4 2 3 3 2" xfId="1156" xr:uid="{00000000-0005-0000-0000-0000E3390000}"/>
    <cellStyle name="Normal 4 2 3 3 2 2" xfId="1677" xr:uid="{00000000-0005-0000-0000-0000E4390000}"/>
    <cellStyle name="Normal 4 2 3 3 2 2 2" xfId="2464" xr:uid="{00000000-0005-0000-0000-0000E5390000}"/>
    <cellStyle name="Normal 4 2 3 3 2 2 2 2" xfId="6571" xr:uid="{00000000-0005-0000-0000-0000E6390000}"/>
    <cellStyle name="Normal 4 2 3 3 2 2 2 2 2" xfId="9922" xr:uid="{00000000-0005-0000-0000-0000E7390000}"/>
    <cellStyle name="Normal 4 2 3 3 2 2 2 2 2 2" xfId="17185" xr:uid="{00000000-0005-0000-0000-0000E8390000}"/>
    <cellStyle name="Normal 4 2 3 3 2 2 2 2 2 2 2" xfId="33500" xr:uid="{00000000-0005-0000-0000-0000E9390000}"/>
    <cellStyle name="Normal 4 2 3 3 2 2 2 2 2 3" xfId="26535" xr:uid="{00000000-0005-0000-0000-0000EA390000}"/>
    <cellStyle name="Normal 4 2 3 3 2 2 2 2 3" xfId="13264" xr:uid="{00000000-0005-0000-0000-0000EB390000}"/>
    <cellStyle name="Normal 4 2 3 3 2 2 2 2 3 2" xfId="29839" xr:uid="{00000000-0005-0000-0000-0000EC390000}"/>
    <cellStyle name="Normal 4 2 3 3 2 2 2 2 4" xfId="23235" xr:uid="{00000000-0005-0000-0000-0000ED390000}"/>
    <cellStyle name="Normal 4 2 3 3 2 2 2 3" xfId="8301" xr:uid="{00000000-0005-0000-0000-0000EE390000}"/>
    <cellStyle name="Normal 4 2 3 3 2 2 2 3 2" xfId="15564" xr:uid="{00000000-0005-0000-0000-0000EF390000}"/>
    <cellStyle name="Normal 4 2 3 3 2 2 2 3 2 2" xfId="31879" xr:uid="{00000000-0005-0000-0000-0000F0390000}"/>
    <cellStyle name="Normal 4 2 3 3 2 2 2 3 3" xfId="24914" xr:uid="{00000000-0005-0000-0000-0000F1390000}"/>
    <cellStyle name="Normal 4 2 3 3 2 2 2 4" xfId="11616" xr:uid="{00000000-0005-0000-0000-0000F2390000}"/>
    <cellStyle name="Normal 4 2 3 3 2 2 2 4 2" xfId="28214" xr:uid="{00000000-0005-0000-0000-0000F3390000}"/>
    <cellStyle name="Normal 4 2 3 3 2 2 2 5" xfId="4066" xr:uid="{00000000-0005-0000-0000-0000F4390000}"/>
    <cellStyle name="Normal 4 2 3 3 2 2 2 5 2" xfId="20789" xr:uid="{00000000-0005-0000-0000-0000F5390000}"/>
    <cellStyle name="Normal 4 2 3 3 2 2 2 6" xfId="19191" xr:uid="{00000000-0005-0000-0000-0000F6390000}"/>
    <cellStyle name="Normal 4 2 3 3 2 2 3" xfId="2463" xr:uid="{00000000-0005-0000-0000-0000F7390000}"/>
    <cellStyle name="Normal 4 2 3 3 2 2 3 2" xfId="9146" xr:uid="{00000000-0005-0000-0000-0000F8390000}"/>
    <cellStyle name="Normal 4 2 3 3 2 2 3 2 2" xfId="16409" xr:uid="{00000000-0005-0000-0000-0000F9390000}"/>
    <cellStyle name="Normal 4 2 3 3 2 2 3 2 2 2" xfId="32724" xr:uid="{00000000-0005-0000-0000-0000FA390000}"/>
    <cellStyle name="Normal 4 2 3 3 2 2 3 2 3" xfId="25759" xr:uid="{00000000-0005-0000-0000-0000FB390000}"/>
    <cellStyle name="Normal 4 2 3 3 2 2 3 3" xfId="12488" xr:uid="{00000000-0005-0000-0000-0000FC390000}"/>
    <cellStyle name="Normal 4 2 3 3 2 2 3 3 2" xfId="29063" xr:uid="{00000000-0005-0000-0000-0000FD390000}"/>
    <cellStyle name="Normal 4 2 3 3 2 2 3 4" xfId="5795" xr:uid="{00000000-0005-0000-0000-0000FE390000}"/>
    <cellStyle name="Normal 4 2 3 3 2 2 3 4 2" xfId="22459" xr:uid="{00000000-0005-0000-0000-0000FF390000}"/>
    <cellStyle name="Normal 4 2 3 3 2 2 3 5" xfId="19190" xr:uid="{00000000-0005-0000-0000-0000003A0000}"/>
    <cellStyle name="Normal 4 2 3 3 2 2 4" xfId="7525" xr:uid="{00000000-0005-0000-0000-0000013A0000}"/>
    <cellStyle name="Normal 4 2 3 3 2 2 4 2" xfId="14788" xr:uid="{00000000-0005-0000-0000-0000023A0000}"/>
    <cellStyle name="Normal 4 2 3 3 2 2 4 2 2" xfId="31103" xr:uid="{00000000-0005-0000-0000-0000033A0000}"/>
    <cellStyle name="Normal 4 2 3 3 2 2 4 3" xfId="24138" xr:uid="{00000000-0005-0000-0000-0000043A0000}"/>
    <cellStyle name="Normal 4 2 3 3 2 2 5" xfId="10840" xr:uid="{00000000-0005-0000-0000-0000053A0000}"/>
    <cellStyle name="Normal 4 2 3 3 2 2 5 2" xfId="27438" xr:uid="{00000000-0005-0000-0000-0000063A0000}"/>
    <cellStyle name="Normal 4 2 3 3 2 2 6" xfId="4065" xr:uid="{00000000-0005-0000-0000-0000073A0000}"/>
    <cellStyle name="Normal 4 2 3 3 2 2 6 2" xfId="20788" xr:uid="{00000000-0005-0000-0000-0000083A0000}"/>
    <cellStyle name="Normal 4 2 3 3 2 2 7" xfId="18412" xr:uid="{00000000-0005-0000-0000-0000093A0000}"/>
    <cellStyle name="Normal 4 2 3 3 2 3" xfId="2465" xr:uid="{00000000-0005-0000-0000-00000A3A0000}"/>
    <cellStyle name="Normal 4 2 3 3 2 3 2" xfId="6201" xr:uid="{00000000-0005-0000-0000-00000B3A0000}"/>
    <cellStyle name="Normal 4 2 3 3 2 3 2 2" xfId="9552" xr:uid="{00000000-0005-0000-0000-00000C3A0000}"/>
    <cellStyle name="Normal 4 2 3 3 2 3 2 2 2" xfId="16815" xr:uid="{00000000-0005-0000-0000-00000D3A0000}"/>
    <cellStyle name="Normal 4 2 3 3 2 3 2 2 2 2" xfId="33130" xr:uid="{00000000-0005-0000-0000-00000E3A0000}"/>
    <cellStyle name="Normal 4 2 3 3 2 3 2 2 3" xfId="26165" xr:uid="{00000000-0005-0000-0000-00000F3A0000}"/>
    <cellStyle name="Normal 4 2 3 3 2 3 2 3" xfId="12894" xr:uid="{00000000-0005-0000-0000-0000103A0000}"/>
    <cellStyle name="Normal 4 2 3 3 2 3 2 3 2" xfId="29469" xr:uid="{00000000-0005-0000-0000-0000113A0000}"/>
    <cellStyle name="Normal 4 2 3 3 2 3 2 4" xfId="22865" xr:uid="{00000000-0005-0000-0000-0000123A0000}"/>
    <cellStyle name="Normal 4 2 3 3 2 3 3" xfId="7931" xr:uid="{00000000-0005-0000-0000-0000133A0000}"/>
    <cellStyle name="Normal 4 2 3 3 2 3 3 2" xfId="15194" xr:uid="{00000000-0005-0000-0000-0000143A0000}"/>
    <cellStyle name="Normal 4 2 3 3 2 3 3 2 2" xfId="31509" xr:uid="{00000000-0005-0000-0000-0000153A0000}"/>
    <cellStyle name="Normal 4 2 3 3 2 3 3 3" xfId="24544" xr:uid="{00000000-0005-0000-0000-0000163A0000}"/>
    <cellStyle name="Normal 4 2 3 3 2 3 4" xfId="11246" xr:uid="{00000000-0005-0000-0000-0000173A0000}"/>
    <cellStyle name="Normal 4 2 3 3 2 3 4 2" xfId="27844" xr:uid="{00000000-0005-0000-0000-0000183A0000}"/>
    <cellStyle name="Normal 4 2 3 3 2 3 5" xfId="4067" xr:uid="{00000000-0005-0000-0000-0000193A0000}"/>
    <cellStyle name="Normal 4 2 3 3 2 3 5 2" xfId="20790" xr:uid="{00000000-0005-0000-0000-00001A3A0000}"/>
    <cellStyle name="Normal 4 2 3 3 2 3 6" xfId="19192" xr:uid="{00000000-0005-0000-0000-00001B3A0000}"/>
    <cellStyle name="Normal 4 2 3 3 2 4" xfId="2462" xr:uid="{00000000-0005-0000-0000-00001C3A0000}"/>
    <cellStyle name="Normal 4 2 3 3 2 4 2" xfId="8739" xr:uid="{00000000-0005-0000-0000-00001D3A0000}"/>
    <cellStyle name="Normal 4 2 3 3 2 4 2 2" xfId="16002" xr:uid="{00000000-0005-0000-0000-00001E3A0000}"/>
    <cellStyle name="Normal 4 2 3 3 2 4 2 2 2" xfId="32317" xr:uid="{00000000-0005-0000-0000-00001F3A0000}"/>
    <cellStyle name="Normal 4 2 3 3 2 4 2 3" xfId="25352" xr:uid="{00000000-0005-0000-0000-0000203A0000}"/>
    <cellStyle name="Normal 4 2 3 3 2 4 3" xfId="12081" xr:uid="{00000000-0005-0000-0000-0000213A0000}"/>
    <cellStyle name="Normal 4 2 3 3 2 4 3 2" xfId="28656" xr:uid="{00000000-0005-0000-0000-0000223A0000}"/>
    <cellStyle name="Normal 4 2 3 3 2 4 4" xfId="5388" xr:uid="{00000000-0005-0000-0000-0000233A0000}"/>
    <cellStyle name="Normal 4 2 3 3 2 4 4 2" xfId="22052" xr:uid="{00000000-0005-0000-0000-0000243A0000}"/>
    <cellStyle name="Normal 4 2 3 3 2 4 5" xfId="19189" xr:uid="{00000000-0005-0000-0000-0000253A0000}"/>
    <cellStyle name="Normal 4 2 3 3 2 5" xfId="7119" xr:uid="{00000000-0005-0000-0000-0000263A0000}"/>
    <cellStyle name="Normal 4 2 3 3 2 5 2" xfId="14382" xr:uid="{00000000-0005-0000-0000-0000273A0000}"/>
    <cellStyle name="Normal 4 2 3 3 2 5 2 2" xfId="30697" xr:uid="{00000000-0005-0000-0000-0000283A0000}"/>
    <cellStyle name="Normal 4 2 3 3 2 5 3" xfId="23732" xr:uid="{00000000-0005-0000-0000-0000293A0000}"/>
    <cellStyle name="Normal 4 2 3 3 2 6" xfId="10434" xr:uid="{00000000-0005-0000-0000-00002A3A0000}"/>
    <cellStyle name="Normal 4 2 3 3 2 6 2" xfId="27032" xr:uid="{00000000-0005-0000-0000-00002B3A0000}"/>
    <cellStyle name="Normal 4 2 3 3 2 7" xfId="4064" xr:uid="{00000000-0005-0000-0000-00002C3A0000}"/>
    <cellStyle name="Normal 4 2 3 3 2 7 2" xfId="20787" xr:uid="{00000000-0005-0000-0000-00002D3A0000}"/>
    <cellStyle name="Normal 4 2 3 3 2 8" xfId="17893" xr:uid="{00000000-0005-0000-0000-00002E3A0000}"/>
    <cellStyle name="Normal 4 2 3 3 3" xfId="1550" xr:uid="{00000000-0005-0000-0000-00002F3A0000}"/>
    <cellStyle name="Normal 4 2 3 3 3 2" xfId="2467" xr:uid="{00000000-0005-0000-0000-0000303A0000}"/>
    <cellStyle name="Normal 4 2 3 3 3 2 2" xfId="6395" xr:uid="{00000000-0005-0000-0000-0000313A0000}"/>
    <cellStyle name="Normal 4 2 3 3 3 2 2 2" xfId="9746" xr:uid="{00000000-0005-0000-0000-0000323A0000}"/>
    <cellStyle name="Normal 4 2 3 3 3 2 2 2 2" xfId="17009" xr:uid="{00000000-0005-0000-0000-0000333A0000}"/>
    <cellStyle name="Normal 4 2 3 3 3 2 2 2 2 2" xfId="33324" xr:uid="{00000000-0005-0000-0000-0000343A0000}"/>
    <cellStyle name="Normal 4 2 3 3 3 2 2 2 3" xfId="26359" xr:uid="{00000000-0005-0000-0000-0000353A0000}"/>
    <cellStyle name="Normal 4 2 3 3 3 2 2 3" xfId="13088" xr:uid="{00000000-0005-0000-0000-0000363A0000}"/>
    <cellStyle name="Normal 4 2 3 3 3 2 2 3 2" xfId="29663" xr:uid="{00000000-0005-0000-0000-0000373A0000}"/>
    <cellStyle name="Normal 4 2 3 3 3 2 2 4" xfId="23059" xr:uid="{00000000-0005-0000-0000-0000383A0000}"/>
    <cellStyle name="Normal 4 2 3 3 3 2 3" xfId="8125" xr:uid="{00000000-0005-0000-0000-0000393A0000}"/>
    <cellStyle name="Normal 4 2 3 3 3 2 3 2" xfId="15388" xr:uid="{00000000-0005-0000-0000-00003A3A0000}"/>
    <cellStyle name="Normal 4 2 3 3 3 2 3 2 2" xfId="31703" xr:uid="{00000000-0005-0000-0000-00003B3A0000}"/>
    <cellStyle name="Normal 4 2 3 3 3 2 3 3" xfId="24738" xr:uid="{00000000-0005-0000-0000-00003C3A0000}"/>
    <cellStyle name="Normal 4 2 3 3 3 2 4" xfId="11440" xr:uid="{00000000-0005-0000-0000-00003D3A0000}"/>
    <cellStyle name="Normal 4 2 3 3 3 2 4 2" xfId="28038" xr:uid="{00000000-0005-0000-0000-00003E3A0000}"/>
    <cellStyle name="Normal 4 2 3 3 3 2 5" xfId="4069" xr:uid="{00000000-0005-0000-0000-00003F3A0000}"/>
    <cellStyle name="Normal 4 2 3 3 3 2 5 2" xfId="20792" xr:uid="{00000000-0005-0000-0000-0000403A0000}"/>
    <cellStyle name="Normal 4 2 3 3 3 2 6" xfId="19194" xr:uid="{00000000-0005-0000-0000-0000413A0000}"/>
    <cellStyle name="Normal 4 2 3 3 3 3" xfId="2466" xr:uid="{00000000-0005-0000-0000-0000423A0000}"/>
    <cellStyle name="Normal 4 2 3 3 3 3 2" xfId="8934" xr:uid="{00000000-0005-0000-0000-0000433A0000}"/>
    <cellStyle name="Normal 4 2 3 3 3 3 2 2" xfId="16197" xr:uid="{00000000-0005-0000-0000-0000443A0000}"/>
    <cellStyle name="Normal 4 2 3 3 3 3 2 2 2" xfId="32512" xr:uid="{00000000-0005-0000-0000-0000453A0000}"/>
    <cellStyle name="Normal 4 2 3 3 3 3 2 3" xfId="25547" xr:uid="{00000000-0005-0000-0000-0000463A0000}"/>
    <cellStyle name="Normal 4 2 3 3 3 3 3" xfId="12276" xr:uid="{00000000-0005-0000-0000-0000473A0000}"/>
    <cellStyle name="Normal 4 2 3 3 3 3 3 2" xfId="28851" xr:uid="{00000000-0005-0000-0000-0000483A0000}"/>
    <cellStyle name="Normal 4 2 3 3 3 3 4" xfId="5583" xr:uid="{00000000-0005-0000-0000-0000493A0000}"/>
    <cellStyle name="Normal 4 2 3 3 3 3 4 2" xfId="22247" xr:uid="{00000000-0005-0000-0000-00004A3A0000}"/>
    <cellStyle name="Normal 4 2 3 3 3 3 5" xfId="19193" xr:uid="{00000000-0005-0000-0000-00004B3A0000}"/>
    <cellStyle name="Normal 4 2 3 3 3 4" xfId="7313" xr:uid="{00000000-0005-0000-0000-00004C3A0000}"/>
    <cellStyle name="Normal 4 2 3 3 3 4 2" xfId="14576" xr:uid="{00000000-0005-0000-0000-00004D3A0000}"/>
    <cellStyle name="Normal 4 2 3 3 3 4 2 2" xfId="30891" xr:uid="{00000000-0005-0000-0000-00004E3A0000}"/>
    <cellStyle name="Normal 4 2 3 3 3 4 3" xfId="23926" xr:uid="{00000000-0005-0000-0000-00004F3A0000}"/>
    <cellStyle name="Normal 4 2 3 3 3 5" xfId="10628" xr:uid="{00000000-0005-0000-0000-0000503A0000}"/>
    <cellStyle name="Normal 4 2 3 3 3 5 2" xfId="27226" xr:uid="{00000000-0005-0000-0000-0000513A0000}"/>
    <cellStyle name="Normal 4 2 3 3 3 6" xfId="4068" xr:uid="{00000000-0005-0000-0000-0000523A0000}"/>
    <cellStyle name="Normal 4 2 3 3 3 6 2" xfId="20791" xr:uid="{00000000-0005-0000-0000-0000533A0000}"/>
    <cellStyle name="Normal 4 2 3 3 3 7" xfId="18285" xr:uid="{00000000-0005-0000-0000-0000543A0000}"/>
    <cellStyle name="Normal 4 2 3 3 4" xfId="2468" xr:uid="{00000000-0005-0000-0000-0000553A0000}"/>
    <cellStyle name="Normal 4 2 3 3 4 2" xfId="5989" xr:uid="{00000000-0005-0000-0000-0000563A0000}"/>
    <cellStyle name="Normal 4 2 3 3 4 2 2" xfId="9340" xr:uid="{00000000-0005-0000-0000-0000573A0000}"/>
    <cellStyle name="Normal 4 2 3 3 4 2 2 2" xfId="16603" xr:uid="{00000000-0005-0000-0000-0000583A0000}"/>
    <cellStyle name="Normal 4 2 3 3 4 2 2 2 2" xfId="32918" xr:uid="{00000000-0005-0000-0000-0000593A0000}"/>
    <cellStyle name="Normal 4 2 3 3 4 2 2 3" xfId="25953" xr:uid="{00000000-0005-0000-0000-00005A3A0000}"/>
    <cellStyle name="Normal 4 2 3 3 4 2 3" xfId="12682" xr:uid="{00000000-0005-0000-0000-00005B3A0000}"/>
    <cellStyle name="Normal 4 2 3 3 4 2 3 2" xfId="29257" xr:uid="{00000000-0005-0000-0000-00005C3A0000}"/>
    <cellStyle name="Normal 4 2 3 3 4 2 4" xfId="22653" xr:uid="{00000000-0005-0000-0000-00005D3A0000}"/>
    <cellStyle name="Normal 4 2 3 3 4 3" xfId="7719" xr:uid="{00000000-0005-0000-0000-00005E3A0000}"/>
    <cellStyle name="Normal 4 2 3 3 4 3 2" xfId="14982" xr:uid="{00000000-0005-0000-0000-00005F3A0000}"/>
    <cellStyle name="Normal 4 2 3 3 4 3 2 2" xfId="31297" xr:uid="{00000000-0005-0000-0000-0000603A0000}"/>
    <cellStyle name="Normal 4 2 3 3 4 3 3" xfId="24332" xr:uid="{00000000-0005-0000-0000-0000613A0000}"/>
    <cellStyle name="Normal 4 2 3 3 4 4" xfId="11034" xr:uid="{00000000-0005-0000-0000-0000623A0000}"/>
    <cellStyle name="Normal 4 2 3 3 4 4 2" xfId="27632" xr:uid="{00000000-0005-0000-0000-0000633A0000}"/>
    <cellStyle name="Normal 4 2 3 3 4 5" xfId="4070" xr:uid="{00000000-0005-0000-0000-0000643A0000}"/>
    <cellStyle name="Normal 4 2 3 3 4 5 2" xfId="20793" xr:uid="{00000000-0005-0000-0000-0000653A0000}"/>
    <cellStyle name="Normal 4 2 3 3 4 6" xfId="19195" xr:uid="{00000000-0005-0000-0000-0000663A0000}"/>
    <cellStyle name="Normal 4 2 3 3 5" xfId="2461" xr:uid="{00000000-0005-0000-0000-0000673A0000}"/>
    <cellStyle name="Normal 4 2 3 3 5 2" xfId="8611" xr:uid="{00000000-0005-0000-0000-0000683A0000}"/>
    <cellStyle name="Normal 4 2 3 3 5 2 2" xfId="15874" xr:uid="{00000000-0005-0000-0000-0000693A0000}"/>
    <cellStyle name="Normal 4 2 3 3 5 2 2 2" xfId="32189" xr:uid="{00000000-0005-0000-0000-00006A3A0000}"/>
    <cellStyle name="Normal 4 2 3 3 5 2 3" xfId="25224" xr:uid="{00000000-0005-0000-0000-00006B3A0000}"/>
    <cellStyle name="Normal 4 2 3 3 5 3" xfId="11953" xr:uid="{00000000-0005-0000-0000-00006C3A0000}"/>
    <cellStyle name="Normal 4 2 3 3 5 3 2" xfId="28528" xr:uid="{00000000-0005-0000-0000-00006D3A0000}"/>
    <cellStyle name="Normal 4 2 3 3 5 4" xfId="5260" xr:uid="{00000000-0005-0000-0000-00006E3A0000}"/>
    <cellStyle name="Normal 4 2 3 3 5 4 2" xfId="21924" xr:uid="{00000000-0005-0000-0000-00006F3A0000}"/>
    <cellStyle name="Normal 4 2 3 3 5 5" xfId="19188" xr:uid="{00000000-0005-0000-0000-0000703A0000}"/>
    <cellStyle name="Normal 4 2 3 3 6" xfId="6992" xr:uid="{00000000-0005-0000-0000-0000713A0000}"/>
    <cellStyle name="Normal 4 2 3 3 6 2" xfId="14255" xr:uid="{00000000-0005-0000-0000-0000723A0000}"/>
    <cellStyle name="Normal 4 2 3 3 6 2 2" xfId="30570" xr:uid="{00000000-0005-0000-0000-0000733A0000}"/>
    <cellStyle name="Normal 4 2 3 3 6 3" xfId="23605" xr:uid="{00000000-0005-0000-0000-0000743A0000}"/>
    <cellStyle name="Normal 4 2 3 3 7" xfId="10306" xr:uid="{00000000-0005-0000-0000-0000753A0000}"/>
    <cellStyle name="Normal 4 2 3 3 7 2" xfId="26905" xr:uid="{00000000-0005-0000-0000-0000763A0000}"/>
    <cellStyle name="Normal 4 2 3 3 8" xfId="4063" xr:uid="{00000000-0005-0000-0000-0000773A0000}"/>
    <cellStyle name="Normal 4 2 3 3 8 2" xfId="20786" xr:uid="{00000000-0005-0000-0000-0000783A0000}"/>
    <cellStyle name="Normal 4 2 3 3 9" xfId="17766" xr:uid="{00000000-0005-0000-0000-0000793A0000}"/>
    <cellStyle name="Normal 4 2 3 4" xfId="1153" xr:uid="{00000000-0005-0000-0000-00007A3A0000}"/>
    <cellStyle name="Normal 4 2 3 4 2" xfId="1674" xr:uid="{00000000-0005-0000-0000-00007B3A0000}"/>
    <cellStyle name="Normal 4 2 3 4 2 2" xfId="2471" xr:uid="{00000000-0005-0000-0000-00007C3A0000}"/>
    <cellStyle name="Normal 4 2 3 4 2 2 2" xfId="6568" xr:uid="{00000000-0005-0000-0000-00007D3A0000}"/>
    <cellStyle name="Normal 4 2 3 4 2 2 2 2" xfId="9919" xr:uid="{00000000-0005-0000-0000-00007E3A0000}"/>
    <cellStyle name="Normal 4 2 3 4 2 2 2 2 2" xfId="17182" xr:uid="{00000000-0005-0000-0000-00007F3A0000}"/>
    <cellStyle name="Normal 4 2 3 4 2 2 2 2 2 2" xfId="33497" xr:uid="{00000000-0005-0000-0000-0000803A0000}"/>
    <cellStyle name="Normal 4 2 3 4 2 2 2 2 3" xfId="26532" xr:uid="{00000000-0005-0000-0000-0000813A0000}"/>
    <cellStyle name="Normal 4 2 3 4 2 2 2 3" xfId="13261" xr:uid="{00000000-0005-0000-0000-0000823A0000}"/>
    <cellStyle name="Normal 4 2 3 4 2 2 2 3 2" xfId="29836" xr:uid="{00000000-0005-0000-0000-0000833A0000}"/>
    <cellStyle name="Normal 4 2 3 4 2 2 2 4" xfId="23232" xr:uid="{00000000-0005-0000-0000-0000843A0000}"/>
    <cellStyle name="Normal 4 2 3 4 2 2 3" xfId="8298" xr:uid="{00000000-0005-0000-0000-0000853A0000}"/>
    <cellStyle name="Normal 4 2 3 4 2 2 3 2" xfId="15561" xr:uid="{00000000-0005-0000-0000-0000863A0000}"/>
    <cellStyle name="Normal 4 2 3 4 2 2 3 2 2" xfId="31876" xr:uid="{00000000-0005-0000-0000-0000873A0000}"/>
    <cellStyle name="Normal 4 2 3 4 2 2 3 3" xfId="24911" xr:uid="{00000000-0005-0000-0000-0000883A0000}"/>
    <cellStyle name="Normal 4 2 3 4 2 2 4" xfId="11613" xr:uid="{00000000-0005-0000-0000-0000893A0000}"/>
    <cellStyle name="Normal 4 2 3 4 2 2 4 2" xfId="28211" xr:uid="{00000000-0005-0000-0000-00008A3A0000}"/>
    <cellStyle name="Normal 4 2 3 4 2 2 5" xfId="4073" xr:uid="{00000000-0005-0000-0000-00008B3A0000}"/>
    <cellStyle name="Normal 4 2 3 4 2 2 5 2" xfId="20796" xr:uid="{00000000-0005-0000-0000-00008C3A0000}"/>
    <cellStyle name="Normal 4 2 3 4 2 2 6" xfId="19198" xr:uid="{00000000-0005-0000-0000-00008D3A0000}"/>
    <cellStyle name="Normal 4 2 3 4 2 3" xfId="2470" xr:uid="{00000000-0005-0000-0000-00008E3A0000}"/>
    <cellStyle name="Normal 4 2 3 4 2 3 2" xfId="9143" xr:uid="{00000000-0005-0000-0000-00008F3A0000}"/>
    <cellStyle name="Normal 4 2 3 4 2 3 2 2" xfId="16406" xr:uid="{00000000-0005-0000-0000-0000903A0000}"/>
    <cellStyle name="Normal 4 2 3 4 2 3 2 2 2" xfId="32721" xr:uid="{00000000-0005-0000-0000-0000913A0000}"/>
    <cellStyle name="Normal 4 2 3 4 2 3 2 3" xfId="25756" xr:uid="{00000000-0005-0000-0000-0000923A0000}"/>
    <cellStyle name="Normal 4 2 3 4 2 3 3" xfId="12485" xr:uid="{00000000-0005-0000-0000-0000933A0000}"/>
    <cellStyle name="Normal 4 2 3 4 2 3 3 2" xfId="29060" xr:uid="{00000000-0005-0000-0000-0000943A0000}"/>
    <cellStyle name="Normal 4 2 3 4 2 3 4" xfId="5792" xr:uid="{00000000-0005-0000-0000-0000953A0000}"/>
    <cellStyle name="Normal 4 2 3 4 2 3 4 2" xfId="22456" xr:uid="{00000000-0005-0000-0000-0000963A0000}"/>
    <cellStyle name="Normal 4 2 3 4 2 3 5" xfId="19197" xr:uid="{00000000-0005-0000-0000-0000973A0000}"/>
    <cellStyle name="Normal 4 2 3 4 2 4" xfId="7522" xr:uid="{00000000-0005-0000-0000-0000983A0000}"/>
    <cellStyle name="Normal 4 2 3 4 2 4 2" xfId="14785" xr:uid="{00000000-0005-0000-0000-0000993A0000}"/>
    <cellStyle name="Normal 4 2 3 4 2 4 2 2" xfId="31100" xr:uid="{00000000-0005-0000-0000-00009A3A0000}"/>
    <cellStyle name="Normal 4 2 3 4 2 4 3" xfId="24135" xr:uid="{00000000-0005-0000-0000-00009B3A0000}"/>
    <cellStyle name="Normal 4 2 3 4 2 5" xfId="10837" xr:uid="{00000000-0005-0000-0000-00009C3A0000}"/>
    <cellStyle name="Normal 4 2 3 4 2 5 2" xfId="27435" xr:uid="{00000000-0005-0000-0000-00009D3A0000}"/>
    <cellStyle name="Normal 4 2 3 4 2 6" xfId="4072" xr:uid="{00000000-0005-0000-0000-00009E3A0000}"/>
    <cellStyle name="Normal 4 2 3 4 2 6 2" xfId="20795" xr:uid="{00000000-0005-0000-0000-00009F3A0000}"/>
    <cellStyle name="Normal 4 2 3 4 2 7" xfId="18409" xr:uid="{00000000-0005-0000-0000-0000A03A0000}"/>
    <cellStyle name="Normal 4 2 3 4 3" xfId="2472" xr:uid="{00000000-0005-0000-0000-0000A13A0000}"/>
    <cellStyle name="Normal 4 2 3 4 3 2" xfId="6198" xr:uid="{00000000-0005-0000-0000-0000A23A0000}"/>
    <cellStyle name="Normal 4 2 3 4 3 2 2" xfId="9549" xr:uid="{00000000-0005-0000-0000-0000A33A0000}"/>
    <cellStyle name="Normal 4 2 3 4 3 2 2 2" xfId="16812" xr:uid="{00000000-0005-0000-0000-0000A43A0000}"/>
    <cellStyle name="Normal 4 2 3 4 3 2 2 2 2" xfId="33127" xr:uid="{00000000-0005-0000-0000-0000A53A0000}"/>
    <cellStyle name="Normal 4 2 3 4 3 2 2 3" xfId="26162" xr:uid="{00000000-0005-0000-0000-0000A63A0000}"/>
    <cellStyle name="Normal 4 2 3 4 3 2 3" xfId="12891" xr:uid="{00000000-0005-0000-0000-0000A73A0000}"/>
    <cellStyle name="Normal 4 2 3 4 3 2 3 2" xfId="29466" xr:uid="{00000000-0005-0000-0000-0000A83A0000}"/>
    <cellStyle name="Normal 4 2 3 4 3 2 4" xfId="22862" xr:uid="{00000000-0005-0000-0000-0000A93A0000}"/>
    <cellStyle name="Normal 4 2 3 4 3 3" xfId="7928" xr:uid="{00000000-0005-0000-0000-0000AA3A0000}"/>
    <cellStyle name="Normal 4 2 3 4 3 3 2" xfId="15191" xr:uid="{00000000-0005-0000-0000-0000AB3A0000}"/>
    <cellStyle name="Normal 4 2 3 4 3 3 2 2" xfId="31506" xr:uid="{00000000-0005-0000-0000-0000AC3A0000}"/>
    <cellStyle name="Normal 4 2 3 4 3 3 3" xfId="24541" xr:uid="{00000000-0005-0000-0000-0000AD3A0000}"/>
    <cellStyle name="Normal 4 2 3 4 3 4" xfId="11243" xr:uid="{00000000-0005-0000-0000-0000AE3A0000}"/>
    <cellStyle name="Normal 4 2 3 4 3 4 2" xfId="27841" xr:uid="{00000000-0005-0000-0000-0000AF3A0000}"/>
    <cellStyle name="Normal 4 2 3 4 3 5" xfId="4074" xr:uid="{00000000-0005-0000-0000-0000B03A0000}"/>
    <cellStyle name="Normal 4 2 3 4 3 5 2" xfId="20797" xr:uid="{00000000-0005-0000-0000-0000B13A0000}"/>
    <cellStyle name="Normal 4 2 3 4 3 6" xfId="19199" xr:uid="{00000000-0005-0000-0000-0000B23A0000}"/>
    <cellStyle name="Normal 4 2 3 4 4" xfId="2469" xr:uid="{00000000-0005-0000-0000-0000B33A0000}"/>
    <cellStyle name="Normal 4 2 3 4 4 2" xfId="8736" xr:uid="{00000000-0005-0000-0000-0000B43A0000}"/>
    <cellStyle name="Normal 4 2 3 4 4 2 2" xfId="15999" xr:uid="{00000000-0005-0000-0000-0000B53A0000}"/>
    <cellStyle name="Normal 4 2 3 4 4 2 2 2" xfId="32314" xr:uid="{00000000-0005-0000-0000-0000B63A0000}"/>
    <cellStyle name="Normal 4 2 3 4 4 2 3" xfId="25349" xr:uid="{00000000-0005-0000-0000-0000B73A0000}"/>
    <cellStyle name="Normal 4 2 3 4 4 3" xfId="12078" xr:uid="{00000000-0005-0000-0000-0000B83A0000}"/>
    <cellStyle name="Normal 4 2 3 4 4 3 2" xfId="28653" xr:uid="{00000000-0005-0000-0000-0000B93A0000}"/>
    <cellStyle name="Normal 4 2 3 4 4 4" xfId="5385" xr:uid="{00000000-0005-0000-0000-0000BA3A0000}"/>
    <cellStyle name="Normal 4 2 3 4 4 4 2" xfId="22049" xr:uid="{00000000-0005-0000-0000-0000BB3A0000}"/>
    <cellStyle name="Normal 4 2 3 4 4 5" xfId="19196" xr:uid="{00000000-0005-0000-0000-0000BC3A0000}"/>
    <cellStyle name="Normal 4 2 3 4 5" xfId="7116" xr:uid="{00000000-0005-0000-0000-0000BD3A0000}"/>
    <cellStyle name="Normal 4 2 3 4 5 2" xfId="14379" xr:uid="{00000000-0005-0000-0000-0000BE3A0000}"/>
    <cellStyle name="Normal 4 2 3 4 5 2 2" xfId="30694" xr:uid="{00000000-0005-0000-0000-0000BF3A0000}"/>
    <cellStyle name="Normal 4 2 3 4 5 3" xfId="23729" xr:uid="{00000000-0005-0000-0000-0000C03A0000}"/>
    <cellStyle name="Normal 4 2 3 4 6" xfId="10431" xr:uid="{00000000-0005-0000-0000-0000C13A0000}"/>
    <cellStyle name="Normal 4 2 3 4 6 2" xfId="27029" xr:uid="{00000000-0005-0000-0000-0000C23A0000}"/>
    <cellStyle name="Normal 4 2 3 4 7" xfId="4071" xr:uid="{00000000-0005-0000-0000-0000C33A0000}"/>
    <cellStyle name="Normal 4 2 3 4 7 2" xfId="20794" xr:uid="{00000000-0005-0000-0000-0000C43A0000}"/>
    <cellStyle name="Normal 4 2 3 4 8" xfId="17890" xr:uid="{00000000-0005-0000-0000-0000C53A0000}"/>
    <cellStyle name="Normal 4 2 3 5" xfId="1444" xr:uid="{00000000-0005-0000-0000-0000C63A0000}"/>
    <cellStyle name="Normal 4 2 3 5 2" xfId="2474" xr:uid="{00000000-0005-0000-0000-0000C73A0000}"/>
    <cellStyle name="Normal 4 2 3 5 2 2" xfId="6392" xr:uid="{00000000-0005-0000-0000-0000C83A0000}"/>
    <cellStyle name="Normal 4 2 3 5 2 2 2" xfId="9743" xr:uid="{00000000-0005-0000-0000-0000C93A0000}"/>
    <cellStyle name="Normal 4 2 3 5 2 2 2 2" xfId="17006" xr:uid="{00000000-0005-0000-0000-0000CA3A0000}"/>
    <cellStyle name="Normal 4 2 3 5 2 2 2 2 2" xfId="33321" xr:uid="{00000000-0005-0000-0000-0000CB3A0000}"/>
    <cellStyle name="Normal 4 2 3 5 2 2 2 3" xfId="26356" xr:uid="{00000000-0005-0000-0000-0000CC3A0000}"/>
    <cellStyle name="Normal 4 2 3 5 2 2 3" xfId="13085" xr:uid="{00000000-0005-0000-0000-0000CD3A0000}"/>
    <cellStyle name="Normal 4 2 3 5 2 2 3 2" xfId="29660" xr:uid="{00000000-0005-0000-0000-0000CE3A0000}"/>
    <cellStyle name="Normal 4 2 3 5 2 2 4" xfId="23056" xr:uid="{00000000-0005-0000-0000-0000CF3A0000}"/>
    <cellStyle name="Normal 4 2 3 5 2 3" xfId="8122" xr:uid="{00000000-0005-0000-0000-0000D03A0000}"/>
    <cellStyle name="Normal 4 2 3 5 2 3 2" xfId="15385" xr:uid="{00000000-0005-0000-0000-0000D13A0000}"/>
    <cellStyle name="Normal 4 2 3 5 2 3 2 2" xfId="31700" xr:uid="{00000000-0005-0000-0000-0000D23A0000}"/>
    <cellStyle name="Normal 4 2 3 5 2 3 3" xfId="24735" xr:uid="{00000000-0005-0000-0000-0000D33A0000}"/>
    <cellStyle name="Normal 4 2 3 5 2 4" xfId="11437" xr:uid="{00000000-0005-0000-0000-0000D43A0000}"/>
    <cellStyle name="Normal 4 2 3 5 2 4 2" xfId="28035" xr:uid="{00000000-0005-0000-0000-0000D53A0000}"/>
    <cellStyle name="Normal 4 2 3 5 2 5" xfId="4076" xr:uid="{00000000-0005-0000-0000-0000D63A0000}"/>
    <cellStyle name="Normal 4 2 3 5 2 5 2" xfId="20799" xr:uid="{00000000-0005-0000-0000-0000D73A0000}"/>
    <cellStyle name="Normal 4 2 3 5 2 6" xfId="19201" xr:uid="{00000000-0005-0000-0000-0000D83A0000}"/>
    <cellStyle name="Normal 4 2 3 5 3" xfId="2473" xr:uid="{00000000-0005-0000-0000-0000D93A0000}"/>
    <cellStyle name="Normal 4 2 3 5 3 2" xfId="8931" xr:uid="{00000000-0005-0000-0000-0000DA3A0000}"/>
    <cellStyle name="Normal 4 2 3 5 3 2 2" xfId="16194" xr:uid="{00000000-0005-0000-0000-0000DB3A0000}"/>
    <cellStyle name="Normal 4 2 3 5 3 2 2 2" xfId="32509" xr:uid="{00000000-0005-0000-0000-0000DC3A0000}"/>
    <cellStyle name="Normal 4 2 3 5 3 2 3" xfId="25544" xr:uid="{00000000-0005-0000-0000-0000DD3A0000}"/>
    <cellStyle name="Normal 4 2 3 5 3 3" xfId="12273" xr:uid="{00000000-0005-0000-0000-0000DE3A0000}"/>
    <cellStyle name="Normal 4 2 3 5 3 3 2" xfId="28848" xr:uid="{00000000-0005-0000-0000-0000DF3A0000}"/>
    <cellStyle name="Normal 4 2 3 5 3 4" xfId="5580" xr:uid="{00000000-0005-0000-0000-0000E03A0000}"/>
    <cellStyle name="Normal 4 2 3 5 3 4 2" xfId="22244" xr:uid="{00000000-0005-0000-0000-0000E13A0000}"/>
    <cellStyle name="Normal 4 2 3 5 3 5" xfId="19200" xr:uid="{00000000-0005-0000-0000-0000E23A0000}"/>
    <cellStyle name="Normal 4 2 3 5 4" xfId="7310" xr:uid="{00000000-0005-0000-0000-0000E33A0000}"/>
    <cellStyle name="Normal 4 2 3 5 4 2" xfId="14573" xr:uid="{00000000-0005-0000-0000-0000E43A0000}"/>
    <cellStyle name="Normal 4 2 3 5 4 2 2" xfId="30888" xr:uid="{00000000-0005-0000-0000-0000E53A0000}"/>
    <cellStyle name="Normal 4 2 3 5 4 3" xfId="23923" xr:uid="{00000000-0005-0000-0000-0000E63A0000}"/>
    <cellStyle name="Normal 4 2 3 5 5" xfId="10625" xr:uid="{00000000-0005-0000-0000-0000E73A0000}"/>
    <cellStyle name="Normal 4 2 3 5 5 2" xfId="27223" xr:uid="{00000000-0005-0000-0000-0000E83A0000}"/>
    <cellStyle name="Normal 4 2 3 5 6" xfId="4075" xr:uid="{00000000-0005-0000-0000-0000E93A0000}"/>
    <cellStyle name="Normal 4 2 3 5 6 2" xfId="20798" xr:uid="{00000000-0005-0000-0000-0000EA3A0000}"/>
    <cellStyle name="Normal 4 2 3 5 7" xfId="18179" xr:uid="{00000000-0005-0000-0000-0000EB3A0000}"/>
    <cellStyle name="Normal 4 2 3 6" xfId="2475" xr:uid="{00000000-0005-0000-0000-0000EC3A0000}"/>
    <cellStyle name="Normal 4 2 3 6 2" xfId="5986" xr:uid="{00000000-0005-0000-0000-0000ED3A0000}"/>
    <cellStyle name="Normal 4 2 3 6 2 2" xfId="9337" xr:uid="{00000000-0005-0000-0000-0000EE3A0000}"/>
    <cellStyle name="Normal 4 2 3 6 2 2 2" xfId="16600" xr:uid="{00000000-0005-0000-0000-0000EF3A0000}"/>
    <cellStyle name="Normal 4 2 3 6 2 2 2 2" xfId="32915" xr:uid="{00000000-0005-0000-0000-0000F03A0000}"/>
    <cellStyle name="Normal 4 2 3 6 2 2 3" xfId="25950" xr:uid="{00000000-0005-0000-0000-0000F13A0000}"/>
    <cellStyle name="Normal 4 2 3 6 2 3" xfId="12679" xr:uid="{00000000-0005-0000-0000-0000F23A0000}"/>
    <cellStyle name="Normal 4 2 3 6 2 3 2" xfId="29254" xr:uid="{00000000-0005-0000-0000-0000F33A0000}"/>
    <cellStyle name="Normal 4 2 3 6 2 4" xfId="22650" xr:uid="{00000000-0005-0000-0000-0000F43A0000}"/>
    <cellStyle name="Normal 4 2 3 6 3" xfId="7716" xr:uid="{00000000-0005-0000-0000-0000F53A0000}"/>
    <cellStyle name="Normal 4 2 3 6 3 2" xfId="14979" xr:uid="{00000000-0005-0000-0000-0000F63A0000}"/>
    <cellStyle name="Normal 4 2 3 6 3 2 2" xfId="31294" xr:uid="{00000000-0005-0000-0000-0000F73A0000}"/>
    <cellStyle name="Normal 4 2 3 6 3 3" xfId="24329" xr:uid="{00000000-0005-0000-0000-0000F83A0000}"/>
    <cellStyle name="Normal 4 2 3 6 4" xfId="11031" xr:uid="{00000000-0005-0000-0000-0000F93A0000}"/>
    <cellStyle name="Normal 4 2 3 6 4 2" xfId="27629" xr:uid="{00000000-0005-0000-0000-0000FA3A0000}"/>
    <cellStyle name="Normal 4 2 3 6 5" xfId="4077" xr:uid="{00000000-0005-0000-0000-0000FB3A0000}"/>
    <cellStyle name="Normal 4 2 3 6 5 2" xfId="20800" xr:uid="{00000000-0005-0000-0000-0000FC3A0000}"/>
    <cellStyle name="Normal 4 2 3 6 6" xfId="19202" xr:uid="{00000000-0005-0000-0000-0000FD3A0000}"/>
    <cellStyle name="Normal 4 2 3 7" xfId="2444" xr:uid="{00000000-0005-0000-0000-0000FE3A0000}"/>
    <cellStyle name="Normal 4 2 3 7 2" xfId="8505" xr:uid="{00000000-0005-0000-0000-0000FF3A0000}"/>
    <cellStyle name="Normal 4 2 3 7 2 2" xfId="15768" xr:uid="{00000000-0005-0000-0000-0000003B0000}"/>
    <cellStyle name="Normal 4 2 3 7 2 2 2" xfId="32083" xr:uid="{00000000-0005-0000-0000-0000013B0000}"/>
    <cellStyle name="Normal 4 2 3 7 2 3" xfId="25118" xr:uid="{00000000-0005-0000-0000-0000023B0000}"/>
    <cellStyle name="Normal 4 2 3 7 3" xfId="11847" xr:uid="{00000000-0005-0000-0000-0000033B0000}"/>
    <cellStyle name="Normal 4 2 3 7 3 2" xfId="28422" xr:uid="{00000000-0005-0000-0000-0000043B0000}"/>
    <cellStyle name="Normal 4 2 3 7 4" xfId="5154" xr:uid="{00000000-0005-0000-0000-0000053B0000}"/>
    <cellStyle name="Normal 4 2 3 7 4 2" xfId="21818" xr:uid="{00000000-0005-0000-0000-0000063B0000}"/>
    <cellStyle name="Normal 4 2 3 7 5" xfId="19171" xr:uid="{00000000-0005-0000-0000-0000073B0000}"/>
    <cellStyle name="Normal 4 2 3 8" xfId="6886" xr:uid="{00000000-0005-0000-0000-0000083B0000}"/>
    <cellStyle name="Normal 4 2 3 8 2" xfId="14149" xr:uid="{00000000-0005-0000-0000-0000093B0000}"/>
    <cellStyle name="Normal 4 2 3 8 2 2" xfId="30464" xr:uid="{00000000-0005-0000-0000-00000A3B0000}"/>
    <cellStyle name="Normal 4 2 3 8 3" xfId="23499" xr:uid="{00000000-0005-0000-0000-00000B3B0000}"/>
    <cellStyle name="Normal 4 2 3 9" xfId="10200" xr:uid="{00000000-0005-0000-0000-00000C3B0000}"/>
    <cellStyle name="Normal 4 2 3 9 2" xfId="26799" xr:uid="{00000000-0005-0000-0000-00000D3B0000}"/>
    <cellStyle name="Normal 4 2 4" xfId="2476" xr:uid="{00000000-0005-0000-0000-00000E3B0000}"/>
    <cellStyle name="Normal 4 2 4 2" xfId="2477" xr:uid="{00000000-0005-0000-0000-00000F3B0000}"/>
    <cellStyle name="Normal 4 2 4 2 2" xfId="2478" xr:uid="{00000000-0005-0000-0000-0000103B0000}"/>
    <cellStyle name="Normal 4 2 4 2 2 2" xfId="6690" xr:uid="{00000000-0005-0000-0000-0000113B0000}"/>
    <cellStyle name="Normal 4 2 4 2 2 2 2" xfId="10041" xr:uid="{00000000-0005-0000-0000-0000123B0000}"/>
    <cellStyle name="Normal 4 2 4 2 2 2 2 2" xfId="17304" xr:uid="{00000000-0005-0000-0000-0000133B0000}"/>
    <cellStyle name="Normal 4 2 4 2 2 2 2 2 2" xfId="33619" xr:uid="{00000000-0005-0000-0000-0000143B0000}"/>
    <cellStyle name="Normal 4 2 4 2 2 2 2 3" xfId="26654" xr:uid="{00000000-0005-0000-0000-0000153B0000}"/>
    <cellStyle name="Normal 4 2 4 2 2 2 3" xfId="13383" xr:uid="{00000000-0005-0000-0000-0000163B0000}"/>
    <cellStyle name="Normal 4 2 4 2 2 2 3 2" xfId="29958" xr:uid="{00000000-0005-0000-0000-0000173B0000}"/>
    <cellStyle name="Normal 4 2 4 2 2 2 4" xfId="23354" xr:uid="{00000000-0005-0000-0000-0000183B0000}"/>
    <cellStyle name="Normal 4 2 4 2 2 3" xfId="8420" xr:uid="{00000000-0005-0000-0000-0000193B0000}"/>
    <cellStyle name="Normal 4 2 4 2 2 3 2" xfId="15683" xr:uid="{00000000-0005-0000-0000-00001A3B0000}"/>
    <cellStyle name="Normal 4 2 4 2 2 3 2 2" xfId="31998" xr:uid="{00000000-0005-0000-0000-00001B3B0000}"/>
    <cellStyle name="Normal 4 2 4 2 2 3 3" xfId="25033" xr:uid="{00000000-0005-0000-0000-00001C3B0000}"/>
    <cellStyle name="Normal 4 2 4 2 2 4" xfId="11735" xr:uid="{00000000-0005-0000-0000-00001D3B0000}"/>
    <cellStyle name="Normal 4 2 4 2 2 4 2" xfId="28333" xr:uid="{00000000-0005-0000-0000-00001E3B0000}"/>
    <cellStyle name="Normal 4 2 4 2 2 5" xfId="4080" xr:uid="{00000000-0005-0000-0000-00001F3B0000}"/>
    <cellStyle name="Normal 4 2 4 2 2 5 2" xfId="20803" xr:uid="{00000000-0005-0000-0000-0000203B0000}"/>
    <cellStyle name="Normal 4 2 4 2 2 6" xfId="19205" xr:uid="{00000000-0005-0000-0000-0000213B0000}"/>
    <cellStyle name="Normal 4 2 4 2 3" xfId="5914" xr:uid="{00000000-0005-0000-0000-0000223B0000}"/>
    <cellStyle name="Normal 4 2 4 2 3 2" xfId="9265" xr:uid="{00000000-0005-0000-0000-0000233B0000}"/>
    <cellStyle name="Normal 4 2 4 2 3 2 2" xfId="16528" xr:uid="{00000000-0005-0000-0000-0000243B0000}"/>
    <cellStyle name="Normal 4 2 4 2 3 2 2 2" xfId="32843" xr:uid="{00000000-0005-0000-0000-0000253B0000}"/>
    <cellStyle name="Normal 4 2 4 2 3 2 3" xfId="25878" xr:uid="{00000000-0005-0000-0000-0000263B0000}"/>
    <cellStyle name="Normal 4 2 4 2 3 3" xfId="12607" xr:uid="{00000000-0005-0000-0000-0000273B0000}"/>
    <cellStyle name="Normal 4 2 4 2 3 3 2" xfId="29182" xr:uid="{00000000-0005-0000-0000-0000283B0000}"/>
    <cellStyle name="Normal 4 2 4 2 3 4" xfId="22578" xr:uid="{00000000-0005-0000-0000-0000293B0000}"/>
    <cellStyle name="Normal 4 2 4 2 4" xfId="7644" xr:uid="{00000000-0005-0000-0000-00002A3B0000}"/>
    <cellStyle name="Normal 4 2 4 2 4 2" xfId="14907" xr:uid="{00000000-0005-0000-0000-00002B3B0000}"/>
    <cellStyle name="Normal 4 2 4 2 4 2 2" xfId="31222" xr:uid="{00000000-0005-0000-0000-00002C3B0000}"/>
    <cellStyle name="Normal 4 2 4 2 4 3" xfId="24257" xr:uid="{00000000-0005-0000-0000-00002D3B0000}"/>
    <cellStyle name="Normal 4 2 4 2 5" xfId="10959" xr:uid="{00000000-0005-0000-0000-00002E3B0000}"/>
    <cellStyle name="Normal 4 2 4 2 5 2" xfId="27557" xr:uid="{00000000-0005-0000-0000-00002F3B0000}"/>
    <cellStyle name="Normal 4 2 4 2 6" xfId="4079" xr:uid="{00000000-0005-0000-0000-0000303B0000}"/>
    <cellStyle name="Normal 4 2 4 2 6 2" xfId="20802" xr:uid="{00000000-0005-0000-0000-0000313B0000}"/>
    <cellStyle name="Normal 4 2 4 2 7" xfId="19204" xr:uid="{00000000-0005-0000-0000-0000323B0000}"/>
    <cellStyle name="Normal 4 2 4 3" xfId="2479" xr:uid="{00000000-0005-0000-0000-0000333B0000}"/>
    <cellStyle name="Normal 4 2 4 3 2" xfId="6320" xr:uid="{00000000-0005-0000-0000-0000343B0000}"/>
    <cellStyle name="Normal 4 2 4 3 2 2" xfId="9671" xr:uid="{00000000-0005-0000-0000-0000353B0000}"/>
    <cellStyle name="Normal 4 2 4 3 2 2 2" xfId="16934" xr:uid="{00000000-0005-0000-0000-0000363B0000}"/>
    <cellStyle name="Normal 4 2 4 3 2 2 2 2" xfId="33249" xr:uid="{00000000-0005-0000-0000-0000373B0000}"/>
    <cellStyle name="Normal 4 2 4 3 2 2 3" xfId="26284" xr:uid="{00000000-0005-0000-0000-0000383B0000}"/>
    <cellStyle name="Normal 4 2 4 3 2 3" xfId="13013" xr:uid="{00000000-0005-0000-0000-0000393B0000}"/>
    <cellStyle name="Normal 4 2 4 3 2 3 2" xfId="29588" xr:uid="{00000000-0005-0000-0000-00003A3B0000}"/>
    <cellStyle name="Normal 4 2 4 3 2 4" xfId="22984" xr:uid="{00000000-0005-0000-0000-00003B3B0000}"/>
    <cellStyle name="Normal 4 2 4 3 3" xfId="8050" xr:uid="{00000000-0005-0000-0000-00003C3B0000}"/>
    <cellStyle name="Normal 4 2 4 3 3 2" xfId="15313" xr:uid="{00000000-0005-0000-0000-00003D3B0000}"/>
    <cellStyle name="Normal 4 2 4 3 3 2 2" xfId="31628" xr:uid="{00000000-0005-0000-0000-00003E3B0000}"/>
    <cellStyle name="Normal 4 2 4 3 3 3" xfId="24663" xr:uid="{00000000-0005-0000-0000-00003F3B0000}"/>
    <cellStyle name="Normal 4 2 4 3 4" xfId="11365" xr:uid="{00000000-0005-0000-0000-0000403B0000}"/>
    <cellStyle name="Normal 4 2 4 3 4 2" xfId="27963" xr:uid="{00000000-0005-0000-0000-0000413B0000}"/>
    <cellStyle name="Normal 4 2 4 3 5" xfId="4081" xr:uid="{00000000-0005-0000-0000-0000423B0000}"/>
    <cellStyle name="Normal 4 2 4 3 5 2" xfId="20804" xr:uid="{00000000-0005-0000-0000-0000433B0000}"/>
    <cellStyle name="Normal 4 2 4 3 6" xfId="19206" xr:uid="{00000000-0005-0000-0000-0000443B0000}"/>
    <cellStyle name="Normal 4 2 4 4" xfId="5507" xr:uid="{00000000-0005-0000-0000-0000453B0000}"/>
    <cellStyle name="Normal 4 2 4 4 2" xfId="8858" xr:uid="{00000000-0005-0000-0000-0000463B0000}"/>
    <cellStyle name="Normal 4 2 4 4 2 2" xfId="16121" xr:uid="{00000000-0005-0000-0000-0000473B0000}"/>
    <cellStyle name="Normal 4 2 4 4 2 2 2" xfId="32436" xr:uid="{00000000-0005-0000-0000-0000483B0000}"/>
    <cellStyle name="Normal 4 2 4 4 2 3" xfId="25471" xr:uid="{00000000-0005-0000-0000-0000493B0000}"/>
    <cellStyle name="Normal 4 2 4 4 3" xfId="12200" xr:uid="{00000000-0005-0000-0000-00004A3B0000}"/>
    <cellStyle name="Normal 4 2 4 4 3 2" xfId="28775" xr:uid="{00000000-0005-0000-0000-00004B3B0000}"/>
    <cellStyle name="Normal 4 2 4 4 4" xfId="22171" xr:uid="{00000000-0005-0000-0000-00004C3B0000}"/>
    <cellStyle name="Normal 4 2 4 5" xfId="7238" xr:uid="{00000000-0005-0000-0000-00004D3B0000}"/>
    <cellStyle name="Normal 4 2 4 5 2" xfId="14501" xr:uid="{00000000-0005-0000-0000-00004E3B0000}"/>
    <cellStyle name="Normal 4 2 4 5 2 2" xfId="30816" xr:uid="{00000000-0005-0000-0000-00004F3B0000}"/>
    <cellStyle name="Normal 4 2 4 5 3" xfId="23851" xr:uid="{00000000-0005-0000-0000-0000503B0000}"/>
    <cellStyle name="Normal 4 2 4 6" xfId="10553" xr:uid="{00000000-0005-0000-0000-0000513B0000}"/>
    <cellStyle name="Normal 4 2 4 6 2" xfId="27151" xr:uid="{00000000-0005-0000-0000-0000523B0000}"/>
    <cellStyle name="Normal 4 2 4 7" xfId="4078" xr:uid="{00000000-0005-0000-0000-0000533B0000}"/>
    <cellStyle name="Normal 4 2 4 7 2" xfId="20801" xr:uid="{00000000-0005-0000-0000-0000543B0000}"/>
    <cellStyle name="Normal 4 2 4 8" xfId="19203" xr:uid="{00000000-0005-0000-0000-0000553B0000}"/>
    <cellStyle name="Normal 4 2 5" xfId="5032" xr:uid="{00000000-0005-0000-0000-0000563B0000}"/>
    <cellStyle name="Normal 4 2 5 2" xfId="6803" xr:uid="{00000000-0005-0000-0000-0000573B0000}"/>
    <cellStyle name="Normal 4 2 5 2 2" xfId="10116" xr:uid="{00000000-0005-0000-0000-0000583B0000}"/>
    <cellStyle name="Normal 4 2 5 2 2 2" xfId="17379" xr:uid="{00000000-0005-0000-0000-0000593B0000}"/>
    <cellStyle name="Normal 4 2 5 2 2 2 2" xfId="33694" xr:uid="{00000000-0005-0000-0000-00005A3B0000}"/>
    <cellStyle name="Normal 4 2 5 2 2 3" xfId="26729" xr:uid="{00000000-0005-0000-0000-00005B3B0000}"/>
    <cellStyle name="Normal 4 2 5 2 3" xfId="13461" xr:uid="{00000000-0005-0000-0000-00005C3B0000}"/>
    <cellStyle name="Normal 4 2 5 2 3 2" xfId="30033" xr:uid="{00000000-0005-0000-0000-00005D3B0000}"/>
    <cellStyle name="Normal 4 2 5 2 4" xfId="23429" xr:uid="{00000000-0005-0000-0000-00005E3B0000}"/>
    <cellStyle name="Normal 4 2 5 3" xfId="8438" xr:uid="{00000000-0005-0000-0000-00005F3B0000}"/>
    <cellStyle name="Normal 4 2 5 3 2" xfId="15701" xr:uid="{00000000-0005-0000-0000-0000603B0000}"/>
    <cellStyle name="Normal 4 2 5 3 2 2" xfId="32016" xr:uid="{00000000-0005-0000-0000-0000613B0000}"/>
    <cellStyle name="Normal 4 2 5 3 3" xfId="25051" xr:uid="{00000000-0005-0000-0000-0000623B0000}"/>
    <cellStyle name="Normal 4 2 5 4" xfId="11753" xr:uid="{00000000-0005-0000-0000-0000633B0000}"/>
    <cellStyle name="Normal 4 2 5 4 2" xfId="28351" xr:uid="{00000000-0005-0000-0000-0000643B0000}"/>
    <cellStyle name="Normal 4 2 5 5" xfId="21751" xr:uid="{00000000-0005-0000-0000-0000653B0000}"/>
    <cellStyle name="Normal 4 3" xfId="356" xr:uid="{00000000-0005-0000-0000-0000663B0000}"/>
    <cellStyle name="Normal 4 3 10" xfId="5037" xr:uid="{00000000-0005-0000-0000-0000673B0000}"/>
    <cellStyle name="Normal 4 3 10 2" xfId="6808" xr:uid="{00000000-0005-0000-0000-0000683B0000}"/>
    <cellStyle name="Normal 4 3 10 2 2" xfId="10121" xr:uid="{00000000-0005-0000-0000-0000693B0000}"/>
    <cellStyle name="Normal 4 3 10 2 2 2" xfId="17384" xr:uid="{00000000-0005-0000-0000-00006A3B0000}"/>
    <cellStyle name="Normal 4 3 10 2 2 2 2" xfId="33699" xr:uid="{00000000-0005-0000-0000-00006B3B0000}"/>
    <cellStyle name="Normal 4 3 10 2 2 3" xfId="26734" xr:uid="{00000000-0005-0000-0000-00006C3B0000}"/>
    <cellStyle name="Normal 4 3 10 2 3" xfId="13466" xr:uid="{00000000-0005-0000-0000-00006D3B0000}"/>
    <cellStyle name="Normal 4 3 10 2 3 2" xfId="30038" xr:uid="{00000000-0005-0000-0000-00006E3B0000}"/>
    <cellStyle name="Normal 4 3 10 2 4" xfId="23434" xr:uid="{00000000-0005-0000-0000-00006F3B0000}"/>
    <cellStyle name="Normal 4 3 10 3" xfId="8443" xr:uid="{00000000-0005-0000-0000-0000703B0000}"/>
    <cellStyle name="Normal 4 3 10 3 2" xfId="15706" xr:uid="{00000000-0005-0000-0000-0000713B0000}"/>
    <cellStyle name="Normal 4 3 10 3 2 2" xfId="32021" xr:uid="{00000000-0005-0000-0000-0000723B0000}"/>
    <cellStyle name="Normal 4 3 10 3 3" xfId="25056" xr:uid="{00000000-0005-0000-0000-0000733B0000}"/>
    <cellStyle name="Normal 4 3 10 4" xfId="11758" xr:uid="{00000000-0005-0000-0000-0000743B0000}"/>
    <cellStyle name="Normal 4 3 10 4 2" xfId="28356" xr:uid="{00000000-0005-0000-0000-0000753B0000}"/>
    <cellStyle name="Normal 4 3 10 5" xfId="21756" xr:uid="{00000000-0005-0000-0000-0000763B0000}"/>
    <cellStyle name="Normal 4 3 11" xfId="5082" xr:uid="{00000000-0005-0000-0000-0000773B0000}"/>
    <cellStyle name="Normal 4 3 12" xfId="5115" xr:uid="{00000000-0005-0000-0000-0000783B0000}"/>
    <cellStyle name="Normal 4 3 12 2" xfId="8468" xr:uid="{00000000-0005-0000-0000-0000793B0000}"/>
    <cellStyle name="Normal 4 3 12 2 2" xfId="15731" xr:uid="{00000000-0005-0000-0000-00007A3B0000}"/>
    <cellStyle name="Normal 4 3 12 2 2 2" xfId="32046" xr:uid="{00000000-0005-0000-0000-00007B3B0000}"/>
    <cellStyle name="Normal 4 3 12 2 3" xfId="25081" xr:uid="{00000000-0005-0000-0000-00007C3B0000}"/>
    <cellStyle name="Normal 4 3 12 3" xfId="11809" xr:uid="{00000000-0005-0000-0000-00007D3B0000}"/>
    <cellStyle name="Normal 4 3 12 3 2" xfId="28385" xr:uid="{00000000-0005-0000-0000-00007E3B0000}"/>
    <cellStyle name="Normal 4 3 12 4" xfId="21781" xr:uid="{00000000-0005-0000-0000-00007F3B0000}"/>
    <cellStyle name="Normal 4 3 13" xfId="6853" xr:uid="{00000000-0005-0000-0000-0000803B0000}"/>
    <cellStyle name="Normal 4 3 13 2" xfId="14116" xr:uid="{00000000-0005-0000-0000-0000813B0000}"/>
    <cellStyle name="Normal 4 3 13 2 2" xfId="30431" xr:uid="{00000000-0005-0000-0000-0000823B0000}"/>
    <cellStyle name="Normal 4 3 13 3" xfId="23466" xr:uid="{00000000-0005-0000-0000-0000833B0000}"/>
    <cellStyle name="Normal 4 3 14" xfId="10160" xr:uid="{00000000-0005-0000-0000-0000843B0000}"/>
    <cellStyle name="Normal 4 3 14 2" xfId="26766" xr:uid="{00000000-0005-0000-0000-0000853B0000}"/>
    <cellStyle name="Normal 4 3 2" xfId="544" xr:uid="{00000000-0005-0000-0000-0000863B0000}"/>
    <cellStyle name="Normal 4 3 2 10" xfId="4082" xr:uid="{00000000-0005-0000-0000-0000873B0000}"/>
    <cellStyle name="Normal 4 3 2 10 2" xfId="20805" xr:uid="{00000000-0005-0000-0000-0000883B0000}"/>
    <cellStyle name="Normal 4 3 2 11" xfId="17416" xr:uid="{00000000-0005-0000-0000-0000893B0000}"/>
    <cellStyle name="Normal 4 3 2 2" xfId="607" xr:uid="{00000000-0005-0000-0000-00008A3B0000}"/>
    <cellStyle name="Normal 4 3 2 2 10" xfId="17433" xr:uid="{00000000-0005-0000-0000-00008B3B0000}"/>
    <cellStyle name="Normal 4 3 2 2 2" xfId="689" xr:uid="{00000000-0005-0000-0000-00008C3B0000}"/>
    <cellStyle name="Normal 4 3 2 2 2 2" xfId="1160" xr:uid="{00000000-0005-0000-0000-00008D3B0000}"/>
    <cellStyle name="Normal 4 3 2 2 2 2 2" xfId="1681" xr:uid="{00000000-0005-0000-0000-00008E3B0000}"/>
    <cellStyle name="Normal 4 3 2 2 2 2 2 2" xfId="2485" xr:uid="{00000000-0005-0000-0000-00008F3B0000}"/>
    <cellStyle name="Normal 4 3 2 2 2 2 2 2 2" xfId="6575" xr:uid="{00000000-0005-0000-0000-0000903B0000}"/>
    <cellStyle name="Normal 4 3 2 2 2 2 2 2 2 2" xfId="9926" xr:uid="{00000000-0005-0000-0000-0000913B0000}"/>
    <cellStyle name="Normal 4 3 2 2 2 2 2 2 2 2 2" xfId="17189" xr:uid="{00000000-0005-0000-0000-0000923B0000}"/>
    <cellStyle name="Normal 4 3 2 2 2 2 2 2 2 2 2 2" xfId="33504" xr:uid="{00000000-0005-0000-0000-0000933B0000}"/>
    <cellStyle name="Normal 4 3 2 2 2 2 2 2 2 2 3" xfId="26539" xr:uid="{00000000-0005-0000-0000-0000943B0000}"/>
    <cellStyle name="Normal 4 3 2 2 2 2 2 2 2 3" xfId="13268" xr:uid="{00000000-0005-0000-0000-0000953B0000}"/>
    <cellStyle name="Normal 4 3 2 2 2 2 2 2 2 3 2" xfId="29843" xr:uid="{00000000-0005-0000-0000-0000963B0000}"/>
    <cellStyle name="Normal 4 3 2 2 2 2 2 2 2 4" xfId="23239" xr:uid="{00000000-0005-0000-0000-0000973B0000}"/>
    <cellStyle name="Normal 4 3 2 2 2 2 2 2 3" xfId="8305" xr:uid="{00000000-0005-0000-0000-0000983B0000}"/>
    <cellStyle name="Normal 4 3 2 2 2 2 2 2 3 2" xfId="15568" xr:uid="{00000000-0005-0000-0000-0000993B0000}"/>
    <cellStyle name="Normal 4 3 2 2 2 2 2 2 3 2 2" xfId="31883" xr:uid="{00000000-0005-0000-0000-00009A3B0000}"/>
    <cellStyle name="Normal 4 3 2 2 2 2 2 2 3 3" xfId="24918" xr:uid="{00000000-0005-0000-0000-00009B3B0000}"/>
    <cellStyle name="Normal 4 3 2 2 2 2 2 2 4" xfId="11620" xr:uid="{00000000-0005-0000-0000-00009C3B0000}"/>
    <cellStyle name="Normal 4 3 2 2 2 2 2 2 4 2" xfId="28218" xr:uid="{00000000-0005-0000-0000-00009D3B0000}"/>
    <cellStyle name="Normal 4 3 2 2 2 2 2 2 5" xfId="4087" xr:uid="{00000000-0005-0000-0000-00009E3B0000}"/>
    <cellStyle name="Normal 4 3 2 2 2 2 2 2 5 2" xfId="20810" xr:uid="{00000000-0005-0000-0000-00009F3B0000}"/>
    <cellStyle name="Normal 4 3 2 2 2 2 2 2 6" xfId="19212" xr:uid="{00000000-0005-0000-0000-0000A03B0000}"/>
    <cellStyle name="Normal 4 3 2 2 2 2 2 3" xfId="2484" xr:uid="{00000000-0005-0000-0000-0000A13B0000}"/>
    <cellStyle name="Normal 4 3 2 2 2 2 2 3 2" xfId="9150" xr:uid="{00000000-0005-0000-0000-0000A23B0000}"/>
    <cellStyle name="Normal 4 3 2 2 2 2 2 3 2 2" xfId="16413" xr:uid="{00000000-0005-0000-0000-0000A33B0000}"/>
    <cellStyle name="Normal 4 3 2 2 2 2 2 3 2 2 2" xfId="32728" xr:uid="{00000000-0005-0000-0000-0000A43B0000}"/>
    <cellStyle name="Normal 4 3 2 2 2 2 2 3 2 3" xfId="25763" xr:uid="{00000000-0005-0000-0000-0000A53B0000}"/>
    <cellStyle name="Normal 4 3 2 2 2 2 2 3 3" xfId="12492" xr:uid="{00000000-0005-0000-0000-0000A63B0000}"/>
    <cellStyle name="Normal 4 3 2 2 2 2 2 3 3 2" xfId="29067" xr:uid="{00000000-0005-0000-0000-0000A73B0000}"/>
    <cellStyle name="Normal 4 3 2 2 2 2 2 3 4" xfId="5799" xr:uid="{00000000-0005-0000-0000-0000A83B0000}"/>
    <cellStyle name="Normal 4 3 2 2 2 2 2 3 4 2" xfId="22463" xr:uid="{00000000-0005-0000-0000-0000A93B0000}"/>
    <cellStyle name="Normal 4 3 2 2 2 2 2 3 5" xfId="19211" xr:uid="{00000000-0005-0000-0000-0000AA3B0000}"/>
    <cellStyle name="Normal 4 3 2 2 2 2 2 4" xfId="7529" xr:uid="{00000000-0005-0000-0000-0000AB3B0000}"/>
    <cellStyle name="Normal 4 3 2 2 2 2 2 4 2" xfId="14792" xr:uid="{00000000-0005-0000-0000-0000AC3B0000}"/>
    <cellStyle name="Normal 4 3 2 2 2 2 2 4 2 2" xfId="31107" xr:uid="{00000000-0005-0000-0000-0000AD3B0000}"/>
    <cellStyle name="Normal 4 3 2 2 2 2 2 4 3" xfId="24142" xr:uid="{00000000-0005-0000-0000-0000AE3B0000}"/>
    <cellStyle name="Normal 4 3 2 2 2 2 2 5" xfId="10844" xr:uid="{00000000-0005-0000-0000-0000AF3B0000}"/>
    <cellStyle name="Normal 4 3 2 2 2 2 2 5 2" xfId="27442" xr:uid="{00000000-0005-0000-0000-0000B03B0000}"/>
    <cellStyle name="Normal 4 3 2 2 2 2 2 6" xfId="4086" xr:uid="{00000000-0005-0000-0000-0000B13B0000}"/>
    <cellStyle name="Normal 4 3 2 2 2 2 2 6 2" xfId="20809" xr:uid="{00000000-0005-0000-0000-0000B23B0000}"/>
    <cellStyle name="Normal 4 3 2 2 2 2 2 7" xfId="18416" xr:uid="{00000000-0005-0000-0000-0000B33B0000}"/>
    <cellStyle name="Normal 4 3 2 2 2 2 3" xfId="2486" xr:uid="{00000000-0005-0000-0000-0000B43B0000}"/>
    <cellStyle name="Normal 4 3 2 2 2 2 3 2" xfId="6205" xr:uid="{00000000-0005-0000-0000-0000B53B0000}"/>
    <cellStyle name="Normal 4 3 2 2 2 2 3 2 2" xfId="9556" xr:uid="{00000000-0005-0000-0000-0000B63B0000}"/>
    <cellStyle name="Normal 4 3 2 2 2 2 3 2 2 2" xfId="16819" xr:uid="{00000000-0005-0000-0000-0000B73B0000}"/>
    <cellStyle name="Normal 4 3 2 2 2 2 3 2 2 2 2" xfId="33134" xr:uid="{00000000-0005-0000-0000-0000B83B0000}"/>
    <cellStyle name="Normal 4 3 2 2 2 2 3 2 2 3" xfId="26169" xr:uid="{00000000-0005-0000-0000-0000B93B0000}"/>
    <cellStyle name="Normal 4 3 2 2 2 2 3 2 3" xfId="12898" xr:uid="{00000000-0005-0000-0000-0000BA3B0000}"/>
    <cellStyle name="Normal 4 3 2 2 2 2 3 2 3 2" xfId="29473" xr:uid="{00000000-0005-0000-0000-0000BB3B0000}"/>
    <cellStyle name="Normal 4 3 2 2 2 2 3 2 4" xfId="22869" xr:uid="{00000000-0005-0000-0000-0000BC3B0000}"/>
    <cellStyle name="Normal 4 3 2 2 2 2 3 3" xfId="7935" xr:uid="{00000000-0005-0000-0000-0000BD3B0000}"/>
    <cellStyle name="Normal 4 3 2 2 2 2 3 3 2" xfId="15198" xr:uid="{00000000-0005-0000-0000-0000BE3B0000}"/>
    <cellStyle name="Normal 4 3 2 2 2 2 3 3 2 2" xfId="31513" xr:uid="{00000000-0005-0000-0000-0000BF3B0000}"/>
    <cellStyle name="Normal 4 3 2 2 2 2 3 3 3" xfId="24548" xr:uid="{00000000-0005-0000-0000-0000C03B0000}"/>
    <cellStyle name="Normal 4 3 2 2 2 2 3 4" xfId="11250" xr:uid="{00000000-0005-0000-0000-0000C13B0000}"/>
    <cellStyle name="Normal 4 3 2 2 2 2 3 4 2" xfId="27848" xr:uid="{00000000-0005-0000-0000-0000C23B0000}"/>
    <cellStyle name="Normal 4 3 2 2 2 2 3 5" xfId="4088" xr:uid="{00000000-0005-0000-0000-0000C33B0000}"/>
    <cellStyle name="Normal 4 3 2 2 2 2 3 5 2" xfId="20811" xr:uid="{00000000-0005-0000-0000-0000C43B0000}"/>
    <cellStyle name="Normal 4 3 2 2 2 2 3 6" xfId="19213" xr:uid="{00000000-0005-0000-0000-0000C53B0000}"/>
    <cellStyle name="Normal 4 3 2 2 2 2 4" xfId="2483" xr:uid="{00000000-0005-0000-0000-0000C63B0000}"/>
    <cellStyle name="Normal 4 3 2 2 2 2 4 2" xfId="8743" xr:uid="{00000000-0005-0000-0000-0000C73B0000}"/>
    <cellStyle name="Normal 4 3 2 2 2 2 4 2 2" xfId="16006" xr:uid="{00000000-0005-0000-0000-0000C83B0000}"/>
    <cellStyle name="Normal 4 3 2 2 2 2 4 2 2 2" xfId="32321" xr:uid="{00000000-0005-0000-0000-0000C93B0000}"/>
    <cellStyle name="Normal 4 3 2 2 2 2 4 2 3" xfId="25356" xr:uid="{00000000-0005-0000-0000-0000CA3B0000}"/>
    <cellStyle name="Normal 4 3 2 2 2 2 4 3" xfId="12085" xr:uid="{00000000-0005-0000-0000-0000CB3B0000}"/>
    <cellStyle name="Normal 4 3 2 2 2 2 4 3 2" xfId="28660" xr:uid="{00000000-0005-0000-0000-0000CC3B0000}"/>
    <cellStyle name="Normal 4 3 2 2 2 2 4 4" xfId="5392" xr:uid="{00000000-0005-0000-0000-0000CD3B0000}"/>
    <cellStyle name="Normal 4 3 2 2 2 2 4 4 2" xfId="22056" xr:uid="{00000000-0005-0000-0000-0000CE3B0000}"/>
    <cellStyle name="Normal 4 3 2 2 2 2 4 5" xfId="19210" xr:uid="{00000000-0005-0000-0000-0000CF3B0000}"/>
    <cellStyle name="Normal 4 3 2 2 2 2 5" xfId="7123" xr:uid="{00000000-0005-0000-0000-0000D03B0000}"/>
    <cellStyle name="Normal 4 3 2 2 2 2 5 2" xfId="14386" xr:uid="{00000000-0005-0000-0000-0000D13B0000}"/>
    <cellStyle name="Normal 4 3 2 2 2 2 5 2 2" xfId="30701" xr:uid="{00000000-0005-0000-0000-0000D23B0000}"/>
    <cellStyle name="Normal 4 3 2 2 2 2 5 3" xfId="23736" xr:uid="{00000000-0005-0000-0000-0000D33B0000}"/>
    <cellStyle name="Normal 4 3 2 2 2 2 6" xfId="10438" xr:uid="{00000000-0005-0000-0000-0000D43B0000}"/>
    <cellStyle name="Normal 4 3 2 2 2 2 6 2" xfId="27036" xr:uid="{00000000-0005-0000-0000-0000D53B0000}"/>
    <cellStyle name="Normal 4 3 2 2 2 2 7" xfId="4085" xr:uid="{00000000-0005-0000-0000-0000D63B0000}"/>
    <cellStyle name="Normal 4 3 2 2 2 2 7 2" xfId="20808" xr:uid="{00000000-0005-0000-0000-0000D73B0000}"/>
    <cellStyle name="Normal 4 3 2 2 2 2 8" xfId="17897" xr:uid="{00000000-0005-0000-0000-0000D83B0000}"/>
    <cellStyle name="Normal 4 3 2 2 2 3" xfId="1024" xr:uid="{00000000-0005-0000-0000-0000D93B0000}"/>
    <cellStyle name="Normal 4 3 2 2 2 3 2" xfId="1585" xr:uid="{00000000-0005-0000-0000-0000DA3B0000}"/>
    <cellStyle name="Normal 4 3 2 2 2 3 2 2" xfId="2488" xr:uid="{00000000-0005-0000-0000-0000DB3B0000}"/>
    <cellStyle name="Normal 4 3 2 2 2 3 2 2 2" xfId="9750" xr:uid="{00000000-0005-0000-0000-0000DC3B0000}"/>
    <cellStyle name="Normal 4 3 2 2 2 3 2 2 2 2" xfId="17013" xr:uid="{00000000-0005-0000-0000-0000DD3B0000}"/>
    <cellStyle name="Normal 4 3 2 2 2 3 2 2 2 2 2" xfId="33328" xr:uid="{00000000-0005-0000-0000-0000DE3B0000}"/>
    <cellStyle name="Normal 4 3 2 2 2 3 2 2 2 3" xfId="26363" xr:uid="{00000000-0005-0000-0000-0000DF3B0000}"/>
    <cellStyle name="Normal 4 3 2 2 2 3 2 2 3" xfId="13092" xr:uid="{00000000-0005-0000-0000-0000E03B0000}"/>
    <cellStyle name="Normal 4 3 2 2 2 3 2 2 3 2" xfId="29667" xr:uid="{00000000-0005-0000-0000-0000E13B0000}"/>
    <cellStyle name="Normal 4 3 2 2 2 3 2 2 4" xfId="6399" xr:uid="{00000000-0005-0000-0000-0000E23B0000}"/>
    <cellStyle name="Normal 4 3 2 2 2 3 2 2 4 2" xfId="23063" xr:uid="{00000000-0005-0000-0000-0000E33B0000}"/>
    <cellStyle name="Normal 4 3 2 2 2 3 2 2 5" xfId="19215" xr:uid="{00000000-0005-0000-0000-0000E43B0000}"/>
    <cellStyle name="Normal 4 3 2 2 2 3 2 3" xfId="8129" xr:uid="{00000000-0005-0000-0000-0000E53B0000}"/>
    <cellStyle name="Normal 4 3 2 2 2 3 2 3 2" xfId="15392" xr:uid="{00000000-0005-0000-0000-0000E63B0000}"/>
    <cellStyle name="Normal 4 3 2 2 2 3 2 3 2 2" xfId="31707" xr:uid="{00000000-0005-0000-0000-0000E73B0000}"/>
    <cellStyle name="Normal 4 3 2 2 2 3 2 3 3" xfId="24742" xr:uid="{00000000-0005-0000-0000-0000E83B0000}"/>
    <cellStyle name="Normal 4 3 2 2 2 3 2 4" xfId="11444" xr:uid="{00000000-0005-0000-0000-0000E93B0000}"/>
    <cellStyle name="Normal 4 3 2 2 2 3 2 4 2" xfId="28042" xr:uid="{00000000-0005-0000-0000-0000EA3B0000}"/>
    <cellStyle name="Normal 4 3 2 2 2 3 2 5" xfId="4090" xr:uid="{00000000-0005-0000-0000-0000EB3B0000}"/>
    <cellStyle name="Normal 4 3 2 2 2 3 2 5 2" xfId="20813" xr:uid="{00000000-0005-0000-0000-0000EC3B0000}"/>
    <cellStyle name="Normal 4 3 2 2 2 3 2 6" xfId="18320" xr:uid="{00000000-0005-0000-0000-0000ED3B0000}"/>
    <cellStyle name="Normal 4 3 2 2 2 3 3" xfId="2487" xr:uid="{00000000-0005-0000-0000-0000EE3B0000}"/>
    <cellStyle name="Normal 4 3 2 2 2 3 3 2" xfId="8938" xr:uid="{00000000-0005-0000-0000-0000EF3B0000}"/>
    <cellStyle name="Normal 4 3 2 2 2 3 3 2 2" xfId="16201" xr:uid="{00000000-0005-0000-0000-0000F03B0000}"/>
    <cellStyle name="Normal 4 3 2 2 2 3 3 2 2 2" xfId="32516" xr:uid="{00000000-0005-0000-0000-0000F13B0000}"/>
    <cellStyle name="Normal 4 3 2 2 2 3 3 2 3" xfId="25551" xr:uid="{00000000-0005-0000-0000-0000F23B0000}"/>
    <cellStyle name="Normal 4 3 2 2 2 3 3 3" xfId="12280" xr:uid="{00000000-0005-0000-0000-0000F33B0000}"/>
    <cellStyle name="Normal 4 3 2 2 2 3 3 3 2" xfId="28855" xr:uid="{00000000-0005-0000-0000-0000F43B0000}"/>
    <cellStyle name="Normal 4 3 2 2 2 3 3 4" xfId="5587" xr:uid="{00000000-0005-0000-0000-0000F53B0000}"/>
    <cellStyle name="Normal 4 3 2 2 2 3 3 4 2" xfId="22251" xr:uid="{00000000-0005-0000-0000-0000F63B0000}"/>
    <cellStyle name="Normal 4 3 2 2 2 3 3 5" xfId="19214" xr:uid="{00000000-0005-0000-0000-0000F73B0000}"/>
    <cellStyle name="Normal 4 3 2 2 2 3 4" xfId="7317" xr:uid="{00000000-0005-0000-0000-0000F83B0000}"/>
    <cellStyle name="Normal 4 3 2 2 2 3 4 2" xfId="14580" xr:uid="{00000000-0005-0000-0000-0000F93B0000}"/>
    <cellStyle name="Normal 4 3 2 2 2 3 4 2 2" xfId="30895" xr:uid="{00000000-0005-0000-0000-0000FA3B0000}"/>
    <cellStyle name="Normal 4 3 2 2 2 3 4 3" xfId="23930" xr:uid="{00000000-0005-0000-0000-0000FB3B0000}"/>
    <cellStyle name="Normal 4 3 2 2 2 3 5" xfId="10632" xr:uid="{00000000-0005-0000-0000-0000FC3B0000}"/>
    <cellStyle name="Normal 4 3 2 2 2 3 5 2" xfId="27230" xr:uid="{00000000-0005-0000-0000-0000FD3B0000}"/>
    <cellStyle name="Normal 4 3 2 2 2 3 6" xfId="4089" xr:uid="{00000000-0005-0000-0000-0000FE3B0000}"/>
    <cellStyle name="Normal 4 3 2 2 2 3 6 2" xfId="20812" xr:uid="{00000000-0005-0000-0000-0000FF3B0000}"/>
    <cellStyle name="Normal 4 3 2 2 2 3 7" xfId="17801" xr:uid="{00000000-0005-0000-0000-0000003C0000}"/>
    <cellStyle name="Normal 4 3 2 2 2 4" xfId="795" xr:uid="{00000000-0005-0000-0000-0000013C0000}"/>
    <cellStyle name="Normal 4 3 2 2 2 4 2" xfId="2489" xr:uid="{00000000-0005-0000-0000-0000023C0000}"/>
    <cellStyle name="Normal 4 3 2 2 2 4 2 2" xfId="9344" xr:uid="{00000000-0005-0000-0000-0000033C0000}"/>
    <cellStyle name="Normal 4 3 2 2 2 4 2 2 2" xfId="16607" xr:uid="{00000000-0005-0000-0000-0000043C0000}"/>
    <cellStyle name="Normal 4 3 2 2 2 4 2 2 2 2" xfId="32922" xr:uid="{00000000-0005-0000-0000-0000053C0000}"/>
    <cellStyle name="Normal 4 3 2 2 2 4 2 2 3" xfId="25957" xr:uid="{00000000-0005-0000-0000-0000063C0000}"/>
    <cellStyle name="Normal 4 3 2 2 2 4 2 3" xfId="12686" xr:uid="{00000000-0005-0000-0000-0000073C0000}"/>
    <cellStyle name="Normal 4 3 2 2 2 4 2 3 2" xfId="29261" xr:uid="{00000000-0005-0000-0000-0000083C0000}"/>
    <cellStyle name="Normal 4 3 2 2 2 4 2 4" xfId="5993" xr:uid="{00000000-0005-0000-0000-0000093C0000}"/>
    <cellStyle name="Normal 4 3 2 2 2 4 2 4 2" xfId="22657" xr:uid="{00000000-0005-0000-0000-00000A3C0000}"/>
    <cellStyle name="Normal 4 3 2 2 2 4 2 5" xfId="19216" xr:uid="{00000000-0005-0000-0000-00000B3C0000}"/>
    <cellStyle name="Normal 4 3 2 2 2 4 3" xfId="7723" xr:uid="{00000000-0005-0000-0000-00000C3C0000}"/>
    <cellStyle name="Normal 4 3 2 2 2 4 3 2" xfId="14986" xr:uid="{00000000-0005-0000-0000-00000D3C0000}"/>
    <cellStyle name="Normal 4 3 2 2 2 4 3 2 2" xfId="31301" xr:uid="{00000000-0005-0000-0000-00000E3C0000}"/>
    <cellStyle name="Normal 4 3 2 2 2 4 3 3" xfId="24336" xr:uid="{00000000-0005-0000-0000-00000F3C0000}"/>
    <cellStyle name="Normal 4 3 2 2 2 4 4" xfId="11038" xr:uid="{00000000-0005-0000-0000-0000103C0000}"/>
    <cellStyle name="Normal 4 3 2 2 2 4 4 2" xfId="27636" xr:uid="{00000000-0005-0000-0000-0000113C0000}"/>
    <cellStyle name="Normal 4 3 2 2 2 4 5" xfId="4091" xr:uid="{00000000-0005-0000-0000-0000123C0000}"/>
    <cellStyle name="Normal 4 3 2 2 2 4 5 2" xfId="20814" xr:uid="{00000000-0005-0000-0000-0000133C0000}"/>
    <cellStyle name="Normal 4 3 2 2 2 4 6" xfId="17608" xr:uid="{00000000-0005-0000-0000-0000143C0000}"/>
    <cellStyle name="Normal 4 3 2 2 2 5" xfId="1392" xr:uid="{00000000-0005-0000-0000-0000153C0000}"/>
    <cellStyle name="Normal 4 3 2 2 2 5 2" xfId="8646" xr:uid="{00000000-0005-0000-0000-0000163C0000}"/>
    <cellStyle name="Normal 4 3 2 2 2 5 2 2" xfId="15909" xr:uid="{00000000-0005-0000-0000-0000173C0000}"/>
    <cellStyle name="Normal 4 3 2 2 2 5 2 2 2" xfId="32224" xr:uid="{00000000-0005-0000-0000-0000183C0000}"/>
    <cellStyle name="Normal 4 3 2 2 2 5 2 3" xfId="25259" xr:uid="{00000000-0005-0000-0000-0000193C0000}"/>
    <cellStyle name="Normal 4 3 2 2 2 5 3" xfId="11988" xr:uid="{00000000-0005-0000-0000-00001A3C0000}"/>
    <cellStyle name="Normal 4 3 2 2 2 5 3 2" xfId="28563" xr:uid="{00000000-0005-0000-0000-00001B3C0000}"/>
    <cellStyle name="Normal 4 3 2 2 2 5 4" xfId="5295" xr:uid="{00000000-0005-0000-0000-00001C3C0000}"/>
    <cellStyle name="Normal 4 3 2 2 2 5 4 2" xfId="21959" xr:uid="{00000000-0005-0000-0000-00001D3C0000}"/>
    <cellStyle name="Normal 4 3 2 2 2 5 5" xfId="18127" xr:uid="{00000000-0005-0000-0000-00001E3C0000}"/>
    <cellStyle name="Normal 4 3 2 2 2 6" xfId="2482" xr:uid="{00000000-0005-0000-0000-00001F3C0000}"/>
    <cellStyle name="Normal 4 3 2 2 2 6 2" xfId="14290" xr:uid="{00000000-0005-0000-0000-0000203C0000}"/>
    <cellStyle name="Normal 4 3 2 2 2 6 2 2" xfId="30605" xr:uid="{00000000-0005-0000-0000-0000213C0000}"/>
    <cellStyle name="Normal 4 3 2 2 2 6 3" xfId="7027" xr:uid="{00000000-0005-0000-0000-0000223C0000}"/>
    <cellStyle name="Normal 4 3 2 2 2 6 3 2" xfId="23640" xr:uid="{00000000-0005-0000-0000-0000233C0000}"/>
    <cellStyle name="Normal 4 3 2 2 2 6 4" xfId="19209" xr:uid="{00000000-0005-0000-0000-0000243C0000}"/>
    <cellStyle name="Normal 4 3 2 2 2 7" xfId="10341" xr:uid="{00000000-0005-0000-0000-0000253C0000}"/>
    <cellStyle name="Normal 4 3 2 2 2 7 2" xfId="26940" xr:uid="{00000000-0005-0000-0000-0000263C0000}"/>
    <cellStyle name="Normal 4 3 2 2 2 8" xfId="4084" xr:uid="{00000000-0005-0000-0000-0000273C0000}"/>
    <cellStyle name="Normal 4 3 2 2 2 8 2" xfId="20807" xr:uid="{00000000-0005-0000-0000-0000283C0000}"/>
    <cellStyle name="Normal 4 3 2 2 2 9" xfId="17503" xr:uid="{00000000-0005-0000-0000-0000293C0000}"/>
    <cellStyle name="Normal 4 3 2 2 3" xfId="651" xr:uid="{00000000-0005-0000-0000-00002A3C0000}"/>
    <cellStyle name="Normal 4 3 2 2 3 2" xfId="1159" xr:uid="{00000000-0005-0000-0000-00002B3C0000}"/>
    <cellStyle name="Normal 4 3 2 2 3 2 2" xfId="1680" xr:uid="{00000000-0005-0000-0000-00002C3C0000}"/>
    <cellStyle name="Normal 4 3 2 2 3 2 2 2" xfId="2492" xr:uid="{00000000-0005-0000-0000-00002D3C0000}"/>
    <cellStyle name="Normal 4 3 2 2 3 2 2 2 2" xfId="9925" xr:uid="{00000000-0005-0000-0000-00002E3C0000}"/>
    <cellStyle name="Normal 4 3 2 2 3 2 2 2 2 2" xfId="17188" xr:uid="{00000000-0005-0000-0000-00002F3C0000}"/>
    <cellStyle name="Normal 4 3 2 2 3 2 2 2 2 2 2" xfId="33503" xr:uid="{00000000-0005-0000-0000-0000303C0000}"/>
    <cellStyle name="Normal 4 3 2 2 3 2 2 2 2 3" xfId="26538" xr:uid="{00000000-0005-0000-0000-0000313C0000}"/>
    <cellStyle name="Normal 4 3 2 2 3 2 2 2 3" xfId="13267" xr:uid="{00000000-0005-0000-0000-0000323C0000}"/>
    <cellStyle name="Normal 4 3 2 2 3 2 2 2 3 2" xfId="29842" xr:uid="{00000000-0005-0000-0000-0000333C0000}"/>
    <cellStyle name="Normal 4 3 2 2 3 2 2 2 4" xfId="6574" xr:uid="{00000000-0005-0000-0000-0000343C0000}"/>
    <cellStyle name="Normal 4 3 2 2 3 2 2 2 4 2" xfId="23238" xr:uid="{00000000-0005-0000-0000-0000353C0000}"/>
    <cellStyle name="Normal 4 3 2 2 3 2 2 2 5" xfId="19219" xr:uid="{00000000-0005-0000-0000-0000363C0000}"/>
    <cellStyle name="Normal 4 3 2 2 3 2 2 3" xfId="8304" xr:uid="{00000000-0005-0000-0000-0000373C0000}"/>
    <cellStyle name="Normal 4 3 2 2 3 2 2 3 2" xfId="15567" xr:uid="{00000000-0005-0000-0000-0000383C0000}"/>
    <cellStyle name="Normal 4 3 2 2 3 2 2 3 2 2" xfId="31882" xr:uid="{00000000-0005-0000-0000-0000393C0000}"/>
    <cellStyle name="Normal 4 3 2 2 3 2 2 3 3" xfId="24917" xr:uid="{00000000-0005-0000-0000-00003A3C0000}"/>
    <cellStyle name="Normal 4 3 2 2 3 2 2 4" xfId="11619" xr:uid="{00000000-0005-0000-0000-00003B3C0000}"/>
    <cellStyle name="Normal 4 3 2 2 3 2 2 4 2" xfId="28217" xr:uid="{00000000-0005-0000-0000-00003C3C0000}"/>
    <cellStyle name="Normal 4 3 2 2 3 2 2 5" xfId="4094" xr:uid="{00000000-0005-0000-0000-00003D3C0000}"/>
    <cellStyle name="Normal 4 3 2 2 3 2 2 5 2" xfId="20817" xr:uid="{00000000-0005-0000-0000-00003E3C0000}"/>
    <cellStyle name="Normal 4 3 2 2 3 2 2 6" xfId="18415" xr:uid="{00000000-0005-0000-0000-00003F3C0000}"/>
    <cellStyle name="Normal 4 3 2 2 3 2 3" xfId="2491" xr:uid="{00000000-0005-0000-0000-0000403C0000}"/>
    <cellStyle name="Normal 4 3 2 2 3 2 3 2" xfId="9149" xr:uid="{00000000-0005-0000-0000-0000413C0000}"/>
    <cellStyle name="Normal 4 3 2 2 3 2 3 2 2" xfId="16412" xr:uid="{00000000-0005-0000-0000-0000423C0000}"/>
    <cellStyle name="Normal 4 3 2 2 3 2 3 2 2 2" xfId="32727" xr:uid="{00000000-0005-0000-0000-0000433C0000}"/>
    <cellStyle name="Normal 4 3 2 2 3 2 3 2 3" xfId="25762" xr:uid="{00000000-0005-0000-0000-0000443C0000}"/>
    <cellStyle name="Normal 4 3 2 2 3 2 3 3" xfId="12491" xr:uid="{00000000-0005-0000-0000-0000453C0000}"/>
    <cellStyle name="Normal 4 3 2 2 3 2 3 3 2" xfId="29066" xr:uid="{00000000-0005-0000-0000-0000463C0000}"/>
    <cellStyle name="Normal 4 3 2 2 3 2 3 4" xfId="5798" xr:uid="{00000000-0005-0000-0000-0000473C0000}"/>
    <cellStyle name="Normal 4 3 2 2 3 2 3 4 2" xfId="22462" xr:uid="{00000000-0005-0000-0000-0000483C0000}"/>
    <cellStyle name="Normal 4 3 2 2 3 2 3 5" xfId="19218" xr:uid="{00000000-0005-0000-0000-0000493C0000}"/>
    <cellStyle name="Normal 4 3 2 2 3 2 4" xfId="7528" xr:uid="{00000000-0005-0000-0000-00004A3C0000}"/>
    <cellStyle name="Normal 4 3 2 2 3 2 4 2" xfId="14791" xr:uid="{00000000-0005-0000-0000-00004B3C0000}"/>
    <cellStyle name="Normal 4 3 2 2 3 2 4 2 2" xfId="31106" xr:uid="{00000000-0005-0000-0000-00004C3C0000}"/>
    <cellStyle name="Normal 4 3 2 2 3 2 4 3" xfId="24141" xr:uid="{00000000-0005-0000-0000-00004D3C0000}"/>
    <cellStyle name="Normal 4 3 2 2 3 2 5" xfId="10843" xr:uid="{00000000-0005-0000-0000-00004E3C0000}"/>
    <cellStyle name="Normal 4 3 2 2 3 2 5 2" xfId="27441" xr:uid="{00000000-0005-0000-0000-00004F3C0000}"/>
    <cellStyle name="Normal 4 3 2 2 3 2 6" xfId="4093" xr:uid="{00000000-0005-0000-0000-0000503C0000}"/>
    <cellStyle name="Normal 4 3 2 2 3 2 6 2" xfId="20816" xr:uid="{00000000-0005-0000-0000-0000513C0000}"/>
    <cellStyle name="Normal 4 3 2 2 3 2 7" xfId="17896" xr:uid="{00000000-0005-0000-0000-0000523C0000}"/>
    <cellStyle name="Normal 4 3 2 2 3 3" xfId="760" xr:uid="{00000000-0005-0000-0000-0000533C0000}"/>
    <cellStyle name="Normal 4 3 2 2 3 3 2" xfId="2493" xr:uid="{00000000-0005-0000-0000-0000543C0000}"/>
    <cellStyle name="Normal 4 3 2 2 3 3 2 2" xfId="9555" xr:uid="{00000000-0005-0000-0000-0000553C0000}"/>
    <cellStyle name="Normal 4 3 2 2 3 3 2 2 2" xfId="16818" xr:uid="{00000000-0005-0000-0000-0000563C0000}"/>
    <cellStyle name="Normal 4 3 2 2 3 3 2 2 2 2" xfId="33133" xr:uid="{00000000-0005-0000-0000-0000573C0000}"/>
    <cellStyle name="Normal 4 3 2 2 3 3 2 2 3" xfId="26168" xr:uid="{00000000-0005-0000-0000-0000583C0000}"/>
    <cellStyle name="Normal 4 3 2 2 3 3 2 3" xfId="12897" xr:uid="{00000000-0005-0000-0000-0000593C0000}"/>
    <cellStyle name="Normal 4 3 2 2 3 3 2 3 2" xfId="29472" xr:uid="{00000000-0005-0000-0000-00005A3C0000}"/>
    <cellStyle name="Normal 4 3 2 2 3 3 2 4" xfId="6204" xr:uid="{00000000-0005-0000-0000-00005B3C0000}"/>
    <cellStyle name="Normal 4 3 2 2 3 3 2 4 2" xfId="22868" xr:uid="{00000000-0005-0000-0000-00005C3C0000}"/>
    <cellStyle name="Normal 4 3 2 2 3 3 2 5" xfId="19220" xr:uid="{00000000-0005-0000-0000-00005D3C0000}"/>
    <cellStyle name="Normal 4 3 2 2 3 3 3" xfId="7934" xr:uid="{00000000-0005-0000-0000-00005E3C0000}"/>
    <cellStyle name="Normal 4 3 2 2 3 3 3 2" xfId="15197" xr:uid="{00000000-0005-0000-0000-00005F3C0000}"/>
    <cellStyle name="Normal 4 3 2 2 3 3 3 2 2" xfId="31512" xr:uid="{00000000-0005-0000-0000-0000603C0000}"/>
    <cellStyle name="Normal 4 3 2 2 3 3 3 3" xfId="24547" xr:uid="{00000000-0005-0000-0000-0000613C0000}"/>
    <cellStyle name="Normal 4 3 2 2 3 3 4" xfId="11249" xr:uid="{00000000-0005-0000-0000-0000623C0000}"/>
    <cellStyle name="Normal 4 3 2 2 3 3 4 2" xfId="27847" xr:uid="{00000000-0005-0000-0000-0000633C0000}"/>
    <cellStyle name="Normal 4 3 2 2 3 3 5" xfId="4095" xr:uid="{00000000-0005-0000-0000-0000643C0000}"/>
    <cellStyle name="Normal 4 3 2 2 3 3 5 2" xfId="20818" xr:uid="{00000000-0005-0000-0000-0000653C0000}"/>
    <cellStyle name="Normal 4 3 2 2 3 3 6" xfId="17573" xr:uid="{00000000-0005-0000-0000-0000663C0000}"/>
    <cellStyle name="Normal 4 3 2 2 3 4" xfId="1357" xr:uid="{00000000-0005-0000-0000-0000673C0000}"/>
    <cellStyle name="Normal 4 3 2 2 3 4 2" xfId="8742" xr:uid="{00000000-0005-0000-0000-0000683C0000}"/>
    <cellStyle name="Normal 4 3 2 2 3 4 2 2" xfId="16005" xr:uid="{00000000-0005-0000-0000-0000693C0000}"/>
    <cellStyle name="Normal 4 3 2 2 3 4 2 2 2" xfId="32320" xr:uid="{00000000-0005-0000-0000-00006A3C0000}"/>
    <cellStyle name="Normal 4 3 2 2 3 4 2 3" xfId="25355" xr:uid="{00000000-0005-0000-0000-00006B3C0000}"/>
    <cellStyle name="Normal 4 3 2 2 3 4 3" xfId="12084" xr:uid="{00000000-0005-0000-0000-00006C3C0000}"/>
    <cellStyle name="Normal 4 3 2 2 3 4 3 2" xfId="28659" xr:uid="{00000000-0005-0000-0000-00006D3C0000}"/>
    <cellStyle name="Normal 4 3 2 2 3 4 4" xfId="5391" xr:uid="{00000000-0005-0000-0000-00006E3C0000}"/>
    <cellStyle name="Normal 4 3 2 2 3 4 4 2" xfId="22055" xr:uid="{00000000-0005-0000-0000-00006F3C0000}"/>
    <cellStyle name="Normal 4 3 2 2 3 4 5" xfId="18092" xr:uid="{00000000-0005-0000-0000-0000703C0000}"/>
    <cellStyle name="Normal 4 3 2 2 3 5" xfId="2490" xr:uid="{00000000-0005-0000-0000-0000713C0000}"/>
    <cellStyle name="Normal 4 3 2 2 3 5 2" xfId="14385" xr:uid="{00000000-0005-0000-0000-0000723C0000}"/>
    <cellStyle name="Normal 4 3 2 2 3 5 2 2" xfId="30700" xr:uid="{00000000-0005-0000-0000-0000733C0000}"/>
    <cellStyle name="Normal 4 3 2 2 3 5 3" xfId="7122" xr:uid="{00000000-0005-0000-0000-0000743C0000}"/>
    <cellStyle name="Normal 4 3 2 2 3 5 3 2" xfId="23735" xr:uid="{00000000-0005-0000-0000-0000753C0000}"/>
    <cellStyle name="Normal 4 3 2 2 3 5 4" xfId="19217" xr:uid="{00000000-0005-0000-0000-0000763C0000}"/>
    <cellStyle name="Normal 4 3 2 2 3 6" xfId="10437" xr:uid="{00000000-0005-0000-0000-0000773C0000}"/>
    <cellStyle name="Normal 4 3 2 2 3 6 2" xfId="27035" xr:uid="{00000000-0005-0000-0000-0000783C0000}"/>
    <cellStyle name="Normal 4 3 2 2 3 7" xfId="4092" xr:uid="{00000000-0005-0000-0000-0000793C0000}"/>
    <cellStyle name="Normal 4 3 2 2 3 7 2" xfId="20815" xr:uid="{00000000-0005-0000-0000-00007A3C0000}"/>
    <cellStyle name="Normal 4 3 2 2 3 8" xfId="17468" xr:uid="{00000000-0005-0000-0000-00007B3C0000}"/>
    <cellStyle name="Normal 4 3 2 2 4" xfId="917" xr:uid="{00000000-0005-0000-0000-00007C3C0000}"/>
    <cellStyle name="Normal 4 3 2 2 4 2" xfId="1479" xr:uid="{00000000-0005-0000-0000-00007D3C0000}"/>
    <cellStyle name="Normal 4 3 2 2 4 2 2" xfId="2495" xr:uid="{00000000-0005-0000-0000-00007E3C0000}"/>
    <cellStyle name="Normal 4 3 2 2 4 2 2 2" xfId="9749" xr:uid="{00000000-0005-0000-0000-00007F3C0000}"/>
    <cellStyle name="Normal 4 3 2 2 4 2 2 2 2" xfId="17012" xr:uid="{00000000-0005-0000-0000-0000803C0000}"/>
    <cellStyle name="Normal 4 3 2 2 4 2 2 2 2 2" xfId="33327" xr:uid="{00000000-0005-0000-0000-0000813C0000}"/>
    <cellStyle name="Normal 4 3 2 2 4 2 2 2 3" xfId="26362" xr:uid="{00000000-0005-0000-0000-0000823C0000}"/>
    <cellStyle name="Normal 4 3 2 2 4 2 2 3" xfId="13091" xr:uid="{00000000-0005-0000-0000-0000833C0000}"/>
    <cellStyle name="Normal 4 3 2 2 4 2 2 3 2" xfId="29666" xr:uid="{00000000-0005-0000-0000-0000843C0000}"/>
    <cellStyle name="Normal 4 3 2 2 4 2 2 4" xfId="6398" xr:uid="{00000000-0005-0000-0000-0000853C0000}"/>
    <cellStyle name="Normal 4 3 2 2 4 2 2 4 2" xfId="23062" xr:uid="{00000000-0005-0000-0000-0000863C0000}"/>
    <cellStyle name="Normal 4 3 2 2 4 2 2 5" xfId="19222" xr:uid="{00000000-0005-0000-0000-0000873C0000}"/>
    <cellStyle name="Normal 4 3 2 2 4 2 3" xfId="8128" xr:uid="{00000000-0005-0000-0000-0000883C0000}"/>
    <cellStyle name="Normal 4 3 2 2 4 2 3 2" xfId="15391" xr:uid="{00000000-0005-0000-0000-0000893C0000}"/>
    <cellStyle name="Normal 4 3 2 2 4 2 3 2 2" xfId="31706" xr:uid="{00000000-0005-0000-0000-00008A3C0000}"/>
    <cellStyle name="Normal 4 3 2 2 4 2 3 3" xfId="24741" xr:uid="{00000000-0005-0000-0000-00008B3C0000}"/>
    <cellStyle name="Normal 4 3 2 2 4 2 4" xfId="11443" xr:uid="{00000000-0005-0000-0000-00008C3C0000}"/>
    <cellStyle name="Normal 4 3 2 2 4 2 4 2" xfId="28041" xr:uid="{00000000-0005-0000-0000-00008D3C0000}"/>
    <cellStyle name="Normal 4 3 2 2 4 2 5" xfId="4097" xr:uid="{00000000-0005-0000-0000-00008E3C0000}"/>
    <cellStyle name="Normal 4 3 2 2 4 2 5 2" xfId="20820" xr:uid="{00000000-0005-0000-0000-00008F3C0000}"/>
    <cellStyle name="Normal 4 3 2 2 4 2 6" xfId="18214" xr:uid="{00000000-0005-0000-0000-0000903C0000}"/>
    <cellStyle name="Normal 4 3 2 2 4 3" xfId="2494" xr:uid="{00000000-0005-0000-0000-0000913C0000}"/>
    <cellStyle name="Normal 4 3 2 2 4 3 2" xfId="8937" xr:uid="{00000000-0005-0000-0000-0000923C0000}"/>
    <cellStyle name="Normal 4 3 2 2 4 3 2 2" xfId="16200" xr:uid="{00000000-0005-0000-0000-0000933C0000}"/>
    <cellStyle name="Normal 4 3 2 2 4 3 2 2 2" xfId="32515" xr:uid="{00000000-0005-0000-0000-0000943C0000}"/>
    <cellStyle name="Normal 4 3 2 2 4 3 2 3" xfId="25550" xr:uid="{00000000-0005-0000-0000-0000953C0000}"/>
    <cellStyle name="Normal 4 3 2 2 4 3 3" xfId="12279" xr:uid="{00000000-0005-0000-0000-0000963C0000}"/>
    <cellStyle name="Normal 4 3 2 2 4 3 3 2" xfId="28854" xr:uid="{00000000-0005-0000-0000-0000973C0000}"/>
    <cellStyle name="Normal 4 3 2 2 4 3 4" xfId="5586" xr:uid="{00000000-0005-0000-0000-0000983C0000}"/>
    <cellStyle name="Normal 4 3 2 2 4 3 4 2" xfId="22250" xr:uid="{00000000-0005-0000-0000-0000993C0000}"/>
    <cellStyle name="Normal 4 3 2 2 4 3 5" xfId="19221" xr:uid="{00000000-0005-0000-0000-00009A3C0000}"/>
    <cellStyle name="Normal 4 3 2 2 4 4" xfId="7316" xr:uid="{00000000-0005-0000-0000-00009B3C0000}"/>
    <cellStyle name="Normal 4 3 2 2 4 4 2" xfId="14579" xr:uid="{00000000-0005-0000-0000-00009C3C0000}"/>
    <cellStyle name="Normal 4 3 2 2 4 4 2 2" xfId="30894" xr:uid="{00000000-0005-0000-0000-00009D3C0000}"/>
    <cellStyle name="Normal 4 3 2 2 4 4 3" xfId="23929" xr:uid="{00000000-0005-0000-0000-00009E3C0000}"/>
    <cellStyle name="Normal 4 3 2 2 4 5" xfId="10631" xr:uid="{00000000-0005-0000-0000-00009F3C0000}"/>
    <cellStyle name="Normal 4 3 2 2 4 5 2" xfId="27229" xr:uid="{00000000-0005-0000-0000-0000A03C0000}"/>
    <cellStyle name="Normal 4 3 2 2 4 6" xfId="4096" xr:uid="{00000000-0005-0000-0000-0000A13C0000}"/>
    <cellStyle name="Normal 4 3 2 2 4 6 2" xfId="20819" xr:uid="{00000000-0005-0000-0000-0000A23C0000}"/>
    <cellStyle name="Normal 4 3 2 2 4 7" xfId="17695" xr:uid="{00000000-0005-0000-0000-0000A33C0000}"/>
    <cellStyle name="Normal 4 3 2 2 5" xfId="725" xr:uid="{00000000-0005-0000-0000-0000A43C0000}"/>
    <cellStyle name="Normal 4 3 2 2 5 2" xfId="2496" xr:uid="{00000000-0005-0000-0000-0000A53C0000}"/>
    <cellStyle name="Normal 4 3 2 2 5 2 2" xfId="9343" xr:uid="{00000000-0005-0000-0000-0000A63C0000}"/>
    <cellStyle name="Normal 4 3 2 2 5 2 2 2" xfId="16606" xr:uid="{00000000-0005-0000-0000-0000A73C0000}"/>
    <cellStyle name="Normal 4 3 2 2 5 2 2 2 2" xfId="32921" xr:uid="{00000000-0005-0000-0000-0000A83C0000}"/>
    <cellStyle name="Normal 4 3 2 2 5 2 2 3" xfId="25956" xr:uid="{00000000-0005-0000-0000-0000A93C0000}"/>
    <cellStyle name="Normal 4 3 2 2 5 2 3" xfId="12685" xr:uid="{00000000-0005-0000-0000-0000AA3C0000}"/>
    <cellStyle name="Normal 4 3 2 2 5 2 3 2" xfId="29260" xr:uid="{00000000-0005-0000-0000-0000AB3C0000}"/>
    <cellStyle name="Normal 4 3 2 2 5 2 4" xfId="5992" xr:uid="{00000000-0005-0000-0000-0000AC3C0000}"/>
    <cellStyle name="Normal 4 3 2 2 5 2 4 2" xfId="22656" xr:uid="{00000000-0005-0000-0000-0000AD3C0000}"/>
    <cellStyle name="Normal 4 3 2 2 5 2 5" xfId="19223" xr:uid="{00000000-0005-0000-0000-0000AE3C0000}"/>
    <cellStyle name="Normal 4 3 2 2 5 3" xfId="7722" xr:uid="{00000000-0005-0000-0000-0000AF3C0000}"/>
    <cellStyle name="Normal 4 3 2 2 5 3 2" xfId="14985" xr:uid="{00000000-0005-0000-0000-0000B03C0000}"/>
    <cellStyle name="Normal 4 3 2 2 5 3 2 2" xfId="31300" xr:uid="{00000000-0005-0000-0000-0000B13C0000}"/>
    <cellStyle name="Normal 4 3 2 2 5 3 3" xfId="24335" xr:uid="{00000000-0005-0000-0000-0000B23C0000}"/>
    <cellStyle name="Normal 4 3 2 2 5 4" xfId="11037" xr:uid="{00000000-0005-0000-0000-0000B33C0000}"/>
    <cellStyle name="Normal 4 3 2 2 5 4 2" xfId="27635" xr:uid="{00000000-0005-0000-0000-0000B43C0000}"/>
    <cellStyle name="Normal 4 3 2 2 5 5" xfId="4098" xr:uid="{00000000-0005-0000-0000-0000B53C0000}"/>
    <cellStyle name="Normal 4 3 2 2 5 5 2" xfId="20821" xr:uid="{00000000-0005-0000-0000-0000B63C0000}"/>
    <cellStyle name="Normal 4 3 2 2 5 6" xfId="17538" xr:uid="{00000000-0005-0000-0000-0000B73C0000}"/>
    <cellStyle name="Normal 4 3 2 2 6" xfId="1322" xr:uid="{00000000-0005-0000-0000-0000B83C0000}"/>
    <cellStyle name="Normal 4 3 2 2 6 2" xfId="8540" xr:uid="{00000000-0005-0000-0000-0000B93C0000}"/>
    <cellStyle name="Normal 4 3 2 2 6 2 2" xfId="15803" xr:uid="{00000000-0005-0000-0000-0000BA3C0000}"/>
    <cellStyle name="Normal 4 3 2 2 6 2 2 2" xfId="32118" xr:uid="{00000000-0005-0000-0000-0000BB3C0000}"/>
    <cellStyle name="Normal 4 3 2 2 6 2 3" xfId="25153" xr:uid="{00000000-0005-0000-0000-0000BC3C0000}"/>
    <cellStyle name="Normal 4 3 2 2 6 3" xfId="11882" xr:uid="{00000000-0005-0000-0000-0000BD3C0000}"/>
    <cellStyle name="Normal 4 3 2 2 6 3 2" xfId="28457" xr:uid="{00000000-0005-0000-0000-0000BE3C0000}"/>
    <cellStyle name="Normal 4 3 2 2 6 4" xfId="5189" xr:uid="{00000000-0005-0000-0000-0000BF3C0000}"/>
    <cellStyle name="Normal 4 3 2 2 6 4 2" xfId="21853" xr:uid="{00000000-0005-0000-0000-0000C03C0000}"/>
    <cellStyle name="Normal 4 3 2 2 6 5" xfId="18057" xr:uid="{00000000-0005-0000-0000-0000C13C0000}"/>
    <cellStyle name="Normal 4 3 2 2 7" xfId="2481" xr:uid="{00000000-0005-0000-0000-0000C23C0000}"/>
    <cellStyle name="Normal 4 3 2 2 7 2" xfId="14184" xr:uid="{00000000-0005-0000-0000-0000C33C0000}"/>
    <cellStyle name="Normal 4 3 2 2 7 2 2" xfId="30499" xr:uid="{00000000-0005-0000-0000-0000C43C0000}"/>
    <cellStyle name="Normal 4 3 2 2 7 3" xfId="6921" xr:uid="{00000000-0005-0000-0000-0000C53C0000}"/>
    <cellStyle name="Normal 4 3 2 2 7 3 2" xfId="23534" xr:uid="{00000000-0005-0000-0000-0000C63C0000}"/>
    <cellStyle name="Normal 4 3 2 2 7 4" xfId="19208" xr:uid="{00000000-0005-0000-0000-0000C73C0000}"/>
    <cellStyle name="Normal 4 3 2 2 8" xfId="10235" xr:uid="{00000000-0005-0000-0000-0000C83C0000}"/>
    <cellStyle name="Normal 4 3 2 2 8 2" xfId="26834" xr:uid="{00000000-0005-0000-0000-0000C93C0000}"/>
    <cellStyle name="Normal 4 3 2 2 9" xfId="4083" xr:uid="{00000000-0005-0000-0000-0000CA3C0000}"/>
    <cellStyle name="Normal 4 3 2 2 9 2" xfId="20806" xr:uid="{00000000-0005-0000-0000-0000CB3C0000}"/>
    <cellStyle name="Normal 4 3 2 3" xfId="670" xr:uid="{00000000-0005-0000-0000-0000CC3C0000}"/>
    <cellStyle name="Normal 4 3 2 3 2" xfId="1161" xr:uid="{00000000-0005-0000-0000-0000CD3C0000}"/>
    <cellStyle name="Normal 4 3 2 3 2 2" xfId="1682" xr:uid="{00000000-0005-0000-0000-0000CE3C0000}"/>
    <cellStyle name="Normal 4 3 2 3 2 2 2" xfId="2500" xr:uid="{00000000-0005-0000-0000-0000CF3C0000}"/>
    <cellStyle name="Normal 4 3 2 3 2 2 2 2" xfId="6576" xr:uid="{00000000-0005-0000-0000-0000D03C0000}"/>
    <cellStyle name="Normal 4 3 2 3 2 2 2 2 2" xfId="9927" xr:uid="{00000000-0005-0000-0000-0000D13C0000}"/>
    <cellStyle name="Normal 4 3 2 3 2 2 2 2 2 2" xfId="17190" xr:uid="{00000000-0005-0000-0000-0000D23C0000}"/>
    <cellStyle name="Normal 4 3 2 3 2 2 2 2 2 2 2" xfId="33505" xr:uid="{00000000-0005-0000-0000-0000D33C0000}"/>
    <cellStyle name="Normal 4 3 2 3 2 2 2 2 2 3" xfId="26540" xr:uid="{00000000-0005-0000-0000-0000D43C0000}"/>
    <cellStyle name="Normal 4 3 2 3 2 2 2 2 3" xfId="13269" xr:uid="{00000000-0005-0000-0000-0000D53C0000}"/>
    <cellStyle name="Normal 4 3 2 3 2 2 2 2 3 2" xfId="29844" xr:uid="{00000000-0005-0000-0000-0000D63C0000}"/>
    <cellStyle name="Normal 4 3 2 3 2 2 2 2 4" xfId="23240" xr:uid="{00000000-0005-0000-0000-0000D73C0000}"/>
    <cellStyle name="Normal 4 3 2 3 2 2 2 3" xfId="8306" xr:uid="{00000000-0005-0000-0000-0000D83C0000}"/>
    <cellStyle name="Normal 4 3 2 3 2 2 2 3 2" xfId="15569" xr:uid="{00000000-0005-0000-0000-0000D93C0000}"/>
    <cellStyle name="Normal 4 3 2 3 2 2 2 3 2 2" xfId="31884" xr:uid="{00000000-0005-0000-0000-0000DA3C0000}"/>
    <cellStyle name="Normal 4 3 2 3 2 2 2 3 3" xfId="24919" xr:uid="{00000000-0005-0000-0000-0000DB3C0000}"/>
    <cellStyle name="Normal 4 3 2 3 2 2 2 4" xfId="11621" xr:uid="{00000000-0005-0000-0000-0000DC3C0000}"/>
    <cellStyle name="Normal 4 3 2 3 2 2 2 4 2" xfId="28219" xr:uid="{00000000-0005-0000-0000-0000DD3C0000}"/>
    <cellStyle name="Normal 4 3 2 3 2 2 2 5" xfId="4102" xr:uid="{00000000-0005-0000-0000-0000DE3C0000}"/>
    <cellStyle name="Normal 4 3 2 3 2 2 2 5 2" xfId="20825" xr:uid="{00000000-0005-0000-0000-0000DF3C0000}"/>
    <cellStyle name="Normal 4 3 2 3 2 2 2 6" xfId="19227" xr:uid="{00000000-0005-0000-0000-0000E03C0000}"/>
    <cellStyle name="Normal 4 3 2 3 2 2 3" xfId="2499" xr:uid="{00000000-0005-0000-0000-0000E13C0000}"/>
    <cellStyle name="Normal 4 3 2 3 2 2 3 2" xfId="9151" xr:uid="{00000000-0005-0000-0000-0000E23C0000}"/>
    <cellStyle name="Normal 4 3 2 3 2 2 3 2 2" xfId="16414" xr:uid="{00000000-0005-0000-0000-0000E33C0000}"/>
    <cellStyle name="Normal 4 3 2 3 2 2 3 2 2 2" xfId="32729" xr:uid="{00000000-0005-0000-0000-0000E43C0000}"/>
    <cellStyle name="Normal 4 3 2 3 2 2 3 2 3" xfId="25764" xr:uid="{00000000-0005-0000-0000-0000E53C0000}"/>
    <cellStyle name="Normal 4 3 2 3 2 2 3 3" xfId="12493" xr:uid="{00000000-0005-0000-0000-0000E63C0000}"/>
    <cellStyle name="Normal 4 3 2 3 2 2 3 3 2" xfId="29068" xr:uid="{00000000-0005-0000-0000-0000E73C0000}"/>
    <cellStyle name="Normal 4 3 2 3 2 2 3 4" xfId="5800" xr:uid="{00000000-0005-0000-0000-0000E83C0000}"/>
    <cellStyle name="Normal 4 3 2 3 2 2 3 4 2" xfId="22464" xr:uid="{00000000-0005-0000-0000-0000E93C0000}"/>
    <cellStyle name="Normal 4 3 2 3 2 2 3 5" xfId="19226" xr:uid="{00000000-0005-0000-0000-0000EA3C0000}"/>
    <cellStyle name="Normal 4 3 2 3 2 2 4" xfId="7530" xr:uid="{00000000-0005-0000-0000-0000EB3C0000}"/>
    <cellStyle name="Normal 4 3 2 3 2 2 4 2" xfId="14793" xr:uid="{00000000-0005-0000-0000-0000EC3C0000}"/>
    <cellStyle name="Normal 4 3 2 3 2 2 4 2 2" xfId="31108" xr:uid="{00000000-0005-0000-0000-0000ED3C0000}"/>
    <cellStyle name="Normal 4 3 2 3 2 2 4 3" xfId="24143" xr:uid="{00000000-0005-0000-0000-0000EE3C0000}"/>
    <cellStyle name="Normal 4 3 2 3 2 2 5" xfId="10845" xr:uid="{00000000-0005-0000-0000-0000EF3C0000}"/>
    <cellStyle name="Normal 4 3 2 3 2 2 5 2" xfId="27443" xr:uid="{00000000-0005-0000-0000-0000F03C0000}"/>
    <cellStyle name="Normal 4 3 2 3 2 2 6" xfId="4101" xr:uid="{00000000-0005-0000-0000-0000F13C0000}"/>
    <cellStyle name="Normal 4 3 2 3 2 2 6 2" xfId="20824" xr:uid="{00000000-0005-0000-0000-0000F23C0000}"/>
    <cellStyle name="Normal 4 3 2 3 2 2 7" xfId="18417" xr:uid="{00000000-0005-0000-0000-0000F33C0000}"/>
    <cellStyle name="Normal 4 3 2 3 2 3" xfId="2501" xr:uid="{00000000-0005-0000-0000-0000F43C0000}"/>
    <cellStyle name="Normal 4 3 2 3 2 3 2" xfId="6206" xr:uid="{00000000-0005-0000-0000-0000F53C0000}"/>
    <cellStyle name="Normal 4 3 2 3 2 3 2 2" xfId="9557" xr:uid="{00000000-0005-0000-0000-0000F63C0000}"/>
    <cellStyle name="Normal 4 3 2 3 2 3 2 2 2" xfId="16820" xr:uid="{00000000-0005-0000-0000-0000F73C0000}"/>
    <cellStyle name="Normal 4 3 2 3 2 3 2 2 2 2" xfId="33135" xr:uid="{00000000-0005-0000-0000-0000F83C0000}"/>
    <cellStyle name="Normal 4 3 2 3 2 3 2 2 3" xfId="26170" xr:uid="{00000000-0005-0000-0000-0000F93C0000}"/>
    <cellStyle name="Normal 4 3 2 3 2 3 2 3" xfId="12899" xr:uid="{00000000-0005-0000-0000-0000FA3C0000}"/>
    <cellStyle name="Normal 4 3 2 3 2 3 2 3 2" xfId="29474" xr:uid="{00000000-0005-0000-0000-0000FB3C0000}"/>
    <cellStyle name="Normal 4 3 2 3 2 3 2 4" xfId="22870" xr:uid="{00000000-0005-0000-0000-0000FC3C0000}"/>
    <cellStyle name="Normal 4 3 2 3 2 3 3" xfId="7936" xr:uid="{00000000-0005-0000-0000-0000FD3C0000}"/>
    <cellStyle name="Normal 4 3 2 3 2 3 3 2" xfId="15199" xr:uid="{00000000-0005-0000-0000-0000FE3C0000}"/>
    <cellStyle name="Normal 4 3 2 3 2 3 3 2 2" xfId="31514" xr:uid="{00000000-0005-0000-0000-0000FF3C0000}"/>
    <cellStyle name="Normal 4 3 2 3 2 3 3 3" xfId="24549" xr:uid="{00000000-0005-0000-0000-0000003D0000}"/>
    <cellStyle name="Normal 4 3 2 3 2 3 4" xfId="11251" xr:uid="{00000000-0005-0000-0000-0000013D0000}"/>
    <cellStyle name="Normal 4 3 2 3 2 3 4 2" xfId="27849" xr:uid="{00000000-0005-0000-0000-0000023D0000}"/>
    <cellStyle name="Normal 4 3 2 3 2 3 5" xfId="4103" xr:uid="{00000000-0005-0000-0000-0000033D0000}"/>
    <cellStyle name="Normal 4 3 2 3 2 3 5 2" xfId="20826" xr:uid="{00000000-0005-0000-0000-0000043D0000}"/>
    <cellStyle name="Normal 4 3 2 3 2 3 6" xfId="19228" xr:uid="{00000000-0005-0000-0000-0000053D0000}"/>
    <cellStyle name="Normal 4 3 2 3 2 4" xfId="2498" xr:uid="{00000000-0005-0000-0000-0000063D0000}"/>
    <cellStyle name="Normal 4 3 2 3 2 4 2" xfId="8744" xr:uid="{00000000-0005-0000-0000-0000073D0000}"/>
    <cellStyle name="Normal 4 3 2 3 2 4 2 2" xfId="16007" xr:uid="{00000000-0005-0000-0000-0000083D0000}"/>
    <cellStyle name="Normal 4 3 2 3 2 4 2 2 2" xfId="32322" xr:uid="{00000000-0005-0000-0000-0000093D0000}"/>
    <cellStyle name="Normal 4 3 2 3 2 4 2 3" xfId="25357" xr:uid="{00000000-0005-0000-0000-00000A3D0000}"/>
    <cellStyle name="Normal 4 3 2 3 2 4 3" xfId="12086" xr:uid="{00000000-0005-0000-0000-00000B3D0000}"/>
    <cellStyle name="Normal 4 3 2 3 2 4 3 2" xfId="28661" xr:uid="{00000000-0005-0000-0000-00000C3D0000}"/>
    <cellStyle name="Normal 4 3 2 3 2 4 4" xfId="5393" xr:uid="{00000000-0005-0000-0000-00000D3D0000}"/>
    <cellStyle name="Normal 4 3 2 3 2 4 4 2" xfId="22057" xr:uid="{00000000-0005-0000-0000-00000E3D0000}"/>
    <cellStyle name="Normal 4 3 2 3 2 4 5" xfId="19225" xr:uid="{00000000-0005-0000-0000-00000F3D0000}"/>
    <cellStyle name="Normal 4 3 2 3 2 5" xfId="7124" xr:uid="{00000000-0005-0000-0000-0000103D0000}"/>
    <cellStyle name="Normal 4 3 2 3 2 5 2" xfId="14387" xr:uid="{00000000-0005-0000-0000-0000113D0000}"/>
    <cellStyle name="Normal 4 3 2 3 2 5 2 2" xfId="30702" xr:uid="{00000000-0005-0000-0000-0000123D0000}"/>
    <cellStyle name="Normal 4 3 2 3 2 5 3" xfId="23737" xr:uid="{00000000-0005-0000-0000-0000133D0000}"/>
    <cellStyle name="Normal 4 3 2 3 2 6" xfId="10439" xr:uid="{00000000-0005-0000-0000-0000143D0000}"/>
    <cellStyle name="Normal 4 3 2 3 2 6 2" xfId="27037" xr:uid="{00000000-0005-0000-0000-0000153D0000}"/>
    <cellStyle name="Normal 4 3 2 3 2 7" xfId="4100" xr:uid="{00000000-0005-0000-0000-0000163D0000}"/>
    <cellStyle name="Normal 4 3 2 3 2 7 2" xfId="20823" xr:uid="{00000000-0005-0000-0000-0000173D0000}"/>
    <cellStyle name="Normal 4 3 2 3 2 8" xfId="17898" xr:uid="{00000000-0005-0000-0000-0000183D0000}"/>
    <cellStyle name="Normal 4 3 2 3 3" xfId="970" xr:uid="{00000000-0005-0000-0000-0000193D0000}"/>
    <cellStyle name="Normal 4 3 2 3 3 2" xfId="1532" xr:uid="{00000000-0005-0000-0000-00001A3D0000}"/>
    <cellStyle name="Normal 4 3 2 3 3 2 2" xfId="2503" xr:uid="{00000000-0005-0000-0000-00001B3D0000}"/>
    <cellStyle name="Normal 4 3 2 3 3 2 2 2" xfId="9751" xr:uid="{00000000-0005-0000-0000-00001C3D0000}"/>
    <cellStyle name="Normal 4 3 2 3 3 2 2 2 2" xfId="17014" xr:uid="{00000000-0005-0000-0000-00001D3D0000}"/>
    <cellStyle name="Normal 4 3 2 3 3 2 2 2 2 2" xfId="33329" xr:uid="{00000000-0005-0000-0000-00001E3D0000}"/>
    <cellStyle name="Normal 4 3 2 3 3 2 2 2 3" xfId="26364" xr:uid="{00000000-0005-0000-0000-00001F3D0000}"/>
    <cellStyle name="Normal 4 3 2 3 3 2 2 3" xfId="13093" xr:uid="{00000000-0005-0000-0000-0000203D0000}"/>
    <cellStyle name="Normal 4 3 2 3 3 2 2 3 2" xfId="29668" xr:uid="{00000000-0005-0000-0000-0000213D0000}"/>
    <cellStyle name="Normal 4 3 2 3 3 2 2 4" xfId="6400" xr:uid="{00000000-0005-0000-0000-0000223D0000}"/>
    <cellStyle name="Normal 4 3 2 3 3 2 2 4 2" xfId="23064" xr:uid="{00000000-0005-0000-0000-0000233D0000}"/>
    <cellStyle name="Normal 4 3 2 3 3 2 2 5" xfId="19230" xr:uid="{00000000-0005-0000-0000-0000243D0000}"/>
    <cellStyle name="Normal 4 3 2 3 3 2 3" xfId="8130" xr:uid="{00000000-0005-0000-0000-0000253D0000}"/>
    <cellStyle name="Normal 4 3 2 3 3 2 3 2" xfId="15393" xr:uid="{00000000-0005-0000-0000-0000263D0000}"/>
    <cellStyle name="Normal 4 3 2 3 3 2 3 2 2" xfId="31708" xr:uid="{00000000-0005-0000-0000-0000273D0000}"/>
    <cellStyle name="Normal 4 3 2 3 3 2 3 3" xfId="24743" xr:uid="{00000000-0005-0000-0000-0000283D0000}"/>
    <cellStyle name="Normal 4 3 2 3 3 2 4" xfId="11445" xr:uid="{00000000-0005-0000-0000-0000293D0000}"/>
    <cellStyle name="Normal 4 3 2 3 3 2 4 2" xfId="28043" xr:uid="{00000000-0005-0000-0000-00002A3D0000}"/>
    <cellStyle name="Normal 4 3 2 3 3 2 5" xfId="4105" xr:uid="{00000000-0005-0000-0000-00002B3D0000}"/>
    <cellStyle name="Normal 4 3 2 3 3 2 5 2" xfId="20828" xr:uid="{00000000-0005-0000-0000-00002C3D0000}"/>
    <cellStyle name="Normal 4 3 2 3 3 2 6" xfId="18267" xr:uid="{00000000-0005-0000-0000-00002D3D0000}"/>
    <cellStyle name="Normal 4 3 2 3 3 3" xfId="2502" xr:uid="{00000000-0005-0000-0000-00002E3D0000}"/>
    <cellStyle name="Normal 4 3 2 3 3 3 2" xfId="8939" xr:uid="{00000000-0005-0000-0000-00002F3D0000}"/>
    <cellStyle name="Normal 4 3 2 3 3 3 2 2" xfId="16202" xr:uid="{00000000-0005-0000-0000-0000303D0000}"/>
    <cellStyle name="Normal 4 3 2 3 3 3 2 2 2" xfId="32517" xr:uid="{00000000-0005-0000-0000-0000313D0000}"/>
    <cellStyle name="Normal 4 3 2 3 3 3 2 3" xfId="25552" xr:uid="{00000000-0005-0000-0000-0000323D0000}"/>
    <cellStyle name="Normal 4 3 2 3 3 3 3" xfId="12281" xr:uid="{00000000-0005-0000-0000-0000333D0000}"/>
    <cellStyle name="Normal 4 3 2 3 3 3 3 2" xfId="28856" xr:uid="{00000000-0005-0000-0000-0000343D0000}"/>
    <cellStyle name="Normal 4 3 2 3 3 3 4" xfId="5588" xr:uid="{00000000-0005-0000-0000-0000353D0000}"/>
    <cellStyle name="Normal 4 3 2 3 3 3 4 2" xfId="22252" xr:uid="{00000000-0005-0000-0000-0000363D0000}"/>
    <cellStyle name="Normal 4 3 2 3 3 3 5" xfId="19229" xr:uid="{00000000-0005-0000-0000-0000373D0000}"/>
    <cellStyle name="Normal 4 3 2 3 3 4" xfId="7318" xr:uid="{00000000-0005-0000-0000-0000383D0000}"/>
    <cellStyle name="Normal 4 3 2 3 3 4 2" xfId="14581" xr:uid="{00000000-0005-0000-0000-0000393D0000}"/>
    <cellStyle name="Normal 4 3 2 3 3 4 2 2" xfId="30896" xr:uid="{00000000-0005-0000-0000-00003A3D0000}"/>
    <cellStyle name="Normal 4 3 2 3 3 4 3" xfId="23931" xr:uid="{00000000-0005-0000-0000-00003B3D0000}"/>
    <cellStyle name="Normal 4 3 2 3 3 5" xfId="10633" xr:uid="{00000000-0005-0000-0000-00003C3D0000}"/>
    <cellStyle name="Normal 4 3 2 3 3 5 2" xfId="27231" xr:uid="{00000000-0005-0000-0000-00003D3D0000}"/>
    <cellStyle name="Normal 4 3 2 3 3 6" xfId="4104" xr:uid="{00000000-0005-0000-0000-00003E3D0000}"/>
    <cellStyle name="Normal 4 3 2 3 3 6 2" xfId="20827" xr:uid="{00000000-0005-0000-0000-00003F3D0000}"/>
    <cellStyle name="Normal 4 3 2 3 3 7" xfId="17748" xr:uid="{00000000-0005-0000-0000-0000403D0000}"/>
    <cellStyle name="Normal 4 3 2 3 4" xfId="778" xr:uid="{00000000-0005-0000-0000-0000413D0000}"/>
    <cellStyle name="Normal 4 3 2 3 4 2" xfId="2504" xr:uid="{00000000-0005-0000-0000-0000423D0000}"/>
    <cellStyle name="Normal 4 3 2 3 4 2 2" xfId="9345" xr:uid="{00000000-0005-0000-0000-0000433D0000}"/>
    <cellStyle name="Normal 4 3 2 3 4 2 2 2" xfId="16608" xr:uid="{00000000-0005-0000-0000-0000443D0000}"/>
    <cellStyle name="Normal 4 3 2 3 4 2 2 2 2" xfId="32923" xr:uid="{00000000-0005-0000-0000-0000453D0000}"/>
    <cellStyle name="Normal 4 3 2 3 4 2 2 3" xfId="25958" xr:uid="{00000000-0005-0000-0000-0000463D0000}"/>
    <cellStyle name="Normal 4 3 2 3 4 2 3" xfId="12687" xr:uid="{00000000-0005-0000-0000-0000473D0000}"/>
    <cellStyle name="Normal 4 3 2 3 4 2 3 2" xfId="29262" xr:uid="{00000000-0005-0000-0000-0000483D0000}"/>
    <cellStyle name="Normal 4 3 2 3 4 2 4" xfId="5994" xr:uid="{00000000-0005-0000-0000-0000493D0000}"/>
    <cellStyle name="Normal 4 3 2 3 4 2 4 2" xfId="22658" xr:uid="{00000000-0005-0000-0000-00004A3D0000}"/>
    <cellStyle name="Normal 4 3 2 3 4 2 5" xfId="19231" xr:uid="{00000000-0005-0000-0000-00004B3D0000}"/>
    <cellStyle name="Normal 4 3 2 3 4 3" xfId="7724" xr:uid="{00000000-0005-0000-0000-00004C3D0000}"/>
    <cellStyle name="Normal 4 3 2 3 4 3 2" xfId="14987" xr:uid="{00000000-0005-0000-0000-00004D3D0000}"/>
    <cellStyle name="Normal 4 3 2 3 4 3 2 2" xfId="31302" xr:uid="{00000000-0005-0000-0000-00004E3D0000}"/>
    <cellStyle name="Normal 4 3 2 3 4 3 3" xfId="24337" xr:uid="{00000000-0005-0000-0000-00004F3D0000}"/>
    <cellStyle name="Normal 4 3 2 3 4 4" xfId="11039" xr:uid="{00000000-0005-0000-0000-0000503D0000}"/>
    <cellStyle name="Normal 4 3 2 3 4 4 2" xfId="27637" xr:uid="{00000000-0005-0000-0000-0000513D0000}"/>
    <cellStyle name="Normal 4 3 2 3 4 5" xfId="4106" xr:uid="{00000000-0005-0000-0000-0000523D0000}"/>
    <cellStyle name="Normal 4 3 2 3 4 5 2" xfId="20829" xr:uid="{00000000-0005-0000-0000-0000533D0000}"/>
    <cellStyle name="Normal 4 3 2 3 4 6" xfId="17591" xr:uid="{00000000-0005-0000-0000-0000543D0000}"/>
    <cellStyle name="Normal 4 3 2 3 5" xfId="1375" xr:uid="{00000000-0005-0000-0000-0000553D0000}"/>
    <cellStyle name="Normal 4 3 2 3 5 2" xfId="8593" xr:uid="{00000000-0005-0000-0000-0000563D0000}"/>
    <cellStyle name="Normal 4 3 2 3 5 2 2" xfId="15856" xr:uid="{00000000-0005-0000-0000-0000573D0000}"/>
    <cellStyle name="Normal 4 3 2 3 5 2 2 2" xfId="32171" xr:uid="{00000000-0005-0000-0000-0000583D0000}"/>
    <cellStyle name="Normal 4 3 2 3 5 2 3" xfId="25206" xr:uid="{00000000-0005-0000-0000-0000593D0000}"/>
    <cellStyle name="Normal 4 3 2 3 5 3" xfId="11935" xr:uid="{00000000-0005-0000-0000-00005A3D0000}"/>
    <cellStyle name="Normal 4 3 2 3 5 3 2" xfId="28510" xr:uid="{00000000-0005-0000-0000-00005B3D0000}"/>
    <cellStyle name="Normal 4 3 2 3 5 4" xfId="5242" xr:uid="{00000000-0005-0000-0000-00005C3D0000}"/>
    <cellStyle name="Normal 4 3 2 3 5 4 2" xfId="21906" xr:uid="{00000000-0005-0000-0000-00005D3D0000}"/>
    <cellStyle name="Normal 4 3 2 3 5 5" xfId="18110" xr:uid="{00000000-0005-0000-0000-00005E3D0000}"/>
    <cellStyle name="Normal 4 3 2 3 6" xfId="2497" xr:uid="{00000000-0005-0000-0000-00005F3D0000}"/>
    <cellStyle name="Normal 4 3 2 3 6 2" xfId="14237" xr:uid="{00000000-0005-0000-0000-0000603D0000}"/>
    <cellStyle name="Normal 4 3 2 3 6 2 2" xfId="30552" xr:uid="{00000000-0005-0000-0000-0000613D0000}"/>
    <cellStyle name="Normal 4 3 2 3 6 3" xfId="6974" xr:uid="{00000000-0005-0000-0000-0000623D0000}"/>
    <cellStyle name="Normal 4 3 2 3 6 3 2" xfId="23587" xr:uid="{00000000-0005-0000-0000-0000633D0000}"/>
    <cellStyle name="Normal 4 3 2 3 6 4" xfId="19224" xr:uid="{00000000-0005-0000-0000-0000643D0000}"/>
    <cellStyle name="Normal 4 3 2 3 7" xfId="10288" xr:uid="{00000000-0005-0000-0000-0000653D0000}"/>
    <cellStyle name="Normal 4 3 2 3 7 2" xfId="26887" xr:uid="{00000000-0005-0000-0000-0000663D0000}"/>
    <cellStyle name="Normal 4 3 2 3 8" xfId="4099" xr:uid="{00000000-0005-0000-0000-0000673D0000}"/>
    <cellStyle name="Normal 4 3 2 3 8 2" xfId="20822" xr:uid="{00000000-0005-0000-0000-0000683D0000}"/>
    <cellStyle name="Normal 4 3 2 3 9" xfId="17486" xr:uid="{00000000-0005-0000-0000-0000693D0000}"/>
    <cellStyle name="Normal 4 3 2 4" xfId="632" xr:uid="{00000000-0005-0000-0000-00006A3D0000}"/>
    <cellStyle name="Normal 4 3 2 4 2" xfId="1158" xr:uid="{00000000-0005-0000-0000-00006B3D0000}"/>
    <cellStyle name="Normal 4 3 2 4 2 2" xfId="1679" xr:uid="{00000000-0005-0000-0000-00006C3D0000}"/>
    <cellStyle name="Normal 4 3 2 4 2 2 2" xfId="2507" xr:uid="{00000000-0005-0000-0000-00006D3D0000}"/>
    <cellStyle name="Normal 4 3 2 4 2 2 2 2" xfId="9924" xr:uid="{00000000-0005-0000-0000-00006E3D0000}"/>
    <cellStyle name="Normal 4 3 2 4 2 2 2 2 2" xfId="17187" xr:uid="{00000000-0005-0000-0000-00006F3D0000}"/>
    <cellStyle name="Normal 4 3 2 4 2 2 2 2 2 2" xfId="33502" xr:uid="{00000000-0005-0000-0000-0000703D0000}"/>
    <cellStyle name="Normal 4 3 2 4 2 2 2 2 3" xfId="26537" xr:uid="{00000000-0005-0000-0000-0000713D0000}"/>
    <cellStyle name="Normal 4 3 2 4 2 2 2 3" xfId="13266" xr:uid="{00000000-0005-0000-0000-0000723D0000}"/>
    <cellStyle name="Normal 4 3 2 4 2 2 2 3 2" xfId="29841" xr:uid="{00000000-0005-0000-0000-0000733D0000}"/>
    <cellStyle name="Normal 4 3 2 4 2 2 2 4" xfId="6573" xr:uid="{00000000-0005-0000-0000-0000743D0000}"/>
    <cellStyle name="Normal 4 3 2 4 2 2 2 4 2" xfId="23237" xr:uid="{00000000-0005-0000-0000-0000753D0000}"/>
    <cellStyle name="Normal 4 3 2 4 2 2 2 5" xfId="19234" xr:uid="{00000000-0005-0000-0000-0000763D0000}"/>
    <cellStyle name="Normal 4 3 2 4 2 2 3" xfId="8303" xr:uid="{00000000-0005-0000-0000-0000773D0000}"/>
    <cellStyle name="Normal 4 3 2 4 2 2 3 2" xfId="15566" xr:uid="{00000000-0005-0000-0000-0000783D0000}"/>
    <cellStyle name="Normal 4 3 2 4 2 2 3 2 2" xfId="31881" xr:uid="{00000000-0005-0000-0000-0000793D0000}"/>
    <cellStyle name="Normal 4 3 2 4 2 2 3 3" xfId="24916" xr:uid="{00000000-0005-0000-0000-00007A3D0000}"/>
    <cellStyle name="Normal 4 3 2 4 2 2 4" xfId="11618" xr:uid="{00000000-0005-0000-0000-00007B3D0000}"/>
    <cellStyle name="Normal 4 3 2 4 2 2 4 2" xfId="28216" xr:uid="{00000000-0005-0000-0000-00007C3D0000}"/>
    <cellStyle name="Normal 4 3 2 4 2 2 5" xfId="4109" xr:uid="{00000000-0005-0000-0000-00007D3D0000}"/>
    <cellStyle name="Normal 4 3 2 4 2 2 5 2" xfId="20832" xr:uid="{00000000-0005-0000-0000-00007E3D0000}"/>
    <cellStyle name="Normal 4 3 2 4 2 2 6" xfId="18414" xr:uid="{00000000-0005-0000-0000-00007F3D0000}"/>
    <cellStyle name="Normal 4 3 2 4 2 3" xfId="2506" xr:uid="{00000000-0005-0000-0000-0000803D0000}"/>
    <cellStyle name="Normal 4 3 2 4 2 3 2" xfId="9148" xr:uid="{00000000-0005-0000-0000-0000813D0000}"/>
    <cellStyle name="Normal 4 3 2 4 2 3 2 2" xfId="16411" xr:uid="{00000000-0005-0000-0000-0000823D0000}"/>
    <cellStyle name="Normal 4 3 2 4 2 3 2 2 2" xfId="32726" xr:uid="{00000000-0005-0000-0000-0000833D0000}"/>
    <cellStyle name="Normal 4 3 2 4 2 3 2 3" xfId="25761" xr:uid="{00000000-0005-0000-0000-0000843D0000}"/>
    <cellStyle name="Normal 4 3 2 4 2 3 3" xfId="12490" xr:uid="{00000000-0005-0000-0000-0000853D0000}"/>
    <cellStyle name="Normal 4 3 2 4 2 3 3 2" xfId="29065" xr:uid="{00000000-0005-0000-0000-0000863D0000}"/>
    <cellStyle name="Normal 4 3 2 4 2 3 4" xfId="5797" xr:uid="{00000000-0005-0000-0000-0000873D0000}"/>
    <cellStyle name="Normal 4 3 2 4 2 3 4 2" xfId="22461" xr:uid="{00000000-0005-0000-0000-0000883D0000}"/>
    <cellStyle name="Normal 4 3 2 4 2 3 5" xfId="19233" xr:uid="{00000000-0005-0000-0000-0000893D0000}"/>
    <cellStyle name="Normal 4 3 2 4 2 4" xfId="7527" xr:uid="{00000000-0005-0000-0000-00008A3D0000}"/>
    <cellStyle name="Normal 4 3 2 4 2 4 2" xfId="14790" xr:uid="{00000000-0005-0000-0000-00008B3D0000}"/>
    <cellStyle name="Normal 4 3 2 4 2 4 2 2" xfId="31105" xr:uid="{00000000-0005-0000-0000-00008C3D0000}"/>
    <cellStyle name="Normal 4 3 2 4 2 4 3" xfId="24140" xr:uid="{00000000-0005-0000-0000-00008D3D0000}"/>
    <cellStyle name="Normal 4 3 2 4 2 5" xfId="10842" xr:uid="{00000000-0005-0000-0000-00008E3D0000}"/>
    <cellStyle name="Normal 4 3 2 4 2 5 2" xfId="27440" xr:uid="{00000000-0005-0000-0000-00008F3D0000}"/>
    <cellStyle name="Normal 4 3 2 4 2 6" xfId="4108" xr:uid="{00000000-0005-0000-0000-0000903D0000}"/>
    <cellStyle name="Normal 4 3 2 4 2 6 2" xfId="20831" xr:uid="{00000000-0005-0000-0000-0000913D0000}"/>
    <cellStyle name="Normal 4 3 2 4 2 7" xfId="17895" xr:uid="{00000000-0005-0000-0000-0000923D0000}"/>
    <cellStyle name="Normal 4 3 2 4 3" xfId="743" xr:uid="{00000000-0005-0000-0000-0000933D0000}"/>
    <cellStyle name="Normal 4 3 2 4 3 2" xfId="2508" xr:uid="{00000000-0005-0000-0000-0000943D0000}"/>
    <cellStyle name="Normal 4 3 2 4 3 2 2" xfId="9554" xr:uid="{00000000-0005-0000-0000-0000953D0000}"/>
    <cellStyle name="Normal 4 3 2 4 3 2 2 2" xfId="16817" xr:uid="{00000000-0005-0000-0000-0000963D0000}"/>
    <cellStyle name="Normal 4 3 2 4 3 2 2 2 2" xfId="33132" xr:uid="{00000000-0005-0000-0000-0000973D0000}"/>
    <cellStyle name="Normal 4 3 2 4 3 2 2 3" xfId="26167" xr:uid="{00000000-0005-0000-0000-0000983D0000}"/>
    <cellStyle name="Normal 4 3 2 4 3 2 3" xfId="12896" xr:uid="{00000000-0005-0000-0000-0000993D0000}"/>
    <cellStyle name="Normal 4 3 2 4 3 2 3 2" xfId="29471" xr:uid="{00000000-0005-0000-0000-00009A3D0000}"/>
    <cellStyle name="Normal 4 3 2 4 3 2 4" xfId="6203" xr:uid="{00000000-0005-0000-0000-00009B3D0000}"/>
    <cellStyle name="Normal 4 3 2 4 3 2 4 2" xfId="22867" xr:uid="{00000000-0005-0000-0000-00009C3D0000}"/>
    <cellStyle name="Normal 4 3 2 4 3 2 5" xfId="19235" xr:uid="{00000000-0005-0000-0000-00009D3D0000}"/>
    <cellStyle name="Normal 4 3 2 4 3 3" xfId="7933" xr:uid="{00000000-0005-0000-0000-00009E3D0000}"/>
    <cellStyle name="Normal 4 3 2 4 3 3 2" xfId="15196" xr:uid="{00000000-0005-0000-0000-00009F3D0000}"/>
    <cellStyle name="Normal 4 3 2 4 3 3 2 2" xfId="31511" xr:uid="{00000000-0005-0000-0000-0000A03D0000}"/>
    <cellStyle name="Normal 4 3 2 4 3 3 3" xfId="24546" xr:uid="{00000000-0005-0000-0000-0000A13D0000}"/>
    <cellStyle name="Normal 4 3 2 4 3 4" xfId="11248" xr:uid="{00000000-0005-0000-0000-0000A23D0000}"/>
    <cellStyle name="Normal 4 3 2 4 3 4 2" xfId="27846" xr:uid="{00000000-0005-0000-0000-0000A33D0000}"/>
    <cellStyle name="Normal 4 3 2 4 3 5" xfId="4110" xr:uid="{00000000-0005-0000-0000-0000A43D0000}"/>
    <cellStyle name="Normal 4 3 2 4 3 5 2" xfId="20833" xr:uid="{00000000-0005-0000-0000-0000A53D0000}"/>
    <cellStyle name="Normal 4 3 2 4 3 6" xfId="17556" xr:uid="{00000000-0005-0000-0000-0000A63D0000}"/>
    <cellStyle name="Normal 4 3 2 4 4" xfId="1340" xr:uid="{00000000-0005-0000-0000-0000A73D0000}"/>
    <cellStyle name="Normal 4 3 2 4 4 2" xfId="8741" xr:uid="{00000000-0005-0000-0000-0000A83D0000}"/>
    <cellStyle name="Normal 4 3 2 4 4 2 2" xfId="16004" xr:uid="{00000000-0005-0000-0000-0000A93D0000}"/>
    <cellStyle name="Normal 4 3 2 4 4 2 2 2" xfId="32319" xr:uid="{00000000-0005-0000-0000-0000AA3D0000}"/>
    <cellStyle name="Normal 4 3 2 4 4 2 3" xfId="25354" xr:uid="{00000000-0005-0000-0000-0000AB3D0000}"/>
    <cellStyle name="Normal 4 3 2 4 4 3" xfId="12083" xr:uid="{00000000-0005-0000-0000-0000AC3D0000}"/>
    <cellStyle name="Normal 4 3 2 4 4 3 2" xfId="28658" xr:uid="{00000000-0005-0000-0000-0000AD3D0000}"/>
    <cellStyle name="Normal 4 3 2 4 4 4" xfId="5390" xr:uid="{00000000-0005-0000-0000-0000AE3D0000}"/>
    <cellStyle name="Normal 4 3 2 4 4 4 2" xfId="22054" xr:uid="{00000000-0005-0000-0000-0000AF3D0000}"/>
    <cellStyle name="Normal 4 3 2 4 4 5" xfId="18075" xr:uid="{00000000-0005-0000-0000-0000B03D0000}"/>
    <cellStyle name="Normal 4 3 2 4 5" xfId="2505" xr:uid="{00000000-0005-0000-0000-0000B13D0000}"/>
    <cellStyle name="Normal 4 3 2 4 5 2" xfId="14384" xr:uid="{00000000-0005-0000-0000-0000B23D0000}"/>
    <cellStyle name="Normal 4 3 2 4 5 2 2" xfId="30699" xr:uid="{00000000-0005-0000-0000-0000B33D0000}"/>
    <cellStyle name="Normal 4 3 2 4 5 3" xfId="7121" xr:uid="{00000000-0005-0000-0000-0000B43D0000}"/>
    <cellStyle name="Normal 4 3 2 4 5 3 2" xfId="23734" xr:uid="{00000000-0005-0000-0000-0000B53D0000}"/>
    <cellStyle name="Normal 4 3 2 4 5 4" xfId="19232" xr:uid="{00000000-0005-0000-0000-0000B63D0000}"/>
    <cellStyle name="Normal 4 3 2 4 6" xfId="10436" xr:uid="{00000000-0005-0000-0000-0000B73D0000}"/>
    <cellStyle name="Normal 4 3 2 4 6 2" xfId="27034" xr:uid="{00000000-0005-0000-0000-0000B83D0000}"/>
    <cellStyle name="Normal 4 3 2 4 7" xfId="4107" xr:uid="{00000000-0005-0000-0000-0000B93D0000}"/>
    <cellStyle name="Normal 4 3 2 4 7 2" xfId="20830" xr:uid="{00000000-0005-0000-0000-0000BA3D0000}"/>
    <cellStyle name="Normal 4 3 2 4 8" xfId="17451" xr:uid="{00000000-0005-0000-0000-0000BB3D0000}"/>
    <cellStyle name="Normal 4 3 2 5" xfId="853" xr:uid="{00000000-0005-0000-0000-0000BC3D0000}"/>
    <cellStyle name="Normal 4 3 2 5 2" xfId="1422" xr:uid="{00000000-0005-0000-0000-0000BD3D0000}"/>
    <cellStyle name="Normal 4 3 2 5 2 2" xfId="2510" xr:uid="{00000000-0005-0000-0000-0000BE3D0000}"/>
    <cellStyle name="Normal 4 3 2 5 2 2 2" xfId="9748" xr:uid="{00000000-0005-0000-0000-0000BF3D0000}"/>
    <cellStyle name="Normal 4 3 2 5 2 2 2 2" xfId="17011" xr:uid="{00000000-0005-0000-0000-0000C03D0000}"/>
    <cellStyle name="Normal 4 3 2 5 2 2 2 2 2" xfId="33326" xr:uid="{00000000-0005-0000-0000-0000C13D0000}"/>
    <cellStyle name="Normal 4 3 2 5 2 2 2 3" xfId="26361" xr:uid="{00000000-0005-0000-0000-0000C23D0000}"/>
    <cellStyle name="Normal 4 3 2 5 2 2 3" xfId="13090" xr:uid="{00000000-0005-0000-0000-0000C33D0000}"/>
    <cellStyle name="Normal 4 3 2 5 2 2 3 2" xfId="29665" xr:uid="{00000000-0005-0000-0000-0000C43D0000}"/>
    <cellStyle name="Normal 4 3 2 5 2 2 4" xfId="6397" xr:uid="{00000000-0005-0000-0000-0000C53D0000}"/>
    <cellStyle name="Normal 4 3 2 5 2 2 4 2" xfId="23061" xr:uid="{00000000-0005-0000-0000-0000C63D0000}"/>
    <cellStyle name="Normal 4 3 2 5 2 2 5" xfId="19237" xr:uid="{00000000-0005-0000-0000-0000C73D0000}"/>
    <cellStyle name="Normal 4 3 2 5 2 3" xfId="8127" xr:uid="{00000000-0005-0000-0000-0000C83D0000}"/>
    <cellStyle name="Normal 4 3 2 5 2 3 2" xfId="15390" xr:uid="{00000000-0005-0000-0000-0000C93D0000}"/>
    <cellStyle name="Normal 4 3 2 5 2 3 2 2" xfId="31705" xr:uid="{00000000-0005-0000-0000-0000CA3D0000}"/>
    <cellStyle name="Normal 4 3 2 5 2 3 3" xfId="24740" xr:uid="{00000000-0005-0000-0000-0000CB3D0000}"/>
    <cellStyle name="Normal 4 3 2 5 2 4" xfId="11442" xr:uid="{00000000-0005-0000-0000-0000CC3D0000}"/>
    <cellStyle name="Normal 4 3 2 5 2 4 2" xfId="28040" xr:uid="{00000000-0005-0000-0000-0000CD3D0000}"/>
    <cellStyle name="Normal 4 3 2 5 2 5" xfId="4112" xr:uid="{00000000-0005-0000-0000-0000CE3D0000}"/>
    <cellStyle name="Normal 4 3 2 5 2 5 2" xfId="20835" xr:uid="{00000000-0005-0000-0000-0000CF3D0000}"/>
    <cellStyle name="Normal 4 3 2 5 2 6" xfId="18157" xr:uid="{00000000-0005-0000-0000-0000D03D0000}"/>
    <cellStyle name="Normal 4 3 2 5 3" xfId="2509" xr:uid="{00000000-0005-0000-0000-0000D13D0000}"/>
    <cellStyle name="Normal 4 3 2 5 3 2" xfId="8936" xr:uid="{00000000-0005-0000-0000-0000D23D0000}"/>
    <cellStyle name="Normal 4 3 2 5 3 2 2" xfId="16199" xr:uid="{00000000-0005-0000-0000-0000D33D0000}"/>
    <cellStyle name="Normal 4 3 2 5 3 2 2 2" xfId="32514" xr:uid="{00000000-0005-0000-0000-0000D43D0000}"/>
    <cellStyle name="Normal 4 3 2 5 3 2 3" xfId="25549" xr:uid="{00000000-0005-0000-0000-0000D53D0000}"/>
    <cellStyle name="Normal 4 3 2 5 3 3" xfId="12278" xr:uid="{00000000-0005-0000-0000-0000D63D0000}"/>
    <cellStyle name="Normal 4 3 2 5 3 3 2" xfId="28853" xr:uid="{00000000-0005-0000-0000-0000D73D0000}"/>
    <cellStyle name="Normal 4 3 2 5 3 4" xfId="5585" xr:uid="{00000000-0005-0000-0000-0000D83D0000}"/>
    <cellStyle name="Normal 4 3 2 5 3 4 2" xfId="22249" xr:uid="{00000000-0005-0000-0000-0000D93D0000}"/>
    <cellStyle name="Normal 4 3 2 5 3 5" xfId="19236" xr:uid="{00000000-0005-0000-0000-0000DA3D0000}"/>
    <cellStyle name="Normal 4 3 2 5 4" xfId="7315" xr:uid="{00000000-0005-0000-0000-0000DB3D0000}"/>
    <cellStyle name="Normal 4 3 2 5 4 2" xfId="14578" xr:uid="{00000000-0005-0000-0000-0000DC3D0000}"/>
    <cellStyle name="Normal 4 3 2 5 4 2 2" xfId="30893" xr:uid="{00000000-0005-0000-0000-0000DD3D0000}"/>
    <cellStyle name="Normal 4 3 2 5 4 3" xfId="23928" xr:uid="{00000000-0005-0000-0000-0000DE3D0000}"/>
    <cellStyle name="Normal 4 3 2 5 5" xfId="10630" xr:uid="{00000000-0005-0000-0000-0000DF3D0000}"/>
    <cellStyle name="Normal 4 3 2 5 5 2" xfId="27228" xr:uid="{00000000-0005-0000-0000-0000E03D0000}"/>
    <cellStyle name="Normal 4 3 2 5 6" xfId="4111" xr:uid="{00000000-0005-0000-0000-0000E13D0000}"/>
    <cellStyle name="Normal 4 3 2 5 6 2" xfId="20834" xr:uid="{00000000-0005-0000-0000-0000E23D0000}"/>
    <cellStyle name="Normal 4 3 2 5 7" xfId="17638" xr:uid="{00000000-0005-0000-0000-0000E33D0000}"/>
    <cellStyle name="Normal 4 3 2 6" xfId="708" xr:uid="{00000000-0005-0000-0000-0000E43D0000}"/>
    <cellStyle name="Normal 4 3 2 6 2" xfId="2511" xr:uid="{00000000-0005-0000-0000-0000E53D0000}"/>
    <cellStyle name="Normal 4 3 2 6 2 2" xfId="9342" xr:uid="{00000000-0005-0000-0000-0000E63D0000}"/>
    <cellStyle name="Normal 4 3 2 6 2 2 2" xfId="16605" xr:uid="{00000000-0005-0000-0000-0000E73D0000}"/>
    <cellStyle name="Normal 4 3 2 6 2 2 2 2" xfId="32920" xr:uid="{00000000-0005-0000-0000-0000E83D0000}"/>
    <cellStyle name="Normal 4 3 2 6 2 2 3" xfId="25955" xr:uid="{00000000-0005-0000-0000-0000E93D0000}"/>
    <cellStyle name="Normal 4 3 2 6 2 3" xfId="12684" xr:uid="{00000000-0005-0000-0000-0000EA3D0000}"/>
    <cellStyle name="Normal 4 3 2 6 2 3 2" xfId="29259" xr:uid="{00000000-0005-0000-0000-0000EB3D0000}"/>
    <cellStyle name="Normal 4 3 2 6 2 4" xfId="5991" xr:uid="{00000000-0005-0000-0000-0000EC3D0000}"/>
    <cellStyle name="Normal 4 3 2 6 2 4 2" xfId="22655" xr:uid="{00000000-0005-0000-0000-0000ED3D0000}"/>
    <cellStyle name="Normal 4 3 2 6 2 5" xfId="19238" xr:uid="{00000000-0005-0000-0000-0000EE3D0000}"/>
    <cellStyle name="Normal 4 3 2 6 3" xfId="7721" xr:uid="{00000000-0005-0000-0000-0000EF3D0000}"/>
    <cellStyle name="Normal 4 3 2 6 3 2" xfId="14984" xr:uid="{00000000-0005-0000-0000-0000F03D0000}"/>
    <cellStyle name="Normal 4 3 2 6 3 2 2" xfId="31299" xr:uid="{00000000-0005-0000-0000-0000F13D0000}"/>
    <cellStyle name="Normal 4 3 2 6 3 3" xfId="24334" xr:uid="{00000000-0005-0000-0000-0000F23D0000}"/>
    <cellStyle name="Normal 4 3 2 6 4" xfId="11036" xr:uid="{00000000-0005-0000-0000-0000F33D0000}"/>
    <cellStyle name="Normal 4 3 2 6 4 2" xfId="27634" xr:uid="{00000000-0005-0000-0000-0000F43D0000}"/>
    <cellStyle name="Normal 4 3 2 6 5" xfId="4113" xr:uid="{00000000-0005-0000-0000-0000F53D0000}"/>
    <cellStyle name="Normal 4 3 2 6 5 2" xfId="20836" xr:uid="{00000000-0005-0000-0000-0000F63D0000}"/>
    <cellStyle name="Normal 4 3 2 6 6" xfId="17521" xr:uid="{00000000-0005-0000-0000-0000F73D0000}"/>
    <cellStyle name="Normal 4 3 2 7" xfId="1305" xr:uid="{00000000-0005-0000-0000-0000F83D0000}"/>
    <cellStyle name="Normal 4 3 2 7 2" xfId="8487" xr:uid="{00000000-0005-0000-0000-0000F93D0000}"/>
    <cellStyle name="Normal 4 3 2 7 2 2" xfId="15750" xr:uid="{00000000-0005-0000-0000-0000FA3D0000}"/>
    <cellStyle name="Normal 4 3 2 7 2 2 2" xfId="32065" xr:uid="{00000000-0005-0000-0000-0000FB3D0000}"/>
    <cellStyle name="Normal 4 3 2 7 2 3" xfId="25100" xr:uid="{00000000-0005-0000-0000-0000FC3D0000}"/>
    <cellStyle name="Normal 4 3 2 7 3" xfId="11828" xr:uid="{00000000-0005-0000-0000-0000FD3D0000}"/>
    <cellStyle name="Normal 4 3 2 7 3 2" xfId="28404" xr:uid="{00000000-0005-0000-0000-0000FE3D0000}"/>
    <cellStyle name="Normal 4 3 2 7 4" xfId="5134" xr:uid="{00000000-0005-0000-0000-0000FF3D0000}"/>
    <cellStyle name="Normal 4 3 2 7 4 2" xfId="21800" xr:uid="{00000000-0005-0000-0000-0000003E0000}"/>
    <cellStyle name="Normal 4 3 2 7 5" xfId="18040" xr:uid="{00000000-0005-0000-0000-0000013E0000}"/>
    <cellStyle name="Normal 4 3 2 8" xfId="2480" xr:uid="{00000000-0005-0000-0000-0000023E0000}"/>
    <cellStyle name="Normal 4 3 2 8 2" xfId="14131" xr:uid="{00000000-0005-0000-0000-0000033E0000}"/>
    <cellStyle name="Normal 4 3 2 8 2 2" xfId="30446" xr:uid="{00000000-0005-0000-0000-0000043E0000}"/>
    <cellStyle name="Normal 4 3 2 8 3" xfId="6868" xr:uid="{00000000-0005-0000-0000-0000053E0000}"/>
    <cellStyle name="Normal 4 3 2 8 3 2" xfId="23481" xr:uid="{00000000-0005-0000-0000-0000063E0000}"/>
    <cellStyle name="Normal 4 3 2 8 4" xfId="19207" xr:uid="{00000000-0005-0000-0000-0000073E0000}"/>
    <cellStyle name="Normal 4 3 2 9" xfId="10181" xr:uid="{00000000-0005-0000-0000-0000083E0000}"/>
    <cellStyle name="Normal 4 3 2 9 2" xfId="26781" xr:uid="{00000000-0005-0000-0000-0000093E0000}"/>
    <cellStyle name="Normal 4 3 3" xfId="887" xr:uid="{00000000-0005-0000-0000-00000A3E0000}"/>
    <cellStyle name="Normal 4 3 3 10" xfId="4114" xr:uid="{00000000-0005-0000-0000-00000B3E0000}"/>
    <cellStyle name="Normal 4 3 3 10 2" xfId="20837" xr:uid="{00000000-0005-0000-0000-00000C3E0000}"/>
    <cellStyle name="Normal 4 3 3 11" xfId="17665" xr:uid="{00000000-0005-0000-0000-00000D3E0000}"/>
    <cellStyle name="Normal 4 3 3 2" xfId="940" xr:uid="{00000000-0005-0000-0000-00000E3E0000}"/>
    <cellStyle name="Normal 4 3 3 2 10" xfId="17718" xr:uid="{00000000-0005-0000-0000-00000F3E0000}"/>
    <cellStyle name="Normal 4 3 3 2 2" xfId="1047" xr:uid="{00000000-0005-0000-0000-0000103E0000}"/>
    <cellStyle name="Normal 4 3 3 2 2 2" xfId="1164" xr:uid="{00000000-0005-0000-0000-0000113E0000}"/>
    <cellStyle name="Normal 4 3 3 2 2 2 2" xfId="1685" xr:uid="{00000000-0005-0000-0000-0000123E0000}"/>
    <cellStyle name="Normal 4 3 3 2 2 2 2 2" xfId="2517" xr:uid="{00000000-0005-0000-0000-0000133E0000}"/>
    <cellStyle name="Normal 4 3 3 2 2 2 2 2 2" xfId="6579" xr:uid="{00000000-0005-0000-0000-0000143E0000}"/>
    <cellStyle name="Normal 4 3 3 2 2 2 2 2 2 2" xfId="9930" xr:uid="{00000000-0005-0000-0000-0000153E0000}"/>
    <cellStyle name="Normal 4 3 3 2 2 2 2 2 2 2 2" xfId="17193" xr:uid="{00000000-0005-0000-0000-0000163E0000}"/>
    <cellStyle name="Normal 4 3 3 2 2 2 2 2 2 2 2 2" xfId="33508" xr:uid="{00000000-0005-0000-0000-0000173E0000}"/>
    <cellStyle name="Normal 4 3 3 2 2 2 2 2 2 2 3" xfId="26543" xr:uid="{00000000-0005-0000-0000-0000183E0000}"/>
    <cellStyle name="Normal 4 3 3 2 2 2 2 2 2 3" xfId="13272" xr:uid="{00000000-0005-0000-0000-0000193E0000}"/>
    <cellStyle name="Normal 4 3 3 2 2 2 2 2 2 3 2" xfId="29847" xr:uid="{00000000-0005-0000-0000-00001A3E0000}"/>
    <cellStyle name="Normal 4 3 3 2 2 2 2 2 2 4" xfId="23243" xr:uid="{00000000-0005-0000-0000-00001B3E0000}"/>
    <cellStyle name="Normal 4 3 3 2 2 2 2 2 3" xfId="8309" xr:uid="{00000000-0005-0000-0000-00001C3E0000}"/>
    <cellStyle name="Normal 4 3 3 2 2 2 2 2 3 2" xfId="15572" xr:uid="{00000000-0005-0000-0000-00001D3E0000}"/>
    <cellStyle name="Normal 4 3 3 2 2 2 2 2 3 2 2" xfId="31887" xr:uid="{00000000-0005-0000-0000-00001E3E0000}"/>
    <cellStyle name="Normal 4 3 3 2 2 2 2 2 3 3" xfId="24922" xr:uid="{00000000-0005-0000-0000-00001F3E0000}"/>
    <cellStyle name="Normal 4 3 3 2 2 2 2 2 4" xfId="11624" xr:uid="{00000000-0005-0000-0000-0000203E0000}"/>
    <cellStyle name="Normal 4 3 3 2 2 2 2 2 4 2" xfId="28222" xr:uid="{00000000-0005-0000-0000-0000213E0000}"/>
    <cellStyle name="Normal 4 3 3 2 2 2 2 2 5" xfId="4119" xr:uid="{00000000-0005-0000-0000-0000223E0000}"/>
    <cellStyle name="Normal 4 3 3 2 2 2 2 2 5 2" xfId="20842" xr:uid="{00000000-0005-0000-0000-0000233E0000}"/>
    <cellStyle name="Normal 4 3 3 2 2 2 2 2 6" xfId="19244" xr:uid="{00000000-0005-0000-0000-0000243E0000}"/>
    <cellStyle name="Normal 4 3 3 2 2 2 2 3" xfId="2516" xr:uid="{00000000-0005-0000-0000-0000253E0000}"/>
    <cellStyle name="Normal 4 3 3 2 2 2 2 3 2" xfId="9154" xr:uid="{00000000-0005-0000-0000-0000263E0000}"/>
    <cellStyle name="Normal 4 3 3 2 2 2 2 3 2 2" xfId="16417" xr:uid="{00000000-0005-0000-0000-0000273E0000}"/>
    <cellStyle name="Normal 4 3 3 2 2 2 2 3 2 2 2" xfId="32732" xr:uid="{00000000-0005-0000-0000-0000283E0000}"/>
    <cellStyle name="Normal 4 3 3 2 2 2 2 3 2 3" xfId="25767" xr:uid="{00000000-0005-0000-0000-0000293E0000}"/>
    <cellStyle name="Normal 4 3 3 2 2 2 2 3 3" xfId="12496" xr:uid="{00000000-0005-0000-0000-00002A3E0000}"/>
    <cellStyle name="Normal 4 3 3 2 2 2 2 3 3 2" xfId="29071" xr:uid="{00000000-0005-0000-0000-00002B3E0000}"/>
    <cellStyle name="Normal 4 3 3 2 2 2 2 3 4" xfId="5803" xr:uid="{00000000-0005-0000-0000-00002C3E0000}"/>
    <cellStyle name="Normal 4 3 3 2 2 2 2 3 4 2" xfId="22467" xr:uid="{00000000-0005-0000-0000-00002D3E0000}"/>
    <cellStyle name="Normal 4 3 3 2 2 2 2 3 5" xfId="19243" xr:uid="{00000000-0005-0000-0000-00002E3E0000}"/>
    <cellStyle name="Normal 4 3 3 2 2 2 2 4" xfId="7533" xr:uid="{00000000-0005-0000-0000-00002F3E0000}"/>
    <cellStyle name="Normal 4 3 3 2 2 2 2 4 2" xfId="14796" xr:uid="{00000000-0005-0000-0000-0000303E0000}"/>
    <cellStyle name="Normal 4 3 3 2 2 2 2 4 2 2" xfId="31111" xr:uid="{00000000-0005-0000-0000-0000313E0000}"/>
    <cellStyle name="Normal 4 3 3 2 2 2 2 4 3" xfId="24146" xr:uid="{00000000-0005-0000-0000-0000323E0000}"/>
    <cellStyle name="Normal 4 3 3 2 2 2 2 5" xfId="10848" xr:uid="{00000000-0005-0000-0000-0000333E0000}"/>
    <cellStyle name="Normal 4 3 3 2 2 2 2 5 2" xfId="27446" xr:uid="{00000000-0005-0000-0000-0000343E0000}"/>
    <cellStyle name="Normal 4 3 3 2 2 2 2 6" xfId="4118" xr:uid="{00000000-0005-0000-0000-0000353E0000}"/>
    <cellStyle name="Normal 4 3 3 2 2 2 2 6 2" xfId="20841" xr:uid="{00000000-0005-0000-0000-0000363E0000}"/>
    <cellStyle name="Normal 4 3 3 2 2 2 2 7" xfId="18420" xr:uid="{00000000-0005-0000-0000-0000373E0000}"/>
    <cellStyle name="Normal 4 3 3 2 2 2 3" xfId="2518" xr:uid="{00000000-0005-0000-0000-0000383E0000}"/>
    <cellStyle name="Normal 4 3 3 2 2 2 3 2" xfId="6209" xr:uid="{00000000-0005-0000-0000-0000393E0000}"/>
    <cellStyle name="Normal 4 3 3 2 2 2 3 2 2" xfId="9560" xr:uid="{00000000-0005-0000-0000-00003A3E0000}"/>
    <cellStyle name="Normal 4 3 3 2 2 2 3 2 2 2" xfId="16823" xr:uid="{00000000-0005-0000-0000-00003B3E0000}"/>
    <cellStyle name="Normal 4 3 3 2 2 2 3 2 2 2 2" xfId="33138" xr:uid="{00000000-0005-0000-0000-00003C3E0000}"/>
    <cellStyle name="Normal 4 3 3 2 2 2 3 2 2 3" xfId="26173" xr:uid="{00000000-0005-0000-0000-00003D3E0000}"/>
    <cellStyle name="Normal 4 3 3 2 2 2 3 2 3" xfId="12902" xr:uid="{00000000-0005-0000-0000-00003E3E0000}"/>
    <cellStyle name="Normal 4 3 3 2 2 2 3 2 3 2" xfId="29477" xr:uid="{00000000-0005-0000-0000-00003F3E0000}"/>
    <cellStyle name="Normal 4 3 3 2 2 2 3 2 4" xfId="22873" xr:uid="{00000000-0005-0000-0000-0000403E0000}"/>
    <cellStyle name="Normal 4 3 3 2 2 2 3 3" xfId="7939" xr:uid="{00000000-0005-0000-0000-0000413E0000}"/>
    <cellStyle name="Normal 4 3 3 2 2 2 3 3 2" xfId="15202" xr:uid="{00000000-0005-0000-0000-0000423E0000}"/>
    <cellStyle name="Normal 4 3 3 2 2 2 3 3 2 2" xfId="31517" xr:uid="{00000000-0005-0000-0000-0000433E0000}"/>
    <cellStyle name="Normal 4 3 3 2 2 2 3 3 3" xfId="24552" xr:uid="{00000000-0005-0000-0000-0000443E0000}"/>
    <cellStyle name="Normal 4 3 3 2 2 2 3 4" xfId="11254" xr:uid="{00000000-0005-0000-0000-0000453E0000}"/>
    <cellStyle name="Normal 4 3 3 2 2 2 3 4 2" xfId="27852" xr:uid="{00000000-0005-0000-0000-0000463E0000}"/>
    <cellStyle name="Normal 4 3 3 2 2 2 3 5" xfId="4120" xr:uid="{00000000-0005-0000-0000-0000473E0000}"/>
    <cellStyle name="Normal 4 3 3 2 2 2 3 5 2" xfId="20843" xr:uid="{00000000-0005-0000-0000-0000483E0000}"/>
    <cellStyle name="Normal 4 3 3 2 2 2 3 6" xfId="19245" xr:uid="{00000000-0005-0000-0000-0000493E0000}"/>
    <cellStyle name="Normal 4 3 3 2 2 2 4" xfId="2515" xr:uid="{00000000-0005-0000-0000-00004A3E0000}"/>
    <cellStyle name="Normal 4 3 3 2 2 2 4 2" xfId="8747" xr:uid="{00000000-0005-0000-0000-00004B3E0000}"/>
    <cellStyle name="Normal 4 3 3 2 2 2 4 2 2" xfId="16010" xr:uid="{00000000-0005-0000-0000-00004C3E0000}"/>
    <cellStyle name="Normal 4 3 3 2 2 2 4 2 2 2" xfId="32325" xr:uid="{00000000-0005-0000-0000-00004D3E0000}"/>
    <cellStyle name="Normal 4 3 3 2 2 2 4 2 3" xfId="25360" xr:uid="{00000000-0005-0000-0000-00004E3E0000}"/>
    <cellStyle name="Normal 4 3 3 2 2 2 4 3" xfId="12089" xr:uid="{00000000-0005-0000-0000-00004F3E0000}"/>
    <cellStyle name="Normal 4 3 3 2 2 2 4 3 2" xfId="28664" xr:uid="{00000000-0005-0000-0000-0000503E0000}"/>
    <cellStyle name="Normal 4 3 3 2 2 2 4 4" xfId="5396" xr:uid="{00000000-0005-0000-0000-0000513E0000}"/>
    <cellStyle name="Normal 4 3 3 2 2 2 4 4 2" xfId="22060" xr:uid="{00000000-0005-0000-0000-0000523E0000}"/>
    <cellStyle name="Normal 4 3 3 2 2 2 4 5" xfId="19242" xr:uid="{00000000-0005-0000-0000-0000533E0000}"/>
    <cellStyle name="Normal 4 3 3 2 2 2 5" xfId="7127" xr:uid="{00000000-0005-0000-0000-0000543E0000}"/>
    <cellStyle name="Normal 4 3 3 2 2 2 5 2" xfId="14390" xr:uid="{00000000-0005-0000-0000-0000553E0000}"/>
    <cellStyle name="Normal 4 3 3 2 2 2 5 2 2" xfId="30705" xr:uid="{00000000-0005-0000-0000-0000563E0000}"/>
    <cellStyle name="Normal 4 3 3 2 2 2 5 3" xfId="23740" xr:uid="{00000000-0005-0000-0000-0000573E0000}"/>
    <cellStyle name="Normal 4 3 3 2 2 2 6" xfId="10442" xr:uid="{00000000-0005-0000-0000-0000583E0000}"/>
    <cellStyle name="Normal 4 3 3 2 2 2 6 2" xfId="27040" xr:uid="{00000000-0005-0000-0000-0000593E0000}"/>
    <cellStyle name="Normal 4 3 3 2 2 2 7" xfId="4117" xr:uid="{00000000-0005-0000-0000-00005A3E0000}"/>
    <cellStyle name="Normal 4 3 3 2 2 2 7 2" xfId="20840" xr:uid="{00000000-0005-0000-0000-00005B3E0000}"/>
    <cellStyle name="Normal 4 3 3 2 2 2 8" xfId="17901" xr:uid="{00000000-0005-0000-0000-00005C3E0000}"/>
    <cellStyle name="Normal 4 3 3 2 2 3" xfId="1608" xr:uid="{00000000-0005-0000-0000-00005D3E0000}"/>
    <cellStyle name="Normal 4 3 3 2 2 3 2" xfId="2520" xr:uid="{00000000-0005-0000-0000-00005E3E0000}"/>
    <cellStyle name="Normal 4 3 3 2 2 3 2 2" xfId="6403" xr:uid="{00000000-0005-0000-0000-00005F3E0000}"/>
    <cellStyle name="Normal 4 3 3 2 2 3 2 2 2" xfId="9754" xr:uid="{00000000-0005-0000-0000-0000603E0000}"/>
    <cellStyle name="Normal 4 3 3 2 2 3 2 2 2 2" xfId="17017" xr:uid="{00000000-0005-0000-0000-0000613E0000}"/>
    <cellStyle name="Normal 4 3 3 2 2 3 2 2 2 2 2" xfId="33332" xr:uid="{00000000-0005-0000-0000-0000623E0000}"/>
    <cellStyle name="Normal 4 3 3 2 2 3 2 2 2 3" xfId="26367" xr:uid="{00000000-0005-0000-0000-0000633E0000}"/>
    <cellStyle name="Normal 4 3 3 2 2 3 2 2 3" xfId="13096" xr:uid="{00000000-0005-0000-0000-0000643E0000}"/>
    <cellStyle name="Normal 4 3 3 2 2 3 2 2 3 2" xfId="29671" xr:uid="{00000000-0005-0000-0000-0000653E0000}"/>
    <cellStyle name="Normal 4 3 3 2 2 3 2 2 4" xfId="23067" xr:uid="{00000000-0005-0000-0000-0000663E0000}"/>
    <cellStyle name="Normal 4 3 3 2 2 3 2 3" xfId="8133" xr:uid="{00000000-0005-0000-0000-0000673E0000}"/>
    <cellStyle name="Normal 4 3 3 2 2 3 2 3 2" xfId="15396" xr:uid="{00000000-0005-0000-0000-0000683E0000}"/>
    <cellStyle name="Normal 4 3 3 2 2 3 2 3 2 2" xfId="31711" xr:uid="{00000000-0005-0000-0000-0000693E0000}"/>
    <cellStyle name="Normal 4 3 3 2 2 3 2 3 3" xfId="24746" xr:uid="{00000000-0005-0000-0000-00006A3E0000}"/>
    <cellStyle name="Normal 4 3 3 2 2 3 2 4" xfId="11448" xr:uid="{00000000-0005-0000-0000-00006B3E0000}"/>
    <cellStyle name="Normal 4 3 3 2 2 3 2 4 2" xfId="28046" xr:uid="{00000000-0005-0000-0000-00006C3E0000}"/>
    <cellStyle name="Normal 4 3 3 2 2 3 2 5" xfId="4122" xr:uid="{00000000-0005-0000-0000-00006D3E0000}"/>
    <cellStyle name="Normal 4 3 3 2 2 3 2 5 2" xfId="20845" xr:uid="{00000000-0005-0000-0000-00006E3E0000}"/>
    <cellStyle name="Normal 4 3 3 2 2 3 2 6" xfId="19247" xr:uid="{00000000-0005-0000-0000-00006F3E0000}"/>
    <cellStyle name="Normal 4 3 3 2 2 3 3" xfId="2519" xr:uid="{00000000-0005-0000-0000-0000703E0000}"/>
    <cellStyle name="Normal 4 3 3 2 2 3 3 2" xfId="8942" xr:uid="{00000000-0005-0000-0000-0000713E0000}"/>
    <cellStyle name="Normal 4 3 3 2 2 3 3 2 2" xfId="16205" xr:uid="{00000000-0005-0000-0000-0000723E0000}"/>
    <cellStyle name="Normal 4 3 3 2 2 3 3 2 2 2" xfId="32520" xr:uid="{00000000-0005-0000-0000-0000733E0000}"/>
    <cellStyle name="Normal 4 3 3 2 2 3 3 2 3" xfId="25555" xr:uid="{00000000-0005-0000-0000-0000743E0000}"/>
    <cellStyle name="Normal 4 3 3 2 2 3 3 3" xfId="12284" xr:uid="{00000000-0005-0000-0000-0000753E0000}"/>
    <cellStyle name="Normal 4 3 3 2 2 3 3 3 2" xfId="28859" xr:uid="{00000000-0005-0000-0000-0000763E0000}"/>
    <cellStyle name="Normal 4 3 3 2 2 3 3 4" xfId="5591" xr:uid="{00000000-0005-0000-0000-0000773E0000}"/>
    <cellStyle name="Normal 4 3 3 2 2 3 3 4 2" xfId="22255" xr:uid="{00000000-0005-0000-0000-0000783E0000}"/>
    <cellStyle name="Normal 4 3 3 2 2 3 3 5" xfId="19246" xr:uid="{00000000-0005-0000-0000-0000793E0000}"/>
    <cellStyle name="Normal 4 3 3 2 2 3 4" xfId="7321" xr:uid="{00000000-0005-0000-0000-00007A3E0000}"/>
    <cellStyle name="Normal 4 3 3 2 2 3 4 2" xfId="14584" xr:uid="{00000000-0005-0000-0000-00007B3E0000}"/>
    <cellStyle name="Normal 4 3 3 2 2 3 4 2 2" xfId="30899" xr:uid="{00000000-0005-0000-0000-00007C3E0000}"/>
    <cellStyle name="Normal 4 3 3 2 2 3 4 3" xfId="23934" xr:uid="{00000000-0005-0000-0000-00007D3E0000}"/>
    <cellStyle name="Normal 4 3 3 2 2 3 5" xfId="10636" xr:uid="{00000000-0005-0000-0000-00007E3E0000}"/>
    <cellStyle name="Normal 4 3 3 2 2 3 5 2" xfId="27234" xr:uid="{00000000-0005-0000-0000-00007F3E0000}"/>
    <cellStyle name="Normal 4 3 3 2 2 3 6" xfId="4121" xr:uid="{00000000-0005-0000-0000-0000803E0000}"/>
    <cellStyle name="Normal 4 3 3 2 2 3 6 2" xfId="20844" xr:uid="{00000000-0005-0000-0000-0000813E0000}"/>
    <cellStyle name="Normal 4 3 3 2 2 3 7" xfId="18343" xr:uid="{00000000-0005-0000-0000-0000823E0000}"/>
    <cellStyle name="Normal 4 3 3 2 2 4" xfId="2521" xr:uid="{00000000-0005-0000-0000-0000833E0000}"/>
    <cellStyle name="Normal 4 3 3 2 2 4 2" xfId="5997" xr:uid="{00000000-0005-0000-0000-0000843E0000}"/>
    <cellStyle name="Normal 4 3 3 2 2 4 2 2" xfId="9348" xr:uid="{00000000-0005-0000-0000-0000853E0000}"/>
    <cellStyle name="Normal 4 3 3 2 2 4 2 2 2" xfId="16611" xr:uid="{00000000-0005-0000-0000-0000863E0000}"/>
    <cellStyle name="Normal 4 3 3 2 2 4 2 2 2 2" xfId="32926" xr:uid="{00000000-0005-0000-0000-0000873E0000}"/>
    <cellStyle name="Normal 4 3 3 2 2 4 2 2 3" xfId="25961" xr:uid="{00000000-0005-0000-0000-0000883E0000}"/>
    <cellStyle name="Normal 4 3 3 2 2 4 2 3" xfId="12690" xr:uid="{00000000-0005-0000-0000-0000893E0000}"/>
    <cellStyle name="Normal 4 3 3 2 2 4 2 3 2" xfId="29265" xr:uid="{00000000-0005-0000-0000-00008A3E0000}"/>
    <cellStyle name="Normal 4 3 3 2 2 4 2 4" xfId="22661" xr:uid="{00000000-0005-0000-0000-00008B3E0000}"/>
    <cellStyle name="Normal 4 3 3 2 2 4 3" xfId="7727" xr:uid="{00000000-0005-0000-0000-00008C3E0000}"/>
    <cellStyle name="Normal 4 3 3 2 2 4 3 2" xfId="14990" xr:uid="{00000000-0005-0000-0000-00008D3E0000}"/>
    <cellStyle name="Normal 4 3 3 2 2 4 3 2 2" xfId="31305" xr:uid="{00000000-0005-0000-0000-00008E3E0000}"/>
    <cellStyle name="Normal 4 3 3 2 2 4 3 3" xfId="24340" xr:uid="{00000000-0005-0000-0000-00008F3E0000}"/>
    <cellStyle name="Normal 4 3 3 2 2 4 4" xfId="11042" xr:uid="{00000000-0005-0000-0000-0000903E0000}"/>
    <cellStyle name="Normal 4 3 3 2 2 4 4 2" xfId="27640" xr:uid="{00000000-0005-0000-0000-0000913E0000}"/>
    <cellStyle name="Normal 4 3 3 2 2 4 5" xfId="4123" xr:uid="{00000000-0005-0000-0000-0000923E0000}"/>
    <cellStyle name="Normal 4 3 3 2 2 4 5 2" xfId="20846" xr:uid="{00000000-0005-0000-0000-0000933E0000}"/>
    <cellStyle name="Normal 4 3 3 2 2 4 6" xfId="19248" xr:uid="{00000000-0005-0000-0000-0000943E0000}"/>
    <cellStyle name="Normal 4 3 3 2 2 5" xfId="2514" xr:uid="{00000000-0005-0000-0000-0000953E0000}"/>
    <cellStyle name="Normal 4 3 3 2 2 5 2" xfId="8669" xr:uid="{00000000-0005-0000-0000-0000963E0000}"/>
    <cellStyle name="Normal 4 3 3 2 2 5 2 2" xfId="15932" xr:uid="{00000000-0005-0000-0000-0000973E0000}"/>
    <cellStyle name="Normal 4 3 3 2 2 5 2 2 2" xfId="32247" xr:uid="{00000000-0005-0000-0000-0000983E0000}"/>
    <cellStyle name="Normal 4 3 3 2 2 5 2 3" xfId="25282" xr:uid="{00000000-0005-0000-0000-0000993E0000}"/>
    <cellStyle name="Normal 4 3 3 2 2 5 3" xfId="12011" xr:uid="{00000000-0005-0000-0000-00009A3E0000}"/>
    <cellStyle name="Normal 4 3 3 2 2 5 3 2" xfId="28586" xr:uid="{00000000-0005-0000-0000-00009B3E0000}"/>
    <cellStyle name="Normal 4 3 3 2 2 5 4" xfId="5318" xr:uid="{00000000-0005-0000-0000-00009C3E0000}"/>
    <cellStyle name="Normal 4 3 3 2 2 5 4 2" xfId="21982" xr:uid="{00000000-0005-0000-0000-00009D3E0000}"/>
    <cellStyle name="Normal 4 3 3 2 2 5 5" xfId="19241" xr:uid="{00000000-0005-0000-0000-00009E3E0000}"/>
    <cellStyle name="Normal 4 3 3 2 2 6" xfId="7050" xr:uid="{00000000-0005-0000-0000-00009F3E0000}"/>
    <cellStyle name="Normal 4 3 3 2 2 6 2" xfId="14313" xr:uid="{00000000-0005-0000-0000-0000A03E0000}"/>
    <cellStyle name="Normal 4 3 3 2 2 6 2 2" xfId="30628" xr:uid="{00000000-0005-0000-0000-0000A13E0000}"/>
    <cellStyle name="Normal 4 3 3 2 2 6 3" xfId="23663" xr:uid="{00000000-0005-0000-0000-0000A23E0000}"/>
    <cellStyle name="Normal 4 3 3 2 2 7" xfId="10364" xr:uid="{00000000-0005-0000-0000-0000A33E0000}"/>
    <cellStyle name="Normal 4 3 3 2 2 7 2" xfId="26963" xr:uid="{00000000-0005-0000-0000-0000A43E0000}"/>
    <cellStyle name="Normal 4 3 3 2 2 8" xfId="4116" xr:uid="{00000000-0005-0000-0000-0000A53E0000}"/>
    <cellStyle name="Normal 4 3 3 2 2 8 2" xfId="20839" xr:uid="{00000000-0005-0000-0000-0000A63E0000}"/>
    <cellStyle name="Normal 4 3 3 2 2 9" xfId="17824" xr:uid="{00000000-0005-0000-0000-0000A73E0000}"/>
    <cellStyle name="Normal 4 3 3 2 3" xfId="1163" xr:uid="{00000000-0005-0000-0000-0000A83E0000}"/>
    <cellStyle name="Normal 4 3 3 2 3 2" xfId="1684" xr:uid="{00000000-0005-0000-0000-0000A93E0000}"/>
    <cellStyle name="Normal 4 3 3 2 3 2 2" xfId="2524" xr:uid="{00000000-0005-0000-0000-0000AA3E0000}"/>
    <cellStyle name="Normal 4 3 3 2 3 2 2 2" xfId="6578" xr:uid="{00000000-0005-0000-0000-0000AB3E0000}"/>
    <cellStyle name="Normal 4 3 3 2 3 2 2 2 2" xfId="9929" xr:uid="{00000000-0005-0000-0000-0000AC3E0000}"/>
    <cellStyle name="Normal 4 3 3 2 3 2 2 2 2 2" xfId="17192" xr:uid="{00000000-0005-0000-0000-0000AD3E0000}"/>
    <cellStyle name="Normal 4 3 3 2 3 2 2 2 2 2 2" xfId="33507" xr:uid="{00000000-0005-0000-0000-0000AE3E0000}"/>
    <cellStyle name="Normal 4 3 3 2 3 2 2 2 2 3" xfId="26542" xr:uid="{00000000-0005-0000-0000-0000AF3E0000}"/>
    <cellStyle name="Normal 4 3 3 2 3 2 2 2 3" xfId="13271" xr:uid="{00000000-0005-0000-0000-0000B03E0000}"/>
    <cellStyle name="Normal 4 3 3 2 3 2 2 2 3 2" xfId="29846" xr:uid="{00000000-0005-0000-0000-0000B13E0000}"/>
    <cellStyle name="Normal 4 3 3 2 3 2 2 2 4" xfId="23242" xr:uid="{00000000-0005-0000-0000-0000B23E0000}"/>
    <cellStyle name="Normal 4 3 3 2 3 2 2 3" xfId="8308" xr:uid="{00000000-0005-0000-0000-0000B33E0000}"/>
    <cellStyle name="Normal 4 3 3 2 3 2 2 3 2" xfId="15571" xr:uid="{00000000-0005-0000-0000-0000B43E0000}"/>
    <cellStyle name="Normal 4 3 3 2 3 2 2 3 2 2" xfId="31886" xr:uid="{00000000-0005-0000-0000-0000B53E0000}"/>
    <cellStyle name="Normal 4 3 3 2 3 2 2 3 3" xfId="24921" xr:uid="{00000000-0005-0000-0000-0000B63E0000}"/>
    <cellStyle name="Normal 4 3 3 2 3 2 2 4" xfId="11623" xr:uid="{00000000-0005-0000-0000-0000B73E0000}"/>
    <cellStyle name="Normal 4 3 3 2 3 2 2 4 2" xfId="28221" xr:uid="{00000000-0005-0000-0000-0000B83E0000}"/>
    <cellStyle name="Normal 4 3 3 2 3 2 2 5" xfId="4126" xr:uid="{00000000-0005-0000-0000-0000B93E0000}"/>
    <cellStyle name="Normal 4 3 3 2 3 2 2 5 2" xfId="20849" xr:uid="{00000000-0005-0000-0000-0000BA3E0000}"/>
    <cellStyle name="Normal 4 3 3 2 3 2 2 6" xfId="19251" xr:uid="{00000000-0005-0000-0000-0000BB3E0000}"/>
    <cellStyle name="Normal 4 3 3 2 3 2 3" xfId="2523" xr:uid="{00000000-0005-0000-0000-0000BC3E0000}"/>
    <cellStyle name="Normal 4 3 3 2 3 2 3 2" xfId="9153" xr:uid="{00000000-0005-0000-0000-0000BD3E0000}"/>
    <cellStyle name="Normal 4 3 3 2 3 2 3 2 2" xfId="16416" xr:uid="{00000000-0005-0000-0000-0000BE3E0000}"/>
    <cellStyle name="Normal 4 3 3 2 3 2 3 2 2 2" xfId="32731" xr:uid="{00000000-0005-0000-0000-0000BF3E0000}"/>
    <cellStyle name="Normal 4 3 3 2 3 2 3 2 3" xfId="25766" xr:uid="{00000000-0005-0000-0000-0000C03E0000}"/>
    <cellStyle name="Normal 4 3 3 2 3 2 3 3" xfId="12495" xr:uid="{00000000-0005-0000-0000-0000C13E0000}"/>
    <cellStyle name="Normal 4 3 3 2 3 2 3 3 2" xfId="29070" xr:uid="{00000000-0005-0000-0000-0000C23E0000}"/>
    <cellStyle name="Normal 4 3 3 2 3 2 3 4" xfId="5802" xr:uid="{00000000-0005-0000-0000-0000C33E0000}"/>
    <cellStyle name="Normal 4 3 3 2 3 2 3 4 2" xfId="22466" xr:uid="{00000000-0005-0000-0000-0000C43E0000}"/>
    <cellStyle name="Normal 4 3 3 2 3 2 3 5" xfId="19250" xr:uid="{00000000-0005-0000-0000-0000C53E0000}"/>
    <cellStyle name="Normal 4 3 3 2 3 2 4" xfId="7532" xr:uid="{00000000-0005-0000-0000-0000C63E0000}"/>
    <cellStyle name="Normal 4 3 3 2 3 2 4 2" xfId="14795" xr:uid="{00000000-0005-0000-0000-0000C73E0000}"/>
    <cellStyle name="Normal 4 3 3 2 3 2 4 2 2" xfId="31110" xr:uid="{00000000-0005-0000-0000-0000C83E0000}"/>
    <cellStyle name="Normal 4 3 3 2 3 2 4 3" xfId="24145" xr:uid="{00000000-0005-0000-0000-0000C93E0000}"/>
    <cellStyle name="Normal 4 3 3 2 3 2 5" xfId="10847" xr:uid="{00000000-0005-0000-0000-0000CA3E0000}"/>
    <cellStyle name="Normal 4 3 3 2 3 2 5 2" xfId="27445" xr:uid="{00000000-0005-0000-0000-0000CB3E0000}"/>
    <cellStyle name="Normal 4 3 3 2 3 2 6" xfId="4125" xr:uid="{00000000-0005-0000-0000-0000CC3E0000}"/>
    <cellStyle name="Normal 4 3 3 2 3 2 6 2" xfId="20848" xr:uid="{00000000-0005-0000-0000-0000CD3E0000}"/>
    <cellStyle name="Normal 4 3 3 2 3 2 7" xfId="18419" xr:uid="{00000000-0005-0000-0000-0000CE3E0000}"/>
    <cellStyle name="Normal 4 3 3 2 3 3" xfId="2525" xr:uid="{00000000-0005-0000-0000-0000CF3E0000}"/>
    <cellStyle name="Normal 4 3 3 2 3 3 2" xfId="6208" xr:uid="{00000000-0005-0000-0000-0000D03E0000}"/>
    <cellStyle name="Normal 4 3 3 2 3 3 2 2" xfId="9559" xr:uid="{00000000-0005-0000-0000-0000D13E0000}"/>
    <cellStyle name="Normal 4 3 3 2 3 3 2 2 2" xfId="16822" xr:uid="{00000000-0005-0000-0000-0000D23E0000}"/>
    <cellStyle name="Normal 4 3 3 2 3 3 2 2 2 2" xfId="33137" xr:uid="{00000000-0005-0000-0000-0000D33E0000}"/>
    <cellStyle name="Normal 4 3 3 2 3 3 2 2 3" xfId="26172" xr:uid="{00000000-0005-0000-0000-0000D43E0000}"/>
    <cellStyle name="Normal 4 3 3 2 3 3 2 3" xfId="12901" xr:uid="{00000000-0005-0000-0000-0000D53E0000}"/>
    <cellStyle name="Normal 4 3 3 2 3 3 2 3 2" xfId="29476" xr:uid="{00000000-0005-0000-0000-0000D63E0000}"/>
    <cellStyle name="Normal 4 3 3 2 3 3 2 4" xfId="22872" xr:uid="{00000000-0005-0000-0000-0000D73E0000}"/>
    <cellStyle name="Normal 4 3 3 2 3 3 3" xfId="7938" xr:uid="{00000000-0005-0000-0000-0000D83E0000}"/>
    <cellStyle name="Normal 4 3 3 2 3 3 3 2" xfId="15201" xr:uid="{00000000-0005-0000-0000-0000D93E0000}"/>
    <cellStyle name="Normal 4 3 3 2 3 3 3 2 2" xfId="31516" xr:uid="{00000000-0005-0000-0000-0000DA3E0000}"/>
    <cellStyle name="Normal 4 3 3 2 3 3 3 3" xfId="24551" xr:uid="{00000000-0005-0000-0000-0000DB3E0000}"/>
    <cellStyle name="Normal 4 3 3 2 3 3 4" xfId="11253" xr:uid="{00000000-0005-0000-0000-0000DC3E0000}"/>
    <cellStyle name="Normal 4 3 3 2 3 3 4 2" xfId="27851" xr:uid="{00000000-0005-0000-0000-0000DD3E0000}"/>
    <cellStyle name="Normal 4 3 3 2 3 3 5" xfId="4127" xr:uid="{00000000-0005-0000-0000-0000DE3E0000}"/>
    <cellStyle name="Normal 4 3 3 2 3 3 5 2" xfId="20850" xr:uid="{00000000-0005-0000-0000-0000DF3E0000}"/>
    <cellStyle name="Normal 4 3 3 2 3 3 6" xfId="19252" xr:uid="{00000000-0005-0000-0000-0000E03E0000}"/>
    <cellStyle name="Normal 4 3 3 2 3 4" xfId="2522" xr:uid="{00000000-0005-0000-0000-0000E13E0000}"/>
    <cellStyle name="Normal 4 3 3 2 3 4 2" xfId="8746" xr:uid="{00000000-0005-0000-0000-0000E23E0000}"/>
    <cellStyle name="Normal 4 3 3 2 3 4 2 2" xfId="16009" xr:uid="{00000000-0005-0000-0000-0000E33E0000}"/>
    <cellStyle name="Normal 4 3 3 2 3 4 2 2 2" xfId="32324" xr:uid="{00000000-0005-0000-0000-0000E43E0000}"/>
    <cellStyle name="Normal 4 3 3 2 3 4 2 3" xfId="25359" xr:uid="{00000000-0005-0000-0000-0000E53E0000}"/>
    <cellStyle name="Normal 4 3 3 2 3 4 3" xfId="12088" xr:uid="{00000000-0005-0000-0000-0000E63E0000}"/>
    <cellStyle name="Normal 4 3 3 2 3 4 3 2" xfId="28663" xr:uid="{00000000-0005-0000-0000-0000E73E0000}"/>
    <cellStyle name="Normal 4 3 3 2 3 4 4" xfId="5395" xr:uid="{00000000-0005-0000-0000-0000E83E0000}"/>
    <cellStyle name="Normal 4 3 3 2 3 4 4 2" xfId="22059" xr:uid="{00000000-0005-0000-0000-0000E93E0000}"/>
    <cellStyle name="Normal 4 3 3 2 3 4 5" xfId="19249" xr:uid="{00000000-0005-0000-0000-0000EA3E0000}"/>
    <cellStyle name="Normal 4 3 3 2 3 5" xfId="7126" xr:uid="{00000000-0005-0000-0000-0000EB3E0000}"/>
    <cellStyle name="Normal 4 3 3 2 3 5 2" xfId="14389" xr:uid="{00000000-0005-0000-0000-0000EC3E0000}"/>
    <cellStyle name="Normal 4 3 3 2 3 5 2 2" xfId="30704" xr:uid="{00000000-0005-0000-0000-0000ED3E0000}"/>
    <cellStyle name="Normal 4 3 3 2 3 5 3" xfId="23739" xr:uid="{00000000-0005-0000-0000-0000EE3E0000}"/>
    <cellStyle name="Normal 4 3 3 2 3 6" xfId="10441" xr:uid="{00000000-0005-0000-0000-0000EF3E0000}"/>
    <cellStyle name="Normal 4 3 3 2 3 6 2" xfId="27039" xr:uid="{00000000-0005-0000-0000-0000F03E0000}"/>
    <cellStyle name="Normal 4 3 3 2 3 7" xfId="4124" xr:uid="{00000000-0005-0000-0000-0000F13E0000}"/>
    <cellStyle name="Normal 4 3 3 2 3 7 2" xfId="20847" xr:uid="{00000000-0005-0000-0000-0000F23E0000}"/>
    <cellStyle name="Normal 4 3 3 2 3 8" xfId="17900" xr:uid="{00000000-0005-0000-0000-0000F33E0000}"/>
    <cellStyle name="Normal 4 3 3 2 4" xfId="1502" xr:uid="{00000000-0005-0000-0000-0000F43E0000}"/>
    <cellStyle name="Normal 4 3 3 2 4 2" xfId="2527" xr:uid="{00000000-0005-0000-0000-0000F53E0000}"/>
    <cellStyle name="Normal 4 3 3 2 4 2 2" xfId="6402" xr:uid="{00000000-0005-0000-0000-0000F63E0000}"/>
    <cellStyle name="Normal 4 3 3 2 4 2 2 2" xfId="9753" xr:uid="{00000000-0005-0000-0000-0000F73E0000}"/>
    <cellStyle name="Normal 4 3 3 2 4 2 2 2 2" xfId="17016" xr:uid="{00000000-0005-0000-0000-0000F83E0000}"/>
    <cellStyle name="Normal 4 3 3 2 4 2 2 2 2 2" xfId="33331" xr:uid="{00000000-0005-0000-0000-0000F93E0000}"/>
    <cellStyle name="Normal 4 3 3 2 4 2 2 2 3" xfId="26366" xr:uid="{00000000-0005-0000-0000-0000FA3E0000}"/>
    <cellStyle name="Normal 4 3 3 2 4 2 2 3" xfId="13095" xr:uid="{00000000-0005-0000-0000-0000FB3E0000}"/>
    <cellStyle name="Normal 4 3 3 2 4 2 2 3 2" xfId="29670" xr:uid="{00000000-0005-0000-0000-0000FC3E0000}"/>
    <cellStyle name="Normal 4 3 3 2 4 2 2 4" xfId="23066" xr:uid="{00000000-0005-0000-0000-0000FD3E0000}"/>
    <cellStyle name="Normal 4 3 3 2 4 2 3" xfId="8132" xr:uid="{00000000-0005-0000-0000-0000FE3E0000}"/>
    <cellStyle name="Normal 4 3 3 2 4 2 3 2" xfId="15395" xr:uid="{00000000-0005-0000-0000-0000FF3E0000}"/>
    <cellStyle name="Normal 4 3 3 2 4 2 3 2 2" xfId="31710" xr:uid="{00000000-0005-0000-0000-0000003F0000}"/>
    <cellStyle name="Normal 4 3 3 2 4 2 3 3" xfId="24745" xr:uid="{00000000-0005-0000-0000-0000013F0000}"/>
    <cellStyle name="Normal 4 3 3 2 4 2 4" xfId="11447" xr:uid="{00000000-0005-0000-0000-0000023F0000}"/>
    <cellStyle name="Normal 4 3 3 2 4 2 4 2" xfId="28045" xr:uid="{00000000-0005-0000-0000-0000033F0000}"/>
    <cellStyle name="Normal 4 3 3 2 4 2 5" xfId="4129" xr:uid="{00000000-0005-0000-0000-0000043F0000}"/>
    <cellStyle name="Normal 4 3 3 2 4 2 5 2" xfId="20852" xr:uid="{00000000-0005-0000-0000-0000053F0000}"/>
    <cellStyle name="Normal 4 3 3 2 4 2 6" xfId="19254" xr:uid="{00000000-0005-0000-0000-0000063F0000}"/>
    <cellStyle name="Normal 4 3 3 2 4 3" xfId="2526" xr:uid="{00000000-0005-0000-0000-0000073F0000}"/>
    <cellStyle name="Normal 4 3 3 2 4 3 2" xfId="8941" xr:uid="{00000000-0005-0000-0000-0000083F0000}"/>
    <cellStyle name="Normal 4 3 3 2 4 3 2 2" xfId="16204" xr:uid="{00000000-0005-0000-0000-0000093F0000}"/>
    <cellStyle name="Normal 4 3 3 2 4 3 2 2 2" xfId="32519" xr:uid="{00000000-0005-0000-0000-00000A3F0000}"/>
    <cellStyle name="Normal 4 3 3 2 4 3 2 3" xfId="25554" xr:uid="{00000000-0005-0000-0000-00000B3F0000}"/>
    <cellStyle name="Normal 4 3 3 2 4 3 3" xfId="12283" xr:uid="{00000000-0005-0000-0000-00000C3F0000}"/>
    <cellStyle name="Normal 4 3 3 2 4 3 3 2" xfId="28858" xr:uid="{00000000-0005-0000-0000-00000D3F0000}"/>
    <cellStyle name="Normal 4 3 3 2 4 3 4" xfId="5590" xr:uid="{00000000-0005-0000-0000-00000E3F0000}"/>
    <cellStyle name="Normal 4 3 3 2 4 3 4 2" xfId="22254" xr:uid="{00000000-0005-0000-0000-00000F3F0000}"/>
    <cellStyle name="Normal 4 3 3 2 4 3 5" xfId="19253" xr:uid="{00000000-0005-0000-0000-0000103F0000}"/>
    <cellStyle name="Normal 4 3 3 2 4 4" xfId="7320" xr:uid="{00000000-0005-0000-0000-0000113F0000}"/>
    <cellStyle name="Normal 4 3 3 2 4 4 2" xfId="14583" xr:uid="{00000000-0005-0000-0000-0000123F0000}"/>
    <cellStyle name="Normal 4 3 3 2 4 4 2 2" xfId="30898" xr:uid="{00000000-0005-0000-0000-0000133F0000}"/>
    <cellStyle name="Normal 4 3 3 2 4 4 3" xfId="23933" xr:uid="{00000000-0005-0000-0000-0000143F0000}"/>
    <cellStyle name="Normal 4 3 3 2 4 5" xfId="10635" xr:uid="{00000000-0005-0000-0000-0000153F0000}"/>
    <cellStyle name="Normal 4 3 3 2 4 5 2" xfId="27233" xr:uid="{00000000-0005-0000-0000-0000163F0000}"/>
    <cellStyle name="Normal 4 3 3 2 4 6" xfId="4128" xr:uid="{00000000-0005-0000-0000-0000173F0000}"/>
    <cellStyle name="Normal 4 3 3 2 4 6 2" xfId="20851" xr:uid="{00000000-0005-0000-0000-0000183F0000}"/>
    <cellStyle name="Normal 4 3 3 2 4 7" xfId="18237" xr:uid="{00000000-0005-0000-0000-0000193F0000}"/>
    <cellStyle name="Normal 4 3 3 2 5" xfId="2528" xr:uid="{00000000-0005-0000-0000-00001A3F0000}"/>
    <cellStyle name="Normal 4 3 3 2 5 2" xfId="5996" xr:uid="{00000000-0005-0000-0000-00001B3F0000}"/>
    <cellStyle name="Normal 4 3 3 2 5 2 2" xfId="9347" xr:uid="{00000000-0005-0000-0000-00001C3F0000}"/>
    <cellStyle name="Normal 4 3 3 2 5 2 2 2" xfId="16610" xr:uid="{00000000-0005-0000-0000-00001D3F0000}"/>
    <cellStyle name="Normal 4 3 3 2 5 2 2 2 2" xfId="32925" xr:uid="{00000000-0005-0000-0000-00001E3F0000}"/>
    <cellStyle name="Normal 4 3 3 2 5 2 2 3" xfId="25960" xr:uid="{00000000-0005-0000-0000-00001F3F0000}"/>
    <cellStyle name="Normal 4 3 3 2 5 2 3" xfId="12689" xr:uid="{00000000-0005-0000-0000-0000203F0000}"/>
    <cellStyle name="Normal 4 3 3 2 5 2 3 2" xfId="29264" xr:uid="{00000000-0005-0000-0000-0000213F0000}"/>
    <cellStyle name="Normal 4 3 3 2 5 2 4" xfId="22660" xr:uid="{00000000-0005-0000-0000-0000223F0000}"/>
    <cellStyle name="Normal 4 3 3 2 5 3" xfId="7726" xr:uid="{00000000-0005-0000-0000-0000233F0000}"/>
    <cellStyle name="Normal 4 3 3 2 5 3 2" xfId="14989" xr:uid="{00000000-0005-0000-0000-0000243F0000}"/>
    <cellStyle name="Normal 4 3 3 2 5 3 2 2" xfId="31304" xr:uid="{00000000-0005-0000-0000-0000253F0000}"/>
    <cellStyle name="Normal 4 3 3 2 5 3 3" xfId="24339" xr:uid="{00000000-0005-0000-0000-0000263F0000}"/>
    <cellStyle name="Normal 4 3 3 2 5 4" xfId="11041" xr:uid="{00000000-0005-0000-0000-0000273F0000}"/>
    <cellStyle name="Normal 4 3 3 2 5 4 2" xfId="27639" xr:uid="{00000000-0005-0000-0000-0000283F0000}"/>
    <cellStyle name="Normal 4 3 3 2 5 5" xfId="4130" xr:uid="{00000000-0005-0000-0000-0000293F0000}"/>
    <cellStyle name="Normal 4 3 3 2 5 5 2" xfId="20853" xr:uid="{00000000-0005-0000-0000-00002A3F0000}"/>
    <cellStyle name="Normal 4 3 3 2 5 6" xfId="19255" xr:uid="{00000000-0005-0000-0000-00002B3F0000}"/>
    <cellStyle name="Normal 4 3 3 2 6" xfId="2513" xr:uid="{00000000-0005-0000-0000-00002C3F0000}"/>
    <cellStyle name="Normal 4 3 3 2 6 2" xfId="8563" xr:uid="{00000000-0005-0000-0000-00002D3F0000}"/>
    <cellStyle name="Normal 4 3 3 2 6 2 2" xfId="15826" xr:uid="{00000000-0005-0000-0000-00002E3F0000}"/>
    <cellStyle name="Normal 4 3 3 2 6 2 2 2" xfId="32141" xr:uid="{00000000-0005-0000-0000-00002F3F0000}"/>
    <cellStyle name="Normal 4 3 3 2 6 2 3" xfId="25176" xr:uid="{00000000-0005-0000-0000-0000303F0000}"/>
    <cellStyle name="Normal 4 3 3 2 6 3" xfId="11905" xr:uid="{00000000-0005-0000-0000-0000313F0000}"/>
    <cellStyle name="Normal 4 3 3 2 6 3 2" xfId="28480" xr:uid="{00000000-0005-0000-0000-0000323F0000}"/>
    <cellStyle name="Normal 4 3 3 2 6 4" xfId="5212" xr:uid="{00000000-0005-0000-0000-0000333F0000}"/>
    <cellStyle name="Normal 4 3 3 2 6 4 2" xfId="21876" xr:uid="{00000000-0005-0000-0000-0000343F0000}"/>
    <cellStyle name="Normal 4 3 3 2 6 5" xfId="19240" xr:uid="{00000000-0005-0000-0000-0000353F0000}"/>
    <cellStyle name="Normal 4 3 3 2 7" xfId="6944" xr:uid="{00000000-0005-0000-0000-0000363F0000}"/>
    <cellStyle name="Normal 4 3 3 2 7 2" xfId="14207" xr:uid="{00000000-0005-0000-0000-0000373F0000}"/>
    <cellStyle name="Normal 4 3 3 2 7 2 2" xfId="30522" xr:uid="{00000000-0005-0000-0000-0000383F0000}"/>
    <cellStyle name="Normal 4 3 3 2 7 3" xfId="23557" xr:uid="{00000000-0005-0000-0000-0000393F0000}"/>
    <cellStyle name="Normal 4 3 3 2 8" xfId="10258" xr:uid="{00000000-0005-0000-0000-00003A3F0000}"/>
    <cellStyle name="Normal 4 3 3 2 8 2" xfId="26857" xr:uid="{00000000-0005-0000-0000-00003B3F0000}"/>
    <cellStyle name="Normal 4 3 3 2 9" xfId="4115" xr:uid="{00000000-0005-0000-0000-00003C3F0000}"/>
    <cellStyle name="Normal 4 3 3 2 9 2" xfId="20838" xr:uid="{00000000-0005-0000-0000-00003D3F0000}"/>
    <cellStyle name="Normal 4 3 3 3" xfId="994" xr:uid="{00000000-0005-0000-0000-00003E3F0000}"/>
    <cellStyle name="Normal 4 3 3 3 2" xfId="1165" xr:uid="{00000000-0005-0000-0000-00003F3F0000}"/>
    <cellStyle name="Normal 4 3 3 3 2 2" xfId="1686" xr:uid="{00000000-0005-0000-0000-0000403F0000}"/>
    <cellStyle name="Normal 4 3 3 3 2 2 2" xfId="2532" xr:uid="{00000000-0005-0000-0000-0000413F0000}"/>
    <cellStyle name="Normal 4 3 3 3 2 2 2 2" xfId="6580" xr:uid="{00000000-0005-0000-0000-0000423F0000}"/>
    <cellStyle name="Normal 4 3 3 3 2 2 2 2 2" xfId="9931" xr:uid="{00000000-0005-0000-0000-0000433F0000}"/>
    <cellStyle name="Normal 4 3 3 3 2 2 2 2 2 2" xfId="17194" xr:uid="{00000000-0005-0000-0000-0000443F0000}"/>
    <cellStyle name="Normal 4 3 3 3 2 2 2 2 2 2 2" xfId="33509" xr:uid="{00000000-0005-0000-0000-0000453F0000}"/>
    <cellStyle name="Normal 4 3 3 3 2 2 2 2 2 3" xfId="26544" xr:uid="{00000000-0005-0000-0000-0000463F0000}"/>
    <cellStyle name="Normal 4 3 3 3 2 2 2 2 3" xfId="13273" xr:uid="{00000000-0005-0000-0000-0000473F0000}"/>
    <cellStyle name="Normal 4 3 3 3 2 2 2 2 3 2" xfId="29848" xr:uid="{00000000-0005-0000-0000-0000483F0000}"/>
    <cellStyle name="Normal 4 3 3 3 2 2 2 2 4" xfId="23244" xr:uid="{00000000-0005-0000-0000-0000493F0000}"/>
    <cellStyle name="Normal 4 3 3 3 2 2 2 3" xfId="8310" xr:uid="{00000000-0005-0000-0000-00004A3F0000}"/>
    <cellStyle name="Normal 4 3 3 3 2 2 2 3 2" xfId="15573" xr:uid="{00000000-0005-0000-0000-00004B3F0000}"/>
    <cellStyle name="Normal 4 3 3 3 2 2 2 3 2 2" xfId="31888" xr:uid="{00000000-0005-0000-0000-00004C3F0000}"/>
    <cellStyle name="Normal 4 3 3 3 2 2 2 3 3" xfId="24923" xr:uid="{00000000-0005-0000-0000-00004D3F0000}"/>
    <cellStyle name="Normal 4 3 3 3 2 2 2 4" xfId="11625" xr:uid="{00000000-0005-0000-0000-00004E3F0000}"/>
    <cellStyle name="Normal 4 3 3 3 2 2 2 4 2" xfId="28223" xr:uid="{00000000-0005-0000-0000-00004F3F0000}"/>
    <cellStyle name="Normal 4 3 3 3 2 2 2 5" xfId="4134" xr:uid="{00000000-0005-0000-0000-0000503F0000}"/>
    <cellStyle name="Normal 4 3 3 3 2 2 2 5 2" xfId="20857" xr:uid="{00000000-0005-0000-0000-0000513F0000}"/>
    <cellStyle name="Normal 4 3 3 3 2 2 2 6" xfId="19259" xr:uid="{00000000-0005-0000-0000-0000523F0000}"/>
    <cellStyle name="Normal 4 3 3 3 2 2 3" xfId="2531" xr:uid="{00000000-0005-0000-0000-0000533F0000}"/>
    <cellStyle name="Normal 4 3 3 3 2 2 3 2" xfId="9155" xr:uid="{00000000-0005-0000-0000-0000543F0000}"/>
    <cellStyle name="Normal 4 3 3 3 2 2 3 2 2" xfId="16418" xr:uid="{00000000-0005-0000-0000-0000553F0000}"/>
    <cellStyle name="Normal 4 3 3 3 2 2 3 2 2 2" xfId="32733" xr:uid="{00000000-0005-0000-0000-0000563F0000}"/>
    <cellStyle name="Normal 4 3 3 3 2 2 3 2 3" xfId="25768" xr:uid="{00000000-0005-0000-0000-0000573F0000}"/>
    <cellStyle name="Normal 4 3 3 3 2 2 3 3" xfId="12497" xr:uid="{00000000-0005-0000-0000-0000583F0000}"/>
    <cellStyle name="Normal 4 3 3 3 2 2 3 3 2" xfId="29072" xr:uid="{00000000-0005-0000-0000-0000593F0000}"/>
    <cellStyle name="Normal 4 3 3 3 2 2 3 4" xfId="5804" xr:uid="{00000000-0005-0000-0000-00005A3F0000}"/>
    <cellStyle name="Normal 4 3 3 3 2 2 3 4 2" xfId="22468" xr:uid="{00000000-0005-0000-0000-00005B3F0000}"/>
    <cellStyle name="Normal 4 3 3 3 2 2 3 5" xfId="19258" xr:uid="{00000000-0005-0000-0000-00005C3F0000}"/>
    <cellStyle name="Normal 4 3 3 3 2 2 4" xfId="7534" xr:uid="{00000000-0005-0000-0000-00005D3F0000}"/>
    <cellStyle name="Normal 4 3 3 3 2 2 4 2" xfId="14797" xr:uid="{00000000-0005-0000-0000-00005E3F0000}"/>
    <cellStyle name="Normal 4 3 3 3 2 2 4 2 2" xfId="31112" xr:uid="{00000000-0005-0000-0000-00005F3F0000}"/>
    <cellStyle name="Normal 4 3 3 3 2 2 4 3" xfId="24147" xr:uid="{00000000-0005-0000-0000-0000603F0000}"/>
    <cellStyle name="Normal 4 3 3 3 2 2 5" xfId="10849" xr:uid="{00000000-0005-0000-0000-0000613F0000}"/>
    <cellStyle name="Normal 4 3 3 3 2 2 5 2" xfId="27447" xr:uid="{00000000-0005-0000-0000-0000623F0000}"/>
    <cellStyle name="Normal 4 3 3 3 2 2 6" xfId="4133" xr:uid="{00000000-0005-0000-0000-0000633F0000}"/>
    <cellStyle name="Normal 4 3 3 3 2 2 6 2" xfId="20856" xr:uid="{00000000-0005-0000-0000-0000643F0000}"/>
    <cellStyle name="Normal 4 3 3 3 2 2 7" xfId="18421" xr:uid="{00000000-0005-0000-0000-0000653F0000}"/>
    <cellStyle name="Normal 4 3 3 3 2 3" xfId="2533" xr:uid="{00000000-0005-0000-0000-0000663F0000}"/>
    <cellStyle name="Normal 4 3 3 3 2 3 2" xfId="6210" xr:uid="{00000000-0005-0000-0000-0000673F0000}"/>
    <cellStyle name="Normal 4 3 3 3 2 3 2 2" xfId="9561" xr:uid="{00000000-0005-0000-0000-0000683F0000}"/>
    <cellStyle name="Normal 4 3 3 3 2 3 2 2 2" xfId="16824" xr:uid="{00000000-0005-0000-0000-0000693F0000}"/>
    <cellStyle name="Normal 4 3 3 3 2 3 2 2 2 2" xfId="33139" xr:uid="{00000000-0005-0000-0000-00006A3F0000}"/>
    <cellStyle name="Normal 4 3 3 3 2 3 2 2 3" xfId="26174" xr:uid="{00000000-0005-0000-0000-00006B3F0000}"/>
    <cellStyle name="Normal 4 3 3 3 2 3 2 3" xfId="12903" xr:uid="{00000000-0005-0000-0000-00006C3F0000}"/>
    <cellStyle name="Normal 4 3 3 3 2 3 2 3 2" xfId="29478" xr:uid="{00000000-0005-0000-0000-00006D3F0000}"/>
    <cellStyle name="Normal 4 3 3 3 2 3 2 4" xfId="22874" xr:uid="{00000000-0005-0000-0000-00006E3F0000}"/>
    <cellStyle name="Normal 4 3 3 3 2 3 3" xfId="7940" xr:uid="{00000000-0005-0000-0000-00006F3F0000}"/>
    <cellStyle name="Normal 4 3 3 3 2 3 3 2" xfId="15203" xr:uid="{00000000-0005-0000-0000-0000703F0000}"/>
    <cellStyle name="Normal 4 3 3 3 2 3 3 2 2" xfId="31518" xr:uid="{00000000-0005-0000-0000-0000713F0000}"/>
    <cellStyle name="Normal 4 3 3 3 2 3 3 3" xfId="24553" xr:uid="{00000000-0005-0000-0000-0000723F0000}"/>
    <cellStyle name="Normal 4 3 3 3 2 3 4" xfId="11255" xr:uid="{00000000-0005-0000-0000-0000733F0000}"/>
    <cellStyle name="Normal 4 3 3 3 2 3 4 2" xfId="27853" xr:uid="{00000000-0005-0000-0000-0000743F0000}"/>
    <cellStyle name="Normal 4 3 3 3 2 3 5" xfId="4135" xr:uid="{00000000-0005-0000-0000-0000753F0000}"/>
    <cellStyle name="Normal 4 3 3 3 2 3 5 2" xfId="20858" xr:uid="{00000000-0005-0000-0000-0000763F0000}"/>
    <cellStyle name="Normal 4 3 3 3 2 3 6" xfId="19260" xr:uid="{00000000-0005-0000-0000-0000773F0000}"/>
    <cellStyle name="Normal 4 3 3 3 2 4" xfId="2530" xr:uid="{00000000-0005-0000-0000-0000783F0000}"/>
    <cellStyle name="Normal 4 3 3 3 2 4 2" xfId="8748" xr:uid="{00000000-0005-0000-0000-0000793F0000}"/>
    <cellStyle name="Normal 4 3 3 3 2 4 2 2" xfId="16011" xr:uid="{00000000-0005-0000-0000-00007A3F0000}"/>
    <cellStyle name="Normal 4 3 3 3 2 4 2 2 2" xfId="32326" xr:uid="{00000000-0005-0000-0000-00007B3F0000}"/>
    <cellStyle name="Normal 4 3 3 3 2 4 2 3" xfId="25361" xr:uid="{00000000-0005-0000-0000-00007C3F0000}"/>
    <cellStyle name="Normal 4 3 3 3 2 4 3" xfId="12090" xr:uid="{00000000-0005-0000-0000-00007D3F0000}"/>
    <cellStyle name="Normal 4 3 3 3 2 4 3 2" xfId="28665" xr:uid="{00000000-0005-0000-0000-00007E3F0000}"/>
    <cellStyle name="Normal 4 3 3 3 2 4 4" xfId="5397" xr:uid="{00000000-0005-0000-0000-00007F3F0000}"/>
    <cellStyle name="Normal 4 3 3 3 2 4 4 2" xfId="22061" xr:uid="{00000000-0005-0000-0000-0000803F0000}"/>
    <cellStyle name="Normal 4 3 3 3 2 4 5" xfId="19257" xr:uid="{00000000-0005-0000-0000-0000813F0000}"/>
    <cellStyle name="Normal 4 3 3 3 2 5" xfId="7128" xr:uid="{00000000-0005-0000-0000-0000823F0000}"/>
    <cellStyle name="Normal 4 3 3 3 2 5 2" xfId="14391" xr:uid="{00000000-0005-0000-0000-0000833F0000}"/>
    <cellStyle name="Normal 4 3 3 3 2 5 2 2" xfId="30706" xr:uid="{00000000-0005-0000-0000-0000843F0000}"/>
    <cellStyle name="Normal 4 3 3 3 2 5 3" xfId="23741" xr:uid="{00000000-0005-0000-0000-0000853F0000}"/>
    <cellStyle name="Normal 4 3 3 3 2 6" xfId="10443" xr:uid="{00000000-0005-0000-0000-0000863F0000}"/>
    <cellStyle name="Normal 4 3 3 3 2 6 2" xfId="27041" xr:uid="{00000000-0005-0000-0000-0000873F0000}"/>
    <cellStyle name="Normal 4 3 3 3 2 7" xfId="4132" xr:uid="{00000000-0005-0000-0000-0000883F0000}"/>
    <cellStyle name="Normal 4 3 3 3 2 7 2" xfId="20855" xr:uid="{00000000-0005-0000-0000-0000893F0000}"/>
    <cellStyle name="Normal 4 3 3 3 2 8" xfId="17902" xr:uid="{00000000-0005-0000-0000-00008A3F0000}"/>
    <cellStyle name="Normal 4 3 3 3 3" xfId="1555" xr:uid="{00000000-0005-0000-0000-00008B3F0000}"/>
    <cellStyle name="Normal 4 3 3 3 3 2" xfId="2535" xr:uid="{00000000-0005-0000-0000-00008C3F0000}"/>
    <cellStyle name="Normal 4 3 3 3 3 2 2" xfId="6404" xr:uid="{00000000-0005-0000-0000-00008D3F0000}"/>
    <cellStyle name="Normal 4 3 3 3 3 2 2 2" xfId="9755" xr:uid="{00000000-0005-0000-0000-00008E3F0000}"/>
    <cellStyle name="Normal 4 3 3 3 3 2 2 2 2" xfId="17018" xr:uid="{00000000-0005-0000-0000-00008F3F0000}"/>
    <cellStyle name="Normal 4 3 3 3 3 2 2 2 2 2" xfId="33333" xr:uid="{00000000-0005-0000-0000-0000903F0000}"/>
    <cellStyle name="Normal 4 3 3 3 3 2 2 2 3" xfId="26368" xr:uid="{00000000-0005-0000-0000-0000913F0000}"/>
    <cellStyle name="Normal 4 3 3 3 3 2 2 3" xfId="13097" xr:uid="{00000000-0005-0000-0000-0000923F0000}"/>
    <cellStyle name="Normal 4 3 3 3 3 2 2 3 2" xfId="29672" xr:uid="{00000000-0005-0000-0000-0000933F0000}"/>
    <cellStyle name="Normal 4 3 3 3 3 2 2 4" xfId="23068" xr:uid="{00000000-0005-0000-0000-0000943F0000}"/>
    <cellStyle name="Normal 4 3 3 3 3 2 3" xfId="8134" xr:uid="{00000000-0005-0000-0000-0000953F0000}"/>
    <cellStyle name="Normal 4 3 3 3 3 2 3 2" xfId="15397" xr:uid="{00000000-0005-0000-0000-0000963F0000}"/>
    <cellStyle name="Normal 4 3 3 3 3 2 3 2 2" xfId="31712" xr:uid="{00000000-0005-0000-0000-0000973F0000}"/>
    <cellStyle name="Normal 4 3 3 3 3 2 3 3" xfId="24747" xr:uid="{00000000-0005-0000-0000-0000983F0000}"/>
    <cellStyle name="Normal 4 3 3 3 3 2 4" xfId="11449" xr:uid="{00000000-0005-0000-0000-0000993F0000}"/>
    <cellStyle name="Normal 4 3 3 3 3 2 4 2" xfId="28047" xr:uid="{00000000-0005-0000-0000-00009A3F0000}"/>
    <cellStyle name="Normal 4 3 3 3 3 2 5" xfId="4137" xr:uid="{00000000-0005-0000-0000-00009B3F0000}"/>
    <cellStyle name="Normal 4 3 3 3 3 2 5 2" xfId="20860" xr:uid="{00000000-0005-0000-0000-00009C3F0000}"/>
    <cellStyle name="Normal 4 3 3 3 3 2 6" xfId="19262" xr:uid="{00000000-0005-0000-0000-00009D3F0000}"/>
    <cellStyle name="Normal 4 3 3 3 3 3" xfId="2534" xr:uid="{00000000-0005-0000-0000-00009E3F0000}"/>
    <cellStyle name="Normal 4 3 3 3 3 3 2" xfId="8943" xr:uid="{00000000-0005-0000-0000-00009F3F0000}"/>
    <cellStyle name="Normal 4 3 3 3 3 3 2 2" xfId="16206" xr:uid="{00000000-0005-0000-0000-0000A03F0000}"/>
    <cellStyle name="Normal 4 3 3 3 3 3 2 2 2" xfId="32521" xr:uid="{00000000-0005-0000-0000-0000A13F0000}"/>
    <cellStyle name="Normal 4 3 3 3 3 3 2 3" xfId="25556" xr:uid="{00000000-0005-0000-0000-0000A23F0000}"/>
    <cellStyle name="Normal 4 3 3 3 3 3 3" xfId="12285" xr:uid="{00000000-0005-0000-0000-0000A33F0000}"/>
    <cellStyle name="Normal 4 3 3 3 3 3 3 2" xfId="28860" xr:uid="{00000000-0005-0000-0000-0000A43F0000}"/>
    <cellStyle name="Normal 4 3 3 3 3 3 4" xfId="5592" xr:uid="{00000000-0005-0000-0000-0000A53F0000}"/>
    <cellStyle name="Normal 4 3 3 3 3 3 4 2" xfId="22256" xr:uid="{00000000-0005-0000-0000-0000A63F0000}"/>
    <cellStyle name="Normal 4 3 3 3 3 3 5" xfId="19261" xr:uid="{00000000-0005-0000-0000-0000A73F0000}"/>
    <cellStyle name="Normal 4 3 3 3 3 4" xfId="7322" xr:uid="{00000000-0005-0000-0000-0000A83F0000}"/>
    <cellStyle name="Normal 4 3 3 3 3 4 2" xfId="14585" xr:uid="{00000000-0005-0000-0000-0000A93F0000}"/>
    <cellStyle name="Normal 4 3 3 3 3 4 2 2" xfId="30900" xr:uid="{00000000-0005-0000-0000-0000AA3F0000}"/>
    <cellStyle name="Normal 4 3 3 3 3 4 3" xfId="23935" xr:uid="{00000000-0005-0000-0000-0000AB3F0000}"/>
    <cellStyle name="Normal 4 3 3 3 3 5" xfId="10637" xr:uid="{00000000-0005-0000-0000-0000AC3F0000}"/>
    <cellStyle name="Normal 4 3 3 3 3 5 2" xfId="27235" xr:uid="{00000000-0005-0000-0000-0000AD3F0000}"/>
    <cellStyle name="Normal 4 3 3 3 3 6" xfId="4136" xr:uid="{00000000-0005-0000-0000-0000AE3F0000}"/>
    <cellStyle name="Normal 4 3 3 3 3 6 2" xfId="20859" xr:uid="{00000000-0005-0000-0000-0000AF3F0000}"/>
    <cellStyle name="Normal 4 3 3 3 3 7" xfId="18290" xr:uid="{00000000-0005-0000-0000-0000B03F0000}"/>
    <cellStyle name="Normal 4 3 3 3 4" xfId="2536" xr:uid="{00000000-0005-0000-0000-0000B13F0000}"/>
    <cellStyle name="Normal 4 3 3 3 4 2" xfId="5998" xr:uid="{00000000-0005-0000-0000-0000B23F0000}"/>
    <cellStyle name="Normal 4 3 3 3 4 2 2" xfId="9349" xr:uid="{00000000-0005-0000-0000-0000B33F0000}"/>
    <cellStyle name="Normal 4 3 3 3 4 2 2 2" xfId="16612" xr:uid="{00000000-0005-0000-0000-0000B43F0000}"/>
    <cellStyle name="Normal 4 3 3 3 4 2 2 2 2" xfId="32927" xr:uid="{00000000-0005-0000-0000-0000B53F0000}"/>
    <cellStyle name="Normal 4 3 3 3 4 2 2 3" xfId="25962" xr:uid="{00000000-0005-0000-0000-0000B63F0000}"/>
    <cellStyle name="Normal 4 3 3 3 4 2 3" xfId="12691" xr:uid="{00000000-0005-0000-0000-0000B73F0000}"/>
    <cellStyle name="Normal 4 3 3 3 4 2 3 2" xfId="29266" xr:uid="{00000000-0005-0000-0000-0000B83F0000}"/>
    <cellStyle name="Normal 4 3 3 3 4 2 4" xfId="22662" xr:uid="{00000000-0005-0000-0000-0000B93F0000}"/>
    <cellStyle name="Normal 4 3 3 3 4 3" xfId="7728" xr:uid="{00000000-0005-0000-0000-0000BA3F0000}"/>
    <cellStyle name="Normal 4 3 3 3 4 3 2" xfId="14991" xr:uid="{00000000-0005-0000-0000-0000BB3F0000}"/>
    <cellStyle name="Normal 4 3 3 3 4 3 2 2" xfId="31306" xr:uid="{00000000-0005-0000-0000-0000BC3F0000}"/>
    <cellStyle name="Normal 4 3 3 3 4 3 3" xfId="24341" xr:uid="{00000000-0005-0000-0000-0000BD3F0000}"/>
    <cellStyle name="Normal 4 3 3 3 4 4" xfId="11043" xr:uid="{00000000-0005-0000-0000-0000BE3F0000}"/>
    <cellStyle name="Normal 4 3 3 3 4 4 2" xfId="27641" xr:uid="{00000000-0005-0000-0000-0000BF3F0000}"/>
    <cellStyle name="Normal 4 3 3 3 4 5" xfId="4138" xr:uid="{00000000-0005-0000-0000-0000C03F0000}"/>
    <cellStyle name="Normal 4 3 3 3 4 5 2" xfId="20861" xr:uid="{00000000-0005-0000-0000-0000C13F0000}"/>
    <cellStyle name="Normal 4 3 3 3 4 6" xfId="19263" xr:uid="{00000000-0005-0000-0000-0000C23F0000}"/>
    <cellStyle name="Normal 4 3 3 3 5" xfId="2529" xr:uid="{00000000-0005-0000-0000-0000C33F0000}"/>
    <cellStyle name="Normal 4 3 3 3 5 2" xfId="8616" xr:uid="{00000000-0005-0000-0000-0000C43F0000}"/>
    <cellStyle name="Normal 4 3 3 3 5 2 2" xfId="15879" xr:uid="{00000000-0005-0000-0000-0000C53F0000}"/>
    <cellStyle name="Normal 4 3 3 3 5 2 2 2" xfId="32194" xr:uid="{00000000-0005-0000-0000-0000C63F0000}"/>
    <cellStyle name="Normal 4 3 3 3 5 2 3" xfId="25229" xr:uid="{00000000-0005-0000-0000-0000C73F0000}"/>
    <cellStyle name="Normal 4 3 3 3 5 3" xfId="11958" xr:uid="{00000000-0005-0000-0000-0000C83F0000}"/>
    <cellStyle name="Normal 4 3 3 3 5 3 2" xfId="28533" xr:uid="{00000000-0005-0000-0000-0000C93F0000}"/>
    <cellStyle name="Normal 4 3 3 3 5 4" xfId="5265" xr:uid="{00000000-0005-0000-0000-0000CA3F0000}"/>
    <cellStyle name="Normal 4 3 3 3 5 4 2" xfId="21929" xr:uid="{00000000-0005-0000-0000-0000CB3F0000}"/>
    <cellStyle name="Normal 4 3 3 3 5 5" xfId="19256" xr:uid="{00000000-0005-0000-0000-0000CC3F0000}"/>
    <cellStyle name="Normal 4 3 3 3 6" xfId="6997" xr:uid="{00000000-0005-0000-0000-0000CD3F0000}"/>
    <cellStyle name="Normal 4 3 3 3 6 2" xfId="14260" xr:uid="{00000000-0005-0000-0000-0000CE3F0000}"/>
    <cellStyle name="Normal 4 3 3 3 6 2 2" xfId="30575" xr:uid="{00000000-0005-0000-0000-0000CF3F0000}"/>
    <cellStyle name="Normal 4 3 3 3 6 3" xfId="23610" xr:uid="{00000000-0005-0000-0000-0000D03F0000}"/>
    <cellStyle name="Normal 4 3 3 3 7" xfId="10311" xr:uid="{00000000-0005-0000-0000-0000D13F0000}"/>
    <cellStyle name="Normal 4 3 3 3 7 2" xfId="26910" xr:uid="{00000000-0005-0000-0000-0000D23F0000}"/>
    <cellStyle name="Normal 4 3 3 3 8" xfId="4131" xr:uid="{00000000-0005-0000-0000-0000D33F0000}"/>
    <cellStyle name="Normal 4 3 3 3 8 2" xfId="20854" xr:uid="{00000000-0005-0000-0000-0000D43F0000}"/>
    <cellStyle name="Normal 4 3 3 3 9" xfId="17771" xr:uid="{00000000-0005-0000-0000-0000D53F0000}"/>
    <cellStyle name="Normal 4 3 3 4" xfId="1162" xr:uid="{00000000-0005-0000-0000-0000D63F0000}"/>
    <cellStyle name="Normal 4 3 3 4 2" xfId="1683" xr:uid="{00000000-0005-0000-0000-0000D73F0000}"/>
    <cellStyle name="Normal 4 3 3 4 2 2" xfId="2539" xr:uid="{00000000-0005-0000-0000-0000D83F0000}"/>
    <cellStyle name="Normal 4 3 3 4 2 2 2" xfId="6577" xr:uid="{00000000-0005-0000-0000-0000D93F0000}"/>
    <cellStyle name="Normal 4 3 3 4 2 2 2 2" xfId="9928" xr:uid="{00000000-0005-0000-0000-0000DA3F0000}"/>
    <cellStyle name="Normal 4 3 3 4 2 2 2 2 2" xfId="17191" xr:uid="{00000000-0005-0000-0000-0000DB3F0000}"/>
    <cellStyle name="Normal 4 3 3 4 2 2 2 2 2 2" xfId="33506" xr:uid="{00000000-0005-0000-0000-0000DC3F0000}"/>
    <cellStyle name="Normal 4 3 3 4 2 2 2 2 3" xfId="26541" xr:uid="{00000000-0005-0000-0000-0000DD3F0000}"/>
    <cellStyle name="Normal 4 3 3 4 2 2 2 3" xfId="13270" xr:uid="{00000000-0005-0000-0000-0000DE3F0000}"/>
    <cellStyle name="Normal 4 3 3 4 2 2 2 3 2" xfId="29845" xr:uid="{00000000-0005-0000-0000-0000DF3F0000}"/>
    <cellStyle name="Normal 4 3 3 4 2 2 2 4" xfId="23241" xr:uid="{00000000-0005-0000-0000-0000E03F0000}"/>
    <cellStyle name="Normal 4 3 3 4 2 2 3" xfId="8307" xr:uid="{00000000-0005-0000-0000-0000E13F0000}"/>
    <cellStyle name="Normal 4 3 3 4 2 2 3 2" xfId="15570" xr:uid="{00000000-0005-0000-0000-0000E23F0000}"/>
    <cellStyle name="Normal 4 3 3 4 2 2 3 2 2" xfId="31885" xr:uid="{00000000-0005-0000-0000-0000E33F0000}"/>
    <cellStyle name="Normal 4 3 3 4 2 2 3 3" xfId="24920" xr:uid="{00000000-0005-0000-0000-0000E43F0000}"/>
    <cellStyle name="Normal 4 3 3 4 2 2 4" xfId="11622" xr:uid="{00000000-0005-0000-0000-0000E53F0000}"/>
    <cellStyle name="Normal 4 3 3 4 2 2 4 2" xfId="28220" xr:uid="{00000000-0005-0000-0000-0000E63F0000}"/>
    <cellStyle name="Normal 4 3 3 4 2 2 5" xfId="4141" xr:uid="{00000000-0005-0000-0000-0000E73F0000}"/>
    <cellStyle name="Normal 4 3 3 4 2 2 5 2" xfId="20864" xr:uid="{00000000-0005-0000-0000-0000E83F0000}"/>
    <cellStyle name="Normal 4 3 3 4 2 2 6" xfId="19266" xr:uid="{00000000-0005-0000-0000-0000E93F0000}"/>
    <cellStyle name="Normal 4 3 3 4 2 3" xfId="2538" xr:uid="{00000000-0005-0000-0000-0000EA3F0000}"/>
    <cellStyle name="Normal 4 3 3 4 2 3 2" xfId="9152" xr:uid="{00000000-0005-0000-0000-0000EB3F0000}"/>
    <cellStyle name="Normal 4 3 3 4 2 3 2 2" xfId="16415" xr:uid="{00000000-0005-0000-0000-0000EC3F0000}"/>
    <cellStyle name="Normal 4 3 3 4 2 3 2 2 2" xfId="32730" xr:uid="{00000000-0005-0000-0000-0000ED3F0000}"/>
    <cellStyle name="Normal 4 3 3 4 2 3 2 3" xfId="25765" xr:uid="{00000000-0005-0000-0000-0000EE3F0000}"/>
    <cellStyle name="Normal 4 3 3 4 2 3 3" xfId="12494" xr:uid="{00000000-0005-0000-0000-0000EF3F0000}"/>
    <cellStyle name="Normal 4 3 3 4 2 3 3 2" xfId="29069" xr:uid="{00000000-0005-0000-0000-0000F03F0000}"/>
    <cellStyle name="Normal 4 3 3 4 2 3 4" xfId="5801" xr:uid="{00000000-0005-0000-0000-0000F13F0000}"/>
    <cellStyle name="Normal 4 3 3 4 2 3 4 2" xfId="22465" xr:uid="{00000000-0005-0000-0000-0000F23F0000}"/>
    <cellStyle name="Normal 4 3 3 4 2 3 5" xfId="19265" xr:uid="{00000000-0005-0000-0000-0000F33F0000}"/>
    <cellStyle name="Normal 4 3 3 4 2 4" xfId="7531" xr:uid="{00000000-0005-0000-0000-0000F43F0000}"/>
    <cellStyle name="Normal 4 3 3 4 2 4 2" xfId="14794" xr:uid="{00000000-0005-0000-0000-0000F53F0000}"/>
    <cellStyle name="Normal 4 3 3 4 2 4 2 2" xfId="31109" xr:uid="{00000000-0005-0000-0000-0000F63F0000}"/>
    <cellStyle name="Normal 4 3 3 4 2 4 3" xfId="24144" xr:uid="{00000000-0005-0000-0000-0000F73F0000}"/>
    <cellStyle name="Normal 4 3 3 4 2 5" xfId="10846" xr:uid="{00000000-0005-0000-0000-0000F83F0000}"/>
    <cellStyle name="Normal 4 3 3 4 2 5 2" xfId="27444" xr:uid="{00000000-0005-0000-0000-0000F93F0000}"/>
    <cellStyle name="Normal 4 3 3 4 2 6" xfId="4140" xr:uid="{00000000-0005-0000-0000-0000FA3F0000}"/>
    <cellStyle name="Normal 4 3 3 4 2 6 2" xfId="20863" xr:uid="{00000000-0005-0000-0000-0000FB3F0000}"/>
    <cellStyle name="Normal 4 3 3 4 2 7" xfId="18418" xr:uid="{00000000-0005-0000-0000-0000FC3F0000}"/>
    <cellStyle name="Normal 4 3 3 4 3" xfId="2540" xr:uid="{00000000-0005-0000-0000-0000FD3F0000}"/>
    <cellStyle name="Normal 4 3 3 4 3 2" xfId="6207" xr:uid="{00000000-0005-0000-0000-0000FE3F0000}"/>
    <cellStyle name="Normal 4 3 3 4 3 2 2" xfId="9558" xr:uid="{00000000-0005-0000-0000-0000FF3F0000}"/>
    <cellStyle name="Normal 4 3 3 4 3 2 2 2" xfId="16821" xr:uid="{00000000-0005-0000-0000-000000400000}"/>
    <cellStyle name="Normal 4 3 3 4 3 2 2 2 2" xfId="33136" xr:uid="{00000000-0005-0000-0000-000001400000}"/>
    <cellStyle name="Normal 4 3 3 4 3 2 2 3" xfId="26171" xr:uid="{00000000-0005-0000-0000-000002400000}"/>
    <cellStyle name="Normal 4 3 3 4 3 2 3" xfId="12900" xr:uid="{00000000-0005-0000-0000-000003400000}"/>
    <cellStyle name="Normal 4 3 3 4 3 2 3 2" xfId="29475" xr:uid="{00000000-0005-0000-0000-000004400000}"/>
    <cellStyle name="Normal 4 3 3 4 3 2 4" xfId="22871" xr:uid="{00000000-0005-0000-0000-000005400000}"/>
    <cellStyle name="Normal 4 3 3 4 3 3" xfId="7937" xr:uid="{00000000-0005-0000-0000-000006400000}"/>
    <cellStyle name="Normal 4 3 3 4 3 3 2" xfId="15200" xr:uid="{00000000-0005-0000-0000-000007400000}"/>
    <cellStyle name="Normal 4 3 3 4 3 3 2 2" xfId="31515" xr:uid="{00000000-0005-0000-0000-000008400000}"/>
    <cellStyle name="Normal 4 3 3 4 3 3 3" xfId="24550" xr:uid="{00000000-0005-0000-0000-000009400000}"/>
    <cellStyle name="Normal 4 3 3 4 3 4" xfId="11252" xr:uid="{00000000-0005-0000-0000-00000A400000}"/>
    <cellStyle name="Normal 4 3 3 4 3 4 2" xfId="27850" xr:uid="{00000000-0005-0000-0000-00000B400000}"/>
    <cellStyle name="Normal 4 3 3 4 3 5" xfId="4142" xr:uid="{00000000-0005-0000-0000-00000C400000}"/>
    <cellStyle name="Normal 4 3 3 4 3 5 2" xfId="20865" xr:uid="{00000000-0005-0000-0000-00000D400000}"/>
    <cellStyle name="Normal 4 3 3 4 3 6" xfId="19267" xr:uid="{00000000-0005-0000-0000-00000E400000}"/>
    <cellStyle name="Normal 4 3 3 4 4" xfId="2537" xr:uid="{00000000-0005-0000-0000-00000F400000}"/>
    <cellStyle name="Normal 4 3 3 4 4 2" xfId="8745" xr:uid="{00000000-0005-0000-0000-000010400000}"/>
    <cellStyle name="Normal 4 3 3 4 4 2 2" xfId="16008" xr:uid="{00000000-0005-0000-0000-000011400000}"/>
    <cellStyle name="Normal 4 3 3 4 4 2 2 2" xfId="32323" xr:uid="{00000000-0005-0000-0000-000012400000}"/>
    <cellStyle name="Normal 4 3 3 4 4 2 3" xfId="25358" xr:uid="{00000000-0005-0000-0000-000013400000}"/>
    <cellStyle name="Normal 4 3 3 4 4 3" xfId="12087" xr:uid="{00000000-0005-0000-0000-000014400000}"/>
    <cellStyle name="Normal 4 3 3 4 4 3 2" xfId="28662" xr:uid="{00000000-0005-0000-0000-000015400000}"/>
    <cellStyle name="Normal 4 3 3 4 4 4" xfId="5394" xr:uid="{00000000-0005-0000-0000-000016400000}"/>
    <cellStyle name="Normal 4 3 3 4 4 4 2" xfId="22058" xr:uid="{00000000-0005-0000-0000-000017400000}"/>
    <cellStyle name="Normal 4 3 3 4 4 5" xfId="19264" xr:uid="{00000000-0005-0000-0000-000018400000}"/>
    <cellStyle name="Normal 4 3 3 4 5" xfId="7125" xr:uid="{00000000-0005-0000-0000-000019400000}"/>
    <cellStyle name="Normal 4 3 3 4 5 2" xfId="14388" xr:uid="{00000000-0005-0000-0000-00001A400000}"/>
    <cellStyle name="Normal 4 3 3 4 5 2 2" xfId="30703" xr:uid="{00000000-0005-0000-0000-00001B400000}"/>
    <cellStyle name="Normal 4 3 3 4 5 3" xfId="23738" xr:uid="{00000000-0005-0000-0000-00001C400000}"/>
    <cellStyle name="Normal 4 3 3 4 6" xfId="10440" xr:uid="{00000000-0005-0000-0000-00001D400000}"/>
    <cellStyle name="Normal 4 3 3 4 6 2" xfId="27038" xr:uid="{00000000-0005-0000-0000-00001E400000}"/>
    <cellStyle name="Normal 4 3 3 4 7" xfId="4139" xr:uid="{00000000-0005-0000-0000-00001F400000}"/>
    <cellStyle name="Normal 4 3 3 4 7 2" xfId="20862" xr:uid="{00000000-0005-0000-0000-000020400000}"/>
    <cellStyle name="Normal 4 3 3 4 8" xfId="17899" xr:uid="{00000000-0005-0000-0000-000021400000}"/>
    <cellStyle name="Normal 4 3 3 5" xfId="1449" xr:uid="{00000000-0005-0000-0000-000022400000}"/>
    <cellStyle name="Normal 4 3 3 5 2" xfId="2542" xr:uid="{00000000-0005-0000-0000-000023400000}"/>
    <cellStyle name="Normal 4 3 3 5 2 2" xfId="6401" xr:uid="{00000000-0005-0000-0000-000024400000}"/>
    <cellStyle name="Normal 4 3 3 5 2 2 2" xfId="9752" xr:uid="{00000000-0005-0000-0000-000025400000}"/>
    <cellStyle name="Normal 4 3 3 5 2 2 2 2" xfId="17015" xr:uid="{00000000-0005-0000-0000-000026400000}"/>
    <cellStyle name="Normal 4 3 3 5 2 2 2 2 2" xfId="33330" xr:uid="{00000000-0005-0000-0000-000027400000}"/>
    <cellStyle name="Normal 4 3 3 5 2 2 2 3" xfId="26365" xr:uid="{00000000-0005-0000-0000-000028400000}"/>
    <cellStyle name="Normal 4 3 3 5 2 2 3" xfId="13094" xr:uid="{00000000-0005-0000-0000-000029400000}"/>
    <cellStyle name="Normal 4 3 3 5 2 2 3 2" xfId="29669" xr:uid="{00000000-0005-0000-0000-00002A400000}"/>
    <cellStyle name="Normal 4 3 3 5 2 2 4" xfId="23065" xr:uid="{00000000-0005-0000-0000-00002B400000}"/>
    <cellStyle name="Normal 4 3 3 5 2 3" xfId="8131" xr:uid="{00000000-0005-0000-0000-00002C400000}"/>
    <cellStyle name="Normal 4 3 3 5 2 3 2" xfId="15394" xr:uid="{00000000-0005-0000-0000-00002D400000}"/>
    <cellStyle name="Normal 4 3 3 5 2 3 2 2" xfId="31709" xr:uid="{00000000-0005-0000-0000-00002E400000}"/>
    <cellStyle name="Normal 4 3 3 5 2 3 3" xfId="24744" xr:uid="{00000000-0005-0000-0000-00002F400000}"/>
    <cellStyle name="Normal 4 3 3 5 2 4" xfId="11446" xr:uid="{00000000-0005-0000-0000-000030400000}"/>
    <cellStyle name="Normal 4 3 3 5 2 4 2" xfId="28044" xr:uid="{00000000-0005-0000-0000-000031400000}"/>
    <cellStyle name="Normal 4 3 3 5 2 5" xfId="4144" xr:uid="{00000000-0005-0000-0000-000032400000}"/>
    <cellStyle name="Normal 4 3 3 5 2 5 2" xfId="20867" xr:uid="{00000000-0005-0000-0000-000033400000}"/>
    <cellStyle name="Normal 4 3 3 5 2 6" xfId="19269" xr:uid="{00000000-0005-0000-0000-000034400000}"/>
    <cellStyle name="Normal 4 3 3 5 3" xfId="2541" xr:uid="{00000000-0005-0000-0000-000035400000}"/>
    <cellStyle name="Normal 4 3 3 5 3 2" xfId="8940" xr:uid="{00000000-0005-0000-0000-000036400000}"/>
    <cellStyle name="Normal 4 3 3 5 3 2 2" xfId="16203" xr:uid="{00000000-0005-0000-0000-000037400000}"/>
    <cellStyle name="Normal 4 3 3 5 3 2 2 2" xfId="32518" xr:uid="{00000000-0005-0000-0000-000038400000}"/>
    <cellStyle name="Normal 4 3 3 5 3 2 3" xfId="25553" xr:uid="{00000000-0005-0000-0000-000039400000}"/>
    <cellStyle name="Normal 4 3 3 5 3 3" xfId="12282" xr:uid="{00000000-0005-0000-0000-00003A400000}"/>
    <cellStyle name="Normal 4 3 3 5 3 3 2" xfId="28857" xr:uid="{00000000-0005-0000-0000-00003B400000}"/>
    <cellStyle name="Normal 4 3 3 5 3 4" xfId="5589" xr:uid="{00000000-0005-0000-0000-00003C400000}"/>
    <cellStyle name="Normal 4 3 3 5 3 4 2" xfId="22253" xr:uid="{00000000-0005-0000-0000-00003D400000}"/>
    <cellStyle name="Normal 4 3 3 5 3 5" xfId="19268" xr:uid="{00000000-0005-0000-0000-00003E400000}"/>
    <cellStyle name="Normal 4 3 3 5 4" xfId="7319" xr:uid="{00000000-0005-0000-0000-00003F400000}"/>
    <cellStyle name="Normal 4 3 3 5 4 2" xfId="14582" xr:uid="{00000000-0005-0000-0000-000040400000}"/>
    <cellStyle name="Normal 4 3 3 5 4 2 2" xfId="30897" xr:uid="{00000000-0005-0000-0000-000041400000}"/>
    <cellStyle name="Normal 4 3 3 5 4 3" xfId="23932" xr:uid="{00000000-0005-0000-0000-000042400000}"/>
    <cellStyle name="Normal 4 3 3 5 5" xfId="10634" xr:uid="{00000000-0005-0000-0000-000043400000}"/>
    <cellStyle name="Normal 4 3 3 5 5 2" xfId="27232" xr:uid="{00000000-0005-0000-0000-000044400000}"/>
    <cellStyle name="Normal 4 3 3 5 6" xfId="4143" xr:uid="{00000000-0005-0000-0000-000045400000}"/>
    <cellStyle name="Normal 4 3 3 5 6 2" xfId="20866" xr:uid="{00000000-0005-0000-0000-000046400000}"/>
    <cellStyle name="Normal 4 3 3 5 7" xfId="18184" xr:uid="{00000000-0005-0000-0000-000047400000}"/>
    <cellStyle name="Normal 4 3 3 6" xfId="2543" xr:uid="{00000000-0005-0000-0000-000048400000}"/>
    <cellStyle name="Normal 4 3 3 6 2" xfId="5995" xr:uid="{00000000-0005-0000-0000-000049400000}"/>
    <cellStyle name="Normal 4 3 3 6 2 2" xfId="9346" xr:uid="{00000000-0005-0000-0000-00004A400000}"/>
    <cellStyle name="Normal 4 3 3 6 2 2 2" xfId="16609" xr:uid="{00000000-0005-0000-0000-00004B400000}"/>
    <cellStyle name="Normal 4 3 3 6 2 2 2 2" xfId="32924" xr:uid="{00000000-0005-0000-0000-00004C400000}"/>
    <cellStyle name="Normal 4 3 3 6 2 2 3" xfId="25959" xr:uid="{00000000-0005-0000-0000-00004D400000}"/>
    <cellStyle name="Normal 4 3 3 6 2 3" xfId="12688" xr:uid="{00000000-0005-0000-0000-00004E400000}"/>
    <cellStyle name="Normal 4 3 3 6 2 3 2" xfId="29263" xr:uid="{00000000-0005-0000-0000-00004F400000}"/>
    <cellStyle name="Normal 4 3 3 6 2 4" xfId="22659" xr:uid="{00000000-0005-0000-0000-000050400000}"/>
    <cellStyle name="Normal 4 3 3 6 3" xfId="7725" xr:uid="{00000000-0005-0000-0000-000051400000}"/>
    <cellStyle name="Normal 4 3 3 6 3 2" xfId="14988" xr:uid="{00000000-0005-0000-0000-000052400000}"/>
    <cellStyle name="Normal 4 3 3 6 3 2 2" xfId="31303" xr:uid="{00000000-0005-0000-0000-000053400000}"/>
    <cellStyle name="Normal 4 3 3 6 3 3" xfId="24338" xr:uid="{00000000-0005-0000-0000-000054400000}"/>
    <cellStyle name="Normal 4 3 3 6 4" xfId="11040" xr:uid="{00000000-0005-0000-0000-000055400000}"/>
    <cellStyle name="Normal 4 3 3 6 4 2" xfId="27638" xr:uid="{00000000-0005-0000-0000-000056400000}"/>
    <cellStyle name="Normal 4 3 3 6 5" xfId="4145" xr:uid="{00000000-0005-0000-0000-000057400000}"/>
    <cellStyle name="Normal 4 3 3 6 5 2" xfId="20868" xr:uid="{00000000-0005-0000-0000-000058400000}"/>
    <cellStyle name="Normal 4 3 3 6 6" xfId="19270" xr:uid="{00000000-0005-0000-0000-000059400000}"/>
    <cellStyle name="Normal 4 3 3 7" xfId="2512" xr:uid="{00000000-0005-0000-0000-00005A400000}"/>
    <cellStyle name="Normal 4 3 3 7 2" xfId="8510" xr:uid="{00000000-0005-0000-0000-00005B400000}"/>
    <cellStyle name="Normal 4 3 3 7 2 2" xfId="15773" xr:uid="{00000000-0005-0000-0000-00005C400000}"/>
    <cellStyle name="Normal 4 3 3 7 2 2 2" xfId="32088" xr:uid="{00000000-0005-0000-0000-00005D400000}"/>
    <cellStyle name="Normal 4 3 3 7 2 3" xfId="25123" xr:uid="{00000000-0005-0000-0000-00005E400000}"/>
    <cellStyle name="Normal 4 3 3 7 3" xfId="11852" xr:uid="{00000000-0005-0000-0000-00005F400000}"/>
    <cellStyle name="Normal 4 3 3 7 3 2" xfId="28427" xr:uid="{00000000-0005-0000-0000-000060400000}"/>
    <cellStyle name="Normal 4 3 3 7 4" xfId="5159" xr:uid="{00000000-0005-0000-0000-000061400000}"/>
    <cellStyle name="Normal 4 3 3 7 4 2" xfId="21823" xr:uid="{00000000-0005-0000-0000-000062400000}"/>
    <cellStyle name="Normal 4 3 3 7 5" xfId="19239" xr:uid="{00000000-0005-0000-0000-000063400000}"/>
    <cellStyle name="Normal 4 3 3 8" xfId="6891" xr:uid="{00000000-0005-0000-0000-000064400000}"/>
    <cellStyle name="Normal 4 3 3 8 2" xfId="14154" xr:uid="{00000000-0005-0000-0000-000065400000}"/>
    <cellStyle name="Normal 4 3 3 8 2 2" xfId="30469" xr:uid="{00000000-0005-0000-0000-000066400000}"/>
    <cellStyle name="Normal 4 3 3 8 3" xfId="23504" xr:uid="{00000000-0005-0000-0000-000067400000}"/>
    <cellStyle name="Normal 4 3 3 9" xfId="10205" xr:uid="{00000000-0005-0000-0000-000068400000}"/>
    <cellStyle name="Normal 4 3 3 9 2" xfId="26804" xr:uid="{00000000-0005-0000-0000-000069400000}"/>
    <cellStyle name="Normal 4 3 4" xfId="902" xr:uid="{00000000-0005-0000-0000-00006A400000}"/>
    <cellStyle name="Normal 4 3 4 10" xfId="17680" xr:uid="{00000000-0005-0000-0000-00006B400000}"/>
    <cellStyle name="Normal 4 3 4 2" xfId="1009" xr:uid="{00000000-0005-0000-0000-00006C400000}"/>
    <cellStyle name="Normal 4 3 4 2 2" xfId="1167" xr:uid="{00000000-0005-0000-0000-00006D400000}"/>
    <cellStyle name="Normal 4 3 4 2 2 2" xfId="1688" xr:uid="{00000000-0005-0000-0000-00006E400000}"/>
    <cellStyle name="Normal 4 3 4 2 2 2 2" xfId="2548" xr:uid="{00000000-0005-0000-0000-00006F400000}"/>
    <cellStyle name="Normal 4 3 4 2 2 2 2 2" xfId="6582" xr:uid="{00000000-0005-0000-0000-000070400000}"/>
    <cellStyle name="Normal 4 3 4 2 2 2 2 2 2" xfId="9933" xr:uid="{00000000-0005-0000-0000-000071400000}"/>
    <cellStyle name="Normal 4 3 4 2 2 2 2 2 2 2" xfId="17196" xr:uid="{00000000-0005-0000-0000-000072400000}"/>
    <cellStyle name="Normal 4 3 4 2 2 2 2 2 2 2 2" xfId="33511" xr:uid="{00000000-0005-0000-0000-000073400000}"/>
    <cellStyle name="Normal 4 3 4 2 2 2 2 2 2 3" xfId="26546" xr:uid="{00000000-0005-0000-0000-000074400000}"/>
    <cellStyle name="Normal 4 3 4 2 2 2 2 2 3" xfId="13275" xr:uid="{00000000-0005-0000-0000-000075400000}"/>
    <cellStyle name="Normal 4 3 4 2 2 2 2 2 3 2" xfId="29850" xr:uid="{00000000-0005-0000-0000-000076400000}"/>
    <cellStyle name="Normal 4 3 4 2 2 2 2 2 4" xfId="23246" xr:uid="{00000000-0005-0000-0000-000077400000}"/>
    <cellStyle name="Normal 4 3 4 2 2 2 2 3" xfId="8312" xr:uid="{00000000-0005-0000-0000-000078400000}"/>
    <cellStyle name="Normal 4 3 4 2 2 2 2 3 2" xfId="15575" xr:uid="{00000000-0005-0000-0000-000079400000}"/>
    <cellStyle name="Normal 4 3 4 2 2 2 2 3 2 2" xfId="31890" xr:uid="{00000000-0005-0000-0000-00007A400000}"/>
    <cellStyle name="Normal 4 3 4 2 2 2 2 3 3" xfId="24925" xr:uid="{00000000-0005-0000-0000-00007B400000}"/>
    <cellStyle name="Normal 4 3 4 2 2 2 2 4" xfId="11627" xr:uid="{00000000-0005-0000-0000-00007C400000}"/>
    <cellStyle name="Normal 4 3 4 2 2 2 2 4 2" xfId="28225" xr:uid="{00000000-0005-0000-0000-00007D400000}"/>
    <cellStyle name="Normal 4 3 4 2 2 2 2 5" xfId="4150" xr:uid="{00000000-0005-0000-0000-00007E400000}"/>
    <cellStyle name="Normal 4 3 4 2 2 2 2 5 2" xfId="20873" xr:uid="{00000000-0005-0000-0000-00007F400000}"/>
    <cellStyle name="Normal 4 3 4 2 2 2 2 6" xfId="19275" xr:uid="{00000000-0005-0000-0000-000080400000}"/>
    <cellStyle name="Normal 4 3 4 2 2 2 3" xfId="2547" xr:uid="{00000000-0005-0000-0000-000081400000}"/>
    <cellStyle name="Normal 4 3 4 2 2 2 3 2" xfId="9157" xr:uid="{00000000-0005-0000-0000-000082400000}"/>
    <cellStyle name="Normal 4 3 4 2 2 2 3 2 2" xfId="16420" xr:uid="{00000000-0005-0000-0000-000083400000}"/>
    <cellStyle name="Normal 4 3 4 2 2 2 3 2 2 2" xfId="32735" xr:uid="{00000000-0005-0000-0000-000084400000}"/>
    <cellStyle name="Normal 4 3 4 2 2 2 3 2 3" xfId="25770" xr:uid="{00000000-0005-0000-0000-000085400000}"/>
    <cellStyle name="Normal 4 3 4 2 2 2 3 3" xfId="12499" xr:uid="{00000000-0005-0000-0000-000086400000}"/>
    <cellStyle name="Normal 4 3 4 2 2 2 3 3 2" xfId="29074" xr:uid="{00000000-0005-0000-0000-000087400000}"/>
    <cellStyle name="Normal 4 3 4 2 2 2 3 4" xfId="5806" xr:uid="{00000000-0005-0000-0000-000088400000}"/>
    <cellStyle name="Normal 4 3 4 2 2 2 3 4 2" xfId="22470" xr:uid="{00000000-0005-0000-0000-000089400000}"/>
    <cellStyle name="Normal 4 3 4 2 2 2 3 5" xfId="19274" xr:uid="{00000000-0005-0000-0000-00008A400000}"/>
    <cellStyle name="Normal 4 3 4 2 2 2 4" xfId="7536" xr:uid="{00000000-0005-0000-0000-00008B400000}"/>
    <cellStyle name="Normal 4 3 4 2 2 2 4 2" xfId="14799" xr:uid="{00000000-0005-0000-0000-00008C400000}"/>
    <cellStyle name="Normal 4 3 4 2 2 2 4 2 2" xfId="31114" xr:uid="{00000000-0005-0000-0000-00008D400000}"/>
    <cellStyle name="Normal 4 3 4 2 2 2 4 3" xfId="24149" xr:uid="{00000000-0005-0000-0000-00008E400000}"/>
    <cellStyle name="Normal 4 3 4 2 2 2 5" xfId="10851" xr:uid="{00000000-0005-0000-0000-00008F400000}"/>
    <cellStyle name="Normal 4 3 4 2 2 2 5 2" xfId="27449" xr:uid="{00000000-0005-0000-0000-000090400000}"/>
    <cellStyle name="Normal 4 3 4 2 2 2 6" xfId="4149" xr:uid="{00000000-0005-0000-0000-000091400000}"/>
    <cellStyle name="Normal 4 3 4 2 2 2 6 2" xfId="20872" xr:uid="{00000000-0005-0000-0000-000092400000}"/>
    <cellStyle name="Normal 4 3 4 2 2 2 7" xfId="18423" xr:uid="{00000000-0005-0000-0000-000093400000}"/>
    <cellStyle name="Normal 4 3 4 2 2 3" xfId="2549" xr:uid="{00000000-0005-0000-0000-000094400000}"/>
    <cellStyle name="Normal 4 3 4 2 2 3 2" xfId="6212" xr:uid="{00000000-0005-0000-0000-000095400000}"/>
    <cellStyle name="Normal 4 3 4 2 2 3 2 2" xfId="9563" xr:uid="{00000000-0005-0000-0000-000096400000}"/>
    <cellStyle name="Normal 4 3 4 2 2 3 2 2 2" xfId="16826" xr:uid="{00000000-0005-0000-0000-000097400000}"/>
    <cellStyle name="Normal 4 3 4 2 2 3 2 2 2 2" xfId="33141" xr:uid="{00000000-0005-0000-0000-000098400000}"/>
    <cellStyle name="Normal 4 3 4 2 2 3 2 2 3" xfId="26176" xr:uid="{00000000-0005-0000-0000-000099400000}"/>
    <cellStyle name="Normal 4 3 4 2 2 3 2 3" xfId="12905" xr:uid="{00000000-0005-0000-0000-00009A400000}"/>
    <cellStyle name="Normal 4 3 4 2 2 3 2 3 2" xfId="29480" xr:uid="{00000000-0005-0000-0000-00009B400000}"/>
    <cellStyle name="Normal 4 3 4 2 2 3 2 4" xfId="22876" xr:uid="{00000000-0005-0000-0000-00009C400000}"/>
    <cellStyle name="Normal 4 3 4 2 2 3 3" xfId="7942" xr:uid="{00000000-0005-0000-0000-00009D400000}"/>
    <cellStyle name="Normal 4 3 4 2 2 3 3 2" xfId="15205" xr:uid="{00000000-0005-0000-0000-00009E400000}"/>
    <cellStyle name="Normal 4 3 4 2 2 3 3 2 2" xfId="31520" xr:uid="{00000000-0005-0000-0000-00009F400000}"/>
    <cellStyle name="Normal 4 3 4 2 2 3 3 3" xfId="24555" xr:uid="{00000000-0005-0000-0000-0000A0400000}"/>
    <cellStyle name="Normal 4 3 4 2 2 3 4" xfId="11257" xr:uid="{00000000-0005-0000-0000-0000A1400000}"/>
    <cellStyle name="Normal 4 3 4 2 2 3 4 2" xfId="27855" xr:uid="{00000000-0005-0000-0000-0000A2400000}"/>
    <cellStyle name="Normal 4 3 4 2 2 3 5" xfId="4151" xr:uid="{00000000-0005-0000-0000-0000A3400000}"/>
    <cellStyle name="Normal 4 3 4 2 2 3 5 2" xfId="20874" xr:uid="{00000000-0005-0000-0000-0000A4400000}"/>
    <cellStyle name="Normal 4 3 4 2 2 3 6" xfId="19276" xr:uid="{00000000-0005-0000-0000-0000A5400000}"/>
    <cellStyle name="Normal 4 3 4 2 2 4" xfId="2546" xr:uid="{00000000-0005-0000-0000-0000A6400000}"/>
    <cellStyle name="Normal 4 3 4 2 2 4 2" xfId="8750" xr:uid="{00000000-0005-0000-0000-0000A7400000}"/>
    <cellStyle name="Normal 4 3 4 2 2 4 2 2" xfId="16013" xr:uid="{00000000-0005-0000-0000-0000A8400000}"/>
    <cellStyle name="Normal 4 3 4 2 2 4 2 2 2" xfId="32328" xr:uid="{00000000-0005-0000-0000-0000A9400000}"/>
    <cellStyle name="Normal 4 3 4 2 2 4 2 3" xfId="25363" xr:uid="{00000000-0005-0000-0000-0000AA400000}"/>
    <cellStyle name="Normal 4 3 4 2 2 4 3" xfId="12092" xr:uid="{00000000-0005-0000-0000-0000AB400000}"/>
    <cellStyle name="Normal 4 3 4 2 2 4 3 2" xfId="28667" xr:uid="{00000000-0005-0000-0000-0000AC400000}"/>
    <cellStyle name="Normal 4 3 4 2 2 4 4" xfId="5399" xr:uid="{00000000-0005-0000-0000-0000AD400000}"/>
    <cellStyle name="Normal 4 3 4 2 2 4 4 2" xfId="22063" xr:uid="{00000000-0005-0000-0000-0000AE400000}"/>
    <cellStyle name="Normal 4 3 4 2 2 4 5" xfId="19273" xr:uid="{00000000-0005-0000-0000-0000AF400000}"/>
    <cellStyle name="Normal 4 3 4 2 2 5" xfId="7130" xr:uid="{00000000-0005-0000-0000-0000B0400000}"/>
    <cellStyle name="Normal 4 3 4 2 2 5 2" xfId="14393" xr:uid="{00000000-0005-0000-0000-0000B1400000}"/>
    <cellStyle name="Normal 4 3 4 2 2 5 2 2" xfId="30708" xr:uid="{00000000-0005-0000-0000-0000B2400000}"/>
    <cellStyle name="Normal 4 3 4 2 2 5 3" xfId="23743" xr:uid="{00000000-0005-0000-0000-0000B3400000}"/>
    <cellStyle name="Normal 4 3 4 2 2 6" xfId="10445" xr:uid="{00000000-0005-0000-0000-0000B4400000}"/>
    <cellStyle name="Normal 4 3 4 2 2 6 2" xfId="27043" xr:uid="{00000000-0005-0000-0000-0000B5400000}"/>
    <cellStyle name="Normal 4 3 4 2 2 7" xfId="4148" xr:uid="{00000000-0005-0000-0000-0000B6400000}"/>
    <cellStyle name="Normal 4 3 4 2 2 7 2" xfId="20871" xr:uid="{00000000-0005-0000-0000-0000B7400000}"/>
    <cellStyle name="Normal 4 3 4 2 2 8" xfId="17904" xr:uid="{00000000-0005-0000-0000-0000B8400000}"/>
    <cellStyle name="Normal 4 3 4 2 3" xfId="1570" xr:uid="{00000000-0005-0000-0000-0000B9400000}"/>
    <cellStyle name="Normal 4 3 4 2 3 2" xfId="2551" xr:uid="{00000000-0005-0000-0000-0000BA400000}"/>
    <cellStyle name="Normal 4 3 4 2 3 2 2" xfId="6406" xr:uid="{00000000-0005-0000-0000-0000BB400000}"/>
    <cellStyle name="Normal 4 3 4 2 3 2 2 2" xfId="9757" xr:uid="{00000000-0005-0000-0000-0000BC400000}"/>
    <cellStyle name="Normal 4 3 4 2 3 2 2 2 2" xfId="17020" xr:uid="{00000000-0005-0000-0000-0000BD400000}"/>
    <cellStyle name="Normal 4 3 4 2 3 2 2 2 2 2" xfId="33335" xr:uid="{00000000-0005-0000-0000-0000BE400000}"/>
    <cellStyle name="Normal 4 3 4 2 3 2 2 2 3" xfId="26370" xr:uid="{00000000-0005-0000-0000-0000BF400000}"/>
    <cellStyle name="Normal 4 3 4 2 3 2 2 3" xfId="13099" xr:uid="{00000000-0005-0000-0000-0000C0400000}"/>
    <cellStyle name="Normal 4 3 4 2 3 2 2 3 2" xfId="29674" xr:uid="{00000000-0005-0000-0000-0000C1400000}"/>
    <cellStyle name="Normal 4 3 4 2 3 2 2 4" xfId="23070" xr:uid="{00000000-0005-0000-0000-0000C2400000}"/>
    <cellStyle name="Normal 4 3 4 2 3 2 3" xfId="8136" xr:uid="{00000000-0005-0000-0000-0000C3400000}"/>
    <cellStyle name="Normal 4 3 4 2 3 2 3 2" xfId="15399" xr:uid="{00000000-0005-0000-0000-0000C4400000}"/>
    <cellStyle name="Normal 4 3 4 2 3 2 3 2 2" xfId="31714" xr:uid="{00000000-0005-0000-0000-0000C5400000}"/>
    <cellStyle name="Normal 4 3 4 2 3 2 3 3" xfId="24749" xr:uid="{00000000-0005-0000-0000-0000C6400000}"/>
    <cellStyle name="Normal 4 3 4 2 3 2 4" xfId="11451" xr:uid="{00000000-0005-0000-0000-0000C7400000}"/>
    <cellStyle name="Normal 4 3 4 2 3 2 4 2" xfId="28049" xr:uid="{00000000-0005-0000-0000-0000C8400000}"/>
    <cellStyle name="Normal 4 3 4 2 3 2 5" xfId="4153" xr:uid="{00000000-0005-0000-0000-0000C9400000}"/>
    <cellStyle name="Normal 4 3 4 2 3 2 5 2" xfId="20876" xr:uid="{00000000-0005-0000-0000-0000CA400000}"/>
    <cellStyle name="Normal 4 3 4 2 3 2 6" xfId="19278" xr:uid="{00000000-0005-0000-0000-0000CB400000}"/>
    <cellStyle name="Normal 4 3 4 2 3 3" xfId="2550" xr:uid="{00000000-0005-0000-0000-0000CC400000}"/>
    <cellStyle name="Normal 4 3 4 2 3 3 2" xfId="8945" xr:uid="{00000000-0005-0000-0000-0000CD400000}"/>
    <cellStyle name="Normal 4 3 4 2 3 3 2 2" xfId="16208" xr:uid="{00000000-0005-0000-0000-0000CE400000}"/>
    <cellStyle name="Normal 4 3 4 2 3 3 2 2 2" xfId="32523" xr:uid="{00000000-0005-0000-0000-0000CF400000}"/>
    <cellStyle name="Normal 4 3 4 2 3 3 2 3" xfId="25558" xr:uid="{00000000-0005-0000-0000-0000D0400000}"/>
    <cellStyle name="Normal 4 3 4 2 3 3 3" xfId="12287" xr:uid="{00000000-0005-0000-0000-0000D1400000}"/>
    <cellStyle name="Normal 4 3 4 2 3 3 3 2" xfId="28862" xr:uid="{00000000-0005-0000-0000-0000D2400000}"/>
    <cellStyle name="Normal 4 3 4 2 3 3 4" xfId="5594" xr:uid="{00000000-0005-0000-0000-0000D3400000}"/>
    <cellStyle name="Normal 4 3 4 2 3 3 4 2" xfId="22258" xr:uid="{00000000-0005-0000-0000-0000D4400000}"/>
    <cellStyle name="Normal 4 3 4 2 3 3 5" xfId="19277" xr:uid="{00000000-0005-0000-0000-0000D5400000}"/>
    <cellStyle name="Normal 4 3 4 2 3 4" xfId="7324" xr:uid="{00000000-0005-0000-0000-0000D6400000}"/>
    <cellStyle name="Normal 4 3 4 2 3 4 2" xfId="14587" xr:uid="{00000000-0005-0000-0000-0000D7400000}"/>
    <cellStyle name="Normal 4 3 4 2 3 4 2 2" xfId="30902" xr:uid="{00000000-0005-0000-0000-0000D8400000}"/>
    <cellStyle name="Normal 4 3 4 2 3 4 3" xfId="23937" xr:uid="{00000000-0005-0000-0000-0000D9400000}"/>
    <cellStyle name="Normal 4 3 4 2 3 5" xfId="10639" xr:uid="{00000000-0005-0000-0000-0000DA400000}"/>
    <cellStyle name="Normal 4 3 4 2 3 5 2" xfId="27237" xr:uid="{00000000-0005-0000-0000-0000DB400000}"/>
    <cellStyle name="Normal 4 3 4 2 3 6" xfId="4152" xr:uid="{00000000-0005-0000-0000-0000DC400000}"/>
    <cellStyle name="Normal 4 3 4 2 3 6 2" xfId="20875" xr:uid="{00000000-0005-0000-0000-0000DD400000}"/>
    <cellStyle name="Normal 4 3 4 2 3 7" xfId="18305" xr:uid="{00000000-0005-0000-0000-0000DE400000}"/>
    <cellStyle name="Normal 4 3 4 2 4" xfId="2552" xr:uid="{00000000-0005-0000-0000-0000DF400000}"/>
    <cellStyle name="Normal 4 3 4 2 4 2" xfId="6000" xr:uid="{00000000-0005-0000-0000-0000E0400000}"/>
    <cellStyle name="Normal 4 3 4 2 4 2 2" xfId="9351" xr:uid="{00000000-0005-0000-0000-0000E1400000}"/>
    <cellStyle name="Normal 4 3 4 2 4 2 2 2" xfId="16614" xr:uid="{00000000-0005-0000-0000-0000E2400000}"/>
    <cellStyle name="Normal 4 3 4 2 4 2 2 2 2" xfId="32929" xr:uid="{00000000-0005-0000-0000-0000E3400000}"/>
    <cellStyle name="Normal 4 3 4 2 4 2 2 3" xfId="25964" xr:uid="{00000000-0005-0000-0000-0000E4400000}"/>
    <cellStyle name="Normal 4 3 4 2 4 2 3" xfId="12693" xr:uid="{00000000-0005-0000-0000-0000E5400000}"/>
    <cellStyle name="Normal 4 3 4 2 4 2 3 2" xfId="29268" xr:uid="{00000000-0005-0000-0000-0000E6400000}"/>
    <cellStyle name="Normal 4 3 4 2 4 2 4" xfId="22664" xr:uid="{00000000-0005-0000-0000-0000E7400000}"/>
    <cellStyle name="Normal 4 3 4 2 4 3" xfId="7730" xr:uid="{00000000-0005-0000-0000-0000E8400000}"/>
    <cellStyle name="Normal 4 3 4 2 4 3 2" xfId="14993" xr:uid="{00000000-0005-0000-0000-0000E9400000}"/>
    <cellStyle name="Normal 4 3 4 2 4 3 2 2" xfId="31308" xr:uid="{00000000-0005-0000-0000-0000EA400000}"/>
    <cellStyle name="Normal 4 3 4 2 4 3 3" xfId="24343" xr:uid="{00000000-0005-0000-0000-0000EB400000}"/>
    <cellStyle name="Normal 4 3 4 2 4 4" xfId="11045" xr:uid="{00000000-0005-0000-0000-0000EC400000}"/>
    <cellStyle name="Normal 4 3 4 2 4 4 2" xfId="27643" xr:uid="{00000000-0005-0000-0000-0000ED400000}"/>
    <cellStyle name="Normal 4 3 4 2 4 5" xfId="4154" xr:uid="{00000000-0005-0000-0000-0000EE400000}"/>
    <cellStyle name="Normal 4 3 4 2 4 5 2" xfId="20877" xr:uid="{00000000-0005-0000-0000-0000EF400000}"/>
    <cellStyle name="Normal 4 3 4 2 4 6" xfId="19279" xr:uid="{00000000-0005-0000-0000-0000F0400000}"/>
    <cellStyle name="Normal 4 3 4 2 5" xfId="2545" xr:uid="{00000000-0005-0000-0000-0000F1400000}"/>
    <cellStyle name="Normal 4 3 4 2 5 2" xfId="8631" xr:uid="{00000000-0005-0000-0000-0000F2400000}"/>
    <cellStyle name="Normal 4 3 4 2 5 2 2" xfId="15894" xr:uid="{00000000-0005-0000-0000-0000F3400000}"/>
    <cellStyle name="Normal 4 3 4 2 5 2 2 2" xfId="32209" xr:uid="{00000000-0005-0000-0000-0000F4400000}"/>
    <cellStyle name="Normal 4 3 4 2 5 2 3" xfId="25244" xr:uid="{00000000-0005-0000-0000-0000F5400000}"/>
    <cellStyle name="Normal 4 3 4 2 5 3" xfId="11973" xr:uid="{00000000-0005-0000-0000-0000F6400000}"/>
    <cellStyle name="Normal 4 3 4 2 5 3 2" xfId="28548" xr:uid="{00000000-0005-0000-0000-0000F7400000}"/>
    <cellStyle name="Normal 4 3 4 2 5 4" xfId="5280" xr:uid="{00000000-0005-0000-0000-0000F8400000}"/>
    <cellStyle name="Normal 4 3 4 2 5 4 2" xfId="21944" xr:uid="{00000000-0005-0000-0000-0000F9400000}"/>
    <cellStyle name="Normal 4 3 4 2 5 5" xfId="19272" xr:uid="{00000000-0005-0000-0000-0000FA400000}"/>
    <cellStyle name="Normal 4 3 4 2 6" xfId="7012" xr:uid="{00000000-0005-0000-0000-0000FB400000}"/>
    <cellStyle name="Normal 4 3 4 2 6 2" xfId="14275" xr:uid="{00000000-0005-0000-0000-0000FC400000}"/>
    <cellStyle name="Normal 4 3 4 2 6 2 2" xfId="30590" xr:uid="{00000000-0005-0000-0000-0000FD400000}"/>
    <cellStyle name="Normal 4 3 4 2 6 3" xfId="23625" xr:uid="{00000000-0005-0000-0000-0000FE400000}"/>
    <cellStyle name="Normal 4 3 4 2 7" xfId="10326" xr:uid="{00000000-0005-0000-0000-0000FF400000}"/>
    <cellStyle name="Normal 4 3 4 2 7 2" xfId="26925" xr:uid="{00000000-0005-0000-0000-000000410000}"/>
    <cellStyle name="Normal 4 3 4 2 8" xfId="4147" xr:uid="{00000000-0005-0000-0000-000001410000}"/>
    <cellStyle name="Normal 4 3 4 2 8 2" xfId="20870" xr:uid="{00000000-0005-0000-0000-000002410000}"/>
    <cellStyle name="Normal 4 3 4 2 9" xfId="17786" xr:uid="{00000000-0005-0000-0000-000003410000}"/>
    <cellStyle name="Normal 4 3 4 3" xfId="1166" xr:uid="{00000000-0005-0000-0000-000004410000}"/>
    <cellStyle name="Normal 4 3 4 3 2" xfId="1687" xr:uid="{00000000-0005-0000-0000-000005410000}"/>
    <cellStyle name="Normal 4 3 4 3 2 2" xfId="2555" xr:uid="{00000000-0005-0000-0000-000006410000}"/>
    <cellStyle name="Normal 4 3 4 3 2 2 2" xfId="6581" xr:uid="{00000000-0005-0000-0000-000007410000}"/>
    <cellStyle name="Normal 4 3 4 3 2 2 2 2" xfId="9932" xr:uid="{00000000-0005-0000-0000-000008410000}"/>
    <cellStyle name="Normal 4 3 4 3 2 2 2 2 2" xfId="17195" xr:uid="{00000000-0005-0000-0000-000009410000}"/>
    <cellStyle name="Normal 4 3 4 3 2 2 2 2 2 2" xfId="33510" xr:uid="{00000000-0005-0000-0000-00000A410000}"/>
    <cellStyle name="Normal 4 3 4 3 2 2 2 2 3" xfId="26545" xr:uid="{00000000-0005-0000-0000-00000B410000}"/>
    <cellStyle name="Normal 4 3 4 3 2 2 2 3" xfId="13274" xr:uid="{00000000-0005-0000-0000-00000C410000}"/>
    <cellStyle name="Normal 4 3 4 3 2 2 2 3 2" xfId="29849" xr:uid="{00000000-0005-0000-0000-00000D410000}"/>
    <cellStyle name="Normal 4 3 4 3 2 2 2 4" xfId="23245" xr:uid="{00000000-0005-0000-0000-00000E410000}"/>
    <cellStyle name="Normal 4 3 4 3 2 2 3" xfId="8311" xr:uid="{00000000-0005-0000-0000-00000F410000}"/>
    <cellStyle name="Normal 4 3 4 3 2 2 3 2" xfId="15574" xr:uid="{00000000-0005-0000-0000-000010410000}"/>
    <cellStyle name="Normal 4 3 4 3 2 2 3 2 2" xfId="31889" xr:uid="{00000000-0005-0000-0000-000011410000}"/>
    <cellStyle name="Normal 4 3 4 3 2 2 3 3" xfId="24924" xr:uid="{00000000-0005-0000-0000-000012410000}"/>
    <cellStyle name="Normal 4 3 4 3 2 2 4" xfId="11626" xr:uid="{00000000-0005-0000-0000-000013410000}"/>
    <cellStyle name="Normal 4 3 4 3 2 2 4 2" xfId="28224" xr:uid="{00000000-0005-0000-0000-000014410000}"/>
    <cellStyle name="Normal 4 3 4 3 2 2 5" xfId="4157" xr:uid="{00000000-0005-0000-0000-000015410000}"/>
    <cellStyle name="Normal 4 3 4 3 2 2 5 2" xfId="20880" xr:uid="{00000000-0005-0000-0000-000016410000}"/>
    <cellStyle name="Normal 4 3 4 3 2 2 6" xfId="19282" xr:uid="{00000000-0005-0000-0000-000017410000}"/>
    <cellStyle name="Normal 4 3 4 3 2 3" xfId="2554" xr:uid="{00000000-0005-0000-0000-000018410000}"/>
    <cellStyle name="Normal 4 3 4 3 2 3 2" xfId="9156" xr:uid="{00000000-0005-0000-0000-000019410000}"/>
    <cellStyle name="Normal 4 3 4 3 2 3 2 2" xfId="16419" xr:uid="{00000000-0005-0000-0000-00001A410000}"/>
    <cellStyle name="Normal 4 3 4 3 2 3 2 2 2" xfId="32734" xr:uid="{00000000-0005-0000-0000-00001B410000}"/>
    <cellStyle name="Normal 4 3 4 3 2 3 2 3" xfId="25769" xr:uid="{00000000-0005-0000-0000-00001C410000}"/>
    <cellStyle name="Normal 4 3 4 3 2 3 3" xfId="12498" xr:uid="{00000000-0005-0000-0000-00001D410000}"/>
    <cellStyle name="Normal 4 3 4 3 2 3 3 2" xfId="29073" xr:uid="{00000000-0005-0000-0000-00001E410000}"/>
    <cellStyle name="Normal 4 3 4 3 2 3 4" xfId="5805" xr:uid="{00000000-0005-0000-0000-00001F410000}"/>
    <cellStyle name="Normal 4 3 4 3 2 3 4 2" xfId="22469" xr:uid="{00000000-0005-0000-0000-000020410000}"/>
    <cellStyle name="Normal 4 3 4 3 2 3 5" xfId="19281" xr:uid="{00000000-0005-0000-0000-000021410000}"/>
    <cellStyle name="Normal 4 3 4 3 2 4" xfId="7535" xr:uid="{00000000-0005-0000-0000-000022410000}"/>
    <cellStyle name="Normal 4 3 4 3 2 4 2" xfId="14798" xr:uid="{00000000-0005-0000-0000-000023410000}"/>
    <cellStyle name="Normal 4 3 4 3 2 4 2 2" xfId="31113" xr:uid="{00000000-0005-0000-0000-000024410000}"/>
    <cellStyle name="Normal 4 3 4 3 2 4 3" xfId="24148" xr:uid="{00000000-0005-0000-0000-000025410000}"/>
    <cellStyle name="Normal 4 3 4 3 2 5" xfId="10850" xr:uid="{00000000-0005-0000-0000-000026410000}"/>
    <cellStyle name="Normal 4 3 4 3 2 5 2" xfId="27448" xr:uid="{00000000-0005-0000-0000-000027410000}"/>
    <cellStyle name="Normal 4 3 4 3 2 6" xfId="4156" xr:uid="{00000000-0005-0000-0000-000028410000}"/>
    <cellStyle name="Normal 4 3 4 3 2 6 2" xfId="20879" xr:uid="{00000000-0005-0000-0000-000029410000}"/>
    <cellStyle name="Normal 4 3 4 3 2 7" xfId="18422" xr:uid="{00000000-0005-0000-0000-00002A410000}"/>
    <cellStyle name="Normal 4 3 4 3 3" xfId="2556" xr:uid="{00000000-0005-0000-0000-00002B410000}"/>
    <cellStyle name="Normal 4 3 4 3 3 2" xfId="6211" xr:uid="{00000000-0005-0000-0000-00002C410000}"/>
    <cellStyle name="Normal 4 3 4 3 3 2 2" xfId="9562" xr:uid="{00000000-0005-0000-0000-00002D410000}"/>
    <cellStyle name="Normal 4 3 4 3 3 2 2 2" xfId="16825" xr:uid="{00000000-0005-0000-0000-00002E410000}"/>
    <cellStyle name="Normal 4 3 4 3 3 2 2 2 2" xfId="33140" xr:uid="{00000000-0005-0000-0000-00002F410000}"/>
    <cellStyle name="Normal 4 3 4 3 3 2 2 3" xfId="26175" xr:uid="{00000000-0005-0000-0000-000030410000}"/>
    <cellStyle name="Normal 4 3 4 3 3 2 3" xfId="12904" xr:uid="{00000000-0005-0000-0000-000031410000}"/>
    <cellStyle name="Normal 4 3 4 3 3 2 3 2" xfId="29479" xr:uid="{00000000-0005-0000-0000-000032410000}"/>
    <cellStyle name="Normal 4 3 4 3 3 2 4" xfId="22875" xr:uid="{00000000-0005-0000-0000-000033410000}"/>
    <cellStyle name="Normal 4 3 4 3 3 3" xfId="7941" xr:uid="{00000000-0005-0000-0000-000034410000}"/>
    <cellStyle name="Normal 4 3 4 3 3 3 2" xfId="15204" xr:uid="{00000000-0005-0000-0000-000035410000}"/>
    <cellStyle name="Normal 4 3 4 3 3 3 2 2" xfId="31519" xr:uid="{00000000-0005-0000-0000-000036410000}"/>
    <cellStyle name="Normal 4 3 4 3 3 3 3" xfId="24554" xr:uid="{00000000-0005-0000-0000-000037410000}"/>
    <cellStyle name="Normal 4 3 4 3 3 4" xfId="11256" xr:uid="{00000000-0005-0000-0000-000038410000}"/>
    <cellStyle name="Normal 4 3 4 3 3 4 2" xfId="27854" xr:uid="{00000000-0005-0000-0000-000039410000}"/>
    <cellStyle name="Normal 4 3 4 3 3 5" xfId="4158" xr:uid="{00000000-0005-0000-0000-00003A410000}"/>
    <cellStyle name="Normal 4 3 4 3 3 5 2" xfId="20881" xr:uid="{00000000-0005-0000-0000-00003B410000}"/>
    <cellStyle name="Normal 4 3 4 3 3 6" xfId="19283" xr:uid="{00000000-0005-0000-0000-00003C410000}"/>
    <cellStyle name="Normal 4 3 4 3 4" xfId="2553" xr:uid="{00000000-0005-0000-0000-00003D410000}"/>
    <cellStyle name="Normal 4 3 4 3 4 2" xfId="8749" xr:uid="{00000000-0005-0000-0000-00003E410000}"/>
    <cellStyle name="Normal 4 3 4 3 4 2 2" xfId="16012" xr:uid="{00000000-0005-0000-0000-00003F410000}"/>
    <cellStyle name="Normal 4 3 4 3 4 2 2 2" xfId="32327" xr:uid="{00000000-0005-0000-0000-000040410000}"/>
    <cellStyle name="Normal 4 3 4 3 4 2 3" xfId="25362" xr:uid="{00000000-0005-0000-0000-000041410000}"/>
    <cellStyle name="Normal 4 3 4 3 4 3" xfId="12091" xr:uid="{00000000-0005-0000-0000-000042410000}"/>
    <cellStyle name="Normal 4 3 4 3 4 3 2" xfId="28666" xr:uid="{00000000-0005-0000-0000-000043410000}"/>
    <cellStyle name="Normal 4 3 4 3 4 4" xfId="5398" xr:uid="{00000000-0005-0000-0000-000044410000}"/>
    <cellStyle name="Normal 4 3 4 3 4 4 2" xfId="22062" xr:uid="{00000000-0005-0000-0000-000045410000}"/>
    <cellStyle name="Normal 4 3 4 3 4 5" xfId="19280" xr:uid="{00000000-0005-0000-0000-000046410000}"/>
    <cellStyle name="Normal 4 3 4 3 5" xfId="7129" xr:uid="{00000000-0005-0000-0000-000047410000}"/>
    <cellStyle name="Normal 4 3 4 3 5 2" xfId="14392" xr:uid="{00000000-0005-0000-0000-000048410000}"/>
    <cellStyle name="Normal 4 3 4 3 5 2 2" xfId="30707" xr:uid="{00000000-0005-0000-0000-000049410000}"/>
    <cellStyle name="Normal 4 3 4 3 5 3" xfId="23742" xr:uid="{00000000-0005-0000-0000-00004A410000}"/>
    <cellStyle name="Normal 4 3 4 3 6" xfId="10444" xr:uid="{00000000-0005-0000-0000-00004B410000}"/>
    <cellStyle name="Normal 4 3 4 3 6 2" xfId="27042" xr:uid="{00000000-0005-0000-0000-00004C410000}"/>
    <cellStyle name="Normal 4 3 4 3 7" xfId="4155" xr:uid="{00000000-0005-0000-0000-00004D410000}"/>
    <cellStyle name="Normal 4 3 4 3 7 2" xfId="20878" xr:uid="{00000000-0005-0000-0000-00004E410000}"/>
    <cellStyle name="Normal 4 3 4 3 8" xfId="17903" xr:uid="{00000000-0005-0000-0000-00004F410000}"/>
    <cellStyle name="Normal 4 3 4 4" xfId="1464" xr:uid="{00000000-0005-0000-0000-000050410000}"/>
    <cellStyle name="Normal 4 3 4 4 2" xfId="2558" xr:uid="{00000000-0005-0000-0000-000051410000}"/>
    <cellStyle name="Normal 4 3 4 4 2 2" xfId="6405" xr:uid="{00000000-0005-0000-0000-000052410000}"/>
    <cellStyle name="Normal 4 3 4 4 2 2 2" xfId="9756" xr:uid="{00000000-0005-0000-0000-000053410000}"/>
    <cellStyle name="Normal 4 3 4 4 2 2 2 2" xfId="17019" xr:uid="{00000000-0005-0000-0000-000054410000}"/>
    <cellStyle name="Normal 4 3 4 4 2 2 2 2 2" xfId="33334" xr:uid="{00000000-0005-0000-0000-000055410000}"/>
    <cellStyle name="Normal 4 3 4 4 2 2 2 3" xfId="26369" xr:uid="{00000000-0005-0000-0000-000056410000}"/>
    <cellStyle name="Normal 4 3 4 4 2 2 3" xfId="13098" xr:uid="{00000000-0005-0000-0000-000057410000}"/>
    <cellStyle name="Normal 4 3 4 4 2 2 3 2" xfId="29673" xr:uid="{00000000-0005-0000-0000-000058410000}"/>
    <cellStyle name="Normal 4 3 4 4 2 2 4" xfId="23069" xr:uid="{00000000-0005-0000-0000-000059410000}"/>
    <cellStyle name="Normal 4 3 4 4 2 3" xfId="8135" xr:uid="{00000000-0005-0000-0000-00005A410000}"/>
    <cellStyle name="Normal 4 3 4 4 2 3 2" xfId="15398" xr:uid="{00000000-0005-0000-0000-00005B410000}"/>
    <cellStyle name="Normal 4 3 4 4 2 3 2 2" xfId="31713" xr:uid="{00000000-0005-0000-0000-00005C410000}"/>
    <cellStyle name="Normal 4 3 4 4 2 3 3" xfId="24748" xr:uid="{00000000-0005-0000-0000-00005D410000}"/>
    <cellStyle name="Normal 4 3 4 4 2 4" xfId="11450" xr:uid="{00000000-0005-0000-0000-00005E410000}"/>
    <cellStyle name="Normal 4 3 4 4 2 4 2" xfId="28048" xr:uid="{00000000-0005-0000-0000-00005F410000}"/>
    <cellStyle name="Normal 4 3 4 4 2 5" xfId="4160" xr:uid="{00000000-0005-0000-0000-000060410000}"/>
    <cellStyle name="Normal 4 3 4 4 2 5 2" xfId="20883" xr:uid="{00000000-0005-0000-0000-000061410000}"/>
    <cellStyle name="Normal 4 3 4 4 2 6" xfId="19285" xr:uid="{00000000-0005-0000-0000-000062410000}"/>
    <cellStyle name="Normal 4 3 4 4 3" xfId="2557" xr:uid="{00000000-0005-0000-0000-000063410000}"/>
    <cellStyle name="Normal 4 3 4 4 3 2" xfId="8944" xr:uid="{00000000-0005-0000-0000-000064410000}"/>
    <cellStyle name="Normal 4 3 4 4 3 2 2" xfId="16207" xr:uid="{00000000-0005-0000-0000-000065410000}"/>
    <cellStyle name="Normal 4 3 4 4 3 2 2 2" xfId="32522" xr:uid="{00000000-0005-0000-0000-000066410000}"/>
    <cellStyle name="Normal 4 3 4 4 3 2 3" xfId="25557" xr:uid="{00000000-0005-0000-0000-000067410000}"/>
    <cellStyle name="Normal 4 3 4 4 3 3" xfId="12286" xr:uid="{00000000-0005-0000-0000-000068410000}"/>
    <cellStyle name="Normal 4 3 4 4 3 3 2" xfId="28861" xr:uid="{00000000-0005-0000-0000-000069410000}"/>
    <cellStyle name="Normal 4 3 4 4 3 4" xfId="5593" xr:uid="{00000000-0005-0000-0000-00006A410000}"/>
    <cellStyle name="Normal 4 3 4 4 3 4 2" xfId="22257" xr:uid="{00000000-0005-0000-0000-00006B410000}"/>
    <cellStyle name="Normal 4 3 4 4 3 5" xfId="19284" xr:uid="{00000000-0005-0000-0000-00006C410000}"/>
    <cellStyle name="Normal 4 3 4 4 4" xfId="7323" xr:uid="{00000000-0005-0000-0000-00006D410000}"/>
    <cellStyle name="Normal 4 3 4 4 4 2" xfId="14586" xr:uid="{00000000-0005-0000-0000-00006E410000}"/>
    <cellStyle name="Normal 4 3 4 4 4 2 2" xfId="30901" xr:uid="{00000000-0005-0000-0000-00006F410000}"/>
    <cellStyle name="Normal 4 3 4 4 4 3" xfId="23936" xr:uid="{00000000-0005-0000-0000-000070410000}"/>
    <cellStyle name="Normal 4 3 4 4 5" xfId="10638" xr:uid="{00000000-0005-0000-0000-000071410000}"/>
    <cellStyle name="Normal 4 3 4 4 5 2" xfId="27236" xr:uid="{00000000-0005-0000-0000-000072410000}"/>
    <cellStyle name="Normal 4 3 4 4 6" xfId="4159" xr:uid="{00000000-0005-0000-0000-000073410000}"/>
    <cellStyle name="Normal 4 3 4 4 6 2" xfId="20882" xr:uid="{00000000-0005-0000-0000-000074410000}"/>
    <cellStyle name="Normal 4 3 4 4 7" xfId="18199" xr:uid="{00000000-0005-0000-0000-000075410000}"/>
    <cellStyle name="Normal 4 3 4 5" xfId="2559" xr:uid="{00000000-0005-0000-0000-000076410000}"/>
    <cellStyle name="Normal 4 3 4 5 2" xfId="5999" xr:uid="{00000000-0005-0000-0000-000077410000}"/>
    <cellStyle name="Normal 4 3 4 5 2 2" xfId="9350" xr:uid="{00000000-0005-0000-0000-000078410000}"/>
    <cellStyle name="Normal 4 3 4 5 2 2 2" xfId="16613" xr:uid="{00000000-0005-0000-0000-000079410000}"/>
    <cellStyle name="Normal 4 3 4 5 2 2 2 2" xfId="32928" xr:uid="{00000000-0005-0000-0000-00007A410000}"/>
    <cellStyle name="Normal 4 3 4 5 2 2 3" xfId="25963" xr:uid="{00000000-0005-0000-0000-00007B410000}"/>
    <cellStyle name="Normal 4 3 4 5 2 3" xfId="12692" xr:uid="{00000000-0005-0000-0000-00007C410000}"/>
    <cellStyle name="Normal 4 3 4 5 2 3 2" xfId="29267" xr:uid="{00000000-0005-0000-0000-00007D410000}"/>
    <cellStyle name="Normal 4 3 4 5 2 4" xfId="22663" xr:uid="{00000000-0005-0000-0000-00007E410000}"/>
    <cellStyle name="Normal 4 3 4 5 3" xfId="7729" xr:uid="{00000000-0005-0000-0000-00007F410000}"/>
    <cellStyle name="Normal 4 3 4 5 3 2" xfId="14992" xr:uid="{00000000-0005-0000-0000-000080410000}"/>
    <cellStyle name="Normal 4 3 4 5 3 2 2" xfId="31307" xr:uid="{00000000-0005-0000-0000-000081410000}"/>
    <cellStyle name="Normal 4 3 4 5 3 3" xfId="24342" xr:uid="{00000000-0005-0000-0000-000082410000}"/>
    <cellStyle name="Normal 4 3 4 5 4" xfId="11044" xr:uid="{00000000-0005-0000-0000-000083410000}"/>
    <cellStyle name="Normal 4 3 4 5 4 2" xfId="27642" xr:uid="{00000000-0005-0000-0000-000084410000}"/>
    <cellStyle name="Normal 4 3 4 5 5" xfId="4161" xr:uid="{00000000-0005-0000-0000-000085410000}"/>
    <cellStyle name="Normal 4 3 4 5 5 2" xfId="20884" xr:uid="{00000000-0005-0000-0000-000086410000}"/>
    <cellStyle name="Normal 4 3 4 5 6" xfId="19286" xr:uid="{00000000-0005-0000-0000-000087410000}"/>
    <cellStyle name="Normal 4 3 4 6" xfId="2544" xr:uid="{00000000-0005-0000-0000-000088410000}"/>
    <cellStyle name="Normal 4 3 4 6 2" xfId="8525" xr:uid="{00000000-0005-0000-0000-000089410000}"/>
    <cellStyle name="Normal 4 3 4 6 2 2" xfId="15788" xr:uid="{00000000-0005-0000-0000-00008A410000}"/>
    <cellStyle name="Normal 4 3 4 6 2 2 2" xfId="32103" xr:uid="{00000000-0005-0000-0000-00008B410000}"/>
    <cellStyle name="Normal 4 3 4 6 2 3" xfId="25138" xr:uid="{00000000-0005-0000-0000-00008C410000}"/>
    <cellStyle name="Normal 4 3 4 6 3" xfId="11867" xr:uid="{00000000-0005-0000-0000-00008D410000}"/>
    <cellStyle name="Normal 4 3 4 6 3 2" xfId="28442" xr:uid="{00000000-0005-0000-0000-00008E410000}"/>
    <cellStyle name="Normal 4 3 4 6 4" xfId="5174" xr:uid="{00000000-0005-0000-0000-00008F410000}"/>
    <cellStyle name="Normal 4 3 4 6 4 2" xfId="21838" xr:uid="{00000000-0005-0000-0000-000090410000}"/>
    <cellStyle name="Normal 4 3 4 6 5" xfId="19271" xr:uid="{00000000-0005-0000-0000-000091410000}"/>
    <cellStyle name="Normal 4 3 4 7" xfId="6906" xr:uid="{00000000-0005-0000-0000-000092410000}"/>
    <cellStyle name="Normal 4 3 4 7 2" xfId="14169" xr:uid="{00000000-0005-0000-0000-000093410000}"/>
    <cellStyle name="Normal 4 3 4 7 2 2" xfId="30484" xr:uid="{00000000-0005-0000-0000-000094410000}"/>
    <cellStyle name="Normal 4 3 4 7 3" xfId="23519" xr:uid="{00000000-0005-0000-0000-000095410000}"/>
    <cellStyle name="Normal 4 3 4 8" xfId="10220" xr:uid="{00000000-0005-0000-0000-000096410000}"/>
    <cellStyle name="Normal 4 3 4 8 2" xfId="26819" xr:uid="{00000000-0005-0000-0000-000097410000}"/>
    <cellStyle name="Normal 4 3 4 9" xfId="4146" xr:uid="{00000000-0005-0000-0000-000098410000}"/>
    <cellStyle name="Normal 4 3 4 9 2" xfId="20869" xr:uid="{00000000-0005-0000-0000-000099410000}"/>
    <cellStyle name="Normal 4 3 5" xfId="955" xr:uid="{00000000-0005-0000-0000-00009A410000}"/>
    <cellStyle name="Normal 4 3 5 2" xfId="1168" xr:uid="{00000000-0005-0000-0000-00009B410000}"/>
    <cellStyle name="Normal 4 3 5 2 2" xfId="1689" xr:uid="{00000000-0005-0000-0000-00009C410000}"/>
    <cellStyle name="Normal 4 3 5 2 2 2" xfId="2563" xr:uid="{00000000-0005-0000-0000-00009D410000}"/>
    <cellStyle name="Normal 4 3 5 2 2 2 2" xfId="6583" xr:uid="{00000000-0005-0000-0000-00009E410000}"/>
    <cellStyle name="Normal 4 3 5 2 2 2 2 2" xfId="9934" xr:uid="{00000000-0005-0000-0000-00009F410000}"/>
    <cellStyle name="Normal 4 3 5 2 2 2 2 2 2" xfId="17197" xr:uid="{00000000-0005-0000-0000-0000A0410000}"/>
    <cellStyle name="Normal 4 3 5 2 2 2 2 2 2 2" xfId="33512" xr:uid="{00000000-0005-0000-0000-0000A1410000}"/>
    <cellStyle name="Normal 4 3 5 2 2 2 2 2 3" xfId="26547" xr:uid="{00000000-0005-0000-0000-0000A2410000}"/>
    <cellStyle name="Normal 4 3 5 2 2 2 2 3" xfId="13276" xr:uid="{00000000-0005-0000-0000-0000A3410000}"/>
    <cellStyle name="Normal 4 3 5 2 2 2 2 3 2" xfId="29851" xr:uid="{00000000-0005-0000-0000-0000A4410000}"/>
    <cellStyle name="Normal 4 3 5 2 2 2 2 4" xfId="23247" xr:uid="{00000000-0005-0000-0000-0000A5410000}"/>
    <cellStyle name="Normal 4 3 5 2 2 2 3" xfId="8313" xr:uid="{00000000-0005-0000-0000-0000A6410000}"/>
    <cellStyle name="Normal 4 3 5 2 2 2 3 2" xfId="15576" xr:uid="{00000000-0005-0000-0000-0000A7410000}"/>
    <cellStyle name="Normal 4 3 5 2 2 2 3 2 2" xfId="31891" xr:uid="{00000000-0005-0000-0000-0000A8410000}"/>
    <cellStyle name="Normal 4 3 5 2 2 2 3 3" xfId="24926" xr:uid="{00000000-0005-0000-0000-0000A9410000}"/>
    <cellStyle name="Normal 4 3 5 2 2 2 4" xfId="11628" xr:uid="{00000000-0005-0000-0000-0000AA410000}"/>
    <cellStyle name="Normal 4 3 5 2 2 2 4 2" xfId="28226" xr:uid="{00000000-0005-0000-0000-0000AB410000}"/>
    <cellStyle name="Normal 4 3 5 2 2 2 5" xfId="4165" xr:uid="{00000000-0005-0000-0000-0000AC410000}"/>
    <cellStyle name="Normal 4 3 5 2 2 2 5 2" xfId="20888" xr:uid="{00000000-0005-0000-0000-0000AD410000}"/>
    <cellStyle name="Normal 4 3 5 2 2 2 6" xfId="19290" xr:uid="{00000000-0005-0000-0000-0000AE410000}"/>
    <cellStyle name="Normal 4 3 5 2 2 3" xfId="2562" xr:uid="{00000000-0005-0000-0000-0000AF410000}"/>
    <cellStyle name="Normal 4 3 5 2 2 3 2" xfId="9158" xr:uid="{00000000-0005-0000-0000-0000B0410000}"/>
    <cellStyle name="Normal 4 3 5 2 2 3 2 2" xfId="16421" xr:uid="{00000000-0005-0000-0000-0000B1410000}"/>
    <cellStyle name="Normal 4 3 5 2 2 3 2 2 2" xfId="32736" xr:uid="{00000000-0005-0000-0000-0000B2410000}"/>
    <cellStyle name="Normal 4 3 5 2 2 3 2 3" xfId="25771" xr:uid="{00000000-0005-0000-0000-0000B3410000}"/>
    <cellStyle name="Normal 4 3 5 2 2 3 3" xfId="12500" xr:uid="{00000000-0005-0000-0000-0000B4410000}"/>
    <cellStyle name="Normal 4 3 5 2 2 3 3 2" xfId="29075" xr:uid="{00000000-0005-0000-0000-0000B5410000}"/>
    <cellStyle name="Normal 4 3 5 2 2 3 4" xfId="5807" xr:uid="{00000000-0005-0000-0000-0000B6410000}"/>
    <cellStyle name="Normal 4 3 5 2 2 3 4 2" xfId="22471" xr:uid="{00000000-0005-0000-0000-0000B7410000}"/>
    <cellStyle name="Normal 4 3 5 2 2 3 5" xfId="19289" xr:uid="{00000000-0005-0000-0000-0000B8410000}"/>
    <cellStyle name="Normal 4 3 5 2 2 4" xfId="7537" xr:uid="{00000000-0005-0000-0000-0000B9410000}"/>
    <cellStyle name="Normal 4 3 5 2 2 4 2" xfId="14800" xr:uid="{00000000-0005-0000-0000-0000BA410000}"/>
    <cellStyle name="Normal 4 3 5 2 2 4 2 2" xfId="31115" xr:uid="{00000000-0005-0000-0000-0000BB410000}"/>
    <cellStyle name="Normal 4 3 5 2 2 4 3" xfId="24150" xr:uid="{00000000-0005-0000-0000-0000BC410000}"/>
    <cellStyle name="Normal 4 3 5 2 2 5" xfId="10852" xr:uid="{00000000-0005-0000-0000-0000BD410000}"/>
    <cellStyle name="Normal 4 3 5 2 2 5 2" xfId="27450" xr:uid="{00000000-0005-0000-0000-0000BE410000}"/>
    <cellStyle name="Normal 4 3 5 2 2 6" xfId="4164" xr:uid="{00000000-0005-0000-0000-0000BF410000}"/>
    <cellStyle name="Normal 4 3 5 2 2 6 2" xfId="20887" xr:uid="{00000000-0005-0000-0000-0000C0410000}"/>
    <cellStyle name="Normal 4 3 5 2 2 7" xfId="18424" xr:uid="{00000000-0005-0000-0000-0000C1410000}"/>
    <cellStyle name="Normal 4 3 5 2 3" xfId="2564" xr:uid="{00000000-0005-0000-0000-0000C2410000}"/>
    <cellStyle name="Normal 4 3 5 2 3 2" xfId="6213" xr:uid="{00000000-0005-0000-0000-0000C3410000}"/>
    <cellStyle name="Normal 4 3 5 2 3 2 2" xfId="9564" xr:uid="{00000000-0005-0000-0000-0000C4410000}"/>
    <cellStyle name="Normal 4 3 5 2 3 2 2 2" xfId="16827" xr:uid="{00000000-0005-0000-0000-0000C5410000}"/>
    <cellStyle name="Normal 4 3 5 2 3 2 2 2 2" xfId="33142" xr:uid="{00000000-0005-0000-0000-0000C6410000}"/>
    <cellStyle name="Normal 4 3 5 2 3 2 2 3" xfId="26177" xr:uid="{00000000-0005-0000-0000-0000C7410000}"/>
    <cellStyle name="Normal 4 3 5 2 3 2 3" xfId="12906" xr:uid="{00000000-0005-0000-0000-0000C8410000}"/>
    <cellStyle name="Normal 4 3 5 2 3 2 3 2" xfId="29481" xr:uid="{00000000-0005-0000-0000-0000C9410000}"/>
    <cellStyle name="Normal 4 3 5 2 3 2 4" xfId="22877" xr:uid="{00000000-0005-0000-0000-0000CA410000}"/>
    <cellStyle name="Normal 4 3 5 2 3 3" xfId="7943" xr:uid="{00000000-0005-0000-0000-0000CB410000}"/>
    <cellStyle name="Normal 4 3 5 2 3 3 2" xfId="15206" xr:uid="{00000000-0005-0000-0000-0000CC410000}"/>
    <cellStyle name="Normal 4 3 5 2 3 3 2 2" xfId="31521" xr:uid="{00000000-0005-0000-0000-0000CD410000}"/>
    <cellStyle name="Normal 4 3 5 2 3 3 3" xfId="24556" xr:uid="{00000000-0005-0000-0000-0000CE410000}"/>
    <cellStyle name="Normal 4 3 5 2 3 4" xfId="11258" xr:uid="{00000000-0005-0000-0000-0000CF410000}"/>
    <cellStyle name="Normal 4 3 5 2 3 4 2" xfId="27856" xr:uid="{00000000-0005-0000-0000-0000D0410000}"/>
    <cellStyle name="Normal 4 3 5 2 3 5" xfId="4166" xr:uid="{00000000-0005-0000-0000-0000D1410000}"/>
    <cellStyle name="Normal 4 3 5 2 3 5 2" xfId="20889" xr:uid="{00000000-0005-0000-0000-0000D2410000}"/>
    <cellStyle name="Normal 4 3 5 2 3 6" xfId="19291" xr:uid="{00000000-0005-0000-0000-0000D3410000}"/>
    <cellStyle name="Normal 4 3 5 2 4" xfId="2561" xr:uid="{00000000-0005-0000-0000-0000D4410000}"/>
    <cellStyle name="Normal 4 3 5 2 4 2" xfId="8751" xr:uid="{00000000-0005-0000-0000-0000D5410000}"/>
    <cellStyle name="Normal 4 3 5 2 4 2 2" xfId="16014" xr:uid="{00000000-0005-0000-0000-0000D6410000}"/>
    <cellStyle name="Normal 4 3 5 2 4 2 2 2" xfId="32329" xr:uid="{00000000-0005-0000-0000-0000D7410000}"/>
    <cellStyle name="Normal 4 3 5 2 4 2 3" xfId="25364" xr:uid="{00000000-0005-0000-0000-0000D8410000}"/>
    <cellStyle name="Normal 4 3 5 2 4 3" xfId="12093" xr:uid="{00000000-0005-0000-0000-0000D9410000}"/>
    <cellStyle name="Normal 4 3 5 2 4 3 2" xfId="28668" xr:uid="{00000000-0005-0000-0000-0000DA410000}"/>
    <cellStyle name="Normal 4 3 5 2 4 4" xfId="5400" xr:uid="{00000000-0005-0000-0000-0000DB410000}"/>
    <cellStyle name="Normal 4 3 5 2 4 4 2" xfId="22064" xr:uid="{00000000-0005-0000-0000-0000DC410000}"/>
    <cellStyle name="Normal 4 3 5 2 4 5" xfId="19288" xr:uid="{00000000-0005-0000-0000-0000DD410000}"/>
    <cellStyle name="Normal 4 3 5 2 5" xfId="7131" xr:uid="{00000000-0005-0000-0000-0000DE410000}"/>
    <cellStyle name="Normal 4 3 5 2 5 2" xfId="14394" xr:uid="{00000000-0005-0000-0000-0000DF410000}"/>
    <cellStyle name="Normal 4 3 5 2 5 2 2" xfId="30709" xr:uid="{00000000-0005-0000-0000-0000E0410000}"/>
    <cellStyle name="Normal 4 3 5 2 5 3" xfId="23744" xr:uid="{00000000-0005-0000-0000-0000E1410000}"/>
    <cellStyle name="Normal 4 3 5 2 6" xfId="10446" xr:uid="{00000000-0005-0000-0000-0000E2410000}"/>
    <cellStyle name="Normal 4 3 5 2 6 2" xfId="27044" xr:uid="{00000000-0005-0000-0000-0000E3410000}"/>
    <cellStyle name="Normal 4 3 5 2 7" xfId="4163" xr:uid="{00000000-0005-0000-0000-0000E4410000}"/>
    <cellStyle name="Normal 4 3 5 2 7 2" xfId="20886" xr:uid="{00000000-0005-0000-0000-0000E5410000}"/>
    <cellStyle name="Normal 4 3 5 2 8" xfId="17905" xr:uid="{00000000-0005-0000-0000-0000E6410000}"/>
    <cellStyle name="Normal 4 3 5 3" xfId="1517" xr:uid="{00000000-0005-0000-0000-0000E7410000}"/>
    <cellStyle name="Normal 4 3 5 3 2" xfId="2566" xr:uid="{00000000-0005-0000-0000-0000E8410000}"/>
    <cellStyle name="Normal 4 3 5 3 2 2" xfId="6407" xr:uid="{00000000-0005-0000-0000-0000E9410000}"/>
    <cellStyle name="Normal 4 3 5 3 2 2 2" xfId="9758" xr:uid="{00000000-0005-0000-0000-0000EA410000}"/>
    <cellStyle name="Normal 4 3 5 3 2 2 2 2" xfId="17021" xr:uid="{00000000-0005-0000-0000-0000EB410000}"/>
    <cellStyle name="Normal 4 3 5 3 2 2 2 2 2" xfId="33336" xr:uid="{00000000-0005-0000-0000-0000EC410000}"/>
    <cellStyle name="Normal 4 3 5 3 2 2 2 3" xfId="26371" xr:uid="{00000000-0005-0000-0000-0000ED410000}"/>
    <cellStyle name="Normal 4 3 5 3 2 2 3" xfId="13100" xr:uid="{00000000-0005-0000-0000-0000EE410000}"/>
    <cellStyle name="Normal 4 3 5 3 2 2 3 2" xfId="29675" xr:uid="{00000000-0005-0000-0000-0000EF410000}"/>
    <cellStyle name="Normal 4 3 5 3 2 2 4" xfId="23071" xr:uid="{00000000-0005-0000-0000-0000F0410000}"/>
    <cellStyle name="Normal 4 3 5 3 2 3" xfId="8137" xr:uid="{00000000-0005-0000-0000-0000F1410000}"/>
    <cellStyle name="Normal 4 3 5 3 2 3 2" xfId="15400" xr:uid="{00000000-0005-0000-0000-0000F2410000}"/>
    <cellStyle name="Normal 4 3 5 3 2 3 2 2" xfId="31715" xr:uid="{00000000-0005-0000-0000-0000F3410000}"/>
    <cellStyle name="Normal 4 3 5 3 2 3 3" xfId="24750" xr:uid="{00000000-0005-0000-0000-0000F4410000}"/>
    <cellStyle name="Normal 4 3 5 3 2 4" xfId="11452" xr:uid="{00000000-0005-0000-0000-0000F5410000}"/>
    <cellStyle name="Normal 4 3 5 3 2 4 2" xfId="28050" xr:uid="{00000000-0005-0000-0000-0000F6410000}"/>
    <cellStyle name="Normal 4 3 5 3 2 5" xfId="4168" xr:uid="{00000000-0005-0000-0000-0000F7410000}"/>
    <cellStyle name="Normal 4 3 5 3 2 5 2" xfId="20891" xr:uid="{00000000-0005-0000-0000-0000F8410000}"/>
    <cellStyle name="Normal 4 3 5 3 2 6" xfId="19293" xr:uid="{00000000-0005-0000-0000-0000F9410000}"/>
    <cellStyle name="Normal 4 3 5 3 3" xfId="2565" xr:uid="{00000000-0005-0000-0000-0000FA410000}"/>
    <cellStyle name="Normal 4 3 5 3 3 2" xfId="8946" xr:uid="{00000000-0005-0000-0000-0000FB410000}"/>
    <cellStyle name="Normal 4 3 5 3 3 2 2" xfId="16209" xr:uid="{00000000-0005-0000-0000-0000FC410000}"/>
    <cellStyle name="Normal 4 3 5 3 3 2 2 2" xfId="32524" xr:uid="{00000000-0005-0000-0000-0000FD410000}"/>
    <cellStyle name="Normal 4 3 5 3 3 2 3" xfId="25559" xr:uid="{00000000-0005-0000-0000-0000FE410000}"/>
    <cellStyle name="Normal 4 3 5 3 3 3" xfId="12288" xr:uid="{00000000-0005-0000-0000-0000FF410000}"/>
    <cellStyle name="Normal 4 3 5 3 3 3 2" xfId="28863" xr:uid="{00000000-0005-0000-0000-000000420000}"/>
    <cellStyle name="Normal 4 3 5 3 3 4" xfId="5595" xr:uid="{00000000-0005-0000-0000-000001420000}"/>
    <cellStyle name="Normal 4 3 5 3 3 4 2" xfId="22259" xr:uid="{00000000-0005-0000-0000-000002420000}"/>
    <cellStyle name="Normal 4 3 5 3 3 5" xfId="19292" xr:uid="{00000000-0005-0000-0000-000003420000}"/>
    <cellStyle name="Normal 4 3 5 3 4" xfId="7325" xr:uid="{00000000-0005-0000-0000-000004420000}"/>
    <cellStyle name="Normal 4 3 5 3 4 2" xfId="14588" xr:uid="{00000000-0005-0000-0000-000005420000}"/>
    <cellStyle name="Normal 4 3 5 3 4 2 2" xfId="30903" xr:uid="{00000000-0005-0000-0000-000006420000}"/>
    <cellStyle name="Normal 4 3 5 3 4 3" xfId="23938" xr:uid="{00000000-0005-0000-0000-000007420000}"/>
    <cellStyle name="Normal 4 3 5 3 5" xfId="10640" xr:uid="{00000000-0005-0000-0000-000008420000}"/>
    <cellStyle name="Normal 4 3 5 3 5 2" xfId="27238" xr:uid="{00000000-0005-0000-0000-000009420000}"/>
    <cellStyle name="Normal 4 3 5 3 6" xfId="4167" xr:uid="{00000000-0005-0000-0000-00000A420000}"/>
    <cellStyle name="Normal 4 3 5 3 6 2" xfId="20890" xr:uid="{00000000-0005-0000-0000-00000B420000}"/>
    <cellStyle name="Normal 4 3 5 3 7" xfId="18252" xr:uid="{00000000-0005-0000-0000-00000C420000}"/>
    <cellStyle name="Normal 4 3 5 4" xfId="2567" xr:uid="{00000000-0005-0000-0000-00000D420000}"/>
    <cellStyle name="Normal 4 3 5 4 2" xfId="6001" xr:uid="{00000000-0005-0000-0000-00000E420000}"/>
    <cellStyle name="Normal 4 3 5 4 2 2" xfId="9352" xr:uid="{00000000-0005-0000-0000-00000F420000}"/>
    <cellStyle name="Normal 4 3 5 4 2 2 2" xfId="16615" xr:uid="{00000000-0005-0000-0000-000010420000}"/>
    <cellStyle name="Normal 4 3 5 4 2 2 2 2" xfId="32930" xr:uid="{00000000-0005-0000-0000-000011420000}"/>
    <cellStyle name="Normal 4 3 5 4 2 2 3" xfId="25965" xr:uid="{00000000-0005-0000-0000-000012420000}"/>
    <cellStyle name="Normal 4 3 5 4 2 3" xfId="12694" xr:uid="{00000000-0005-0000-0000-000013420000}"/>
    <cellStyle name="Normal 4 3 5 4 2 3 2" xfId="29269" xr:uid="{00000000-0005-0000-0000-000014420000}"/>
    <cellStyle name="Normal 4 3 5 4 2 4" xfId="22665" xr:uid="{00000000-0005-0000-0000-000015420000}"/>
    <cellStyle name="Normal 4 3 5 4 3" xfId="7731" xr:uid="{00000000-0005-0000-0000-000016420000}"/>
    <cellStyle name="Normal 4 3 5 4 3 2" xfId="14994" xr:uid="{00000000-0005-0000-0000-000017420000}"/>
    <cellStyle name="Normal 4 3 5 4 3 2 2" xfId="31309" xr:uid="{00000000-0005-0000-0000-000018420000}"/>
    <cellStyle name="Normal 4 3 5 4 3 3" xfId="24344" xr:uid="{00000000-0005-0000-0000-000019420000}"/>
    <cellStyle name="Normal 4 3 5 4 4" xfId="11046" xr:uid="{00000000-0005-0000-0000-00001A420000}"/>
    <cellStyle name="Normal 4 3 5 4 4 2" xfId="27644" xr:uid="{00000000-0005-0000-0000-00001B420000}"/>
    <cellStyle name="Normal 4 3 5 4 5" xfId="4169" xr:uid="{00000000-0005-0000-0000-00001C420000}"/>
    <cellStyle name="Normal 4 3 5 4 5 2" xfId="20892" xr:uid="{00000000-0005-0000-0000-00001D420000}"/>
    <cellStyle name="Normal 4 3 5 4 6" xfId="19294" xr:uid="{00000000-0005-0000-0000-00001E420000}"/>
    <cellStyle name="Normal 4 3 5 5" xfId="2560" xr:uid="{00000000-0005-0000-0000-00001F420000}"/>
    <cellStyle name="Normal 4 3 5 5 2" xfId="8578" xr:uid="{00000000-0005-0000-0000-000020420000}"/>
    <cellStyle name="Normal 4 3 5 5 2 2" xfId="15841" xr:uid="{00000000-0005-0000-0000-000021420000}"/>
    <cellStyle name="Normal 4 3 5 5 2 2 2" xfId="32156" xr:uid="{00000000-0005-0000-0000-000022420000}"/>
    <cellStyle name="Normal 4 3 5 5 2 3" xfId="25191" xr:uid="{00000000-0005-0000-0000-000023420000}"/>
    <cellStyle name="Normal 4 3 5 5 3" xfId="11920" xr:uid="{00000000-0005-0000-0000-000024420000}"/>
    <cellStyle name="Normal 4 3 5 5 3 2" xfId="28495" xr:uid="{00000000-0005-0000-0000-000025420000}"/>
    <cellStyle name="Normal 4 3 5 5 4" xfId="5227" xr:uid="{00000000-0005-0000-0000-000026420000}"/>
    <cellStyle name="Normal 4 3 5 5 4 2" xfId="21891" xr:uid="{00000000-0005-0000-0000-000027420000}"/>
    <cellStyle name="Normal 4 3 5 5 5" xfId="19287" xr:uid="{00000000-0005-0000-0000-000028420000}"/>
    <cellStyle name="Normal 4 3 5 6" xfId="6959" xr:uid="{00000000-0005-0000-0000-000029420000}"/>
    <cellStyle name="Normal 4 3 5 6 2" xfId="14222" xr:uid="{00000000-0005-0000-0000-00002A420000}"/>
    <cellStyle name="Normal 4 3 5 6 2 2" xfId="30537" xr:uid="{00000000-0005-0000-0000-00002B420000}"/>
    <cellStyle name="Normal 4 3 5 6 3" xfId="23572" xr:uid="{00000000-0005-0000-0000-00002C420000}"/>
    <cellStyle name="Normal 4 3 5 7" xfId="10273" xr:uid="{00000000-0005-0000-0000-00002D420000}"/>
    <cellStyle name="Normal 4 3 5 7 2" xfId="26872" xr:uid="{00000000-0005-0000-0000-00002E420000}"/>
    <cellStyle name="Normal 4 3 5 8" xfId="4162" xr:uid="{00000000-0005-0000-0000-00002F420000}"/>
    <cellStyle name="Normal 4 3 5 8 2" xfId="20885" xr:uid="{00000000-0005-0000-0000-000030420000}"/>
    <cellStyle name="Normal 4 3 5 9" xfId="17733" xr:uid="{00000000-0005-0000-0000-000031420000}"/>
    <cellStyle name="Normal 4 3 6" xfId="1157" xr:uid="{00000000-0005-0000-0000-000032420000}"/>
    <cellStyle name="Normal 4 3 6 2" xfId="1678" xr:uid="{00000000-0005-0000-0000-000033420000}"/>
    <cellStyle name="Normal 4 3 6 2 2" xfId="2570" xr:uid="{00000000-0005-0000-0000-000034420000}"/>
    <cellStyle name="Normal 4 3 6 2 2 2" xfId="6572" xr:uid="{00000000-0005-0000-0000-000035420000}"/>
    <cellStyle name="Normal 4 3 6 2 2 2 2" xfId="9923" xr:uid="{00000000-0005-0000-0000-000036420000}"/>
    <cellStyle name="Normal 4 3 6 2 2 2 2 2" xfId="17186" xr:uid="{00000000-0005-0000-0000-000037420000}"/>
    <cellStyle name="Normal 4 3 6 2 2 2 2 2 2" xfId="33501" xr:uid="{00000000-0005-0000-0000-000038420000}"/>
    <cellStyle name="Normal 4 3 6 2 2 2 2 3" xfId="26536" xr:uid="{00000000-0005-0000-0000-000039420000}"/>
    <cellStyle name="Normal 4 3 6 2 2 2 3" xfId="13265" xr:uid="{00000000-0005-0000-0000-00003A420000}"/>
    <cellStyle name="Normal 4 3 6 2 2 2 3 2" xfId="29840" xr:uid="{00000000-0005-0000-0000-00003B420000}"/>
    <cellStyle name="Normal 4 3 6 2 2 2 4" xfId="23236" xr:uid="{00000000-0005-0000-0000-00003C420000}"/>
    <cellStyle name="Normal 4 3 6 2 2 3" xfId="8302" xr:uid="{00000000-0005-0000-0000-00003D420000}"/>
    <cellStyle name="Normal 4 3 6 2 2 3 2" xfId="15565" xr:uid="{00000000-0005-0000-0000-00003E420000}"/>
    <cellStyle name="Normal 4 3 6 2 2 3 2 2" xfId="31880" xr:uid="{00000000-0005-0000-0000-00003F420000}"/>
    <cellStyle name="Normal 4 3 6 2 2 3 3" xfId="24915" xr:uid="{00000000-0005-0000-0000-000040420000}"/>
    <cellStyle name="Normal 4 3 6 2 2 4" xfId="11617" xr:uid="{00000000-0005-0000-0000-000041420000}"/>
    <cellStyle name="Normal 4 3 6 2 2 4 2" xfId="28215" xr:uid="{00000000-0005-0000-0000-000042420000}"/>
    <cellStyle name="Normal 4 3 6 2 2 5" xfId="4172" xr:uid="{00000000-0005-0000-0000-000043420000}"/>
    <cellStyle name="Normal 4 3 6 2 2 5 2" xfId="20895" xr:uid="{00000000-0005-0000-0000-000044420000}"/>
    <cellStyle name="Normal 4 3 6 2 2 6" xfId="19297" xr:uid="{00000000-0005-0000-0000-000045420000}"/>
    <cellStyle name="Normal 4 3 6 2 3" xfId="2569" xr:uid="{00000000-0005-0000-0000-000046420000}"/>
    <cellStyle name="Normal 4 3 6 2 3 2" xfId="9147" xr:uid="{00000000-0005-0000-0000-000047420000}"/>
    <cellStyle name="Normal 4 3 6 2 3 2 2" xfId="16410" xr:uid="{00000000-0005-0000-0000-000048420000}"/>
    <cellStyle name="Normal 4 3 6 2 3 2 2 2" xfId="32725" xr:uid="{00000000-0005-0000-0000-000049420000}"/>
    <cellStyle name="Normal 4 3 6 2 3 2 3" xfId="25760" xr:uid="{00000000-0005-0000-0000-00004A420000}"/>
    <cellStyle name="Normal 4 3 6 2 3 3" xfId="12489" xr:uid="{00000000-0005-0000-0000-00004B420000}"/>
    <cellStyle name="Normal 4 3 6 2 3 3 2" xfId="29064" xr:uid="{00000000-0005-0000-0000-00004C420000}"/>
    <cellStyle name="Normal 4 3 6 2 3 4" xfId="5796" xr:uid="{00000000-0005-0000-0000-00004D420000}"/>
    <cellStyle name="Normal 4 3 6 2 3 4 2" xfId="22460" xr:uid="{00000000-0005-0000-0000-00004E420000}"/>
    <cellStyle name="Normal 4 3 6 2 3 5" xfId="19296" xr:uid="{00000000-0005-0000-0000-00004F420000}"/>
    <cellStyle name="Normal 4 3 6 2 4" xfId="7526" xr:uid="{00000000-0005-0000-0000-000050420000}"/>
    <cellStyle name="Normal 4 3 6 2 4 2" xfId="14789" xr:uid="{00000000-0005-0000-0000-000051420000}"/>
    <cellStyle name="Normal 4 3 6 2 4 2 2" xfId="31104" xr:uid="{00000000-0005-0000-0000-000052420000}"/>
    <cellStyle name="Normal 4 3 6 2 4 3" xfId="24139" xr:uid="{00000000-0005-0000-0000-000053420000}"/>
    <cellStyle name="Normal 4 3 6 2 5" xfId="10841" xr:uid="{00000000-0005-0000-0000-000054420000}"/>
    <cellStyle name="Normal 4 3 6 2 5 2" xfId="27439" xr:uid="{00000000-0005-0000-0000-000055420000}"/>
    <cellStyle name="Normal 4 3 6 2 6" xfId="4171" xr:uid="{00000000-0005-0000-0000-000056420000}"/>
    <cellStyle name="Normal 4 3 6 2 6 2" xfId="20894" xr:uid="{00000000-0005-0000-0000-000057420000}"/>
    <cellStyle name="Normal 4 3 6 2 7" xfId="18413" xr:uid="{00000000-0005-0000-0000-000058420000}"/>
    <cellStyle name="Normal 4 3 6 3" xfId="2571" xr:uid="{00000000-0005-0000-0000-000059420000}"/>
    <cellStyle name="Normal 4 3 6 3 2" xfId="6202" xr:uid="{00000000-0005-0000-0000-00005A420000}"/>
    <cellStyle name="Normal 4 3 6 3 2 2" xfId="9553" xr:uid="{00000000-0005-0000-0000-00005B420000}"/>
    <cellStyle name="Normal 4 3 6 3 2 2 2" xfId="16816" xr:uid="{00000000-0005-0000-0000-00005C420000}"/>
    <cellStyle name="Normal 4 3 6 3 2 2 2 2" xfId="33131" xr:uid="{00000000-0005-0000-0000-00005D420000}"/>
    <cellStyle name="Normal 4 3 6 3 2 2 3" xfId="26166" xr:uid="{00000000-0005-0000-0000-00005E420000}"/>
    <cellStyle name="Normal 4 3 6 3 2 3" xfId="12895" xr:uid="{00000000-0005-0000-0000-00005F420000}"/>
    <cellStyle name="Normal 4 3 6 3 2 3 2" xfId="29470" xr:uid="{00000000-0005-0000-0000-000060420000}"/>
    <cellStyle name="Normal 4 3 6 3 2 4" xfId="22866" xr:uid="{00000000-0005-0000-0000-000061420000}"/>
    <cellStyle name="Normal 4 3 6 3 3" xfId="7932" xr:uid="{00000000-0005-0000-0000-000062420000}"/>
    <cellStyle name="Normal 4 3 6 3 3 2" xfId="15195" xr:uid="{00000000-0005-0000-0000-000063420000}"/>
    <cellStyle name="Normal 4 3 6 3 3 2 2" xfId="31510" xr:uid="{00000000-0005-0000-0000-000064420000}"/>
    <cellStyle name="Normal 4 3 6 3 3 3" xfId="24545" xr:uid="{00000000-0005-0000-0000-000065420000}"/>
    <cellStyle name="Normal 4 3 6 3 4" xfId="11247" xr:uid="{00000000-0005-0000-0000-000066420000}"/>
    <cellStyle name="Normal 4 3 6 3 4 2" xfId="27845" xr:uid="{00000000-0005-0000-0000-000067420000}"/>
    <cellStyle name="Normal 4 3 6 3 5" xfId="4173" xr:uid="{00000000-0005-0000-0000-000068420000}"/>
    <cellStyle name="Normal 4 3 6 3 5 2" xfId="20896" xr:uid="{00000000-0005-0000-0000-000069420000}"/>
    <cellStyle name="Normal 4 3 6 3 6" xfId="19298" xr:uid="{00000000-0005-0000-0000-00006A420000}"/>
    <cellStyle name="Normal 4 3 6 4" xfId="2568" xr:uid="{00000000-0005-0000-0000-00006B420000}"/>
    <cellStyle name="Normal 4 3 6 4 2" xfId="8740" xr:uid="{00000000-0005-0000-0000-00006C420000}"/>
    <cellStyle name="Normal 4 3 6 4 2 2" xfId="16003" xr:uid="{00000000-0005-0000-0000-00006D420000}"/>
    <cellStyle name="Normal 4 3 6 4 2 2 2" xfId="32318" xr:uid="{00000000-0005-0000-0000-00006E420000}"/>
    <cellStyle name="Normal 4 3 6 4 2 3" xfId="25353" xr:uid="{00000000-0005-0000-0000-00006F420000}"/>
    <cellStyle name="Normal 4 3 6 4 3" xfId="12082" xr:uid="{00000000-0005-0000-0000-000070420000}"/>
    <cellStyle name="Normal 4 3 6 4 3 2" xfId="28657" xr:uid="{00000000-0005-0000-0000-000071420000}"/>
    <cellStyle name="Normal 4 3 6 4 4" xfId="5389" xr:uid="{00000000-0005-0000-0000-000072420000}"/>
    <cellStyle name="Normal 4 3 6 4 4 2" xfId="22053" xr:uid="{00000000-0005-0000-0000-000073420000}"/>
    <cellStyle name="Normal 4 3 6 4 5" xfId="19295" xr:uid="{00000000-0005-0000-0000-000074420000}"/>
    <cellStyle name="Normal 4 3 6 5" xfId="7120" xr:uid="{00000000-0005-0000-0000-000075420000}"/>
    <cellStyle name="Normal 4 3 6 5 2" xfId="14383" xr:uid="{00000000-0005-0000-0000-000076420000}"/>
    <cellStyle name="Normal 4 3 6 5 2 2" xfId="30698" xr:uid="{00000000-0005-0000-0000-000077420000}"/>
    <cellStyle name="Normal 4 3 6 5 3" xfId="23733" xr:uid="{00000000-0005-0000-0000-000078420000}"/>
    <cellStyle name="Normal 4 3 6 6" xfId="10435" xr:uid="{00000000-0005-0000-0000-000079420000}"/>
    <cellStyle name="Normal 4 3 6 6 2" xfId="27033" xr:uid="{00000000-0005-0000-0000-00007A420000}"/>
    <cellStyle name="Normal 4 3 6 7" xfId="4170" xr:uid="{00000000-0005-0000-0000-00007B420000}"/>
    <cellStyle name="Normal 4 3 6 7 2" xfId="20893" xr:uid="{00000000-0005-0000-0000-00007C420000}"/>
    <cellStyle name="Normal 4 3 6 8" xfId="17894" xr:uid="{00000000-0005-0000-0000-00007D420000}"/>
    <cellStyle name="Normal 4 3 7" xfId="2572" xr:uid="{00000000-0005-0000-0000-00007E420000}"/>
    <cellStyle name="Normal 4 3 7 2" xfId="2573" xr:uid="{00000000-0005-0000-0000-00007F420000}"/>
    <cellStyle name="Normal 4 3 7 2 2" xfId="2574" xr:uid="{00000000-0005-0000-0000-000080420000}"/>
    <cellStyle name="Normal 4 3 7 2 2 2" xfId="6695" xr:uid="{00000000-0005-0000-0000-000081420000}"/>
    <cellStyle name="Normal 4 3 7 2 2 2 2" xfId="10046" xr:uid="{00000000-0005-0000-0000-000082420000}"/>
    <cellStyle name="Normal 4 3 7 2 2 2 2 2" xfId="17309" xr:uid="{00000000-0005-0000-0000-000083420000}"/>
    <cellStyle name="Normal 4 3 7 2 2 2 2 2 2" xfId="33624" xr:uid="{00000000-0005-0000-0000-000084420000}"/>
    <cellStyle name="Normal 4 3 7 2 2 2 2 3" xfId="26659" xr:uid="{00000000-0005-0000-0000-000085420000}"/>
    <cellStyle name="Normal 4 3 7 2 2 2 3" xfId="13388" xr:uid="{00000000-0005-0000-0000-000086420000}"/>
    <cellStyle name="Normal 4 3 7 2 2 2 3 2" xfId="29963" xr:uid="{00000000-0005-0000-0000-000087420000}"/>
    <cellStyle name="Normal 4 3 7 2 2 2 4" xfId="23359" xr:uid="{00000000-0005-0000-0000-000088420000}"/>
    <cellStyle name="Normal 4 3 7 2 2 3" xfId="8425" xr:uid="{00000000-0005-0000-0000-000089420000}"/>
    <cellStyle name="Normal 4 3 7 2 2 3 2" xfId="15688" xr:uid="{00000000-0005-0000-0000-00008A420000}"/>
    <cellStyle name="Normal 4 3 7 2 2 3 2 2" xfId="32003" xr:uid="{00000000-0005-0000-0000-00008B420000}"/>
    <cellStyle name="Normal 4 3 7 2 2 3 3" xfId="25038" xr:uid="{00000000-0005-0000-0000-00008C420000}"/>
    <cellStyle name="Normal 4 3 7 2 2 4" xfId="11740" xr:uid="{00000000-0005-0000-0000-00008D420000}"/>
    <cellStyle name="Normal 4 3 7 2 2 4 2" xfId="28338" xr:uid="{00000000-0005-0000-0000-00008E420000}"/>
    <cellStyle name="Normal 4 3 7 2 2 5" xfId="4176" xr:uid="{00000000-0005-0000-0000-00008F420000}"/>
    <cellStyle name="Normal 4 3 7 2 2 5 2" xfId="20899" xr:uid="{00000000-0005-0000-0000-000090420000}"/>
    <cellStyle name="Normal 4 3 7 2 2 6" xfId="19301" xr:uid="{00000000-0005-0000-0000-000091420000}"/>
    <cellStyle name="Normal 4 3 7 2 3" xfId="5919" xr:uid="{00000000-0005-0000-0000-000092420000}"/>
    <cellStyle name="Normal 4 3 7 2 3 2" xfId="9270" xr:uid="{00000000-0005-0000-0000-000093420000}"/>
    <cellStyle name="Normal 4 3 7 2 3 2 2" xfId="16533" xr:uid="{00000000-0005-0000-0000-000094420000}"/>
    <cellStyle name="Normal 4 3 7 2 3 2 2 2" xfId="32848" xr:uid="{00000000-0005-0000-0000-000095420000}"/>
    <cellStyle name="Normal 4 3 7 2 3 2 3" xfId="25883" xr:uid="{00000000-0005-0000-0000-000096420000}"/>
    <cellStyle name="Normal 4 3 7 2 3 3" xfId="12612" xr:uid="{00000000-0005-0000-0000-000097420000}"/>
    <cellStyle name="Normal 4 3 7 2 3 3 2" xfId="29187" xr:uid="{00000000-0005-0000-0000-000098420000}"/>
    <cellStyle name="Normal 4 3 7 2 3 4" xfId="22583" xr:uid="{00000000-0005-0000-0000-000099420000}"/>
    <cellStyle name="Normal 4 3 7 2 4" xfId="7649" xr:uid="{00000000-0005-0000-0000-00009A420000}"/>
    <cellStyle name="Normal 4 3 7 2 4 2" xfId="14912" xr:uid="{00000000-0005-0000-0000-00009B420000}"/>
    <cellStyle name="Normal 4 3 7 2 4 2 2" xfId="31227" xr:uid="{00000000-0005-0000-0000-00009C420000}"/>
    <cellStyle name="Normal 4 3 7 2 4 3" xfId="24262" xr:uid="{00000000-0005-0000-0000-00009D420000}"/>
    <cellStyle name="Normal 4 3 7 2 5" xfId="10964" xr:uid="{00000000-0005-0000-0000-00009E420000}"/>
    <cellStyle name="Normal 4 3 7 2 5 2" xfId="27562" xr:uid="{00000000-0005-0000-0000-00009F420000}"/>
    <cellStyle name="Normal 4 3 7 2 6" xfId="4175" xr:uid="{00000000-0005-0000-0000-0000A0420000}"/>
    <cellStyle name="Normal 4 3 7 2 6 2" xfId="20898" xr:uid="{00000000-0005-0000-0000-0000A1420000}"/>
    <cellStyle name="Normal 4 3 7 2 7" xfId="19300" xr:uid="{00000000-0005-0000-0000-0000A2420000}"/>
    <cellStyle name="Normal 4 3 7 3" xfId="2575" xr:uid="{00000000-0005-0000-0000-0000A3420000}"/>
    <cellStyle name="Normal 4 3 7 3 2" xfId="6325" xr:uid="{00000000-0005-0000-0000-0000A4420000}"/>
    <cellStyle name="Normal 4 3 7 3 2 2" xfId="9676" xr:uid="{00000000-0005-0000-0000-0000A5420000}"/>
    <cellStyle name="Normal 4 3 7 3 2 2 2" xfId="16939" xr:uid="{00000000-0005-0000-0000-0000A6420000}"/>
    <cellStyle name="Normal 4 3 7 3 2 2 2 2" xfId="33254" xr:uid="{00000000-0005-0000-0000-0000A7420000}"/>
    <cellStyle name="Normal 4 3 7 3 2 2 3" xfId="26289" xr:uid="{00000000-0005-0000-0000-0000A8420000}"/>
    <cellStyle name="Normal 4 3 7 3 2 3" xfId="13018" xr:uid="{00000000-0005-0000-0000-0000A9420000}"/>
    <cellStyle name="Normal 4 3 7 3 2 3 2" xfId="29593" xr:uid="{00000000-0005-0000-0000-0000AA420000}"/>
    <cellStyle name="Normal 4 3 7 3 2 4" xfId="22989" xr:uid="{00000000-0005-0000-0000-0000AB420000}"/>
    <cellStyle name="Normal 4 3 7 3 3" xfId="8055" xr:uid="{00000000-0005-0000-0000-0000AC420000}"/>
    <cellStyle name="Normal 4 3 7 3 3 2" xfId="15318" xr:uid="{00000000-0005-0000-0000-0000AD420000}"/>
    <cellStyle name="Normal 4 3 7 3 3 2 2" xfId="31633" xr:uid="{00000000-0005-0000-0000-0000AE420000}"/>
    <cellStyle name="Normal 4 3 7 3 3 3" xfId="24668" xr:uid="{00000000-0005-0000-0000-0000AF420000}"/>
    <cellStyle name="Normal 4 3 7 3 4" xfId="11370" xr:uid="{00000000-0005-0000-0000-0000B0420000}"/>
    <cellStyle name="Normal 4 3 7 3 4 2" xfId="27968" xr:uid="{00000000-0005-0000-0000-0000B1420000}"/>
    <cellStyle name="Normal 4 3 7 3 5" xfId="4177" xr:uid="{00000000-0005-0000-0000-0000B2420000}"/>
    <cellStyle name="Normal 4 3 7 3 5 2" xfId="20900" xr:uid="{00000000-0005-0000-0000-0000B3420000}"/>
    <cellStyle name="Normal 4 3 7 3 6" xfId="19302" xr:uid="{00000000-0005-0000-0000-0000B4420000}"/>
    <cellStyle name="Normal 4 3 7 4" xfId="5512" xr:uid="{00000000-0005-0000-0000-0000B5420000}"/>
    <cellStyle name="Normal 4 3 7 4 2" xfId="8863" xr:uid="{00000000-0005-0000-0000-0000B6420000}"/>
    <cellStyle name="Normal 4 3 7 4 2 2" xfId="16126" xr:uid="{00000000-0005-0000-0000-0000B7420000}"/>
    <cellStyle name="Normal 4 3 7 4 2 2 2" xfId="32441" xr:uid="{00000000-0005-0000-0000-0000B8420000}"/>
    <cellStyle name="Normal 4 3 7 4 2 3" xfId="25476" xr:uid="{00000000-0005-0000-0000-0000B9420000}"/>
    <cellStyle name="Normal 4 3 7 4 3" xfId="12205" xr:uid="{00000000-0005-0000-0000-0000BA420000}"/>
    <cellStyle name="Normal 4 3 7 4 3 2" xfId="28780" xr:uid="{00000000-0005-0000-0000-0000BB420000}"/>
    <cellStyle name="Normal 4 3 7 4 4" xfId="22176" xr:uid="{00000000-0005-0000-0000-0000BC420000}"/>
    <cellStyle name="Normal 4 3 7 5" xfId="7243" xr:uid="{00000000-0005-0000-0000-0000BD420000}"/>
    <cellStyle name="Normal 4 3 7 5 2" xfId="14506" xr:uid="{00000000-0005-0000-0000-0000BE420000}"/>
    <cellStyle name="Normal 4 3 7 5 2 2" xfId="30821" xr:uid="{00000000-0005-0000-0000-0000BF420000}"/>
    <cellStyle name="Normal 4 3 7 5 3" xfId="23856" xr:uid="{00000000-0005-0000-0000-0000C0420000}"/>
    <cellStyle name="Normal 4 3 7 6" xfId="10558" xr:uid="{00000000-0005-0000-0000-0000C1420000}"/>
    <cellStyle name="Normal 4 3 7 6 2" xfId="27156" xr:uid="{00000000-0005-0000-0000-0000C2420000}"/>
    <cellStyle name="Normal 4 3 7 7" xfId="4174" xr:uid="{00000000-0005-0000-0000-0000C3420000}"/>
    <cellStyle name="Normal 4 3 7 7 2" xfId="20897" xr:uid="{00000000-0005-0000-0000-0000C4420000}"/>
    <cellStyle name="Normal 4 3 7 8" xfId="19299" xr:uid="{00000000-0005-0000-0000-0000C5420000}"/>
    <cellStyle name="Normal 4 3 8" xfId="2576" xr:uid="{00000000-0005-0000-0000-0000C6420000}"/>
    <cellStyle name="Normal 4 3 8 2" xfId="2577" xr:uid="{00000000-0005-0000-0000-0000C7420000}"/>
    <cellStyle name="Normal 4 3 8 2 2" xfId="6396" xr:uid="{00000000-0005-0000-0000-0000C8420000}"/>
    <cellStyle name="Normal 4 3 8 2 2 2" xfId="9747" xr:uid="{00000000-0005-0000-0000-0000C9420000}"/>
    <cellStyle name="Normal 4 3 8 2 2 2 2" xfId="17010" xr:uid="{00000000-0005-0000-0000-0000CA420000}"/>
    <cellStyle name="Normal 4 3 8 2 2 2 2 2" xfId="33325" xr:uid="{00000000-0005-0000-0000-0000CB420000}"/>
    <cellStyle name="Normal 4 3 8 2 2 2 3" xfId="26360" xr:uid="{00000000-0005-0000-0000-0000CC420000}"/>
    <cellStyle name="Normal 4 3 8 2 2 3" xfId="13089" xr:uid="{00000000-0005-0000-0000-0000CD420000}"/>
    <cellStyle name="Normal 4 3 8 2 2 3 2" xfId="29664" xr:uid="{00000000-0005-0000-0000-0000CE420000}"/>
    <cellStyle name="Normal 4 3 8 2 2 4" xfId="23060" xr:uid="{00000000-0005-0000-0000-0000CF420000}"/>
    <cellStyle name="Normal 4 3 8 2 3" xfId="8126" xr:uid="{00000000-0005-0000-0000-0000D0420000}"/>
    <cellStyle name="Normal 4 3 8 2 3 2" xfId="15389" xr:uid="{00000000-0005-0000-0000-0000D1420000}"/>
    <cellStyle name="Normal 4 3 8 2 3 2 2" xfId="31704" xr:uid="{00000000-0005-0000-0000-0000D2420000}"/>
    <cellStyle name="Normal 4 3 8 2 3 3" xfId="24739" xr:uid="{00000000-0005-0000-0000-0000D3420000}"/>
    <cellStyle name="Normal 4 3 8 2 4" xfId="11441" xr:uid="{00000000-0005-0000-0000-0000D4420000}"/>
    <cellStyle name="Normal 4 3 8 2 4 2" xfId="28039" xr:uid="{00000000-0005-0000-0000-0000D5420000}"/>
    <cellStyle name="Normal 4 3 8 2 5" xfId="4179" xr:uid="{00000000-0005-0000-0000-0000D6420000}"/>
    <cellStyle name="Normal 4 3 8 2 5 2" xfId="20902" xr:uid="{00000000-0005-0000-0000-0000D7420000}"/>
    <cellStyle name="Normal 4 3 8 2 6" xfId="19304" xr:uid="{00000000-0005-0000-0000-0000D8420000}"/>
    <cellStyle name="Normal 4 3 8 3" xfId="5584" xr:uid="{00000000-0005-0000-0000-0000D9420000}"/>
    <cellStyle name="Normal 4 3 8 3 2" xfId="8935" xr:uid="{00000000-0005-0000-0000-0000DA420000}"/>
    <cellStyle name="Normal 4 3 8 3 2 2" xfId="16198" xr:uid="{00000000-0005-0000-0000-0000DB420000}"/>
    <cellStyle name="Normal 4 3 8 3 2 2 2" xfId="32513" xr:uid="{00000000-0005-0000-0000-0000DC420000}"/>
    <cellStyle name="Normal 4 3 8 3 2 3" xfId="25548" xr:uid="{00000000-0005-0000-0000-0000DD420000}"/>
    <cellStyle name="Normal 4 3 8 3 3" xfId="12277" xr:uid="{00000000-0005-0000-0000-0000DE420000}"/>
    <cellStyle name="Normal 4 3 8 3 3 2" xfId="28852" xr:uid="{00000000-0005-0000-0000-0000DF420000}"/>
    <cellStyle name="Normal 4 3 8 3 4" xfId="22248" xr:uid="{00000000-0005-0000-0000-0000E0420000}"/>
    <cellStyle name="Normal 4 3 8 4" xfId="7314" xr:uid="{00000000-0005-0000-0000-0000E1420000}"/>
    <cellStyle name="Normal 4 3 8 4 2" xfId="14577" xr:uid="{00000000-0005-0000-0000-0000E2420000}"/>
    <cellStyle name="Normal 4 3 8 4 2 2" xfId="30892" xr:uid="{00000000-0005-0000-0000-0000E3420000}"/>
    <cellStyle name="Normal 4 3 8 4 3" xfId="23927" xr:uid="{00000000-0005-0000-0000-0000E4420000}"/>
    <cellStyle name="Normal 4 3 8 5" xfId="10629" xr:uid="{00000000-0005-0000-0000-0000E5420000}"/>
    <cellStyle name="Normal 4 3 8 5 2" xfId="27227" xr:uid="{00000000-0005-0000-0000-0000E6420000}"/>
    <cellStyle name="Normal 4 3 8 6" xfId="4178" xr:uid="{00000000-0005-0000-0000-0000E7420000}"/>
    <cellStyle name="Normal 4 3 8 6 2" xfId="20901" xr:uid="{00000000-0005-0000-0000-0000E8420000}"/>
    <cellStyle name="Normal 4 3 8 7" xfId="19303" xr:uid="{00000000-0005-0000-0000-0000E9420000}"/>
    <cellStyle name="Normal 4 3 9" xfId="2578" xr:uid="{00000000-0005-0000-0000-0000EA420000}"/>
    <cellStyle name="Normal 4 3 9 2" xfId="5990" xr:uid="{00000000-0005-0000-0000-0000EB420000}"/>
    <cellStyle name="Normal 4 3 9 2 2" xfId="9341" xr:uid="{00000000-0005-0000-0000-0000EC420000}"/>
    <cellStyle name="Normal 4 3 9 2 2 2" xfId="16604" xr:uid="{00000000-0005-0000-0000-0000ED420000}"/>
    <cellStyle name="Normal 4 3 9 2 2 2 2" xfId="32919" xr:uid="{00000000-0005-0000-0000-0000EE420000}"/>
    <cellStyle name="Normal 4 3 9 2 2 3" xfId="25954" xr:uid="{00000000-0005-0000-0000-0000EF420000}"/>
    <cellStyle name="Normal 4 3 9 2 3" xfId="12683" xr:uid="{00000000-0005-0000-0000-0000F0420000}"/>
    <cellStyle name="Normal 4 3 9 2 3 2" xfId="29258" xr:uid="{00000000-0005-0000-0000-0000F1420000}"/>
    <cellStyle name="Normal 4 3 9 2 4" xfId="22654" xr:uid="{00000000-0005-0000-0000-0000F2420000}"/>
    <cellStyle name="Normal 4 3 9 3" xfId="7720" xr:uid="{00000000-0005-0000-0000-0000F3420000}"/>
    <cellStyle name="Normal 4 3 9 3 2" xfId="14983" xr:uid="{00000000-0005-0000-0000-0000F4420000}"/>
    <cellStyle name="Normal 4 3 9 3 2 2" xfId="31298" xr:uid="{00000000-0005-0000-0000-0000F5420000}"/>
    <cellStyle name="Normal 4 3 9 3 3" xfId="24333" xr:uid="{00000000-0005-0000-0000-0000F6420000}"/>
    <cellStyle name="Normal 4 3 9 4" xfId="11035" xr:uid="{00000000-0005-0000-0000-0000F7420000}"/>
    <cellStyle name="Normal 4 3 9 4 2" xfId="27633" xr:uid="{00000000-0005-0000-0000-0000F8420000}"/>
    <cellStyle name="Normal 4 3 9 5" xfId="4180" xr:uid="{00000000-0005-0000-0000-0000F9420000}"/>
    <cellStyle name="Normal 4 3 9 5 2" xfId="20903" xr:uid="{00000000-0005-0000-0000-0000FA420000}"/>
    <cellStyle name="Normal 4 3 9 6" xfId="19305" xr:uid="{00000000-0005-0000-0000-0000FB420000}"/>
    <cellStyle name="Normal 4 4" xfId="878" xr:uid="{00000000-0005-0000-0000-0000FC420000}"/>
    <cellStyle name="Normal 4 4 10" xfId="4181" xr:uid="{00000000-0005-0000-0000-0000FD420000}"/>
    <cellStyle name="Normal 4 4 10 2" xfId="20904" xr:uid="{00000000-0005-0000-0000-0000FE420000}"/>
    <cellStyle name="Normal 4 4 11" xfId="17656" xr:uid="{00000000-0005-0000-0000-0000FF420000}"/>
    <cellStyle name="Normal 4 4 2" xfId="931" xr:uid="{00000000-0005-0000-0000-000000430000}"/>
    <cellStyle name="Normal 4 4 2 10" xfId="17709" xr:uid="{00000000-0005-0000-0000-000001430000}"/>
    <cellStyle name="Normal 4 4 2 2" xfId="1038" xr:uid="{00000000-0005-0000-0000-000002430000}"/>
    <cellStyle name="Normal 4 4 2 2 2" xfId="1171" xr:uid="{00000000-0005-0000-0000-000003430000}"/>
    <cellStyle name="Normal 4 4 2 2 2 2" xfId="1692" xr:uid="{00000000-0005-0000-0000-000004430000}"/>
    <cellStyle name="Normal 4 4 2 2 2 2 2" xfId="2584" xr:uid="{00000000-0005-0000-0000-000005430000}"/>
    <cellStyle name="Normal 4 4 2 2 2 2 2 2" xfId="6586" xr:uid="{00000000-0005-0000-0000-000006430000}"/>
    <cellStyle name="Normal 4 4 2 2 2 2 2 2 2" xfId="9937" xr:uid="{00000000-0005-0000-0000-000007430000}"/>
    <cellStyle name="Normal 4 4 2 2 2 2 2 2 2 2" xfId="17200" xr:uid="{00000000-0005-0000-0000-000008430000}"/>
    <cellStyle name="Normal 4 4 2 2 2 2 2 2 2 2 2" xfId="33515" xr:uid="{00000000-0005-0000-0000-000009430000}"/>
    <cellStyle name="Normal 4 4 2 2 2 2 2 2 2 3" xfId="26550" xr:uid="{00000000-0005-0000-0000-00000A430000}"/>
    <cellStyle name="Normal 4 4 2 2 2 2 2 2 3" xfId="13279" xr:uid="{00000000-0005-0000-0000-00000B430000}"/>
    <cellStyle name="Normal 4 4 2 2 2 2 2 2 3 2" xfId="29854" xr:uid="{00000000-0005-0000-0000-00000C430000}"/>
    <cellStyle name="Normal 4 4 2 2 2 2 2 2 4" xfId="23250" xr:uid="{00000000-0005-0000-0000-00000D430000}"/>
    <cellStyle name="Normal 4 4 2 2 2 2 2 3" xfId="8316" xr:uid="{00000000-0005-0000-0000-00000E430000}"/>
    <cellStyle name="Normal 4 4 2 2 2 2 2 3 2" xfId="15579" xr:uid="{00000000-0005-0000-0000-00000F430000}"/>
    <cellStyle name="Normal 4 4 2 2 2 2 2 3 2 2" xfId="31894" xr:uid="{00000000-0005-0000-0000-000010430000}"/>
    <cellStyle name="Normal 4 4 2 2 2 2 2 3 3" xfId="24929" xr:uid="{00000000-0005-0000-0000-000011430000}"/>
    <cellStyle name="Normal 4 4 2 2 2 2 2 4" xfId="11631" xr:uid="{00000000-0005-0000-0000-000012430000}"/>
    <cellStyle name="Normal 4 4 2 2 2 2 2 4 2" xfId="28229" xr:uid="{00000000-0005-0000-0000-000013430000}"/>
    <cellStyle name="Normal 4 4 2 2 2 2 2 5" xfId="4186" xr:uid="{00000000-0005-0000-0000-000014430000}"/>
    <cellStyle name="Normal 4 4 2 2 2 2 2 5 2" xfId="20909" xr:uid="{00000000-0005-0000-0000-000015430000}"/>
    <cellStyle name="Normal 4 4 2 2 2 2 2 6" xfId="19311" xr:uid="{00000000-0005-0000-0000-000016430000}"/>
    <cellStyle name="Normal 4 4 2 2 2 2 3" xfId="2583" xr:uid="{00000000-0005-0000-0000-000017430000}"/>
    <cellStyle name="Normal 4 4 2 2 2 2 3 2" xfId="9161" xr:uid="{00000000-0005-0000-0000-000018430000}"/>
    <cellStyle name="Normal 4 4 2 2 2 2 3 2 2" xfId="16424" xr:uid="{00000000-0005-0000-0000-000019430000}"/>
    <cellStyle name="Normal 4 4 2 2 2 2 3 2 2 2" xfId="32739" xr:uid="{00000000-0005-0000-0000-00001A430000}"/>
    <cellStyle name="Normal 4 4 2 2 2 2 3 2 3" xfId="25774" xr:uid="{00000000-0005-0000-0000-00001B430000}"/>
    <cellStyle name="Normal 4 4 2 2 2 2 3 3" xfId="12503" xr:uid="{00000000-0005-0000-0000-00001C430000}"/>
    <cellStyle name="Normal 4 4 2 2 2 2 3 3 2" xfId="29078" xr:uid="{00000000-0005-0000-0000-00001D430000}"/>
    <cellStyle name="Normal 4 4 2 2 2 2 3 4" xfId="5810" xr:uid="{00000000-0005-0000-0000-00001E430000}"/>
    <cellStyle name="Normal 4 4 2 2 2 2 3 4 2" xfId="22474" xr:uid="{00000000-0005-0000-0000-00001F430000}"/>
    <cellStyle name="Normal 4 4 2 2 2 2 3 5" xfId="19310" xr:uid="{00000000-0005-0000-0000-000020430000}"/>
    <cellStyle name="Normal 4 4 2 2 2 2 4" xfId="7540" xr:uid="{00000000-0005-0000-0000-000021430000}"/>
    <cellStyle name="Normal 4 4 2 2 2 2 4 2" xfId="14803" xr:uid="{00000000-0005-0000-0000-000022430000}"/>
    <cellStyle name="Normal 4 4 2 2 2 2 4 2 2" xfId="31118" xr:uid="{00000000-0005-0000-0000-000023430000}"/>
    <cellStyle name="Normal 4 4 2 2 2 2 4 3" xfId="24153" xr:uid="{00000000-0005-0000-0000-000024430000}"/>
    <cellStyle name="Normal 4 4 2 2 2 2 5" xfId="10855" xr:uid="{00000000-0005-0000-0000-000025430000}"/>
    <cellStyle name="Normal 4 4 2 2 2 2 5 2" xfId="27453" xr:uid="{00000000-0005-0000-0000-000026430000}"/>
    <cellStyle name="Normal 4 4 2 2 2 2 6" xfId="4185" xr:uid="{00000000-0005-0000-0000-000027430000}"/>
    <cellStyle name="Normal 4 4 2 2 2 2 6 2" xfId="20908" xr:uid="{00000000-0005-0000-0000-000028430000}"/>
    <cellStyle name="Normal 4 4 2 2 2 2 7" xfId="18427" xr:uid="{00000000-0005-0000-0000-000029430000}"/>
    <cellStyle name="Normal 4 4 2 2 2 3" xfId="2585" xr:uid="{00000000-0005-0000-0000-00002A430000}"/>
    <cellStyle name="Normal 4 4 2 2 2 3 2" xfId="6216" xr:uid="{00000000-0005-0000-0000-00002B430000}"/>
    <cellStyle name="Normal 4 4 2 2 2 3 2 2" xfId="9567" xr:uid="{00000000-0005-0000-0000-00002C430000}"/>
    <cellStyle name="Normal 4 4 2 2 2 3 2 2 2" xfId="16830" xr:uid="{00000000-0005-0000-0000-00002D430000}"/>
    <cellStyle name="Normal 4 4 2 2 2 3 2 2 2 2" xfId="33145" xr:uid="{00000000-0005-0000-0000-00002E430000}"/>
    <cellStyle name="Normal 4 4 2 2 2 3 2 2 3" xfId="26180" xr:uid="{00000000-0005-0000-0000-00002F430000}"/>
    <cellStyle name="Normal 4 4 2 2 2 3 2 3" xfId="12909" xr:uid="{00000000-0005-0000-0000-000030430000}"/>
    <cellStyle name="Normal 4 4 2 2 2 3 2 3 2" xfId="29484" xr:uid="{00000000-0005-0000-0000-000031430000}"/>
    <cellStyle name="Normal 4 4 2 2 2 3 2 4" xfId="22880" xr:uid="{00000000-0005-0000-0000-000032430000}"/>
    <cellStyle name="Normal 4 4 2 2 2 3 3" xfId="7946" xr:uid="{00000000-0005-0000-0000-000033430000}"/>
    <cellStyle name="Normal 4 4 2 2 2 3 3 2" xfId="15209" xr:uid="{00000000-0005-0000-0000-000034430000}"/>
    <cellStyle name="Normal 4 4 2 2 2 3 3 2 2" xfId="31524" xr:uid="{00000000-0005-0000-0000-000035430000}"/>
    <cellStyle name="Normal 4 4 2 2 2 3 3 3" xfId="24559" xr:uid="{00000000-0005-0000-0000-000036430000}"/>
    <cellStyle name="Normal 4 4 2 2 2 3 4" xfId="11261" xr:uid="{00000000-0005-0000-0000-000037430000}"/>
    <cellStyle name="Normal 4 4 2 2 2 3 4 2" xfId="27859" xr:uid="{00000000-0005-0000-0000-000038430000}"/>
    <cellStyle name="Normal 4 4 2 2 2 3 5" xfId="4187" xr:uid="{00000000-0005-0000-0000-000039430000}"/>
    <cellStyle name="Normal 4 4 2 2 2 3 5 2" xfId="20910" xr:uid="{00000000-0005-0000-0000-00003A430000}"/>
    <cellStyle name="Normal 4 4 2 2 2 3 6" xfId="19312" xr:uid="{00000000-0005-0000-0000-00003B430000}"/>
    <cellStyle name="Normal 4 4 2 2 2 4" xfId="2582" xr:uid="{00000000-0005-0000-0000-00003C430000}"/>
    <cellStyle name="Normal 4 4 2 2 2 4 2" xfId="8754" xr:uid="{00000000-0005-0000-0000-00003D430000}"/>
    <cellStyle name="Normal 4 4 2 2 2 4 2 2" xfId="16017" xr:uid="{00000000-0005-0000-0000-00003E430000}"/>
    <cellStyle name="Normal 4 4 2 2 2 4 2 2 2" xfId="32332" xr:uid="{00000000-0005-0000-0000-00003F430000}"/>
    <cellStyle name="Normal 4 4 2 2 2 4 2 3" xfId="25367" xr:uid="{00000000-0005-0000-0000-000040430000}"/>
    <cellStyle name="Normal 4 4 2 2 2 4 3" xfId="12096" xr:uid="{00000000-0005-0000-0000-000041430000}"/>
    <cellStyle name="Normal 4 4 2 2 2 4 3 2" xfId="28671" xr:uid="{00000000-0005-0000-0000-000042430000}"/>
    <cellStyle name="Normal 4 4 2 2 2 4 4" xfId="5403" xr:uid="{00000000-0005-0000-0000-000043430000}"/>
    <cellStyle name="Normal 4 4 2 2 2 4 4 2" xfId="22067" xr:uid="{00000000-0005-0000-0000-000044430000}"/>
    <cellStyle name="Normal 4 4 2 2 2 4 5" xfId="19309" xr:uid="{00000000-0005-0000-0000-000045430000}"/>
    <cellStyle name="Normal 4 4 2 2 2 5" xfId="7134" xr:uid="{00000000-0005-0000-0000-000046430000}"/>
    <cellStyle name="Normal 4 4 2 2 2 5 2" xfId="14397" xr:uid="{00000000-0005-0000-0000-000047430000}"/>
    <cellStyle name="Normal 4 4 2 2 2 5 2 2" xfId="30712" xr:uid="{00000000-0005-0000-0000-000048430000}"/>
    <cellStyle name="Normal 4 4 2 2 2 5 3" xfId="23747" xr:uid="{00000000-0005-0000-0000-000049430000}"/>
    <cellStyle name="Normal 4 4 2 2 2 6" xfId="10449" xr:uid="{00000000-0005-0000-0000-00004A430000}"/>
    <cellStyle name="Normal 4 4 2 2 2 6 2" xfId="27047" xr:uid="{00000000-0005-0000-0000-00004B430000}"/>
    <cellStyle name="Normal 4 4 2 2 2 7" xfId="4184" xr:uid="{00000000-0005-0000-0000-00004C430000}"/>
    <cellStyle name="Normal 4 4 2 2 2 7 2" xfId="20907" xr:uid="{00000000-0005-0000-0000-00004D430000}"/>
    <cellStyle name="Normal 4 4 2 2 2 8" xfId="17908" xr:uid="{00000000-0005-0000-0000-00004E430000}"/>
    <cellStyle name="Normal 4 4 2 2 3" xfId="1599" xr:uid="{00000000-0005-0000-0000-00004F430000}"/>
    <cellStyle name="Normal 4 4 2 2 3 2" xfId="2587" xr:uid="{00000000-0005-0000-0000-000050430000}"/>
    <cellStyle name="Normal 4 4 2 2 3 2 2" xfId="6410" xr:uid="{00000000-0005-0000-0000-000051430000}"/>
    <cellStyle name="Normal 4 4 2 2 3 2 2 2" xfId="9761" xr:uid="{00000000-0005-0000-0000-000052430000}"/>
    <cellStyle name="Normal 4 4 2 2 3 2 2 2 2" xfId="17024" xr:uid="{00000000-0005-0000-0000-000053430000}"/>
    <cellStyle name="Normal 4 4 2 2 3 2 2 2 2 2" xfId="33339" xr:uid="{00000000-0005-0000-0000-000054430000}"/>
    <cellStyle name="Normal 4 4 2 2 3 2 2 2 3" xfId="26374" xr:uid="{00000000-0005-0000-0000-000055430000}"/>
    <cellStyle name="Normal 4 4 2 2 3 2 2 3" xfId="13103" xr:uid="{00000000-0005-0000-0000-000056430000}"/>
    <cellStyle name="Normal 4 4 2 2 3 2 2 3 2" xfId="29678" xr:uid="{00000000-0005-0000-0000-000057430000}"/>
    <cellStyle name="Normal 4 4 2 2 3 2 2 4" xfId="23074" xr:uid="{00000000-0005-0000-0000-000058430000}"/>
    <cellStyle name="Normal 4 4 2 2 3 2 3" xfId="8140" xr:uid="{00000000-0005-0000-0000-000059430000}"/>
    <cellStyle name="Normal 4 4 2 2 3 2 3 2" xfId="15403" xr:uid="{00000000-0005-0000-0000-00005A430000}"/>
    <cellStyle name="Normal 4 4 2 2 3 2 3 2 2" xfId="31718" xr:uid="{00000000-0005-0000-0000-00005B430000}"/>
    <cellStyle name="Normal 4 4 2 2 3 2 3 3" xfId="24753" xr:uid="{00000000-0005-0000-0000-00005C430000}"/>
    <cellStyle name="Normal 4 4 2 2 3 2 4" xfId="11455" xr:uid="{00000000-0005-0000-0000-00005D430000}"/>
    <cellStyle name="Normal 4 4 2 2 3 2 4 2" xfId="28053" xr:uid="{00000000-0005-0000-0000-00005E430000}"/>
    <cellStyle name="Normal 4 4 2 2 3 2 5" xfId="4189" xr:uid="{00000000-0005-0000-0000-00005F430000}"/>
    <cellStyle name="Normal 4 4 2 2 3 2 5 2" xfId="20912" xr:uid="{00000000-0005-0000-0000-000060430000}"/>
    <cellStyle name="Normal 4 4 2 2 3 2 6" xfId="19314" xr:uid="{00000000-0005-0000-0000-000061430000}"/>
    <cellStyle name="Normal 4 4 2 2 3 3" xfId="2586" xr:uid="{00000000-0005-0000-0000-000062430000}"/>
    <cellStyle name="Normal 4 4 2 2 3 3 2" xfId="8949" xr:uid="{00000000-0005-0000-0000-000063430000}"/>
    <cellStyle name="Normal 4 4 2 2 3 3 2 2" xfId="16212" xr:uid="{00000000-0005-0000-0000-000064430000}"/>
    <cellStyle name="Normal 4 4 2 2 3 3 2 2 2" xfId="32527" xr:uid="{00000000-0005-0000-0000-000065430000}"/>
    <cellStyle name="Normal 4 4 2 2 3 3 2 3" xfId="25562" xr:uid="{00000000-0005-0000-0000-000066430000}"/>
    <cellStyle name="Normal 4 4 2 2 3 3 3" xfId="12291" xr:uid="{00000000-0005-0000-0000-000067430000}"/>
    <cellStyle name="Normal 4 4 2 2 3 3 3 2" xfId="28866" xr:uid="{00000000-0005-0000-0000-000068430000}"/>
    <cellStyle name="Normal 4 4 2 2 3 3 4" xfId="5598" xr:uid="{00000000-0005-0000-0000-000069430000}"/>
    <cellStyle name="Normal 4 4 2 2 3 3 4 2" xfId="22262" xr:uid="{00000000-0005-0000-0000-00006A430000}"/>
    <cellStyle name="Normal 4 4 2 2 3 3 5" xfId="19313" xr:uid="{00000000-0005-0000-0000-00006B430000}"/>
    <cellStyle name="Normal 4 4 2 2 3 4" xfId="7328" xr:uid="{00000000-0005-0000-0000-00006C430000}"/>
    <cellStyle name="Normal 4 4 2 2 3 4 2" xfId="14591" xr:uid="{00000000-0005-0000-0000-00006D430000}"/>
    <cellStyle name="Normal 4 4 2 2 3 4 2 2" xfId="30906" xr:uid="{00000000-0005-0000-0000-00006E430000}"/>
    <cellStyle name="Normal 4 4 2 2 3 4 3" xfId="23941" xr:uid="{00000000-0005-0000-0000-00006F430000}"/>
    <cellStyle name="Normal 4 4 2 2 3 5" xfId="10643" xr:uid="{00000000-0005-0000-0000-000070430000}"/>
    <cellStyle name="Normal 4 4 2 2 3 5 2" xfId="27241" xr:uid="{00000000-0005-0000-0000-000071430000}"/>
    <cellStyle name="Normal 4 4 2 2 3 6" xfId="4188" xr:uid="{00000000-0005-0000-0000-000072430000}"/>
    <cellStyle name="Normal 4 4 2 2 3 6 2" xfId="20911" xr:uid="{00000000-0005-0000-0000-000073430000}"/>
    <cellStyle name="Normal 4 4 2 2 3 7" xfId="18334" xr:uid="{00000000-0005-0000-0000-000074430000}"/>
    <cellStyle name="Normal 4 4 2 2 4" xfId="2588" xr:uid="{00000000-0005-0000-0000-000075430000}"/>
    <cellStyle name="Normal 4 4 2 2 4 2" xfId="6004" xr:uid="{00000000-0005-0000-0000-000076430000}"/>
    <cellStyle name="Normal 4 4 2 2 4 2 2" xfId="9355" xr:uid="{00000000-0005-0000-0000-000077430000}"/>
    <cellStyle name="Normal 4 4 2 2 4 2 2 2" xfId="16618" xr:uid="{00000000-0005-0000-0000-000078430000}"/>
    <cellStyle name="Normal 4 4 2 2 4 2 2 2 2" xfId="32933" xr:uid="{00000000-0005-0000-0000-000079430000}"/>
    <cellStyle name="Normal 4 4 2 2 4 2 2 3" xfId="25968" xr:uid="{00000000-0005-0000-0000-00007A430000}"/>
    <cellStyle name="Normal 4 4 2 2 4 2 3" xfId="12697" xr:uid="{00000000-0005-0000-0000-00007B430000}"/>
    <cellStyle name="Normal 4 4 2 2 4 2 3 2" xfId="29272" xr:uid="{00000000-0005-0000-0000-00007C430000}"/>
    <cellStyle name="Normal 4 4 2 2 4 2 4" xfId="22668" xr:uid="{00000000-0005-0000-0000-00007D430000}"/>
    <cellStyle name="Normal 4 4 2 2 4 3" xfId="7734" xr:uid="{00000000-0005-0000-0000-00007E430000}"/>
    <cellStyle name="Normal 4 4 2 2 4 3 2" xfId="14997" xr:uid="{00000000-0005-0000-0000-00007F430000}"/>
    <cellStyle name="Normal 4 4 2 2 4 3 2 2" xfId="31312" xr:uid="{00000000-0005-0000-0000-000080430000}"/>
    <cellStyle name="Normal 4 4 2 2 4 3 3" xfId="24347" xr:uid="{00000000-0005-0000-0000-000081430000}"/>
    <cellStyle name="Normal 4 4 2 2 4 4" xfId="11049" xr:uid="{00000000-0005-0000-0000-000082430000}"/>
    <cellStyle name="Normal 4 4 2 2 4 4 2" xfId="27647" xr:uid="{00000000-0005-0000-0000-000083430000}"/>
    <cellStyle name="Normal 4 4 2 2 4 5" xfId="4190" xr:uid="{00000000-0005-0000-0000-000084430000}"/>
    <cellStyle name="Normal 4 4 2 2 4 5 2" xfId="20913" xr:uid="{00000000-0005-0000-0000-000085430000}"/>
    <cellStyle name="Normal 4 4 2 2 4 6" xfId="19315" xr:uid="{00000000-0005-0000-0000-000086430000}"/>
    <cellStyle name="Normal 4 4 2 2 5" xfId="2581" xr:uid="{00000000-0005-0000-0000-000087430000}"/>
    <cellStyle name="Normal 4 4 2 2 5 2" xfId="8660" xr:uid="{00000000-0005-0000-0000-000088430000}"/>
    <cellStyle name="Normal 4 4 2 2 5 2 2" xfId="15923" xr:uid="{00000000-0005-0000-0000-000089430000}"/>
    <cellStyle name="Normal 4 4 2 2 5 2 2 2" xfId="32238" xr:uid="{00000000-0005-0000-0000-00008A430000}"/>
    <cellStyle name="Normal 4 4 2 2 5 2 3" xfId="25273" xr:uid="{00000000-0005-0000-0000-00008B430000}"/>
    <cellStyle name="Normal 4 4 2 2 5 3" xfId="12002" xr:uid="{00000000-0005-0000-0000-00008C430000}"/>
    <cellStyle name="Normal 4 4 2 2 5 3 2" xfId="28577" xr:uid="{00000000-0005-0000-0000-00008D430000}"/>
    <cellStyle name="Normal 4 4 2 2 5 4" xfId="5309" xr:uid="{00000000-0005-0000-0000-00008E430000}"/>
    <cellStyle name="Normal 4 4 2 2 5 4 2" xfId="21973" xr:uid="{00000000-0005-0000-0000-00008F430000}"/>
    <cellStyle name="Normal 4 4 2 2 5 5" xfId="19308" xr:uid="{00000000-0005-0000-0000-000090430000}"/>
    <cellStyle name="Normal 4 4 2 2 6" xfId="7041" xr:uid="{00000000-0005-0000-0000-000091430000}"/>
    <cellStyle name="Normal 4 4 2 2 6 2" xfId="14304" xr:uid="{00000000-0005-0000-0000-000092430000}"/>
    <cellStyle name="Normal 4 4 2 2 6 2 2" xfId="30619" xr:uid="{00000000-0005-0000-0000-000093430000}"/>
    <cellStyle name="Normal 4 4 2 2 6 3" xfId="23654" xr:uid="{00000000-0005-0000-0000-000094430000}"/>
    <cellStyle name="Normal 4 4 2 2 7" xfId="10355" xr:uid="{00000000-0005-0000-0000-000095430000}"/>
    <cellStyle name="Normal 4 4 2 2 7 2" xfId="26954" xr:uid="{00000000-0005-0000-0000-000096430000}"/>
    <cellStyle name="Normal 4 4 2 2 8" xfId="4183" xr:uid="{00000000-0005-0000-0000-000097430000}"/>
    <cellStyle name="Normal 4 4 2 2 8 2" xfId="20906" xr:uid="{00000000-0005-0000-0000-000098430000}"/>
    <cellStyle name="Normal 4 4 2 2 9" xfId="17815" xr:uid="{00000000-0005-0000-0000-000099430000}"/>
    <cellStyle name="Normal 4 4 2 3" xfId="1170" xr:uid="{00000000-0005-0000-0000-00009A430000}"/>
    <cellStyle name="Normal 4 4 2 3 2" xfId="1691" xr:uid="{00000000-0005-0000-0000-00009B430000}"/>
    <cellStyle name="Normal 4 4 2 3 2 2" xfId="2591" xr:uid="{00000000-0005-0000-0000-00009C430000}"/>
    <cellStyle name="Normal 4 4 2 3 2 2 2" xfId="6585" xr:uid="{00000000-0005-0000-0000-00009D430000}"/>
    <cellStyle name="Normal 4 4 2 3 2 2 2 2" xfId="9936" xr:uid="{00000000-0005-0000-0000-00009E430000}"/>
    <cellStyle name="Normal 4 4 2 3 2 2 2 2 2" xfId="17199" xr:uid="{00000000-0005-0000-0000-00009F430000}"/>
    <cellStyle name="Normal 4 4 2 3 2 2 2 2 2 2" xfId="33514" xr:uid="{00000000-0005-0000-0000-0000A0430000}"/>
    <cellStyle name="Normal 4 4 2 3 2 2 2 2 3" xfId="26549" xr:uid="{00000000-0005-0000-0000-0000A1430000}"/>
    <cellStyle name="Normal 4 4 2 3 2 2 2 3" xfId="13278" xr:uid="{00000000-0005-0000-0000-0000A2430000}"/>
    <cellStyle name="Normal 4 4 2 3 2 2 2 3 2" xfId="29853" xr:uid="{00000000-0005-0000-0000-0000A3430000}"/>
    <cellStyle name="Normal 4 4 2 3 2 2 2 4" xfId="23249" xr:uid="{00000000-0005-0000-0000-0000A4430000}"/>
    <cellStyle name="Normal 4 4 2 3 2 2 3" xfId="8315" xr:uid="{00000000-0005-0000-0000-0000A5430000}"/>
    <cellStyle name="Normal 4 4 2 3 2 2 3 2" xfId="15578" xr:uid="{00000000-0005-0000-0000-0000A6430000}"/>
    <cellStyle name="Normal 4 4 2 3 2 2 3 2 2" xfId="31893" xr:uid="{00000000-0005-0000-0000-0000A7430000}"/>
    <cellStyle name="Normal 4 4 2 3 2 2 3 3" xfId="24928" xr:uid="{00000000-0005-0000-0000-0000A8430000}"/>
    <cellStyle name="Normal 4 4 2 3 2 2 4" xfId="11630" xr:uid="{00000000-0005-0000-0000-0000A9430000}"/>
    <cellStyle name="Normal 4 4 2 3 2 2 4 2" xfId="28228" xr:uid="{00000000-0005-0000-0000-0000AA430000}"/>
    <cellStyle name="Normal 4 4 2 3 2 2 5" xfId="4193" xr:uid="{00000000-0005-0000-0000-0000AB430000}"/>
    <cellStyle name="Normal 4 4 2 3 2 2 5 2" xfId="20916" xr:uid="{00000000-0005-0000-0000-0000AC430000}"/>
    <cellStyle name="Normal 4 4 2 3 2 2 6" xfId="19318" xr:uid="{00000000-0005-0000-0000-0000AD430000}"/>
    <cellStyle name="Normal 4 4 2 3 2 3" xfId="2590" xr:uid="{00000000-0005-0000-0000-0000AE430000}"/>
    <cellStyle name="Normal 4 4 2 3 2 3 2" xfId="9160" xr:uid="{00000000-0005-0000-0000-0000AF430000}"/>
    <cellStyle name="Normal 4 4 2 3 2 3 2 2" xfId="16423" xr:uid="{00000000-0005-0000-0000-0000B0430000}"/>
    <cellStyle name="Normal 4 4 2 3 2 3 2 2 2" xfId="32738" xr:uid="{00000000-0005-0000-0000-0000B1430000}"/>
    <cellStyle name="Normal 4 4 2 3 2 3 2 3" xfId="25773" xr:uid="{00000000-0005-0000-0000-0000B2430000}"/>
    <cellStyle name="Normal 4 4 2 3 2 3 3" xfId="12502" xr:uid="{00000000-0005-0000-0000-0000B3430000}"/>
    <cellStyle name="Normal 4 4 2 3 2 3 3 2" xfId="29077" xr:uid="{00000000-0005-0000-0000-0000B4430000}"/>
    <cellStyle name="Normal 4 4 2 3 2 3 4" xfId="5809" xr:uid="{00000000-0005-0000-0000-0000B5430000}"/>
    <cellStyle name="Normal 4 4 2 3 2 3 4 2" xfId="22473" xr:uid="{00000000-0005-0000-0000-0000B6430000}"/>
    <cellStyle name="Normal 4 4 2 3 2 3 5" xfId="19317" xr:uid="{00000000-0005-0000-0000-0000B7430000}"/>
    <cellStyle name="Normal 4 4 2 3 2 4" xfId="7539" xr:uid="{00000000-0005-0000-0000-0000B8430000}"/>
    <cellStyle name="Normal 4 4 2 3 2 4 2" xfId="14802" xr:uid="{00000000-0005-0000-0000-0000B9430000}"/>
    <cellStyle name="Normal 4 4 2 3 2 4 2 2" xfId="31117" xr:uid="{00000000-0005-0000-0000-0000BA430000}"/>
    <cellStyle name="Normal 4 4 2 3 2 4 3" xfId="24152" xr:uid="{00000000-0005-0000-0000-0000BB430000}"/>
    <cellStyle name="Normal 4 4 2 3 2 5" xfId="10854" xr:uid="{00000000-0005-0000-0000-0000BC430000}"/>
    <cellStyle name="Normal 4 4 2 3 2 5 2" xfId="27452" xr:uid="{00000000-0005-0000-0000-0000BD430000}"/>
    <cellStyle name="Normal 4 4 2 3 2 6" xfId="4192" xr:uid="{00000000-0005-0000-0000-0000BE430000}"/>
    <cellStyle name="Normal 4 4 2 3 2 6 2" xfId="20915" xr:uid="{00000000-0005-0000-0000-0000BF430000}"/>
    <cellStyle name="Normal 4 4 2 3 2 7" xfId="18426" xr:uid="{00000000-0005-0000-0000-0000C0430000}"/>
    <cellStyle name="Normal 4 4 2 3 3" xfId="2592" xr:uid="{00000000-0005-0000-0000-0000C1430000}"/>
    <cellStyle name="Normal 4 4 2 3 3 2" xfId="6215" xr:uid="{00000000-0005-0000-0000-0000C2430000}"/>
    <cellStyle name="Normal 4 4 2 3 3 2 2" xfId="9566" xr:uid="{00000000-0005-0000-0000-0000C3430000}"/>
    <cellStyle name="Normal 4 4 2 3 3 2 2 2" xfId="16829" xr:uid="{00000000-0005-0000-0000-0000C4430000}"/>
    <cellStyle name="Normal 4 4 2 3 3 2 2 2 2" xfId="33144" xr:uid="{00000000-0005-0000-0000-0000C5430000}"/>
    <cellStyle name="Normal 4 4 2 3 3 2 2 3" xfId="26179" xr:uid="{00000000-0005-0000-0000-0000C6430000}"/>
    <cellStyle name="Normal 4 4 2 3 3 2 3" xfId="12908" xr:uid="{00000000-0005-0000-0000-0000C7430000}"/>
    <cellStyle name="Normal 4 4 2 3 3 2 3 2" xfId="29483" xr:uid="{00000000-0005-0000-0000-0000C8430000}"/>
    <cellStyle name="Normal 4 4 2 3 3 2 4" xfId="22879" xr:uid="{00000000-0005-0000-0000-0000C9430000}"/>
    <cellStyle name="Normal 4 4 2 3 3 3" xfId="7945" xr:uid="{00000000-0005-0000-0000-0000CA430000}"/>
    <cellStyle name="Normal 4 4 2 3 3 3 2" xfId="15208" xr:uid="{00000000-0005-0000-0000-0000CB430000}"/>
    <cellStyle name="Normal 4 4 2 3 3 3 2 2" xfId="31523" xr:uid="{00000000-0005-0000-0000-0000CC430000}"/>
    <cellStyle name="Normal 4 4 2 3 3 3 3" xfId="24558" xr:uid="{00000000-0005-0000-0000-0000CD430000}"/>
    <cellStyle name="Normal 4 4 2 3 3 4" xfId="11260" xr:uid="{00000000-0005-0000-0000-0000CE430000}"/>
    <cellStyle name="Normal 4 4 2 3 3 4 2" xfId="27858" xr:uid="{00000000-0005-0000-0000-0000CF430000}"/>
    <cellStyle name="Normal 4 4 2 3 3 5" xfId="4194" xr:uid="{00000000-0005-0000-0000-0000D0430000}"/>
    <cellStyle name="Normal 4 4 2 3 3 5 2" xfId="20917" xr:uid="{00000000-0005-0000-0000-0000D1430000}"/>
    <cellStyle name="Normal 4 4 2 3 3 6" xfId="19319" xr:uid="{00000000-0005-0000-0000-0000D2430000}"/>
    <cellStyle name="Normal 4 4 2 3 4" xfId="2589" xr:uid="{00000000-0005-0000-0000-0000D3430000}"/>
    <cellStyle name="Normal 4 4 2 3 4 2" xfId="8753" xr:uid="{00000000-0005-0000-0000-0000D4430000}"/>
    <cellStyle name="Normal 4 4 2 3 4 2 2" xfId="16016" xr:uid="{00000000-0005-0000-0000-0000D5430000}"/>
    <cellStyle name="Normal 4 4 2 3 4 2 2 2" xfId="32331" xr:uid="{00000000-0005-0000-0000-0000D6430000}"/>
    <cellStyle name="Normal 4 4 2 3 4 2 3" xfId="25366" xr:uid="{00000000-0005-0000-0000-0000D7430000}"/>
    <cellStyle name="Normal 4 4 2 3 4 3" xfId="12095" xr:uid="{00000000-0005-0000-0000-0000D8430000}"/>
    <cellStyle name="Normal 4 4 2 3 4 3 2" xfId="28670" xr:uid="{00000000-0005-0000-0000-0000D9430000}"/>
    <cellStyle name="Normal 4 4 2 3 4 4" xfId="5402" xr:uid="{00000000-0005-0000-0000-0000DA430000}"/>
    <cellStyle name="Normal 4 4 2 3 4 4 2" xfId="22066" xr:uid="{00000000-0005-0000-0000-0000DB430000}"/>
    <cellStyle name="Normal 4 4 2 3 4 5" xfId="19316" xr:uid="{00000000-0005-0000-0000-0000DC430000}"/>
    <cellStyle name="Normal 4 4 2 3 5" xfId="7133" xr:uid="{00000000-0005-0000-0000-0000DD430000}"/>
    <cellStyle name="Normal 4 4 2 3 5 2" xfId="14396" xr:uid="{00000000-0005-0000-0000-0000DE430000}"/>
    <cellStyle name="Normal 4 4 2 3 5 2 2" xfId="30711" xr:uid="{00000000-0005-0000-0000-0000DF430000}"/>
    <cellStyle name="Normal 4 4 2 3 5 3" xfId="23746" xr:uid="{00000000-0005-0000-0000-0000E0430000}"/>
    <cellStyle name="Normal 4 4 2 3 6" xfId="10448" xr:uid="{00000000-0005-0000-0000-0000E1430000}"/>
    <cellStyle name="Normal 4 4 2 3 6 2" xfId="27046" xr:uid="{00000000-0005-0000-0000-0000E2430000}"/>
    <cellStyle name="Normal 4 4 2 3 7" xfId="4191" xr:uid="{00000000-0005-0000-0000-0000E3430000}"/>
    <cellStyle name="Normal 4 4 2 3 7 2" xfId="20914" xr:uid="{00000000-0005-0000-0000-0000E4430000}"/>
    <cellStyle name="Normal 4 4 2 3 8" xfId="17907" xr:uid="{00000000-0005-0000-0000-0000E5430000}"/>
    <cellStyle name="Normal 4 4 2 4" xfId="1493" xr:uid="{00000000-0005-0000-0000-0000E6430000}"/>
    <cellStyle name="Normal 4 4 2 4 2" xfId="2594" xr:uid="{00000000-0005-0000-0000-0000E7430000}"/>
    <cellStyle name="Normal 4 4 2 4 2 2" xfId="6409" xr:uid="{00000000-0005-0000-0000-0000E8430000}"/>
    <cellStyle name="Normal 4 4 2 4 2 2 2" xfId="9760" xr:uid="{00000000-0005-0000-0000-0000E9430000}"/>
    <cellStyle name="Normal 4 4 2 4 2 2 2 2" xfId="17023" xr:uid="{00000000-0005-0000-0000-0000EA430000}"/>
    <cellStyle name="Normal 4 4 2 4 2 2 2 2 2" xfId="33338" xr:uid="{00000000-0005-0000-0000-0000EB430000}"/>
    <cellStyle name="Normal 4 4 2 4 2 2 2 3" xfId="26373" xr:uid="{00000000-0005-0000-0000-0000EC430000}"/>
    <cellStyle name="Normal 4 4 2 4 2 2 3" xfId="13102" xr:uid="{00000000-0005-0000-0000-0000ED430000}"/>
    <cellStyle name="Normal 4 4 2 4 2 2 3 2" xfId="29677" xr:uid="{00000000-0005-0000-0000-0000EE430000}"/>
    <cellStyle name="Normal 4 4 2 4 2 2 4" xfId="23073" xr:uid="{00000000-0005-0000-0000-0000EF430000}"/>
    <cellStyle name="Normal 4 4 2 4 2 3" xfId="8139" xr:uid="{00000000-0005-0000-0000-0000F0430000}"/>
    <cellStyle name="Normal 4 4 2 4 2 3 2" xfId="15402" xr:uid="{00000000-0005-0000-0000-0000F1430000}"/>
    <cellStyle name="Normal 4 4 2 4 2 3 2 2" xfId="31717" xr:uid="{00000000-0005-0000-0000-0000F2430000}"/>
    <cellStyle name="Normal 4 4 2 4 2 3 3" xfId="24752" xr:uid="{00000000-0005-0000-0000-0000F3430000}"/>
    <cellStyle name="Normal 4 4 2 4 2 4" xfId="11454" xr:uid="{00000000-0005-0000-0000-0000F4430000}"/>
    <cellStyle name="Normal 4 4 2 4 2 4 2" xfId="28052" xr:uid="{00000000-0005-0000-0000-0000F5430000}"/>
    <cellStyle name="Normal 4 4 2 4 2 5" xfId="4196" xr:uid="{00000000-0005-0000-0000-0000F6430000}"/>
    <cellStyle name="Normal 4 4 2 4 2 5 2" xfId="20919" xr:uid="{00000000-0005-0000-0000-0000F7430000}"/>
    <cellStyle name="Normal 4 4 2 4 2 6" xfId="19321" xr:uid="{00000000-0005-0000-0000-0000F8430000}"/>
    <cellStyle name="Normal 4 4 2 4 3" xfId="2593" xr:uid="{00000000-0005-0000-0000-0000F9430000}"/>
    <cellStyle name="Normal 4 4 2 4 3 2" xfId="8948" xr:uid="{00000000-0005-0000-0000-0000FA430000}"/>
    <cellStyle name="Normal 4 4 2 4 3 2 2" xfId="16211" xr:uid="{00000000-0005-0000-0000-0000FB430000}"/>
    <cellStyle name="Normal 4 4 2 4 3 2 2 2" xfId="32526" xr:uid="{00000000-0005-0000-0000-0000FC430000}"/>
    <cellStyle name="Normal 4 4 2 4 3 2 3" xfId="25561" xr:uid="{00000000-0005-0000-0000-0000FD430000}"/>
    <cellStyle name="Normal 4 4 2 4 3 3" xfId="12290" xr:uid="{00000000-0005-0000-0000-0000FE430000}"/>
    <cellStyle name="Normal 4 4 2 4 3 3 2" xfId="28865" xr:uid="{00000000-0005-0000-0000-0000FF430000}"/>
    <cellStyle name="Normal 4 4 2 4 3 4" xfId="5597" xr:uid="{00000000-0005-0000-0000-000000440000}"/>
    <cellStyle name="Normal 4 4 2 4 3 4 2" xfId="22261" xr:uid="{00000000-0005-0000-0000-000001440000}"/>
    <cellStyle name="Normal 4 4 2 4 3 5" xfId="19320" xr:uid="{00000000-0005-0000-0000-000002440000}"/>
    <cellStyle name="Normal 4 4 2 4 4" xfId="7327" xr:uid="{00000000-0005-0000-0000-000003440000}"/>
    <cellStyle name="Normal 4 4 2 4 4 2" xfId="14590" xr:uid="{00000000-0005-0000-0000-000004440000}"/>
    <cellStyle name="Normal 4 4 2 4 4 2 2" xfId="30905" xr:uid="{00000000-0005-0000-0000-000005440000}"/>
    <cellStyle name="Normal 4 4 2 4 4 3" xfId="23940" xr:uid="{00000000-0005-0000-0000-000006440000}"/>
    <cellStyle name="Normal 4 4 2 4 5" xfId="10642" xr:uid="{00000000-0005-0000-0000-000007440000}"/>
    <cellStyle name="Normal 4 4 2 4 5 2" xfId="27240" xr:uid="{00000000-0005-0000-0000-000008440000}"/>
    <cellStyle name="Normal 4 4 2 4 6" xfId="4195" xr:uid="{00000000-0005-0000-0000-000009440000}"/>
    <cellStyle name="Normal 4 4 2 4 6 2" xfId="20918" xr:uid="{00000000-0005-0000-0000-00000A440000}"/>
    <cellStyle name="Normal 4 4 2 4 7" xfId="18228" xr:uid="{00000000-0005-0000-0000-00000B440000}"/>
    <cellStyle name="Normal 4 4 2 5" xfId="2595" xr:uid="{00000000-0005-0000-0000-00000C440000}"/>
    <cellStyle name="Normal 4 4 2 5 2" xfId="6003" xr:uid="{00000000-0005-0000-0000-00000D440000}"/>
    <cellStyle name="Normal 4 4 2 5 2 2" xfId="9354" xr:uid="{00000000-0005-0000-0000-00000E440000}"/>
    <cellStyle name="Normal 4 4 2 5 2 2 2" xfId="16617" xr:uid="{00000000-0005-0000-0000-00000F440000}"/>
    <cellStyle name="Normal 4 4 2 5 2 2 2 2" xfId="32932" xr:uid="{00000000-0005-0000-0000-000010440000}"/>
    <cellStyle name="Normal 4 4 2 5 2 2 3" xfId="25967" xr:uid="{00000000-0005-0000-0000-000011440000}"/>
    <cellStyle name="Normal 4 4 2 5 2 3" xfId="12696" xr:uid="{00000000-0005-0000-0000-000012440000}"/>
    <cellStyle name="Normal 4 4 2 5 2 3 2" xfId="29271" xr:uid="{00000000-0005-0000-0000-000013440000}"/>
    <cellStyle name="Normal 4 4 2 5 2 4" xfId="22667" xr:uid="{00000000-0005-0000-0000-000014440000}"/>
    <cellStyle name="Normal 4 4 2 5 3" xfId="7733" xr:uid="{00000000-0005-0000-0000-000015440000}"/>
    <cellStyle name="Normal 4 4 2 5 3 2" xfId="14996" xr:uid="{00000000-0005-0000-0000-000016440000}"/>
    <cellStyle name="Normal 4 4 2 5 3 2 2" xfId="31311" xr:uid="{00000000-0005-0000-0000-000017440000}"/>
    <cellStyle name="Normal 4 4 2 5 3 3" xfId="24346" xr:uid="{00000000-0005-0000-0000-000018440000}"/>
    <cellStyle name="Normal 4 4 2 5 4" xfId="11048" xr:uid="{00000000-0005-0000-0000-000019440000}"/>
    <cellStyle name="Normal 4 4 2 5 4 2" xfId="27646" xr:uid="{00000000-0005-0000-0000-00001A440000}"/>
    <cellStyle name="Normal 4 4 2 5 5" xfId="4197" xr:uid="{00000000-0005-0000-0000-00001B440000}"/>
    <cellStyle name="Normal 4 4 2 5 5 2" xfId="20920" xr:uid="{00000000-0005-0000-0000-00001C440000}"/>
    <cellStyle name="Normal 4 4 2 5 6" xfId="19322" xr:uid="{00000000-0005-0000-0000-00001D440000}"/>
    <cellStyle name="Normal 4 4 2 6" xfId="2580" xr:uid="{00000000-0005-0000-0000-00001E440000}"/>
    <cellStyle name="Normal 4 4 2 6 2" xfId="8554" xr:uid="{00000000-0005-0000-0000-00001F440000}"/>
    <cellStyle name="Normal 4 4 2 6 2 2" xfId="15817" xr:uid="{00000000-0005-0000-0000-000020440000}"/>
    <cellStyle name="Normal 4 4 2 6 2 2 2" xfId="32132" xr:uid="{00000000-0005-0000-0000-000021440000}"/>
    <cellStyle name="Normal 4 4 2 6 2 3" xfId="25167" xr:uid="{00000000-0005-0000-0000-000022440000}"/>
    <cellStyle name="Normal 4 4 2 6 3" xfId="11896" xr:uid="{00000000-0005-0000-0000-000023440000}"/>
    <cellStyle name="Normal 4 4 2 6 3 2" xfId="28471" xr:uid="{00000000-0005-0000-0000-000024440000}"/>
    <cellStyle name="Normal 4 4 2 6 4" xfId="5203" xr:uid="{00000000-0005-0000-0000-000025440000}"/>
    <cellStyle name="Normal 4 4 2 6 4 2" xfId="21867" xr:uid="{00000000-0005-0000-0000-000026440000}"/>
    <cellStyle name="Normal 4 4 2 6 5" xfId="19307" xr:uid="{00000000-0005-0000-0000-000027440000}"/>
    <cellStyle name="Normal 4 4 2 7" xfId="6935" xr:uid="{00000000-0005-0000-0000-000028440000}"/>
    <cellStyle name="Normal 4 4 2 7 2" xfId="14198" xr:uid="{00000000-0005-0000-0000-000029440000}"/>
    <cellStyle name="Normal 4 4 2 7 2 2" xfId="30513" xr:uid="{00000000-0005-0000-0000-00002A440000}"/>
    <cellStyle name="Normal 4 4 2 7 3" xfId="23548" xr:uid="{00000000-0005-0000-0000-00002B440000}"/>
    <cellStyle name="Normal 4 4 2 8" xfId="10249" xr:uid="{00000000-0005-0000-0000-00002C440000}"/>
    <cellStyle name="Normal 4 4 2 8 2" xfId="26848" xr:uid="{00000000-0005-0000-0000-00002D440000}"/>
    <cellStyle name="Normal 4 4 2 9" xfId="4182" xr:uid="{00000000-0005-0000-0000-00002E440000}"/>
    <cellStyle name="Normal 4 4 2 9 2" xfId="20905" xr:uid="{00000000-0005-0000-0000-00002F440000}"/>
    <cellStyle name="Normal 4 4 3" xfId="985" xr:uid="{00000000-0005-0000-0000-000030440000}"/>
    <cellStyle name="Normal 4 4 3 2" xfId="1172" xr:uid="{00000000-0005-0000-0000-000031440000}"/>
    <cellStyle name="Normal 4 4 3 2 2" xfId="1693" xr:uid="{00000000-0005-0000-0000-000032440000}"/>
    <cellStyle name="Normal 4 4 3 2 2 2" xfId="2599" xr:uid="{00000000-0005-0000-0000-000033440000}"/>
    <cellStyle name="Normal 4 4 3 2 2 2 2" xfId="6587" xr:uid="{00000000-0005-0000-0000-000034440000}"/>
    <cellStyle name="Normal 4 4 3 2 2 2 2 2" xfId="9938" xr:uid="{00000000-0005-0000-0000-000035440000}"/>
    <cellStyle name="Normal 4 4 3 2 2 2 2 2 2" xfId="17201" xr:uid="{00000000-0005-0000-0000-000036440000}"/>
    <cellStyle name="Normal 4 4 3 2 2 2 2 2 2 2" xfId="33516" xr:uid="{00000000-0005-0000-0000-000037440000}"/>
    <cellStyle name="Normal 4 4 3 2 2 2 2 2 3" xfId="26551" xr:uid="{00000000-0005-0000-0000-000038440000}"/>
    <cellStyle name="Normal 4 4 3 2 2 2 2 3" xfId="13280" xr:uid="{00000000-0005-0000-0000-000039440000}"/>
    <cellStyle name="Normal 4 4 3 2 2 2 2 3 2" xfId="29855" xr:uid="{00000000-0005-0000-0000-00003A440000}"/>
    <cellStyle name="Normal 4 4 3 2 2 2 2 4" xfId="23251" xr:uid="{00000000-0005-0000-0000-00003B440000}"/>
    <cellStyle name="Normal 4 4 3 2 2 2 3" xfId="8317" xr:uid="{00000000-0005-0000-0000-00003C440000}"/>
    <cellStyle name="Normal 4 4 3 2 2 2 3 2" xfId="15580" xr:uid="{00000000-0005-0000-0000-00003D440000}"/>
    <cellStyle name="Normal 4 4 3 2 2 2 3 2 2" xfId="31895" xr:uid="{00000000-0005-0000-0000-00003E440000}"/>
    <cellStyle name="Normal 4 4 3 2 2 2 3 3" xfId="24930" xr:uid="{00000000-0005-0000-0000-00003F440000}"/>
    <cellStyle name="Normal 4 4 3 2 2 2 4" xfId="11632" xr:uid="{00000000-0005-0000-0000-000040440000}"/>
    <cellStyle name="Normal 4 4 3 2 2 2 4 2" xfId="28230" xr:uid="{00000000-0005-0000-0000-000041440000}"/>
    <cellStyle name="Normal 4 4 3 2 2 2 5" xfId="4201" xr:uid="{00000000-0005-0000-0000-000042440000}"/>
    <cellStyle name="Normal 4 4 3 2 2 2 5 2" xfId="20924" xr:uid="{00000000-0005-0000-0000-000043440000}"/>
    <cellStyle name="Normal 4 4 3 2 2 2 6" xfId="19326" xr:uid="{00000000-0005-0000-0000-000044440000}"/>
    <cellStyle name="Normal 4 4 3 2 2 3" xfId="2598" xr:uid="{00000000-0005-0000-0000-000045440000}"/>
    <cellStyle name="Normal 4 4 3 2 2 3 2" xfId="9162" xr:uid="{00000000-0005-0000-0000-000046440000}"/>
    <cellStyle name="Normal 4 4 3 2 2 3 2 2" xfId="16425" xr:uid="{00000000-0005-0000-0000-000047440000}"/>
    <cellStyle name="Normal 4 4 3 2 2 3 2 2 2" xfId="32740" xr:uid="{00000000-0005-0000-0000-000048440000}"/>
    <cellStyle name="Normal 4 4 3 2 2 3 2 3" xfId="25775" xr:uid="{00000000-0005-0000-0000-000049440000}"/>
    <cellStyle name="Normal 4 4 3 2 2 3 3" xfId="12504" xr:uid="{00000000-0005-0000-0000-00004A440000}"/>
    <cellStyle name="Normal 4 4 3 2 2 3 3 2" xfId="29079" xr:uid="{00000000-0005-0000-0000-00004B440000}"/>
    <cellStyle name="Normal 4 4 3 2 2 3 4" xfId="5811" xr:uid="{00000000-0005-0000-0000-00004C440000}"/>
    <cellStyle name="Normal 4 4 3 2 2 3 4 2" xfId="22475" xr:uid="{00000000-0005-0000-0000-00004D440000}"/>
    <cellStyle name="Normal 4 4 3 2 2 3 5" xfId="19325" xr:uid="{00000000-0005-0000-0000-00004E440000}"/>
    <cellStyle name="Normal 4 4 3 2 2 4" xfId="7541" xr:uid="{00000000-0005-0000-0000-00004F440000}"/>
    <cellStyle name="Normal 4 4 3 2 2 4 2" xfId="14804" xr:uid="{00000000-0005-0000-0000-000050440000}"/>
    <cellStyle name="Normal 4 4 3 2 2 4 2 2" xfId="31119" xr:uid="{00000000-0005-0000-0000-000051440000}"/>
    <cellStyle name="Normal 4 4 3 2 2 4 3" xfId="24154" xr:uid="{00000000-0005-0000-0000-000052440000}"/>
    <cellStyle name="Normal 4 4 3 2 2 5" xfId="10856" xr:uid="{00000000-0005-0000-0000-000053440000}"/>
    <cellStyle name="Normal 4 4 3 2 2 5 2" xfId="27454" xr:uid="{00000000-0005-0000-0000-000054440000}"/>
    <cellStyle name="Normal 4 4 3 2 2 6" xfId="4200" xr:uid="{00000000-0005-0000-0000-000055440000}"/>
    <cellStyle name="Normal 4 4 3 2 2 6 2" xfId="20923" xr:uid="{00000000-0005-0000-0000-000056440000}"/>
    <cellStyle name="Normal 4 4 3 2 2 7" xfId="18428" xr:uid="{00000000-0005-0000-0000-000057440000}"/>
    <cellStyle name="Normal 4 4 3 2 3" xfId="2600" xr:uid="{00000000-0005-0000-0000-000058440000}"/>
    <cellStyle name="Normal 4 4 3 2 3 2" xfId="6217" xr:uid="{00000000-0005-0000-0000-000059440000}"/>
    <cellStyle name="Normal 4 4 3 2 3 2 2" xfId="9568" xr:uid="{00000000-0005-0000-0000-00005A440000}"/>
    <cellStyle name="Normal 4 4 3 2 3 2 2 2" xfId="16831" xr:uid="{00000000-0005-0000-0000-00005B440000}"/>
    <cellStyle name="Normal 4 4 3 2 3 2 2 2 2" xfId="33146" xr:uid="{00000000-0005-0000-0000-00005C440000}"/>
    <cellStyle name="Normal 4 4 3 2 3 2 2 3" xfId="26181" xr:uid="{00000000-0005-0000-0000-00005D440000}"/>
    <cellStyle name="Normal 4 4 3 2 3 2 3" xfId="12910" xr:uid="{00000000-0005-0000-0000-00005E440000}"/>
    <cellStyle name="Normal 4 4 3 2 3 2 3 2" xfId="29485" xr:uid="{00000000-0005-0000-0000-00005F440000}"/>
    <cellStyle name="Normal 4 4 3 2 3 2 4" xfId="22881" xr:uid="{00000000-0005-0000-0000-000060440000}"/>
    <cellStyle name="Normal 4 4 3 2 3 3" xfId="7947" xr:uid="{00000000-0005-0000-0000-000061440000}"/>
    <cellStyle name="Normal 4 4 3 2 3 3 2" xfId="15210" xr:uid="{00000000-0005-0000-0000-000062440000}"/>
    <cellStyle name="Normal 4 4 3 2 3 3 2 2" xfId="31525" xr:uid="{00000000-0005-0000-0000-000063440000}"/>
    <cellStyle name="Normal 4 4 3 2 3 3 3" xfId="24560" xr:uid="{00000000-0005-0000-0000-000064440000}"/>
    <cellStyle name="Normal 4 4 3 2 3 4" xfId="11262" xr:uid="{00000000-0005-0000-0000-000065440000}"/>
    <cellStyle name="Normal 4 4 3 2 3 4 2" xfId="27860" xr:uid="{00000000-0005-0000-0000-000066440000}"/>
    <cellStyle name="Normal 4 4 3 2 3 5" xfId="4202" xr:uid="{00000000-0005-0000-0000-000067440000}"/>
    <cellStyle name="Normal 4 4 3 2 3 5 2" xfId="20925" xr:uid="{00000000-0005-0000-0000-000068440000}"/>
    <cellStyle name="Normal 4 4 3 2 3 6" xfId="19327" xr:uid="{00000000-0005-0000-0000-000069440000}"/>
    <cellStyle name="Normal 4 4 3 2 4" xfId="2597" xr:uid="{00000000-0005-0000-0000-00006A440000}"/>
    <cellStyle name="Normal 4 4 3 2 4 2" xfId="8755" xr:uid="{00000000-0005-0000-0000-00006B440000}"/>
    <cellStyle name="Normal 4 4 3 2 4 2 2" xfId="16018" xr:uid="{00000000-0005-0000-0000-00006C440000}"/>
    <cellStyle name="Normal 4 4 3 2 4 2 2 2" xfId="32333" xr:uid="{00000000-0005-0000-0000-00006D440000}"/>
    <cellStyle name="Normal 4 4 3 2 4 2 3" xfId="25368" xr:uid="{00000000-0005-0000-0000-00006E440000}"/>
    <cellStyle name="Normal 4 4 3 2 4 3" xfId="12097" xr:uid="{00000000-0005-0000-0000-00006F440000}"/>
    <cellStyle name="Normal 4 4 3 2 4 3 2" xfId="28672" xr:uid="{00000000-0005-0000-0000-000070440000}"/>
    <cellStyle name="Normal 4 4 3 2 4 4" xfId="5404" xr:uid="{00000000-0005-0000-0000-000071440000}"/>
    <cellStyle name="Normal 4 4 3 2 4 4 2" xfId="22068" xr:uid="{00000000-0005-0000-0000-000072440000}"/>
    <cellStyle name="Normal 4 4 3 2 4 5" xfId="19324" xr:uid="{00000000-0005-0000-0000-000073440000}"/>
    <cellStyle name="Normal 4 4 3 2 5" xfId="7135" xr:uid="{00000000-0005-0000-0000-000074440000}"/>
    <cellStyle name="Normal 4 4 3 2 5 2" xfId="14398" xr:uid="{00000000-0005-0000-0000-000075440000}"/>
    <cellStyle name="Normal 4 4 3 2 5 2 2" xfId="30713" xr:uid="{00000000-0005-0000-0000-000076440000}"/>
    <cellStyle name="Normal 4 4 3 2 5 3" xfId="23748" xr:uid="{00000000-0005-0000-0000-000077440000}"/>
    <cellStyle name="Normal 4 4 3 2 6" xfId="10450" xr:uid="{00000000-0005-0000-0000-000078440000}"/>
    <cellStyle name="Normal 4 4 3 2 6 2" xfId="27048" xr:uid="{00000000-0005-0000-0000-000079440000}"/>
    <cellStyle name="Normal 4 4 3 2 7" xfId="4199" xr:uid="{00000000-0005-0000-0000-00007A440000}"/>
    <cellStyle name="Normal 4 4 3 2 7 2" xfId="20922" xr:uid="{00000000-0005-0000-0000-00007B440000}"/>
    <cellStyle name="Normal 4 4 3 2 8" xfId="17909" xr:uid="{00000000-0005-0000-0000-00007C440000}"/>
    <cellStyle name="Normal 4 4 3 3" xfId="1546" xr:uid="{00000000-0005-0000-0000-00007D440000}"/>
    <cellStyle name="Normal 4 4 3 3 2" xfId="2602" xr:uid="{00000000-0005-0000-0000-00007E440000}"/>
    <cellStyle name="Normal 4 4 3 3 2 2" xfId="6411" xr:uid="{00000000-0005-0000-0000-00007F440000}"/>
    <cellStyle name="Normal 4 4 3 3 2 2 2" xfId="9762" xr:uid="{00000000-0005-0000-0000-000080440000}"/>
    <cellStyle name="Normal 4 4 3 3 2 2 2 2" xfId="17025" xr:uid="{00000000-0005-0000-0000-000081440000}"/>
    <cellStyle name="Normal 4 4 3 3 2 2 2 2 2" xfId="33340" xr:uid="{00000000-0005-0000-0000-000082440000}"/>
    <cellStyle name="Normal 4 4 3 3 2 2 2 3" xfId="26375" xr:uid="{00000000-0005-0000-0000-000083440000}"/>
    <cellStyle name="Normal 4 4 3 3 2 2 3" xfId="13104" xr:uid="{00000000-0005-0000-0000-000084440000}"/>
    <cellStyle name="Normal 4 4 3 3 2 2 3 2" xfId="29679" xr:uid="{00000000-0005-0000-0000-000085440000}"/>
    <cellStyle name="Normal 4 4 3 3 2 2 4" xfId="23075" xr:uid="{00000000-0005-0000-0000-000086440000}"/>
    <cellStyle name="Normal 4 4 3 3 2 3" xfId="8141" xr:uid="{00000000-0005-0000-0000-000087440000}"/>
    <cellStyle name="Normal 4 4 3 3 2 3 2" xfId="15404" xr:uid="{00000000-0005-0000-0000-000088440000}"/>
    <cellStyle name="Normal 4 4 3 3 2 3 2 2" xfId="31719" xr:uid="{00000000-0005-0000-0000-000089440000}"/>
    <cellStyle name="Normal 4 4 3 3 2 3 3" xfId="24754" xr:uid="{00000000-0005-0000-0000-00008A440000}"/>
    <cellStyle name="Normal 4 4 3 3 2 4" xfId="11456" xr:uid="{00000000-0005-0000-0000-00008B440000}"/>
    <cellStyle name="Normal 4 4 3 3 2 4 2" xfId="28054" xr:uid="{00000000-0005-0000-0000-00008C440000}"/>
    <cellStyle name="Normal 4 4 3 3 2 5" xfId="4204" xr:uid="{00000000-0005-0000-0000-00008D440000}"/>
    <cellStyle name="Normal 4 4 3 3 2 5 2" xfId="20927" xr:uid="{00000000-0005-0000-0000-00008E440000}"/>
    <cellStyle name="Normal 4 4 3 3 2 6" xfId="19329" xr:uid="{00000000-0005-0000-0000-00008F440000}"/>
    <cellStyle name="Normal 4 4 3 3 3" xfId="2601" xr:uid="{00000000-0005-0000-0000-000090440000}"/>
    <cellStyle name="Normal 4 4 3 3 3 2" xfId="8950" xr:uid="{00000000-0005-0000-0000-000091440000}"/>
    <cellStyle name="Normal 4 4 3 3 3 2 2" xfId="16213" xr:uid="{00000000-0005-0000-0000-000092440000}"/>
    <cellStyle name="Normal 4 4 3 3 3 2 2 2" xfId="32528" xr:uid="{00000000-0005-0000-0000-000093440000}"/>
    <cellStyle name="Normal 4 4 3 3 3 2 3" xfId="25563" xr:uid="{00000000-0005-0000-0000-000094440000}"/>
    <cellStyle name="Normal 4 4 3 3 3 3" xfId="12292" xr:uid="{00000000-0005-0000-0000-000095440000}"/>
    <cellStyle name="Normal 4 4 3 3 3 3 2" xfId="28867" xr:uid="{00000000-0005-0000-0000-000096440000}"/>
    <cellStyle name="Normal 4 4 3 3 3 4" xfId="5599" xr:uid="{00000000-0005-0000-0000-000097440000}"/>
    <cellStyle name="Normal 4 4 3 3 3 4 2" xfId="22263" xr:uid="{00000000-0005-0000-0000-000098440000}"/>
    <cellStyle name="Normal 4 4 3 3 3 5" xfId="19328" xr:uid="{00000000-0005-0000-0000-000099440000}"/>
    <cellStyle name="Normal 4 4 3 3 4" xfId="7329" xr:uid="{00000000-0005-0000-0000-00009A440000}"/>
    <cellStyle name="Normal 4 4 3 3 4 2" xfId="14592" xr:uid="{00000000-0005-0000-0000-00009B440000}"/>
    <cellStyle name="Normal 4 4 3 3 4 2 2" xfId="30907" xr:uid="{00000000-0005-0000-0000-00009C440000}"/>
    <cellStyle name="Normal 4 4 3 3 4 3" xfId="23942" xr:uid="{00000000-0005-0000-0000-00009D440000}"/>
    <cellStyle name="Normal 4 4 3 3 5" xfId="10644" xr:uid="{00000000-0005-0000-0000-00009E440000}"/>
    <cellStyle name="Normal 4 4 3 3 5 2" xfId="27242" xr:uid="{00000000-0005-0000-0000-00009F440000}"/>
    <cellStyle name="Normal 4 4 3 3 6" xfId="4203" xr:uid="{00000000-0005-0000-0000-0000A0440000}"/>
    <cellStyle name="Normal 4 4 3 3 6 2" xfId="20926" xr:uid="{00000000-0005-0000-0000-0000A1440000}"/>
    <cellStyle name="Normal 4 4 3 3 7" xfId="18281" xr:uid="{00000000-0005-0000-0000-0000A2440000}"/>
    <cellStyle name="Normal 4 4 3 4" xfId="2603" xr:uid="{00000000-0005-0000-0000-0000A3440000}"/>
    <cellStyle name="Normal 4 4 3 4 2" xfId="6005" xr:uid="{00000000-0005-0000-0000-0000A4440000}"/>
    <cellStyle name="Normal 4 4 3 4 2 2" xfId="9356" xr:uid="{00000000-0005-0000-0000-0000A5440000}"/>
    <cellStyle name="Normal 4 4 3 4 2 2 2" xfId="16619" xr:uid="{00000000-0005-0000-0000-0000A6440000}"/>
    <cellStyle name="Normal 4 4 3 4 2 2 2 2" xfId="32934" xr:uid="{00000000-0005-0000-0000-0000A7440000}"/>
    <cellStyle name="Normal 4 4 3 4 2 2 3" xfId="25969" xr:uid="{00000000-0005-0000-0000-0000A8440000}"/>
    <cellStyle name="Normal 4 4 3 4 2 3" xfId="12698" xr:uid="{00000000-0005-0000-0000-0000A9440000}"/>
    <cellStyle name="Normal 4 4 3 4 2 3 2" xfId="29273" xr:uid="{00000000-0005-0000-0000-0000AA440000}"/>
    <cellStyle name="Normal 4 4 3 4 2 4" xfId="22669" xr:uid="{00000000-0005-0000-0000-0000AB440000}"/>
    <cellStyle name="Normal 4 4 3 4 3" xfId="7735" xr:uid="{00000000-0005-0000-0000-0000AC440000}"/>
    <cellStyle name="Normal 4 4 3 4 3 2" xfId="14998" xr:uid="{00000000-0005-0000-0000-0000AD440000}"/>
    <cellStyle name="Normal 4 4 3 4 3 2 2" xfId="31313" xr:uid="{00000000-0005-0000-0000-0000AE440000}"/>
    <cellStyle name="Normal 4 4 3 4 3 3" xfId="24348" xr:uid="{00000000-0005-0000-0000-0000AF440000}"/>
    <cellStyle name="Normal 4 4 3 4 4" xfId="11050" xr:uid="{00000000-0005-0000-0000-0000B0440000}"/>
    <cellStyle name="Normal 4 4 3 4 4 2" xfId="27648" xr:uid="{00000000-0005-0000-0000-0000B1440000}"/>
    <cellStyle name="Normal 4 4 3 4 5" xfId="4205" xr:uid="{00000000-0005-0000-0000-0000B2440000}"/>
    <cellStyle name="Normal 4 4 3 4 5 2" xfId="20928" xr:uid="{00000000-0005-0000-0000-0000B3440000}"/>
    <cellStyle name="Normal 4 4 3 4 6" xfId="19330" xr:uid="{00000000-0005-0000-0000-0000B4440000}"/>
    <cellStyle name="Normal 4 4 3 5" xfId="2596" xr:uid="{00000000-0005-0000-0000-0000B5440000}"/>
    <cellStyle name="Normal 4 4 3 5 2" xfId="8607" xr:uid="{00000000-0005-0000-0000-0000B6440000}"/>
    <cellStyle name="Normal 4 4 3 5 2 2" xfId="15870" xr:uid="{00000000-0005-0000-0000-0000B7440000}"/>
    <cellStyle name="Normal 4 4 3 5 2 2 2" xfId="32185" xr:uid="{00000000-0005-0000-0000-0000B8440000}"/>
    <cellStyle name="Normal 4 4 3 5 2 3" xfId="25220" xr:uid="{00000000-0005-0000-0000-0000B9440000}"/>
    <cellStyle name="Normal 4 4 3 5 3" xfId="11949" xr:uid="{00000000-0005-0000-0000-0000BA440000}"/>
    <cellStyle name="Normal 4 4 3 5 3 2" xfId="28524" xr:uid="{00000000-0005-0000-0000-0000BB440000}"/>
    <cellStyle name="Normal 4 4 3 5 4" xfId="5256" xr:uid="{00000000-0005-0000-0000-0000BC440000}"/>
    <cellStyle name="Normal 4 4 3 5 4 2" xfId="21920" xr:uid="{00000000-0005-0000-0000-0000BD440000}"/>
    <cellStyle name="Normal 4 4 3 5 5" xfId="19323" xr:uid="{00000000-0005-0000-0000-0000BE440000}"/>
    <cellStyle name="Normal 4 4 3 6" xfId="6988" xr:uid="{00000000-0005-0000-0000-0000BF440000}"/>
    <cellStyle name="Normal 4 4 3 6 2" xfId="14251" xr:uid="{00000000-0005-0000-0000-0000C0440000}"/>
    <cellStyle name="Normal 4 4 3 6 2 2" xfId="30566" xr:uid="{00000000-0005-0000-0000-0000C1440000}"/>
    <cellStyle name="Normal 4 4 3 6 3" xfId="23601" xr:uid="{00000000-0005-0000-0000-0000C2440000}"/>
    <cellStyle name="Normal 4 4 3 7" xfId="10302" xr:uid="{00000000-0005-0000-0000-0000C3440000}"/>
    <cellStyle name="Normal 4 4 3 7 2" xfId="26901" xr:uid="{00000000-0005-0000-0000-0000C4440000}"/>
    <cellStyle name="Normal 4 4 3 8" xfId="4198" xr:uid="{00000000-0005-0000-0000-0000C5440000}"/>
    <cellStyle name="Normal 4 4 3 8 2" xfId="20921" xr:uid="{00000000-0005-0000-0000-0000C6440000}"/>
    <cellStyle name="Normal 4 4 3 9" xfId="17762" xr:uid="{00000000-0005-0000-0000-0000C7440000}"/>
    <cellStyle name="Normal 4 4 4" xfId="1169" xr:uid="{00000000-0005-0000-0000-0000C8440000}"/>
    <cellStyle name="Normal 4 4 4 2" xfId="1690" xr:uid="{00000000-0005-0000-0000-0000C9440000}"/>
    <cellStyle name="Normal 4 4 4 2 2" xfId="2606" xr:uid="{00000000-0005-0000-0000-0000CA440000}"/>
    <cellStyle name="Normal 4 4 4 2 2 2" xfId="6584" xr:uid="{00000000-0005-0000-0000-0000CB440000}"/>
    <cellStyle name="Normal 4 4 4 2 2 2 2" xfId="9935" xr:uid="{00000000-0005-0000-0000-0000CC440000}"/>
    <cellStyle name="Normal 4 4 4 2 2 2 2 2" xfId="17198" xr:uid="{00000000-0005-0000-0000-0000CD440000}"/>
    <cellStyle name="Normal 4 4 4 2 2 2 2 2 2" xfId="33513" xr:uid="{00000000-0005-0000-0000-0000CE440000}"/>
    <cellStyle name="Normal 4 4 4 2 2 2 2 3" xfId="26548" xr:uid="{00000000-0005-0000-0000-0000CF440000}"/>
    <cellStyle name="Normal 4 4 4 2 2 2 3" xfId="13277" xr:uid="{00000000-0005-0000-0000-0000D0440000}"/>
    <cellStyle name="Normal 4 4 4 2 2 2 3 2" xfId="29852" xr:uid="{00000000-0005-0000-0000-0000D1440000}"/>
    <cellStyle name="Normal 4 4 4 2 2 2 4" xfId="23248" xr:uid="{00000000-0005-0000-0000-0000D2440000}"/>
    <cellStyle name="Normal 4 4 4 2 2 3" xfId="8314" xr:uid="{00000000-0005-0000-0000-0000D3440000}"/>
    <cellStyle name="Normal 4 4 4 2 2 3 2" xfId="15577" xr:uid="{00000000-0005-0000-0000-0000D4440000}"/>
    <cellStyle name="Normal 4 4 4 2 2 3 2 2" xfId="31892" xr:uid="{00000000-0005-0000-0000-0000D5440000}"/>
    <cellStyle name="Normal 4 4 4 2 2 3 3" xfId="24927" xr:uid="{00000000-0005-0000-0000-0000D6440000}"/>
    <cellStyle name="Normal 4 4 4 2 2 4" xfId="11629" xr:uid="{00000000-0005-0000-0000-0000D7440000}"/>
    <cellStyle name="Normal 4 4 4 2 2 4 2" xfId="28227" xr:uid="{00000000-0005-0000-0000-0000D8440000}"/>
    <cellStyle name="Normal 4 4 4 2 2 5" xfId="4208" xr:uid="{00000000-0005-0000-0000-0000D9440000}"/>
    <cellStyle name="Normal 4 4 4 2 2 5 2" xfId="20931" xr:uid="{00000000-0005-0000-0000-0000DA440000}"/>
    <cellStyle name="Normal 4 4 4 2 2 6" xfId="19333" xr:uid="{00000000-0005-0000-0000-0000DB440000}"/>
    <cellStyle name="Normal 4 4 4 2 3" xfId="2605" xr:uid="{00000000-0005-0000-0000-0000DC440000}"/>
    <cellStyle name="Normal 4 4 4 2 3 2" xfId="9159" xr:uid="{00000000-0005-0000-0000-0000DD440000}"/>
    <cellStyle name="Normal 4 4 4 2 3 2 2" xfId="16422" xr:uid="{00000000-0005-0000-0000-0000DE440000}"/>
    <cellStyle name="Normal 4 4 4 2 3 2 2 2" xfId="32737" xr:uid="{00000000-0005-0000-0000-0000DF440000}"/>
    <cellStyle name="Normal 4 4 4 2 3 2 3" xfId="25772" xr:uid="{00000000-0005-0000-0000-0000E0440000}"/>
    <cellStyle name="Normal 4 4 4 2 3 3" xfId="12501" xr:uid="{00000000-0005-0000-0000-0000E1440000}"/>
    <cellStyle name="Normal 4 4 4 2 3 3 2" xfId="29076" xr:uid="{00000000-0005-0000-0000-0000E2440000}"/>
    <cellStyle name="Normal 4 4 4 2 3 4" xfId="5808" xr:uid="{00000000-0005-0000-0000-0000E3440000}"/>
    <cellStyle name="Normal 4 4 4 2 3 4 2" xfId="22472" xr:uid="{00000000-0005-0000-0000-0000E4440000}"/>
    <cellStyle name="Normal 4 4 4 2 3 5" xfId="19332" xr:uid="{00000000-0005-0000-0000-0000E5440000}"/>
    <cellStyle name="Normal 4 4 4 2 4" xfId="7538" xr:uid="{00000000-0005-0000-0000-0000E6440000}"/>
    <cellStyle name="Normal 4 4 4 2 4 2" xfId="14801" xr:uid="{00000000-0005-0000-0000-0000E7440000}"/>
    <cellStyle name="Normal 4 4 4 2 4 2 2" xfId="31116" xr:uid="{00000000-0005-0000-0000-0000E8440000}"/>
    <cellStyle name="Normal 4 4 4 2 4 3" xfId="24151" xr:uid="{00000000-0005-0000-0000-0000E9440000}"/>
    <cellStyle name="Normal 4 4 4 2 5" xfId="10853" xr:uid="{00000000-0005-0000-0000-0000EA440000}"/>
    <cellStyle name="Normal 4 4 4 2 5 2" xfId="27451" xr:uid="{00000000-0005-0000-0000-0000EB440000}"/>
    <cellStyle name="Normal 4 4 4 2 6" xfId="4207" xr:uid="{00000000-0005-0000-0000-0000EC440000}"/>
    <cellStyle name="Normal 4 4 4 2 6 2" xfId="20930" xr:uid="{00000000-0005-0000-0000-0000ED440000}"/>
    <cellStyle name="Normal 4 4 4 2 7" xfId="18425" xr:uid="{00000000-0005-0000-0000-0000EE440000}"/>
    <cellStyle name="Normal 4 4 4 3" xfId="2607" xr:uid="{00000000-0005-0000-0000-0000EF440000}"/>
    <cellStyle name="Normal 4 4 4 3 2" xfId="6214" xr:uid="{00000000-0005-0000-0000-0000F0440000}"/>
    <cellStyle name="Normal 4 4 4 3 2 2" xfId="9565" xr:uid="{00000000-0005-0000-0000-0000F1440000}"/>
    <cellStyle name="Normal 4 4 4 3 2 2 2" xfId="16828" xr:uid="{00000000-0005-0000-0000-0000F2440000}"/>
    <cellStyle name="Normal 4 4 4 3 2 2 2 2" xfId="33143" xr:uid="{00000000-0005-0000-0000-0000F3440000}"/>
    <cellStyle name="Normal 4 4 4 3 2 2 3" xfId="26178" xr:uid="{00000000-0005-0000-0000-0000F4440000}"/>
    <cellStyle name="Normal 4 4 4 3 2 3" xfId="12907" xr:uid="{00000000-0005-0000-0000-0000F5440000}"/>
    <cellStyle name="Normal 4 4 4 3 2 3 2" xfId="29482" xr:uid="{00000000-0005-0000-0000-0000F6440000}"/>
    <cellStyle name="Normal 4 4 4 3 2 4" xfId="22878" xr:uid="{00000000-0005-0000-0000-0000F7440000}"/>
    <cellStyle name="Normal 4 4 4 3 3" xfId="7944" xr:uid="{00000000-0005-0000-0000-0000F8440000}"/>
    <cellStyle name="Normal 4 4 4 3 3 2" xfId="15207" xr:uid="{00000000-0005-0000-0000-0000F9440000}"/>
    <cellStyle name="Normal 4 4 4 3 3 2 2" xfId="31522" xr:uid="{00000000-0005-0000-0000-0000FA440000}"/>
    <cellStyle name="Normal 4 4 4 3 3 3" xfId="24557" xr:uid="{00000000-0005-0000-0000-0000FB440000}"/>
    <cellStyle name="Normal 4 4 4 3 4" xfId="11259" xr:uid="{00000000-0005-0000-0000-0000FC440000}"/>
    <cellStyle name="Normal 4 4 4 3 4 2" xfId="27857" xr:uid="{00000000-0005-0000-0000-0000FD440000}"/>
    <cellStyle name="Normal 4 4 4 3 5" xfId="4209" xr:uid="{00000000-0005-0000-0000-0000FE440000}"/>
    <cellStyle name="Normal 4 4 4 3 5 2" xfId="20932" xr:uid="{00000000-0005-0000-0000-0000FF440000}"/>
    <cellStyle name="Normal 4 4 4 3 6" xfId="19334" xr:uid="{00000000-0005-0000-0000-000000450000}"/>
    <cellStyle name="Normal 4 4 4 4" xfId="2604" xr:uid="{00000000-0005-0000-0000-000001450000}"/>
    <cellStyle name="Normal 4 4 4 4 2" xfId="8752" xr:uid="{00000000-0005-0000-0000-000002450000}"/>
    <cellStyle name="Normal 4 4 4 4 2 2" xfId="16015" xr:uid="{00000000-0005-0000-0000-000003450000}"/>
    <cellStyle name="Normal 4 4 4 4 2 2 2" xfId="32330" xr:uid="{00000000-0005-0000-0000-000004450000}"/>
    <cellStyle name="Normal 4 4 4 4 2 3" xfId="25365" xr:uid="{00000000-0005-0000-0000-000005450000}"/>
    <cellStyle name="Normal 4 4 4 4 3" xfId="12094" xr:uid="{00000000-0005-0000-0000-000006450000}"/>
    <cellStyle name="Normal 4 4 4 4 3 2" xfId="28669" xr:uid="{00000000-0005-0000-0000-000007450000}"/>
    <cellStyle name="Normal 4 4 4 4 4" xfId="5401" xr:uid="{00000000-0005-0000-0000-000008450000}"/>
    <cellStyle name="Normal 4 4 4 4 4 2" xfId="22065" xr:uid="{00000000-0005-0000-0000-000009450000}"/>
    <cellStyle name="Normal 4 4 4 4 5" xfId="19331" xr:uid="{00000000-0005-0000-0000-00000A450000}"/>
    <cellStyle name="Normal 4 4 4 5" xfId="7132" xr:uid="{00000000-0005-0000-0000-00000B450000}"/>
    <cellStyle name="Normal 4 4 4 5 2" xfId="14395" xr:uid="{00000000-0005-0000-0000-00000C450000}"/>
    <cellStyle name="Normal 4 4 4 5 2 2" xfId="30710" xr:uid="{00000000-0005-0000-0000-00000D450000}"/>
    <cellStyle name="Normal 4 4 4 5 3" xfId="23745" xr:uid="{00000000-0005-0000-0000-00000E450000}"/>
    <cellStyle name="Normal 4 4 4 6" xfId="10447" xr:uid="{00000000-0005-0000-0000-00000F450000}"/>
    <cellStyle name="Normal 4 4 4 6 2" xfId="27045" xr:uid="{00000000-0005-0000-0000-000010450000}"/>
    <cellStyle name="Normal 4 4 4 7" xfId="4206" xr:uid="{00000000-0005-0000-0000-000011450000}"/>
    <cellStyle name="Normal 4 4 4 7 2" xfId="20929" xr:uid="{00000000-0005-0000-0000-000012450000}"/>
    <cellStyle name="Normal 4 4 4 8" xfId="17906" xr:uid="{00000000-0005-0000-0000-000013450000}"/>
    <cellStyle name="Normal 4 4 5" xfId="1440" xr:uid="{00000000-0005-0000-0000-000014450000}"/>
    <cellStyle name="Normal 4 4 5 2" xfId="2609" xr:uid="{00000000-0005-0000-0000-000015450000}"/>
    <cellStyle name="Normal 4 4 5 2 2" xfId="6408" xr:uid="{00000000-0005-0000-0000-000016450000}"/>
    <cellStyle name="Normal 4 4 5 2 2 2" xfId="9759" xr:uid="{00000000-0005-0000-0000-000017450000}"/>
    <cellStyle name="Normal 4 4 5 2 2 2 2" xfId="17022" xr:uid="{00000000-0005-0000-0000-000018450000}"/>
    <cellStyle name="Normal 4 4 5 2 2 2 2 2" xfId="33337" xr:uid="{00000000-0005-0000-0000-000019450000}"/>
    <cellStyle name="Normal 4 4 5 2 2 2 3" xfId="26372" xr:uid="{00000000-0005-0000-0000-00001A450000}"/>
    <cellStyle name="Normal 4 4 5 2 2 3" xfId="13101" xr:uid="{00000000-0005-0000-0000-00001B450000}"/>
    <cellStyle name="Normal 4 4 5 2 2 3 2" xfId="29676" xr:uid="{00000000-0005-0000-0000-00001C450000}"/>
    <cellStyle name="Normal 4 4 5 2 2 4" xfId="23072" xr:uid="{00000000-0005-0000-0000-00001D450000}"/>
    <cellStyle name="Normal 4 4 5 2 3" xfId="8138" xr:uid="{00000000-0005-0000-0000-00001E450000}"/>
    <cellStyle name="Normal 4 4 5 2 3 2" xfId="15401" xr:uid="{00000000-0005-0000-0000-00001F450000}"/>
    <cellStyle name="Normal 4 4 5 2 3 2 2" xfId="31716" xr:uid="{00000000-0005-0000-0000-000020450000}"/>
    <cellStyle name="Normal 4 4 5 2 3 3" xfId="24751" xr:uid="{00000000-0005-0000-0000-000021450000}"/>
    <cellStyle name="Normal 4 4 5 2 4" xfId="11453" xr:uid="{00000000-0005-0000-0000-000022450000}"/>
    <cellStyle name="Normal 4 4 5 2 4 2" xfId="28051" xr:uid="{00000000-0005-0000-0000-000023450000}"/>
    <cellStyle name="Normal 4 4 5 2 5" xfId="4211" xr:uid="{00000000-0005-0000-0000-000024450000}"/>
    <cellStyle name="Normal 4 4 5 2 5 2" xfId="20934" xr:uid="{00000000-0005-0000-0000-000025450000}"/>
    <cellStyle name="Normal 4 4 5 2 6" xfId="19336" xr:uid="{00000000-0005-0000-0000-000026450000}"/>
    <cellStyle name="Normal 4 4 5 3" xfId="2608" xr:uid="{00000000-0005-0000-0000-000027450000}"/>
    <cellStyle name="Normal 4 4 5 3 2" xfId="8947" xr:uid="{00000000-0005-0000-0000-000028450000}"/>
    <cellStyle name="Normal 4 4 5 3 2 2" xfId="16210" xr:uid="{00000000-0005-0000-0000-000029450000}"/>
    <cellStyle name="Normal 4 4 5 3 2 2 2" xfId="32525" xr:uid="{00000000-0005-0000-0000-00002A450000}"/>
    <cellStyle name="Normal 4 4 5 3 2 3" xfId="25560" xr:uid="{00000000-0005-0000-0000-00002B450000}"/>
    <cellStyle name="Normal 4 4 5 3 3" xfId="12289" xr:uid="{00000000-0005-0000-0000-00002C450000}"/>
    <cellStyle name="Normal 4 4 5 3 3 2" xfId="28864" xr:uid="{00000000-0005-0000-0000-00002D450000}"/>
    <cellStyle name="Normal 4 4 5 3 4" xfId="5596" xr:uid="{00000000-0005-0000-0000-00002E450000}"/>
    <cellStyle name="Normal 4 4 5 3 4 2" xfId="22260" xr:uid="{00000000-0005-0000-0000-00002F450000}"/>
    <cellStyle name="Normal 4 4 5 3 5" xfId="19335" xr:uid="{00000000-0005-0000-0000-000030450000}"/>
    <cellStyle name="Normal 4 4 5 4" xfId="7326" xr:uid="{00000000-0005-0000-0000-000031450000}"/>
    <cellStyle name="Normal 4 4 5 4 2" xfId="14589" xr:uid="{00000000-0005-0000-0000-000032450000}"/>
    <cellStyle name="Normal 4 4 5 4 2 2" xfId="30904" xr:uid="{00000000-0005-0000-0000-000033450000}"/>
    <cellStyle name="Normal 4 4 5 4 3" xfId="23939" xr:uid="{00000000-0005-0000-0000-000034450000}"/>
    <cellStyle name="Normal 4 4 5 5" xfId="10641" xr:uid="{00000000-0005-0000-0000-000035450000}"/>
    <cellStyle name="Normal 4 4 5 5 2" xfId="27239" xr:uid="{00000000-0005-0000-0000-000036450000}"/>
    <cellStyle name="Normal 4 4 5 6" xfId="4210" xr:uid="{00000000-0005-0000-0000-000037450000}"/>
    <cellStyle name="Normal 4 4 5 6 2" xfId="20933" xr:uid="{00000000-0005-0000-0000-000038450000}"/>
    <cellStyle name="Normal 4 4 5 7" xfId="18175" xr:uid="{00000000-0005-0000-0000-000039450000}"/>
    <cellStyle name="Normal 4 4 6" xfId="2610" xr:uid="{00000000-0005-0000-0000-00003A450000}"/>
    <cellStyle name="Normal 4 4 6 2" xfId="6002" xr:uid="{00000000-0005-0000-0000-00003B450000}"/>
    <cellStyle name="Normal 4 4 6 2 2" xfId="9353" xr:uid="{00000000-0005-0000-0000-00003C450000}"/>
    <cellStyle name="Normal 4 4 6 2 2 2" xfId="16616" xr:uid="{00000000-0005-0000-0000-00003D450000}"/>
    <cellStyle name="Normal 4 4 6 2 2 2 2" xfId="32931" xr:uid="{00000000-0005-0000-0000-00003E450000}"/>
    <cellStyle name="Normal 4 4 6 2 2 3" xfId="25966" xr:uid="{00000000-0005-0000-0000-00003F450000}"/>
    <cellStyle name="Normal 4 4 6 2 3" xfId="12695" xr:uid="{00000000-0005-0000-0000-000040450000}"/>
    <cellStyle name="Normal 4 4 6 2 3 2" xfId="29270" xr:uid="{00000000-0005-0000-0000-000041450000}"/>
    <cellStyle name="Normal 4 4 6 2 4" xfId="22666" xr:uid="{00000000-0005-0000-0000-000042450000}"/>
    <cellStyle name="Normal 4 4 6 3" xfId="7732" xr:uid="{00000000-0005-0000-0000-000043450000}"/>
    <cellStyle name="Normal 4 4 6 3 2" xfId="14995" xr:uid="{00000000-0005-0000-0000-000044450000}"/>
    <cellStyle name="Normal 4 4 6 3 2 2" xfId="31310" xr:uid="{00000000-0005-0000-0000-000045450000}"/>
    <cellStyle name="Normal 4 4 6 3 3" xfId="24345" xr:uid="{00000000-0005-0000-0000-000046450000}"/>
    <cellStyle name="Normal 4 4 6 4" xfId="11047" xr:uid="{00000000-0005-0000-0000-000047450000}"/>
    <cellStyle name="Normal 4 4 6 4 2" xfId="27645" xr:uid="{00000000-0005-0000-0000-000048450000}"/>
    <cellStyle name="Normal 4 4 6 5" xfId="4212" xr:uid="{00000000-0005-0000-0000-000049450000}"/>
    <cellStyle name="Normal 4 4 6 5 2" xfId="20935" xr:uid="{00000000-0005-0000-0000-00004A450000}"/>
    <cellStyle name="Normal 4 4 6 6" xfId="19337" xr:uid="{00000000-0005-0000-0000-00004B450000}"/>
    <cellStyle name="Normal 4 4 7" xfId="2579" xr:uid="{00000000-0005-0000-0000-00004C450000}"/>
    <cellStyle name="Normal 4 4 7 2" xfId="8501" xr:uid="{00000000-0005-0000-0000-00004D450000}"/>
    <cellStyle name="Normal 4 4 7 2 2" xfId="15764" xr:uid="{00000000-0005-0000-0000-00004E450000}"/>
    <cellStyle name="Normal 4 4 7 2 2 2" xfId="32079" xr:uid="{00000000-0005-0000-0000-00004F450000}"/>
    <cellStyle name="Normal 4 4 7 2 3" xfId="25114" xr:uid="{00000000-0005-0000-0000-000050450000}"/>
    <cellStyle name="Normal 4 4 7 3" xfId="11843" xr:uid="{00000000-0005-0000-0000-000051450000}"/>
    <cellStyle name="Normal 4 4 7 3 2" xfId="28418" xr:uid="{00000000-0005-0000-0000-000052450000}"/>
    <cellStyle name="Normal 4 4 7 4" xfId="5150" xr:uid="{00000000-0005-0000-0000-000053450000}"/>
    <cellStyle name="Normal 4 4 7 4 2" xfId="21814" xr:uid="{00000000-0005-0000-0000-000054450000}"/>
    <cellStyle name="Normal 4 4 7 5" xfId="19306" xr:uid="{00000000-0005-0000-0000-000055450000}"/>
    <cellStyle name="Normal 4 4 8" xfId="6882" xr:uid="{00000000-0005-0000-0000-000056450000}"/>
    <cellStyle name="Normal 4 4 8 2" xfId="14145" xr:uid="{00000000-0005-0000-0000-000057450000}"/>
    <cellStyle name="Normal 4 4 8 2 2" xfId="30460" xr:uid="{00000000-0005-0000-0000-000058450000}"/>
    <cellStyle name="Normal 4 4 8 3" xfId="23495" xr:uid="{00000000-0005-0000-0000-000059450000}"/>
    <cellStyle name="Normal 4 4 9" xfId="10196" xr:uid="{00000000-0005-0000-0000-00005A450000}"/>
    <cellStyle name="Normal 4 4 9 2" xfId="26795" xr:uid="{00000000-0005-0000-0000-00005B450000}"/>
    <cellStyle name="Normal 4 5" xfId="2611" xr:uid="{00000000-0005-0000-0000-00005C450000}"/>
    <cellStyle name="Normal 4 5 2" xfId="2612" xr:uid="{00000000-0005-0000-0000-00005D450000}"/>
    <cellStyle name="Normal 4 5 2 2" xfId="2613" xr:uid="{00000000-0005-0000-0000-00005E450000}"/>
    <cellStyle name="Normal 4 5 2 2 2" xfId="6686" xr:uid="{00000000-0005-0000-0000-00005F450000}"/>
    <cellStyle name="Normal 4 5 2 2 2 2" xfId="10037" xr:uid="{00000000-0005-0000-0000-000060450000}"/>
    <cellStyle name="Normal 4 5 2 2 2 2 2" xfId="17300" xr:uid="{00000000-0005-0000-0000-000061450000}"/>
    <cellStyle name="Normal 4 5 2 2 2 2 2 2" xfId="33615" xr:uid="{00000000-0005-0000-0000-000062450000}"/>
    <cellStyle name="Normal 4 5 2 2 2 2 3" xfId="26650" xr:uid="{00000000-0005-0000-0000-000063450000}"/>
    <cellStyle name="Normal 4 5 2 2 2 3" xfId="13379" xr:uid="{00000000-0005-0000-0000-000064450000}"/>
    <cellStyle name="Normal 4 5 2 2 2 3 2" xfId="29954" xr:uid="{00000000-0005-0000-0000-000065450000}"/>
    <cellStyle name="Normal 4 5 2 2 2 4" xfId="23350" xr:uid="{00000000-0005-0000-0000-000066450000}"/>
    <cellStyle name="Normal 4 5 2 2 3" xfId="8416" xr:uid="{00000000-0005-0000-0000-000067450000}"/>
    <cellStyle name="Normal 4 5 2 2 3 2" xfId="15679" xr:uid="{00000000-0005-0000-0000-000068450000}"/>
    <cellStyle name="Normal 4 5 2 2 3 2 2" xfId="31994" xr:uid="{00000000-0005-0000-0000-000069450000}"/>
    <cellStyle name="Normal 4 5 2 2 3 3" xfId="25029" xr:uid="{00000000-0005-0000-0000-00006A450000}"/>
    <cellStyle name="Normal 4 5 2 2 4" xfId="11731" xr:uid="{00000000-0005-0000-0000-00006B450000}"/>
    <cellStyle name="Normal 4 5 2 2 4 2" xfId="28329" xr:uid="{00000000-0005-0000-0000-00006C450000}"/>
    <cellStyle name="Normal 4 5 2 2 5" xfId="4215" xr:uid="{00000000-0005-0000-0000-00006D450000}"/>
    <cellStyle name="Normal 4 5 2 2 5 2" xfId="20938" xr:uid="{00000000-0005-0000-0000-00006E450000}"/>
    <cellStyle name="Normal 4 5 2 2 6" xfId="19340" xr:uid="{00000000-0005-0000-0000-00006F450000}"/>
    <cellStyle name="Normal 4 5 2 3" xfId="5910" xr:uid="{00000000-0005-0000-0000-000070450000}"/>
    <cellStyle name="Normal 4 5 2 3 2" xfId="9261" xr:uid="{00000000-0005-0000-0000-000071450000}"/>
    <cellStyle name="Normal 4 5 2 3 2 2" xfId="16524" xr:uid="{00000000-0005-0000-0000-000072450000}"/>
    <cellStyle name="Normal 4 5 2 3 2 2 2" xfId="32839" xr:uid="{00000000-0005-0000-0000-000073450000}"/>
    <cellStyle name="Normal 4 5 2 3 2 3" xfId="25874" xr:uid="{00000000-0005-0000-0000-000074450000}"/>
    <cellStyle name="Normal 4 5 2 3 3" xfId="12603" xr:uid="{00000000-0005-0000-0000-000075450000}"/>
    <cellStyle name="Normal 4 5 2 3 3 2" xfId="29178" xr:uid="{00000000-0005-0000-0000-000076450000}"/>
    <cellStyle name="Normal 4 5 2 3 4" xfId="22574" xr:uid="{00000000-0005-0000-0000-000077450000}"/>
    <cellStyle name="Normal 4 5 2 4" xfId="7640" xr:uid="{00000000-0005-0000-0000-000078450000}"/>
    <cellStyle name="Normal 4 5 2 4 2" xfId="14903" xr:uid="{00000000-0005-0000-0000-000079450000}"/>
    <cellStyle name="Normal 4 5 2 4 2 2" xfId="31218" xr:uid="{00000000-0005-0000-0000-00007A450000}"/>
    <cellStyle name="Normal 4 5 2 4 3" xfId="24253" xr:uid="{00000000-0005-0000-0000-00007B450000}"/>
    <cellStyle name="Normal 4 5 2 5" xfId="10955" xr:uid="{00000000-0005-0000-0000-00007C450000}"/>
    <cellStyle name="Normal 4 5 2 5 2" xfId="27553" xr:uid="{00000000-0005-0000-0000-00007D450000}"/>
    <cellStyle name="Normal 4 5 2 6" xfId="4214" xr:uid="{00000000-0005-0000-0000-00007E450000}"/>
    <cellStyle name="Normal 4 5 2 6 2" xfId="20937" xr:uid="{00000000-0005-0000-0000-00007F450000}"/>
    <cellStyle name="Normal 4 5 2 7" xfId="19339" xr:uid="{00000000-0005-0000-0000-000080450000}"/>
    <cellStyle name="Normal 4 5 3" xfId="2614" xr:uid="{00000000-0005-0000-0000-000081450000}"/>
    <cellStyle name="Normal 4 5 3 2" xfId="6316" xr:uid="{00000000-0005-0000-0000-000082450000}"/>
    <cellStyle name="Normal 4 5 3 2 2" xfId="9667" xr:uid="{00000000-0005-0000-0000-000083450000}"/>
    <cellStyle name="Normal 4 5 3 2 2 2" xfId="16930" xr:uid="{00000000-0005-0000-0000-000084450000}"/>
    <cellStyle name="Normal 4 5 3 2 2 2 2" xfId="33245" xr:uid="{00000000-0005-0000-0000-000085450000}"/>
    <cellStyle name="Normal 4 5 3 2 2 3" xfId="26280" xr:uid="{00000000-0005-0000-0000-000086450000}"/>
    <cellStyle name="Normal 4 5 3 2 3" xfId="13009" xr:uid="{00000000-0005-0000-0000-000087450000}"/>
    <cellStyle name="Normal 4 5 3 2 3 2" xfId="29584" xr:uid="{00000000-0005-0000-0000-000088450000}"/>
    <cellStyle name="Normal 4 5 3 2 4" xfId="22980" xr:uid="{00000000-0005-0000-0000-000089450000}"/>
    <cellStyle name="Normal 4 5 3 3" xfId="8046" xr:uid="{00000000-0005-0000-0000-00008A450000}"/>
    <cellStyle name="Normal 4 5 3 3 2" xfId="15309" xr:uid="{00000000-0005-0000-0000-00008B450000}"/>
    <cellStyle name="Normal 4 5 3 3 2 2" xfId="31624" xr:uid="{00000000-0005-0000-0000-00008C450000}"/>
    <cellStyle name="Normal 4 5 3 3 3" xfId="24659" xr:uid="{00000000-0005-0000-0000-00008D450000}"/>
    <cellStyle name="Normal 4 5 3 4" xfId="11361" xr:uid="{00000000-0005-0000-0000-00008E450000}"/>
    <cellStyle name="Normal 4 5 3 4 2" xfId="27959" xr:uid="{00000000-0005-0000-0000-00008F450000}"/>
    <cellStyle name="Normal 4 5 3 5" xfId="4216" xr:uid="{00000000-0005-0000-0000-000090450000}"/>
    <cellStyle name="Normal 4 5 3 5 2" xfId="20939" xr:uid="{00000000-0005-0000-0000-000091450000}"/>
    <cellStyle name="Normal 4 5 3 6" xfId="19341" xr:uid="{00000000-0005-0000-0000-000092450000}"/>
    <cellStyle name="Normal 4 5 4" xfId="5503" xr:uid="{00000000-0005-0000-0000-000093450000}"/>
    <cellStyle name="Normal 4 5 4 2" xfId="8854" xr:uid="{00000000-0005-0000-0000-000094450000}"/>
    <cellStyle name="Normal 4 5 4 2 2" xfId="16117" xr:uid="{00000000-0005-0000-0000-000095450000}"/>
    <cellStyle name="Normal 4 5 4 2 2 2" xfId="32432" xr:uid="{00000000-0005-0000-0000-000096450000}"/>
    <cellStyle name="Normal 4 5 4 2 3" xfId="25467" xr:uid="{00000000-0005-0000-0000-000097450000}"/>
    <cellStyle name="Normal 4 5 4 3" xfId="12196" xr:uid="{00000000-0005-0000-0000-000098450000}"/>
    <cellStyle name="Normal 4 5 4 3 2" xfId="28771" xr:uid="{00000000-0005-0000-0000-000099450000}"/>
    <cellStyle name="Normal 4 5 4 4" xfId="22167" xr:uid="{00000000-0005-0000-0000-00009A450000}"/>
    <cellStyle name="Normal 4 5 5" xfId="7234" xr:uid="{00000000-0005-0000-0000-00009B450000}"/>
    <cellStyle name="Normal 4 5 5 2" xfId="14497" xr:uid="{00000000-0005-0000-0000-00009C450000}"/>
    <cellStyle name="Normal 4 5 5 2 2" xfId="30812" xr:uid="{00000000-0005-0000-0000-00009D450000}"/>
    <cellStyle name="Normal 4 5 5 3" xfId="23847" xr:uid="{00000000-0005-0000-0000-00009E450000}"/>
    <cellStyle name="Normal 4 5 6" xfId="10549" xr:uid="{00000000-0005-0000-0000-00009F450000}"/>
    <cellStyle name="Normal 4 5 6 2" xfId="27147" xr:uid="{00000000-0005-0000-0000-0000A0450000}"/>
    <cellStyle name="Normal 4 5 7" xfId="4213" xr:uid="{00000000-0005-0000-0000-0000A1450000}"/>
    <cellStyle name="Normal 4 5 7 2" xfId="20936" xr:uid="{00000000-0005-0000-0000-0000A2450000}"/>
    <cellStyle name="Normal 4 5 8" xfId="19338" xr:uid="{00000000-0005-0000-0000-0000A3450000}"/>
    <cellStyle name="Normal 4 6" xfId="5028" xr:uid="{00000000-0005-0000-0000-0000A4450000}"/>
    <cellStyle name="Normal 4 6 2" xfId="6799" xr:uid="{00000000-0005-0000-0000-0000A5450000}"/>
    <cellStyle name="Normal 4 6 2 2" xfId="10112" xr:uid="{00000000-0005-0000-0000-0000A6450000}"/>
    <cellStyle name="Normal 4 6 2 2 2" xfId="17375" xr:uid="{00000000-0005-0000-0000-0000A7450000}"/>
    <cellStyle name="Normal 4 6 2 2 2 2" xfId="33690" xr:uid="{00000000-0005-0000-0000-0000A8450000}"/>
    <cellStyle name="Normal 4 6 2 2 3" xfId="26725" xr:uid="{00000000-0005-0000-0000-0000A9450000}"/>
    <cellStyle name="Normal 4 6 2 3" xfId="13457" xr:uid="{00000000-0005-0000-0000-0000AA450000}"/>
    <cellStyle name="Normal 4 6 2 3 2" xfId="30029" xr:uid="{00000000-0005-0000-0000-0000AB450000}"/>
    <cellStyle name="Normal 4 6 2 4" xfId="23425" xr:uid="{00000000-0005-0000-0000-0000AC450000}"/>
    <cellStyle name="Normal 4 6 3" xfId="8434" xr:uid="{00000000-0005-0000-0000-0000AD450000}"/>
    <cellStyle name="Normal 4 6 3 2" xfId="15697" xr:uid="{00000000-0005-0000-0000-0000AE450000}"/>
    <cellStyle name="Normal 4 6 3 2 2" xfId="32012" xr:uid="{00000000-0005-0000-0000-0000AF450000}"/>
    <cellStyle name="Normal 4 6 3 3" xfId="25047" xr:uid="{00000000-0005-0000-0000-0000B0450000}"/>
    <cellStyle name="Normal 4 6 4" xfId="11749" xr:uid="{00000000-0005-0000-0000-0000B1450000}"/>
    <cellStyle name="Normal 4 6 4 2" xfId="28347" xr:uid="{00000000-0005-0000-0000-0000B2450000}"/>
    <cellStyle name="Normal 4 6 5" xfId="21747" xr:uid="{00000000-0005-0000-0000-0000B3450000}"/>
    <cellStyle name="Normal 4 7" xfId="5081" xr:uid="{00000000-0005-0000-0000-0000B4450000}"/>
    <cellStyle name="Normal 40" xfId="3423" xr:uid="{00000000-0005-0000-0000-0000B5450000}"/>
    <cellStyle name="Normal 40 2" xfId="20146" xr:uid="{00000000-0005-0000-0000-0000B6450000}"/>
    <cellStyle name="Normal 41" xfId="454" xr:uid="{00000000-0005-0000-0000-0000B7450000}"/>
    <cellStyle name="Normal 5" xfId="14" xr:uid="{00000000-0005-0000-0000-0000B8450000}"/>
    <cellStyle name="Normal 5 10" xfId="357" xr:uid="{00000000-0005-0000-0000-0000B9450000}"/>
    <cellStyle name="Normal 5 11" xfId="358" xr:uid="{00000000-0005-0000-0000-0000BA450000}"/>
    <cellStyle name="Normal 5 12" xfId="359" xr:uid="{00000000-0005-0000-0000-0000BB450000}"/>
    <cellStyle name="Normal 5 12 10" xfId="6854" xr:uid="{00000000-0005-0000-0000-0000BC450000}"/>
    <cellStyle name="Normal 5 12 10 2" xfId="14117" xr:uid="{00000000-0005-0000-0000-0000BD450000}"/>
    <cellStyle name="Normal 5 12 10 2 2" xfId="30432" xr:uid="{00000000-0005-0000-0000-0000BE450000}"/>
    <cellStyle name="Normal 5 12 10 3" xfId="23467" xr:uid="{00000000-0005-0000-0000-0000BF450000}"/>
    <cellStyle name="Normal 5 12 11" xfId="10161" xr:uid="{00000000-0005-0000-0000-0000C0450000}"/>
    <cellStyle name="Normal 5 12 11 2" xfId="26767" xr:uid="{00000000-0005-0000-0000-0000C1450000}"/>
    <cellStyle name="Normal 5 12 2" xfId="545" xr:uid="{00000000-0005-0000-0000-0000C2450000}"/>
    <cellStyle name="Normal 5 12 2 10" xfId="4217" xr:uid="{00000000-0005-0000-0000-0000C3450000}"/>
    <cellStyle name="Normal 5 12 2 10 2" xfId="20940" xr:uid="{00000000-0005-0000-0000-0000C4450000}"/>
    <cellStyle name="Normal 5 12 2 11" xfId="17417" xr:uid="{00000000-0005-0000-0000-0000C5450000}"/>
    <cellStyle name="Normal 5 12 2 2" xfId="608" xr:uid="{00000000-0005-0000-0000-0000C6450000}"/>
    <cellStyle name="Normal 5 12 2 2 10" xfId="17434" xr:uid="{00000000-0005-0000-0000-0000C7450000}"/>
    <cellStyle name="Normal 5 12 2 2 2" xfId="690" xr:uid="{00000000-0005-0000-0000-0000C8450000}"/>
    <cellStyle name="Normal 5 12 2 2 2 2" xfId="1176" xr:uid="{00000000-0005-0000-0000-0000C9450000}"/>
    <cellStyle name="Normal 5 12 2 2 2 2 2" xfId="1697" xr:uid="{00000000-0005-0000-0000-0000CA450000}"/>
    <cellStyle name="Normal 5 12 2 2 2 2 2 2" xfId="2620" xr:uid="{00000000-0005-0000-0000-0000CB450000}"/>
    <cellStyle name="Normal 5 12 2 2 2 2 2 2 2" xfId="6591" xr:uid="{00000000-0005-0000-0000-0000CC450000}"/>
    <cellStyle name="Normal 5 12 2 2 2 2 2 2 2 2" xfId="9942" xr:uid="{00000000-0005-0000-0000-0000CD450000}"/>
    <cellStyle name="Normal 5 12 2 2 2 2 2 2 2 2 2" xfId="17205" xr:uid="{00000000-0005-0000-0000-0000CE450000}"/>
    <cellStyle name="Normal 5 12 2 2 2 2 2 2 2 2 2 2" xfId="33520" xr:uid="{00000000-0005-0000-0000-0000CF450000}"/>
    <cellStyle name="Normal 5 12 2 2 2 2 2 2 2 2 3" xfId="26555" xr:uid="{00000000-0005-0000-0000-0000D0450000}"/>
    <cellStyle name="Normal 5 12 2 2 2 2 2 2 2 3" xfId="13284" xr:uid="{00000000-0005-0000-0000-0000D1450000}"/>
    <cellStyle name="Normal 5 12 2 2 2 2 2 2 2 3 2" xfId="29859" xr:uid="{00000000-0005-0000-0000-0000D2450000}"/>
    <cellStyle name="Normal 5 12 2 2 2 2 2 2 2 4" xfId="23255" xr:uid="{00000000-0005-0000-0000-0000D3450000}"/>
    <cellStyle name="Normal 5 12 2 2 2 2 2 2 3" xfId="8321" xr:uid="{00000000-0005-0000-0000-0000D4450000}"/>
    <cellStyle name="Normal 5 12 2 2 2 2 2 2 3 2" xfId="15584" xr:uid="{00000000-0005-0000-0000-0000D5450000}"/>
    <cellStyle name="Normal 5 12 2 2 2 2 2 2 3 2 2" xfId="31899" xr:uid="{00000000-0005-0000-0000-0000D6450000}"/>
    <cellStyle name="Normal 5 12 2 2 2 2 2 2 3 3" xfId="24934" xr:uid="{00000000-0005-0000-0000-0000D7450000}"/>
    <cellStyle name="Normal 5 12 2 2 2 2 2 2 4" xfId="11636" xr:uid="{00000000-0005-0000-0000-0000D8450000}"/>
    <cellStyle name="Normal 5 12 2 2 2 2 2 2 4 2" xfId="28234" xr:uid="{00000000-0005-0000-0000-0000D9450000}"/>
    <cellStyle name="Normal 5 12 2 2 2 2 2 2 5" xfId="4222" xr:uid="{00000000-0005-0000-0000-0000DA450000}"/>
    <cellStyle name="Normal 5 12 2 2 2 2 2 2 5 2" xfId="20945" xr:uid="{00000000-0005-0000-0000-0000DB450000}"/>
    <cellStyle name="Normal 5 12 2 2 2 2 2 2 6" xfId="19347" xr:uid="{00000000-0005-0000-0000-0000DC450000}"/>
    <cellStyle name="Normal 5 12 2 2 2 2 2 3" xfId="2619" xr:uid="{00000000-0005-0000-0000-0000DD450000}"/>
    <cellStyle name="Normal 5 12 2 2 2 2 2 3 2" xfId="9166" xr:uid="{00000000-0005-0000-0000-0000DE450000}"/>
    <cellStyle name="Normal 5 12 2 2 2 2 2 3 2 2" xfId="16429" xr:uid="{00000000-0005-0000-0000-0000DF450000}"/>
    <cellStyle name="Normal 5 12 2 2 2 2 2 3 2 2 2" xfId="32744" xr:uid="{00000000-0005-0000-0000-0000E0450000}"/>
    <cellStyle name="Normal 5 12 2 2 2 2 2 3 2 3" xfId="25779" xr:uid="{00000000-0005-0000-0000-0000E1450000}"/>
    <cellStyle name="Normal 5 12 2 2 2 2 2 3 3" xfId="12508" xr:uid="{00000000-0005-0000-0000-0000E2450000}"/>
    <cellStyle name="Normal 5 12 2 2 2 2 2 3 3 2" xfId="29083" xr:uid="{00000000-0005-0000-0000-0000E3450000}"/>
    <cellStyle name="Normal 5 12 2 2 2 2 2 3 4" xfId="5815" xr:uid="{00000000-0005-0000-0000-0000E4450000}"/>
    <cellStyle name="Normal 5 12 2 2 2 2 2 3 4 2" xfId="22479" xr:uid="{00000000-0005-0000-0000-0000E5450000}"/>
    <cellStyle name="Normal 5 12 2 2 2 2 2 3 5" xfId="19346" xr:uid="{00000000-0005-0000-0000-0000E6450000}"/>
    <cellStyle name="Normal 5 12 2 2 2 2 2 4" xfId="7545" xr:uid="{00000000-0005-0000-0000-0000E7450000}"/>
    <cellStyle name="Normal 5 12 2 2 2 2 2 4 2" xfId="14808" xr:uid="{00000000-0005-0000-0000-0000E8450000}"/>
    <cellStyle name="Normal 5 12 2 2 2 2 2 4 2 2" xfId="31123" xr:uid="{00000000-0005-0000-0000-0000E9450000}"/>
    <cellStyle name="Normal 5 12 2 2 2 2 2 4 3" xfId="24158" xr:uid="{00000000-0005-0000-0000-0000EA450000}"/>
    <cellStyle name="Normal 5 12 2 2 2 2 2 5" xfId="10860" xr:uid="{00000000-0005-0000-0000-0000EB450000}"/>
    <cellStyle name="Normal 5 12 2 2 2 2 2 5 2" xfId="27458" xr:uid="{00000000-0005-0000-0000-0000EC450000}"/>
    <cellStyle name="Normal 5 12 2 2 2 2 2 6" xfId="4221" xr:uid="{00000000-0005-0000-0000-0000ED450000}"/>
    <cellStyle name="Normal 5 12 2 2 2 2 2 6 2" xfId="20944" xr:uid="{00000000-0005-0000-0000-0000EE450000}"/>
    <cellStyle name="Normal 5 12 2 2 2 2 2 7" xfId="18432" xr:uid="{00000000-0005-0000-0000-0000EF450000}"/>
    <cellStyle name="Normal 5 12 2 2 2 2 3" xfId="2621" xr:uid="{00000000-0005-0000-0000-0000F0450000}"/>
    <cellStyle name="Normal 5 12 2 2 2 2 3 2" xfId="6221" xr:uid="{00000000-0005-0000-0000-0000F1450000}"/>
    <cellStyle name="Normal 5 12 2 2 2 2 3 2 2" xfId="9572" xr:uid="{00000000-0005-0000-0000-0000F2450000}"/>
    <cellStyle name="Normal 5 12 2 2 2 2 3 2 2 2" xfId="16835" xr:uid="{00000000-0005-0000-0000-0000F3450000}"/>
    <cellStyle name="Normal 5 12 2 2 2 2 3 2 2 2 2" xfId="33150" xr:uid="{00000000-0005-0000-0000-0000F4450000}"/>
    <cellStyle name="Normal 5 12 2 2 2 2 3 2 2 3" xfId="26185" xr:uid="{00000000-0005-0000-0000-0000F5450000}"/>
    <cellStyle name="Normal 5 12 2 2 2 2 3 2 3" xfId="12914" xr:uid="{00000000-0005-0000-0000-0000F6450000}"/>
    <cellStyle name="Normal 5 12 2 2 2 2 3 2 3 2" xfId="29489" xr:uid="{00000000-0005-0000-0000-0000F7450000}"/>
    <cellStyle name="Normal 5 12 2 2 2 2 3 2 4" xfId="22885" xr:uid="{00000000-0005-0000-0000-0000F8450000}"/>
    <cellStyle name="Normal 5 12 2 2 2 2 3 3" xfId="7951" xr:uid="{00000000-0005-0000-0000-0000F9450000}"/>
    <cellStyle name="Normal 5 12 2 2 2 2 3 3 2" xfId="15214" xr:uid="{00000000-0005-0000-0000-0000FA450000}"/>
    <cellStyle name="Normal 5 12 2 2 2 2 3 3 2 2" xfId="31529" xr:uid="{00000000-0005-0000-0000-0000FB450000}"/>
    <cellStyle name="Normal 5 12 2 2 2 2 3 3 3" xfId="24564" xr:uid="{00000000-0005-0000-0000-0000FC450000}"/>
    <cellStyle name="Normal 5 12 2 2 2 2 3 4" xfId="11266" xr:uid="{00000000-0005-0000-0000-0000FD450000}"/>
    <cellStyle name="Normal 5 12 2 2 2 2 3 4 2" xfId="27864" xr:uid="{00000000-0005-0000-0000-0000FE450000}"/>
    <cellStyle name="Normal 5 12 2 2 2 2 3 5" xfId="4223" xr:uid="{00000000-0005-0000-0000-0000FF450000}"/>
    <cellStyle name="Normal 5 12 2 2 2 2 3 5 2" xfId="20946" xr:uid="{00000000-0005-0000-0000-000000460000}"/>
    <cellStyle name="Normal 5 12 2 2 2 2 3 6" xfId="19348" xr:uid="{00000000-0005-0000-0000-000001460000}"/>
    <cellStyle name="Normal 5 12 2 2 2 2 4" xfId="2618" xr:uid="{00000000-0005-0000-0000-000002460000}"/>
    <cellStyle name="Normal 5 12 2 2 2 2 4 2" xfId="8759" xr:uid="{00000000-0005-0000-0000-000003460000}"/>
    <cellStyle name="Normal 5 12 2 2 2 2 4 2 2" xfId="16022" xr:uid="{00000000-0005-0000-0000-000004460000}"/>
    <cellStyle name="Normal 5 12 2 2 2 2 4 2 2 2" xfId="32337" xr:uid="{00000000-0005-0000-0000-000005460000}"/>
    <cellStyle name="Normal 5 12 2 2 2 2 4 2 3" xfId="25372" xr:uid="{00000000-0005-0000-0000-000006460000}"/>
    <cellStyle name="Normal 5 12 2 2 2 2 4 3" xfId="12101" xr:uid="{00000000-0005-0000-0000-000007460000}"/>
    <cellStyle name="Normal 5 12 2 2 2 2 4 3 2" xfId="28676" xr:uid="{00000000-0005-0000-0000-000008460000}"/>
    <cellStyle name="Normal 5 12 2 2 2 2 4 4" xfId="5408" xr:uid="{00000000-0005-0000-0000-000009460000}"/>
    <cellStyle name="Normal 5 12 2 2 2 2 4 4 2" xfId="22072" xr:uid="{00000000-0005-0000-0000-00000A460000}"/>
    <cellStyle name="Normal 5 12 2 2 2 2 4 5" xfId="19345" xr:uid="{00000000-0005-0000-0000-00000B460000}"/>
    <cellStyle name="Normal 5 12 2 2 2 2 5" xfId="7139" xr:uid="{00000000-0005-0000-0000-00000C460000}"/>
    <cellStyle name="Normal 5 12 2 2 2 2 5 2" xfId="14402" xr:uid="{00000000-0005-0000-0000-00000D460000}"/>
    <cellStyle name="Normal 5 12 2 2 2 2 5 2 2" xfId="30717" xr:uid="{00000000-0005-0000-0000-00000E460000}"/>
    <cellStyle name="Normal 5 12 2 2 2 2 5 3" xfId="23752" xr:uid="{00000000-0005-0000-0000-00000F460000}"/>
    <cellStyle name="Normal 5 12 2 2 2 2 6" xfId="10454" xr:uid="{00000000-0005-0000-0000-000010460000}"/>
    <cellStyle name="Normal 5 12 2 2 2 2 6 2" xfId="27052" xr:uid="{00000000-0005-0000-0000-000011460000}"/>
    <cellStyle name="Normal 5 12 2 2 2 2 7" xfId="4220" xr:uid="{00000000-0005-0000-0000-000012460000}"/>
    <cellStyle name="Normal 5 12 2 2 2 2 7 2" xfId="20943" xr:uid="{00000000-0005-0000-0000-000013460000}"/>
    <cellStyle name="Normal 5 12 2 2 2 2 8" xfId="17913" xr:uid="{00000000-0005-0000-0000-000014460000}"/>
    <cellStyle name="Normal 5 12 2 2 2 3" xfId="1025" xr:uid="{00000000-0005-0000-0000-000015460000}"/>
    <cellStyle name="Normal 5 12 2 2 2 3 2" xfId="1586" xr:uid="{00000000-0005-0000-0000-000016460000}"/>
    <cellStyle name="Normal 5 12 2 2 2 3 2 2" xfId="2623" xr:uid="{00000000-0005-0000-0000-000017460000}"/>
    <cellStyle name="Normal 5 12 2 2 2 3 2 2 2" xfId="9766" xr:uid="{00000000-0005-0000-0000-000018460000}"/>
    <cellStyle name="Normal 5 12 2 2 2 3 2 2 2 2" xfId="17029" xr:uid="{00000000-0005-0000-0000-000019460000}"/>
    <cellStyle name="Normal 5 12 2 2 2 3 2 2 2 2 2" xfId="33344" xr:uid="{00000000-0005-0000-0000-00001A460000}"/>
    <cellStyle name="Normal 5 12 2 2 2 3 2 2 2 3" xfId="26379" xr:uid="{00000000-0005-0000-0000-00001B460000}"/>
    <cellStyle name="Normal 5 12 2 2 2 3 2 2 3" xfId="13108" xr:uid="{00000000-0005-0000-0000-00001C460000}"/>
    <cellStyle name="Normal 5 12 2 2 2 3 2 2 3 2" xfId="29683" xr:uid="{00000000-0005-0000-0000-00001D460000}"/>
    <cellStyle name="Normal 5 12 2 2 2 3 2 2 4" xfId="6415" xr:uid="{00000000-0005-0000-0000-00001E460000}"/>
    <cellStyle name="Normal 5 12 2 2 2 3 2 2 4 2" xfId="23079" xr:uid="{00000000-0005-0000-0000-00001F460000}"/>
    <cellStyle name="Normal 5 12 2 2 2 3 2 2 5" xfId="19350" xr:uid="{00000000-0005-0000-0000-000020460000}"/>
    <cellStyle name="Normal 5 12 2 2 2 3 2 3" xfId="8145" xr:uid="{00000000-0005-0000-0000-000021460000}"/>
    <cellStyle name="Normal 5 12 2 2 2 3 2 3 2" xfId="15408" xr:uid="{00000000-0005-0000-0000-000022460000}"/>
    <cellStyle name="Normal 5 12 2 2 2 3 2 3 2 2" xfId="31723" xr:uid="{00000000-0005-0000-0000-000023460000}"/>
    <cellStyle name="Normal 5 12 2 2 2 3 2 3 3" xfId="24758" xr:uid="{00000000-0005-0000-0000-000024460000}"/>
    <cellStyle name="Normal 5 12 2 2 2 3 2 4" xfId="11460" xr:uid="{00000000-0005-0000-0000-000025460000}"/>
    <cellStyle name="Normal 5 12 2 2 2 3 2 4 2" xfId="28058" xr:uid="{00000000-0005-0000-0000-000026460000}"/>
    <cellStyle name="Normal 5 12 2 2 2 3 2 5" xfId="4225" xr:uid="{00000000-0005-0000-0000-000027460000}"/>
    <cellStyle name="Normal 5 12 2 2 2 3 2 5 2" xfId="20948" xr:uid="{00000000-0005-0000-0000-000028460000}"/>
    <cellStyle name="Normal 5 12 2 2 2 3 2 6" xfId="18321" xr:uid="{00000000-0005-0000-0000-000029460000}"/>
    <cellStyle name="Normal 5 12 2 2 2 3 3" xfId="2622" xr:uid="{00000000-0005-0000-0000-00002A460000}"/>
    <cellStyle name="Normal 5 12 2 2 2 3 3 2" xfId="8954" xr:uid="{00000000-0005-0000-0000-00002B460000}"/>
    <cellStyle name="Normal 5 12 2 2 2 3 3 2 2" xfId="16217" xr:uid="{00000000-0005-0000-0000-00002C460000}"/>
    <cellStyle name="Normal 5 12 2 2 2 3 3 2 2 2" xfId="32532" xr:uid="{00000000-0005-0000-0000-00002D460000}"/>
    <cellStyle name="Normal 5 12 2 2 2 3 3 2 3" xfId="25567" xr:uid="{00000000-0005-0000-0000-00002E460000}"/>
    <cellStyle name="Normal 5 12 2 2 2 3 3 3" xfId="12296" xr:uid="{00000000-0005-0000-0000-00002F460000}"/>
    <cellStyle name="Normal 5 12 2 2 2 3 3 3 2" xfId="28871" xr:uid="{00000000-0005-0000-0000-000030460000}"/>
    <cellStyle name="Normal 5 12 2 2 2 3 3 4" xfId="5603" xr:uid="{00000000-0005-0000-0000-000031460000}"/>
    <cellStyle name="Normal 5 12 2 2 2 3 3 4 2" xfId="22267" xr:uid="{00000000-0005-0000-0000-000032460000}"/>
    <cellStyle name="Normal 5 12 2 2 2 3 3 5" xfId="19349" xr:uid="{00000000-0005-0000-0000-000033460000}"/>
    <cellStyle name="Normal 5 12 2 2 2 3 4" xfId="7333" xr:uid="{00000000-0005-0000-0000-000034460000}"/>
    <cellStyle name="Normal 5 12 2 2 2 3 4 2" xfId="14596" xr:uid="{00000000-0005-0000-0000-000035460000}"/>
    <cellStyle name="Normal 5 12 2 2 2 3 4 2 2" xfId="30911" xr:uid="{00000000-0005-0000-0000-000036460000}"/>
    <cellStyle name="Normal 5 12 2 2 2 3 4 3" xfId="23946" xr:uid="{00000000-0005-0000-0000-000037460000}"/>
    <cellStyle name="Normal 5 12 2 2 2 3 5" xfId="10648" xr:uid="{00000000-0005-0000-0000-000038460000}"/>
    <cellStyle name="Normal 5 12 2 2 2 3 5 2" xfId="27246" xr:uid="{00000000-0005-0000-0000-000039460000}"/>
    <cellStyle name="Normal 5 12 2 2 2 3 6" xfId="4224" xr:uid="{00000000-0005-0000-0000-00003A460000}"/>
    <cellStyle name="Normal 5 12 2 2 2 3 6 2" xfId="20947" xr:uid="{00000000-0005-0000-0000-00003B460000}"/>
    <cellStyle name="Normal 5 12 2 2 2 3 7" xfId="17802" xr:uid="{00000000-0005-0000-0000-00003C460000}"/>
    <cellStyle name="Normal 5 12 2 2 2 4" xfId="796" xr:uid="{00000000-0005-0000-0000-00003D460000}"/>
    <cellStyle name="Normal 5 12 2 2 2 4 2" xfId="2624" xr:uid="{00000000-0005-0000-0000-00003E460000}"/>
    <cellStyle name="Normal 5 12 2 2 2 4 2 2" xfId="9360" xr:uid="{00000000-0005-0000-0000-00003F460000}"/>
    <cellStyle name="Normal 5 12 2 2 2 4 2 2 2" xfId="16623" xr:uid="{00000000-0005-0000-0000-000040460000}"/>
    <cellStyle name="Normal 5 12 2 2 2 4 2 2 2 2" xfId="32938" xr:uid="{00000000-0005-0000-0000-000041460000}"/>
    <cellStyle name="Normal 5 12 2 2 2 4 2 2 3" xfId="25973" xr:uid="{00000000-0005-0000-0000-000042460000}"/>
    <cellStyle name="Normal 5 12 2 2 2 4 2 3" xfId="12702" xr:uid="{00000000-0005-0000-0000-000043460000}"/>
    <cellStyle name="Normal 5 12 2 2 2 4 2 3 2" xfId="29277" xr:uid="{00000000-0005-0000-0000-000044460000}"/>
    <cellStyle name="Normal 5 12 2 2 2 4 2 4" xfId="6009" xr:uid="{00000000-0005-0000-0000-000045460000}"/>
    <cellStyle name="Normal 5 12 2 2 2 4 2 4 2" xfId="22673" xr:uid="{00000000-0005-0000-0000-000046460000}"/>
    <cellStyle name="Normal 5 12 2 2 2 4 2 5" xfId="19351" xr:uid="{00000000-0005-0000-0000-000047460000}"/>
    <cellStyle name="Normal 5 12 2 2 2 4 3" xfId="7739" xr:uid="{00000000-0005-0000-0000-000048460000}"/>
    <cellStyle name="Normal 5 12 2 2 2 4 3 2" xfId="15002" xr:uid="{00000000-0005-0000-0000-000049460000}"/>
    <cellStyle name="Normal 5 12 2 2 2 4 3 2 2" xfId="31317" xr:uid="{00000000-0005-0000-0000-00004A460000}"/>
    <cellStyle name="Normal 5 12 2 2 2 4 3 3" xfId="24352" xr:uid="{00000000-0005-0000-0000-00004B460000}"/>
    <cellStyle name="Normal 5 12 2 2 2 4 4" xfId="11054" xr:uid="{00000000-0005-0000-0000-00004C460000}"/>
    <cellStyle name="Normal 5 12 2 2 2 4 4 2" xfId="27652" xr:uid="{00000000-0005-0000-0000-00004D460000}"/>
    <cellStyle name="Normal 5 12 2 2 2 4 5" xfId="4226" xr:uid="{00000000-0005-0000-0000-00004E460000}"/>
    <cellStyle name="Normal 5 12 2 2 2 4 5 2" xfId="20949" xr:uid="{00000000-0005-0000-0000-00004F460000}"/>
    <cellStyle name="Normal 5 12 2 2 2 4 6" xfId="17609" xr:uid="{00000000-0005-0000-0000-000050460000}"/>
    <cellStyle name="Normal 5 12 2 2 2 5" xfId="1393" xr:uid="{00000000-0005-0000-0000-000051460000}"/>
    <cellStyle name="Normal 5 12 2 2 2 5 2" xfId="8647" xr:uid="{00000000-0005-0000-0000-000052460000}"/>
    <cellStyle name="Normal 5 12 2 2 2 5 2 2" xfId="15910" xr:uid="{00000000-0005-0000-0000-000053460000}"/>
    <cellStyle name="Normal 5 12 2 2 2 5 2 2 2" xfId="32225" xr:uid="{00000000-0005-0000-0000-000054460000}"/>
    <cellStyle name="Normal 5 12 2 2 2 5 2 3" xfId="25260" xr:uid="{00000000-0005-0000-0000-000055460000}"/>
    <cellStyle name="Normal 5 12 2 2 2 5 3" xfId="11989" xr:uid="{00000000-0005-0000-0000-000056460000}"/>
    <cellStyle name="Normal 5 12 2 2 2 5 3 2" xfId="28564" xr:uid="{00000000-0005-0000-0000-000057460000}"/>
    <cellStyle name="Normal 5 12 2 2 2 5 4" xfId="5296" xr:uid="{00000000-0005-0000-0000-000058460000}"/>
    <cellStyle name="Normal 5 12 2 2 2 5 4 2" xfId="21960" xr:uid="{00000000-0005-0000-0000-000059460000}"/>
    <cellStyle name="Normal 5 12 2 2 2 5 5" xfId="18128" xr:uid="{00000000-0005-0000-0000-00005A460000}"/>
    <cellStyle name="Normal 5 12 2 2 2 6" xfId="2617" xr:uid="{00000000-0005-0000-0000-00005B460000}"/>
    <cellStyle name="Normal 5 12 2 2 2 6 2" xfId="14291" xr:uid="{00000000-0005-0000-0000-00005C460000}"/>
    <cellStyle name="Normal 5 12 2 2 2 6 2 2" xfId="30606" xr:uid="{00000000-0005-0000-0000-00005D460000}"/>
    <cellStyle name="Normal 5 12 2 2 2 6 3" xfId="7028" xr:uid="{00000000-0005-0000-0000-00005E460000}"/>
    <cellStyle name="Normal 5 12 2 2 2 6 3 2" xfId="23641" xr:uid="{00000000-0005-0000-0000-00005F460000}"/>
    <cellStyle name="Normal 5 12 2 2 2 6 4" xfId="19344" xr:uid="{00000000-0005-0000-0000-000060460000}"/>
    <cellStyle name="Normal 5 12 2 2 2 7" xfId="10342" xr:uid="{00000000-0005-0000-0000-000061460000}"/>
    <cellStyle name="Normal 5 12 2 2 2 7 2" xfId="26941" xr:uid="{00000000-0005-0000-0000-000062460000}"/>
    <cellStyle name="Normal 5 12 2 2 2 8" xfId="4219" xr:uid="{00000000-0005-0000-0000-000063460000}"/>
    <cellStyle name="Normal 5 12 2 2 2 8 2" xfId="20942" xr:uid="{00000000-0005-0000-0000-000064460000}"/>
    <cellStyle name="Normal 5 12 2 2 2 9" xfId="17504" xr:uid="{00000000-0005-0000-0000-000065460000}"/>
    <cellStyle name="Normal 5 12 2 2 3" xfId="652" xr:uid="{00000000-0005-0000-0000-000066460000}"/>
    <cellStyle name="Normal 5 12 2 2 3 2" xfId="1175" xr:uid="{00000000-0005-0000-0000-000067460000}"/>
    <cellStyle name="Normal 5 12 2 2 3 2 2" xfId="1696" xr:uid="{00000000-0005-0000-0000-000068460000}"/>
    <cellStyle name="Normal 5 12 2 2 3 2 2 2" xfId="2627" xr:uid="{00000000-0005-0000-0000-000069460000}"/>
    <cellStyle name="Normal 5 12 2 2 3 2 2 2 2" xfId="9941" xr:uid="{00000000-0005-0000-0000-00006A460000}"/>
    <cellStyle name="Normal 5 12 2 2 3 2 2 2 2 2" xfId="17204" xr:uid="{00000000-0005-0000-0000-00006B460000}"/>
    <cellStyle name="Normal 5 12 2 2 3 2 2 2 2 2 2" xfId="33519" xr:uid="{00000000-0005-0000-0000-00006C460000}"/>
    <cellStyle name="Normal 5 12 2 2 3 2 2 2 2 3" xfId="26554" xr:uid="{00000000-0005-0000-0000-00006D460000}"/>
    <cellStyle name="Normal 5 12 2 2 3 2 2 2 3" xfId="13283" xr:uid="{00000000-0005-0000-0000-00006E460000}"/>
    <cellStyle name="Normal 5 12 2 2 3 2 2 2 3 2" xfId="29858" xr:uid="{00000000-0005-0000-0000-00006F460000}"/>
    <cellStyle name="Normal 5 12 2 2 3 2 2 2 4" xfId="6590" xr:uid="{00000000-0005-0000-0000-000070460000}"/>
    <cellStyle name="Normal 5 12 2 2 3 2 2 2 4 2" xfId="23254" xr:uid="{00000000-0005-0000-0000-000071460000}"/>
    <cellStyle name="Normal 5 12 2 2 3 2 2 2 5" xfId="19354" xr:uid="{00000000-0005-0000-0000-000072460000}"/>
    <cellStyle name="Normal 5 12 2 2 3 2 2 3" xfId="8320" xr:uid="{00000000-0005-0000-0000-000073460000}"/>
    <cellStyle name="Normal 5 12 2 2 3 2 2 3 2" xfId="15583" xr:uid="{00000000-0005-0000-0000-000074460000}"/>
    <cellStyle name="Normal 5 12 2 2 3 2 2 3 2 2" xfId="31898" xr:uid="{00000000-0005-0000-0000-000075460000}"/>
    <cellStyle name="Normal 5 12 2 2 3 2 2 3 3" xfId="24933" xr:uid="{00000000-0005-0000-0000-000076460000}"/>
    <cellStyle name="Normal 5 12 2 2 3 2 2 4" xfId="11635" xr:uid="{00000000-0005-0000-0000-000077460000}"/>
    <cellStyle name="Normal 5 12 2 2 3 2 2 4 2" xfId="28233" xr:uid="{00000000-0005-0000-0000-000078460000}"/>
    <cellStyle name="Normal 5 12 2 2 3 2 2 5" xfId="4229" xr:uid="{00000000-0005-0000-0000-000079460000}"/>
    <cellStyle name="Normal 5 12 2 2 3 2 2 5 2" xfId="20952" xr:uid="{00000000-0005-0000-0000-00007A460000}"/>
    <cellStyle name="Normal 5 12 2 2 3 2 2 6" xfId="18431" xr:uid="{00000000-0005-0000-0000-00007B460000}"/>
    <cellStyle name="Normal 5 12 2 2 3 2 3" xfId="2626" xr:uid="{00000000-0005-0000-0000-00007C460000}"/>
    <cellStyle name="Normal 5 12 2 2 3 2 3 2" xfId="9165" xr:uid="{00000000-0005-0000-0000-00007D460000}"/>
    <cellStyle name="Normal 5 12 2 2 3 2 3 2 2" xfId="16428" xr:uid="{00000000-0005-0000-0000-00007E460000}"/>
    <cellStyle name="Normal 5 12 2 2 3 2 3 2 2 2" xfId="32743" xr:uid="{00000000-0005-0000-0000-00007F460000}"/>
    <cellStyle name="Normal 5 12 2 2 3 2 3 2 3" xfId="25778" xr:uid="{00000000-0005-0000-0000-000080460000}"/>
    <cellStyle name="Normal 5 12 2 2 3 2 3 3" xfId="12507" xr:uid="{00000000-0005-0000-0000-000081460000}"/>
    <cellStyle name="Normal 5 12 2 2 3 2 3 3 2" xfId="29082" xr:uid="{00000000-0005-0000-0000-000082460000}"/>
    <cellStyle name="Normal 5 12 2 2 3 2 3 4" xfId="5814" xr:uid="{00000000-0005-0000-0000-000083460000}"/>
    <cellStyle name="Normal 5 12 2 2 3 2 3 4 2" xfId="22478" xr:uid="{00000000-0005-0000-0000-000084460000}"/>
    <cellStyle name="Normal 5 12 2 2 3 2 3 5" xfId="19353" xr:uid="{00000000-0005-0000-0000-000085460000}"/>
    <cellStyle name="Normal 5 12 2 2 3 2 4" xfId="7544" xr:uid="{00000000-0005-0000-0000-000086460000}"/>
    <cellStyle name="Normal 5 12 2 2 3 2 4 2" xfId="14807" xr:uid="{00000000-0005-0000-0000-000087460000}"/>
    <cellStyle name="Normal 5 12 2 2 3 2 4 2 2" xfId="31122" xr:uid="{00000000-0005-0000-0000-000088460000}"/>
    <cellStyle name="Normal 5 12 2 2 3 2 4 3" xfId="24157" xr:uid="{00000000-0005-0000-0000-000089460000}"/>
    <cellStyle name="Normal 5 12 2 2 3 2 5" xfId="10859" xr:uid="{00000000-0005-0000-0000-00008A460000}"/>
    <cellStyle name="Normal 5 12 2 2 3 2 5 2" xfId="27457" xr:uid="{00000000-0005-0000-0000-00008B460000}"/>
    <cellStyle name="Normal 5 12 2 2 3 2 6" xfId="4228" xr:uid="{00000000-0005-0000-0000-00008C460000}"/>
    <cellStyle name="Normal 5 12 2 2 3 2 6 2" xfId="20951" xr:uid="{00000000-0005-0000-0000-00008D460000}"/>
    <cellStyle name="Normal 5 12 2 2 3 2 7" xfId="17912" xr:uid="{00000000-0005-0000-0000-00008E460000}"/>
    <cellStyle name="Normal 5 12 2 2 3 3" xfId="761" xr:uid="{00000000-0005-0000-0000-00008F460000}"/>
    <cellStyle name="Normal 5 12 2 2 3 3 2" xfId="2628" xr:uid="{00000000-0005-0000-0000-000090460000}"/>
    <cellStyle name="Normal 5 12 2 2 3 3 2 2" xfId="9571" xr:uid="{00000000-0005-0000-0000-000091460000}"/>
    <cellStyle name="Normal 5 12 2 2 3 3 2 2 2" xfId="16834" xr:uid="{00000000-0005-0000-0000-000092460000}"/>
    <cellStyle name="Normal 5 12 2 2 3 3 2 2 2 2" xfId="33149" xr:uid="{00000000-0005-0000-0000-000093460000}"/>
    <cellStyle name="Normal 5 12 2 2 3 3 2 2 3" xfId="26184" xr:uid="{00000000-0005-0000-0000-000094460000}"/>
    <cellStyle name="Normal 5 12 2 2 3 3 2 3" xfId="12913" xr:uid="{00000000-0005-0000-0000-000095460000}"/>
    <cellStyle name="Normal 5 12 2 2 3 3 2 3 2" xfId="29488" xr:uid="{00000000-0005-0000-0000-000096460000}"/>
    <cellStyle name="Normal 5 12 2 2 3 3 2 4" xfId="6220" xr:uid="{00000000-0005-0000-0000-000097460000}"/>
    <cellStyle name="Normal 5 12 2 2 3 3 2 4 2" xfId="22884" xr:uid="{00000000-0005-0000-0000-000098460000}"/>
    <cellStyle name="Normal 5 12 2 2 3 3 2 5" xfId="19355" xr:uid="{00000000-0005-0000-0000-000099460000}"/>
    <cellStyle name="Normal 5 12 2 2 3 3 3" xfId="7950" xr:uid="{00000000-0005-0000-0000-00009A460000}"/>
    <cellStyle name="Normal 5 12 2 2 3 3 3 2" xfId="15213" xr:uid="{00000000-0005-0000-0000-00009B460000}"/>
    <cellStyle name="Normal 5 12 2 2 3 3 3 2 2" xfId="31528" xr:uid="{00000000-0005-0000-0000-00009C460000}"/>
    <cellStyle name="Normal 5 12 2 2 3 3 3 3" xfId="24563" xr:uid="{00000000-0005-0000-0000-00009D460000}"/>
    <cellStyle name="Normal 5 12 2 2 3 3 4" xfId="11265" xr:uid="{00000000-0005-0000-0000-00009E460000}"/>
    <cellStyle name="Normal 5 12 2 2 3 3 4 2" xfId="27863" xr:uid="{00000000-0005-0000-0000-00009F460000}"/>
    <cellStyle name="Normal 5 12 2 2 3 3 5" xfId="4230" xr:uid="{00000000-0005-0000-0000-0000A0460000}"/>
    <cellStyle name="Normal 5 12 2 2 3 3 5 2" xfId="20953" xr:uid="{00000000-0005-0000-0000-0000A1460000}"/>
    <cellStyle name="Normal 5 12 2 2 3 3 6" xfId="17574" xr:uid="{00000000-0005-0000-0000-0000A2460000}"/>
    <cellStyle name="Normal 5 12 2 2 3 4" xfId="1358" xr:uid="{00000000-0005-0000-0000-0000A3460000}"/>
    <cellStyle name="Normal 5 12 2 2 3 4 2" xfId="8758" xr:uid="{00000000-0005-0000-0000-0000A4460000}"/>
    <cellStyle name="Normal 5 12 2 2 3 4 2 2" xfId="16021" xr:uid="{00000000-0005-0000-0000-0000A5460000}"/>
    <cellStyle name="Normal 5 12 2 2 3 4 2 2 2" xfId="32336" xr:uid="{00000000-0005-0000-0000-0000A6460000}"/>
    <cellStyle name="Normal 5 12 2 2 3 4 2 3" xfId="25371" xr:uid="{00000000-0005-0000-0000-0000A7460000}"/>
    <cellStyle name="Normal 5 12 2 2 3 4 3" xfId="12100" xr:uid="{00000000-0005-0000-0000-0000A8460000}"/>
    <cellStyle name="Normal 5 12 2 2 3 4 3 2" xfId="28675" xr:uid="{00000000-0005-0000-0000-0000A9460000}"/>
    <cellStyle name="Normal 5 12 2 2 3 4 4" xfId="5407" xr:uid="{00000000-0005-0000-0000-0000AA460000}"/>
    <cellStyle name="Normal 5 12 2 2 3 4 4 2" xfId="22071" xr:uid="{00000000-0005-0000-0000-0000AB460000}"/>
    <cellStyle name="Normal 5 12 2 2 3 4 5" xfId="18093" xr:uid="{00000000-0005-0000-0000-0000AC460000}"/>
    <cellStyle name="Normal 5 12 2 2 3 5" xfId="2625" xr:uid="{00000000-0005-0000-0000-0000AD460000}"/>
    <cellStyle name="Normal 5 12 2 2 3 5 2" xfId="14401" xr:uid="{00000000-0005-0000-0000-0000AE460000}"/>
    <cellStyle name="Normal 5 12 2 2 3 5 2 2" xfId="30716" xr:uid="{00000000-0005-0000-0000-0000AF460000}"/>
    <cellStyle name="Normal 5 12 2 2 3 5 3" xfId="7138" xr:uid="{00000000-0005-0000-0000-0000B0460000}"/>
    <cellStyle name="Normal 5 12 2 2 3 5 3 2" xfId="23751" xr:uid="{00000000-0005-0000-0000-0000B1460000}"/>
    <cellStyle name="Normal 5 12 2 2 3 5 4" xfId="19352" xr:uid="{00000000-0005-0000-0000-0000B2460000}"/>
    <cellStyle name="Normal 5 12 2 2 3 6" xfId="10453" xr:uid="{00000000-0005-0000-0000-0000B3460000}"/>
    <cellStyle name="Normal 5 12 2 2 3 6 2" xfId="27051" xr:uid="{00000000-0005-0000-0000-0000B4460000}"/>
    <cellStyle name="Normal 5 12 2 2 3 7" xfId="4227" xr:uid="{00000000-0005-0000-0000-0000B5460000}"/>
    <cellStyle name="Normal 5 12 2 2 3 7 2" xfId="20950" xr:uid="{00000000-0005-0000-0000-0000B6460000}"/>
    <cellStyle name="Normal 5 12 2 2 3 8" xfId="17469" xr:uid="{00000000-0005-0000-0000-0000B7460000}"/>
    <cellStyle name="Normal 5 12 2 2 4" xfId="918" xr:uid="{00000000-0005-0000-0000-0000B8460000}"/>
    <cellStyle name="Normal 5 12 2 2 4 2" xfId="1480" xr:uid="{00000000-0005-0000-0000-0000B9460000}"/>
    <cellStyle name="Normal 5 12 2 2 4 2 2" xfId="2630" xr:uid="{00000000-0005-0000-0000-0000BA460000}"/>
    <cellStyle name="Normal 5 12 2 2 4 2 2 2" xfId="9765" xr:uid="{00000000-0005-0000-0000-0000BB460000}"/>
    <cellStyle name="Normal 5 12 2 2 4 2 2 2 2" xfId="17028" xr:uid="{00000000-0005-0000-0000-0000BC460000}"/>
    <cellStyle name="Normal 5 12 2 2 4 2 2 2 2 2" xfId="33343" xr:uid="{00000000-0005-0000-0000-0000BD460000}"/>
    <cellStyle name="Normal 5 12 2 2 4 2 2 2 3" xfId="26378" xr:uid="{00000000-0005-0000-0000-0000BE460000}"/>
    <cellStyle name="Normal 5 12 2 2 4 2 2 3" xfId="13107" xr:uid="{00000000-0005-0000-0000-0000BF460000}"/>
    <cellStyle name="Normal 5 12 2 2 4 2 2 3 2" xfId="29682" xr:uid="{00000000-0005-0000-0000-0000C0460000}"/>
    <cellStyle name="Normal 5 12 2 2 4 2 2 4" xfId="6414" xr:uid="{00000000-0005-0000-0000-0000C1460000}"/>
    <cellStyle name="Normal 5 12 2 2 4 2 2 4 2" xfId="23078" xr:uid="{00000000-0005-0000-0000-0000C2460000}"/>
    <cellStyle name="Normal 5 12 2 2 4 2 2 5" xfId="19357" xr:uid="{00000000-0005-0000-0000-0000C3460000}"/>
    <cellStyle name="Normal 5 12 2 2 4 2 3" xfId="8144" xr:uid="{00000000-0005-0000-0000-0000C4460000}"/>
    <cellStyle name="Normal 5 12 2 2 4 2 3 2" xfId="15407" xr:uid="{00000000-0005-0000-0000-0000C5460000}"/>
    <cellStyle name="Normal 5 12 2 2 4 2 3 2 2" xfId="31722" xr:uid="{00000000-0005-0000-0000-0000C6460000}"/>
    <cellStyle name="Normal 5 12 2 2 4 2 3 3" xfId="24757" xr:uid="{00000000-0005-0000-0000-0000C7460000}"/>
    <cellStyle name="Normal 5 12 2 2 4 2 4" xfId="11459" xr:uid="{00000000-0005-0000-0000-0000C8460000}"/>
    <cellStyle name="Normal 5 12 2 2 4 2 4 2" xfId="28057" xr:uid="{00000000-0005-0000-0000-0000C9460000}"/>
    <cellStyle name="Normal 5 12 2 2 4 2 5" xfId="4232" xr:uid="{00000000-0005-0000-0000-0000CA460000}"/>
    <cellStyle name="Normal 5 12 2 2 4 2 5 2" xfId="20955" xr:uid="{00000000-0005-0000-0000-0000CB460000}"/>
    <cellStyle name="Normal 5 12 2 2 4 2 6" xfId="18215" xr:uid="{00000000-0005-0000-0000-0000CC460000}"/>
    <cellStyle name="Normal 5 12 2 2 4 3" xfId="2629" xr:uid="{00000000-0005-0000-0000-0000CD460000}"/>
    <cellStyle name="Normal 5 12 2 2 4 3 2" xfId="8953" xr:uid="{00000000-0005-0000-0000-0000CE460000}"/>
    <cellStyle name="Normal 5 12 2 2 4 3 2 2" xfId="16216" xr:uid="{00000000-0005-0000-0000-0000CF460000}"/>
    <cellStyle name="Normal 5 12 2 2 4 3 2 2 2" xfId="32531" xr:uid="{00000000-0005-0000-0000-0000D0460000}"/>
    <cellStyle name="Normal 5 12 2 2 4 3 2 3" xfId="25566" xr:uid="{00000000-0005-0000-0000-0000D1460000}"/>
    <cellStyle name="Normal 5 12 2 2 4 3 3" xfId="12295" xr:uid="{00000000-0005-0000-0000-0000D2460000}"/>
    <cellStyle name="Normal 5 12 2 2 4 3 3 2" xfId="28870" xr:uid="{00000000-0005-0000-0000-0000D3460000}"/>
    <cellStyle name="Normal 5 12 2 2 4 3 4" xfId="5602" xr:uid="{00000000-0005-0000-0000-0000D4460000}"/>
    <cellStyle name="Normal 5 12 2 2 4 3 4 2" xfId="22266" xr:uid="{00000000-0005-0000-0000-0000D5460000}"/>
    <cellStyle name="Normal 5 12 2 2 4 3 5" xfId="19356" xr:uid="{00000000-0005-0000-0000-0000D6460000}"/>
    <cellStyle name="Normal 5 12 2 2 4 4" xfId="7332" xr:uid="{00000000-0005-0000-0000-0000D7460000}"/>
    <cellStyle name="Normal 5 12 2 2 4 4 2" xfId="14595" xr:uid="{00000000-0005-0000-0000-0000D8460000}"/>
    <cellStyle name="Normal 5 12 2 2 4 4 2 2" xfId="30910" xr:uid="{00000000-0005-0000-0000-0000D9460000}"/>
    <cellStyle name="Normal 5 12 2 2 4 4 3" xfId="23945" xr:uid="{00000000-0005-0000-0000-0000DA460000}"/>
    <cellStyle name="Normal 5 12 2 2 4 5" xfId="10647" xr:uid="{00000000-0005-0000-0000-0000DB460000}"/>
    <cellStyle name="Normal 5 12 2 2 4 5 2" xfId="27245" xr:uid="{00000000-0005-0000-0000-0000DC460000}"/>
    <cellStyle name="Normal 5 12 2 2 4 6" xfId="4231" xr:uid="{00000000-0005-0000-0000-0000DD460000}"/>
    <cellStyle name="Normal 5 12 2 2 4 6 2" xfId="20954" xr:uid="{00000000-0005-0000-0000-0000DE460000}"/>
    <cellStyle name="Normal 5 12 2 2 4 7" xfId="17696" xr:uid="{00000000-0005-0000-0000-0000DF460000}"/>
    <cellStyle name="Normal 5 12 2 2 5" xfId="726" xr:uid="{00000000-0005-0000-0000-0000E0460000}"/>
    <cellStyle name="Normal 5 12 2 2 5 2" xfId="2631" xr:uid="{00000000-0005-0000-0000-0000E1460000}"/>
    <cellStyle name="Normal 5 12 2 2 5 2 2" xfId="9359" xr:uid="{00000000-0005-0000-0000-0000E2460000}"/>
    <cellStyle name="Normal 5 12 2 2 5 2 2 2" xfId="16622" xr:uid="{00000000-0005-0000-0000-0000E3460000}"/>
    <cellStyle name="Normal 5 12 2 2 5 2 2 2 2" xfId="32937" xr:uid="{00000000-0005-0000-0000-0000E4460000}"/>
    <cellStyle name="Normal 5 12 2 2 5 2 2 3" xfId="25972" xr:uid="{00000000-0005-0000-0000-0000E5460000}"/>
    <cellStyle name="Normal 5 12 2 2 5 2 3" xfId="12701" xr:uid="{00000000-0005-0000-0000-0000E6460000}"/>
    <cellStyle name="Normal 5 12 2 2 5 2 3 2" xfId="29276" xr:uid="{00000000-0005-0000-0000-0000E7460000}"/>
    <cellStyle name="Normal 5 12 2 2 5 2 4" xfId="6008" xr:uid="{00000000-0005-0000-0000-0000E8460000}"/>
    <cellStyle name="Normal 5 12 2 2 5 2 4 2" xfId="22672" xr:uid="{00000000-0005-0000-0000-0000E9460000}"/>
    <cellStyle name="Normal 5 12 2 2 5 2 5" xfId="19358" xr:uid="{00000000-0005-0000-0000-0000EA460000}"/>
    <cellStyle name="Normal 5 12 2 2 5 3" xfId="7738" xr:uid="{00000000-0005-0000-0000-0000EB460000}"/>
    <cellStyle name="Normal 5 12 2 2 5 3 2" xfId="15001" xr:uid="{00000000-0005-0000-0000-0000EC460000}"/>
    <cellStyle name="Normal 5 12 2 2 5 3 2 2" xfId="31316" xr:uid="{00000000-0005-0000-0000-0000ED460000}"/>
    <cellStyle name="Normal 5 12 2 2 5 3 3" xfId="24351" xr:uid="{00000000-0005-0000-0000-0000EE460000}"/>
    <cellStyle name="Normal 5 12 2 2 5 4" xfId="11053" xr:uid="{00000000-0005-0000-0000-0000EF460000}"/>
    <cellStyle name="Normal 5 12 2 2 5 4 2" xfId="27651" xr:uid="{00000000-0005-0000-0000-0000F0460000}"/>
    <cellStyle name="Normal 5 12 2 2 5 5" xfId="4233" xr:uid="{00000000-0005-0000-0000-0000F1460000}"/>
    <cellStyle name="Normal 5 12 2 2 5 5 2" xfId="20956" xr:uid="{00000000-0005-0000-0000-0000F2460000}"/>
    <cellStyle name="Normal 5 12 2 2 5 6" xfId="17539" xr:uid="{00000000-0005-0000-0000-0000F3460000}"/>
    <cellStyle name="Normal 5 12 2 2 6" xfId="1323" xr:uid="{00000000-0005-0000-0000-0000F4460000}"/>
    <cellStyle name="Normal 5 12 2 2 6 2" xfId="8541" xr:uid="{00000000-0005-0000-0000-0000F5460000}"/>
    <cellStyle name="Normal 5 12 2 2 6 2 2" xfId="15804" xr:uid="{00000000-0005-0000-0000-0000F6460000}"/>
    <cellStyle name="Normal 5 12 2 2 6 2 2 2" xfId="32119" xr:uid="{00000000-0005-0000-0000-0000F7460000}"/>
    <cellStyle name="Normal 5 12 2 2 6 2 3" xfId="25154" xr:uid="{00000000-0005-0000-0000-0000F8460000}"/>
    <cellStyle name="Normal 5 12 2 2 6 3" xfId="11883" xr:uid="{00000000-0005-0000-0000-0000F9460000}"/>
    <cellStyle name="Normal 5 12 2 2 6 3 2" xfId="28458" xr:uid="{00000000-0005-0000-0000-0000FA460000}"/>
    <cellStyle name="Normal 5 12 2 2 6 4" xfId="5190" xr:uid="{00000000-0005-0000-0000-0000FB460000}"/>
    <cellStyle name="Normal 5 12 2 2 6 4 2" xfId="21854" xr:uid="{00000000-0005-0000-0000-0000FC460000}"/>
    <cellStyle name="Normal 5 12 2 2 6 5" xfId="18058" xr:uid="{00000000-0005-0000-0000-0000FD460000}"/>
    <cellStyle name="Normal 5 12 2 2 7" xfId="2616" xr:uid="{00000000-0005-0000-0000-0000FE460000}"/>
    <cellStyle name="Normal 5 12 2 2 7 2" xfId="14185" xr:uid="{00000000-0005-0000-0000-0000FF460000}"/>
    <cellStyle name="Normal 5 12 2 2 7 2 2" xfId="30500" xr:uid="{00000000-0005-0000-0000-000000470000}"/>
    <cellStyle name="Normal 5 12 2 2 7 3" xfId="6922" xr:uid="{00000000-0005-0000-0000-000001470000}"/>
    <cellStyle name="Normal 5 12 2 2 7 3 2" xfId="23535" xr:uid="{00000000-0005-0000-0000-000002470000}"/>
    <cellStyle name="Normal 5 12 2 2 7 4" xfId="19343" xr:uid="{00000000-0005-0000-0000-000003470000}"/>
    <cellStyle name="Normal 5 12 2 2 8" xfId="10236" xr:uid="{00000000-0005-0000-0000-000004470000}"/>
    <cellStyle name="Normal 5 12 2 2 8 2" xfId="26835" xr:uid="{00000000-0005-0000-0000-000005470000}"/>
    <cellStyle name="Normal 5 12 2 2 9" xfId="4218" xr:uid="{00000000-0005-0000-0000-000006470000}"/>
    <cellStyle name="Normal 5 12 2 2 9 2" xfId="20941" xr:uid="{00000000-0005-0000-0000-000007470000}"/>
    <cellStyle name="Normal 5 12 2 3" xfId="671" xr:uid="{00000000-0005-0000-0000-000008470000}"/>
    <cellStyle name="Normal 5 12 2 3 2" xfId="1177" xr:uid="{00000000-0005-0000-0000-000009470000}"/>
    <cellStyle name="Normal 5 12 2 3 2 2" xfId="1698" xr:uid="{00000000-0005-0000-0000-00000A470000}"/>
    <cellStyle name="Normal 5 12 2 3 2 2 2" xfId="2635" xr:uid="{00000000-0005-0000-0000-00000B470000}"/>
    <cellStyle name="Normal 5 12 2 3 2 2 2 2" xfId="6592" xr:uid="{00000000-0005-0000-0000-00000C470000}"/>
    <cellStyle name="Normal 5 12 2 3 2 2 2 2 2" xfId="9943" xr:uid="{00000000-0005-0000-0000-00000D470000}"/>
    <cellStyle name="Normal 5 12 2 3 2 2 2 2 2 2" xfId="17206" xr:uid="{00000000-0005-0000-0000-00000E470000}"/>
    <cellStyle name="Normal 5 12 2 3 2 2 2 2 2 2 2" xfId="33521" xr:uid="{00000000-0005-0000-0000-00000F470000}"/>
    <cellStyle name="Normal 5 12 2 3 2 2 2 2 2 3" xfId="26556" xr:uid="{00000000-0005-0000-0000-000010470000}"/>
    <cellStyle name="Normal 5 12 2 3 2 2 2 2 3" xfId="13285" xr:uid="{00000000-0005-0000-0000-000011470000}"/>
    <cellStyle name="Normal 5 12 2 3 2 2 2 2 3 2" xfId="29860" xr:uid="{00000000-0005-0000-0000-000012470000}"/>
    <cellStyle name="Normal 5 12 2 3 2 2 2 2 4" xfId="23256" xr:uid="{00000000-0005-0000-0000-000013470000}"/>
    <cellStyle name="Normal 5 12 2 3 2 2 2 3" xfId="8322" xr:uid="{00000000-0005-0000-0000-000014470000}"/>
    <cellStyle name="Normal 5 12 2 3 2 2 2 3 2" xfId="15585" xr:uid="{00000000-0005-0000-0000-000015470000}"/>
    <cellStyle name="Normal 5 12 2 3 2 2 2 3 2 2" xfId="31900" xr:uid="{00000000-0005-0000-0000-000016470000}"/>
    <cellStyle name="Normal 5 12 2 3 2 2 2 3 3" xfId="24935" xr:uid="{00000000-0005-0000-0000-000017470000}"/>
    <cellStyle name="Normal 5 12 2 3 2 2 2 4" xfId="11637" xr:uid="{00000000-0005-0000-0000-000018470000}"/>
    <cellStyle name="Normal 5 12 2 3 2 2 2 4 2" xfId="28235" xr:uid="{00000000-0005-0000-0000-000019470000}"/>
    <cellStyle name="Normal 5 12 2 3 2 2 2 5" xfId="4237" xr:uid="{00000000-0005-0000-0000-00001A470000}"/>
    <cellStyle name="Normal 5 12 2 3 2 2 2 5 2" xfId="20960" xr:uid="{00000000-0005-0000-0000-00001B470000}"/>
    <cellStyle name="Normal 5 12 2 3 2 2 2 6" xfId="19362" xr:uid="{00000000-0005-0000-0000-00001C470000}"/>
    <cellStyle name="Normal 5 12 2 3 2 2 3" xfId="2634" xr:uid="{00000000-0005-0000-0000-00001D470000}"/>
    <cellStyle name="Normal 5 12 2 3 2 2 3 2" xfId="9167" xr:uid="{00000000-0005-0000-0000-00001E470000}"/>
    <cellStyle name="Normal 5 12 2 3 2 2 3 2 2" xfId="16430" xr:uid="{00000000-0005-0000-0000-00001F470000}"/>
    <cellStyle name="Normal 5 12 2 3 2 2 3 2 2 2" xfId="32745" xr:uid="{00000000-0005-0000-0000-000020470000}"/>
    <cellStyle name="Normal 5 12 2 3 2 2 3 2 3" xfId="25780" xr:uid="{00000000-0005-0000-0000-000021470000}"/>
    <cellStyle name="Normal 5 12 2 3 2 2 3 3" xfId="12509" xr:uid="{00000000-0005-0000-0000-000022470000}"/>
    <cellStyle name="Normal 5 12 2 3 2 2 3 3 2" xfId="29084" xr:uid="{00000000-0005-0000-0000-000023470000}"/>
    <cellStyle name="Normal 5 12 2 3 2 2 3 4" xfId="5816" xr:uid="{00000000-0005-0000-0000-000024470000}"/>
    <cellStyle name="Normal 5 12 2 3 2 2 3 4 2" xfId="22480" xr:uid="{00000000-0005-0000-0000-000025470000}"/>
    <cellStyle name="Normal 5 12 2 3 2 2 3 5" xfId="19361" xr:uid="{00000000-0005-0000-0000-000026470000}"/>
    <cellStyle name="Normal 5 12 2 3 2 2 4" xfId="7546" xr:uid="{00000000-0005-0000-0000-000027470000}"/>
    <cellStyle name="Normal 5 12 2 3 2 2 4 2" xfId="14809" xr:uid="{00000000-0005-0000-0000-000028470000}"/>
    <cellStyle name="Normal 5 12 2 3 2 2 4 2 2" xfId="31124" xr:uid="{00000000-0005-0000-0000-000029470000}"/>
    <cellStyle name="Normal 5 12 2 3 2 2 4 3" xfId="24159" xr:uid="{00000000-0005-0000-0000-00002A470000}"/>
    <cellStyle name="Normal 5 12 2 3 2 2 5" xfId="10861" xr:uid="{00000000-0005-0000-0000-00002B470000}"/>
    <cellStyle name="Normal 5 12 2 3 2 2 5 2" xfId="27459" xr:uid="{00000000-0005-0000-0000-00002C470000}"/>
    <cellStyle name="Normal 5 12 2 3 2 2 6" xfId="4236" xr:uid="{00000000-0005-0000-0000-00002D470000}"/>
    <cellStyle name="Normal 5 12 2 3 2 2 6 2" xfId="20959" xr:uid="{00000000-0005-0000-0000-00002E470000}"/>
    <cellStyle name="Normal 5 12 2 3 2 2 7" xfId="18433" xr:uid="{00000000-0005-0000-0000-00002F470000}"/>
    <cellStyle name="Normal 5 12 2 3 2 3" xfId="2636" xr:uid="{00000000-0005-0000-0000-000030470000}"/>
    <cellStyle name="Normal 5 12 2 3 2 3 2" xfId="6222" xr:uid="{00000000-0005-0000-0000-000031470000}"/>
    <cellStyle name="Normal 5 12 2 3 2 3 2 2" xfId="9573" xr:uid="{00000000-0005-0000-0000-000032470000}"/>
    <cellStyle name="Normal 5 12 2 3 2 3 2 2 2" xfId="16836" xr:uid="{00000000-0005-0000-0000-000033470000}"/>
    <cellStyle name="Normal 5 12 2 3 2 3 2 2 2 2" xfId="33151" xr:uid="{00000000-0005-0000-0000-000034470000}"/>
    <cellStyle name="Normal 5 12 2 3 2 3 2 2 3" xfId="26186" xr:uid="{00000000-0005-0000-0000-000035470000}"/>
    <cellStyle name="Normal 5 12 2 3 2 3 2 3" xfId="12915" xr:uid="{00000000-0005-0000-0000-000036470000}"/>
    <cellStyle name="Normal 5 12 2 3 2 3 2 3 2" xfId="29490" xr:uid="{00000000-0005-0000-0000-000037470000}"/>
    <cellStyle name="Normal 5 12 2 3 2 3 2 4" xfId="22886" xr:uid="{00000000-0005-0000-0000-000038470000}"/>
    <cellStyle name="Normal 5 12 2 3 2 3 3" xfId="7952" xr:uid="{00000000-0005-0000-0000-000039470000}"/>
    <cellStyle name="Normal 5 12 2 3 2 3 3 2" xfId="15215" xr:uid="{00000000-0005-0000-0000-00003A470000}"/>
    <cellStyle name="Normal 5 12 2 3 2 3 3 2 2" xfId="31530" xr:uid="{00000000-0005-0000-0000-00003B470000}"/>
    <cellStyle name="Normal 5 12 2 3 2 3 3 3" xfId="24565" xr:uid="{00000000-0005-0000-0000-00003C470000}"/>
    <cellStyle name="Normal 5 12 2 3 2 3 4" xfId="11267" xr:uid="{00000000-0005-0000-0000-00003D470000}"/>
    <cellStyle name="Normal 5 12 2 3 2 3 4 2" xfId="27865" xr:uid="{00000000-0005-0000-0000-00003E470000}"/>
    <cellStyle name="Normal 5 12 2 3 2 3 5" xfId="4238" xr:uid="{00000000-0005-0000-0000-00003F470000}"/>
    <cellStyle name="Normal 5 12 2 3 2 3 5 2" xfId="20961" xr:uid="{00000000-0005-0000-0000-000040470000}"/>
    <cellStyle name="Normal 5 12 2 3 2 3 6" xfId="19363" xr:uid="{00000000-0005-0000-0000-000041470000}"/>
    <cellStyle name="Normal 5 12 2 3 2 4" xfId="2633" xr:uid="{00000000-0005-0000-0000-000042470000}"/>
    <cellStyle name="Normal 5 12 2 3 2 4 2" xfId="8760" xr:uid="{00000000-0005-0000-0000-000043470000}"/>
    <cellStyle name="Normal 5 12 2 3 2 4 2 2" xfId="16023" xr:uid="{00000000-0005-0000-0000-000044470000}"/>
    <cellStyle name="Normal 5 12 2 3 2 4 2 2 2" xfId="32338" xr:uid="{00000000-0005-0000-0000-000045470000}"/>
    <cellStyle name="Normal 5 12 2 3 2 4 2 3" xfId="25373" xr:uid="{00000000-0005-0000-0000-000046470000}"/>
    <cellStyle name="Normal 5 12 2 3 2 4 3" xfId="12102" xr:uid="{00000000-0005-0000-0000-000047470000}"/>
    <cellStyle name="Normal 5 12 2 3 2 4 3 2" xfId="28677" xr:uid="{00000000-0005-0000-0000-000048470000}"/>
    <cellStyle name="Normal 5 12 2 3 2 4 4" xfId="5409" xr:uid="{00000000-0005-0000-0000-000049470000}"/>
    <cellStyle name="Normal 5 12 2 3 2 4 4 2" xfId="22073" xr:uid="{00000000-0005-0000-0000-00004A470000}"/>
    <cellStyle name="Normal 5 12 2 3 2 4 5" xfId="19360" xr:uid="{00000000-0005-0000-0000-00004B470000}"/>
    <cellStyle name="Normal 5 12 2 3 2 5" xfId="7140" xr:uid="{00000000-0005-0000-0000-00004C470000}"/>
    <cellStyle name="Normal 5 12 2 3 2 5 2" xfId="14403" xr:uid="{00000000-0005-0000-0000-00004D470000}"/>
    <cellStyle name="Normal 5 12 2 3 2 5 2 2" xfId="30718" xr:uid="{00000000-0005-0000-0000-00004E470000}"/>
    <cellStyle name="Normal 5 12 2 3 2 5 3" xfId="23753" xr:uid="{00000000-0005-0000-0000-00004F470000}"/>
    <cellStyle name="Normal 5 12 2 3 2 6" xfId="10455" xr:uid="{00000000-0005-0000-0000-000050470000}"/>
    <cellStyle name="Normal 5 12 2 3 2 6 2" xfId="27053" xr:uid="{00000000-0005-0000-0000-000051470000}"/>
    <cellStyle name="Normal 5 12 2 3 2 7" xfId="4235" xr:uid="{00000000-0005-0000-0000-000052470000}"/>
    <cellStyle name="Normal 5 12 2 3 2 7 2" xfId="20958" xr:uid="{00000000-0005-0000-0000-000053470000}"/>
    <cellStyle name="Normal 5 12 2 3 2 8" xfId="17914" xr:uid="{00000000-0005-0000-0000-000054470000}"/>
    <cellStyle name="Normal 5 12 2 3 3" xfId="971" xr:uid="{00000000-0005-0000-0000-000055470000}"/>
    <cellStyle name="Normal 5 12 2 3 3 2" xfId="1533" xr:uid="{00000000-0005-0000-0000-000056470000}"/>
    <cellStyle name="Normal 5 12 2 3 3 2 2" xfId="2638" xr:uid="{00000000-0005-0000-0000-000057470000}"/>
    <cellStyle name="Normal 5 12 2 3 3 2 2 2" xfId="9767" xr:uid="{00000000-0005-0000-0000-000058470000}"/>
    <cellStyle name="Normal 5 12 2 3 3 2 2 2 2" xfId="17030" xr:uid="{00000000-0005-0000-0000-000059470000}"/>
    <cellStyle name="Normal 5 12 2 3 3 2 2 2 2 2" xfId="33345" xr:uid="{00000000-0005-0000-0000-00005A470000}"/>
    <cellStyle name="Normal 5 12 2 3 3 2 2 2 3" xfId="26380" xr:uid="{00000000-0005-0000-0000-00005B470000}"/>
    <cellStyle name="Normal 5 12 2 3 3 2 2 3" xfId="13109" xr:uid="{00000000-0005-0000-0000-00005C470000}"/>
    <cellStyle name="Normal 5 12 2 3 3 2 2 3 2" xfId="29684" xr:uid="{00000000-0005-0000-0000-00005D470000}"/>
    <cellStyle name="Normal 5 12 2 3 3 2 2 4" xfId="6416" xr:uid="{00000000-0005-0000-0000-00005E470000}"/>
    <cellStyle name="Normal 5 12 2 3 3 2 2 4 2" xfId="23080" xr:uid="{00000000-0005-0000-0000-00005F470000}"/>
    <cellStyle name="Normal 5 12 2 3 3 2 2 5" xfId="19365" xr:uid="{00000000-0005-0000-0000-000060470000}"/>
    <cellStyle name="Normal 5 12 2 3 3 2 3" xfId="8146" xr:uid="{00000000-0005-0000-0000-000061470000}"/>
    <cellStyle name="Normal 5 12 2 3 3 2 3 2" xfId="15409" xr:uid="{00000000-0005-0000-0000-000062470000}"/>
    <cellStyle name="Normal 5 12 2 3 3 2 3 2 2" xfId="31724" xr:uid="{00000000-0005-0000-0000-000063470000}"/>
    <cellStyle name="Normal 5 12 2 3 3 2 3 3" xfId="24759" xr:uid="{00000000-0005-0000-0000-000064470000}"/>
    <cellStyle name="Normal 5 12 2 3 3 2 4" xfId="11461" xr:uid="{00000000-0005-0000-0000-000065470000}"/>
    <cellStyle name="Normal 5 12 2 3 3 2 4 2" xfId="28059" xr:uid="{00000000-0005-0000-0000-000066470000}"/>
    <cellStyle name="Normal 5 12 2 3 3 2 5" xfId="4240" xr:uid="{00000000-0005-0000-0000-000067470000}"/>
    <cellStyle name="Normal 5 12 2 3 3 2 5 2" xfId="20963" xr:uid="{00000000-0005-0000-0000-000068470000}"/>
    <cellStyle name="Normal 5 12 2 3 3 2 6" xfId="18268" xr:uid="{00000000-0005-0000-0000-000069470000}"/>
    <cellStyle name="Normal 5 12 2 3 3 3" xfId="2637" xr:uid="{00000000-0005-0000-0000-00006A470000}"/>
    <cellStyle name="Normal 5 12 2 3 3 3 2" xfId="8955" xr:uid="{00000000-0005-0000-0000-00006B470000}"/>
    <cellStyle name="Normal 5 12 2 3 3 3 2 2" xfId="16218" xr:uid="{00000000-0005-0000-0000-00006C470000}"/>
    <cellStyle name="Normal 5 12 2 3 3 3 2 2 2" xfId="32533" xr:uid="{00000000-0005-0000-0000-00006D470000}"/>
    <cellStyle name="Normal 5 12 2 3 3 3 2 3" xfId="25568" xr:uid="{00000000-0005-0000-0000-00006E470000}"/>
    <cellStyle name="Normal 5 12 2 3 3 3 3" xfId="12297" xr:uid="{00000000-0005-0000-0000-00006F470000}"/>
    <cellStyle name="Normal 5 12 2 3 3 3 3 2" xfId="28872" xr:uid="{00000000-0005-0000-0000-000070470000}"/>
    <cellStyle name="Normal 5 12 2 3 3 3 4" xfId="5604" xr:uid="{00000000-0005-0000-0000-000071470000}"/>
    <cellStyle name="Normal 5 12 2 3 3 3 4 2" xfId="22268" xr:uid="{00000000-0005-0000-0000-000072470000}"/>
    <cellStyle name="Normal 5 12 2 3 3 3 5" xfId="19364" xr:uid="{00000000-0005-0000-0000-000073470000}"/>
    <cellStyle name="Normal 5 12 2 3 3 4" xfId="7334" xr:uid="{00000000-0005-0000-0000-000074470000}"/>
    <cellStyle name="Normal 5 12 2 3 3 4 2" xfId="14597" xr:uid="{00000000-0005-0000-0000-000075470000}"/>
    <cellStyle name="Normal 5 12 2 3 3 4 2 2" xfId="30912" xr:uid="{00000000-0005-0000-0000-000076470000}"/>
    <cellStyle name="Normal 5 12 2 3 3 4 3" xfId="23947" xr:uid="{00000000-0005-0000-0000-000077470000}"/>
    <cellStyle name="Normal 5 12 2 3 3 5" xfId="10649" xr:uid="{00000000-0005-0000-0000-000078470000}"/>
    <cellStyle name="Normal 5 12 2 3 3 5 2" xfId="27247" xr:uid="{00000000-0005-0000-0000-000079470000}"/>
    <cellStyle name="Normal 5 12 2 3 3 6" xfId="4239" xr:uid="{00000000-0005-0000-0000-00007A470000}"/>
    <cellStyle name="Normal 5 12 2 3 3 6 2" xfId="20962" xr:uid="{00000000-0005-0000-0000-00007B470000}"/>
    <cellStyle name="Normal 5 12 2 3 3 7" xfId="17749" xr:uid="{00000000-0005-0000-0000-00007C470000}"/>
    <cellStyle name="Normal 5 12 2 3 4" xfId="779" xr:uid="{00000000-0005-0000-0000-00007D470000}"/>
    <cellStyle name="Normal 5 12 2 3 4 2" xfId="2639" xr:uid="{00000000-0005-0000-0000-00007E470000}"/>
    <cellStyle name="Normal 5 12 2 3 4 2 2" xfId="9361" xr:uid="{00000000-0005-0000-0000-00007F470000}"/>
    <cellStyle name="Normal 5 12 2 3 4 2 2 2" xfId="16624" xr:uid="{00000000-0005-0000-0000-000080470000}"/>
    <cellStyle name="Normal 5 12 2 3 4 2 2 2 2" xfId="32939" xr:uid="{00000000-0005-0000-0000-000081470000}"/>
    <cellStyle name="Normal 5 12 2 3 4 2 2 3" xfId="25974" xr:uid="{00000000-0005-0000-0000-000082470000}"/>
    <cellStyle name="Normal 5 12 2 3 4 2 3" xfId="12703" xr:uid="{00000000-0005-0000-0000-000083470000}"/>
    <cellStyle name="Normal 5 12 2 3 4 2 3 2" xfId="29278" xr:uid="{00000000-0005-0000-0000-000084470000}"/>
    <cellStyle name="Normal 5 12 2 3 4 2 4" xfId="6010" xr:uid="{00000000-0005-0000-0000-000085470000}"/>
    <cellStyle name="Normal 5 12 2 3 4 2 4 2" xfId="22674" xr:uid="{00000000-0005-0000-0000-000086470000}"/>
    <cellStyle name="Normal 5 12 2 3 4 2 5" xfId="19366" xr:uid="{00000000-0005-0000-0000-000087470000}"/>
    <cellStyle name="Normal 5 12 2 3 4 3" xfId="7740" xr:uid="{00000000-0005-0000-0000-000088470000}"/>
    <cellStyle name="Normal 5 12 2 3 4 3 2" xfId="15003" xr:uid="{00000000-0005-0000-0000-000089470000}"/>
    <cellStyle name="Normal 5 12 2 3 4 3 2 2" xfId="31318" xr:uid="{00000000-0005-0000-0000-00008A470000}"/>
    <cellStyle name="Normal 5 12 2 3 4 3 3" xfId="24353" xr:uid="{00000000-0005-0000-0000-00008B470000}"/>
    <cellStyle name="Normal 5 12 2 3 4 4" xfId="11055" xr:uid="{00000000-0005-0000-0000-00008C470000}"/>
    <cellStyle name="Normal 5 12 2 3 4 4 2" xfId="27653" xr:uid="{00000000-0005-0000-0000-00008D470000}"/>
    <cellStyle name="Normal 5 12 2 3 4 5" xfId="4241" xr:uid="{00000000-0005-0000-0000-00008E470000}"/>
    <cellStyle name="Normal 5 12 2 3 4 5 2" xfId="20964" xr:uid="{00000000-0005-0000-0000-00008F470000}"/>
    <cellStyle name="Normal 5 12 2 3 4 6" xfId="17592" xr:uid="{00000000-0005-0000-0000-000090470000}"/>
    <cellStyle name="Normal 5 12 2 3 5" xfId="1376" xr:uid="{00000000-0005-0000-0000-000091470000}"/>
    <cellStyle name="Normal 5 12 2 3 5 2" xfId="8594" xr:uid="{00000000-0005-0000-0000-000092470000}"/>
    <cellStyle name="Normal 5 12 2 3 5 2 2" xfId="15857" xr:uid="{00000000-0005-0000-0000-000093470000}"/>
    <cellStyle name="Normal 5 12 2 3 5 2 2 2" xfId="32172" xr:uid="{00000000-0005-0000-0000-000094470000}"/>
    <cellStyle name="Normal 5 12 2 3 5 2 3" xfId="25207" xr:uid="{00000000-0005-0000-0000-000095470000}"/>
    <cellStyle name="Normal 5 12 2 3 5 3" xfId="11936" xr:uid="{00000000-0005-0000-0000-000096470000}"/>
    <cellStyle name="Normal 5 12 2 3 5 3 2" xfId="28511" xr:uid="{00000000-0005-0000-0000-000097470000}"/>
    <cellStyle name="Normal 5 12 2 3 5 4" xfId="5243" xr:uid="{00000000-0005-0000-0000-000098470000}"/>
    <cellStyle name="Normal 5 12 2 3 5 4 2" xfId="21907" xr:uid="{00000000-0005-0000-0000-000099470000}"/>
    <cellStyle name="Normal 5 12 2 3 5 5" xfId="18111" xr:uid="{00000000-0005-0000-0000-00009A470000}"/>
    <cellStyle name="Normal 5 12 2 3 6" xfId="2632" xr:uid="{00000000-0005-0000-0000-00009B470000}"/>
    <cellStyle name="Normal 5 12 2 3 6 2" xfId="14238" xr:uid="{00000000-0005-0000-0000-00009C470000}"/>
    <cellStyle name="Normal 5 12 2 3 6 2 2" xfId="30553" xr:uid="{00000000-0005-0000-0000-00009D470000}"/>
    <cellStyle name="Normal 5 12 2 3 6 3" xfId="6975" xr:uid="{00000000-0005-0000-0000-00009E470000}"/>
    <cellStyle name="Normal 5 12 2 3 6 3 2" xfId="23588" xr:uid="{00000000-0005-0000-0000-00009F470000}"/>
    <cellStyle name="Normal 5 12 2 3 6 4" xfId="19359" xr:uid="{00000000-0005-0000-0000-0000A0470000}"/>
    <cellStyle name="Normal 5 12 2 3 7" xfId="10289" xr:uid="{00000000-0005-0000-0000-0000A1470000}"/>
    <cellStyle name="Normal 5 12 2 3 7 2" xfId="26888" xr:uid="{00000000-0005-0000-0000-0000A2470000}"/>
    <cellStyle name="Normal 5 12 2 3 8" xfId="4234" xr:uid="{00000000-0005-0000-0000-0000A3470000}"/>
    <cellStyle name="Normal 5 12 2 3 8 2" xfId="20957" xr:uid="{00000000-0005-0000-0000-0000A4470000}"/>
    <cellStyle name="Normal 5 12 2 3 9" xfId="17487" xr:uid="{00000000-0005-0000-0000-0000A5470000}"/>
    <cellStyle name="Normal 5 12 2 4" xfId="633" xr:uid="{00000000-0005-0000-0000-0000A6470000}"/>
    <cellStyle name="Normal 5 12 2 4 2" xfId="1174" xr:uid="{00000000-0005-0000-0000-0000A7470000}"/>
    <cellStyle name="Normal 5 12 2 4 2 2" xfId="1695" xr:uid="{00000000-0005-0000-0000-0000A8470000}"/>
    <cellStyle name="Normal 5 12 2 4 2 2 2" xfId="2642" xr:uid="{00000000-0005-0000-0000-0000A9470000}"/>
    <cellStyle name="Normal 5 12 2 4 2 2 2 2" xfId="9940" xr:uid="{00000000-0005-0000-0000-0000AA470000}"/>
    <cellStyle name="Normal 5 12 2 4 2 2 2 2 2" xfId="17203" xr:uid="{00000000-0005-0000-0000-0000AB470000}"/>
    <cellStyle name="Normal 5 12 2 4 2 2 2 2 2 2" xfId="33518" xr:uid="{00000000-0005-0000-0000-0000AC470000}"/>
    <cellStyle name="Normal 5 12 2 4 2 2 2 2 3" xfId="26553" xr:uid="{00000000-0005-0000-0000-0000AD470000}"/>
    <cellStyle name="Normal 5 12 2 4 2 2 2 3" xfId="13282" xr:uid="{00000000-0005-0000-0000-0000AE470000}"/>
    <cellStyle name="Normal 5 12 2 4 2 2 2 3 2" xfId="29857" xr:uid="{00000000-0005-0000-0000-0000AF470000}"/>
    <cellStyle name="Normal 5 12 2 4 2 2 2 4" xfId="6589" xr:uid="{00000000-0005-0000-0000-0000B0470000}"/>
    <cellStyle name="Normal 5 12 2 4 2 2 2 4 2" xfId="23253" xr:uid="{00000000-0005-0000-0000-0000B1470000}"/>
    <cellStyle name="Normal 5 12 2 4 2 2 2 5" xfId="19369" xr:uid="{00000000-0005-0000-0000-0000B2470000}"/>
    <cellStyle name="Normal 5 12 2 4 2 2 3" xfId="8319" xr:uid="{00000000-0005-0000-0000-0000B3470000}"/>
    <cellStyle name="Normal 5 12 2 4 2 2 3 2" xfId="15582" xr:uid="{00000000-0005-0000-0000-0000B4470000}"/>
    <cellStyle name="Normal 5 12 2 4 2 2 3 2 2" xfId="31897" xr:uid="{00000000-0005-0000-0000-0000B5470000}"/>
    <cellStyle name="Normal 5 12 2 4 2 2 3 3" xfId="24932" xr:uid="{00000000-0005-0000-0000-0000B6470000}"/>
    <cellStyle name="Normal 5 12 2 4 2 2 4" xfId="11634" xr:uid="{00000000-0005-0000-0000-0000B7470000}"/>
    <cellStyle name="Normal 5 12 2 4 2 2 4 2" xfId="28232" xr:uid="{00000000-0005-0000-0000-0000B8470000}"/>
    <cellStyle name="Normal 5 12 2 4 2 2 5" xfId="4244" xr:uid="{00000000-0005-0000-0000-0000B9470000}"/>
    <cellStyle name="Normal 5 12 2 4 2 2 5 2" xfId="20967" xr:uid="{00000000-0005-0000-0000-0000BA470000}"/>
    <cellStyle name="Normal 5 12 2 4 2 2 6" xfId="18430" xr:uid="{00000000-0005-0000-0000-0000BB470000}"/>
    <cellStyle name="Normal 5 12 2 4 2 3" xfId="2641" xr:uid="{00000000-0005-0000-0000-0000BC470000}"/>
    <cellStyle name="Normal 5 12 2 4 2 3 2" xfId="9164" xr:uid="{00000000-0005-0000-0000-0000BD470000}"/>
    <cellStyle name="Normal 5 12 2 4 2 3 2 2" xfId="16427" xr:uid="{00000000-0005-0000-0000-0000BE470000}"/>
    <cellStyle name="Normal 5 12 2 4 2 3 2 2 2" xfId="32742" xr:uid="{00000000-0005-0000-0000-0000BF470000}"/>
    <cellStyle name="Normal 5 12 2 4 2 3 2 3" xfId="25777" xr:uid="{00000000-0005-0000-0000-0000C0470000}"/>
    <cellStyle name="Normal 5 12 2 4 2 3 3" xfId="12506" xr:uid="{00000000-0005-0000-0000-0000C1470000}"/>
    <cellStyle name="Normal 5 12 2 4 2 3 3 2" xfId="29081" xr:uid="{00000000-0005-0000-0000-0000C2470000}"/>
    <cellStyle name="Normal 5 12 2 4 2 3 4" xfId="5813" xr:uid="{00000000-0005-0000-0000-0000C3470000}"/>
    <cellStyle name="Normal 5 12 2 4 2 3 4 2" xfId="22477" xr:uid="{00000000-0005-0000-0000-0000C4470000}"/>
    <cellStyle name="Normal 5 12 2 4 2 3 5" xfId="19368" xr:uid="{00000000-0005-0000-0000-0000C5470000}"/>
    <cellStyle name="Normal 5 12 2 4 2 4" xfId="7543" xr:uid="{00000000-0005-0000-0000-0000C6470000}"/>
    <cellStyle name="Normal 5 12 2 4 2 4 2" xfId="14806" xr:uid="{00000000-0005-0000-0000-0000C7470000}"/>
    <cellStyle name="Normal 5 12 2 4 2 4 2 2" xfId="31121" xr:uid="{00000000-0005-0000-0000-0000C8470000}"/>
    <cellStyle name="Normal 5 12 2 4 2 4 3" xfId="24156" xr:uid="{00000000-0005-0000-0000-0000C9470000}"/>
    <cellStyle name="Normal 5 12 2 4 2 5" xfId="10858" xr:uid="{00000000-0005-0000-0000-0000CA470000}"/>
    <cellStyle name="Normal 5 12 2 4 2 5 2" xfId="27456" xr:uid="{00000000-0005-0000-0000-0000CB470000}"/>
    <cellStyle name="Normal 5 12 2 4 2 6" xfId="4243" xr:uid="{00000000-0005-0000-0000-0000CC470000}"/>
    <cellStyle name="Normal 5 12 2 4 2 6 2" xfId="20966" xr:uid="{00000000-0005-0000-0000-0000CD470000}"/>
    <cellStyle name="Normal 5 12 2 4 2 7" xfId="17911" xr:uid="{00000000-0005-0000-0000-0000CE470000}"/>
    <cellStyle name="Normal 5 12 2 4 3" xfId="744" xr:uid="{00000000-0005-0000-0000-0000CF470000}"/>
    <cellStyle name="Normal 5 12 2 4 3 2" xfId="2643" xr:uid="{00000000-0005-0000-0000-0000D0470000}"/>
    <cellStyle name="Normal 5 12 2 4 3 2 2" xfId="9570" xr:uid="{00000000-0005-0000-0000-0000D1470000}"/>
    <cellStyle name="Normal 5 12 2 4 3 2 2 2" xfId="16833" xr:uid="{00000000-0005-0000-0000-0000D2470000}"/>
    <cellStyle name="Normal 5 12 2 4 3 2 2 2 2" xfId="33148" xr:uid="{00000000-0005-0000-0000-0000D3470000}"/>
    <cellStyle name="Normal 5 12 2 4 3 2 2 3" xfId="26183" xr:uid="{00000000-0005-0000-0000-0000D4470000}"/>
    <cellStyle name="Normal 5 12 2 4 3 2 3" xfId="12912" xr:uid="{00000000-0005-0000-0000-0000D5470000}"/>
    <cellStyle name="Normal 5 12 2 4 3 2 3 2" xfId="29487" xr:uid="{00000000-0005-0000-0000-0000D6470000}"/>
    <cellStyle name="Normal 5 12 2 4 3 2 4" xfId="6219" xr:uid="{00000000-0005-0000-0000-0000D7470000}"/>
    <cellStyle name="Normal 5 12 2 4 3 2 4 2" xfId="22883" xr:uid="{00000000-0005-0000-0000-0000D8470000}"/>
    <cellStyle name="Normal 5 12 2 4 3 2 5" xfId="19370" xr:uid="{00000000-0005-0000-0000-0000D9470000}"/>
    <cellStyle name="Normal 5 12 2 4 3 3" xfId="7949" xr:uid="{00000000-0005-0000-0000-0000DA470000}"/>
    <cellStyle name="Normal 5 12 2 4 3 3 2" xfId="15212" xr:uid="{00000000-0005-0000-0000-0000DB470000}"/>
    <cellStyle name="Normal 5 12 2 4 3 3 2 2" xfId="31527" xr:uid="{00000000-0005-0000-0000-0000DC470000}"/>
    <cellStyle name="Normal 5 12 2 4 3 3 3" xfId="24562" xr:uid="{00000000-0005-0000-0000-0000DD470000}"/>
    <cellStyle name="Normal 5 12 2 4 3 4" xfId="11264" xr:uid="{00000000-0005-0000-0000-0000DE470000}"/>
    <cellStyle name="Normal 5 12 2 4 3 4 2" xfId="27862" xr:uid="{00000000-0005-0000-0000-0000DF470000}"/>
    <cellStyle name="Normal 5 12 2 4 3 5" xfId="4245" xr:uid="{00000000-0005-0000-0000-0000E0470000}"/>
    <cellStyle name="Normal 5 12 2 4 3 5 2" xfId="20968" xr:uid="{00000000-0005-0000-0000-0000E1470000}"/>
    <cellStyle name="Normal 5 12 2 4 3 6" xfId="17557" xr:uid="{00000000-0005-0000-0000-0000E2470000}"/>
    <cellStyle name="Normal 5 12 2 4 4" xfId="1341" xr:uid="{00000000-0005-0000-0000-0000E3470000}"/>
    <cellStyle name="Normal 5 12 2 4 4 2" xfId="8757" xr:uid="{00000000-0005-0000-0000-0000E4470000}"/>
    <cellStyle name="Normal 5 12 2 4 4 2 2" xfId="16020" xr:uid="{00000000-0005-0000-0000-0000E5470000}"/>
    <cellStyle name="Normal 5 12 2 4 4 2 2 2" xfId="32335" xr:uid="{00000000-0005-0000-0000-0000E6470000}"/>
    <cellStyle name="Normal 5 12 2 4 4 2 3" xfId="25370" xr:uid="{00000000-0005-0000-0000-0000E7470000}"/>
    <cellStyle name="Normal 5 12 2 4 4 3" xfId="12099" xr:uid="{00000000-0005-0000-0000-0000E8470000}"/>
    <cellStyle name="Normal 5 12 2 4 4 3 2" xfId="28674" xr:uid="{00000000-0005-0000-0000-0000E9470000}"/>
    <cellStyle name="Normal 5 12 2 4 4 4" xfId="5406" xr:uid="{00000000-0005-0000-0000-0000EA470000}"/>
    <cellStyle name="Normal 5 12 2 4 4 4 2" xfId="22070" xr:uid="{00000000-0005-0000-0000-0000EB470000}"/>
    <cellStyle name="Normal 5 12 2 4 4 5" xfId="18076" xr:uid="{00000000-0005-0000-0000-0000EC470000}"/>
    <cellStyle name="Normal 5 12 2 4 5" xfId="2640" xr:uid="{00000000-0005-0000-0000-0000ED470000}"/>
    <cellStyle name="Normal 5 12 2 4 5 2" xfId="14400" xr:uid="{00000000-0005-0000-0000-0000EE470000}"/>
    <cellStyle name="Normal 5 12 2 4 5 2 2" xfId="30715" xr:uid="{00000000-0005-0000-0000-0000EF470000}"/>
    <cellStyle name="Normal 5 12 2 4 5 3" xfId="7137" xr:uid="{00000000-0005-0000-0000-0000F0470000}"/>
    <cellStyle name="Normal 5 12 2 4 5 3 2" xfId="23750" xr:uid="{00000000-0005-0000-0000-0000F1470000}"/>
    <cellStyle name="Normal 5 12 2 4 5 4" xfId="19367" xr:uid="{00000000-0005-0000-0000-0000F2470000}"/>
    <cellStyle name="Normal 5 12 2 4 6" xfId="10452" xr:uid="{00000000-0005-0000-0000-0000F3470000}"/>
    <cellStyle name="Normal 5 12 2 4 6 2" xfId="27050" xr:uid="{00000000-0005-0000-0000-0000F4470000}"/>
    <cellStyle name="Normal 5 12 2 4 7" xfId="4242" xr:uid="{00000000-0005-0000-0000-0000F5470000}"/>
    <cellStyle name="Normal 5 12 2 4 7 2" xfId="20965" xr:uid="{00000000-0005-0000-0000-0000F6470000}"/>
    <cellStyle name="Normal 5 12 2 4 8" xfId="17452" xr:uid="{00000000-0005-0000-0000-0000F7470000}"/>
    <cellStyle name="Normal 5 12 2 5" xfId="854" xr:uid="{00000000-0005-0000-0000-0000F8470000}"/>
    <cellStyle name="Normal 5 12 2 5 2" xfId="1423" xr:uid="{00000000-0005-0000-0000-0000F9470000}"/>
    <cellStyle name="Normal 5 12 2 5 2 2" xfId="2645" xr:uid="{00000000-0005-0000-0000-0000FA470000}"/>
    <cellStyle name="Normal 5 12 2 5 2 2 2" xfId="9764" xr:uid="{00000000-0005-0000-0000-0000FB470000}"/>
    <cellStyle name="Normal 5 12 2 5 2 2 2 2" xfId="17027" xr:uid="{00000000-0005-0000-0000-0000FC470000}"/>
    <cellStyle name="Normal 5 12 2 5 2 2 2 2 2" xfId="33342" xr:uid="{00000000-0005-0000-0000-0000FD470000}"/>
    <cellStyle name="Normal 5 12 2 5 2 2 2 3" xfId="26377" xr:uid="{00000000-0005-0000-0000-0000FE470000}"/>
    <cellStyle name="Normal 5 12 2 5 2 2 3" xfId="13106" xr:uid="{00000000-0005-0000-0000-0000FF470000}"/>
    <cellStyle name="Normal 5 12 2 5 2 2 3 2" xfId="29681" xr:uid="{00000000-0005-0000-0000-000000480000}"/>
    <cellStyle name="Normal 5 12 2 5 2 2 4" xfId="6413" xr:uid="{00000000-0005-0000-0000-000001480000}"/>
    <cellStyle name="Normal 5 12 2 5 2 2 4 2" xfId="23077" xr:uid="{00000000-0005-0000-0000-000002480000}"/>
    <cellStyle name="Normal 5 12 2 5 2 2 5" xfId="19372" xr:uid="{00000000-0005-0000-0000-000003480000}"/>
    <cellStyle name="Normal 5 12 2 5 2 3" xfId="8143" xr:uid="{00000000-0005-0000-0000-000004480000}"/>
    <cellStyle name="Normal 5 12 2 5 2 3 2" xfId="15406" xr:uid="{00000000-0005-0000-0000-000005480000}"/>
    <cellStyle name="Normal 5 12 2 5 2 3 2 2" xfId="31721" xr:uid="{00000000-0005-0000-0000-000006480000}"/>
    <cellStyle name="Normal 5 12 2 5 2 3 3" xfId="24756" xr:uid="{00000000-0005-0000-0000-000007480000}"/>
    <cellStyle name="Normal 5 12 2 5 2 4" xfId="11458" xr:uid="{00000000-0005-0000-0000-000008480000}"/>
    <cellStyle name="Normal 5 12 2 5 2 4 2" xfId="28056" xr:uid="{00000000-0005-0000-0000-000009480000}"/>
    <cellStyle name="Normal 5 12 2 5 2 5" xfId="4247" xr:uid="{00000000-0005-0000-0000-00000A480000}"/>
    <cellStyle name="Normal 5 12 2 5 2 5 2" xfId="20970" xr:uid="{00000000-0005-0000-0000-00000B480000}"/>
    <cellStyle name="Normal 5 12 2 5 2 6" xfId="18158" xr:uid="{00000000-0005-0000-0000-00000C480000}"/>
    <cellStyle name="Normal 5 12 2 5 3" xfId="2644" xr:uid="{00000000-0005-0000-0000-00000D480000}"/>
    <cellStyle name="Normal 5 12 2 5 3 2" xfId="8952" xr:uid="{00000000-0005-0000-0000-00000E480000}"/>
    <cellStyle name="Normal 5 12 2 5 3 2 2" xfId="16215" xr:uid="{00000000-0005-0000-0000-00000F480000}"/>
    <cellStyle name="Normal 5 12 2 5 3 2 2 2" xfId="32530" xr:uid="{00000000-0005-0000-0000-000010480000}"/>
    <cellStyle name="Normal 5 12 2 5 3 2 3" xfId="25565" xr:uid="{00000000-0005-0000-0000-000011480000}"/>
    <cellStyle name="Normal 5 12 2 5 3 3" xfId="12294" xr:uid="{00000000-0005-0000-0000-000012480000}"/>
    <cellStyle name="Normal 5 12 2 5 3 3 2" xfId="28869" xr:uid="{00000000-0005-0000-0000-000013480000}"/>
    <cellStyle name="Normal 5 12 2 5 3 4" xfId="5601" xr:uid="{00000000-0005-0000-0000-000014480000}"/>
    <cellStyle name="Normal 5 12 2 5 3 4 2" xfId="22265" xr:uid="{00000000-0005-0000-0000-000015480000}"/>
    <cellStyle name="Normal 5 12 2 5 3 5" xfId="19371" xr:uid="{00000000-0005-0000-0000-000016480000}"/>
    <cellStyle name="Normal 5 12 2 5 4" xfId="7331" xr:uid="{00000000-0005-0000-0000-000017480000}"/>
    <cellStyle name="Normal 5 12 2 5 4 2" xfId="14594" xr:uid="{00000000-0005-0000-0000-000018480000}"/>
    <cellStyle name="Normal 5 12 2 5 4 2 2" xfId="30909" xr:uid="{00000000-0005-0000-0000-000019480000}"/>
    <cellStyle name="Normal 5 12 2 5 4 3" xfId="23944" xr:uid="{00000000-0005-0000-0000-00001A480000}"/>
    <cellStyle name="Normal 5 12 2 5 5" xfId="10646" xr:uid="{00000000-0005-0000-0000-00001B480000}"/>
    <cellStyle name="Normal 5 12 2 5 5 2" xfId="27244" xr:uid="{00000000-0005-0000-0000-00001C480000}"/>
    <cellStyle name="Normal 5 12 2 5 6" xfId="4246" xr:uid="{00000000-0005-0000-0000-00001D480000}"/>
    <cellStyle name="Normal 5 12 2 5 6 2" xfId="20969" xr:uid="{00000000-0005-0000-0000-00001E480000}"/>
    <cellStyle name="Normal 5 12 2 5 7" xfId="17639" xr:uid="{00000000-0005-0000-0000-00001F480000}"/>
    <cellStyle name="Normal 5 12 2 6" xfId="709" xr:uid="{00000000-0005-0000-0000-000020480000}"/>
    <cellStyle name="Normal 5 12 2 6 2" xfId="2646" xr:uid="{00000000-0005-0000-0000-000021480000}"/>
    <cellStyle name="Normal 5 12 2 6 2 2" xfId="9358" xr:uid="{00000000-0005-0000-0000-000022480000}"/>
    <cellStyle name="Normal 5 12 2 6 2 2 2" xfId="16621" xr:uid="{00000000-0005-0000-0000-000023480000}"/>
    <cellStyle name="Normal 5 12 2 6 2 2 2 2" xfId="32936" xr:uid="{00000000-0005-0000-0000-000024480000}"/>
    <cellStyle name="Normal 5 12 2 6 2 2 3" xfId="25971" xr:uid="{00000000-0005-0000-0000-000025480000}"/>
    <cellStyle name="Normal 5 12 2 6 2 3" xfId="12700" xr:uid="{00000000-0005-0000-0000-000026480000}"/>
    <cellStyle name="Normal 5 12 2 6 2 3 2" xfId="29275" xr:uid="{00000000-0005-0000-0000-000027480000}"/>
    <cellStyle name="Normal 5 12 2 6 2 4" xfId="6007" xr:uid="{00000000-0005-0000-0000-000028480000}"/>
    <cellStyle name="Normal 5 12 2 6 2 4 2" xfId="22671" xr:uid="{00000000-0005-0000-0000-000029480000}"/>
    <cellStyle name="Normal 5 12 2 6 2 5" xfId="19373" xr:uid="{00000000-0005-0000-0000-00002A480000}"/>
    <cellStyle name="Normal 5 12 2 6 3" xfId="7737" xr:uid="{00000000-0005-0000-0000-00002B480000}"/>
    <cellStyle name="Normal 5 12 2 6 3 2" xfId="15000" xr:uid="{00000000-0005-0000-0000-00002C480000}"/>
    <cellStyle name="Normal 5 12 2 6 3 2 2" xfId="31315" xr:uid="{00000000-0005-0000-0000-00002D480000}"/>
    <cellStyle name="Normal 5 12 2 6 3 3" xfId="24350" xr:uid="{00000000-0005-0000-0000-00002E480000}"/>
    <cellStyle name="Normal 5 12 2 6 4" xfId="11052" xr:uid="{00000000-0005-0000-0000-00002F480000}"/>
    <cellStyle name="Normal 5 12 2 6 4 2" xfId="27650" xr:uid="{00000000-0005-0000-0000-000030480000}"/>
    <cellStyle name="Normal 5 12 2 6 5" xfId="4248" xr:uid="{00000000-0005-0000-0000-000031480000}"/>
    <cellStyle name="Normal 5 12 2 6 5 2" xfId="20971" xr:uid="{00000000-0005-0000-0000-000032480000}"/>
    <cellStyle name="Normal 5 12 2 6 6" xfId="17522" xr:uid="{00000000-0005-0000-0000-000033480000}"/>
    <cellStyle name="Normal 5 12 2 7" xfId="1306" xr:uid="{00000000-0005-0000-0000-000034480000}"/>
    <cellStyle name="Normal 5 12 2 7 2" xfId="8488" xr:uid="{00000000-0005-0000-0000-000035480000}"/>
    <cellStyle name="Normal 5 12 2 7 2 2" xfId="15751" xr:uid="{00000000-0005-0000-0000-000036480000}"/>
    <cellStyle name="Normal 5 12 2 7 2 2 2" xfId="32066" xr:uid="{00000000-0005-0000-0000-000037480000}"/>
    <cellStyle name="Normal 5 12 2 7 2 3" xfId="25101" xr:uid="{00000000-0005-0000-0000-000038480000}"/>
    <cellStyle name="Normal 5 12 2 7 3" xfId="11829" xr:uid="{00000000-0005-0000-0000-000039480000}"/>
    <cellStyle name="Normal 5 12 2 7 3 2" xfId="28405" xr:uid="{00000000-0005-0000-0000-00003A480000}"/>
    <cellStyle name="Normal 5 12 2 7 4" xfId="5135" xr:uid="{00000000-0005-0000-0000-00003B480000}"/>
    <cellStyle name="Normal 5 12 2 7 4 2" xfId="21801" xr:uid="{00000000-0005-0000-0000-00003C480000}"/>
    <cellStyle name="Normal 5 12 2 7 5" xfId="18041" xr:uid="{00000000-0005-0000-0000-00003D480000}"/>
    <cellStyle name="Normal 5 12 2 8" xfId="2615" xr:uid="{00000000-0005-0000-0000-00003E480000}"/>
    <cellStyle name="Normal 5 12 2 8 2" xfId="14132" xr:uid="{00000000-0005-0000-0000-00003F480000}"/>
    <cellStyle name="Normal 5 12 2 8 2 2" xfId="30447" xr:uid="{00000000-0005-0000-0000-000040480000}"/>
    <cellStyle name="Normal 5 12 2 8 3" xfId="6869" xr:uid="{00000000-0005-0000-0000-000041480000}"/>
    <cellStyle name="Normal 5 12 2 8 3 2" xfId="23482" xr:uid="{00000000-0005-0000-0000-000042480000}"/>
    <cellStyle name="Normal 5 12 2 8 4" xfId="19342" xr:uid="{00000000-0005-0000-0000-000043480000}"/>
    <cellStyle name="Normal 5 12 2 9" xfId="10182" xr:uid="{00000000-0005-0000-0000-000044480000}"/>
    <cellStyle name="Normal 5 12 2 9 2" xfId="26782" xr:uid="{00000000-0005-0000-0000-000045480000}"/>
    <cellStyle name="Normal 5 12 3" xfId="903" xr:uid="{00000000-0005-0000-0000-000046480000}"/>
    <cellStyle name="Normal 5 12 3 10" xfId="17681" xr:uid="{00000000-0005-0000-0000-000047480000}"/>
    <cellStyle name="Normal 5 12 3 2" xfId="1010" xr:uid="{00000000-0005-0000-0000-000048480000}"/>
    <cellStyle name="Normal 5 12 3 2 2" xfId="1179" xr:uid="{00000000-0005-0000-0000-000049480000}"/>
    <cellStyle name="Normal 5 12 3 2 2 2" xfId="1700" xr:uid="{00000000-0005-0000-0000-00004A480000}"/>
    <cellStyle name="Normal 5 12 3 2 2 2 2" xfId="2651" xr:uid="{00000000-0005-0000-0000-00004B480000}"/>
    <cellStyle name="Normal 5 12 3 2 2 2 2 2" xfId="6594" xr:uid="{00000000-0005-0000-0000-00004C480000}"/>
    <cellStyle name="Normal 5 12 3 2 2 2 2 2 2" xfId="9945" xr:uid="{00000000-0005-0000-0000-00004D480000}"/>
    <cellStyle name="Normal 5 12 3 2 2 2 2 2 2 2" xfId="17208" xr:uid="{00000000-0005-0000-0000-00004E480000}"/>
    <cellStyle name="Normal 5 12 3 2 2 2 2 2 2 2 2" xfId="33523" xr:uid="{00000000-0005-0000-0000-00004F480000}"/>
    <cellStyle name="Normal 5 12 3 2 2 2 2 2 2 3" xfId="26558" xr:uid="{00000000-0005-0000-0000-000050480000}"/>
    <cellStyle name="Normal 5 12 3 2 2 2 2 2 3" xfId="13287" xr:uid="{00000000-0005-0000-0000-000051480000}"/>
    <cellStyle name="Normal 5 12 3 2 2 2 2 2 3 2" xfId="29862" xr:uid="{00000000-0005-0000-0000-000052480000}"/>
    <cellStyle name="Normal 5 12 3 2 2 2 2 2 4" xfId="23258" xr:uid="{00000000-0005-0000-0000-000053480000}"/>
    <cellStyle name="Normal 5 12 3 2 2 2 2 3" xfId="8324" xr:uid="{00000000-0005-0000-0000-000054480000}"/>
    <cellStyle name="Normal 5 12 3 2 2 2 2 3 2" xfId="15587" xr:uid="{00000000-0005-0000-0000-000055480000}"/>
    <cellStyle name="Normal 5 12 3 2 2 2 2 3 2 2" xfId="31902" xr:uid="{00000000-0005-0000-0000-000056480000}"/>
    <cellStyle name="Normal 5 12 3 2 2 2 2 3 3" xfId="24937" xr:uid="{00000000-0005-0000-0000-000057480000}"/>
    <cellStyle name="Normal 5 12 3 2 2 2 2 4" xfId="11639" xr:uid="{00000000-0005-0000-0000-000058480000}"/>
    <cellStyle name="Normal 5 12 3 2 2 2 2 4 2" xfId="28237" xr:uid="{00000000-0005-0000-0000-000059480000}"/>
    <cellStyle name="Normal 5 12 3 2 2 2 2 5" xfId="4253" xr:uid="{00000000-0005-0000-0000-00005A480000}"/>
    <cellStyle name="Normal 5 12 3 2 2 2 2 5 2" xfId="20976" xr:uid="{00000000-0005-0000-0000-00005B480000}"/>
    <cellStyle name="Normal 5 12 3 2 2 2 2 6" xfId="19378" xr:uid="{00000000-0005-0000-0000-00005C480000}"/>
    <cellStyle name="Normal 5 12 3 2 2 2 3" xfId="2650" xr:uid="{00000000-0005-0000-0000-00005D480000}"/>
    <cellStyle name="Normal 5 12 3 2 2 2 3 2" xfId="9169" xr:uid="{00000000-0005-0000-0000-00005E480000}"/>
    <cellStyle name="Normal 5 12 3 2 2 2 3 2 2" xfId="16432" xr:uid="{00000000-0005-0000-0000-00005F480000}"/>
    <cellStyle name="Normal 5 12 3 2 2 2 3 2 2 2" xfId="32747" xr:uid="{00000000-0005-0000-0000-000060480000}"/>
    <cellStyle name="Normal 5 12 3 2 2 2 3 2 3" xfId="25782" xr:uid="{00000000-0005-0000-0000-000061480000}"/>
    <cellStyle name="Normal 5 12 3 2 2 2 3 3" xfId="12511" xr:uid="{00000000-0005-0000-0000-000062480000}"/>
    <cellStyle name="Normal 5 12 3 2 2 2 3 3 2" xfId="29086" xr:uid="{00000000-0005-0000-0000-000063480000}"/>
    <cellStyle name="Normal 5 12 3 2 2 2 3 4" xfId="5818" xr:uid="{00000000-0005-0000-0000-000064480000}"/>
    <cellStyle name="Normal 5 12 3 2 2 2 3 4 2" xfId="22482" xr:uid="{00000000-0005-0000-0000-000065480000}"/>
    <cellStyle name="Normal 5 12 3 2 2 2 3 5" xfId="19377" xr:uid="{00000000-0005-0000-0000-000066480000}"/>
    <cellStyle name="Normal 5 12 3 2 2 2 4" xfId="7548" xr:uid="{00000000-0005-0000-0000-000067480000}"/>
    <cellStyle name="Normal 5 12 3 2 2 2 4 2" xfId="14811" xr:uid="{00000000-0005-0000-0000-000068480000}"/>
    <cellStyle name="Normal 5 12 3 2 2 2 4 2 2" xfId="31126" xr:uid="{00000000-0005-0000-0000-000069480000}"/>
    <cellStyle name="Normal 5 12 3 2 2 2 4 3" xfId="24161" xr:uid="{00000000-0005-0000-0000-00006A480000}"/>
    <cellStyle name="Normal 5 12 3 2 2 2 5" xfId="10863" xr:uid="{00000000-0005-0000-0000-00006B480000}"/>
    <cellStyle name="Normal 5 12 3 2 2 2 5 2" xfId="27461" xr:uid="{00000000-0005-0000-0000-00006C480000}"/>
    <cellStyle name="Normal 5 12 3 2 2 2 6" xfId="4252" xr:uid="{00000000-0005-0000-0000-00006D480000}"/>
    <cellStyle name="Normal 5 12 3 2 2 2 6 2" xfId="20975" xr:uid="{00000000-0005-0000-0000-00006E480000}"/>
    <cellStyle name="Normal 5 12 3 2 2 2 7" xfId="18435" xr:uid="{00000000-0005-0000-0000-00006F480000}"/>
    <cellStyle name="Normal 5 12 3 2 2 3" xfId="2652" xr:uid="{00000000-0005-0000-0000-000070480000}"/>
    <cellStyle name="Normal 5 12 3 2 2 3 2" xfId="6224" xr:uid="{00000000-0005-0000-0000-000071480000}"/>
    <cellStyle name="Normal 5 12 3 2 2 3 2 2" xfId="9575" xr:uid="{00000000-0005-0000-0000-000072480000}"/>
    <cellStyle name="Normal 5 12 3 2 2 3 2 2 2" xfId="16838" xr:uid="{00000000-0005-0000-0000-000073480000}"/>
    <cellStyle name="Normal 5 12 3 2 2 3 2 2 2 2" xfId="33153" xr:uid="{00000000-0005-0000-0000-000074480000}"/>
    <cellStyle name="Normal 5 12 3 2 2 3 2 2 3" xfId="26188" xr:uid="{00000000-0005-0000-0000-000075480000}"/>
    <cellStyle name="Normal 5 12 3 2 2 3 2 3" xfId="12917" xr:uid="{00000000-0005-0000-0000-000076480000}"/>
    <cellStyle name="Normal 5 12 3 2 2 3 2 3 2" xfId="29492" xr:uid="{00000000-0005-0000-0000-000077480000}"/>
    <cellStyle name="Normal 5 12 3 2 2 3 2 4" xfId="22888" xr:uid="{00000000-0005-0000-0000-000078480000}"/>
    <cellStyle name="Normal 5 12 3 2 2 3 3" xfId="7954" xr:uid="{00000000-0005-0000-0000-000079480000}"/>
    <cellStyle name="Normal 5 12 3 2 2 3 3 2" xfId="15217" xr:uid="{00000000-0005-0000-0000-00007A480000}"/>
    <cellStyle name="Normal 5 12 3 2 2 3 3 2 2" xfId="31532" xr:uid="{00000000-0005-0000-0000-00007B480000}"/>
    <cellStyle name="Normal 5 12 3 2 2 3 3 3" xfId="24567" xr:uid="{00000000-0005-0000-0000-00007C480000}"/>
    <cellStyle name="Normal 5 12 3 2 2 3 4" xfId="11269" xr:uid="{00000000-0005-0000-0000-00007D480000}"/>
    <cellStyle name="Normal 5 12 3 2 2 3 4 2" xfId="27867" xr:uid="{00000000-0005-0000-0000-00007E480000}"/>
    <cellStyle name="Normal 5 12 3 2 2 3 5" xfId="4254" xr:uid="{00000000-0005-0000-0000-00007F480000}"/>
    <cellStyle name="Normal 5 12 3 2 2 3 5 2" xfId="20977" xr:uid="{00000000-0005-0000-0000-000080480000}"/>
    <cellStyle name="Normal 5 12 3 2 2 3 6" xfId="19379" xr:uid="{00000000-0005-0000-0000-000081480000}"/>
    <cellStyle name="Normal 5 12 3 2 2 4" xfId="2649" xr:uid="{00000000-0005-0000-0000-000082480000}"/>
    <cellStyle name="Normal 5 12 3 2 2 4 2" xfId="8762" xr:uid="{00000000-0005-0000-0000-000083480000}"/>
    <cellStyle name="Normal 5 12 3 2 2 4 2 2" xfId="16025" xr:uid="{00000000-0005-0000-0000-000084480000}"/>
    <cellStyle name="Normal 5 12 3 2 2 4 2 2 2" xfId="32340" xr:uid="{00000000-0005-0000-0000-000085480000}"/>
    <cellStyle name="Normal 5 12 3 2 2 4 2 3" xfId="25375" xr:uid="{00000000-0005-0000-0000-000086480000}"/>
    <cellStyle name="Normal 5 12 3 2 2 4 3" xfId="12104" xr:uid="{00000000-0005-0000-0000-000087480000}"/>
    <cellStyle name="Normal 5 12 3 2 2 4 3 2" xfId="28679" xr:uid="{00000000-0005-0000-0000-000088480000}"/>
    <cellStyle name="Normal 5 12 3 2 2 4 4" xfId="5411" xr:uid="{00000000-0005-0000-0000-000089480000}"/>
    <cellStyle name="Normal 5 12 3 2 2 4 4 2" xfId="22075" xr:uid="{00000000-0005-0000-0000-00008A480000}"/>
    <cellStyle name="Normal 5 12 3 2 2 4 5" xfId="19376" xr:uid="{00000000-0005-0000-0000-00008B480000}"/>
    <cellStyle name="Normal 5 12 3 2 2 5" xfId="7142" xr:uid="{00000000-0005-0000-0000-00008C480000}"/>
    <cellStyle name="Normal 5 12 3 2 2 5 2" xfId="14405" xr:uid="{00000000-0005-0000-0000-00008D480000}"/>
    <cellStyle name="Normal 5 12 3 2 2 5 2 2" xfId="30720" xr:uid="{00000000-0005-0000-0000-00008E480000}"/>
    <cellStyle name="Normal 5 12 3 2 2 5 3" xfId="23755" xr:uid="{00000000-0005-0000-0000-00008F480000}"/>
    <cellStyle name="Normal 5 12 3 2 2 6" xfId="10457" xr:uid="{00000000-0005-0000-0000-000090480000}"/>
    <cellStyle name="Normal 5 12 3 2 2 6 2" xfId="27055" xr:uid="{00000000-0005-0000-0000-000091480000}"/>
    <cellStyle name="Normal 5 12 3 2 2 7" xfId="4251" xr:uid="{00000000-0005-0000-0000-000092480000}"/>
    <cellStyle name="Normal 5 12 3 2 2 7 2" xfId="20974" xr:uid="{00000000-0005-0000-0000-000093480000}"/>
    <cellStyle name="Normal 5 12 3 2 2 8" xfId="17916" xr:uid="{00000000-0005-0000-0000-000094480000}"/>
    <cellStyle name="Normal 5 12 3 2 3" xfId="1571" xr:uid="{00000000-0005-0000-0000-000095480000}"/>
    <cellStyle name="Normal 5 12 3 2 3 2" xfId="2654" xr:uid="{00000000-0005-0000-0000-000096480000}"/>
    <cellStyle name="Normal 5 12 3 2 3 2 2" xfId="6418" xr:uid="{00000000-0005-0000-0000-000097480000}"/>
    <cellStyle name="Normal 5 12 3 2 3 2 2 2" xfId="9769" xr:uid="{00000000-0005-0000-0000-000098480000}"/>
    <cellStyle name="Normal 5 12 3 2 3 2 2 2 2" xfId="17032" xr:uid="{00000000-0005-0000-0000-000099480000}"/>
    <cellStyle name="Normal 5 12 3 2 3 2 2 2 2 2" xfId="33347" xr:uid="{00000000-0005-0000-0000-00009A480000}"/>
    <cellStyle name="Normal 5 12 3 2 3 2 2 2 3" xfId="26382" xr:uid="{00000000-0005-0000-0000-00009B480000}"/>
    <cellStyle name="Normal 5 12 3 2 3 2 2 3" xfId="13111" xr:uid="{00000000-0005-0000-0000-00009C480000}"/>
    <cellStyle name="Normal 5 12 3 2 3 2 2 3 2" xfId="29686" xr:uid="{00000000-0005-0000-0000-00009D480000}"/>
    <cellStyle name="Normal 5 12 3 2 3 2 2 4" xfId="23082" xr:uid="{00000000-0005-0000-0000-00009E480000}"/>
    <cellStyle name="Normal 5 12 3 2 3 2 3" xfId="8148" xr:uid="{00000000-0005-0000-0000-00009F480000}"/>
    <cellStyle name="Normal 5 12 3 2 3 2 3 2" xfId="15411" xr:uid="{00000000-0005-0000-0000-0000A0480000}"/>
    <cellStyle name="Normal 5 12 3 2 3 2 3 2 2" xfId="31726" xr:uid="{00000000-0005-0000-0000-0000A1480000}"/>
    <cellStyle name="Normal 5 12 3 2 3 2 3 3" xfId="24761" xr:uid="{00000000-0005-0000-0000-0000A2480000}"/>
    <cellStyle name="Normal 5 12 3 2 3 2 4" xfId="11463" xr:uid="{00000000-0005-0000-0000-0000A3480000}"/>
    <cellStyle name="Normal 5 12 3 2 3 2 4 2" xfId="28061" xr:uid="{00000000-0005-0000-0000-0000A4480000}"/>
    <cellStyle name="Normal 5 12 3 2 3 2 5" xfId="4256" xr:uid="{00000000-0005-0000-0000-0000A5480000}"/>
    <cellStyle name="Normal 5 12 3 2 3 2 5 2" xfId="20979" xr:uid="{00000000-0005-0000-0000-0000A6480000}"/>
    <cellStyle name="Normal 5 12 3 2 3 2 6" xfId="19381" xr:uid="{00000000-0005-0000-0000-0000A7480000}"/>
    <cellStyle name="Normal 5 12 3 2 3 3" xfId="2653" xr:uid="{00000000-0005-0000-0000-0000A8480000}"/>
    <cellStyle name="Normal 5 12 3 2 3 3 2" xfId="8957" xr:uid="{00000000-0005-0000-0000-0000A9480000}"/>
    <cellStyle name="Normal 5 12 3 2 3 3 2 2" xfId="16220" xr:uid="{00000000-0005-0000-0000-0000AA480000}"/>
    <cellStyle name="Normal 5 12 3 2 3 3 2 2 2" xfId="32535" xr:uid="{00000000-0005-0000-0000-0000AB480000}"/>
    <cellStyle name="Normal 5 12 3 2 3 3 2 3" xfId="25570" xr:uid="{00000000-0005-0000-0000-0000AC480000}"/>
    <cellStyle name="Normal 5 12 3 2 3 3 3" xfId="12299" xr:uid="{00000000-0005-0000-0000-0000AD480000}"/>
    <cellStyle name="Normal 5 12 3 2 3 3 3 2" xfId="28874" xr:uid="{00000000-0005-0000-0000-0000AE480000}"/>
    <cellStyle name="Normal 5 12 3 2 3 3 4" xfId="5606" xr:uid="{00000000-0005-0000-0000-0000AF480000}"/>
    <cellStyle name="Normal 5 12 3 2 3 3 4 2" xfId="22270" xr:uid="{00000000-0005-0000-0000-0000B0480000}"/>
    <cellStyle name="Normal 5 12 3 2 3 3 5" xfId="19380" xr:uid="{00000000-0005-0000-0000-0000B1480000}"/>
    <cellStyle name="Normal 5 12 3 2 3 4" xfId="7336" xr:uid="{00000000-0005-0000-0000-0000B2480000}"/>
    <cellStyle name="Normal 5 12 3 2 3 4 2" xfId="14599" xr:uid="{00000000-0005-0000-0000-0000B3480000}"/>
    <cellStyle name="Normal 5 12 3 2 3 4 2 2" xfId="30914" xr:uid="{00000000-0005-0000-0000-0000B4480000}"/>
    <cellStyle name="Normal 5 12 3 2 3 4 3" xfId="23949" xr:uid="{00000000-0005-0000-0000-0000B5480000}"/>
    <cellStyle name="Normal 5 12 3 2 3 5" xfId="10651" xr:uid="{00000000-0005-0000-0000-0000B6480000}"/>
    <cellStyle name="Normal 5 12 3 2 3 5 2" xfId="27249" xr:uid="{00000000-0005-0000-0000-0000B7480000}"/>
    <cellStyle name="Normal 5 12 3 2 3 6" xfId="4255" xr:uid="{00000000-0005-0000-0000-0000B8480000}"/>
    <cellStyle name="Normal 5 12 3 2 3 6 2" xfId="20978" xr:uid="{00000000-0005-0000-0000-0000B9480000}"/>
    <cellStyle name="Normal 5 12 3 2 3 7" xfId="18306" xr:uid="{00000000-0005-0000-0000-0000BA480000}"/>
    <cellStyle name="Normal 5 12 3 2 4" xfId="2655" xr:uid="{00000000-0005-0000-0000-0000BB480000}"/>
    <cellStyle name="Normal 5 12 3 2 4 2" xfId="6012" xr:uid="{00000000-0005-0000-0000-0000BC480000}"/>
    <cellStyle name="Normal 5 12 3 2 4 2 2" xfId="9363" xr:uid="{00000000-0005-0000-0000-0000BD480000}"/>
    <cellStyle name="Normal 5 12 3 2 4 2 2 2" xfId="16626" xr:uid="{00000000-0005-0000-0000-0000BE480000}"/>
    <cellStyle name="Normal 5 12 3 2 4 2 2 2 2" xfId="32941" xr:uid="{00000000-0005-0000-0000-0000BF480000}"/>
    <cellStyle name="Normal 5 12 3 2 4 2 2 3" xfId="25976" xr:uid="{00000000-0005-0000-0000-0000C0480000}"/>
    <cellStyle name="Normal 5 12 3 2 4 2 3" xfId="12705" xr:uid="{00000000-0005-0000-0000-0000C1480000}"/>
    <cellStyle name="Normal 5 12 3 2 4 2 3 2" xfId="29280" xr:uid="{00000000-0005-0000-0000-0000C2480000}"/>
    <cellStyle name="Normal 5 12 3 2 4 2 4" xfId="22676" xr:uid="{00000000-0005-0000-0000-0000C3480000}"/>
    <cellStyle name="Normal 5 12 3 2 4 3" xfId="7742" xr:uid="{00000000-0005-0000-0000-0000C4480000}"/>
    <cellStyle name="Normal 5 12 3 2 4 3 2" xfId="15005" xr:uid="{00000000-0005-0000-0000-0000C5480000}"/>
    <cellStyle name="Normal 5 12 3 2 4 3 2 2" xfId="31320" xr:uid="{00000000-0005-0000-0000-0000C6480000}"/>
    <cellStyle name="Normal 5 12 3 2 4 3 3" xfId="24355" xr:uid="{00000000-0005-0000-0000-0000C7480000}"/>
    <cellStyle name="Normal 5 12 3 2 4 4" xfId="11057" xr:uid="{00000000-0005-0000-0000-0000C8480000}"/>
    <cellStyle name="Normal 5 12 3 2 4 4 2" xfId="27655" xr:uid="{00000000-0005-0000-0000-0000C9480000}"/>
    <cellStyle name="Normal 5 12 3 2 4 5" xfId="4257" xr:uid="{00000000-0005-0000-0000-0000CA480000}"/>
    <cellStyle name="Normal 5 12 3 2 4 5 2" xfId="20980" xr:uid="{00000000-0005-0000-0000-0000CB480000}"/>
    <cellStyle name="Normal 5 12 3 2 4 6" xfId="19382" xr:uid="{00000000-0005-0000-0000-0000CC480000}"/>
    <cellStyle name="Normal 5 12 3 2 5" xfId="2648" xr:uid="{00000000-0005-0000-0000-0000CD480000}"/>
    <cellStyle name="Normal 5 12 3 2 5 2" xfId="8632" xr:uid="{00000000-0005-0000-0000-0000CE480000}"/>
    <cellStyle name="Normal 5 12 3 2 5 2 2" xfId="15895" xr:uid="{00000000-0005-0000-0000-0000CF480000}"/>
    <cellStyle name="Normal 5 12 3 2 5 2 2 2" xfId="32210" xr:uid="{00000000-0005-0000-0000-0000D0480000}"/>
    <cellStyle name="Normal 5 12 3 2 5 2 3" xfId="25245" xr:uid="{00000000-0005-0000-0000-0000D1480000}"/>
    <cellStyle name="Normal 5 12 3 2 5 3" xfId="11974" xr:uid="{00000000-0005-0000-0000-0000D2480000}"/>
    <cellStyle name="Normal 5 12 3 2 5 3 2" xfId="28549" xr:uid="{00000000-0005-0000-0000-0000D3480000}"/>
    <cellStyle name="Normal 5 12 3 2 5 4" xfId="5281" xr:uid="{00000000-0005-0000-0000-0000D4480000}"/>
    <cellStyle name="Normal 5 12 3 2 5 4 2" xfId="21945" xr:uid="{00000000-0005-0000-0000-0000D5480000}"/>
    <cellStyle name="Normal 5 12 3 2 5 5" xfId="19375" xr:uid="{00000000-0005-0000-0000-0000D6480000}"/>
    <cellStyle name="Normal 5 12 3 2 6" xfId="7013" xr:uid="{00000000-0005-0000-0000-0000D7480000}"/>
    <cellStyle name="Normal 5 12 3 2 6 2" xfId="14276" xr:uid="{00000000-0005-0000-0000-0000D8480000}"/>
    <cellStyle name="Normal 5 12 3 2 6 2 2" xfId="30591" xr:uid="{00000000-0005-0000-0000-0000D9480000}"/>
    <cellStyle name="Normal 5 12 3 2 6 3" xfId="23626" xr:uid="{00000000-0005-0000-0000-0000DA480000}"/>
    <cellStyle name="Normal 5 12 3 2 7" xfId="10327" xr:uid="{00000000-0005-0000-0000-0000DB480000}"/>
    <cellStyle name="Normal 5 12 3 2 7 2" xfId="26926" xr:uid="{00000000-0005-0000-0000-0000DC480000}"/>
    <cellStyle name="Normal 5 12 3 2 8" xfId="4250" xr:uid="{00000000-0005-0000-0000-0000DD480000}"/>
    <cellStyle name="Normal 5 12 3 2 8 2" xfId="20973" xr:uid="{00000000-0005-0000-0000-0000DE480000}"/>
    <cellStyle name="Normal 5 12 3 2 9" xfId="17787" xr:uid="{00000000-0005-0000-0000-0000DF480000}"/>
    <cellStyle name="Normal 5 12 3 3" xfId="1178" xr:uid="{00000000-0005-0000-0000-0000E0480000}"/>
    <cellStyle name="Normal 5 12 3 3 2" xfId="1699" xr:uid="{00000000-0005-0000-0000-0000E1480000}"/>
    <cellStyle name="Normal 5 12 3 3 2 2" xfId="2658" xr:uid="{00000000-0005-0000-0000-0000E2480000}"/>
    <cellStyle name="Normal 5 12 3 3 2 2 2" xfId="6593" xr:uid="{00000000-0005-0000-0000-0000E3480000}"/>
    <cellStyle name="Normal 5 12 3 3 2 2 2 2" xfId="9944" xr:uid="{00000000-0005-0000-0000-0000E4480000}"/>
    <cellStyle name="Normal 5 12 3 3 2 2 2 2 2" xfId="17207" xr:uid="{00000000-0005-0000-0000-0000E5480000}"/>
    <cellStyle name="Normal 5 12 3 3 2 2 2 2 2 2" xfId="33522" xr:uid="{00000000-0005-0000-0000-0000E6480000}"/>
    <cellStyle name="Normal 5 12 3 3 2 2 2 2 3" xfId="26557" xr:uid="{00000000-0005-0000-0000-0000E7480000}"/>
    <cellStyle name="Normal 5 12 3 3 2 2 2 3" xfId="13286" xr:uid="{00000000-0005-0000-0000-0000E8480000}"/>
    <cellStyle name="Normal 5 12 3 3 2 2 2 3 2" xfId="29861" xr:uid="{00000000-0005-0000-0000-0000E9480000}"/>
    <cellStyle name="Normal 5 12 3 3 2 2 2 4" xfId="23257" xr:uid="{00000000-0005-0000-0000-0000EA480000}"/>
    <cellStyle name="Normal 5 12 3 3 2 2 3" xfId="8323" xr:uid="{00000000-0005-0000-0000-0000EB480000}"/>
    <cellStyle name="Normal 5 12 3 3 2 2 3 2" xfId="15586" xr:uid="{00000000-0005-0000-0000-0000EC480000}"/>
    <cellStyle name="Normal 5 12 3 3 2 2 3 2 2" xfId="31901" xr:uid="{00000000-0005-0000-0000-0000ED480000}"/>
    <cellStyle name="Normal 5 12 3 3 2 2 3 3" xfId="24936" xr:uid="{00000000-0005-0000-0000-0000EE480000}"/>
    <cellStyle name="Normal 5 12 3 3 2 2 4" xfId="11638" xr:uid="{00000000-0005-0000-0000-0000EF480000}"/>
    <cellStyle name="Normal 5 12 3 3 2 2 4 2" xfId="28236" xr:uid="{00000000-0005-0000-0000-0000F0480000}"/>
    <cellStyle name="Normal 5 12 3 3 2 2 5" xfId="4260" xr:uid="{00000000-0005-0000-0000-0000F1480000}"/>
    <cellStyle name="Normal 5 12 3 3 2 2 5 2" xfId="20983" xr:uid="{00000000-0005-0000-0000-0000F2480000}"/>
    <cellStyle name="Normal 5 12 3 3 2 2 6" xfId="19385" xr:uid="{00000000-0005-0000-0000-0000F3480000}"/>
    <cellStyle name="Normal 5 12 3 3 2 3" xfId="2657" xr:uid="{00000000-0005-0000-0000-0000F4480000}"/>
    <cellStyle name="Normal 5 12 3 3 2 3 2" xfId="9168" xr:uid="{00000000-0005-0000-0000-0000F5480000}"/>
    <cellStyle name="Normal 5 12 3 3 2 3 2 2" xfId="16431" xr:uid="{00000000-0005-0000-0000-0000F6480000}"/>
    <cellStyle name="Normal 5 12 3 3 2 3 2 2 2" xfId="32746" xr:uid="{00000000-0005-0000-0000-0000F7480000}"/>
    <cellStyle name="Normal 5 12 3 3 2 3 2 3" xfId="25781" xr:uid="{00000000-0005-0000-0000-0000F8480000}"/>
    <cellStyle name="Normal 5 12 3 3 2 3 3" xfId="12510" xr:uid="{00000000-0005-0000-0000-0000F9480000}"/>
    <cellStyle name="Normal 5 12 3 3 2 3 3 2" xfId="29085" xr:uid="{00000000-0005-0000-0000-0000FA480000}"/>
    <cellStyle name="Normal 5 12 3 3 2 3 4" xfId="5817" xr:uid="{00000000-0005-0000-0000-0000FB480000}"/>
    <cellStyle name="Normal 5 12 3 3 2 3 4 2" xfId="22481" xr:uid="{00000000-0005-0000-0000-0000FC480000}"/>
    <cellStyle name="Normal 5 12 3 3 2 3 5" xfId="19384" xr:uid="{00000000-0005-0000-0000-0000FD480000}"/>
    <cellStyle name="Normal 5 12 3 3 2 4" xfId="7547" xr:uid="{00000000-0005-0000-0000-0000FE480000}"/>
    <cellStyle name="Normal 5 12 3 3 2 4 2" xfId="14810" xr:uid="{00000000-0005-0000-0000-0000FF480000}"/>
    <cellStyle name="Normal 5 12 3 3 2 4 2 2" xfId="31125" xr:uid="{00000000-0005-0000-0000-000000490000}"/>
    <cellStyle name="Normal 5 12 3 3 2 4 3" xfId="24160" xr:uid="{00000000-0005-0000-0000-000001490000}"/>
    <cellStyle name="Normal 5 12 3 3 2 5" xfId="10862" xr:uid="{00000000-0005-0000-0000-000002490000}"/>
    <cellStyle name="Normal 5 12 3 3 2 5 2" xfId="27460" xr:uid="{00000000-0005-0000-0000-000003490000}"/>
    <cellStyle name="Normal 5 12 3 3 2 6" xfId="4259" xr:uid="{00000000-0005-0000-0000-000004490000}"/>
    <cellStyle name="Normal 5 12 3 3 2 6 2" xfId="20982" xr:uid="{00000000-0005-0000-0000-000005490000}"/>
    <cellStyle name="Normal 5 12 3 3 2 7" xfId="18434" xr:uid="{00000000-0005-0000-0000-000006490000}"/>
    <cellStyle name="Normal 5 12 3 3 3" xfId="2659" xr:uid="{00000000-0005-0000-0000-000007490000}"/>
    <cellStyle name="Normal 5 12 3 3 3 2" xfId="6223" xr:uid="{00000000-0005-0000-0000-000008490000}"/>
    <cellStyle name="Normal 5 12 3 3 3 2 2" xfId="9574" xr:uid="{00000000-0005-0000-0000-000009490000}"/>
    <cellStyle name="Normal 5 12 3 3 3 2 2 2" xfId="16837" xr:uid="{00000000-0005-0000-0000-00000A490000}"/>
    <cellStyle name="Normal 5 12 3 3 3 2 2 2 2" xfId="33152" xr:uid="{00000000-0005-0000-0000-00000B490000}"/>
    <cellStyle name="Normal 5 12 3 3 3 2 2 3" xfId="26187" xr:uid="{00000000-0005-0000-0000-00000C490000}"/>
    <cellStyle name="Normal 5 12 3 3 3 2 3" xfId="12916" xr:uid="{00000000-0005-0000-0000-00000D490000}"/>
    <cellStyle name="Normal 5 12 3 3 3 2 3 2" xfId="29491" xr:uid="{00000000-0005-0000-0000-00000E490000}"/>
    <cellStyle name="Normal 5 12 3 3 3 2 4" xfId="22887" xr:uid="{00000000-0005-0000-0000-00000F490000}"/>
    <cellStyle name="Normal 5 12 3 3 3 3" xfId="7953" xr:uid="{00000000-0005-0000-0000-000010490000}"/>
    <cellStyle name="Normal 5 12 3 3 3 3 2" xfId="15216" xr:uid="{00000000-0005-0000-0000-000011490000}"/>
    <cellStyle name="Normal 5 12 3 3 3 3 2 2" xfId="31531" xr:uid="{00000000-0005-0000-0000-000012490000}"/>
    <cellStyle name="Normal 5 12 3 3 3 3 3" xfId="24566" xr:uid="{00000000-0005-0000-0000-000013490000}"/>
    <cellStyle name="Normal 5 12 3 3 3 4" xfId="11268" xr:uid="{00000000-0005-0000-0000-000014490000}"/>
    <cellStyle name="Normal 5 12 3 3 3 4 2" xfId="27866" xr:uid="{00000000-0005-0000-0000-000015490000}"/>
    <cellStyle name="Normal 5 12 3 3 3 5" xfId="4261" xr:uid="{00000000-0005-0000-0000-000016490000}"/>
    <cellStyle name="Normal 5 12 3 3 3 5 2" xfId="20984" xr:uid="{00000000-0005-0000-0000-000017490000}"/>
    <cellStyle name="Normal 5 12 3 3 3 6" xfId="19386" xr:uid="{00000000-0005-0000-0000-000018490000}"/>
    <cellStyle name="Normal 5 12 3 3 4" xfId="2656" xr:uid="{00000000-0005-0000-0000-000019490000}"/>
    <cellStyle name="Normal 5 12 3 3 4 2" xfId="8761" xr:uid="{00000000-0005-0000-0000-00001A490000}"/>
    <cellStyle name="Normal 5 12 3 3 4 2 2" xfId="16024" xr:uid="{00000000-0005-0000-0000-00001B490000}"/>
    <cellStyle name="Normal 5 12 3 3 4 2 2 2" xfId="32339" xr:uid="{00000000-0005-0000-0000-00001C490000}"/>
    <cellStyle name="Normal 5 12 3 3 4 2 3" xfId="25374" xr:uid="{00000000-0005-0000-0000-00001D490000}"/>
    <cellStyle name="Normal 5 12 3 3 4 3" xfId="12103" xr:uid="{00000000-0005-0000-0000-00001E490000}"/>
    <cellStyle name="Normal 5 12 3 3 4 3 2" xfId="28678" xr:uid="{00000000-0005-0000-0000-00001F490000}"/>
    <cellStyle name="Normal 5 12 3 3 4 4" xfId="5410" xr:uid="{00000000-0005-0000-0000-000020490000}"/>
    <cellStyle name="Normal 5 12 3 3 4 4 2" xfId="22074" xr:uid="{00000000-0005-0000-0000-000021490000}"/>
    <cellStyle name="Normal 5 12 3 3 4 5" xfId="19383" xr:uid="{00000000-0005-0000-0000-000022490000}"/>
    <cellStyle name="Normal 5 12 3 3 5" xfId="7141" xr:uid="{00000000-0005-0000-0000-000023490000}"/>
    <cellStyle name="Normal 5 12 3 3 5 2" xfId="14404" xr:uid="{00000000-0005-0000-0000-000024490000}"/>
    <cellStyle name="Normal 5 12 3 3 5 2 2" xfId="30719" xr:uid="{00000000-0005-0000-0000-000025490000}"/>
    <cellStyle name="Normal 5 12 3 3 5 3" xfId="23754" xr:uid="{00000000-0005-0000-0000-000026490000}"/>
    <cellStyle name="Normal 5 12 3 3 6" xfId="10456" xr:uid="{00000000-0005-0000-0000-000027490000}"/>
    <cellStyle name="Normal 5 12 3 3 6 2" xfId="27054" xr:uid="{00000000-0005-0000-0000-000028490000}"/>
    <cellStyle name="Normal 5 12 3 3 7" xfId="4258" xr:uid="{00000000-0005-0000-0000-000029490000}"/>
    <cellStyle name="Normal 5 12 3 3 7 2" xfId="20981" xr:uid="{00000000-0005-0000-0000-00002A490000}"/>
    <cellStyle name="Normal 5 12 3 3 8" xfId="17915" xr:uid="{00000000-0005-0000-0000-00002B490000}"/>
    <cellStyle name="Normal 5 12 3 4" xfId="1465" xr:uid="{00000000-0005-0000-0000-00002C490000}"/>
    <cellStyle name="Normal 5 12 3 4 2" xfId="2661" xr:uid="{00000000-0005-0000-0000-00002D490000}"/>
    <cellStyle name="Normal 5 12 3 4 2 2" xfId="6417" xr:uid="{00000000-0005-0000-0000-00002E490000}"/>
    <cellStyle name="Normal 5 12 3 4 2 2 2" xfId="9768" xr:uid="{00000000-0005-0000-0000-00002F490000}"/>
    <cellStyle name="Normal 5 12 3 4 2 2 2 2" xfId="17031" xr:uid="{00000000-0005-0000-0000-000030490000}"/>
    <cellStyle name="Normal 5 12 3 4 2 2 2 2 2" xfId="33346" xr:uid="{00000000-0005-0000-0000-000031490000}"/>
    <cellStyle name="Normal 5 12 3 4 2 2 2 3" xfId="26381" xr:uid="{00000000-0005-0000-0000-000032490000}"/>
    <cellStyle name="Normal 5 12 3 4 2 2 3" xfId="13110" xr:uid="{00000000-0005-0000-0000-000033490000}"/>
    <cellStyle name="Normal 5 12 3 4 2 2 3 2" xfId="29685" xr:uid="{00000000-0005-0000-0000-000034490000}"/>
    <cellStyle name="Normal 5 12 3 4 2 2 4" xfId="23081" xr:uid="{00000000-0005-0000-0000-000035490000}"/>
    <cellStyle name="Normal 5 12 3 4 2 3" xfId="8147" xr:uid="{00000000-0005-0000-0000-000036490000}"/>
    <cellStyle name="Normal 5 12 3 4 2 3 2" xfId="15410" xr:uid="{00000000-0005-0000-0000-000037490000}"/>
    <cellStyle name="Normal 5 12 3 4 2 3 2 2" xfId="31725" xr:uid="{00000000-0005-0000-0000-000038490000}"/>
    <cellStyle name="Normal 5 12 3 4 2 3 3" xfId="24760" xr:uid="{00000000-0005-0000-0000-000039490000}"/>
    <cellStyle name="Normal 5 12 3 4 2 4" xfId="11462" xr:uid="{00000000-0005-0000-0000-00003A490000}"/>
    <cellStyle name="Normal 5 12 3 4 2 4 2" xfId="28060" xr:uid="{00000000-0005-0000-0000-00003B490000}"/>
    <cellStyle name="Normal 5 12 3 4 2 5" xfId="4263" xr:uid="{00000000-0005-0000-0000-00003C490000}"/>
    <cellStyle name="Normal 5 12 3 4 2 5 2" xfId="20986" xr:uid="{00000000-0005-0000-0000-00003D490000}"/>
    <cellStyle name="Normal 5 12 3 4 2 6" xfId="19388" xr:uid="{00000000-0005-0000-0000-00003E490000}"/>
    <cellStyle name="Normal 5 12 3 4 3" xfId="2660" xr:uid="{00000000-0005-0000-0000-00003F490000}"/>
    <cellStyle name="Normal 5 12 3 4 3 2" xfId="8956" xr:uid="{00000000-0005-0000-0000-000040490000}"/>
    <cellStyle name="Normal 5 12 3 4 3 2 2" xfId="16219" xr:uid="{00000000-0005-0000-0000-000041490000}"/>
    <cellStyle name="Normal 5 12 3 4 3 2 2 2" xfId="32534" xr:uid="{00000000-0005-0000-0000-000042490000}"/>
    <cellStyle name="Normal 5 12 3 4 3 2 3" xfId="25569" xr:uid="{00000000-0005-0000-0000-000043490000}"/>
    <cellStyle name="Normal 5 12 3 4 3 3" xfId="12298" xr:uid="{00000000-0005-0000-0000-000044490000}"/>
    <cellStyle name="Normal 5 12 3 4 3 3 2" xfId="28873" xr:uid="{00000000-0005-0000-0000-000045490000}"/>
    <cellStyle name="Normal 5 12 3 4 3 4" xfId="5605" xr:uid="{00000000-0005-0000-0000-000046490000}"/>
    <cellStyle name="Normal 5 12 3 4 3 4 2" xfId="22269" xr:uid="{00000000-0005-0000-0000-000047490000}"/>
    <cellStyle name="Normal 5 12 3 4 3 5" xfId="19387" xr:uid="{00000000-0005-0000-0000-000048490000}"/>
    <cellStyle name="Normal 5 12 3 4 4" xfId="7335" xr:uid="{00000000-0005-0000-0000-000049490000}"/>
    <cellStyle name="Normal 5 12 3 4 4 2" xfId="14598" xr:uid="{00000000-0005-0000-0000-00004A490000}"/>
    <cellStyle name="Normal 5 12 3 4 4 2 2" xfId="30913" xr:uid="{00000000-0005-0000-0000-00004B490000}"/>
    <cellStyle name="Normal 5 12 3 4 4 3" xfId="23948" xr:uid="{00000000-0005-0000-0000-00004C490000}"/>
    <cellStyle name="Normal 5 12 3 4 5" xfId="10650" xr:uid="{00000000-0005-0000-0000-00004D490000}"/>
    <cellStyle name="Normal 5 12 3 4 5 2" xfId="27248" xr:uid="{00000000-0005-0000-0000-00004E490000}"/>
    <cellStyle name="Normal 5 12 3 4 6" xfId="4262" xr:uid="{00000000-0005-0000-0000-00004F490000}"/>
    <cellStyle name="Normal 5 12 3 4 6 2" xfId="20985" xr:uid="{00000000-0005-0000-0000-000050490000}"/>
    <cellStyle name="Normal 5 12 3 4 7" xfId="18200" xr:uid="{00000000-0005-0000-0000-000051490000}"/>
    <cellStyle name="Normal 5 12 3 5" xfId="2662" xr:uid="{00000000-0005-0000-0000-000052490000}"/>
    <cellStyle name="Normal 5 12 3 5 2" xfId="6011" xr:uid="{00000000-0005-0000-0000-000053490000}"/>
    <cellStyle name="Normal 5 12 3 5 2 2" xfId="9362" xr:uid="{00000000-0005-0000-0000-000054490000}"/>
    <cellStyle name="Normal 5 12 3 5 2 2 2" xfId="16625" xr:uid="{00000000-0005-0000-0000-000055490000}"/>
    <cellStyle name="Normal 5 12 3 5 2 2 2 2" xfId="32940" xr:uid="{00000000-0005-0000-0000-000056490000}"/>
    <cellStyle name="Normal 5 12 3 5 2 2 3" xfId="25975" xr:uid="{00000000-0005-0000-0000-000057490000}"/>
    <cellStyle name="Normal 5 12 3 5 2 3" xfId="12704" xr:uid="{00000000-0005-0000-0000-000058490000}"/>
    <cellStyle name="Normal 5 12 3 5 2 3 2" xfId="29279" xr:uid="{00000000-0005-0000-0000-000059490000}"/>
    <cellStyle name="Normal 5 12 3 5 2 4" xfId="22675" xr:uid="{00000000-0005-0000-0000-00005A490000}"/>
    <cellStyle name="Normal 5 12 3 5 3" xfId="7741" xr:uid="{00000000-0005-0000-0000-00005B490000}"/>
    <cellStyle name="Normal 5 12 3 5 3 2" xfId="15004" xr:uid="{00000000-0005-0000-0000-00005C490000}"/>
    <cellStyle name="Normal 5 12 3 5 3 2 2" xfId="31319" xr:uid="{00000000-0005-0000-0000-00005D490000}"/>
    <cellStyle name="Normal 5 12 3 5 3 3" xfId="24354" xr:uid="{00000000-0005-0000-0000-00005E490000}"/>
    <cellStyle name="Normal 5 12 3 5 4" xfId="11056" xr:uid="{00000000-0005-0000-0000-00005F490000}"/>
    <cellStyle name="Normal 5 12 3 5 4 2" xfId="27654" xr:uid="{00000000-0005-0000-0000-000060490000}"/>
    <cellStyle name="Normal 5 12 3 5 5" xfId="4264" xr:uid="{00000000-0005-0000-0000-000061490000}"/>
    <cellStyle name="Normal 5 12 3 5 5 2" xfId="20987" xr:uid="{00000000-0005-0000-0000-000062490000}"/>
    <cellStyle name="Normal 5 12 3 5 6" xfId="19389" xr:uid="{00000000-0005-0000-0000-000063490000}"/>
    <cellStyle name="Normal 5 12 3 6" xfId="2647" xr:uid="{00000000-0005-0000-0000-000064490000}"/>
    <cellStyle name="Normal 5 12 3 6 2" xfId="8526" xr:uid="{00000000-0005-0000-0000-000065490000}"/>
    <cellStyle name="Normal 5 12 3 6 2 2" xfId="15789" xr:uid="{00000000-0005-0000-0000-000066490000}"/>
    <cellStyle name="Normal 5 12 3 6 2 2 2" xfId="32104" xr:uid="{00000000-0005-0000-0000-000067490000}"/>
    <cellStyle name="Normal 5 12 3 6 2 3" xfId="25139" xr:uid="{00000000-0005-0000-0000-000068490000}"/>
    <cellStyle name="Normal 5 12 3 6 3" xfId="11868" xr:uid="{00000000-0005-0000-0000-000069490000}"/>
    <cellStyle name="Normal 5 12 3 6 3 2" xfId="28443" xr:uid="{00000000-0005-0000-0000-00006A490000}"/>
    <cellStyle name="Normal 5 12 3 6 4" xfId="5175" xr:uid="{00000000-0005-0000-0000-00006B490000}"/>
    <cellStyle name="Normal 5 12 3 6 4 2" xfId="21839" xr:uid="{00000000-0005-0000-0000-00006C490000}"/>
    <cellStyle name="Normal 5 12 3 6 5" xfId="19374" xr:uid="{00000000-0005-0000-0000-00006D490000}"/>
    <cellStyle name="Normal 5 12 3 7" xfId="6907" xr:uid="{00000000-0005-0000-0000-00006E490000}"/>
    <cellStyle name="Normal 5 12 3 7 2" xfId="14170" xr:uid="{00000000-0005-0000-0000-00006F490000}"/>
    <cellStyle name="Normal 5 12 3 7 2 2" xfId="30485" xr:uid="{00000000-0005-0000-0000-000070490000}"/>
    <cellStyle name="Normal 5 12 3 7 3" xfId="23520" xr:uid="{00000000-0005-0000-0000-000071490000}"/>
    <cellStyle name="Normal 5 12 3 8" xfId="10221" xr:uid="{00000000-0005-0000-0000-000072490000}"/>
    <cellStyle name="Normal 5 12 3 8 2" xfId="26820" xr:uid="{00000000-0005-0000-0000-000073490000}"/>
    <cellStyle name="Normal 5 12 3 9" xfId="4249" xr:uid="{00000000-0005-0000-0000-000074490000}"/>
    <cellStyle name="Normal 5 12 3 9 2" xfId="20972" xr:uid="{00000000-0005-0000-0000-000075490000}"/>
    <cellStyle name="Normal 5 12 4" xfId="956" xr:uid="{00000000-0005-0000-0000-000076490000}"/>
    <cellStyle name="Normal 5 12 4 2" xfId="1180" xr:uid="{00000000-0005-0000-0000-000077490000}"/>
    <cellStyle name="Normal 5 12 4 2 2" xfId="1701" xr:uid="{00000000-0005-0000-0000-000078490000}"/>
    <cellStyle name="Normal 5 12 4 2 2 2" xfId="2666" xr:uid="{00000000-0005-0000-0000-000079490000}"/>
    <cellStyle name="Normal 5 12 4 2 2 2 2" xfId="6595" xr:uid="{00000000-0005-0000-0000-00007A490000}"/>
    <cellStyle name="Normal 5 12 4 2 2 2 2 2" xfId="9946" xr:uid="{00000000-0005-0000-0000-00007B490000}"/>
    <cellStyle name="Normal 5 12 4 2 2 2 2 2 2" xfId="17209" xr:uid="{00000000-0005-0000-0000-00007C490000}"/>
    <cellStyle name="Normal 5 12 4 2 2 2 2 2 2 2" xfId="33524" xr:uid="{00000000-0005-0000-0000-00007D490000}"/>
    <cellStyle name="Normal 5 12 4 2 2 2 2 2 3" xfId="26559" xr:uid="{00000000-0005-0000-0000-00007E490000}"/>
    <cellStyle name="Normal 5 12 4 2 2 2 2 3" xfId="13288" xr:uid="{00000000-0005-0000-0000-00007F490000}"/>
    <cellStyle name="Normal 5 12 4 2 2 2 2 3 2" xfId="29863" xr:uid="{00000000-0005-0000-0000-000080490000}"/>
    <cellStyle name="Normal 5 12 4 2 2 2 2 4" xfId="23259" xr:uid="{00000000-0005-0000-0000-000081490000}"/>
    <cellStyle name="Normal 5 12 4 2 2 2 3" xfId="8325" xr:uid="{00000000-0005-0000-0000-000082490000}"/>
    <cellStyle name="Normal 5 12 4 2 2 2 3 2" xfId="15588" xr:uid="{00000000-0005-0000-0000-000083490000}"/>
    <cellStyle name="Normal 5 12 4 2 2 2 3 2 2" xfId="31903" xr:uid="{00000000-0005-0000-0000-000084490000}"/>
    <cellStyle name="Normal 5 12 4 2 2 2 3 3" xfId="24938" xr:uid="{00000000-0005-0000-0000-000085490000}"/>
    <cellStyle name="Normal 5 12 4 2 2 2 4" xfId="11640" xr:uid="{00000000-0005-0000-0000-000086490000}"/>
    <cellStyle name="Normal 5 12 4 2 2 2 4 2" xfId="28238" xr:uid="{00000000-0005-0000-0000-000087490000}"/>
    <cellStyle name="Normal 5 12 4 2 2 2 5" xfId="4268" xr:uid="{00000000-0005-0000-0000-000088490000}"/>
    <cellStyle name="Normal 5 12 4 2 2 2 5 2" xfId="20991" xr:uid="{00000000-0005-0000-0000-000089490000}"/>
    <cellStyle name="Normal 5 12 4 2 2 2 6" xfId="19393" xr:uid="{00000000-0005-0000-0000-00008A490000}"/>
    <cellStyle name="Normal 5 12 4 2 2 3" xfId="2665" xr:uid="{00000000-0005-0000-0000-00008B490000}"/>
    <cellStyle name="Normal 5 12 4 2 2 3 2" xfId="9170" xr:uid="{00000000-0005-0000-0000-00008C490000}"/>
    <cellStyle name="Normal 5 12 4 2 2 3 2 2" xfId="16433" xr:uid="{00000000-0005-0000-0000-00008D490000}"/>
    <cellStyle name="Normal 5 12 4 2 2 3 2 2 2" xfId="32748" xr:uid="{00000000-0005-0000-0000-00008E490000}"/>
    <cellStyle name="Normal 5 12 4 2 2 3 2 3" xfId="25783" xr:uid="{00000000-0005-0000-0000-00008F490000}"/>
    <cellStyle name="Normal 5 12 4 2 2 3 3" xfId="12512" xr:uid="{00000000-0005-0000-0000-000090490000}"/>
    <cellStyle name="Normal 5 12 4 2 2 3 3 2" xfId="29087" xr:uid="{00000000-0005-0000-0000-000091490000}"/>
    <cellStyle name="Normal 5 12 4 2 2 3 4" xfId="5819" xr:uid="{00000000-0005-0000-0000-000092490000}"/>
    <cellStyle name="Normal 5 12 4 2 2 3 4 2" xfId="22483" xr:uid="{00000000-0005-0000-0000-000093490000}"/>
    <cellStyle name="Normal 5 12 4 2 2 3 5" xfId="19392" xr:uid="{00000000-0005-0000-0000-000094490000}"/>
    <cellStyle name="Normal 5 12 4 2 2 4" xfId="7549" xr:uid="{00000000-0005-0000-0000-000095490000}"/>
    <cellStyle name="Normal 5 12 4 2 2 4 2" xfId="14812" xr:uid="{00000000-0005-0000-0000-000096490000}"/>
    <cellStyle name="Normal 5 12 4 2 2 4 2 2" xfId="31127" xr:uid="{00000000-0005-0000-0000-000097490000}"/>
    <cellStyle name="Normal 5 12 4 2 2 4 3" xfId="24162" xr:uid="{00000000-0005-0000-0000-000098490000}"/>
    <cellStyle name="Normal 5 12 4 2 2 5" xfId="10864" xr:uid="{00000000-0005-0000-0000-000099490000}"/>
    <cellStyle name="Normal 5 12 4 2 2 5 2" xfId="27462" xr:uid="{00000000-0005-0000-0000-00009A490000}"/>
    <cellStyle name="Normal 5 12 4 2 2 6" xfId="4267" xr:uid="{00000000-0005-0000-0000-00009B490000}"/>
    <cellStyle name="Normal 5 12 4 2 2 6 2" xfId="20990" xr:uid="{00000000-0005-0000-0000-00009C490000}"/>
    <cellStyle name="Normal 5 12 4 2 2 7" xfId="18436" xr:uid="{00000000-0005-0000-0000-00009D490000}"/>
    <cellStyle name="Normal 5 12 4 2 3" xfId="2667" xr:uid="{00000000-0005-0000-0000-00009E490000}"/>
    <cellStyle name="Normal 5 12 4 2 3 2" xfId="6225" xr:uid="{00000000-0005-0000-0000-00009F490000}"/>
    <cellStyle name="Normal 5 12 4 2 3 2 2" xfId="9576" xr:uid="{00000000-0005-0000-0000-0000A0490000}"/>
    <cellStyle name="Normal 5 12 4 2 3 2 2 2" xfId="16839" xr:uid="{00000000-0005-0000-0000-0000A1490000}"/>
    <cellStyle name="Normal 5 12 4 2 3 2 2 2 2" xfId="33154" xr:uid="{00000000-0005-0000-0000-0000A2490000}"/>
    <cellStyle name="Normal 5 12 4 2 3 2 2 3" xfId="26189" xr:uid="{00000000-0005-0000-0000-0000A3490000}"/>
    <cellStyle name="Normal 5 12 4 2 3 2 3" xfId="12918" xr:uid="{00000000-0005-0000-0000-0000A4490000}"/>
    <cellStyle name="Normal 5 12 4 2 3 2 3 2" xfId="29493" xr:uid="{00000000-0005-0000-0000-0000A5490000}"/>
    <cellStyle name="Normal 5 12 4 2 3 2 4" xfId="22889" xr:uid="{00000000-0005-0000-0000-0000A6490000}"/>
    <cellStyle name="Normal 5 12 4 2 3 3" xfId="7955" xr:uid="{00000000-0005-0000-0000-0000A7490000}"/>
    <cellStyle name="Normal 5 12 4 2 3 3 2" xfId="15218" xr:uid="{00000000-0005-0000-0000-0000A8490000}"/>
    <cellStyle name="Normal 5 12 4 2 3 3 2 2" xfId="31533" xr:uid="{00000000-0005-0000-0000-0000A9490000}"/>
    <cellStyle name="Normal 5 12 4 2 3 3 3" xfId="24568" xr:uid="{00000000-0005-0000-0000-0000AA490000}"/>
    <cellStyle name="Normal 5 12 4 2 3 4" xfId="11270" xr:uid="{00000000-0005-0000-0000-0000AB490000}"/>
    <cellStyle name="Normal 5 12 4 2 3 4 2" xfId="27868" xr:uid="{00000000-0005-0000-0000-0000AC490000}"/>
    <cellStyle name="Normal 5 12 4 2 3 5" xfId="4269" xr:uid="{00000000-0005-0000-0000-0000AD490000}"/>
    <cellStyle name="Normal 5 12 4 2 3 5 2" xfId="20992" xr:uid="{00000000-0005-0000-0000-0000AE490000}"/>
    <cellStyle name="Normal 5 12 4 2 3 6" xfId="19394" xr:uid="{00000000-0005-0000-0000-0000AF490000}"/>
    <cellStyle name="Normal 5 12 4 2 4" xfId="2664" xr:uid="{00000000-0005-0000-0000-0000B0490000}"/>
    <cellStyle name="Normal 5 12 4 2 4 2" xfId="8763" xr:uid="{00000000-0005-0000-0000-0000B1490000}"/>
    <cellStyle name="Normal 5 12 4 2 4 2 2" xfId="16026" xr:uid="{00000000-0005-0000-0000-0000B2490000}"/>
    <cellStyle name="Normal 5 12 4 2 4 2 2 2" xfId="32341" xr:uid="{00000000-0005-0000-0000-0000B3490000}"/>
    <cellStyle name="Normal 5 12 4 2 4 2 3" xfId="25376" xr:uid="{00000000-0005-0000-0000-0000B4490000}"/>
    <cellStyle name="Normal 5 12 4 2 4 3" xfId="12105" xr:uid="{00000000-0005-0000-0000-0000B5490000}"/>
    <cellStyle name="Normal 5 12 4 2 4 3 2" xfId="28680" xr:uid="{00000000-0005-0000-0000-0000B6490000}"/>
    <cellStyle name="Normal 5 12 4 2 4 4" xfId="5412" xr:uid="{00000000-0005-0000-0000-0000B7490000}"/>
    <cellStyle name="Normal 5 12 4 2 4 4 2" xfId="22076" xr:uid="{00000000-0005-0000-0000-0000B8490000}"/>
    <cellStyle name="Normal 5 12 4 2 4 5" xfId="19391" xr:uid="{00000000-0005-0000-0000-0000B9490000}"/>
    <cellStyle name="Normal 5 12 4 2 5" xfId="7143" xr:uid="{00000000-0005-0000-0000-0000BA490000}"/>
    <cellStyle name="Normal 5 12 4 2 5 2" xfId="14406" xr:uid="{00000000-0005-0000-0000-0000BB490000}"/>
    <cellStyle name="Normal 5 12 4 2 5 2 2" xfId="30721" xr:uid="{00000000-0005-0000-0000-0000BC490000}"/>
    <cellStyle name="Normal 5 12 4 2 5 3" xfId="23756" xr:uid="{00000000-0005-0000-0000-0000BD490000}"/>
    <cellStyle name="Normal 5 12 4 2 6" xfId="10458" xr:uid="{00000000-0005-0000-0000-0000BE490000}"/>
    <cellStyle name="Normal 5 12 4 2 6 2" xfId="27056" xr:uid="{00000000-0005-0000-0000-0000BF490000}"/>
    <cellStyle name="Normal 5 12 4 2 7" xfId="4266" xr:uid="{00000000-0005-0000-0000-0000C0490000}"/>
    <cellStyle name="Normal 5 12 4 2 7 2" xfId="20989" xr:uid="{00000000-0005-0000-0000-0000C1490000}"/>
    <cellStyle name="Normal 5 12 4 2 8" xfId="17917" xr:uid="{00000000-0005-0000-0000-0000C2490000}"/>
    <cellStyle name="Normal 5 12 4 3" xfId="1518" xr:uid="{00000000-0005-0000-0000-0000C3490000}"/>
    <cellStyle name="Normal 5 12 4 3 2" xfId="2669" xr:uid="{00000000-0005-0000-0000-0000C4490000}"/>
    <cellStyle name="Normal 5 12 4 3 2 2" xfId="6419" xr:uid="{00000000-0005-0000-0000-0000C5490000}"/>
    <cellStyle name="Normal 5 12 4 3 2 2 2" xfId="9770" xr:uid="{00000000-0005-0000-0000-0000C6490000}"/>
    <cellStyle name="Normal 5 12 4 3 2 2 2 2" xfId="17033" xr:uid="{00000000-0005-0000-0000-0000C7490000}"/>
    <cellStyle name="Normal 5 12 4 3 2 2 2 2 2" xfId="33348" xr:uid="{00000000-0005-0000-0000-0000C8490000}"/>
    <cellStyle name="Normal 5 12 4 3 2 2 2 3" xfId="26383" xr:uid="{00000000-0005-0000-0000-0000C9490000}"/>
    <cellStyle name="Normal 5 12 4 3 2 2 3" xfId="13112" xr:uid="{00000000-0005-0000-0000-0000CA490000}"/>
    <cellStyle name="Normal 5 12 4 3 2 2 3 2" xfId="29687" xr:uid="{00000000-0005-0000-0000-0000CB490000}"/>
    <cellStyle name="Normal 5 12 4 3 2 2 4" xfId="23083" xr:uid="{00000000-0005-0000-0000-0000CC490000}"/>
    <cellStyle name="Normal 5 12 4 3 2 3" xfId="8149" xr:uid="{00000000-0005-0000-0000-0000CD490000}"/>
    <cellStyle name="Normal 5 12 4 3 2 3 2" xfId="15412" xr:uid="{00000000-0005-0000-0000-0000CE490000}"/>
    <cellStyle name="Normal 5 12 4 3 2 3 2 2" xfId="31727" xr:uid="{00000000-0005-0000-0000-0000CF490000}"/>
    <cellStyle name="Normal 5 12 4 3 2 3 3" xfId="24762" xr:uid="{00000000-0005-0000-0000-0000D0490000}"/>
    <cellStyle name="Normal 5 12 4 3 2 4" xfId="11464" xr:uid="{00000000-0005-0000-0000-0000D1490000}"/>
    <cellStyle name="Normal 5 12 4 3 2 4 2" xfId="28062" xr:uid="{00000000-0005-0000-0000-0000D2490000}"/>
    <cellStyle name="Normal 5 12 4 3 2 5" xfId="4271" xr:uid="{00000000-0005-0000-0000-0000D3490000}"/>
    <cellStyle name="Normal 5 12 4 3 2 5 2" xfId="20994" xr:uid="{00000000-0005-0000-0000-0000D4490000}"/>
    <cellStyle name="Normal 5 12 4 3 2 6" xfId="19396" xr:uid="{00000000-0005-0000-0000-0000D5490000}"/>
    <cellStyle name="Normal 5 12 4 3 3" xfId="2668" xr:uid="{00000000-0005-0000-0000-0000D6490000}"/>
    <cellStyle name="Normal 5 12 4 3 3 2" xfId="8958" xr:uid="{00000000-0005-0000-0000-0000D7490000}"/>
    <cellStyle name="Normal 5 12 4 3 3 2 2" xfId="16221" xr:uid="{00000000-0005-0000-0000-0000D8490000}"/>
    <cellStyle name="Normal 5 12 4 3 3 2 2 2" xfId="32536" xr:uid="{00000000-0005-0000-0000-0000D9490000}"/>
    <cellStyle name="Normal 5 12 4 3 3 2 3" xfId="25571" xr:uid="{00000000-0005-0000-0000-0000DA490000}"/>
    <cellStyle name="Normal 5 12 4 3 3 3" xfId="12300" xr:uid="{00000000-0005-0000-0000-0000DB490000}"/>
    <cellStyle name="Normal 5 12 4 3 3 3 2" xfId="28875" xr:uid="{00000000-0005-0000-0000-0000DC490000}"/>
    <cellStyle name="Normal 5 12 4 3 3 4" xfId="5607" xr:uid="{00000000-0005-0000-0000-0000DD490000}"/>
    <cellStyle name="Normal 5 12 4 3 3 4 2" xfId="22271" xr:uid="{00000000-0005-0000-0000-0000DE490000}"/>
    <cellStyle name="Normal 5 12 4 3 3 5" xfId="19395" xr:uid="{00000000-0005-0000-0000-0000DF490000}"/>
    <cellStyle name="Normal 5 12 4 3 4" xfId="7337" xr:uid="{00000000-0005-0000-0000-0000E0490000}"/>
    <cellStyle name="Normal 5 12 4 3 4 2" xfId="14600" xr:uid="{00000000-0005-0000-0000-0000E1490000}"/>
    <cellStyle name="Normal 5 12 4 3 4 2 2" xfId="30915" xr:uid="{00000000-0005-0000-0000-0000E2490000}"/>
    <cellStyle name="Normal 5 12 4 3 4 3" xfId="23950" xr:uid="{00000000-0005-0000-0000-0000E3490000}"/>
    <cellStyle name="Normal 5 12 4 3 5" xfId="10652" xr:uid="{00000000-0005-0000-0000-0000E4490000}"/>
    <cellStyle name="Normal 5 12 4 3 5 2" xfId="27250" xr:uid="{00000000-0005-0000-0000-0000E5490000}"/>
    <cellStyle name="Normal 5 12 4 3 6" xfId="4270" xr:uid="{00000000-0005-0000-0000-0000E6490000}"/>
    <cellStyle name="Normal 5 12 4 3 6 2" xfId="20993" xr:uid="{00000000-0005-0000-0000-0000E7490000}"/>
    <cellStyle name="Normal 5 12 4 3 7" xfId="18253" xr:uid="{00000000-0005-0000-0000-0000E8490000}"/>
    <cellStyle name="Normal 5 12 4 4" xfId="2670" xr:uid="{00000000-0005-0000-0000-0000E9490000}"/>
    <cellStyle name="Normal 5 12 4 4 2" xfId="6013" xr:uid="{00000000-0005-0000-0000-0000EA490000}"/>
    <cellStyle name="Normal 5 12 4 4 2 2" xfId="9364" xr:uid="{00000000-0005-0000-0000-0000EB490000}"/>
    <cellStyle name="Normal 5 12 4 4 2 2 2" xfId="16627" xr:uid="{00000000-0005-0000-0000-0000EC490000}"/>
    <cellStyle name="Normal 5 12 4 4 2 2 2 2" xfId="32942" xr:uid="{00000000-0005-0000-0000-0000ED490000}"/>
    <cellStyle name="Normal 5 12 4 4 2 2 3" xfId="25977" xr:uid="{00000000-0005-0000-0000-0000EE490000}"/>
    <cellStyle name="Normal 5 12 4 4 2 3" xfId="12706" xr:uid="{00000000-0005-0000-0000-0000EF490000}"/>
    <cellStyle name="Normal 5 12 4 4 2 3 2" xfId="29281" xr:uid="{00000000-0005-0000-0000-0000F0490000}"/>
    <cellStyle name="Normal 5 12 4 4 2 4" xfId="22677" xr:uid="{00000000-0005-0000-0000-0000F1490000}"/>
    <cellStyle name="Normal 5 12 4 4 3" xfId="7743" xr:uid="{00000000-0005-0000-0000-0000F2490000}"/>
    <cellStyle name="Normal 5 12 4 4 3 2" xfId="15006" xr:uid="{00000000-0005-0000-0000-0000F3490000}"/>
    <cellStyle name="Normal 5 12 4 4 3 2 2" xfId="31321" xr:uid="{00000000-0005-0000-0000-0000F4490000}"/>
    <cellStyle name="Normal 5 12 4 4 3 3" xfId="24356" xr:uid="{00000000-0005-0000-0000-0000F5490000}"/>
    <cellStyle name="Normal 5 12 4 4 4" xfId="11058" xr:uid="{00000000-0005-0000-0000-0000F6490000}"/>
    <cellStyle name="Normal 5 12 4 4 4 2" xfId="27656" xr:uid="{00000000-0005-0000-0000-0000F7490000}"/>
    <cellStyle name="Normal 5 12 4 4 5" xfId="4272" xr:uid="{00000000-0005-0000-0000-0000F8490000}"/>
    <cellStyle name="Normal 5 12 4 4 5 2" xfId="20995" xr:uid="{00000000-0005-0000-0000-0000F9490000}"/>
    <cellStyle name="Normal 5 12 4 4 6" xfId="19397" xr:uid="{00000000-0005-0000-0000-0000FA490000}"/>
    <cellStyle name="Normal 5 12 4 5" xfId="2663" xr:uid="{00000000-0005-0000-0000-0000FB490000}"/>
    <cellStyle name="Normal 5 12 4 5 2" xfId="8579" xr:uid="{00000000-0005-0000-0000-0000FC490000}"/>
    <cellStyle name="Normal 5 12 4 5 2 2" xfId="15842" xr:uid="{00000000-0005-0000-0000-0000FD490000}"/>
    <cellStyle name="Normal 5 12 4 5 2 2 2" xfId="32157" xr:uid="{00000000-0005-0000-0000-0000FE490000}"/>
    <cellStyle name="Normal 5 12 4 5 2 3" xfId="25192" xr:uid="{00000000-0005-0000-0000-0000FF490000}"/>
    <cellStyle name="Normal 5 12 4 5 3" xfId="11921" xr:uid="{00000000-0005-0000-0000-0000004A0000}"/>
    <cellStyle name="Normal 5 12 4 5 3 2" xfId="28496" xr:uid="{00000000-0005-0000-0000-0000014A0000}"/>
    <cellStyle name="Normal 5 12 4 5 4" xfId="5228" xr:uid="{00000000-0005-0000-0000-0000024A0000}"/>
    <cellStyle name="Normal 5 12 4 5 4 2" xfId="21892" xr:uid="{00000000-0005-0000-0000-0000034A0000}"/>
    <cellStyle name="Normal 5 12 4 5 5" xfId="19390" xr:uid="{00000000-0005-0000-0000-0000044A0000}"/>
    <cellStyle name="Normal 5 12 4 6" xfId="6960" xr:uid="{00000000-0005-0000-0000-0000054A0000}"/>
    <cellStyle name="Normal 5 12 4 6 2" xfId="14223" xr:uid="{00000000-0005-0000-0000-0000064A0000}"/>
    <cellStyle name="Normal 5 12 4 6 2 2" xfId="30538" xr:uid="{00000000-0005-0000-0000-0000074A0000}"/>
    <cellStyle name="Normal 5 12 4 6 3" xfId="23573" xr:uid="{00000000-0005-0000-0000-0000084A0000}"/>
    <cellStyle name="Normal 5 12 4 7" xfId="10274" xr:uid="{00000000-0005-0000-0000-0000094A0000}"/>
    <cellStyle name="Normal 5 12 4 7 2" xfId="26873" xr:uid="{00000000-0005-0000-0000-00000A4A0000}"/>
    <cellStyle name="Normal 5 12 4 8" xfId="4265" xr:uid="{00000000-0005-0000-0000-00000B4A0000}"/>
    <cellStyle name="Normal 5 12 4 8 2" xfId="20988" xr:uid="{00000000-0005-0000-0000-00000C4A0000}"/>
    <cellStyle name="Normal 5 12 4 9" xfId="17734" xr:uid="{00000000-0005-0000-0000-00000D4A0000}"/>
    <cellStyle name="Normal 5 12 5" xfId="1173" xr:uid="{00000000-0005-0000-0000-00000E4A0000}"/>
    <cellStyle name="Normal 5 12 5 2" xfId="1694" xr:uid="{00000000-0005-0000-0000-00000F4A0000}"/>
    <cellStyle name="Normal 5 12 5 2 2" xfId="2673" xr:uid="{00000000-0005-0000-0000-0000104A0000}"/>
    <cellStyle name="Normal 5 12 5 2 2 2" xfId="6588" xr:uid="{00000000-0005-0000-0000-0000114A0000}"/>
    <cellStyle name="Normal 5 12 5 2 2 2 2" xfId="9939" xr:uid="{00000000-0005-0000-0000-0000124A0000}"/>
    <cellStyle name="Normal 5 12 5 2 2 2 2 2" xfId="17202" xr:uid="{00000000-0005-0000-0000-0000134A0000}"/>
    <cellStyle name="Normal 5 12 5 2 2 2 2 2 2" xfId="33517" xr:uid="{00000000-0005-0000-0000-0000144A0000}"/>
    <cellStyle name="Normal 5 12 5 2 2 2 2 3" xfId="26552" xr:uid="{00000000-0005-0000-0000-0000154A0000}"/>
    <cellStyle name="Normal 5 12 5 2 2 2 3" xfId="13281" xr:uid="{00000000-0005-0000-0000-0000164A0000}"/>
    <cellStyle name="Normal 5 12 5 2 2 2 3 2" xfId="29856" xr:uid="{00000000-0005-0000-0000-0000174A0000}"/>
    <cellStyle name="Normal 5 12 5 2 2 2 4" xfId="23252" xr:uid="{00000000-0005-0000-0000-0000184A0000}"/>
    <cellStyle name="Normal 5 12 5 2 2 3" xfId="8318" xr:uid="{00000000-0005-0000-0000-0000194A0000}"/>
    <cellStyle name="Normal 5 12 5 2 2 3 2" xfId="15581" xr:uid="{00000000-0005-0000-0000-00001A4A0000}"/>
    <cellStyle name="Normal 5 12 5 2 2 3 2 2" xfId="31896" xr:uid="{00000000-0005-0000-0000-00001B4A0000}"/>
    <cellStyle name="Normal 5 12 5 2 2 3 3" xfId="24931" xr:uid="{00000000-0005-0000-0000-00001C4A0000}"/>
    <cellStyle name="Normal 5 12 5 2 2 4" xfId="11633" xr:uid="{00000000-0005-0000-0000-00001D4A0000}"/>
    <cellStyle name="Normal 5 12 5 2 2 4 2" xfId="28231" xr:uid="{00000000-0005-0000-0000-00001E4A0000}"/>
    <cellStyle name="Normal 5 12 5 2 2 5" xfId="4275" xr:uid="{00000000-0005-0000-0000-00001F4A0000}"/>
    <cellStyle name="Normal 5 12 5 2 2 5 2" xfId="20998" xr:uid="{00000000-0005-0000-0000-0000204A0000}"/>
    <cellStyle name="Normal 5 12 5 2 2 6" xfId="19400" xr:uid="{00000000-0005-0000-0000-0000214A0000}"/>
    <cellStyle name="Normal 5 12 5 2 3" xfId="2672" xr:uid="{00000000-0005-0000-0000-0000224A0000}"/>
    <cellStyle name="Normal 5 12 5 2 3 2" xfId="9163" xr:uid="{00000000-0005-0000-0000-0000234A0000}"/>
    <cellStyle name="Normal 5 12 5 2 3 2 2" xfId="16426" xr:uid="{00000000-0005-0000-0000-0000244A0000}"/>
    <cellStyle name="Normal 5 12 5 2 3 2 2 2" xfId="32741" xr:uid="{00000000-0005-0000-0000-0000254A0000}"/>
    <cellStyle name="Normal 5 12 5 2 3 2 3" xfId="25776" xr:uid="{00000000-0005-0000-0000-0000264A0000}"/>
    <cellStyle name="Normal 5 12 5 2 3 3" xfId="12505" xr:uid="{00000000-0005-0000-0000-0000274A0000}"/>
    <cellStyle name="Normal 5 12 5 2 3 3 2" xfId="29080" xr:uid="{00000000-0005-0000-0000-0000284A0000}"/>
    <cellStyle name="Normal 5 12 5 2 3 4" xfId="5812" xr:uid="{00000000-0005-0000-0000-0000294A0000}"/>
    <cellStyle name="Normal 5 12 5 2 3 4 2" xfId="22476" xr:uid="{00000000-0005-0000-0000-00002A4A0000}"/>
    <cellStyle name="Normal 5 12 5 2 3 5" xfId="19399" xr:uid="{00000000-0005-0000-0000-00002B4A0000}"/>
    <cellStyle name="Normal 5 12 5 2 4" xfId="7542" xr:uid="{00000000-0005-0000-0000-00002C4A0000}"/>
    <cellStyle name="Normal 5 12 5 2 4 2" xfId="14805" xr:uid="{00000000-0005-0000-0000-00002D4A0000}"/>
    <cellStyle name="Normal 5 12 5 2 4 2 2" xfId="31120" xr:uid="{00000000-0005-0000-0000-00002E4A0000}"/>
    <cellStyle name="Normal 5 12 5 2 4 3" xfId="24155" xr:uid="{00000000-0005-0000-0000-00002F4A0000}"/>
    <cellStyle name="Normal 5 12 5 2 5" xfId="10857" xr:uid="{00000000-0005-0000-0000-0000304A0000}"/>
    <cellStyle name="Normal 5 12 5 2 5 2" xfId="27455" xr:uid="{00000000-0005-0000-0000-0000314A0000}"/>
    <cellStyle name="Normal 5 12 5 2 6" xfId="4274" xr:uid="{00000000-0005-0000-0000-0000324A0000}"/>
    <cellStyle name="Normal 5 12 5 2 6 2" xfId="20997" xr:uid="{00000000-0005-0000-0000-0000334A0000}"/>
    <cellStyle name="Normal 5 12 5 2 7" xfId="18429" xr:uid="{00000000-0005-0000-0000-0000344A0000}"/>
    <cellStyle name="Normal 5 12 5 3" xfId="2674" xr:uid="{00000000-0005-0000-0000-0000354A0000}"/>
    <cellStyle name="Normal 5 12 5 3 2" xfId="6218" xr:uid="{00000000-0005-0000-0000-0000364A0000}"/>
    <cellStyle name="Normal 5 12 5 3 2 2" xfId="9569" xr:uid="{00000000-0005-0000-0000-0000374A0000}"/>
    <cellStyle name="Normal 5 12 5 3 2 2 2" xfId="16832" xr:uid="{00000000-0005-0000-0000-0000384A0000}"/>
    <cellStyle name="Normal 5 12 5 3 2 2 2 2" xfId="33147" xr:uid="{00000000-0005-0000-0000-0000394A0000}"/>
    <cellStyle name="Normal 5 12 5 3 2 2 3" xfId="26182" xr:uid="{00000000-0005-0000-0000-00003A4A0000}"/>
    <cellStyle name="Normal 5 12 5 3 2 3" xfId="12911" xr:uid="{00000000-0005-0000-0000-00003B4A0000}"/>
    <cellStyle name="Normal 5 12 5 3 2 3 2" xfId="29486" xr:uid="{00000000-0005-0000-0000-00003C4A0000}"/>
    <cellStyle name="Normal 5 12 5 3 2 4" xfId="22882" xr:uid="{00000000-0005-0000-0000-00003D4A0000}"/>
    <cellStyle name="Normal 5 12 5 3 3" xfId="7948" xr:uid="{00000000-0005-0000-0000-00003E4A0000}"/>
    <cellStyle name="Normal 5 12 5 3 3 2" xfId="15211" xr:uid="{00000000-0005-0000-0000-00003F4A0000}"/>
    <cellStyle name="Normal 5 12 5 3 3 2 2" xfId="31526" xr:uid="{00000000-0005-0000-0000-0000404A0000}"/>
    <cellStyle name="Normal 5 12 5 3 3 3" xfId="24561" xr:uid="{00000000-0005-0000-0000-0000414A0000}"/>
    <cellStyle name="Normal 5 12 5 3 4" xfId="11263" xr:uid="{00000000-0005-0000-0000-0000424A0000}"/>
    <cellStyle name="Normal 5 12 5 3 4 2" xfId="27861" xr:uid="{00000000-0005-0000-0000-0000434A0000}"/>
    <cellStyle name="Normal 5 12 5 3 5" xfId="4276" xr:uid="{00000000-0005-0000-0000-0000444A0000}"/>
    <cellStyle name="Normal 5 12 5 3 5 2" xfId="20999" xr:uid="{00000000-0005-0000-0000-0000454A0000}"/>
    <cellStyle name="Normal 5 12 5 3 6" xfId="19401" xr:uid="{00000000-0005-0000-0000-0000464A0000}"/>
    <cellStyle name="Normal 5 12 5 4" xfId="2671" xr:uid="{00000000-0005-0000-0000-0000474A0000}"/>
    <cellStyle name="Normal 5 12 5 4 2" xfId="8756" xr:uid="{00000000-0005-0000-0000-0000484A0000}"/>
    <cellStyle name="Normal 5 12 5 4 2 2" xfId="16019" xr:uid="{00000000-0005-0000-0000-0000494A0000}"/>
    <cellStyle name="Normal 5 12 5 4 2 2 2" xfId="32334" xr:uid="{00000000-0005-0000-0000-00004A4A0000}"/>
    <cellStyle name="Normal 5 12 5 4 2 3" xfId="25369" xr:uid="{00000000-0005-0000-0000-00004B4A0000}"/>
    <cellStyle name="Normal 5 12 5 4 3" xfId="12098" xr:uid="{00000000-0005-0000-0000-00004C4A0000}"/>
    <cellStyle name="Normal 5 12 5 4 3 2" xfId="28673" xr:uid="{00000000-0005-0000-0000-00004D4A0000}"/>
    <cellStyle name="Normal 5 12 5 4 4" xfId="5405" xr:uid="{00000000-0005-0000-0000-00004E4A0000}"/>
    <cellStyle name="Normal 5 12 5 4 4 2" xfId="22069" xr:uid="{00000000-0005-0000-0000-00004F4A0000}"/>
    <cellStyle name="Normal 5 12 5 4 5" xfId="19398" xr:uid="{00000000-0005-0000-0000-0000504A0000}"/>
    <cellStyle name="Normal 5 12 5 5" xfId="7136" xr:uid="{00000000-0005-0000-0000-0000514A0000}"/>
    <cellStyle name="Normal 5 12 5 5 2" xfId="14399" xr:uid="{00000000-0005-0000-0000-0000524A0000}"/>
    <cellStyle name="Normal 5 12 5 5 2 2" xfId="30714" xr:uid="{00000000-0005-0000-0000-0000534A0000}"/>
    <cellStyle name="Normal 5 12 5 5 3" xfId="23749" xr:uid="{00000000-0005-0000-0000-0000544A0000}"/>
    <cellStyle name="Normal 5 12 5 6" xfId="10451" xr:uid="{00000000-0005-0000-0000-0000554A0000}"/>
    <cellStyle name="Normal 5 12 5 6 2" xfId="27049" xr:uid="{00000000-0005-0000-0000-0000564A0000}"/>
    <cellStyle name="Normal 5 12 5 7" xfId="4273" xr:uid="{00000000-0005-0000-0000-0000574A0000}"/>
    <cellStyle name="Normal 5 12 5 7 2" xfId="20996" xr:uid="{00000000-0005-0000-0000-0000584A0000}"/>
    <cellStyle name="Normal 5 12 5 8" xfId="17910" xr:uid="{00000000-0005-0000-0000-0000594A0000}"/>
    <cellStyle name="Normal 5 12 6" xfId="2675" xr:uid="{00000000-0005-0000-0000-00005A4A0000}"/>
    <cellStyle name="Normal 5 12 6 2" xfId="2676" xr:uid="{00000000-0005-0000-0000-00005B4A0000}"/>
    <cellStyle name="Normal 5 12 6 2 2" xfId="6412" xr:uid="{00000000-0005-0000-0000-00005C4A0000}"/>
    <cellStyle name="Normal 5 12 6 2 2 2" xfId="9763" xr:uid="{00000000-0005-0000-0000-00005D4A0000}"/>
    <cellStyle name="Normal 5 12 6 2 2 2 2" xfId="17026" xr:uid="{00000000-0005-0000-0000-00005E4A0000}"/>
    <cellStyle name="Normal 5 12 6 2 2 2 2 2" xfId="33341" xr:uid="{00000000-0005-0000-0000-00005F4A0000}"/>
    <cellStyle name="Normal 5 12 6 2 2 2 3" xfId="26376" xr:uid="{00000000-0005-0000-0000-0000604A0000}"/>
    <cellStyle name="Normal 5 12 6 2 2 3" xfId="13105" xr:uid="{00000000-0005-0000-0000-0000614A0000}"/>
    <cellStyle name="Normal 5 12 6 2 2 3 2" xfId="29680" xr:uid="{00000000-0005-0000-0000-0000624A0000}"/>
    <cellStyle name="Normal 5 12 6 2 2 4" xfId="23076" xr:uid="{00000000-0005-0000-0000-0000634A0000}"/>
    <cellStyle name="Normal 5 12 6 2 3" xfId="8142" xr:uid="{00000000-0005-0000-0000-0000644A0000}"/>
    <cellStyle name="Normal 5 12 6 2 3 2" xfId="15405" xr:uid="{00000000-0005-0000-0000-0000654A0000}"/>
    <cellStyle name="Normal 5 12 6 2 3 2 2" xfId="31720" xr:uid="{00000000-0005-0000-0000-0000664A0000}"/>
    <cellStyle name="Normal 5 12 6 2 3 3" xfId="24755" xr:uid="{00000000-0005-0000-0000-0000674A0000}"/>
    <cellStyle name="Normal 5 12 6 2 4" xfId="11457" xr:uid="{00000000-0005-0000-0000-0000684A0000}"/>
    <cellStyle name="Normal 5 12 6 2 4 2" xfId="28055" xr:uid="{00000000-0005-0000-0000-0000694A0000}"/>
    <cellStyle name="Normal 5 12 6 2 5" xfId="4278" xr:uid="{00000000-0005-0000-0000-00006A4A0000}"/>
    <cellStyle name="Normal 5 12 6 2 5 2" xfId="21001" xr:uid="{00000000-0005-0000-0000-00006B4A0000}"/>
    <cellStyle name="Normal 5 12 6 2 6" xfId="19403" xr:uid="{00000000-0005-0000-0000-00006C4A0000}"/>
    <cellStyle name="Normal 5 12 6 3" xfId="5600" xr:uid="{00000000-0005-0000-0000-00006D4A0000}"/>
    <cellStyle name="Normal 5 12 6 3 2" xfId="8951" xr:uid="{00000000-0005-0000-0000-00006E4A0000}"/>
    <cellStyle name="Normal 5 12 6 3 2 2" xfId="16214" xr:uid="{00000000-0005-0000-0000-00006F4A0000}"/>
    <cellStyle name="Normal 5 12 6 3 2 2 2" xfId="32529" xr:uid="{00000000-0005-0000-0000-0000704A0000}"/>
    <cellStyle name="Normal 5 12 6 3 2 3" xfId="25564" xr:uid="{00000000-0005-0000-0000-0000714A0000}"/>
    <cellStyle name="Normal 5 12 6 3 3" xfId="12293" xr:uid="{00000000-0005-0000-0000-0000724A0000}"/>
    <cellStyle name="Normal 5 12 6 3 3 2" xfId="28868" xr:uid="{00000000-0005-0000-0000-0000734A0000}"/>
    <cellStyle name="Normal 5 12 6 3 4" xfId="22264" xr:uid="{00000000-0005-0000-0000-0000744A0000}"/>
    <cellStyle name="Normal 5 12 6 4" xfId="7330" xr:uid="{00000000-0005-0000-0000-0000754A0000}"/>
    <cellStyle name="Normal 5 12 6 4 2" xfId="14593" xr:uid="{00000000-0005-0000-0000-0000764A0000}"/>
    <cellStyle name="Normal 5 12 6 4 2 2" xfId="30908" xr:uid="{00000000-0005-0000-0000-0000774A0000}"/>
    <cellStyle name="Normal 5 12 6 4 3" xfId="23943" xr:uid="{00000000-0005-0000-0000-0000784A0000}"/>
    <cellStyle name="Normal 5 12 6 5" xfId="10645" xr:uid="{00000000-0005-0000-0000-0000794A0000}"/>
    <cellStyle name="Normal 5 12 6 5 2" xfId="27243" xr:uid="{00000000-0005-0000-0000-00007A4A0000}"/>
    <cellStyle name="Normal 5 12 6 6" xfId="4277" xr:uid="{00000000-0005-0000-0000-00007B4A0000}"/>
    <cellStyle name="Normal 5 12 6 6 2" xfId="21000" xr:uid="{00000000-0005-0000-0000-00007C4A0000}"/>
    <cellStyle name="Normal 5 12 6 7" xfId="19402" xr:uid="{00000000-0005-0000-0000-00007D4A0000}"/>
    <cellStyle name="Normal 5 12 7" xfId="2677" xr:uid="{00000000-0005-0000-0000-00007E4A0000}"/>
    <cellStyle name="Normal 5 12 7 2" xfId="6006" xr:uid="{00000000-0005-0000-0000-00007F4A0000}"/>
    <cellStyle name="Normal 5 12 7 2 2" xfId="9357" xr:uid="{00000000-0005-0000-0000-0000804A0000}"/>
    <cellStyle name="Normal 5 12 7 2 2 2" xfId="16620" xr:uid="{00000000-0005-0000-0000-0000814A0000}"/>
    <cellStyle name="Normal 5 12 7 2 2 2 2" xfId="32935" xr:uid="{00000000-0005-0000-0000-0000824A0000}"/>
    <cellStyle name="Normal 5 12 7 2 2 3" xfId="25970" xr:uid="{00000000-0005-0000-0000-0000834A0000}"/>
    <cellStyle name="Normal 5 12 7 2 3" xfId="12699" xr:uid="{00000000-0005-0000-0000-0000844A0000}"/>
    <cellStyle name="Normal 5 12 7 2 3 2" xfId="29274" xr:uid="{00000000-0005-0000-0000-0000854A0000}"/>
    <cellStyle name="Normal 5 12 7 2 4" xfId="22670" xr:uid="{00000000-0005-0000-0000-0000864A0000}"/>
    <cellStyle name="Normal 5 12 7 3" xfId="7736" xr:uid="{00000000-0005-0000-0000-0000874A0000}"/>
    <cellStyle name="Normal 5 12 7 3 2" xfId="14999" xr:uid="{00000000-0005-0000-0000-0000884A0000}"/>
    <cellStyle name="Normal 5 12 7 3 2 2" xfId="31314" xr:uid="{00000000-0005-0000-0000-0000894A0000}"/>
    <cellStyle name="Normal 5 12 7 3 3" xfId="24349" xr:uid="{00000000-0005-0000-0000-00008A4A0000}"/>
    <cellStyle name="Normal 5 12 7 4" xfId="11051" xr:uid="{00000000-0005-0000-0000-00008B4A0000}"/>
    <cellStyle name="Normal 5 12 7 4 2" xfId="27649" xr:uid="{00000000-0005-0000-0000-00008C4A0000}"/>
    <cellStyle name="Normal 5 12 7 5" xfId="4279" xr:uid="{00000000-0005-0000-0000-00008D4A0000}"/>
    <cellStyle name="Normal 5 12 7 5 2" xfId="21002" xr:uid="{00000000-0005-0000-0000-00008E4A0000}"/>
    <cellStyle name="Normal 5 12 7 6" xfId="19404" xr:uid="{00000000-0005-0000-0000-00008F4A0000}"/>
    <cellStyle name="Normal 5 12 8" xfId="5083" xr:uid="{00000000-0005-0000-0000-0000904A0000}"/>
    <cellStyle name="Normal 5 12 9" xfId="5116" xr:uid="{00000000-0005-0000-0000-0000914A0000}"/>
    <cellStyle name="Normal 5 12 9 2" xfId="8469" xr:uid="{00000000-0005-0000-0000-0000924A0000}"/>
    <cellStyle name="Normal 5 12 9 2 2" xfId="15732" xr:uid="{00000000-0005-0000-0000-0000934A0000}"/>
    <cellStyle name="Normal 5 12 9 2 2 2" xfId="32047" xr:uid="{00000000-0005-0000-0000-0000944A0000}"/>
    <cellStyle name="Normal 5 12 9 2 3" xfId="25082" xr:uid="{00000000-0005-0000-0000-0000954A0000}"/>
    <cellStyle name="Normal 5 12 9 3" xfId="11810" xr:uid="{00000000-0005-0000-0000-0000964A0000}"/>
    <cellStyle name="Normal 5 12 9 3 2" xfId="28386" xr:uid="{00000000-0005-0000-0000-0000974A0000}"/>
    <cellStyle name="Normal 5 12 9 4" xfId="21782" xr:uid="{00000000-0005-0000-0000-0000984A0000}"/>
    <cellStyle name="Normal 5 13" xfId="877" xr:uid="{00000000-0005-0000-0000-0000994A0000}"/>
    <cellStyle name="Normal 5 13 10" xfId="4280" xr:uid="{00000000-0005-0000-0000-00009A4A0000}"/>
    <cellStyle name="Normal 5 13 10 2" xfId="21003" xr:uid="{00000000-0005-0000-0000-00009B4A0000}"/>
    <cellStyle name="Normal 5 13 11" xfId="17655" xr:uid="{00000000-0005-0000-0000-00009C4A0000}"/>
    <cellStyle name="Normal 5 13 2" xfId="930" xr:uid="{00000000-0005-0000-0000-00009D4A0000}"/>
    <cellStyle name="Normal 5 13 2 10" xfId="17708" xr:uid="{00000000-0005-0000-0000-00009E4A0000}"/>
    <cellStyle name="Normal 5 13 2 2" xfId="1037" xr:uid="{00000000-0005-0000-0000-00009F4A0000}"/>
    <cellStyle name="Normal 5 13 2 2 2" xfId="1183" xr:uid="{00000000-0005-0000-0000-0000A04A0000}"/>
    <cellStyle name="Normal 5 13 2 2 2 2" xfId="1704" xr:uid="{00000000-0005-0000-0000-0000A14A0000}"/>
    <cellStyle name="Normal 5 13 2 2 2 2 2" xfId="2683" xr:uid="{00000000-0005-0000-0000-0000A24A0000}"/>
    <cellStyle name="Normal 5 13 2 2 2 2 2 2" xfId="6598" xr:uid="{00000000-0005-0000-0000-0000A34A0000}"/>
    <cellStyle name="Normal 5 13 2 2 2 2 2 2 2" xfId="9949" xr:uid="{00000000-0005-0000-0000-0000A44A0000}"/>
    <cellStyle name="Normal 5 13 2 2 2 2 2 2 2 2" xfId="17212" xr:uid="{00000000-0005-0000-0000-0000A54A0000}"/>
    <cellStyle name="Normal 5 13 2 2 2 2 2 2 2 2 2" xfId="33527" xr:uid="{00000000-0005-0000-0000-0000A64A0000}"/>
    <cellStyle name="Normal 5 13 2 2 2 2 2 2 2 3" xfId="26562" xr:uid="{00000000-0005-0000-0000-0000A74A0000}"/>
    <cellStyle name="Normal 5 13 2 2 2 2 2 2 3" xfId="13291" xr:uid="{00000000-0005-0000-0000-0000A84A0000}"/>
    <cellStyle name="Normal 5 13 2 2 2 2 2 2 3 2" xfId="29866" xr:uid="{00000000-0005-0000-0000-0000A94A0000}"/>
    <cellStyle name="Normal 5 13 2 2 2 2 2 2 4" xfId="23262" xr:uid="{00000000-0005-0000-0000-0000AA4A0000}"/>
    <cellStyle name="Normal 5 13 2 2 2 2 2 3" xfId="8328" xr:uid="{00000000-0005-0000-0000-0000AB4A0000}"/>
    <cellStyle name="Normal 5 13 2 2 2 2 2 3 2" xfId="15591" xr:uid="{00000000-0005-0000-0000-0000AC4A0000}"/>
    <cellStyle name="Normal 5 13 2 2 2 2 2 3 2 2" xfId="31906" xr:uid="{00000000-0005-0000-0000-0000AD4A0000}"/>
    <cellStyle name="Normal 5 13 2 2 2 2 2 3 3" xfId="24941" xr:uid="{00000000-0005-0000-0000-0000AE4A0000}"/>
    <cellStyle name="Normal 5 13 2 2 2 2 2 4" xfId="11643" xr:uid="{00000000-0005-0000-0000-0000AF4A0000}"/>
    <cellStyle name="Normal 5 13 2 2 2 2 2 4 2" xfId="28241" xr:uid="{00000000-0005-0000-0000-0000B04A0000}"/>
    <cellStyle name="Normal 5 13 2 2 2 2 2 5" xfId="4285" xr:uid="{00000000-0005-0000-0000-0000B14A0000}"/>
    <cellStyle name="Normal 5 13 2 2 2 2 2 5 2" xfId="21008" xr:uid="{00000000-0005-0000-0000-0000B24A0000}"/>
    <cellStyle name="Normal 5 13 2 2 2 2 2 6" xfId="19410" xr:uid="{00000000-0005-0000-0000-0000B34A0000}"/>
    <cellStyle name="Normal 5 13 2 2 2 2 3" xfId="2682" xr:uid="{00000000-0005-0000-0000-0000B44A0000}"/>
    <cellStyle name="Normal 5 13 2 2 2 2 3 2" xfId="9173" xr:uid="{00000000-0005-0000-0000-0000B54A0000}"/>
    <cellStyle name="Normal 5 13 2 2 2 2 3 2 2" xfId="16436" xr:uid="{00000000-0005-0000-0000-0000B64A0000}"/>
    <cellStyle name="Normal 5 13 2 2 2 2 3 2 2 2" xfId="32751" xr:uid="{00000000-0005-0000-0000-0000B74A0000}"/>
    <cellStyle name="Normal 5 13 2 2 2 2 3 2 3" xfId="25786" xr:uid="{00000000-0005-0000-0000-0000B84A0000}"/>
    <cellStyle name="Normal 5 13 2 2 2 2 3 3" xfId="12515" xr:uid="{00000000-0005-0000-0000-0000B94A0000}"/>
    <cellStyle name="Normal 5 13 2 2 2 2 3 3 2" xfId="29090" xr:uid="{00000000-0005-0000-0000-0000BA4A0000}"/>
    <cellStyle name="Normal 5 13 2 2 2 2 3 4" xfId="5822" xr:uid="{00000000-0005-0000-0000-0000BB4A0000}"/>
    <cellStyle name="Normal 5 13 2 2 2 2 3 4 2" xfId="22486" xr:uid="{00000000-0005-0000-0000-0000BC4A0000}"/>
    <cellStyle name="Normal 5 13 2 2 2 2 3 5" xfId="19409" xr:uid="{00000000-0005-0000-0000-0000BD4A0000}"/>
    <cellStyle name="Normal 5 13 2 2 2 2 4" xfId="7552" xr:uid="{00000000-0005-0000-0000-0000BE4A0000}"/>
    <cellStyle name="Normal 5 13 2 2 2 2 4 2" xfId="14815" xr:uid="{00000000-0005-0000-0000-0000BF4A0000}"/>
    <cellStyle name="Normal 5 13 2 2 2 2 4 2 2" xfId="31130" xr:uid="{00000000-0005-0000-0000-0000C04A0000}"/>
    <cellStyle name="Normal 5 13 2 2 2 2 4 3" xfId="24165" xr:uid="{00000000-0005-0000-0000-0000C14A0000}"/>
    <cellStyle name="Normal 5 13 2 2 2 2 5" xfId="10867" xr:uid="{00000000-0005-0000-0000-0000C24A0000}"/>
    <cellStyle name="Normal 5 13 2 2 2 2 5 2" xfId="27465" xr:uid="{00000000-0005-0000-0000-0000C34A0000}"/>
    <cellStyle name="Normal 5 13 2 2 2 2 6" xfId="4284" xr:uid="{00000000-0005-0000-0000-0000C44A0000}"/>
    <cellStyle name="Normal 5 13 2 2 2 2 6 2" xfId="21007" xr:uid="{00000000-0005-0000-0000-0000C54A0000}"/>
    <cellStyle name="Normal 5 13 2 2 2 2 7" xfId="18439" xr:uid="{00000000-0005-0000-0000-0000C64A0000}"/>
    <cellStyle name="Normal 5 13 2 2 2 3" xfId="2684" xr:uid="{00000000-0005-0000-0000-0000C74A0000}"/>
    <cellStyle name="Normal 5 13 2 2 2 3 2" xfId="6228" xr:uid="{00000000-0005-0000-0000-0000C84A0000}"/>
    <cellStyle name="Normal 5 13 2 2 2 3 2 2" xfId="9579" xr:uid="{00000000-0005-0000-0000-0000C94A0000}"/>
    <cellStyle name="Normal 5 13 2 2 2 3 2 2 2" xfId="16842" xr:uid="{00000000-0005-0000-0000-0000CA4A0000}"/>
    <cellStyle name="Normal 5 13 2 2 2 3 2 2 2 2" xfId="33157" xr:uid="{00000000-0005-0000-0000-0000CB4A0000}"/>
    <cellStyle name="Normal 5 13 2 2 2 3 2 2 3" xfId="26192" xr:uid="{00000000-0005-0000-0000-0000CC4A0000}"/>
    <cellStyle name="Normal 5 13 2 2 2 3 2 3" xfId="12921" xr:uid="{00000000-0005-0000-0000-0000CD4A0000}"/>
    <cellStyle name="Normal 5 13 2 2 2 3 2 3 2" xfId="29496" xr:uid="{00000000-0005-0000-0000-0000CE4A0000}"/>
    <cellStyle name="Normal 5 13 2 2 2 3 2 4" xfId="22892" xr:uid="{00000000-0005-0000-0000-0000CF4A0000}"/>
    <cellStyle name="Normal 5 13 2 2 2 3 3" xfId="7958" xr:uid="{00000000-0005-0000-0000-0000D04A0000}"/>
    <cellStyle name="Normal 5 13 2 2 2 3 3 2" xfId="15221" xr:uid="{00000000-0005-0000-0000-0000D14A0000}"/>
    <cellStyle name="Normal 5 13 2 2 2 3 3 2 2" xfId="31536" xr:uid="{00000000-0005-0000-0000-0000D24A0000}"/>
    <cellStyle name="Normal 5 13 2 2 2 3 3 3" xfId="24571" xr:uid="{00000000-0005-0000-0000-0000D34A0000}"/>
    <cellStyle name="Normal 5 13 2 2 2 3 4" xfId="11273" xr:uid="{00000000-0005-0000-0000-0000D44A0000}"/>
    <cellStyle name="Normal 5 13 2 2 2 3 4 2" xfId="27871" xr:uid="{00000000-0005-0000-0000-0000D54A0000}"/>
    <cellStyle name="Normal 5 13 2 2 2 3 5" xfId="4286" xr:uid="{00000000-0005-0000-0000-0000D64A0000}"/>
    <cellStyle name="Normal 5 13 2 2 2 3 5 2" xfId="21009" xr:uid="{00000000-0005-0000-0000-0000D74A0000}"/>
    <cellStyle name="Normal 5 13 2 2 2 3 6" xfId="19411" xr:uid="{00000000-0005-0000-0000-0000D84A0000}"/>
    <cellStyle name="Normal 5 13 2 2 2 4" xfId="2681" xr:uid="{00000000-0005-0000-0000-0000D94A0000}"/>
    <cellStyle name="Normal 5 13 2 2 2 4 2" xfId="8766" xr:uid="{00000000-0005-0000-0000-0000DA4A0000}"/>
    <cellStyle name="Normal 5 13 2 2 2 4 2 2" xfId="16029" xr:uid="{00000000-0005-0000-0000-0000DB4A0000}"/>
    <cellStyle name="Normal 5 13 2 2 2 4 2 2 2" xfId="32344" xr:uid="{00000000-0005-0000-0000-0000DC4A0000}"/>
    <cellStyle name="Normal 5 13 2 2 2 4 2 3" xfId="25379" xr:uid="{00000000-0005-0000-0000-0000DD4A0000}"/>
    <cellStyle name="Normal 5 13 2 2 2 4 3" xfId="12108" xr:uid="{00000000-0005-0000-0000-0000DE4A0000}"/>
    <cellStyle name="Normal 5 13 2 2 2 4 3 2" xfId="28683" xr:uid="{00000000-0005-0000-0000-0000DF4A0000}"/>
    <cellStyle name="Normal 5 13 2 2 2 4 4" xfId="5415" xr:uid="{00000000-0005-0000-0000-0000E04A0000}"/>
    <cellStyle name="Normal 5 13 2 2 2 4 4 2" xfId="22079" xr:uid="{00000000-0005-0000-0000-0000E14A0000}"/>
    <cellStyle name="Normal 5 13 2 2 2 4 5" xfId="19408" xr:uid="{00000000-0005-0000-0000-0000E24A0000}"/>
    <cellStyle name="Normal 5 13 2 2 2 5" xfId="7146" xr:uid="{00000000-0005-0000-0000-0000E34A0000}"/>
    <cellStyle name="Normal 5 13 2 2 2 5 2" xfId="14409" xr:uid="{00000000-0005-0000-0000-0000E44A0000}"/>
    <cellStyle name="Normal 5 13 2 2 2 5 2 2" xfId="30724" xr:uid="{00000000-0005-0000-0000-0000E54A0000}"/>
    <cellStyle name="Normal 5 13 2 2 2 5 3" xfId="23759" xr:uid="{00000000-0005-0000-0000-0000E64A0000}"/>
    <cellStyle name="Normal 5 13 2 2 2 6" xfId="10461" xr:uid="{00000000-0005-0000-0000-0000E74A0000}"/>
    <cellStyle name="Normal 5 13 2 2 2 6 2" xfId="27059" xr:uid="{00000000-0005-0000-0000-0000E84A0000}"/>
    <cellStyle name="Normal 5 13 2 2 2 7" xfId="4283" xr:uid="{00000000-0005-0000-0000-0000E94A0000}"/>
    <cellStyle name="Normal 5 13 2 2 2 7 2" xfId="21006" xr:uid="{00000000-0005-0000-0000-0000EA4A0000}"/>
    <cellStyle name="Normal 5 13 2 2 2 8" xfId="17920" xr:uid="{00000000-0005-0000-0000-0000EB4A0000}"/>
    <cellStyle name="Normal 5 13 2 2 3" xfId="1598" xr:uid="{00000000-0005-0000-0000-0000EC4A0000}"/>
    <cellStyle name="Normal 5 13 2 2 3 2" xfId="2686" xr:uid="{00000000-0005-0000-0000-0000ED4A0000}"/>
    <cellStyle name="Normal 5 13 2 2 3 2 2" xfId="6422" xr:uid="{00000000-0005-0000-0000-0000EE4A0000}"/>
    <cellStyle name="Normal 5 13 2 2 3 2 2 2" xfId="9773" xr:uid="{00000000-0005-0000-0000-0000EF4A0000}"/>
    <cellStyle name="Normal 5 13 2 2 3 2 2 2 2" xfId="17036" xr:uid="{00000000-0005-0000-0000-0000F04A0000}"/>
    <cellStyle name="Normal 5 13 2 2 3 2 2 2 2 2" xfId="33351" xr:uid="{00000000-0005-0000-0000-0000F14A0000}"/>
    <cellStyle name="Normal 5 13 2 2 3 2 2 2 3" xfId="26386" xr:uid="{00000000-0005-0000-0000-0000F24A0000}"/>
    <cellStyle name="Normal 5 13 2 2 3 2 2 3" xfId="13115" xr:uid="{00000000-0005-0000-0000-0000F34A0000}"/>
    <cellStyle name="Normal 5 13 2 2 3 2 2 3 2" xfId="29690" xr:uid="{00000000-0005-0000-0000-0000F44A0000}"/>
    <cellStyle name="Normal 5 13 2 2 3 2 2 4" xfId="23086" xr:uid="{00000000-0005-0000-0000-0000F54A0000}"/>
    <cellStyle name="Normal 5 13 2 2 3 2 3" xfId="8152" xr:uid="{00000000-0005-0000-0000-0000F64A0000}"/>
    <cellStyle name="Normal 5 13 2 2 3 2 3 2" xfId="15415" xr:uid="{00000000-0005-0000-0000-0000F74A0000}"/>
    <cellStyle name="Normal 5 13 2 2 3 2 3 2 2" xfId="31730" xr:uid="{00000000-0005-0000-0000-0000F84A0000}"/>
    <cellStyle name="Normal 5 13 2 2 3 2 3 3" xfId="24765" xr:uid="{00000000-0005-0000-0000-0000F94A0000}"/>
    <cellStyle name="Normal 5 13 2 2 3 2 4" xfId="11467" xr:uid="{00000000-0005-0000-0000-0000FA4A0000}"/>
    <cellStyle name="Normal 5 13 2 2 3 2 4 2" xfId="28065" xr:uid="{00000000-0005-0000-0000-0000FB4A0000}"/>
    <cellStyle name="Normal 5 13 2 2 3 2 5" xfId="4288" xr:uid="{00000000-0005-0000-0000-0000FC4A0000}"/>
    <cellStyle name="Normal 5 13 2 2 3 2 5 2" xfId="21011" xr:uid="{00000000-0005-0000-0000-0000FD4A0000}"/>
    <cellStyle name="Normal 5 13 2 2 3 2 6" xfId="19413" xr:uid="{00000000-0005-0000-0000-0000FE4A0000}"/>
    <cellStyle name="Normal 5 13 2 2 3 3" xfId="2685" xr:uid="{00000000-0005-0000-0000-0000FF4A0000}"/>
    <cellStyle name="Normal 5 13 2 2 3 3 2" xfId="8961" xr:uid="{00000000-0005-0000-0000-0000004B0000}"/>
    <cellStyle name="Normal 5 13 2 2 3 3 2 2" xfId="16224" xr:uid="{00000000-0005-0000-0000-0000014B0000}"/>
    <cellStyle name="Normal 5 13 2 2 3 3 2 2 2" xfId="32539" xr:uid="{00000000-0005-0000-0000-0000024B0000}"/>
    <cellStyle name="Normal 5 13 2 2 3 3 2 3" xfId="25574" xr:uid="{00000000-0005-0000-0000-0000034B0000}"/>
    <cellStyle name="Normal 5 13 2 2 3 3 3" xfId="12303" xr:uid="{00000000-0005-0000-0000-0000044B0000}"/>
    <cellStyle name="Normal 5 13 2 2 3 3 3 2" xfId="28878" xr:uid="{00000000-0005-0000-0000-0000054B0000}"/>
    <cellStyle name="Normal 5 13 2 2 3 3 4" xfId="5610" xr:uid="{00000000-0005-0000-0000-0000064B0000}"/>
    <cellStyle name="Normal 5 13 2 2 3 3 4 2" xfId="22274" xr:uid="{00000000-0005-0000-0000-0000074B0000}"/>
    <cellStyle name="Normal 5 13 2 2 3 3 5" xfId="19412" xr:uid="{00000000-0005-0000-0000-0000084B0000}"/>
    <cellStyle name="Normal 5 13 2 2 3 4" xfId="7340" xr:uid="{00000000-0005-0000-0000-0000094B0000}"/>
    <cellStyle name="Normal 5 13 2 2 3 4 2" xfId="14603" xr:uid="{00000000-0005-0000-0000-00000A4B0000}"/>
    <cellStyle name="Normal 5 13 2 2 3 4 2 2" xfId="30918" xr:uid="{00000000-0005-0000-0000-00000B4B0000}"/>
    <cellStyle name="Normal 5 13 2 2 3 4 3" xfId="23953" xr:uid="{00000000-0005-0000-0000-00000C4B0000}"/>
    <cellStyle name="Normal 5 13 2 2 3 5" xfId="10655" xr:uid="{00000000-0005-0000-0000-00000D4B0000}"/>
    <cellStyle name="Normal 5 13 2 2 3 5 2" xfId="27253" xr:uid="{00000000-0005-0000-0000-00000E4B0000}"/>
    <cellStyle name="Normal 5 13 2 2 3 6" xfId="4287" xr:uid="{00000000-0005-0000-0000-00000F4B0000}"/>
    <cellStyle name="Normal 5 13 2 2 3 6 2" xfId="21010" xr:uid="{00000000-0005-0000-0000-0000104B0000}"/>
    <cellStyle name="Normal 5 13 2 2 3 7" xfId="18333" xr:uid="{00000000-0005-0000-0000-0000114B0000}"/>
    <cellStyle name="Normal 5 13 2 2 4" xfId="2687" xr:uid="{00000000-0005-0000-0000-0000124B0000}"/>
    <cellStyle name="Normal 5 13 2 2 4 2" xfId="6016" xr:uid="{00000000-0005-0000-0000-0000134B0000}"/>
    <cellStyle name="Normal 5 13 2 2 4 2 2" xfId="9367" xr:uid="{00000000-0005-0000-0000-0000144B0000}"/>
    <cellStyle name="Normal 5 13 2 2 4 2 2 2" xfId="16630" xr:uid="{00000000-0005-0000-0000-0000154B0000}"/>
    <cellStyle name="Normal 5 13 2 2 4 2 2 2 2" xfId="32945" xr:uid="{00000000-0005-0000-0000-0000164B0000}"/>
    <cellStyle name="Normal 5 13 2 2 4 2 2 3" xfId="25980" xr:uid="{00000000-0005-0000-0000-0000174B0000}"/>
    <cellStyle name="Normal 5 13 2 2 4 2 3" xfId="12709" xr:uid="{00000000-0005-0000-0000-0000184B0000}"/>
    <cellStyle name="Normal 5 13 2 2 4 2 3 2" xfId="29284" xr:uid="{00000000-0005-0000-0000-0000194B0000}"/>
    <cellStyle name="Normal 5 13 2 2 4 2 4" xfId="22680" xr:uid="{00000000-0005-0000-0000-00001A4B0000}"/>
    <cellStyle name="Normal 5 13 2 2 4 3" xfId="7746" xr:uid="{00000000-0005-0000-0000-00001B4B0000}"/>
    <cellStyle name="Normal 5 13 2 2 4 3 2" xfId="15009" xr:uid="{00000000-0005-0000-0000-00001C4B0000}"/>
    <cellStyle name="Normal 5 13 2 2 4 3 2 2" xfId="31324" xr:uid="{00000000-0005-0000-0000-00001D4B0000}"/>
    <cellStyle name="Normal 5 13 2 2 4 3 3" xfId="24359" xr:uid="{00000000-0005-0000-0000-00001E4B0000}"/>
    <cellStyle name="Normal 5 13 2 2 4 4" xfId="11061" xr:uid="{00000000-0005-0000-0000-00001F4B0000}"/>
    <cellStyle name="Normal 5 13 2 2 4 4 2" xfId="27659" xr:uid="{00000000-0005-0000-0000-0000204B0000}"/>
    <cellStyle name="Normal 5 13 2 2 4 5" xfId="4289" xr:uid="{00000000-0005-0000-0000-0000214B0000}"/>
    <cellStyle name="Normal 5 13 2 2 4 5 2" xfId="21012" xr:uid="{00000000-0005-0000-0000-0000224B0000}"/>
    <cellStyle name="Normal 5 13 2 2 4 6" xfId="19414" xr:uid="{00000000-0005-0000-0000-0000234B0000}"/>
    <cellStyle name="Normal 5 13 2 2 5" xfId="2680" xr:uid="{00000000-0005-0000-0000-0000244B0000}"/>
    <cellStyle name="Normal 5 13 2 2 5 2" xfId="8659" xr:uid="{00000000-0005-0000-0000-0000254B0000}"/>
    <cellStyle name="Normal 5 13 2 2 5 2 2" xfId="15922" xr:uid="{00000000-0005-0000-0000-0000264B0000}"/>
    <cellStyle name="Normal 5 13 2 2 5 2 2 2" xfId="32237" xr:uid="{00000000-0005-0000-0000-0000274B0000}"/>
    <cellStyle name="Normal 5 13 2 2 5 2 3" xfId="25272" xr:uid="{00000000-0005-0000-0000-0000284B0000}"/>
    <cellStyle name="Normal 5 13 2 2 5 3" xfId="12001" xr:uid="{00000000-0005-0000-0000-0000294B0000}"/>
    <cellStyle name="Normal 5 13 2 2 5 3 2" xfId="28576" xr:uid="{00000000-0005-0000-0000-00002A4B0000}"/>
    <cellStyle name="Normal 5 13 2 2 5 4" xfId="5308" xr:uid="{00000000-0005-0000-0000-00002B4B0000}"/>
    <cellStyle name="Normal 5 13 2 2 5 4 2" xfId="21972" xr:uid="{00000000-0005-0000-0000-00002C4B0000}"/>
    <cellStyle name="Normal 5 13 2 2 5 5" xfId="19407" xr:uid="{00000000-0005-0000-0000-00002D4B0000}"/>
    <cellStyle name="Normal 5 13 2 2 6" xfId="7040" xr:uid="{00000000-0005-0000-0000-00002E4B0000}"/>
    <cellStyle name="Normal 5 13 2 2 6 2" xfId="14303" xr:uid="{00000000-0005-0000-0000-00002F4B0000}"/>
    <cellStyle name="Normal 5 13 2 2 6 2 2" xfId="30618" xr:uid="{00000000-0005-0000-0000-0000304B0000}"/>
    <cellStyle name="Normal 5 13 2 2 6 3" xfId="23653" xr:uid="{00000000-0005-0000-0000-0000314B0000}"/>
    <cellStyle name="Normal 5 13 2 2 7" xfId="10354" xr:uid="{00000000-0005-0000-0000-0000324B0000}"/>
    <cellStyle name="Normal 5 13 2 2 7 2" xfId="26953" xr:uid="{00000000-0005-0000-0000-0000334B0000}"/>
    <cellStyle name="Normal 5 13 2 2 8" xfId="4282" xr:uid="{00000000-0005-0000-0000-0000344B0000}"/>
    <cellStyle name="Normal 5 13 2 2 8 2" xfId="21005" xr:uid="{00000000-0005-0000-0000-0000354B0000}"/>
    <cellStyle name="Normal 5 13 2 2 9" xfId="17814" xr:uid="{00000000-0005-0000-0000-0000364B0000}"/>
    <cellStyle name="Normal 5 13 2 3" xfId="1182" xr:uid="{00000000-0005-0000-0000-0000374B0000}"/>
    <cellStyle name="Normal 5 13 2 3 2" xfId="1703" xr:uid="{00000000-0005-0000-0000-0000384B0000}"/>
    <cellStyle name="Normal 5 13 2 3 2 2" xfId="2690" xr:uid="{00000000-0005-0000-0000-0000394B0000}"/>
    <cellStyle name="Normal 5 13 2 3 2 2 2" xfId="6597" xr:uid="{00000000-0005-0000-0000-00003A4B0000}"/>
    <cellStyle name="Normal 5 13 2 3 2 2 2 2" xfId="9948" xr:uid="{00000000-0005-0000-0000-00003B4B0000}"/>
    <cellStyle name="Normal 5 13 2 3 2 2 2 2 2" xfId="17211" xr:uid="{00000000-0005-0000-0000-00003C4B0000}"/>
    <cellStyle name="Normal 5 13 2 3 2 2 2 2 2 2" xfId="33526" xr:uid="{00000000-0005-0000-0000-00003D4B0000}"/>
    <cellStyle name="Normal 5 13 2 3 2 2 2 2 3" xfId="26561" xr:uid="{00000000-0005-0000-0000-00003E4B0000}"/>
    <cellStyle name="Normal 5 13 2 3 2 2 2 3" xfId="13290" xr:uid="{00000000-0005-0000-0000-00003F4B0000}"/>
    <cellStyle name="Normal 5 13 2 3 2 2 2 3 2" xfId="29865" xr:uid="{00000000-0005-0000-0000-0000404B0000}"/>
    <cellStyle name="Normal 5 13 2 3 2 2 2 4" xfId="23261" xr:uid="{00000000-0005-0000-0000-0000414B0000}"/>
    <cellStyle name="Normal 5 13 2 3 2 2 3" xfId="8327" xr:uid="{00000000-0005-0000-0000-0000424B0000}"/>
    <cellStyle name="Normal 5 13 2 3 2 2 3 2" xfId="15590" xr:uid="{00000000-0005-0000-0000-0000434B0000}"/>
    <cellStyle name="Normal 5 13 2 3 2 2 3 2 2" xfId="31905" xr:uid="{00000000-0005-0000-0000-0000444B0000}"/>
    <cellStyle name="Normal 5 13 2 3 2 2 3 3" xfId="24940" xr:uid="{00000000-0005-0000-0000-0000454B0000}"/>
    <cellStyle name="Normal 5 13 2 3 2 2 4" xfId="11642" xr:uid="{00000000-0005-0000-0000-0000464B0000}"/>
    <cellStyle name="Normal 5 13 2 3 2 2 4 2" xfId="28240" xr:uid="{00000000-0005-0000-0000-0000474B0000}"/>
    <cellStyle name="Normal 5 13 2 3 2 2 5" xfId="4292" xr:uid="{00000000-0005-0000-0000-0000484B0000}"/>
    <cellStyle name="Normal 5 13 2 3 2 2 5 2" xfId="21015" xr:uid="{00000000-0005-0000-0000-0000494B0000}"/>
    <cellStyle name="Normal 5 13 2 3 2 2 6" xfId="19417" xr:uid="{00000000-0005-0000-0000-00004A4B0000}"/>
    <cellStyle name="Normal 5 13 2 3 2 3" xfId="2689" xr:uid="{00000000-0005-0000-0000-00004B4B0000}"/>
    <cellStyle name="Normal 5 13 2 3 2 3 2" xfId="9172" xr:uid="{00000000-0005-0000-0000-00004C4B0000}"/>
    <cellStyle name="Normal 5 13 2 3 2 3 2 2" xfId="16435" xr:uid="{00000000-0005-0000-0000-00004D4B0000}"/>
    <cellStyle name="Normal 5 13 2 3 2 3 2 2 2" xfId="32750" xr:uid="{00000000-0005-0000-0000-00004E4B0000}"/>
    <cellStyle name="Normal 5 13 2 3 2 3 2 3" xfId="25785" xr:uid="{00000000-0005-0000-0000-00004F4B0000}"/>
    <cellStyle name="Normal 5 13 2 3 2 3 3" xfId="12514" xr:uid="{00000000-0005-0000-0000-0000504B0000}"/>
    <cellStyle name="Normal 5 13 2 3 2 3 3 2" xfId="29089" xr:uid="{00000000-0005-0000-0000-0000514B0000}"/>
    <cellStyle name="Normal 5 13 2 3 2 3 4" xfId="5821" xr:uid="{00000000-0005-0000-0000-0000524B0000}"/>
    <cellStyle name="Normal 5 13 2 3 2 3 4 2" xfId="22485" xr:uid="{00000000-0005-0000-0000-0000534B0000}"/>
    <cellStyle name="Normal 5 13 2 3 2 3 5" xfId="19416" xr:uid="{00000000-0005-0000-0000-0000544B0000}"/>
    <cellStyle name="Normal 5 13 2 3 2 4" xfId="7551" xr:uid="{00000000-0005-0000-0000-0000554B0000}"/>
    <cellStyle name="Normal 5 13 2 3 2 4 2" xfId="14814" xr:uid="{00000000-0005-0000-0000-0000564B0000}"/>
    <cellStyle name="Normal 5 13 2 3 2 4 2 2" xfId="31129" xr:uid="{00000000-0005-0000-0000-0000574B0000}"/>
    <cellStyle name="Normal 5 13 2 3 2 4 3" xfId="24164" xr:uid="{00000000-0005-0000-0000-0000584B0000}"/>
    <cellStyle name="Normal 5 13 2 3 2 5" xfId="10866" xr:uid="{00000000-0005-0000-0000-0000594B0000}"/>
    <cellStyle name="Normal 5 13 2 3 2 5 2" xfId="27464" xr:uid="{00000000-0005-0000-0000-00005A4B0000}"/>
    <cellStyle name="Normal 5 13 2 3 2 6" xfId="4291" xr:uid="{00000000-0005-0000-0000-00005B4B0000}"/>
    <cellStyle name="Normal 5 13 2 3 2 6 2" xfId="21014" xr:uid="{00000000-0005-0000-0000-00005C4B0000}"/>
    <cellStyle name="Normal 5 13 2 3 2 7" xfId="18438" xr:uid="{00000000-0005-0000-0000-00005D4B0000}"/>
    <cellStyle name="Normal 5 13 2 3 3" xfId="2691" xr:uid="{00000000-0005-0000-0000-00005E4B0000}"/>
    <cellStyle name="Normal 5 13 2 3 3 2" xfId="6227" xr:uid="{00000000-0005-0000-0000-00005F4B0000}"/>
    <cellStyle name="Normal 5 13 2 3 3 2 2" xfId="9578" xr:uid="{00000000-0005-0000-0000-0000604B0000}"/>
    <cellStyle name="Normal 5 13 2 3 3 2 2 2" xfId="16841" xr:uid="{00000000-0005-0000-0000-0000614B0000}"/>
    <cellStyle name="Normal 5 13 2 3 3 2 2 2 2" xfId="33156" xr:uid="{00000000-0005-0000-0000-0000624B0000}"/>
    <cellStyle name="Normal 5 13 2 3 3 2 2 3" xfId="26191" xr:uid="{00000000-0005-0000-0000-0000634B0000}"/>
    <cellStyle name="Normal 5 13 2 3 3 2 3" xfId="12920" xr:uid="{00000000-0005-0000-0000-0000644B0000}"/>
    <cellStyle name="Normal 5 13 2 3 3 2 3 2" xfId="29495" xr:uid="{00000000-0005-0000-0000-0000654B0000}"/>
    <cellStyle name="Normal 5 13 2 3 3 2 4" xfId="22891" xr:uid="{00000000-0005-0000-0000-0000664B0000}"/>
    <cellStyle name="Normal 5 13 2 3 3 3" xfId="7957" xr:uid="{00000000-0005-0000-0000-0000674B0000}"/>
    <cellStyle name="Normal 5 13 2 3 3 3 2" xfId="15220" xr:uid="{00000000-0005-0000-0000-0000684B0000}"/>
    <cellStyle name="Normal 5 13 2 3 3 3 2 2" xfId="31535" xr:uid="{00000000-0005-0000-0000-0000694B0000}"/>
    <cellStyle name="Normal 5 13 2 3 3 3 3" xfId="24570" xr:uid="{00000000-0005-0000-0000-00006A4B0000}"/>
    <cellStyle name="Normal 5 13 2 3 3 4" xfId="11272" xr:uid="{00000000-0005-0000-0000-00006B4B0000}"/>
    <cellStyle name="Normal 5 13 2 3 3 4 2" xfId="27870" xr:uid="{00000000-0005-0000-0000-00006C4B0000}"/>
    <cellStyle name="Normal 5 13 2 3 3 5" xfId="4293" xr:uid="{00000000-0005-0000-0000-00006D4B0000}"/>
    <cellStyle name="Normal 5 13 2 3 3 5 2" xfId="21016" xr:uid="{00000000-0005-0000-0000-00006E4B0000}"/>
    <cellStyle name="Normal 5 13 2 3 3 6" xfId="19418" xr:uid="{00000000-0005-0000-0000-00006F4B0000}"/>
    <cellStyle name="Normal 5 13 2 3 4" xfId="2688" xr:uid="{00000000-0005-0000-0000-0000704B0000}"/>
    <cellStyle name="Normal 5 13 2 3 4 2" xfId="8765" xr:uid="{00000000-0005-0000-0000-0000714B0000}"/>
    <cellStyle name="Normal 5 13 2 3 4 2 2" xfId="16028" xr:uid="{00000000-0005-0000-0000-0000724B0000}"/>
    <cellStyle name="Normal 5 13 2 3 4 2 2 2" xfId="32343" xr:uid="{00000000-0005-0000-0000-0000734B0000}"/>
    <cellStyle name="Normal 5 13 2 3 4 2 3" xfId="25378" xr:uid="{00000000-0005-0000-0000-0000744B0000}"/>
    <cellStyle name="Normal 5 13 2 3 4 3" xfId="12107" xr:uid="{00000000-0005-0000-0000-0000754B0000}"/>
    <cellStyle name="Normal 5 13 2 3 4 3 2" xfId="28682" xr:uid="{00000000-0005-0000-0000-0000764B0000}"/>
    <cellStyle name="Normal 5 13 2 3 4 4" xfId="5414" xr:uid="{00000000-0005-0000-0000-0000774B0000}"/>
    <cellStyle name="Normal 5 13 2 3 4 4 2" xfId="22078" xr:uid="{00000000-0005-0000-0000-0000784B0000}"/>
    <cellStyle name="Normal 5 13 2 3 4 5" xfId="19415" xr:uid="{00000000-0005-0000-0000-0000794B0000}"/>
    <cellStyle name="Normal 5 13 2 3 5" xfId="7145" xr:uid="{00000000-0005-0000-0000-00007A4B0000}"/>
    <cellStyle name="Normal 5 13 2 3 5 2" xfId="14408" xr:uid="{00000000-0005-0000-0000-00007B4B0000}"/>
    <cellStyle name="Normal 5 13 2 3 5 2 2" xfId="30723" xr:uid="{00000000-0005-0000-0000-00007C4B0000}"/>
    <cellStyle name="Normal 5 13 2 3 5 3" xfId="23758" xr:uid="{00000000-0005-0000-0000-00007D4B0000}"/>
    <cellStyle name="Normal 5 13 2 3 6" xfId="10460" xr:uid="{00000000-0005-0000-0000-00007E4B0000}"/>
    <cellStyle name="Normal 5 13 2 3 6 2" xfId="27058" xr:uid="{00000000-0005-0000-0000-00007F4B0000}"/>
    <cellStyle name="Normal 5 13 2 3 7" xfId="4290" xr:uid="{00000000-0005-0000-0000-0000804B0000}"/>
    <cellStyle name="Normal 5 13 2 3 7 2" xfId="21013" xr:uid="{00000000-0005-0000-0000-0000814B0000}"/>
    <cellStyle name="Normal 5 13 2 3 8" xfId="17919" xr:uid="{00000000-0005-0000-0000-0000824B0000}"/>
    <cellStyle name="Normal 5 13 2 4" xfId="1492" xr:uid="{00000000-0005-0000-0000-0000834B0000}"/>
    <cellStyle name="Normal 5 13 2 4 2" xfId="2693" xr:uid="{00000000-0005-0000-0000-0000844B0000}"/>
    <cellStyle name="Normal 5 13 2 4 2 2" xfId="6421" xr:uid="{00000000-0005-0000-0000-0000854B0000}"/>
    <cellStyle name="Normal 5 13 2 4 2 2 2" xfId="9772" xr:uid="{00000000-0005-0000-0000-0000864B0000}"/>
    <cellStyle name="Normal 5 13 2 4 2 2 2 2" xfId="17035" xr:uid="{00000000-0005-0000-0000-0000874B0000}"/>
    <cellStyle name="Normal 5 13 2 4 2 2 2 2 2" xfId="33350" xr:uid="{00000000-0005-0000-0000-0000884B0000}"/>
    <cellStyle name="Normal 5 13 2 4 2 2 2 3" xfId="26385" xr:uid="{00000000-0005-0000-0000-0000894B0000}"/>
    <cellStyle name="Normal 5 13 2 4 2 2 3" xfId="13114" xr:uid="{00000000-0005-0000-0000-00008A4B0000}"/>
    <cellStyle name="Normal 5 13 2 4 2 2 3 2" xfId="29689" xr:uid="{00000000-0005-0000-0000-00008B4B0000}"/>
    <cellStyle name="Normal 5 13 2 4 2 2 4" xfId="23085" xr:uid="{00000000-0005-0000-0000-00008C4B0000}"/>
    <cellStyle name="Normal 5 13 2 4 2 3" xfId="8151" xr:uid="{00000000-0005-0000-0000-00008D4B0000}"/>
    <cellStyle name="Normal 5 13 2 4 2 3 2" xfId="15414" xr:uid="{00000000-0005-0000-0000-00008E4B0000}"/>
    <cellStyle name="Normal 5 13 2 4 2 3 2 2" xfId="31729" xr:uid="{00000000-0005-0000-0000-00008F4B0000}"/>
    <cellStyle name="Normal 5 13 2 4 2 3 3" xfId="24764" xr:uid="{00000000-0005-0000-0000-0000904B0000}"/>
    <cellStyle name="Normal 5 13 2 4 2 4" xfId="11466" xr:uid="{00000000-0005-0000-0000-0000914B0000}"/>
    <cellStyle name="Normal 5 13 2 4 2 4 2" xfId="28064" xr:uid="{00000000-0005-0000-0000-0000924B0000}"/>
    <cellStyle name="Normal 5 13 2 4 2 5" xfId="4295" xr:uid="{00000000-0005-0000-0000-0000934B0000}"/>
    <cellStyle name="Normal 5 13 2 4 2 5 2" xfId="21018" xr:uid="{00000000-0005-0000-0000-0000944B0000}"/>
    <cellStyle name="Normal 5 13 2 4 2 6" xfId="19420" xr:uid="{00000000-0005-0000-0000-0000954B0000}"/>
    <cellStyle name="Normal 5 13 2 4 3" xfId="2692" xr:uid="{00000000-0005-0000-0000-0000964B0000}"/>
    <cellStyle name="Normal 5 13 2 4 3 2" xfId="8960" xr:uid="{00000000-0005-0000-0000-0000974B0000}"/>
    <cellStyle name="Normal 5 13 2 4 3 2 2" xfId="16223" xr:uid="{00000000-0005-0000-0000-0000984B0000}"/>
    <cellStyle name="Normal 5 13 2 4 3 2 2 2" xfId="32538" xr:uid="{00000000-0005-0000-0000-0000994B0000}"/>
    <cellStyle name="Normal 5 13 2 4 3 2 3" xfId="25573" xr:uid="{00000000-0005-0000-0000-00009A4B0000}"/>
    <cellStyle name="Normal 5 13 2 4 3 3" xfId="12302" xr:uid="{00000000-0005-0000-0000-00009B4B0000}"/>
    <cellStyle name="Normal 5 13 2 4 3 3 2" xfId="28877" xr:uid="{00000000-0005-0000-0000-00009C4B0000}"/>
    <cellStyle name="Normal 5 13 2 4 3 4" xfId="5609" xr:uid="{00000000-0005-0000-0000-00009D4B0000}"/>
    <cellStyle name="Normal 5 13 2 4 3 4 2" xfId="22273" xr:uid="{00000000-0005-0000-0000-00009E4B0000}"/>
    <cellStyle name="Normal 5 13 2 4 3 5" xfId="19419" xr:uid="{00000000-0005-0000-0000-00009F4B0000}"/>
    <cellStyle name="Normal 5 13 2 4 4" xfId="7339" xr:uid="{00000000-0005-0000-0000-0000A04B0000}"/>
    <cellStyle name="Normal 5 13 2 4 4 2" xfId="14602" xr:uid="{00000000-0005-0000-0000-0000A14B0000}"/>
    <cellStyle name="Normal 5 13 2 4 4 2 2" xfId="30917" xr:uid="{00000000-0005-0000-0000-0000A24B0000}"/>
    <cellStyle name="Normal 5 13 2 4 4 3" xfId="23952" xr:uid="{00000000-0005-0000-0000-0000A34B0000}"/>
    <cellStyle name="Normal 5 13 2 4 5" xfId="10654" xr:uid="{00000000-0005-0000-0000-0000A44B0000}"/>
    <cellStyle name="Normal 5 13 2 4 5 2" xfId="27252" xr:uid="{00000000-0005-0000-0000-0000A54B0000}"/>
    <cellStyle name="Normal 5 13 2 4 6" xfId="4294" xr:uid="{00000000-0005-0000-0000-0000A64B0000}"/>
    <cellStyle name="Normal 5 13 2 4 6 2" xfId="21017" xr:uid="{00000000-0005-0000-0000-0000A74B0000}"/>
    <cellStyle name="Normal 5 13 2 4 7" xfId="18227" xr:uid="{00000000-0005-0000-0000-0000A84B0000}"/>
    <cellStyle name="Normal 5 13 2 5" xfId="2694" xr:uid="{00000000-0005-0000-0000-0000A94B0000}"/>
    <cellStyle name="Normal 5 13 2 5 2" xfId="6015" xr:uid="{00000000-0005-0000-0000-0000AA4B0000}"/>
    <cellStyle name="Normal 5 13 2 5 2 2" xfId="9366" xr:uid="{00000000-0005-0000-0000-0000AB4B0000}"/>
    <cellStyle name="Normal 5 13 2 5 2 2 2" xfId="16629" xr:uid="{00000000-0005-0000-0000-0000AC4B0000}"/>
    <cellStyle name="Normal 5 13 2 5 2 2 2 2" xfId="32944" xr:uid="{00000000-0005-0000-0000-0000AD4B0000}"/>
    <cellStyle name="Normal 5 13 2 5 2 2 3" xfId="25979" xr:uid="{00000000-0005-0000-0000-0000AE4B0000}"/>
    <cellStyle name="Normal 5 13 2 5 2 3" xfId="12708" xr:uid="{00000000-0005-0000-0000-0000AF4B0000}"/>
    <cellStyle name="Normal 5 13 2 5 2 3 2" xfId="29283" xr:uid="{00000000-0005-0000-0000-0000B04B0000}"/>
    <cellStyle name="Normal 5 13 2 5 2 4" xfId="22679" xr:uid="{00000000-0005-0000-0000-0000B14B0000}"/>
    <cellStyle name="Normal 5 13 2 5 3" xfId="7745" xr:uid="{00000000-0005-0000-0000-0000B24B0000}"/>
    <cellStyle name="Normal 5 13 2 5 3 2" xfId="15008" xr:uid="{00000000-0005-0000-0000-0000B34B0000}"/>
    <cellStyle name="Normal 5 13 2 5 3 2 2" xfId="31323" xr:uid="{00000000-0005-0000-0000-0000B44B0000}"/>
    <cellStyle name="Normal 5 13 2 5 3 3" xfId="24358" xr:uid="{00000000-0005-0000-0000-0000B54B0000}"/>
    <cellStyle name="Normal 5 13 2 5 4" xfId="11060" xr:uid="{00000000-0005-0000-0000-0000B64B0000}"/>
    <cellStyle name="Normal 5 13 2 5 4 2" xfId="27658" xr:uid="{00000000-0005-0000-0000-0000B74B0000}"/>
    <cellStyle name="Normal 5 13 2 5 5" xfId="4296" xr:uid="{00000000-0005-0000-0000-0000B84B0000}"/>
    <cellStyle name="Normal 5 13 2 5 5 2" xfId="21019" xr:uid="{00000000-0005-0000-0000-0000B94B0000}"/>
    <cellStyle name="Normal 5 13 2 5 6" xfId="19421" xr:uid="{00000000-0005-0000-0000-0000BA4B0000}"/>
    <cellStyle name="Normal 5 13 2 6" xfId="2679" xr:uid="{00000000-0005-0000-0000-0000BB4B0000}"/>
    <cellStyle name="Normal 5 13 2 6 2" xfId="8553" xr:uid="{00000000-0005-0000-0000-0000BC4B0000}"/>
    <cellStyle name="Normal 5 13 2 6 2 2" xfId="15816" xr:uid="{00000000-0005-0000-0000-0000BD4B0000}"/>
    <cellStyle name="Normal 5 13 2 6 2 2 2" xfId="32131" xr:uid="{00000000-0005-0000-0000-0000BE4B0000}"/>
    <cellStyle name="Normal 5 13 2 6 2 3" xfId="25166" xr:uid="{00000000-0005-0000-0000-0000BF4B0000}"/>
    <cellStyle name="Normal 5 13 2 6 3" xfId="11895" xr:uid="{00000000-0005-0000-0000-0000C04B0000}"/>
    <cellStyle name="Normal 5 13 2 6 3 2" xfId="28470" xr:uid="{00000000-0005-0000-0000-0000C14B0000}"/>
    <cellStyle name="Normal 5 13 2 6 4" xfId="5202" xr:uid="{00000000-0005-0000-0000-0000C24B0000}"/>
    <cellStyle name="Normal 5 13 2 6 4 2" xfId="21866" xr:uid="{00000000-0005-0000-0000-0000C34B0000}"/>
    <cellStyle name="Normal 5 13 2 6 5" xfId="19406" xr:uid="{00000000-0005-0000-0000-0000C44B0000}"/>
    <cellStyle name="Normal 5 13 2 7" xfId="6934" xr:uid="{00000000-0005-0000-0000-0000C54B0000}"/>
    <cellStyle name="Normal 5 13 2 7 2" xfId="14197" xr:uid="{00000000-0005-0000-0000-0000C64B0000}"/>
    <cellStyle name="Normal 5 13 2 7 2 2" xfId="30512" xr:uid="{00000000-0005-0000-0000-0000C74B0000}"/>
    <cellStyle name="Normal 5 13 2 7 3" xfId="23547" xr:uid="{00000000-0005-0000-0000-0000C84B0000}"/>
    <cellStyle name="Normal 5 13 2 8" xfId="10248" xr:uid="{00000000-0005-0000-0000-0000C94B0000}"/>
    <cellStyle name="Normal 5 13 2 8 2" xfId="26847" xr:uid="{00000000-0005-0000-0000-0000CA4B0000}"/>
    <cellStyle name="Normal 5 13 2 9" xfId="4281" xr:uid="{00000000-0005-0000-0000-0000CB4B0000}"/>
    <cellStyle name="Normal 5 13 2 9 2" xfId="21004" xr:uid="{00000000-0005-0000-0000-0000CC4B0000}"/>
    <cellStyle name="Normal 5 13 3" xfId="984" xr:uid="{00000000-0005-0000-0000-0000CD4B0000}"/>
    <cellStyle name="Normal 5 13 3 2" xfId="1184" xr:uid="{00000000-0005-0000-0000-0000CE4B0000}"/>
    <cellStyle name="Normal 5 13 3 2 2" xfId="1705" xr:uid="{00000000-0005-0000-0000-0000CF4B0000}"/>
    <cellStyle name="Normal 5 13 3 2 2 2" xfId="2698" xr:uid="{00000000-0005-0000-0000-0000D04B0000}"/>
    <cellStyle name="Normal 5 13 3 2 2 2 2" xfId="6599" xr:uid="{00000000-0005-0000-0000-0000D14B0000}"/>
    <cellStyle name="Normal 5 13 3 2 2 2 2 2" xfId="9950" xr:uid="{00000000-0005-0000-0000-0000D24B0000}"/>
    <cellStyle name="Normal 5 13 3 2 2 2 2 2 2" xfId="17213" xr:uid="{00000000-0005-0000-0000-0000D34B0000}"/>
    <cellStyle name="Normal 5 13 3 2 2 2 2 2 2 2" xfId="33528" xr:uid="{00000000-0005-0000-0000-0000D44B0000}"/>
    <cellStyle name="Normal 5 13 3 2 2 2 2 2 3" xfId="26563" xr:uid="{00000000-0005-0000-0000-0000D54B0000}"/>
    <cellStyle name="Normal 5 13 3 2 2 2 2 3" xfId="13292" xr:uid="{00000000-0005-0000-0000-0000D64B0000}"/>
    <cellStyle name="Normal 5 13 3 2 2 2 2 3 2" xfId="29867" xr:uid="{00000000-0005-0000-0000-0000D74B0000}"/>
    <cellStyle name="Normal 5 13 3 2 2 2 2 4" xfId="23263" xr:uid="{00000000-0005-0000-0000-0000D84B0000}"/>
    <cellStyle name="Normal 5 13 3 2 2 2 3" xfId="8329" xr:uid="{00000000-0005-0000-0000-0000D94B0000}"/>
    <cellStyle name="Normal 5 13 3 2 2 2 3 2" xfId="15592" xr:uid="{00000000-0005-0000-0000-0000DA4B0000}"/>
    <cellStyle name="Normal 5 13 3 2 2 2 3 2 2" xfId="31907" xr:uid="{00000000-0005-0000-0000-0000DB4B0000}"/>
    <cellStyle name="Normal 5 13 3 2 2 2 3 3" xfId="24942" xr:uid="{00000000-0005-0000-0000-0000DC4B0000}"/>
    <cellStyle name="Normal 5 13 3 2 2 2 4" xfId="11644" xr:uid="{00000000-0005-0000-0000-0000DD4B0000}"/>
    <cellStyle name="Normal 5 13 3 2 2 2 4 2" xfId="28242" xr:uid="{00000000-0005-0000-0000-0000DE4B0000}"/>
    <cellStyle name="Normal 5 13 3 2 2 2 5" xfId="4300" xr:uid="{00000000-0005-0000-0000-0000DF4B0000}"/>
    <cellStyle name="Normal 5 13 3 2 2 2 5 2" xfId="21023" xr:uid="{00000000-0005-0000-0000-0000E04B0000}"/>
    <cellStyle name="Normal 5 13 3 2 2 2 6" xfId="19425" xr:uid="{00000000-0005-0000-0000-0000E14B0000}"/>
    <cellStyle name="Normal 5 13 3 2 2 3" xfId="2697" xr:uid="{00000000-0005-0000-0000-0000E24B0000}"/>
    <cellStyle name="Normal 5 13 3 2 2 3 2" xfId="9174" xr:uid="{00000000-0005-0000-0000-0000E34B0000}"/>
    <cellStyle name="Normal 5 13 3 2 2 3 2 2" xfId="16437" xr:uid="{00000000-0005-0000-0000-0000E44B0000}"/>
    <cellStyle name="Normal 5 13 3 2 2 3 2 2 2" xfId="32752" xr:uid="{00000000-0005-0000-0000-0000E54B0000}"/>
    <cellStyle name="Normal 5 13 3 2 2 3 2 3" xfId="25787" xr:uid="{00000000-0005-0000-0000-0000E64B0000}"/>
    <cellStyle name="Normal 5 13 3 2 2 3 3" xfId="12516" xr:uid="{00000000-0005-0000-0000-0000E74B0000}"/>
    <cellStyle name="Normal 5 13 3 2 2 3 3 2" xfId="29091" xr:uid="{00000000-0005-0000-0000-0000E84B0000}"/>
    <cellStyle name="Normal 5 13 3 2 2 3 4" xfId="5823" xr:uid="{00000000-0005-0000-0000-0000E94B0000}"/>
    <cellStyle name="Normal 5 13 3 2 2 3 4 2" xfId="22487" xr:uid="{00000000-0005-0000-0000-0000EA4B0000}"/>
    <cellStyle name="Normal 5 13 3 2 2 3 5" xfId="19424" xr:uid="{00000000-0005-0000-0000-0000EB4B0000}"/>
    <cellStyle name="Normal 5 13 3 2 2 4" xfId="7553" xr:uid="{00000000-0005-0000-0000-0000EC4B0000}"/>
    <cellStyle name="Normal 5 13 3 2 2 4 2" xfId="14816" xr:uid="{00000000-0005-0000-0000-0000ED4B0000}"/>
    <cellStyle name="Normal 5 13 3 2 2 4 2 2" xfId="31131" xr:uid="{00000000-0005-0000-0000-0000EE4B0000}"/>
    <cellStyle name="Normal 5 13 3 2 2 4 3" xfId="24166" xr:uid="{00000000-0005-0000-0000-0000EF4B0000}"/>
    <cellStyle name="Normal 5 13 3 2 2 5" xfId="10868" xr:uid="{00000000-0005-0000-0000-0000F04B0000}"/>
    <cellStyle name="Normal 5 13 3 2 2 5 2" xfId="27466" xr:uid="{00000000-0005-0000-0000-0000F14B0000}"/>
    <cellStyle name="Normal 5 13 3 2 2 6" xfId="4299" xr:uid="{00000000-0005-0000-0000-0000F24B0000}"/>
    <cellStyle name="Normal 5 13 3 2 2 6 2" xfId="21022" xr:uid="{00000000-0005-0000-0000-0000F34B0000}"/>
    <cellStyle name="Normal 5 13 3 2 2 7" xfId="18440" xr:uid="{00000000-0005-0000-0000-0000F44B0000}"/>
    <cellStyle name="Normal 5 13 3 2 3" xfId="2699" xr:uid="{00000000-0005-0000-0000-0000F54B0000}"/>
    <cellStyle name="Normal 5 13 3 2 3 2" xfId="6229" xr:uid="{00000000-0005-0000-0000-0000F64B0000}"/>
    <cellStyle name="Normal 5 13 3 2 3 2 2" xfId="9580" xr:uid="{00000000-0005-0000-0000-0000F74B0000}"/>
    <cellStyle name="Normal 5 13 3 2 3 2 2 2" xfId="16843" xr:uid="{00000000-0005-0000-0000-0000F84B0000}"/>
    <cellStyle name="Normal 5 13 3 2 3 2 2 2 2" xfId="33158" xr:uid="{00000000-0005-0000-0000-0000F94B0000}"/>
    <cellStyle name="Normal 5 13 3 2 3 2 2 3" xfId="26193" xr:uid="{00000000-0005-0000-0000-0000FA4B0000}"/>
    <cellStyle name="Normal 5 13 3 2 3 2 3" xfId="12922" xr:uid="{00000000-0005-0000-0000-0000FB4B0000}"/>
    <cellStyle name="Normal 5 13 3 2 3 2 3 2" xfId="29497" xr:uid="{00000000-0005-0000-0000-0000FC4B0000}"/>
    <cellStyle name="Normal 5 13 3 2 3 2 4" xfId="22893" xr:uid="{00000000-0005-0000-0000-0000FD4B0000}"/>
    <cellStyle name="Normal 5 13 3 2 3 3" xfId="7959" xr:uid="{00000000-0005-0000-0000-0000FE4B0000}"/>
    <cellStyle name="Normal 5 13 3 2 3 3 2" xfId="15222" xr:uid="{00000000-0005-0000-0000-0000FF4B0000}"/>
    <cellStyle name="Normal 5 13 3 2 3 3 2 2" xfId="31537" xr:uid="{00000000-0005-0000-0000-0000004C0000}"/>
    <cellStyle name="Normal 5 13 3 2 3 3 3" xfId="24572" xr:uid="{00000000-0005-0000-0000-0000014C0000}"/>
    <cellStyle name="Normal 5 13 3 2 3 4" xfId="11274" xr:uid="{00000000-0005-0000-0000-0000024C0000}"/>
    <cellStyle name="Normal 5 13 3 2 3 4 2" xfId="27872" xr:uid="{00000000-0005-0000-0000-0000034C0000}"/>
    <cellStyle name="Normal 5 13 3 2 3 5" xfId="4301" xr:uid="{00000000-0005-0000-0000-0000044C0000}"/>
    <cellStyle name="Normal 5 13 3 2 3 5 2" xfId="21024" xr:uid="{00000000-0005-0000-0000-0000054C0000}"/>
    <cellStyle name="Normal 5 13 3 2 3 6" xfId="19426" xr:uid="{00000000-0005-0000-0000-0000064C0000}"/>
    <cellStyle name="Normal 5 13 3 2 4" xfId="2696" xr:uid="{00000000-0005-0000-0000-0000074C0000}"/>
    <cellStyle name="Normal 5 13 3 2 4 2" xfId="8767" xr:uid="{00000000-0005-0000-0000-0000084C0000}"/>
    <cellStyle name="Normal 5 13 3 2 4 2 2" xfId="16030" xr:uid="{00000000-0005-0000-0000-0000094C0000}"/>
    <cellStyle name="Normal 5 13 3 2 4 2 2 2" xfId="32345" xr:uid="{00000000-0005-0000-0000-00000A4C0000}"/>
    <cellStyle name="Normal 5 13 3 2 4 2 3" xfId="25380" xr:uid="{00000000-0005-0000-0000-00000B4C0000}"/>
    <cellStyle name="Normal 5 13 3 2 4 3" xfId="12109" xr:uid="{00000000-0005-0000-0000-00000C4C0000}"/>
    <cellStyle name="Normal 5 13 3 2 4 3 2" xfId="28684" xr:uid="{00000000-0005-0000-0000-00000D4C0000}"/>
    <cellStyle name="Normal 5 13 3 2 4 4" xfId="5416" xr:uid="{00000000-0005-0000-0000-00000E4C0000}"/>
    <cellStyle name="Normal 5 13 3 2 4 4 2" xfId="22080" xr:uid="{00000000-0005-0000-0000-00000F4C0000}"/>
    <cellStyle name="Normal 5 13 3 2 4 5" xfId="19423" xr:uid="{00000000-0005-0000-0000-0000104C0000}"/>
    <cellStyle name="Normal 5 13 3 2 5" xfId="7147" xr:uid="{00000000-0005-0000-0000-0000114C0000}"/>
    <cellStyle name="Normal 5 13 3 2 5 2" xfId="14410" xr:uid="{00000000-0005-0000-0000-0000124C0000}"/>
    <cellStyle name="Normal 5 13 3 2 5 2 2" xfId="30725" xr:uid="{00000000-0005-0000-0000-0000134C0000}"/>
    <cellStyle name="Normal 5 13 3 2 5 3" xfId="23760" xr:uid="{00000000-0005-0000-0000-0000144C0000}"/>
    <cellStyle name="Normal 5 13 3 2 6" xfId="10462" xr:uid="{00000000-0005-0000-0000-0000154C0000}"/>
    <cellStyle name="Normal 5 13 3 2 6 2" xfId="27060" xr:uid="{00000000-0005-0000-0000-0000164C0000}"/>
    <cellStyle name="Normal 5 13 3 2 7" xfId="4298" xr:uid="{00000000-0005-0000-0000-0000174C0000}"/>
    <cellStyle name="Normal 5 13 3 2 7 2" xfId="21021" xr:uid="{00000000-0005-0000-0000-0000184C0000}"/>
    <cellStyle name="Normal 5 13 3 2 8" xfId="17921" xr:uid="{00000000-0005-0000-0000-0000194C0000}"/>
    <cellStyle name="Normal 5 13 3 3" xfId="1545" xr:uid="{00000000-0005-0000-0000-00001A4C0000}"/>
    <cellStyle name="Normal 5 13 3 3 2" xfId="2701" xr:uid="{00000000-0005-0000-0000-00001B4C0000}"/>
    <cellStyle name="Normal 5 13 3 3 2 2" xfId="6423" xr:uid="{00000000-0005-0000-0000-00001C4C0000}"/>
    <cellStyle name="Normal 5 13 3 3 2 2 2" xfId="9774" xr:uid="{00000000-0005-0000-0000-00001D4C0000}"/>
    <cellStyle name="Normal 5 13 3 3 2 2 2 2" xfId="17037" xr:uid="{00000000-0005-0000-0000-00001E4C0000}"/>
    <cellStyle name="Normal 5 13 3 3 2 2 2 2 2" xfId="33352" xr:uid="{00000000-0005-0000-0000-00001F4C0000}"/>
    <cellStyle name="Normal 5 13 3 3 2 2 2 3" xfId="26387" xr:uid="{00000000-0005-0000-0000-0000204C0000}"/>
    <cellStyle name="Normal 5 13 3 3 2 2 3" xfId="13116" xr:uid="{00000000-0005-0000-0000-0000214C0000}"/>
    <cellStyle name="Normal 5 13 3 3 2 2 3 2" xfId="29691" xr:uid="{00000000-0005-0000-0000-0000224C0000}"/>
    <cellStyle name="Normal 5 13 3 3 2 2 4" xfId="23087" xr:uid="{00000000-0005-0000-0000-0000234C0000}"/>
    <cellStyle name="Normal 5 13 3 3 2 3" xfId="8153" xr:uid="{00000000-0005-0000-0000-0000244C0000}"/>
    <cellStyle name="Normal 5 13 3 3 2 3 2" xfId="15416" xr:uid="{00000000-0005-0000-0000-0000254C0000}"/>
    <cellStyle name="Normal 5 13 3 3 2 3 2 2" xfId="31731" xr:uid="{00000000-0005-0000-0000-0000264C0000}"/>
    <cellStyle name="Normal 5 13 3 3 2 3 3" xfId="24766" xr:uid="{00000000-0005-0000-0000-0000274C0000}"/>
    <cellStyle name="Normal 5 13 3 3 2 4" xfId="11468" xr:uid="{00000000-0005-0000-0000-0000284C0000}"/>
    <cellStyle name="Normal 5 13 3 3 2 4 2" xfId="28066" xr:uid="{00000000-0005-0000-0000-0000294C0000}"/>
    <cellStyle name="Normal 5 13 3 3 2 5" xfId="4303" xr:uid="{00000000-0005-0000-0000-00002A4C0000}"/>
    <cellStyle name="Normal 5 13 3 3 2 5 2" xfId="21026" xr:uid="{00000000-0005-0000-0000-00002B4C0000}"/>
    <cellStyle name="Normal 5 13 3 3 2 6" xfId="19428" xr:uid="{00000000-0005-0000-0000-00002C4C0000}"/>
    <cellStyle name="Normal 5 13 3 3 3" xfId="2700" xr:uid="{00000000-0005-0000-0000-00002D4C0000}"/>
    <cellStyle name="Normal 5 13 3 3 3 2" xfId="8962" xr:uid="{00000000-0005-0000-0000-00002E4C0000}"/>
    <cellStyle name="Normal 5 13 3 3 3 2 2" xfId="16225" xr:uid="{00000000-0005-0000-0000-00002F4C0000}"/>
    <cellStyle name="Normal 5 13 3 3 3 2 2 2" xfId="32540" xr:uid="{00000000-0005-0000-0000-0000304C0000}"/>
    <cellStyle name="Normal 5 13 3 3 3 2 3" xfId="25575" xr:uid="{00000000-0005-0000-0000-0000314C0000}"/>
    <cellStyle name="Normal 5 13 3 3 3 3" xfId="12304" xr:uid="{00000000-0005-0000-0000-0000324C0000}"/>
    <cellStyle name="Normal 5 13 3 3 3 3 2" xfId="28879" xr:uid="{00000000-0005-0000-0000-0000334C0000}"/>
    <cellStyle name="Normal 5 13 3 3 3 4" xfId="5611" xr:uid="{00000000-0005-0000-0000-0000344C0000}"/>
    <cellStyle name="Normal 5 13 3 3 3 4 2" xfId="22275" xr:uid="{00000000-0005-0000-0000-0000354C0000}"/>
    <cellStyle name="Normal 5 13 3 3 3 5" xfId="19427" xr:uid="{00000000-0005-0000-0000-0000364C0000}"/>
    <cellStyle name="Normal 5 13 3 3 4" xfId="7341" xr:uid="{00000000-0005-0000-0000-0000374C0000}"/>
    <cellStyle name="Normal 5 13 3 3 4 2" xfId="14604" xr:uid="{00000000-0005-0000-0000-0000384C0000}"/>
    <cellStyle name="Normal 5 13 3 3 4 2 2" xfId="30919" xr:uid="{00000000-0005-0000-0000-0000394C0000}"/>
    <cellStyle name="Normal 5 13 3 3 4 3" xfId="23954" xr:uid="{00000000-0005-0000-0000-00003A4C0000}"/>
    <cellStyle name="Normal 5 13 3 3 5" xfId="10656" xr:uid="{00000000-0005-0000-0000-00003B4C0000}"/>
    <cellStyle name="Normal 5 13 3 3 5 2" xfId="27254" xr:uid="{00000000-0005-0000-0000-00003C4C0000}"/>
    <cellStyle name="Normal 5 13 3 3 6" xfId="4302" xr:uid="{00000000-0005-0000-0000-00003D4C0000}"/>
    <cellStyle name="Normal 5 13 3 3 6 2" xfId="21025" xr:uid="{00000000-0005-0000-0000-00003E4C0000}"/>
    <cellStyle name="Normal 5 13 3 3 7" xfId="18280" xr:uid="{00000000-0005-0000-0000-00003F4C0000}"/>
    <cellStyle name="Normal 5 13 3 4" xfId="2702" xr:uid="{00000000-0005-0000-0000-0000404C0000}"/>
    <cellStyle name="Normal 5 13 3 4 2" xfId="6017" xr:uid="{00000000-0005-0000-0000-0000414C0000}"/>
    <cellStyle name="Normal 5 13 3 4 2 2" xfId="9368" xr:uid="{00000000-0005-0000-0000-0000424C0000}"/>
    <cellStyle name="Normal 5 13 3 4 2 2 2" xfId="16631" xr:uid="{00000000-0005-0000-0000-0000434C0000}"/>
    <cellStyle name="Normal 5 13 3 4 2 2 2 2" xfId="32946" xr:uid="{00000000-0005-0000-0000-0000444C0000}"/>
    <cellStyle name="Normal 5 13 3 4 2 2 3" xfId="25981" xr:uid="{00000000-0005-0000-0000-0000454C0000}"/>
    <cellStyle name="Normal 5 13 3 4 2 3" xfId="12710" xr:uid="{00000000-0005-0000-0000-0000464C0000}"/>
    <cellStyle name="Normal 5 13 3 4 2 3 2" xfId="29285" xr:uid="{00000000-0005-0000-0000-0000474C0000}"/>
    <cellStyle name="Normal 5 13 3 4 2 4" xfId="22681" xr:uid="{00000000-0005-0000-0000-0000484C0000}"/>
    <cellStyle name="Normal 5 13 3 4 3" xfId="7747" xr:uid="{00000000-0005-0000-0000-0000494C0000}"/>
    <cellStyle name="Normal 5 13 3 4 3 2" xfId="15010" xr:uid="{00000000-0005-0000-0000-00004A4C0000}"/>
    <cellStyle name="Normal 5 13 3 4 3 2 2" xfId="31325" xr:uid="{00000000-0005-0000-0000-00004B4C0000}"/>
    <cellStyle name="Normal 5 13 3 4 3 3" xfId="24360" xr:uid="{00000000-0005-0000-0000-00004C4C0000}"/>
    <cellStyle name="Normal 5 13 3 4 4" xfId="11062" xr:uid="{00000000-0005-0000-0000-00004D4C0000}"/>
    <cellStyle name="Normal 5 13 3 4 4 2" xfId="27660" xr:uid="{00000000-0005-0000-0000-00004E4C0000}"/>
    <cellStyle name="Normal 5 13 3 4 5" xfId="4304" xr:uid="{00000000-0005-0000-0000-00004F4C0000}"/>
    <cellStyle name="Normal 5 13 3 4 5 2" xfId="21027" xr:uid="{00000000-0005-0000-0000-0000504C0000}"/>
    <cellStyle name="Normal 5 13 3 4 6" xfId="19429" xr:uid="{00000000-0005-0000-0000-0000514C0000}"/>
    <cellStyle name="Normal 5 13 3 5" xfId="2695" xr:uid="{00000000-0005-0000-0000-0000524C0000}"/>
    <cellStyle name="Normal 5 13 3 5 2" xfId="8606" xr:uid="{00000000-0005-0000-0000-0000534C0000}"/>
    <cellStyle name="Normal 5 13 3 5 2 2" xfId="15869" xr:uid="{00000000-0005-0000-0000-0000544C0000}"/>
    <cellStyle name="Normal 5 13 3 5 2 2 2" xfId="32184" xr:uid="{00000000-0005-0000-0000-0000554C0000}"/>
    <cellStyle name="Normal 5 13 3 5 2 3" xfId="25219" xr:uid="{00000000-0005-0000-0000-0000564C0000}"/>
    <cellStyle name="Normal 5 13 3 5 3" xfId="11948" xr:uid="{00000000-0005-0000-0000-0000574C0000}"/>
    <cellStyle name="Normal 5 13 3 5 3 2" xfId="28523" xr:uid="{00000000-0005-0000-0000-0000584C0000}"/>
    <cellStyle name="Normal 5 13 3 5 4" xfId="5255" xr:uid="{00000000-0005-0000-0000-0000594C0000}"/>
    <cellStyle name="Normal 5 13 3 5 4 2" xfId="21919" xr:uid="{00000000-0005-0000-0000-00005A4C0000}"/>
    <cellStyle name="Normal 5 13 3 5 5" xfId="19422" xr:uid="{00000000-0005-0000-0000-00005B4C0000}"/>
    <cellStyle name="Normal 5 13 3 6" xfId="6987" xr:uid="{00000000-0005-0000-0000-00005C4C0000}"/>
    <cellStyle name="Normal 5 13 3 6 2" xfId="14250" xr:uid="{00000000-0005-0000-0000-00005D4C0000}"/>
    <cellStyle name="Normal 5 13 3 6 2 2" xfId="30565" xr:uid="{00000000-0005-0000-0000-00005E4C0000}"/>
    <cellStyle name="Normal 5 13 3 6 3" xfId="23600" xr:uid="{00000000-0005-0000-0000-00005F4C0000}"/>
    <cellStyle name="Normal 5 13 3 7" xfId="10301" xr:uid="{00000000-0005-0000-0000-0000604C0000}"/>
    <cellStyle name="Normal 5 13 3 7 2" xfId="26900" xr:uid="{00000000-0005-0000-0000-0000614C0000}"/>
    <cellStyle name="Normal 5 13 3 8" xfId="4297" xr:uid="{00000000-0005-0000-0000-0000624C0000}"/>
    <cellStyle name="Normal 5 13 3 8 2" xfId="21020" xr:uid="{00000000-0005-0000-0000-0000634C0000}"/>
    <cellStyle name="Normal 5 13 3 9" xfId="17761" xr:uid="{00000000-0005-0000-0000-0000644C0000}"/>
    <cellStyle name="Normal 5 13 4" xfId="1181" xr:uid="{00000000-0005-0000-0000-0000654C0000}"/>
    <cellStyle name="Normal 5 13 4 2" xfId="1702" xr:uid="{00000000-0005-0000-0000-0000664C0000}"/>
    <cellStyle name="Normal 5 13 4 2 2" xfId="2705" xr:uid="{00000000-0005-0000-0000-0000674C0000}"/>
    <cellStyle name="Normal 5 13 4 2 2 2" xfId="6596" xr:uid="{00000000-0005-0000-0000-0000684C0000}"/>
    <cellStyle name="Normal 5 13 4 2 2 2 2" xfId="9947" xr:uid="{00000000-0005-0000-0000-0000694C0000}"/>
    <cellStyle name="Normal 5 13 4 2 2 2 2 2" xfId="17210" xr:uid="{00000000-0005-0000-0000-00006A4C0000}"/>
    <cellStyle name="Normal 5 13 4 2 2 2 2 2 2" xfId="33525" xr:uid="{00000000-0005-0000-0000-00006B4C0000}"/>
    <cellStyle name="Normal 5 13 4 2 2 2 2 3" xfId="26560" xr:uid="{00000000-0005-0000-0000-00006C4C0000}"/>
    <cellStyle name="Normal 5 13 4 2 2 2 3" xfId="13289" xr:uid="{00000000-0005-0000-0000-00006D4C0000}"/>
    <cellStyle name="Normal 5 13 4 2 2 2 3 2" xfId="29864" xr:uid="{00000000-0005-0000-0000-00006E4C0000}"/>
    <cellStyle name="Normal 5 13 4 2 2 2 4" xfId="23260" xr:uid="{00000000-0005-0000-0000-00006F4C0000}"/>
    <cellStyle name="Normal 5 13 4 2 2 3" xfId="8326" xr:uid="{00000000-0005-0000-0000-0000704C0000}"/>
    <cellStyle name="Normal 5 13 4 2 2 3 2" xfId="15589" xr:uid="{00000000-0005-0000-0000-0000714C0000}"/>
    <cellStyle name="Normal 5 13 4 2 2 3 2 2" xfId="31904" xr:uid="{00000000-0005-0000-0000-0000724C0000}"/>
    <cellStyle name="Normal 5 13 4 2 2 3 3" xfId="24939" xr:uid="{00000000-0005-0000-0000-0000734C0000}"/>
    <cellStyle name="Normal 5 13 4 2 2 4" xfId="11641" xr:uid="{00000000-0005-0000-0000-0000744C0000}"/>
    <cellStyle name="Normal 5 13 4 2 2 4 2" xfId="28239" xr:uid="{00000000-0005-0000-0000-0000754C0000}"/>
    <cellStyle name="Normal 5 13 4 2 2 5" xfId="4307" xr:uid="{00000000-0005-0000-0000-0000764C0000}"/>
    <cellStyle name="Normal 5 13 4 2 2 5 2" xfId="21030" xr:uid="{00000000-0005-0000-0000-0000774C0000}"/>
    <cellStyle name="Normal 5 13 4 2 2 6" xfId="19432" xr:uid="{00000000-0005-0000-0000-0000784C0000}"/>
    <cellStyle name="Normal 5 13 4 2 3" xfId="2704" xr:uid="{00000000-0005-0000-0000-0000794C0000}"/>
    <cellStyle name="Normal 5 13 4 2 3 2" xfId="9171" xr:uid="{00000000-0005-0000-0000-00007A4C0000}"/>
    <cellStyle name="Normal 5 13 4 2 3 2 2" xfId="16434" xr:uid="{00000000-0005-0000-0000-00007B4C0000}"/>
    <cellStyle name="Normal 5 13 4 2 3 2 2 2" xfId="32749" xr:uid="{00000000-0005-0000-0000-00007C4C0000}"/>
    <cellStyle name="Normal 5 13 4 2 3 2 3" xfId="25784" xr:uid="{00000000-0005-0000-0000-00007D4C0000}"/>
    <cellStyle name="Normal 5 13 4 2 3 3" xfId="12513" xr:uid="{00000000-0005-0000-0000-00007E4C0000}"/>
    <cellStyle name="Normal 5 13 4 2 3 3 2" xfId="29088" xr:uid="{00000000-0005-0000-0000-00007F4C0000}"/>
    <cellStyle name="Normal 5 13 4 2 3 4" xfId="5820" xr:uid="{00000000-0005-0000-0000-0000804C0000}"/>
    <cellStyle name="Normal 5 13 4 2 3 4 2" xfId="22484" xr:uid="{00000000-0005-0000-0000-0000814C0000}"/>
    <cellStyle name="Normal 5 13 4 2 3 5" xfId="19431" xr:uid="{00000000-0005-0000-0000-0000824C0000}"/>
    <cellStyle name="Normal 5 13 4 2 4" xfId="7550" xr:uid="{00000000-0005-0000-0000-0000834C0000}"/>
    <cellStyle name="Normal 5 13 4 2 4 2" xfId="14813" xr:uid="{00000000-0005-0000-0000-0000844C0000}"/>
    <cellStyle name="Normal 5 13 4 2 4 2 2" xfId="31128" xr:uid="{00000000-0005-0000-0000-0000854C0000}"/>
    <cellStyle name="Normal 5 13 4 2 4 3" xfId="24163" xr:uid="{00000000-0005-0000-0000-0000864C0000}"/>
    <cellStyle name="Normal 5 13 4 2 5" xfId="10865" xr:uid="{00000000-0005-0000-0000-0000874C0000}"/>
    <cellStyle name="Normal 5 13 4 2 5 2" xfId="27463" xr:uid="{00000000-0005-0000-0000-0000884C0000}"/>
    <cellStyle name="Normal 5 13 4 2 6" xfId="4306" xr:uid="{00000000-0005-0000-0000-0000894C0000}"/>
    <cellStyle name="Normal 5 13 4 2 6 2" xfId="21029" xr:uid="{00000000-0005-0000-0000-00008A4C0000}"/>
    <cellStyle name="Normal 5 13 4 2 7" xfId="18437" xr:uid="{00000000-0005-0000-0000-00008B4C0000}"/>
    <cellStyle name="Normal 5 13 4 3" xfId="2706" xr:uid="{00000000-0005-0000-0000-00008C4C0000}"/>
    <cellStyle name="Normal 5 13 4 3 2" xfId="6226" xr:uid="{00000000-0005-0000-0000-00008D4C0000}"/>
    <cellStyle name="Normal 5 13 4 3 2 2" xfId="9577" xr:uid="{00000000-0005-0000-0000-00008E4C0000}"/>
    <cellStyle name="Normal 5 13 4 3 2 2 2" xfId="16840" xr:uid="{00000000-0005-0000-0000-00008F4C0000}"/>
    <cellStyle name="Normal 5 13 4 3 2 2 2 2" xfId="33155" xr:uid="{00000000-0005-0000-0000-0000904C0000}"/>
    <cellStyle name="Normal 5 13 4 3 2 2 3" xfId="26190" xr:uid="{00000000-0005-0000-0000-0000914C0000}"/>
    <cellStyle name="Normal 5 13 4 3 2 3" xfId="12919" xr:uid="{00000000-0005-0000-0000-0000924C0000}"/>
    <cellStyle name="Normal 5 13 4 3 2 3 2" xfId="29494" xr:uid="{00000000-0005-0000-0000-0000934C0000}"/>
    <cellStyle name="Normal 5 13 4 3 2 4" xfId="22890" xr:uid="{00000000-0005-0000-0000-0000944C0000}"/>
    <cellStyle name="Normal 5 13 4 3 3" xfId="7956" xr:uid="{00000000-0005-0000-0000-0000954C0000}"/>
    <cellStyle name="Normal 5 13 4 3 3 2" xfId="15219" xr:uid="{00000000-0005-0000-0000-0000964C0000}"/>
    <cellStyle name="Normal 5 13 4 3 3 2 2" xfId="31534" xr:uid="{00000000-0005-0000-0000-0000974C0000}"/>
    <cellStyle name="Normal 5 13 4 3 3 3" xfId="24569" xr:uid="{00000000-0005-0000-0000-0000984C0000}"/>
    <cellStyle name="Normal 5 13 4 3 4" xfId="11271" xr:uid="{00000000-0005-0000-0000-0000994C0000}"/>
    <cellStyle name="Normal 5 13 4 3 4 2" xfId="27869" xr:uid="{00000000-0005-0000-0000-00009A4C0000}"/>
    <cellStyle name="Normal 5 13 4 3 5" xfId="4308" xr:uid="{00000000-0005-0000-0000-00009B4C0000}"/>
    <cellStyle name="Normal 5 13 4 3 5 2" xfId="21031" xr:uid="{00000000-0005-0000-0000-00009C4C0000}"/>
    <cellStyle name="Normal 5 13 4 3 6" xfId="19433" xr:uid="{00000000-0005-0000-0000-00009D4C0000}"/>
    <cellStyle name="Normal 5 13 4 4" xfId="2703" xr:uid="{00000000-0005-0000-0000-00009E4C0000}"/>
    <cellStyle name="Normal 5 13 4 4 2" xfId="8764" xr:uid="{00000000-0005-0000-0000-00009F4C0000}"/>
    <cellStyle name="Normal 5 13 4 4 2 2" xfId="16027" xr:uid="{00000000-0005-0000-0000-0000A04C0000}"/>
    <cellStyle name="Normal 5 13 4 4 2 2 2" xfId="32342" xr:uid="{00000000-0005-0000-0000-0000A14C0000}"/>
    <cellStyle name="Normal 5 13 4 4 2 3" xfId="25377" xr:uid="{00000000-0005-0000-0000-0000A24C0000}"/>
    <cellStyle name="Normal 5 13 4 4 3" xfId="12106" xr:uid="{00000000-0005-0000-0000-0000A34C0000}"/>
    <cellStyle name="Normal 5 13 4 4 3 2" xfId="28681" xr:uid="{00000000-0005-0000-0000-0000A44C0000}"/>
    <cellStyle name="Normal 5 13 4 4 4" xfId="5413" xr:uid="{00000000-0005-0000-0000-0000A54C0000}"/>
    <cellStyle name="Normal 5 13 4 4 4 2" xfId="22077" xr:uid="{00000000-0005-0000-0000-0000A64C0000}"/>
    <cellStyle name="Normal 5 13 4 4 5" xfId="19430" xr:uid="{00000000-0005-0000-0000-0000A74C0000}"/>
    <cellStyle name="Normal 5 13 4 5" xfId="7144" xr:uid="{00000000-0005-0000-0000-0000A84C0000}"/>
    <cellStyle name="Normal 5 13 4 5 2" xfId="14407" xr:uid="{00000000-0005-0000-0000-0000A94C0000}"/>
    <cellStyle name="Normal 5 13 4 5 2 2" xfId="30722" xr:uid="{00000000-0005-0000-0000-0000AA4C0000}"/>
    <cellStyle name="Normal 5 13 4 5 3" xfId="23757" xr:uid="{00000000-0005-0000-0000-0000AB4C0000}"/>
    <cellStyle name="Normal 5 13 4 6" xfId="10459" xr:uid="{00000000-0005-0000-0000-0000AC4C0000}"/>
    <cellStyle name="Normal 5 13 4 6 2" xfId="27057" xr:uid="{00000000-0005-0000-0000-0000AD4C0000}"/>
    <cellStyle name="Normal 5 13 4 7" xfId="4305" xr:uid="{00000000-0005-0000-0000-0000AE4C0000}"/>
    <cellStyle name="Normal 5 13 4 7 2" xfId="21028" xr:uid="{00000000-0005-0000-0000-0000AF4C0000}"/>
    <cellStyle name="Normal 5 13 4 8" xfId="17918" xr:uid="{00000000-0005-0000-0000-0000B04C0000}"/>
    <cellStyle name="Normal 5 13 5" xfId="1439" xr:uid="{00000000-0005-0000-0000-0000B14C0000}"/>
    <cellStyle name="Normal 5 13 5 2" xfId="2708" xr:uid="{00000000-0005-0000-0000-0000B24C0000}"/>
    <cellStyle name="Normal 5 13 5 2 2" xfId="6420" xr:uid="{00000000-0005-0000-0000-0000B34C0000}"/>
    <cellStyle name="Normal 5 13 5 2 2 2" xfId="9771" xr:uid="{00000000-0005-0000-0000-0000B44C0000}"/>
    <cellStyle name="Normal 5 13 5 2 2 2 2" xfId="17034" xr:uid="{00000000-0005-0000-0000-0000B54C0000}"/>
    <cellStyle name="Normal 5 13 5 2 2 2 2 2" xfId="33349" xr:uid="{00000000-0005-0000-0000-0000B64C0000}"/>
    <cellStyle name="Normal 5 13 5 2 2 2 3" xfId="26384" xr:uid="{00000000-0005-0000-0000-0000B74C0000}"/>
    <cellStyle name="Normal 5 13 5 2 2 3" xfId="13113" xr:uid="{00000000-0005-0000-0000-0000B84C0000}"/>
    <cellStyle name="Normal 5 13 5 2 2 3 2" xfId="29688" xr:uid="{00000000-0005-0000-0000-0000B94C0000}"/>
    <cellStyle name="Normal 5 13 5 2 2 4" xfId="23084" xr:uid="{00000000-0005-0000-0000-0000BA4C0000}"/>
    <cellStyle name="Normal 5 13 5 2 3" xfId="8150" xr:uid="{00000000-0005-0000-0000-0000BB4C0000}"/>
    <cellStyle name="Normal 5 13 5 2 3 2" xfId="15413" xr:uid="{00000000-0005-0000-0000-0000BC4C0000}"/>
    <cellStyle name="Normal 5 13 5 2 3 2 2" xfId="31728" xr:uid="{00000000-0005-0000-0000-0000BD4C0000}"/>
    <cellStyle name="Normal 5 13 5 2 3 3" xfId="24763" xr:uid="{00000000-0005-0000-0000-0000BE4C0000}"/>
    <cellStyle name="Normal 5 13 5 2 4" xfId="11465" xr:uid="{00000000-0005-0000-0000-0000BF4C0000}"/>
    <cellStyle name="Normal 5 13 5 2 4 2" xfId="28063" xr:uid="{00000000-0005-0000-0000-0000C04C0000}"/>
    <cellStyle name="Normal 5 13 5 2 5" xfId="4310" xr:uid="{00000000-0005-0000-0000-0000C14C0000}"/>
    <cellStyle name="Normal 5 13 5 2 5 2" xfId="21033" xr:uid="{00000000-0005-0000-0000-0000C24C0000}"/>
    <cellStyle name="Normal 5 13 5 2 6" xfId="19435" xr:uid="{00000000-0005-0000-0000-0000C34C0000}"/>
    <cellStyle name="Normal 5 13 5 3" xfId="2707" xr:uid="{00000000-0005-0000-0000-0000C44C0000}"/>
    <cellStyle name="Normal 5 13 5 3 2" xfId="8959" xr:uid="{00000000-0005-0000-0000-0000C54C0000}"/>
    <cellStyle name="Normal 5 13 5 3 2 2" xfId="16222" xr:uid="{00000000-0005-0000-0000-0000C64C0000}"/>
    <cellStyle name="Normal 5 13 5 3 2 2 2" xfId="32537" xr:uid="{00000000-0005-0000-0000-0000C74C0000}"/>
    <cellStyle name="Normal 5 13 5 3 2 3" xfId="25572" xr:uid="{00000000-0005-0000-0000-0000C84C0000}"/>
    <cellStyle name="Normal 5 13 5 3 3" xfId="12301" xr:uid="{00000000-0005-0000-0000-0000C94C0000}"/>
    <cellStyle name="Normal 5 13 5 3 3 2" xfId="28876" xr:uid="{00000000-0005-0000-0000-0000CA4C0000}"/>
    <cellStyle name="Normal 5 13 5 3 4" xfId="5608" xr:uid="{00000000-0005-0000-0000-0000CB4C0000}"/>
    <cellStyle name="Normal 5 13 5 3 4 2" xfId="22272" xr:uid="{00000000-0005-0000-0000-0000CC4C0000}"/>
    <cellStyle name="Normal 5 13 5 3 5" xfId="19434" xr:uid="{00000000-0005-0000-0000-0000CD4C0000}"/>
    <cellStyle name="Normal 5 13 5 4" xfId="7338" xr:uid="{00000000-0005-0000-0000-0000CE4C0000}"/>
    <cellStyle name="Normal 5 13 5 4 2" xfId="14601" xr:uid="{00000000-0005-0000-0000-0000CF4C0000}"/>
    <cellStyle name="Normal 5 13 5 4 2 2" xfId="30916" xr:uid="{00000000-0005-0000-0000-0000D04C0000}"/>
    <cellStyle name="Normal 5 13 5 4 3" xfId="23951" xr:uid="{00000000-0005-0000-0000-0000D14C0000}"/>
    <cellStyle name="Normal 5 13 5 5" xfId="10653" xr:uid="{00000000-0005-0000-0000-0000D24C0000}"/>
    <cellStyle name="Normal 5 13 5 5 2" xfId="27251" xr:uid="{00000000-0005-0000-0000-0000D34C0000}"/>
    <cellStyle name="Normal 5 13 5 6" xfId="4309" xr:uid="{00000000-0005-0000-0000-0000D44C0000}"/>
    <cellStyle name="Normal 5 13 5 6 2" xfId="21032" xr:uid="{00000000-0005-0000-0000-0000D54C0000}"/>
    <cellStyle name="Normal 5 13 5 7" xfId="18174" xr:uid="{00000000-0005-0000-0000-0000D64C0000}"/>
    <cellStyle name="Normal 5 13 6" xfId="2709" xr:uid="{00000000-0005-0000-0000-0000D74C0000}"/>
    <cellStyle name="Normal 5 13 6 2" xfId="6014" xr:uid="{00000000-0005-0000-0000-0000D84C0000}"/>
    <cellStyle name="Normal 5 13 6 2 2" xfId="9365" xr:uid="{00000000-0005-0000-0000-0000D94C0000}"/>
    <cellStyle name="Normal 5 13 6 2 2 2" xfId="16628" xr:uid="{00000000-0005-0000-0000-0000DA4C0000}"/>
    <cellStyle name="Normal 5 13 6 2 2 2 2" xfId="32943" xr:uid="{00000000-0005-0000-0000-0000DB4C0000}"/>
    <cellStyle name="Normal 5 13 6 2 2 3" xfId="25978" xr:uid="{00000000-0005-0000-0000-0000DC4C0000}"/>
    <cellStyle name="Normal 5 13 6 2 3" xfId="12707" xr:uid="{00000000-0005-0000-0000-0000DD4C0000}"/>
    <cellStyle name="Normal 5 13 6 2 3 2" xfId="29282" xr:uid="{00000000-0005-0000-0000-0000DE4C0000}"/>
    <cellStyle name="Normal 5 13 6 2 4" xfId="22678" xr:uid="{00000000-0005-0000-0000-0000DF4C0000}"/>
    <cellStyle name="Normal 5 13 6 3" xfId="7744" xr:uid="{00000000-0005-0000-0000-0000E04C0000}"/>
    <cellStyle name="Normal 5 13 6 3 2" xfId="15007" xr:uid="{00000000-0005-0000-0000-0000E14C0000}"/>
    <cellStyle name="Normal 5 13 6 3 2 2" xfId="31322" xr:uid="{00000000-0005-0000-0000-0000E24C0000}"/>
    <cellStyle name="Normal 5 13 6 3 3" xfId="24357" xr:uid="{00000000-0005-0000-0000-0000E34C0000}"/>
    <cellStyle name="Normal 5 13 6 4" xfId="11059" xr:uid="{00000000-0005-0000-0000-0000E44C0000}"/>
    <cellStyle name="Normal 5 13 6 4 2" xfId="27657" xr:uid="{00000000-0005-0000-0000-0000E54C0000}"/>
    <cellStyle name="Normal 5 13 6 5" xfId="4311" xr:uid="{00000000-0005-0000-0000-0000E64C0000}"/>
    <cellStyle name="Normal 5 13 6 5 2" xfId="21034" xr:uid="{00000000-0005-0000-0000-0000E74C0000}"/>
    <cellStyle name="Normal 5 13 6 6" xfId="19436" xr:uid="{00000000-0005-0000-0000-0000E84C0000}"/>
    <cellStyle name="Normal 5 13 7" xfId="2678" xr:uid="{00000000-0005-0000-0000-0000E94C0000}"/>
    <cellStyle name="Normal 5 13 7 2" xfId="8500" xr:uid="{00000000-0005-0000-0000-0000EA4C0000}"/>
    <cellStyle name="Normal 5 13 7 2 2" xfId="15763" xr:uid="{00000000-0005-0000-0000-0000EB4C0000}"/>
    <cellStyle name="Normal 5 13 7 2 2 2" xfId="32078" xr:uid="{00000000-0005-0000-0000-0000EC4C0000}"/>
    <cellStyle name="Normal 5 13 7 2 3" xfId="25113" xr:uid="{00000000-0005-0000-0000-0000ED4C0000}"/>
    <cellStyle name="Normal 5 13 7 3" xfId="11842" xr:uid="{00000000-0005-0000-0000-0000EE4C0000}"/>
    <cellStyle name="Normal 5 13 7 3 2" xfId="28417" xr:uid="{00000000-0005-0000-0000-0000EF4C0000}"/>
    <cellStyle name="Normal 5 13 7 4" xfId="5149" xr:uid="{00000000-0005-0000-0000-0000F04C0000}"/>
    <cellStyle name="Normal 5 13 7 4 2" xfId="21813" xr:uid="{00000000-0005-0000-0000-0000F14C0000}"/>
    <cellStyle name="Normal 5 13 7 5" xfId="19405" xr:uid="{00000000-0005-0000-0000-0000F24C0000}"/>
    <cellStyle name="Normal 5 13 8" xfId="6881" xr:uid="{00000000-0005-0000-0000-0000F34C0000}"/>
    <cellStyle name="Normal 5 13 8 2" xfId="14144" xr:uid="{00000000-0005-0000-0000-0000F44C0000}"/>
    <cellStyle name="Normal 5 13 8 2 2" xfId="30459" xr:uid="{00000000-0005-0000-0000-0000F54C0000}"/>
    <cellStyle name="Normal 5 13 8 3" xfId="23494" xr:uid="{00000000-0005-0000-0000-0000F64C0000}"/>
    <cellStyle name="Normal 5 13 9" xfId="10195" xr:uid="{00000000-0005-0000-0000-0000F74C0000}"/>
    <cellStyle name="Normal 5 13 9 2" xfId="26794" xr:uid="{00000000-0005-0000-0000-0000F84C0000}"/>
    <cellStyle name="Normal 5 14" xfId="2710" xr:uid="{00000000-0005-0000-0000-0000F94C0000}"/>
    <cellStyle name="Normal 5 14 2" xfId="2711" xr:uid="{00000000-0005-0000-0000-0000FA4C0000}"/>
    <cellStyle name="Normal 5 14 2 2" xfId="2712" xr:uid="{00000000-0005-0000-0000-0000FB4C0000}"/>
    <cellStyle name="Normal 5 14 2 2 2" xfId="6685" xr:uid="{00000000-0005-0000-0000-0000FC4C0000}"/>
    <cellStyle name="Normal 5 14 2 2 2 2" xfId="10036" xr:uid="{00000000-0005-0000-0000-0000FD4C0000}"/>
    <cellStyle name="Normal 5 14 2 2 2 2 2" xfId="17299" xr:uid="{00000000-0005-0000-0000-0000FE4C0000}"/>
    <cellStyle name="Normal 5 14 2 2 2 2 2 2" xfId="33614" xr:uid="{00000000-0005-0000-0000-0000FF4C0000}"/>
    <cellStyle name="Normal 5 14 2 2 2 2 3" xfId="26649" xr:uid="{00000000-0005-0000-0000-0000004D0000}"/>
    <cellStyle name="Normal 5 14 2 2 2 3" xfId="13378" xr:uid="{00000000-0005-0000-0000-0000014D0000}"/>
    <cellStyle name="Normal 5 14 2 2 2 3 2" xfId="29953" xr:uid="{00000000-0005-0000-0000-0000024D0000}"/>
    <cellStyle name="Normal 5 14 2 2 2 4" xfId="23349" xr:uid="{00000000-0005-0000-0000-0000034D0000}"/>
    <cellStyle name="Normal 5 14 2 2 3" xfId="8415" xr:uid="{00000000-0005-0000-0000-0000044D0000}"/>
    <cellStyle name="Normal 5 14 2 2 3 2" xfId="15678" xr:uid="{00000000-0005-0000-0000-0000054D0000}"/>
    <cellStyle name="Normal 5 14 2 2 3 2 2" xfId="31993" xr:uid="{00000000-0005-0000-0000-0000064D0000}"/>
    <cellStyle name="Normal 5 14 2 2 3 3" xfId="25028" xr:uid="{00000000-0005-0000-0000-0000074D0000}"/>
    <cellStyle name="Normal 5 14 2 2 4" xfId="11730" xr:uid="{00000000-0005-0000-0000-0000084D0000}"/>
    <cellStyle name="Normal 5 14 2 2 4 2" xfId="28328" xr:uid="{00000000-0005-0000-0000-0000094D0000}"/>
    <cellStyle name="Normal 5 14 2 2 5" xfId="4314" xr:uid="{00000000-0005-0000-0000-00000A4D0000}"/>
    <cellStyle name="Normal 5 14 2 2 5 2" xfId="21037" xr:uid="{00000000-0005-0000-0000-00000B4D0000}"/>
    <cellStyle name="Normal 5 14 2 2 6" xfId="19439" xr:uid="{00000000-0005-0000-0000-00000C4D0000}"/>
    <cellStyle name="Normal 5 14 2 3" xfId="5909" xr:uid="{00000000-0005-0000-0000-00000D4D0000}"/>
    <cellStyle name="Normal 5 14 2 3 2" xfId="9260" xr:uid="{00000000-0005-0000-0000-00000E4D0000}"/>
    <cellStyle name="Normal 5 14 2 3 2 2" xfId="16523" xr:uid="{00000000-0005-0000-0000-00000F4D0000}"/>
    <cellStyle name="Normal 5 14 2 3 2 2 2" xfId="32838" xr:uid="{00000000-0005-0000-0000-0000104D0000}"/>
    <cellStyle name="Normal 5 14 2 3 2 3" xfId="25873" xr:uid="{00000000-0005-0000-0000-0000114D0000}"/>
    <cellStyle name="Normal 5 14 2 3 3" xfId="12602" xr:uid="{00000000-0005-0000-0000-0000124D0000}"/>
    <cellStyle name="Normal 5 14 2 3 3 2" xfId="29177" xr:uid="{00000000-0005-0000-0000-0000134D0000}"/>
    <cellStyle name="Normal 5 14 2 3 4" xfId="22573" xr:uid="{00000000-0005-0000-0000-0000144D0000}"/>
    <cellStyle name="Normal 5 14 2 4" xfId="7639" xr:uid="{00000000-0005-0000-0000-0000154D0000}"/>
    <cellStyle name="Normal 5 14 2 4 2" xfId="14902" xr:uid="{00000000-0005-0000-0000-0000164D0000}"/>
    <cellStyle name="Normal 5 14 2 4 2 2" xfId="31217" xr:uid="{00000000-0005-0000-0000-0000174D0000}"/>
    <cellStyle name="Normal 5 14 2 4 3" xfId="24252" xr:uid="{00000000-0005-0000-0000-0000184D0000}"/>
    <cellStyle name="Normal 5 14 2 5" xfId="10954" xr:uid="{00000000-0005-0000-0000-0000194D0000}"/>
    <cellStyle name="Normal 5 14 2 5 2" xfId="27552" xr:uid="{00000000-0005-0000-0000-00001A4D0000}"/>
    <cellStyle name="Normal 5 14 2 6" xfId="4313" xr:uid="{00000000-0005-0000-0000-00001B4D0000}"/>
    <cellStyle name="Normal 5 14 2 6 2" xfId="21036" xr:uid="{00000000-0005-0000-0000-00001C4D0000}"/>
    <cellStyle name="Normal 5 14 2 7" xfId="19438" xr:uid="{00000000-0005-0000-0000-00001D4D0000}"/>
    <cellStyle name="Normal 5 14 3" xfId="2713" xr:uid="{00000000-0005-0000-0000-00001E4D0000}"/>
    <cellStyle name="Normal 5 14 3 2" xfId="6315" xr:uid="{00000000-0005-0000-0000-00001F4D0000}"/>
    <cellStyle name="Normal 5 14 3 2 2" xfId="9666" xr:uid="{00000000-0005-0000-0000-0000204D0000}"/>
    <cellStyle name="Normal 5 14 3 2 2 2" xfId="16929" xr:uid="{00000000-0005-0000-0000-0000214D0000}"/>
    <cellStyle name="Normal 5 14 3 2 2 2 2" xfId="33244" xr:uid="{00000000-0005-0000-0000-0000224D0000}"/>
    <cellStyle name="Normal 5 14 3 2 2 3" xfId="26279" xr:uid="{00000000-0005-0000-0000-0000234D0000}"/>
    <cellStyle name="Normal 5 14 3 2 3" xfId="13008" xr:uid="{00000000-0005-0000-0000-0000244D0000}"/>
    <cellStyle name="Normal 5 14 3 2 3 2" xfId="29583" xr:uid="{00000000-0005-0000-0000-0000254D0000}"/>
    <cellStyle name="Normal 5 14 3 2 4" xfId="22979" xr:uid="{00000000-0005-0000-0000-0000264D0000}"/>
    <cellStyle name="Normal 5 14 3 3" xfId="8045" xr:uid="{00000000-0005-0000-0000-0000274D0000}"/>
    <cellStyle name="Normal 5 14 3 3 2" xfId="15308" xr:uid="{00000000-0005-0000-0000-0000284D0000}"/>
    <cellStyle name="Normal 5 14 3 3 2 2" xfId="31623" xr:uid="{00000000-0005-0000-0000-0000294D0000}"/>
    <cellStyle name="Normal 5 14 3 3 3" xfId="24658" xr:uid="{00000000-0005-0000-0000-00002A4D0000}"/>
    <cellStyle name="Normal 5 14 3 4" xfId="11360" xr:uid="{00000000-0005-0000-0000-00002B4D0000}"/>
    <cellStyle name="Normal 5 14 3 4 2" xfId="27958" xr:uid="{00000000-0005-0000-0000-00002C4D0000}"/>
    <cellStyle name="Normal 5 14 3 5" xfId="4315" xr:uid="{00000000-0005-0000-0000-00002D4D0000}"/>
    <cellStyle name="Normal 5 14 3 5 2" xfId="21038" xr:uid="{00000000-0005-0000-0000-00002E4D0000}"/>
    <cellStyle name="Normal 5 14 3 6" xfId="19440" xr:uid="{00000000-0005-0000-0000-00002F4D0000}"/>
    <cellStyle name="Normal 5 14 4" xfId="5502" xr:uid="{00000000-0005-0000-0000-0000304D0000}"/>
    <cellStyle name="Normal 5 14 4 2" xfId="8853" xr:uid="{00000000-0005-0000-0000-0000314D0000}"/>
    <cellStyle name="Normal 5 14 4 2 2" xfId="16116" xr:uid="{00000000-0005-0000-0000-0000324D0000}"/>
    <cellStyle name="Normal 5 14 4 2 2 2" xfId="32431" xr:uid="{00000000-0005-0000-0000-0000334D0000}"/>
    <cellStyle name="Normal 5 14 4 2 3" xfId="25466" xr:uid="{00000000-0005-0000-0000-0000344D0000}"/>
    <cellStyle name="Normal 5 14 4 3" xfId="12195" xr:uid="{00000000-0005-0000-0000-0000354D0000}"/>
    <cellStyle name="Normal 5 14 4 3 2" xfId="28770" xr:uid="{00000000-0005-0000-0000-0000364D0000}"/>
    <cellStyle name="Normal 5 14 4 4" xfId="22166" xr:uid="{00000000-0005-0000-0000-0000374D0000}"/>
    <cellStyle name="Normal 5 14 5" xfId="7233" xr:uid="{00000000-0005-0000-0000-0000384D0000}"/>
    <cellStyle name="Normal 5 14 5 2" xfId="14496" xr:uid="{00000000-0005-0000-0000-0000394D0000}"/>
    <cellStyle name="Normal 5 14 5 2 2" xfId="30811" xr:uid="{00000000-0005-0000-0000-00003A4D0000}"/>
    <cellStyle name="Normal 5 14 5 3" xfId="23846" xr:uid="{00000000-0005-0000-0000-00003B4D0000}"/>
    <cellStyle name="Normal 5 14 6" xfId="10548" xr:uid="{00000000-0005-0000-0000-00003C4D0000}"/>
    <cellStyle name="Normal 5 14 6 2" xfId="27146" xr:uid="{00000000-0005-0000-0000-00003D4D0000}"/>
    <cellStyle name="Normal 5 14 7" xfId="4312" xr:uid="{00000000-0005-0000-0000-00003E4D0000}"/>
    <cellStyle name="Normal 5 14 7 2" xfId="21035" xr:uid="{00000000-0005-0000-0000-00003F4D0000}"/>
    <cellStyle name="Normal 5 14 8" xfId="19437" xr:uid="{00000000-0005-0000-0000-0000404D0000}"/>
    <cellStyle name="Normal 5 15" xfId="5027" xr:uid="{00000000-0005-0000-0000-0000414D0000}"/>
    <cellStyle name="Normal 5 15 2" xfId="6798" xr:uid="{00000000-0005-0000-0000-0000424D0000}"/>
    <cellStyle name="Normal 5 15 2 2" xfId="10111" xr:uid="{00000000-0005-0000-0000-0000434D0000}"/>
    <cellStyle name="Normal 5 15 2 2 2" xfId="17374" xr:uid="{00000000-0005-0000-0000-0000444D0000}"/>
    <cellStyle name="Normal 5 15 2 2 2 2" xfId="33689" xr:uid="{00000000-0005-0000-0000-0000454D0000}"/>
    <cellStyle name="Normal 5 15 2 2 3" xfId="26724" xr:uid="{00000000-0005-0000-0000-0000464D0000}"/>
    <cellStyle name="Normal 5 15 2 3" xfId="13456" xr:uid="{00000000-0005-0000-0000-0000474D0000}"/>
    <cellStyle name="Normal 5 15 2 3 2" xfId="30028" xr:uid="{00000000-0005-0000-0000-0000484D0000}"/>
    <cellStyle name="Normal 5 15 2 4" xfId="23424" xr:uid="{00000000-0005-0000-0000-0000494D0000}"/>
    <cellStyle name="Normal 5 15 3" xfId="8433" xr:uid="{00000000-0005-0000-0000-00004A4D0000}"/>
    <cellStyle name="Normal 5 15 3 2" xfId="15696" xr:uid="{00000000-0005-0000-0000-00004B4D0000}"/>
    <cellStyle name="Normal 5 15 3 2 2" xfId="32011" xr:uid="{00000000-0005-0000-0000-00004C4D0000}"/>
    <cellStyle name="Normal 5 15 3 3" xfId="25046" xr:uid="{00000000-0005-0000-0000-00004D4D0000}"/>
    <cellStyle name="Normal 5 15 4" xfId="11748" xr:uid="{00000000-0005-0000-0000-00004E4D0000}"/>
    <cellStyle name="Normal 5 15 4 2" xfId="28346" xr:uid="{00000000-0005-0000-0000-00004F4D0000}"/>
    <cellStyle name="Normal 5 15 5" xfId="21746" xr:uid="{00000000-0005-0000-0000-0000504D0000}"/>
    <cellStyle name="Normal 5 2" xfId="360" xr:uid="{00000000-0005-0000-0000-0000514D0000}"/>
    <cellStyle name="Normal 5 2 2" xfId="546" xr:uid="{00000000-0005-0000-0000-0000524D0000}"/>
    <cellStyle name="Normal 5 2 2 10" xfId="2714" xr:uid="{00000000-0005-0000-0000-0000534D0000}"/>
    <cellStyle name="Normal 5 2 2 10 2" xfId="6810" xr:uid="{00000000-0005-0000-0000-0000544D0000}"/>
    <cellStyle name="Normal 5 2 2 10 2 2" xfId="10123" xr:uid="{00000000-0005-0000-0000-0000554D0000}"/>
    <cellStyle name="Normal 5 2 2 10 2 2 2" xfId="17386" xr:uid="{00000000-0005-0000-0000-0000564D0000}"/>
    <cellStyle name="Normal 5 2 2 10 2 2 2 2" xfId="33701" xr:uid="{00000000-0005-0000-0000-0000574D0000}"/>
    <cellStyle name="Normal 5 2 2 10 2 2 3" xfId="26736" xr:uid="{00000000-0005-0000-0000-0000584D0000}"/>
    <cellStyle name="Normal 5 2 2 10 2 3" xfId="13468" xr:uid="{00000000-0005-0000-0000-0000594D0000}"/>
    <cellStyle name="Normal 5 2 2 10 2 3 2" xfId="30040" xr:uid="{00000000-0005-0000-0000-00005A4D0000}"/>
    <cellStyle name="Normal 5 2 2 10 2 4" xfId="23436" xr:uid="{00000000-0005-0000-0000-00005B4D0000}"/>
    <cellStyle name="Normal 5 2 2 10 3" xfId="8445" xr:uid="{00000000-0005-0000-0000-00005C4D0000}"/>
    <cellStyle name="Normal 5 2 2 10 3 2" xfId="15708" xr:uid="{00000000-0005-0000-0000-00005D4D0000}"/>
    <cellStyle name="Normal 5 2 2 10 3 2 2" xfId="32023" xr:uid="{00000000-0005-0000-0000-00005E4D0000}"/>
    <cellStyle name="Normal 5 2 2 10 3 3" xfId="25058" xr:uid="{00000000-0005-0000-0000-00005F4D0000}"/>
    <cellStyle name="Normal 5 2 2 10 4" xfId="11760" xr:uid="{00000000-0005-0000-0000-0000604D0000}"/>
    <cellStyle name="Normal 5 2 2 10 4 2" xfId="28358" xr:uid="{00000000-0005-0000-0000-0000614D0000}"/>
    <cellStyle name="Normal 5 2 2 10 5" xfId="5039" xr:uid="{00000000-0005-0000-0000-0000624D0000}"/>
    <cellStyle name="Normal 5 2 2 10 5 2" xfId="21758" xr:uid="{00000000-0005-0000-0000-0000634D0000}"/>
    <cellStyle name="Normal 5 2 2 10 6" xfId="19441" xr:uid="{00000000-0005-0000-0000-0000644D0000}"/>
    <cellStyle name="Normal 5 2 2 11" xfId="5117" xr:uid="{00000000-0005-0000-0000-0000654D0000}"/>
    <cellStyle name="Normal 5 2 2 11 2" xfId="8470" xr:uid="{00000000-0005-0000-0000-0000664D0000}"/>
    <cellStyle name="Normal 5 2 2 11 2 2" xfId="15733" xr:uid="{00000000-0005-0000-0000-0000674D0000}"/>
    <cellStyle name="Normal 5 2 2 11 2 2 2" xfId="32048" xr:uid="{00000000-0005-0000-0000-0000684D0000}"/>
    <cellStyle name="Normal 5 2 2 11 2 3" xfId="25083" xr:uid="{00000000-0005-0000-0000-0000694D0000}"/>
    <cellStyle name="Normal 5 2 2 11 3" xfId="11811" xr:uid="{00000000-0005-0000-0000-00006A4D0000}"/>
    <cellStyle name="Normal 5 2 2 11 3 2" xfId="28387" xr:uid="{00000000-0005-0000-0000-00006B4D0000}"/>
    <cellStyle name="Normal 5 2 2 11 4" xfId="21783" xr:uid="{00000000-0005-0000-0000-00006C4D0000}"/>
    <cellStyle name="Normal 5 2 2 12" xfId="6855" xr:uid="{00000000-0005-0000-0000-00006D4D0000}"/>
    <cellStyle name="Normal 5 2 2 12 2" xfId="14118" xr:uid="{00000000-0005-0000-0000-00006E4D0000}"/>
    <cellStyle name="Normal 5 2 2 12 2 2" xfId="30433" xr:uid="{00000000-0005-0000-0000-00006F4D0000}"/>
    <cellStyle name="Normal 5 2 2 12 3" xfId="23468" xr:uid="{00000000-0005-0000-0000-0000704D0000}"/>
    <cellStyle name="Normal 5 2 2 13" xfId="10163" xr:uid="{00000000-0005-0000-0000-0000714D0000}"/>
    <cellStyle name="Normal 5 2 2 13 2" xfId="26768" xr:uid="{00000000-0005-0000-0000-0000724D0000}"/>
    <cellStyle name="Normal 5 2 2 14" xfId="4316" xr:uid="{00000000-0005-0000-0000-0000734D0000}"/>
    <cellStyle name="Normal 5 2 2 14 2" xfId="21039" xr:uid="{00000000-0005-0000-0000-0000744D0000}"/>
    <cellStyle name="Normal 5 2 2 15" xfId="17418" xr:uid="{00000000-0005-0000-0000-0000754D0000}"/>
    <cellStyle name="Normal 5 2 2 2" xfId="609" xr:uid="{00000000-0005-0000-0000-0000764D0000}"/>
    <cellStyle name="Normal 5 2 2 2 10" xfId="4317" xr:uid="{00000000-0005-0000-0000-0000774D0000}"/>
    <cellStyle name="Normal 5 2 2 2 10 2" xfId="21040" xr:uid="{00000000-0005-0000-0000-0000784D0000}"/>
    <cellStyle name="Normal 5 2 2 2 11" xfId="17435" xr:uid="{00000000-0005-0000-0000-0000794D0000}"/>
    <cellStyle name="Normal 5 2 2 2 2" xfId="691" xr:uid="{00000000-0005-0000-0000-00007A4D0000}"/>
    <cellStyle name="Normal 5 2 2 2 2 10" xfId="17505" xr:uid="{00000000-0005-0000-0000-00007B4D0000}"/>
    <cellStyle name="Normal 5 2 2 2 2 2" xfId="1026" xr:uid="{00000000-0005-0000-0000-00007C4D0000}"/>
    <cellStyle name="Normal 5 2 2 2 2 2 2" xfId="1188" xr:uid="{00000000-0005-0000-0000-00007D4D0000}"/>
    <cellStyle name="Normal 5 2 2 2 2 2 2 2" xfId="1709" xr:uid="{00000000-0005-0000-0000-00007E4D0000}"/>
    <cellStyle name="Normal 5 2 2 2 2 2 2 2 2" xfId="2720" xr:uid="{00000000-0005-0000-0000-00007F4D0000}"/>
    <cellStyle name="Normal 5 2 2 2 2 2 2 2 2 2" xfId="6603" xr:uid="{00000000-0005-0000-0000-0000804D0000}"/>
    <cellStyle name="Normal 5 2 2 2 2 2 2 2 2 2 2" xfId="9954" xr:uid="{00000000-0005-0000-0000-0000814D0000}"/>
    <cellStyle name="Normal 5 2 2 2 2 2 2 2 2 2 2 2" xfId="17217" xr:uid="{00000000-0005-0000-0000-0000824D0000}"/>
    <cellStyle name="Normal 5 2 2 2 2 2 2 2 2 2 2 2 2" xfId="33532" xr:uid="{00000000-0005-0000-0000-0000834D0000}"/>
    <cellStyle name="Normal 5 2 2 2 2 2 2 2 2 2 2 3" xfId="26567" xr:uid="{00000000-0005-0000-0000-0000844D0000}"/>
    <cellStyle name="Normal 5 2 2 2 2 2 2 2 2 2 3" xfId="13296" xr:uid="{00000000-0005-0000-0000-0000854D0000}"/>
    <cellStyle name="Normal 5 2 2 2 2 2 2 2 2 2 3 2" xfId="29871" xr:uid="{00000000-0005-0000-0000-0000864D0000}"/>
    <cellStyle name="Normal 5 2 2 2 2 2 2 2 2 2 4" xfId="23267" xr:uid="{00000000-0005-0000-0000-0000874D0000}"/>
    <cellStyle name="Normal 5 2 2 2 2 2 2 2 2 3" xfId="8333" xr:uid="{00000000-0005-0000-0000-0000884D0000}"/>
    <cellStyle name="Normal 5 2 2 2 2 2 2 2 2 3 2" xfId="15596" xr:uid="{00000000-0005-0000-0000-0000894D0000}"/>
    <cellStyle name="Normal 5 2 2 2 2 2 2 2 2 3 2 2" xfId="31911" xr:uid="{00000000-0005-0000-0000-00008A4D0000}"/>
    <cellStyle name="Normal 5 2 2 2 2 2 2 2 2 3 3" xfId="24946" xr:uid="{00000000-0005-0000-0000-00008B4D0000}"/>
    <cellStyle name="Normal 5 2 2 2 2 2 2 2 2 4" xfId="11648" xr:uid="{00000000-0005-0000-0000-00008C4D0000}"/>
    <cellStyle name="Normal 5 2 2 2 2 2 2 2 2 4 2" xfId="28246" xr:uid="{00000000-0005-0000-0000-00008D4D0000}"/>
    <cellStyle name="Normal 5 2 2 2 2 2 2 2 2 5" xfId="4322" xr:uid="{00000000-0005-0000-0000-00008E4D0000}"/>
    <cellStyle name="Normal 5 2 2 2 2 2 2 2 2 5 2" xfId="21045" xr:uid="{00000000-0005-0000-0000-00008F4D0000}"/>
    <cellStyle name="Normal 5 2 2 2 2 2 2 2 2 6" xfId="19447" xr:uid="{00000000-0005-0000-0000-0000904D0000}"/>
    <cellStyle name="Normal 5 2 2 2 2 2 2 2 3" xfId="2719" xr:uid="{00000000-0005-0000-0000-0000914D0000}"/>
    <cellStyle name="Normal 5 2 2 2 2 2 2 2 3 2" xfId="9178" xr:uid="{00000000-0005-0000-0000-0000924D0000}"/>
    <cellStyle name="Normal 5 2 2 2 2 2 2 2 3 2 2" xfId="16441" xr:uid="{00000000-0005-0000-0000-0000934D0000}"/>
    <cellStyle name="Normal 5 2 2 2 2 2 2 2 3 2 2 2" xfId="32756" xr:uid="{00000000-0005-0000-0000-0000944D0000}"/>
    <cellStyle name="Normal 5 2 2 2 2 2 2 2 3 2 3" xfId="25791" xr:uid="{00000000-0005-0000-0000-0000954D0000}"/>
    <cellStyle name="Normal 5 2 2 2 2 2 2 2 3 3" xfId="12520" xr:uid="{00000000-0005-0000-0000-0000964D0000}"/>
    <cellStyle name="Normal 5 2 2 2 2 2 2 2 3 3 2" xfId="29095" xr:uid="{00000000-0005-0000-0000-0000974D0000}"/>
    <cellStyle name="Normal 5 2 2 2 2 2 2 2 3 4" xfId="5827" xr:uid="{00000000-0005-0000-0000-0000984D0000}"/>
    <cellStyle name="Normal 5 2 2 2 2 2 2 2 3 4 2" xfId="22491" xr:uid="{00000000-0005-0000-0000-0000994D0000}"/>
    <cellStyle name="Normal 5 2 2 2 2 2 2 2 3 5" xfId="19446" xr:uid="{00000000-0005-0000-0000-00009A4D0000}"/>
    <cellStyle name="Normal 5 2 2 2 2 2 2 2 4" xfId="7557" xr:uid="{00000000-0005-0000-0000-00009B4D0000}"/>
    <cellStyle name="Normal 5 2 2 2 2 2 2 2 4 2" xfId="14820" xr:uid="{00000000-0005-0000-0000-00009C4D0000}"/>
    <cellStyle name="Normal 5 2 2 2 2 2 2 2 4 2 2" xfId="31135" xr:uid="{00000000-0005-0000-0000-00009D4D0000}"/>
    <cellStyle name="Normal 5 2 2 2 2 2 2 2 4 3" xfId="24170" xr:uid="{00000000-0005-0000-0000-00009E4D0000}"/>
    <cellStyle name="Normal 5 2 2 2 2 2 2 2 5" xfId="10872" xr:uid="{00000000-0005-0000-0000-00009F4D0000}"/>
    <cellStyle name="Normal 5 2 2 2 2 2 2 2 5 2" xfId="27470" xr:uid="{00000000-0005-0000-0000-0000A04D0000}"/>
    <cellStyle name="Normal 5 2 2 2 2 2 2 2 6" xfId="4321" xr:uid="{00000000-0005-0000-0000-0000A14D0000}"/>
    <cellStyle name="Normal 5 2 2 2 2 2 2 2 6 2" xfId="21044" xr:uid="{00000000-0005-0000-0000-0000A24D0000}"/>
    <cellStyle name="Normal 5 2 2 2 2 2 2 2 7" xfId="18444" xr:uid="{00000000-0005-0000-0000-0000A34D0000}"/>
    <cellStyle name="Normal 5 2 2 2 2 2 2 3" xfId="2721" xr:uid="{00000000-0005-0000-0000-0000A44D0000}"/>
    <cellStyle name="Normal 5 2 2 2 2 2 2 3 2" xfId="6233" xr:uid="{00000000-0005-0000-0000-0000A54D0000}"/>
    <cellStyle name="Normal 5 2 2 2 2 2 2 3 2 2" xfId="9584" xr:uid="{00000000-0005-0000-0000-0000A64D0000}"/>
    <cellStyle name="Normal 5 2 2 2 2 2 2 3 2 2 2" xfId="16847" xr:uid="{00000000-0005-0000-0000-0000A74D0000}"/>
    <cellStyle name="Normal 5 2 2 2 2 2 2 3 2 2 2 2" xfId="33162" xr:uid="{00000000-0005-0000-0000-0000A84D0000}"/>
    <cellStyle name="Normal 5 2 2 2 2 2 2 3 2 2 3" xfId="26197" xr:uid="{00000000-0005-0000-0000-0000A94D0000}"/>
    <cellStyle name="Normal 5 2 2 2 2 2 2 3 2 3" xfId="12926" xr:uid="{00000000-0005-0000-0000-0000AA4D0000}"/>
    <cellStyle name="Normal 5 2 2 2 2 2 2 3 2 3 2" xfId="29501" xr:uid="{00000000-0005-0000-0000-0000AB4D0000}"/>
    <cellStyle name="Normal 5 2 2 2 2 2 2 3 2 4" xfId="22897" xr:uid="{00000000-0005-0000-0000-0000AC4D0000}"/>
    <cellStyle name="Normal 5 2 2 2 2 2 2 3 3" xfId="7963" xr:uid="{00000000-0005-0000-0000-0000AD4D0000}"/>
    <cellStyle name="Normal 5 2 2 2 2 2 2 3 3 2" xfId="15226" xr:uid="{00000000-0005-0000-0000-0000AE4D0000}"/>
    <cellStyle name="Normal 5 2 2 2 2 2 2 3 3 2 2" xfId="31541" xr:uid="{00000000-0005-0000-0000-0000AF4D0000}"/>
    <cellStyle name="Normal 5 2 2 2 2 2 2 3 3 3" xfId="24576" xr:uid="{00000000-0005-0000-0000-0000B04D0000}"/>
    <cellStyle name="Normal 5 2 2 2 2 2 2 3 4" xfId="11278" xr:uid="{00000000-0005-0000-0000-0000B14D0000}"/>
    <cellStyle name="Normal 5 2 2 2 2 2 2 3 4 2" xfId="27876" xr:uid="{00000000-0005-0000-0000-0000B24D0000}"/>
    <cellStyle name="Normal 5 2 2 2 2 2 2 3 5" xfId="4323" xr:uid="{00000000-0005-0000-0000-0000B34D0000}"/>
    <cellStyle name="Normal 5 2 2 2 2 2 2 3 5 2" xfId="21046" xr:uid="{00000000-0005-0000-0000-0000B44D0000}"/>
    <cellStyle name="Normal 5 2 2 2 2 2 2 3 6" xfId="19448" xr:uid="{00000000-0005-0000-0000-0000B54D0000}"/>
    <cellStyle name="Normal 5 2 2 2 2 2 2 4" xfId="2718" xr:uid="{00000000-0005-0000-0000-0000B64D0000}"/>
    <cellStyle name="Normal 5 2 2 2 2 2 2 4 2" xfId="8771" xr:uid="{00000000-0005-0000-0000-0000B74D0000}"/>
    <cellStyle name="Normal 5 2 2 2 2 2 2 4 2 2" xfId="16034" xr:uid="{00000000-0005-0000-0000-0000B84D0000}"/>
    <cellStyle name="Normal 5 2 2 2 2 2 2 4 2 2 2" xfId="32349" xr:uid="{00000000-0005-0000-0000-0000B94D0000}"/>
    <cellStyle name="Normal 5 2 2 2 2 2 2 4 2 3" xfId="25384" xr:uid="{00000000-0005-0000-0000-0000BA4D0000}"/>
    <cellStyle name="Normal 5 2 2 2 2 2 2 4 3" xfId="12113" xr:uid="{00000000-0005-0000-0000-0000BB4D0000}"/>
    <cellStyle name="Normal 5 2 2 2 2 2 2 4 3 2" xfId="28688" xr:uid="{00000000-0005-0000-0000-0000BC4D0000}"/>
    <cellStyle name="Normal 5 2 2 2 2 2 2 4 4" xfId="5420" xr:uid="{00000000-0005-0000-0000-0000BD4D0000}"/>
    <cellStyle name="Normal 5 2 2 2 2 2 2 4 4 2" xfId="22084" xr:uid="{00000000-0005-0000-0000-0000BE4D0000}"/>
    <cellStyle name="Normal 5 2 2 2 2 2 2 4 5" xfId="19445" xr:uid="{00000000-0005-0000-0000-0000BF4D0000}"/>
    <cellStyle name="Normal 5 2 2 2 2 2 2 5" xfId="7151" xr:uid="{00000000-0005-0000-0000-0000C04D0000}"/>
    <cellStyle name="Normal 5 2 2 2 2 2 2 5 2" xfId="14414" xr:uid="{00000000-0005-0000-0000-0000C14D0000}"/>
    <cellStyle name="Normal 5 2 2 2 2 2 2 5 2 2" xfId="30729" xr:uid="{00000000-0005-0000-0000-0000C24D0000}"/>
    <cellStyle name="Normal 5 2 2 2 2 2 2 5 3" xfId="23764" xr:uid="{00000000-0005-0000-0000-0000C34D0000}"/>
    <cellStyle name="Normal 5 2 2 2 2 2 2 6" xfId="10466" xr:uid="{00000000-0005-0000-0000-0000C44D0000}"/>
    <cellStyle name="Normal 5 2 2 2 2 2 2 6 2" xfId="27064" xr:uid="{00000000-0005-0000-0000-0000C54D0000}"/>
    <cellStyle name="Normal 5 2 2 2 2 2 2 7" xfId="4320" xr:uid="{00000000-0005-0000-0000-0000C64D0000}"/>
    <cellStyle name="Normal 5 2 2 2 2 2 2 7 2" xfId="21043" xr:uid="{00000000-0005-0000-0000-0000C74D0000}"/>
    <cellStyle name="Normal 5 2 2 2 2 2 2 8" xfId="17925" xr:uid="{00000000-0005-0000-0000-0000C84D0000}"/>
    <cellStyle name="Normal 5 2 2 2 2 2 3" xfId="1587" xr:uid="{00000000-0005-0000-0000-0000C94D0000}"/>
    <cellStyle name="Normal 5 2 2 2 2 2 3 2" xfId="2723" xr:uid="{00000000-0005-0000-0000-0000CA4D0000}"/>
    <cellStyle name="Normal 5 2 2 2 2 2 3 2 2" xfId="6427" xr:uid="{00000000-0005-0000-0000-0000CB4D0000}"/>
    <cellStyle name="Normal 5 2 2 2 2 2 3 2 2 2" xfId="9778" xr:uid="{00000000-0005-0000-0000-0000CC4D0000}"/>
    <cellStyle name="Normal 5 2 2 2 2 2 3 2 2 2 2" xfId="17041" xr:uid="{00000000-0005-0000-0000-0000CD4D0000}"/>
    <cellStyle name="Normal 5 2 2 2 2 2 3 2 2 2 2 2" xfId="33356" xr:uid="{00000000-0005-0000-0000-0000CE4D0000}"/>
    <cellStyle name="Normal 5 2 2 2 2 2 3 2 2 2 3" xfId="26391" xr:uid="{00000000-0005-0000-0000-0000CF4D0000}"/>
    <cellStyle name="Normal 5 2 2 2 2 2 3 2 2 3" xfId="13120" xr:uid="{00000000-0005-0000-0000-0000D04D0000}"/>
    <cellStyle name="Normal 5 2 2 2 2 2 3 2 2 3 2" xfId="29695" xr:uid="{00000000-0005-0000-0000-0000D14D0000}"/>
    <cellStyle name="Normal 5 2 2 2 2 2 3 2 2 4" xfId="23091" xr:uid="{00000000-0005-0000-0000-0000D24D0000}"/>
    <cellStyle name="Normal 5 2 2 2 2 2 3 2 3" xfId="8157" xr:uid="{00000000-0005-0000-0000-0000D34D0000}"/>
    <cellStyle name="Normal 5 2 2 2 2 2 3 2 3 2" xfId="15420" xr:uid="{00000000-0005-0000-0000-0000D44D0000}"/>
    <cellStyle name="Normal 5 2 2 2 2 2 3 2 3 2 2" xfId="31735" xr:uid="{00000000-0005-0000-0000-0000D54D0000}"/>
    <cellStyle name="Normal 5 2 2 2 2 2 3 2 3 3" xfId="24770" xr:uid="{00000000-0005-0000-0000-0000D64D0000}"/>
    <cellStyle name="Normal 5 2 2 2 2 2 3 2 4" xfId="11472" xr:uid="{00000000-0005-0000-0000-0000D74D0000}"/>
    <cellStyle name="Normal 5 2 2 2 2 2 3 2 4 2" xfId="28070" xr:uid="{00000000-0005-0000-0000-0000D84D0000}"/>
    <cellStyle name="Normal 5 2 2 2 2 2 3 2 5" xfId="4325" xr:uid="{00000000-0005-0000-0000-0000D94D0000}"/>
    <cellStyle name="Normal 5 2 2 2 2 2 3 2 5 2" xfId="21048" xr:uid="{00000000-0005-0000-0000-0000DA4D0000}"/>
    <cellStyle name="Normal 5 2 2 2 2 2 3 2 6" xfId="19450" xr:uid="{00000000-0005-0000-0000-0000DB4D0000}"/>
    <cellStyle name="Normal 5 2 2 2 2 2 3 3" xfId="2722" xr:uid="{00000000-0005-0000-0000-0000DC4D0000}"/>
    <cellStyle name="Normal 5 2 2 2 2 2 3 3 2" xfId="8966" xr:uid="{00000000-0005-0000-0000-0000DD4D0000}"/>
    <cellStyle name="Normal 5 2 2 2 2 2 3 3 2 2" xfId="16229" xr:uid="{00000000-0005-0000-0000-0000DE4D0000}"/>
    <cellStyle name="Normal 5 2 2 2 2 2 3 3 2 2 2" xfId="32544" xr:uid="{00000000-0005-0000-0000-0000DF4D0000}"/>
    <cellStyle name="Normal 5 2 2 2 2 2 3 3 2 3" xfId="25579" xr:uid="{00000000-0005-0000-0000-0000E04D0000}"/>
    <cellStyle name="Normal 5 2 2 2 2 2 3 3 3" xfId="12308" xr:uid="{00000000-0005-0000-0000-0000E14D0000}"/>
    <cellStyle name="Normal 5 2 2 2 2 2 3 3 3 2" xfId="28883" xr:uid="{00000000-0005-0000-0000-0000E24D0000}"/>
    <cellStyle name="Normal 5 2 2 2 2 2 3 3 4" xfId="5615" xr:uid="{00000000-0005-0000-0000-0000E34D0000}"/>
    <cellStyle name="Normal 5 2 2 2 2 2 3 3 4 2" xfId="22279" xr:uid="{00000000-0005-0000-0000-0000E44D0000}"/>
    <cellStyle name="Normal 5 2 2 2 2 2 3 3 5" xfId="19449" xr:uid="{00000000-0005-0000-0000-0000E54D0000}"/>
    <cellStyle name="Normal 5 2 2 2 2 2 3 4" xfId="7345" xr:uid="{00000000-0005-0000-0000-0000E64D0000}"/>
    <cellStyle name="Normal 5 2 2 2 2 2 3 4 2" xfId="14608" xr:uid="{00000000-0005-0000-0000-0000E74D0000}"/>
    <cellStyle name="Normal 5 2 2 2 2 2 3 4 2 2" xfId="30923" xr:uid="{00000000-0005-0000-0000-0000E84D0000}"/>
    <cellStyle name="Normal 5 2 2 2 2 2 3 4 3" xfId="23958" xr:uid="{00000000-0005-0000-0000-0000E94D0000}"/>
    <cellStyle name="Normal 5 2 2 2 2 2 3 5" xfId="10660" xr:uid="{00000000-0005-0000-0000-0000EA4D0000}"/>
    <cellStyle name="Normal 5 2 2 2 2 2 3 5 2" xfId="27258" xr:uid="{00000000-0005-0000-0000-0000EB4D0000}"/>
    <cellStyle name="Normal 5 2 2 2 2 2 3 6" xfId="4324" xr:uid="{00000000-0005-0000-0000-0000EC4D0000}"/>
    <cellStyle name="Normal 5 2 2 2 2 2 3 6 2" xfId="21047" xr:uid="{00000000-0005-0000-0000-0000ED4D0000}"/>
    <cellStyle name="Normal 5 2 2 2 2 2 3 7" xfId="18322" xr:uid="{00000000-0005-0000-0000-0000EE4D0000}"/>
    <cellStyle name="Normal 5 2 2 2 2 2 4" xfId="2724" xr:uid="{00000000-0005-0000-0000-0000EF4D0000}"/>
    <cellStyle name="Normal 5 2 2 2 2 2 4 2" xfId="6021" xr:uid="{00000000-0005-0000-0000-0000F04D0000}"/>
    <cellStyle name="Normal 5 2 2 2 2 2 4 2 2" xfId="9372" xr:uid="{00000000-0005-0000-0000-0000F14D0000}"/>
    <cellStyle name="Normal 5 2 2 2 2 2 4 2 2 2" xfId="16635" xr:uid="{00000000-0005-0000-0000-0000F24D0000}"/>
    <cellStyle name="Normal 5 2 2 2 2 2 4 2 2 2 2" xfId="32950" xr:uid="{00000000-0005-0000-0000-0000F34D0000}"/>
    <cellStyle name="Normal 5 2 2 2 2 2 4 2 2 3" xfId="25985" xr:uid="{00000000-0005-0000-0000-0000F44D0000}"/>
    <cellStyle name="Normal 5 2 2 2 2 2 4 2 3" xfId="12714" xr:uid="{00000000-0005-0000-0000-0000F54D0000}"/>
    <cellStyle name="Normal 5 2 2 2 2 2 4 2 3 2" xfId="29289" xr:uid="{00000000-0005-0000-0000-0000F64D0000}"/>
    <cellStyle name="Normal 5 2 2 2 2 2 4 2 4" xfId="22685" xr:uid="{00000000-0005-0000-0000-0000F74D0000}"/>
    <cellStyle name="Normal 5 2 2 2 2 2 4 3" xfId="7751" xr:uid="{00000000-0005-0000-0000-0000F84D0000}"/>
    <cellStyle name="Normal 5 2 2 2 2 2 4 3 2" xfId="15014" xr:uid="{00000000-0005-0000-0000-0000F94D0000}"/>
    <cellStyle name="Normal 5 2 2 2 2 2 4 3 2 2" xfId="31329" xr:uid="{00000000-0005-0000-0000-0000FA4D0000}"/>
    <cellStyle name="Normal 5 2 2 2 2 2 4 3 3" xfId="24364" xr:uid="{00000000-0005-0000-0000-0000FB4D0000}"/>
    <cellStyle name="Normal 5 2 2 2 2 2 4 4" xfId="11066" xr:uid="{00000000-0005-0000-0000-0000FC4D0000}"/>
    <cellStyle name="Normal 5 2 2 2 2 2 4 4 2" xfId="27664" xr:uid="{00000000-0005-0000-0000-0000FD4D0000}"/>
    <cellStyle name="Normal 5 2 2 2 2 2 4 5" xfId="4326" xr:uid="{00000000-0005-0000-0000-0000FE4D0000}"/>
    <cellStyle name="Normal 5 2 2 2 2 2 4 5 2" xfId="21049" xr:uid="{00000000-0005-0000-0000-0000FF4D0000}"/>
    <cellStyle name="Normal 5 2 2 2 2 2 4 6" xfId="19451" xr:uid="{00000000-0005-0000-0000-0000004E0000}"/>
    <cellStyle name="Normal 5 2 2 2 2 2 5" xfId="2717" xr:uid="{00000000-0005-0000-0000-0000014E0000}"/>
    <cellStyle name="Normal 5 2 2 2 2 2 5 2" xfId="8648" xr:uid="{00000000-0005-0000-0000-0000024E0000}"/>
    <cellStyle name="Normal 5 2 2 2 2 2 5 2 2" xfId="15911" xr:uid="{00000000-0005-0000-0000-0000034E0000}"/>
    <cellStyle name="Normal 5 2 2 2 2 2 5 2 2 2" xfId="32226" xr:uid="{00000000-0005-0000-0000-0000044E0000}"/>
    <cellStyle name="Normal 5 2 2 2 2 2 5 2 3" xfId="25261" xr:uid="{00000000-0005-0000-0000-0000054E0000}"/>
    <cellStyle name="Normal 5 2 2 2 2 2 5 3" xfId="11990" xr:uid="{00000000-0005-0000-0000-0000064E0000}"/>
    <cellStyle name="Normal 5 2 2 2 2 2 5 3 2" xfId="28565" xr:uid="{00000000-0005-0000-0000-0000074E0000}"/>
    <cellStyle name="Normal 5 2 2 2 2 2 5 4" xfId="5297" xr:uid="{00000000-0005-0000-0000-0000084E0000}"/>
    <cellStyle name="Normal 5 2 2 2 2 2 5 4 2" xfId="21961" xr:uid="{00000000-0005-0000-0000-0000094E0000}"/>
    <cellStyle name="Normal 5 2 2 2 2 2 5 5" xfId="19444" xr:uid="{00000000-0005-0000-0000-00000A4E0000}"/>
    <cellStyle name="Normal 5 2 2 2 2 2 6" xfId="7029" xr:uid="{00000000-0005-0000-0000-00000B4E0000}"/>
    <cellStyle name="Normal 5 2 2 2 2 2 6 2" xfId="14292" xr:uid="{00000000-0005-0000-0000-00000C4E0000}"/>
    <cellStyle name="Normal 5 2 2 2 2 2 6 2 2" xfId="30607" xr:uid="{00000000-0005-0000-0000-00000D4E0000}"/>
    <cellStyle name="Normal 5 2 2 2 2 2 6 3" xfId="23642" xr:uid="{00000000-0005-0000-0000-00000E4E0000}"/>
    <cellStyle name="Normal 5 2 2 2 2 2 7" xfId="10343" xr:uid="{00000000-0005-0000-0000-00000F4E0000}"/>
    <cellStyle name="Normal 5 2 2 2 2 2 7 2" xfId="26942" xr:uid="{00000000-0005-0000-0000-0000104E0000}"/>
    <cellStyle name="Normal 5 2 2 2 2 2 8" xfId="4319" xr:uid="{00000000-0005-0000-0000-0000114E0000}"/>
    <cellStyle name="Normal 5 2 2 2 2 2 8 2" xfId="21042" xr:uid="{00000000-0005-0000-0000-0000124E0000}"/>
    <cellStyle name="Normal 5 2 2 2 2 2 9" xfId="17803" xr:uid="{00000000-0005-0000-0000-0000134E0000}"/>
    <cellStyle name="Normal 5 2 2 2 2 3" xfId="1187" xr:uid="{00000000-0005-0000-0000-0000144E0000}"/>
    <cellStyle name="Normal 5 2 2 2 2 3 2" xfId="1708" xr:uid="{00000000-0005-0000-0000-0000154E0000}"/>
    <cellStyle name="Normal 5 2 2 2 2 3 2 2" xfId="2727" xr:uid="{00000000-0005-0000-0000-0000164E0000}"/>
    <cellStyle name="Normal 5 2 2 2 2 3 2 2 2" xfId="6602" xr:uid="{00000000-0005-0000-0000-0000174E0000}"/>
    <cellStyle name="Normal 5 2 2 2 2 3 2 2 2 2" xfId="9953" xr:uid="{00000000-0005-0000-0000-0000184E0000}"/>
    <cellStyle name="Normal 5 2 2 2 2 3 2 2 2 2 2" xfId="17216" xr:uid="{00000000-0005-0000-0000-0000194E0000}"/>
    <cellStyle name="Normal 5 2 2 2 2 3 2 2 2 2 2 2" xfId="33531" xr:uid="{00000000-0005-0000-0000-00001A4E0000}"/>
    <cellStyle name="Normal 5 2 2 2 2 3 2 2 2 2 3" xfId="26566" xr:uid="{00000000-0005-0000-0000-00001B4E0000}"/>
    <cellStyle name="Normal 5 2 2 2 2 3 2 2 2 3" xfId="13295" xr:uid="{00000000-0005-0000-0000-00001C4E0000}"/>
    <cellStyle name="Normal 5 2 2 2 2 3 2 2 2 3 2" xfId="29870" xr:uid="{00000000-0005-0000-0000-00001D4E0000}"/>
    <cellStyle name="Normal 5 2 2 2 2 3 2 2 2 4" xfId="23266" xr:uid="{00000000-0005-0000-0000-00001E4E0000}"/>
    <cellStyle name="Normal 5 2 2 2 2 3 2 2 3" xfId="8332" xr:uid="{00000000-0005-0000-0000-00001F4E0000}"/>
    <cellStyle name="Normal 5 2 2 2 2 3 2 2 3 2" xfId="15595" xr:uid="{00000000-0005-0000-0000-0000204E0000}"/>
    <cellStyle name="Normal 5 2 2 2 2 3 2 2 3 2 2" xfId="31910" xr:uid="{00000000-0005-0000-0000-0000214E0000}"/>
    <cellStyle name="Normal 5 2 2 2 2 3 2 2 3 3" xfId="24945" xr:uid="{00000000-0005-0000-0000-0000224E0000}"/>
    <cellStyle name="Normal 5 2 2 2 2 3 2 2 4" xfId="11647" xr:uid="{00000000-0005-0000-0000-0000234E0000}"/>
    <cellStyle name="Normal 5 2 2 2 2 3 2 2 4 2" xfId="28245" xr:uid="{00000000-0005-0000-0000-0000244E0000}"/>
    <cellStyle name="Normal 5 2 2 2 2 3 2 2 5" xfId="4329" xr:uid="{00000000-0005-0000-0000-0000254E0000}"/>
    <cellStyle name="Normal 5 2 2 2 2 3 2 2 5 2" xfId="21052" xr:uid="{00000000-0005-0000-0000-0000264E0000}"/>
    <cellStyle name="Normal 5 2 2 2 2 3 2 2 6" xfId="19454" xr:uid="{00000000-0005-0000-0000-0000274E0000}"/>
    <cellStyle name="Normal 5 2 2 2 2 3 2 3" xfId="2726" xr:uid="{00000000-0005-0000-0000-0000284E0000}"/>
    <cellStyle name="Normal 5 2 2 2 2 3 2 3 2" xfId="9177" xr:uid="{00000000-0005-0000-0000-0000294E0000}"/>
    <cellStyle name="Normal 5 2 2 2 2 3 2 3 2 2" xfId="16440" xr:uid="{00000000-0005-0000-0000-00002A4E0000}"/>
    <cellStyle name="Normal 5 2 2 2 2 3 2 3 2 2 2" xfId="32755" xr:uid="{00000000-0005-0000-0000-00002B4E0000}"/>
    <cellStyle name="Normal 5 2 2 2 2 3 2 3 2 3" xfId="25790" xr:uid="{00000000-0005-0000-0000-00002C4E0000}"/>
    <cellStyle name="Normal 5 2 2 2 2 3 2 3 3" xfId="12519" xr:uid="{00000000-0005-0000-0000-00002D4E0000}"/>
    <cellStyle name="Normal 5 2 2 2 2 3 2 3 3 2" xfId="29094" xr:uid="{00000000-0005-0000-0000-00002E4E0000}"/>
    <cellStyle name="Normal 5 2 2 2 2 3 2 3 4" xfId="5826" xr:uid="{00000000-0005-0000-0000-00002F4E0000}"/>
    <cellStyle name="Normal 5 2 2 2 2 3 2 3 4 2" xfId="22490" xr:uid="{00000000-0005-0000-0000-0000304E0000}"/>
    <cellStyle name="Normal 5 2 2 2 2 3 2 3 5" xfId="19453" xr:uid="{00000000-0005-0000-0000-0000314E0000}"/>
    <cellStyle name="Normal 5 2 2 2 2 3 2 4" xfId="7556" xr:uid="{00000000-0005-0000-0000-0000324E0000}"/>
    <cellStyle name="Normal 5 2 2 2 2 3 2 4 2" xfId="14819" xr:uid="{00000000-0005-0000-0000-0000334E0000}"/>
    <cellStyle name="Normal 5 2 2 2 2 3 2 4 2 2" xfId="31134" xr:uid="{00000000-0005-0000-0000-0000344E0000}"/>
    <cellStyle name="Normal 5 2 2 2 2 3 2 4 3" xfId="24169" xr:uid="{00000000-0005-0000-0000-0000354E0000}"/>
    <cellStyle name="Normal 5 2 2 2 2 3 2 5" xfId="10871" xr:uid="{00000000-0005-0000-0000-0000364E0000}"/>
    <cellStyle name="Normal 5 2 2 2 2 3 2 5 2" xfId="27469" xr:uid="{00000000-0005-0000-0000-0000374E0000}"/>
    <cellStyle name="Normal 5 2 2 2 2 3 2 6" xfId="4328" xr:uid="{00000000-0005-0000-0000-0000384E0000}"/>
    <cellStyle name="Normal 5 2 2 2 2 3 2 6 2" xfId="21051" xr:uid="{00000000-0005-0000-0000-0000394E0000}"/>
    <cellStyle name="Normal 5 2 2 2 2 3 2 7" xfId="18443" xr:uid="{00000000-0005-0000-0000-00003A4E0000}"/>
    <cellStyle name="Normal 5 2 2 2 2 3 3" xfId="2728" xr:uid="{00000000-0005-0000-0000-00003B4E0000}"/>
    <cellStyle name="Normal 5 2 2 2 2 3 3 2" xfId="6232" xr:uid="{00000000-0005-0000-0000-00003C4E0000}"/>
    <cellStyle name="Normal 5 2 2 2 2 3 3 2 2" xfId="9583" xr:uid="{00000000-0005-0000-0000-00003D4E0000}"/>
    <cellStyle name="Normal 5 2 2 2 2 3 3 2 2 2" xfId="16846" xr:uid="{00000000-0005-0000-0000-00003E4E0000}"/>
    <cellStyle name="Normal 5 2 2 2 2 3 3 2 2 2 2" xfId="33161" xr:uid="{00000000-0005-0000-0000-00003F4E0000}"/>
    <cellStyle name="Normal 5 2 2 2 2 3 3 2 2 3" xfId="26196" xr:uid="{00000000-0005-0000-0000-0000404E0000}"/>
    <cellStyle name="Normal 5 2 2 2 2 3 3 2 3" xfId="12925" xr:uid="{00000000-0005-0000-0000-0000414E0000}"/>
    <cellStyle name="Normal 5 2 2 2 2 3 3 2 3 2" xfId="29500" xr:uid="{00000000-0005-0000-0000-0000424E0000}"/>
    <cellStyle name="Normal 5 2 2 2 2 3 3 2 4" xfId="22896" xr:uid="{00000000-0005-0000-0000-0000434E0000}"/>
    <cellStyle name="Normal 5 2 2 2 2 3 3 3" xfId="7962" xr:uid="{00000000-0005-0000-0000-0000444E0000}"/>
    <cellStyle name="Normal 5 2 2 2 2 3 3 3 2" xfId="15225" xr:uid="{00000000-0005-0000-0000-0000454E0000}"/>
    <cellStyle name="Normal 5 2 2 2 2 3 3 3 2 2" xfId="31540" xr:uid="{00000000-0005-0000-0000-0000464E0000}"/>
    <cellStyle name="Normal 5 2 2 2 2 3 3 3 3" xfId="24575" xr:uid="{00000000-0005-0000-0000-0000474E0000}"/>
    <cellStyle name="Normal 5 2 2 2 2 3 3 4" xfId="11277" xr:uid="{00000000-0005-0000-0000-0000484E0000}"/>
    <cellStyle name="Normal 5 2 2 2 2 3 3 4 2" xfId="27875" xr:uid="{00000000-0005-0000-0000-0000494E0000}"/>
    <cellStyle name="Normal 5 2 2 2 2 3 3 5" xfId="4330" xr:uid="{00000000-0005-0000-0000-00004A4E0000}"/>
    <cellStyle name="Normal 5 2 2 2 2 3 3 5 2" xfId="21053" xr:uid="{00000000-0005-0000-0000-00004B4E0000}"/>
    <cellStyle name="Normal 5 2 2 2 2 3 3 6" xfId="19455" xr:uid="{00000000-0005-0000-0000-00004C4E0000}"/>
    <cellStyle name="Normal 5 2 2 2 2 3 4" xfId="2725" xr:uid="{00000000-0005-0000-0000-00004D4E0000}"/>
    <cellStyle name="Normal 5 2 2 2 2 3 4 2" xfId="8770" xr:uid="{00000000-0005-0000-0000-00004E4E0000}"/>
    <cellStyle name="Normal 5 2 2 2 2 3 4 2 2" xfId="16033" xr:uid="{00000000-0005-0000-0000-00004F4E0000}"/>
    <cellStyle name="Normal 5 2 2 2 2 3 4 2 2 2" xfId="32348" xr:uid="{00000000-0005-0000-0000-0000504E0000}"/>
    <cellStyle name="Normal 5 2 2 2 2 3 4 2 3" xfId="25383" xr:uid="{00000000-0005-0000-0000-0000514E0000}"/>
    <cellStyle name="Normal 5 2 2 2 2 3 4 3" xfId="12112" xr:uid="{00000000-0005-0000-0000-0000524E0000}"/>
    <cellStyle name="Normal 5 2 2 2 2 3 4 3 2" xfId="28687" xr:uid="{00000000-0005-0000-0000-0000534E0000}"/>
    <cellStyle name="Normal 5 2 2 2 2 3 4 4" xfId="5419" xr:uid="{00000000-0005-0000-0000-0000544E0000}"/>
    <cellStyle name="Normal 5 2 2 2 2 3 4 4 2" xfId="22083" xr:uid="{00000000-0005-0000-0000-0000554E0000}"/>
    <cellStyle name="Normal 5 2 2 2 2 3 4 5" xfId="19452" xr:uid="{00000000-0005-0000-0000-0000564E0000}"/>
    <cellStyle name="Normal 5 2 2 2 2 3 5" xfId="7150" xr:uid="{00000000-0005-0000-0000-0000574E0000}"/>
    <cellStyle name="Normal 5 2 2 2 2 3 5 2" xfId="14413" xr:uid="{00000000-0005-0000-0000-0000584E0000}"/>
    <cellStyle name="Normal 5 2 2 2 2 3 5 2 2" xfId="30728" xr:uid="{00000000-0005-0000-0000-0000594E0000}"/>
    <cellStyle name="Normal 5 2 2 2 2 3 5 3" xfId="23763" xr:uid="{00000000-0005-0000-0000-00005A4E0000}"/>
    <cellStyle name="Normal 5 2 2 2 2 3 6" xfId="10465" xr:uid="{00000000-0005-0000-0000-00005B4E0000}"/>
    <cellStyle name="Normal 5 2 2 2 2 3 6 2" xfId="27063" xr:uid="{00000000-0005-0000-0000-00005C4E0000}"/>
    <cellStyle name="Normal 5 2 2 2 2 3 7" xfId="4327" xr:uid="{00000000-0005-0000-0000-00005D4E0000}"/>
    <cellStyle name="Normal 5 2 2 2 2 3 7 2" xfId="21050" xr:uid="{00000000-0005-0000-0000-00005E4E0000}"/>
    <cellStyle name="Normal 5 2 2 2 2 3 8" xfId="17924" xr:uid="{00000000-0005-0000-0000-00005F4E0000}"/>
    <cellStyle name="Normal 5 2 2 2 2 4" xfId="919" xr:uid="{00000000-0005-0000-0000-0000604E0000}"/>
    <cellStyle name="Normal 5 2 2 2 2 4 2" xfId="1481" xr:uid="{00000000-0005-0000-0000-0000614E0000}"/>
    <cellStyle name="Normal 5 2 2 2 2 4 2 2" xfId="2730" xr:uid="{00000000-0005-0000-0000-0000624E0000}"/>
    <cellStyle name="Normal 5 2 2 2 2 4 2 2 2" xfId="9777" xr:uid="{00000000-0005-0000-0000-0000634E0000}"/>
    <cellStyle name="Normal 5 2 2 2 2 4 2 2 2 2" xfId="17040" xr:uid="{00000000-0005-0000-0000-0000644E0000}"/>
    <cellStyle name="Normal 5 2 2 2 2 4 2 2 2 2 2" xfId="33355" xr:uid="{00000000-0005-0000-0000-0000654E0000}"/>
    <cellStyle name="Normal 5 2 2 2 2 4 2 2 2 3" xfId="26390" xr:uid="{00000000-0005-0000-0000-0000664E0000}"/>
    <cellStyle name="Normal 5 2 2 2 2 4 2 2 3" xfId="13119" xr:uid="{00000000-0005-0000-0000-0000674E0000}"/>
    <cellStyle name="Normal 5 2 2 2 2 4 2 2 3 2" xfId="29694" xr:uid="{00000000-0005-0000-0000-0000684E0000}"/>
    <cellStyle name="Normal 5 2 2 2 2 4 2 2 4" xfId="6426" xr:uid="{00000000-0005-0000-0000-0000694E0000}"/>
    <cellStyle name="Normal 5 2 2 2 2 4 2 2 4 2" xfId="23090" xr:uid="{00000000-0005-0000-0000-00006A4E0000}"/>
    <cellStyle name="Normal 5 2 2 2 2 4 2 2 5" xfId="19457" xr:uid="{00000000-0005-0000-0000-00006B4E0000}"/>
    <cellStyle name="Normal 5 2 2 2 2 4 2 3" xfId="8156" xr:uid="{00000000-0005-0000-0000-00006C4E0000}"/>
    <cellStyle name="Normal 5 2 2 2 2 4 2 3 2" xfId="15419" xr:uid="{00000000-0005-0000-0000-00006D4E0000}"/>
    <cellStyle name="Normal 5 2 2 2 2 4 2 3 2 2" xfId="31734" xr:uid="{00000000-0005-0000-0000-00006E4E0000}"/>
    <cellStyle name="Normal 5 2 2 2 2 4 2 3 3" xfId="24769" xr:uid="{00000000-0005-0000-0000-00006F4E0000}"/>
    <cellStyle name="Normal 5 2 2 2 2 4 2 4" xfId="11471" xr:uid="{00000000-0005-0000-0000-0000704E0000}"/>
    <cellStyle name="Normal 5 2 2 2 2 4 2 4 2" xfId="28069" xr:uid="{00000000-0005-0000-0000-0000714E0000}"/>
    <cellStyle name="Normal 5 2 2 2 2 4 2 5" xfId="4332" xr:uid="{00000000-0005-0000-0000-0000724E0000}"/>
    <cellStyle name="Normal 5 2 2 2 2 4 2 5 2" xfId="21055" xr:uid="{00000000-0005-0000-0000-0000734E0000}"/>
    <cellStyle name="Normal 5 2 2 2 2 4 2 6" xfId="18216" xr:uid="{00000000-0005-0000-0000-0000744E0000}"/>
    <cellStyle name="Normal 5 2 2 2 2 4 3" xfId="2729" xr:uid="{00000000-0005-0000-0000-0000754E0000}"/>
    <cellStyle name="Normal 5 2 2 2 2 4 3 2" xfId="8965" xr:uid="{00000000-0005-0000-0000-0000764E0000}"/>
    <cellStyle name="Normal 5 2 2 2 2 4 3 2 2" xfId="16228" xr:uid="{00000000-0005-0000-0000-0000774E0000}"/>
    <cellStyle name="Normal 5 2 2 2 2 4 3 2 2 2" xfId="32543" xr:uid="{00000000-0005-0000-0000-0000784E0000}"/>
    <cellStyle name="Normal 5 2 2 2 2 4 3 2 3" xfId="25578" xr:uid="{00000000-0005-0000-0000-0000794E0000}"/>
    <cellStyle name="Normal 5 2 2 2 2 4 3 3" xfId="12307" xr:uid="{00000000-0005-0000-0000-00007A4E0000}"/>
    <cellStyle name="Normal 5 2 2 2 2 4 3 3 2" xfId="28882" xr:uid="{00000000-0005-0000-0000-00007B4E0000}"/>
    <cellStyle name="Normal 5 2 2 2 2 4 3 4" xfId="5614" xr:uid="{00000000-0005-0000-0000-00007C4E0000}"/>
    <cellStyle name="Normal 5 2 2 2 2 4 3 4 2" xfId="22278" xr:uid="{00000000-0005-0000-0000-00007D4E0000}"/>
    <cellStyle name="Normal 5 2 2 2 2 4 3 5" xfId="19456" xr:uid="{00000000-0005-0000-0000-00007E4E0000}"/>
    <cellStyle name="Normal 5 2 2 2 2 4 4" xfId="7344" xr:uid="{00000000-0005-0000-0000-00007F4E0000}"/>
    <cellStyle name="Normal 5 2 2 2 2 4 4 2" xfId="14607" xr:uid="{00000000-0005-0000-0000-0000804E0000}"/>
    <cellStyle name="Normal 5 2 2 2 2 4 4 2 2" xfId="30922" xr:uid="{00000000-0005-0000-0000-0000814E0000}"/>
    <cellStyle name="Normal 5 2 2 2 2 4 4 3" xfId="23957" xr:uid="{00000000-0005-0000-0000-0000824E0000}"/>
    <cellStyle name="Normal 5 2 2 2 2 4 5" xfId="10659" xr:uid="{00000000-0005-0000-0000-0000834E0000}"/>
    <cellStyle name="Normal 5 2 2 2 2 4 5 2" xfId="27257" xr:uid="{00000000-0005-0000-0000-0000844E0000}"/>
    <cellStyle name="Normal 5 2 2 2 2 4 6" xfId="4331" xr:uid="{00000000-0005-0000-0000-0000854E0000}"/>
    <cellStyle name="Normal 5 2 2 2 2 4 6 2" xfId="21054" xr:uid="{00000000-0005-0000-0000-0000864E0000}"/>
    <cellStyle name="Normal 5 2 2 2 2 4 7" xfId="17697" xr:uid="{00000000-0005-0000-0000-0000874E0000}"/>
    <cellStyle name="Normal 5 2 2 2 2 5" xfId="797" xr:uid="{00000000-0005-0000-0000-0000884E0000}"/>
    <cellStyle name="Normal 5 2 2 2 2 5 2" xfId="2731" xr:uid="{00000000-0005-0000-0000-0000894E0000}"/>
    <cellStyle name="Normal 5 2 2 2 2 5 2 2" xfId="9371" xr:uid="{00000000-0005-0000-0000-00008A4E0000}"/>
    <cellStyle name="Normal 5 2 2 2 2 5 2 2 2" xfId="16634" xr:uid="{00000000-0005-0000-0000-00008B4E0000}"/>
    <cellStyle name="Normal 5 2 2 2 2 5 2 2 2 2" xfId="32949" xr:uid="{00000000-0005-0000-0000-00008C4E0000}"/>
    <cellStyle name="Normal 5 2 2 2 2 5 2 2 3" xfId="25984" xr:uid="{00000000-0005-0000-0000-00008D4E0000}"/>
    <cellStyle name="Normal 5 2 2 2 2 5 2 3" xfId="12713" xr:uid="{00000000-0005-0000-0000-00008E4E0000}"/>
    <cellStyle name="Normal 5 2 2 2 2 5 2 3 2" xfId="29288" xr:uid="{00000000-0005-0000-0000-00008F4E0000}"/>
    <cellStyle name="Normal 5 2 2 2 2 5 2 4" xfId="6020" xr:uid="{00000000-0005-0000-0000-0000904E0000}"/>
    <cellStyle name="Normal 5 2 2 2 2 5 2 4 2" xfId="22684" xr:uid="{00000000-0005-0000-0000-0000914E0000}"/>
    <cellStyle name="Normal 5 2 2 2 2 5 2 5" xfId="19458" xr:uid="{00000000-0005-0000-0000-0000924E0000}"/>
    <cellStyle name="Normal 5 2 2 2 2 5 3" xfId="7750" xr:uid="{00000000-0005-0000-0000-0000934E0000}"/>
    <cellStyle name="Normal 5 2 2 2 2 5 3 2" xfId="15013" xr:uid="{00000000-0005-0000-0000-0000944E0000}"/>
    <cellStyle name="Normal 5 2 2 2 2 5 3 2 2" xfId="31328" xr:uid="{00000000-0005-0000-0000-0000954E0000}"/>
    <cellStyle name="Normal 5 2 2 2 2 5 3 3" xfId="24363" xr:uid="{00000000-0005-0000-0000-0000964E0000}"/>
    <cellStyle name="Normal 5 2 2 2 2 5 4" xfId="11065" xr:uid="{00000000-0005-0000-0000-0000974E0000}"/>
    <cellStyle name="Normal 5 2 2 2 2 5 4 2" xfId="27663" xr:uid="{00000000-0005-0000-0000-0000984E0000}"/>
    <cellStyle name="Normal 5 2 2 2 2 5 5" xfId="4333" xr:uid="{00000000-0005-0000-0000-0000994E0000}"/>
    <cellStyle name="Normal 5 2 2 2 2 5 5 2" xfId="21056" xr:uid="{00000000-0005-0000-0000-00009A4E0000}"/>
    <cellStyle name="Normal 5 2 2 2 2 5 6" xfId="17610" xr:uid="{00000000-0005-0000-0000-00009B4E0000}"/>
    <cellStyle name="Normal 5 2 2 2 2 6" xfId="1394" xr:uid="{00000000-0005-0000-0000-00009C4E0000}"/>
    <cellStyle name="Normal 5 2 2 2 2 6 2" xfId="8542" xr:uid="{00000000-0005-0000-0000-00009D4E0000}"/>
    <cellStyle name="Normal 5 2 2 2 2 6 2 2" xfId="15805" xr:uid="{00000000-0005-0000-0000-00009E4E0000}"/>
    <cellStyle name="Normal 5 2 2 2 2 6 2 2 2" xfId="32120" xr:uid="{00000000-0005-0000-0000-00009F4E0000}"/>
    <cellStyle name="Normal 5 2 2 2 2 6 2 3" xfId="25155" xr:uid="{00000000-0005-0000-0000-0000A04E0000}"/>
    <cellStyle name="Normal 5 2 2 2 2 6 3" xfId="11884" xr:uid="{00000000-0005-0000-0000-0000A14E0000}"/>
    <cellStyle name="Normal 5 2 2 2 2 6 3 2" xfId="28459" xr:uid="{00000000-0005-0000-0000-0000A24E0000}"/>
    <cellStyle name="Normal 5 2 2 2 2 6 4" xfId="5191" xr:uid="{00000000-0005-0000-0000-0000A34E0000}"/>
    <cellStyle name="Normal 5 2 2 2 2 6 4 2" xfId="21855" xr:uid="{00000000-0005-0000-0000-0000A44E0000}"/>
    <cellStyle name="Normal 5 2 2 2 2 6 5" xfId="18129" xr:uid="{00000000-0005-0000-0000-0000A54E0000}"/>
    <cellStyle name="Normal 5 2 2 2 2 7" xfId="2716" xr:uid="{00000000-0005-0000-0000-0000A64E0000}"/>
    <cellStyle name="Normal 5 2 2 2 2 7 2" xfId="14186" xr:uid="{00000000-0005-0000-0000-0000A74E0000}"/>
    <cellStyle name="Normal 5 2 2 2 2 7 2 2" xfId="30501" xr:uid="{00000000-0005-0000-0000-0000A84E0000}"/>
    <cellStyle name="Normal 5 2 2 2 2 7 3" xfId="6923" xr:uid="{00000000-0005-0000-0000-0000A94E0000}"/>
    <cellStyle name="Normal 5 2 2 2 2 7 3 2" xfId="23536" xr:uid="{00000000-0005-0000-0000-0000AA4E0000}"/>
    <cellStyle name="Normal 5 2 2 2 2 7 4" xfId="19443" xr:uid="{00000000-0005-0000-0000-0000AB4E0000}"/>
    <cellStyle name="Normal 5 2 2 2 2 8" xfId="10237" xr:uid="{00000000-0005-0000-0000-0000AC4E0000}"/>
    <cellStyle name="Normal 5 2 2 2 2 8 2" xfId="26836" xr:uid="{00000000-0005-0000-0000-0000AD4E0000}"/>
    <cellStyle name="Normal 5 2 2 2 2 9" xfId="4318" xr:uid="{00000000-0005-0000-0000-0000AE4E0000}"/>
    <cellStyle name="Normal 5 2 2 2 2 9 2" xfId="21041" xr:uid="{00000000-0005-0000-0000-0000AF4E0000}"/>
    <cellStyle name="Normal 5 2 2 2 3" xfId="653" xr:uid="{00000000-0005-0000-0000-0000B04E0000}"/>
    <cellStyle name="Normal 5 2 2 2 3 2" xfId="1189" xr:uid="{00000000-0005-0000-0000-0000B14E0000}"/>
    <cellStyle name="Normal 5 2 2 2 3 2 2" xfId="1710" xr:uid="{00000000-0005-0000-0000-0000B24E0000}"/>
    <cellStyle name="Normal 5 2 2 2 3 2 2 2" xfId="2735" xr:uid="{00000000-0005-0000-0000-0000B34E0000}"/>
    <cellStyle name="Normal 5 2 2 2 3 2 2 2 2" xfId="6604" xr:uid="{00000000-0005-0000-0000-0000B44E0000}"/>
    <cellStyle name="Normal 5 2 2 2 3 2 2 2 2 2" xfId="9955" xr:uid="{00000000-0005-0000-0000-0000B54E0000}"/>
    <cellStyle name="Normal 5 2 2 2 3 2 2 2 2 2 2" xfId="17218" xr:uid="{00000000-0005-0000-0000-0000B64E0000}"/>
    <cellStyle name="Normal 5 2 2 2 3 2 2 2 2 2 2 2" xfId="33533" xr:uid="{00000000-0005-0000-0000-0000B74E0000}"/>
    <cellStyle name="Normal 5 2 2 2 3 2 2 2 2 2 3" xfId="26568" xr:uid="{00000000-0005-0000-0000-0000B84E0000}"/>
    <cellStyle name="Normal 5 2 2 2 3 2 2 2 2 3" xfId="13297" xr:uid="{00000000-0005-0000-0000-0000B94E0000}"/>
    <cellStyle name="Normal 5 2 2 2 3 2 2 2 2 3 2" xfId="29872" xr:uid="{00000000-0005-0000-0000-0000BA4E0000}"/>
    <cellStyle name="Normal 5 2 2 2 3 2 2 2 2 4" xfId="23268" xr:uid="{00000000-0005-0000-0000-0000BB4E0000}"/>
    <cellStyle name="Normal 5 2 2 2 3 2 2 2 3" xfId="8334" xr:uid="{00000000-0005-0000-0000-0000BC4E0000}"/>
    <cellStyle name="Normal 5 2 2 2 3 2 2 2 3 2" xfId="15597" xr:uid="{00000000-0005-0000-0000-0000BD4E0000}"/>
    <cellStyle name="Normal 5 2 2 2 3 2 2 2 3 2 2" xfId="31912" xr:uid="{00000000-0005-0000-0000-0000BE4E0000}"/>
    <cellStyle name="Normal 5 2 2 2 3 2 2 2 3 3" xfId="24947" xr:uid="{00000000-0005-0000-0000-0000BF4E0000}"/>
    <cellStyle name="Normal 5 2 2 2 3 2 2 2 4" xfId="11649" xr:uid="{00000000-0005-0000-0000-0000C04E0000}"/>
    <cellStyle name="Normal 5 2 2 2 3 2 2 2 4 2" xfId="28247" xr:uid="{00000000-0005-0000-0000-0000C14E0000}"/>
    <cellStyle name="Normal 5 2 2 2 3 2 2 2 5" xfId="4337" xr:uid="{00000000-0005-0000-0000-0000C24E0000}"/>
    <cellStyle name="Normal 5 2 2 2 3 2 2 2 5 2" xfId="21060" xr:uid="{00000000-0005-0000-0000-0000C34E0000}"/>
    <cellStyle name="Normal 5 2 2 2 3 2 2 2 6" xfId="19462" xr:uid="{00000000-0005-0000-0000-0000C44E0000}"/>
    <cellStyle name="Normal 5 2 2 2 3 2 2 3" xfId="2734" xr:uid="{00000000-0005-0000-0000-0000C54E0000}"/>
    <cellStyle name="Normal 5 2 2 2 3 2 2 3 2" xfId="9179" xr:uid="{00000000-0005-0000-0000-0000C64E0000}"/>
    <cellStyle name="Normal 5 2 2 2 3 2 2 3 2 2" xfId="16442" xr:uid="{00000000-0005-0000-0000-0000C74E0000}"/>
    <cellStyle name="Normal 5 2 2 2 3 2 2 3 2 2 2" xfId="32757" xr:uid="{00000000-0005-0000-0000-0000C84E0000}"/>
    <cellStyle name="Normal 5 2 2 2 3 2 2 3 2 3" xfId="25792" xr:uid="{00000000-0005-0000-0000-0000C94E0000}"/>
    <cellStyle name="Normal 5 2 2 2 3 2 2 3 3" xfId="12521" xr:uid="{00000000-0005-0000-0000-0000CA4E0000}"/>
    <cellStyle name="Normal 5 2 2 2 3 2 2 3 3 2" xfId="29096" xr:uid="{00000000-0005-0000-0000-0000CB4E0000}"/>
    <cellStyle name="Normal 5 2 2 2 3 2 2 3 4" xfId="5828" xr:uid="{00000000-0005-0000-0000-0000CC4E0000}"/>
    <cellStyle name="Normal 5 2 2 2 3 2 2 3 4 2" xfId="22492" xr:uid="{00000000-0005-0000-0000-0000CD4E0000}"/>
    <cellStyle name="Normal 5 2 2 2 3 2 2 3 5" xfId="19461" xr:uid="{00000000-0005-0000-0000-0000CE4E0000}"/>
    <cellStyle name="Normal 5 2 2 2 3 2 2 4" xfId="7558" xr:uid="{00000000-0005-0000-0000-0000CF4E0000}"/>
    <cellStyle name="Normal 5 2 2 2 3 2 2 4 2" xfId="14821" xr:uid="{00000000-0005-0000-0000-0000D04E0000}"/>
    <cellStyle name="Normal 5 2 2 2 3 2 2 4 2 2" xfId="31136" xr:uid="{00000000-0005-0000-0000-0000D14E0000}"/>
    <cellStyle name="Normal 5 2 2 2 3 2 2 4 3" xfId="24171" xr:uid="{00000000-0005-0000-0000-0000D24E0000}"/>
    <cellStyle name="Normal 5 2 2 2 3 2 2 5" xfId="10873" xr:uid="{00000000-0005-0000-0000-0000D34E0000}"/>
    <cellStyle name="Normal 5 2 2 2 3 2 2 5 2" xfId="27471" xr:uid="{00000000-0005-0000-0000-0000D44E0000}"/>
    <cellStyle name="Normal 5 2 2 2 3 2 2 6" xfId="4336" xr:uid="{00000000-0005-0000-0000-0000D54E0000}"/>
    <cellStyle name="Normal 5 2 2 2 3 2 2 6 2" xfId="21059" xr:uid="{00000000-0005-0000-0000-0000D64E0000}"/>
    <cellStyle name="Normal 5 2 2 2 3 2 2 7" xfId="18445" xr:uid="{00000000-0005-0000-0000-0000D74E0000}"/>
    <cellStyle name="Normal 5 2 2 2 3 2 3" xfId="2736" xr:uid="{00000000-0005-0000-0000-0000D84E0000}"/>
    <cellStyle name="Normal 5 2 2 2 3 2 3 2" xfId="6234" xr:uid="{00000000-0005-0000-0000-0000D94E0000}"/>
    <cellStyle name="Normal 5 2 2 2 3 2 3 2 2" xfId="9585" xr:uid="{00000000-0005-0000-0000-0000DA4E0000}"/>
    <cellStyle name="Normal 5 2 2 2 3 2 3 2 2 2" xfId="16848" xr:uid="{00000000-0005-0000-0000-0000DB4E0000}"/>
    <cellStyle name="Normal 5 2 2 2 3 2 3 2 2 2 2" xfId="33163" xr:uid="{00000000-0005-0000-0000-0000DC4E0000}"/>
    <cellStyle name="Normal 5 2 2 2 3 2 3 2 2 3" xfId="26198" xr:uid="{00000000-0005-0000-0000-0000DD4E0000}"/>
    <cellStyle name="Normal 5 2 2 2 3 2 3 2 3" xfId="12927" xr:uid="{00000000-0005-0000-0000-0000DE4E0000}"/>
    <cellStyle name="Normal 5 2 2 2 3 2 3 2 3 2" xfId="29502" xr:uid="{00000000-0005-0000-0000-0000DF4E0000}"/>
    <cellStyle name="Normal 5 2 2 2 3 2 3 2 4" xfId="22898" xr:uid="{00000000-0005-0000-0000-0000E04E0000}"/>
    <cellStyle name="Normal 5 2 2 2 3 2 3 3" xfId="7964" xr:uid="{00000000-0005-0000-0000-0000E14E0000}"/>
    <cellStyle name="Normal 5 2 2 2 3 2 3 3 2" xfId="15227" xr:uid="{00000000-0005-0000-0000-0000E24E0000}"/>
    <cellStyle name="Normal 5 2 2 2 3 2 3 3 2 2" xfId="31542" xr:uid="{00000000-0005-0000-0000-0000E34E0000}"/>
    <cellStyle name="Normal 5 2 2 2 3 2 3 3 3" xfId="24577" xr:uid="{00000000-0005-0000-0000-0000E44E0000}"/>
    <cellStyle name="Normal 5 2 2 2 3 2 3 4" xfId="11279" xr:uid="{00000000-0005-0000-0000-0000E54E0000}"/>
    <cellStyle name="Normal 5 2 2 2 3 2 3 4 2" xfId="27877" xr:uid="{00000000-0005-0000-0000-0000E64E0000}"/>
    <cellStyle name="Normal 5 2 2 2 3 2 3 5" xfId="4338" xr:uid="{00000000-0005-0000-0000-0000E74E0000}"/>
    <cellStyle name="Normal 5 2 2 2 3 2 3 5 2" xfId="21061" xr:uid="{00000000-0005-0000-0000-0000E84E0000}"/>
    <cellStyle name="Normal 5 2 2 2 3 2 3 6" xfId="19463" xr:uid="{00000000-0005-0000-0000-0000E94E0000}"/>
    <cellStyle name="Normal 5 2 2 2 3 2 4" xfId="2733" xr:uid="{00000000-0005-0000-0000-0000EA4E0000}"/>
    <cellStyle name="Normal 5 2 2 2 3 2 4 2" xfId="8772" xr:uid="{00000000-0005-0000-0000-0000EB4E0000}"/>
    <cellStyle name="Normal 5 2 2 2 3 2 4 2 2" xfId="16035" xr:uid="{00000000-0005-0000-0000-0000EC4E0000}"/>
    <cellStyle name="Normal 5 2 2 2 3 2 4 2 2 2" xfId="32350" xr:uid="{00000000-0005-0000-0000-0000ED4E0000}"/>
    <cellStyle name="Normal 5 2 2 2 3 2 4 2 3" xfId="25385" xr:uid="{00000000-0005-0000-0000-0000EE4E0000}"/>
    <cellStyle name="Normal 5 2 2 2 3 2 4 3" xfId="12114" xr:uid="{00000000-0005-0000-0000-0000EF4E0000}"/>
    <cellStyle name="Normal 5 2 2 2 3 2 4 3 2" xfId="28689" xr:uid="{00000000-0005-0000-0000-0000F04E0000}"/>
    <cellStyle name="Normal 5 2 2 2 3 2 4 4" xfId="5421" xr:uid="{00000000-0005-0000-0000-0000F14E0000}"/>
    <cellStyle name="Normal 5 2 2 2 3 2 4 4 2" xfId="22085" xr:uid="{00000000-0005-0000-0000-0000F24E0000}"/>
    <cellStyle name="Normal 5 2 2 2 3 2 4 5" xfId="19460" xr:uid="{00000000-0005-0000-0000-0000F34E0000}"/>
    <cellStyle name="Normal 5 2 2 2 3 2 5" xfId="7152" xr:uid="{00000000-0005-0000-0000-0000F44E0000}"/>
    <cellStyle name="Normal 5 2 2 2 3 2 5 2" xfId="14415" xr:uid="{00000000-0005-0000-0000-0000F54E0000}"/>
    <cellStyle name="Normal 5 2 2 2 3 2 5 2 2" xfId="30730" xr:uid="{00000000-0005-0000-0000-0000F64E0000}"/>
    <cellStyle name="Normal 5 2 2 2 3 2 5 3" xfId="23765" xr:uid="{00000000-0005-0000-0000-0000F74E0000}"/>
    <cellStyle name="Normal 5 2 2 2 3 2 6" xfId="10467" xr:uid="{00000000-0005-0000-0000-0000F84E0000}"/>
    <cellStyle name="Normal 5 2 2 2 3 2 6 2" xfId="27065" xr:uid="{00000000-0005-0000-0000-0000F94E0000}"/>
    <cellStyle name="Normal 5 2 2 2 3 2 7" xfId="4335" xr:uid="{00000000-0005-0000-0000-0000FA4E0000}"/>
    <cellStyle name="Normal 5 2 2 2 3 2 7 2" xfId="21058" xr:uid="{00000000-0005-0000-0000-0000FB4E0000}"/>
    <cellStyle name="Normal 5 2 2 2 3 2 8" xfId="17926" xr:uid="{00000000-0005-0000-0000-0000FC4E0000}"/>
    <cellStyle name="Normal 5 2 2 2 3 3" xfId="972" xr:uid="{00000000-0005-0000-0000-0000FD4E0000}"/>
    <cellStyle name="Normal 5 2 2 2 3 3 2" xfId="1534" xr:uid="{00000000-0005-0000-0000-0000FE4E0000}"/>
    <cellStyle name="Normal 5 2 2 2 3 3 2 2" xfId="2738" xr:uid="{00000000-0005-0000-0000-0000FF4E0000}"/>
    <cellStyle name="Normal 5 2 2 2 3 3 2 2 2" xfId="9779" xr:uid="{00000000-0005-0000-0000-0000004F0000}"/>
    <cellStyle name="Normal 5 2 2 2 3 3 2 2 2 2" xfId="17042" xr:uid="{00000000-0005-0000-0000-0000014F0000}"/>
    <cellStyle name="Normal 5 2 2 2 3 3 2 2 2 2 2" xfId="33357" xr:uid="{00000000-0005-0000-0000-0000024F0000}"/>
    <cellStyle name="Normal 5 2 2 2 3 3 2 2 2 3" xfId="26392" xr:uid="{00000000-0005-0000-0000-0000034F0000}"/>
    <cellStyle name="Normal 5 2 2 2 3 3 2 2 3" xfId="13121" xr:uid="{00000000-0005-0000-0000-0000044F0000}"/>
    <cellStyle name="Normal 5 2 2 2 3 3 2 2 3 2" xfId="29696" xr:uid="{00000000-0005-0000-0000-0000054F0000}"/>
    <cellStyle name="Normal 5 2 2 2 3 3 2 2 4" xfId="6428" xr:uid="{00000000-0005-0000-0000-0000064F0000}"/>
    <cellStyle name="Normal 5 2 2 2 3 3 2 2 4 2" xfId="23092" xr:uid="{00000000-0005-0000-0000-0000074F0000}"/>
    <cellStyle name="Normal 5 2 2 2 3 3 2 2 5" xfId="19465" xr:uid="{00000000-0005-0000-0000-0000084F0000}"/>
    <cellStyle name="Normal 5 2 2 2 3 3 2 3" xfId="8158" xr:uid="{00000000-0005-0000-0000-0000094F0000}"/>
    <cellStyle name="Normal 5 2 2 2 3 3 2 3 2" xfId="15421" xr:uid="{00000000-0005-0000-0000-00000A4F0000}"/>
    <cellStyle name="Normal 5 2 2 2 3 3 2 3 2 2" xfId="31736" xr:uid="{00000000-0005-0000-0000-00000B4F0000}"/>
    <cellStyle name="Normal 5 2 2 2 3 3 2 3 3" xfId="24771" xr:uid="{00000000-0005-0000-0000-00000C4F0000}"/>
    <cellStyle name="Normal 5 2 2 2 3 3 2 4" xfId="11473" xr:uid="{00000000-0005-0000-0000-00000D4F0000}"/>
    <cellStyle name="Normal 5 2 2 2 3 3 2 4 2" xfId="28071" xr:uid="{00000000-0005-0000-0000-00000E4F0000}"/>
    <cellStyle name="Normal 5 2 2 2 3 3 2 5" xfId="4340" xr:uid="{00000000-0005-0000-0000-00000F4F0000}"/>
    <cellStyle name="Normal 5 2 2 2 3 3 2 5 2" xfId="21063" xr:uid="{00000000-0005-0000-0000-0000104F0000}"/>
    <cellStyle name="Normal 5 2 2 2 3 3 2 6" xfId="18269" xr:uid="{00000000-0005-0000-0000-0000114F0000}"/>
    <cellStyle name="Normal 5 2 2 2 3 3 3" xfId="2737" xr:uid="{00000000-0005-0000-0000-0000124F0000}"/>
    <cellStyle name="Normal 5 2 2 2 3 3 3 2" xfId="8967" xr:uid="{00000000-0005-0000-0000-0000134F0000}"/>
    <cellStyle name="Normal 5 2 2 2 3 3 3 2 2" xfId="16230" xr:uid="{00000000-0005-0000-0000-0000144F0000}"/>
    <cellStyle name="Normal 5 2 2 2 3 3 3 2 2 2" xfId="32545" xr:uid="{00000000-0005-0000-0000-0000154F0000}"/>
    <cellStyle name="Normal 5 2 2 2 3 3 3 2 3" xfId="25580" xr:uid="{00000000-0005-0000-0000-0000164F0000}"/>
    <cellStyle name="Normal 5 2 2 2 3 3 3 3" xfId="12309" xr:uid="{00000000-0005-0000-0000-0000174F0000}"/>
    <cellStyle name="Normal 5 2 2 2 3 3 3 3 2" xfId="28884" xr:uid="{00000000-0005-0000-0000-0000184F0000}"/>
    <cellStyle name="Normal 5 2 2 2 3 3 3 4" xfId="5616" xr:uid="{00000000-0005-0000-0000-0000194F0000}"/>
    <cellStyle name="Normal 5 2 2 2 3 3 3 4 2" xfId="22280" xr:uid="{00000000-0005-0000-0000-00001A4F0000}"/>
    <cellStyle name="Normal 5 2 2 2 3 3 3 5" xfId="19464" xr:uid="{00000000-0005-0000-0000-00001B4F0000}"/>
    <cellStyle name="Normal 5 2 2 2 3 3 4" xfId="7346" xr:uid="{00000000-0005-0000-0000-00001C4F0000}"/>
    <cellStyle name="Normal 5 2 2 2 3 3 4 2" xfId="14609" xr:uid="{00000000-0005-0000-0000-00001D4F0000}"/>
    <cellStyle name="Normal 5 2 2 2 3 3 4 2 2" xfId="30924" xr:uid="{00000000-0005-0000-0000-00001E4F0000}"/>
    <cellStyle name="Normal 5 2 2 2 3 3 4 3" xfId="23959" xr:uid="{00000000-0005-0000-0000-00001F4F0000}"/>
    <cellStyle name="Normal 5 2 2 2 3 3 5" xfId="10661" xr:uid="{00000000-0005-0000-0000-0000204F0000}"/>
    <cellStyle name="Normal 5 2 2 2 3 3 5 2" xfId="27259" xr:uid="{00000000-0005-0000-0000-0000214F0000}"/>
    <cellStyle name="Normal 5 2 2 2 3 3 6" xfId="4339" xr:uid="{00000000-0005-0000-0000-0000224F0000}"/>
    <cellStyle name="Normal 5 2 2 2 3 3 6 2" xfId="21062" xr:uid="{00000000-0005-0000-0000-0000234F0000}"/>
    <cellStyle name="Normal 5 2 2 2 3 3 7" xfId="17750" xr:uid="{00000000-0005-0000-0000-0000244F0000}"/>
    <cellStyle name="Normal 5 2 2 2 3 4" xfId="762" xr:uid="{00000000-0005-0000-0000-0000254F0000}"/>
    <cellStyle name="Normal 5 2 2 2 3 4 2" xfId="2739" xr:uid="{00000000-0005-0000-0000-0000264F0000}"/>
    <cellStyle name="Normal 5 2 2 2 3 4 2 2" xfId="9373" xr:uid="{00000000-0005-0000-0000-0000274F0000}"/>
    <cellStyle name="Normal 5 2 2 2 3 4 2 2 2" xfId="16636" xr:uid="{00000000-0005-0000-0000-0000284F0000}"/>
    <cellStyle name="Normal 5 2 2 2 3 4 2 2 2 2" xfId="32951" xr:uid="{00000000-0005-0000-0000-0000294F0000}"/>
    <cellStyle name="Normal 5 2 2 2 3 4 2 2 3" xfId="25986" xr:uid="{00000000-0005-0000-0000-00002A4F0000}"/>
    <cellStyle name="Normal 5 2 2 2 3 4 2 3" xfId="12715" xr:uid="{00000000-0005-0000-0000-00002B4F0000}"/>
    <cellStyle name="Normal 5 2 2 2 3 4 2 3 2" xfId="29290" xr:uid="{00000000-0005-0000-0000-00002C4F0000}"/>
    <cellStyle name="Normal 5 2 2 2 3 4 2 4" xfId="6022" xr:uid="{00000000-0005-0000-0000-00002D4F0000}"/>
    <cellStyle name="Normal 5 2 2 2 3 4 2 4 2" xfId="22686" xr:uid="{00000000-0005-0000-0000-00002E4F0000}"/>
    <cellStyle name="Normal 5 2 2 2 3 4 2 5" xfId="19466" xr:uid="{00000000-0005-0000-0000-00002F4F0000}"/>
    <cellStyle name="Normal 5 2 2 2 3 4 3" xfId="7752" xr:uid="{00000000-0005-0000-0000-0000304F0000}"/>
    <cellStyle name="Normal 5 2 2 2 3 4 3 2" xfId="15015" xr:uid="{00000000-0005-0000-0000-0000314F0000}"/>
    <cellStyle name="Normal 5 2 2 2 3 4 3 2 2" xfId="31330" xr:uid="{00000000-0005-0000-0000-0000324F0000}"/>
    <cellStyle name="Normal 5 2 2 2 3 4 3 3" xfId="24365" xr:uid="{00000000-0005-0000-0000-0000334F0000}"/>
    <cellStyle name="Normal 5 2 2 2 3 4 4" xfId="11067" xr:uid="{00000000-0005-0000-0000-0000344F0000}"/>
    <cellStyle name="Normal 5 2 2 2 3 4 4 2" xfId="27665" xr:uid="{00000000-0005-0000-0000-0000354F0000}"/>
    <cellStyle name="Normal 5 2 2 2 3 4 5" xfId="4341" xr:uid="{00000000-0005-0000-0000-0000364F0000}"/>
    <cellStyle name="Normal 5 2 2 2 3 4 5 2" xfId="21064" xr:uid="{00000000-0005-0000-0000-0000374F0000}"/>
    <cellStyle name="Normal 5 2 2 2 3 4 6" xfId="17575" xr:uid="{00000000-0005-0000-0000-0000384F0000}"/>
    <cellStyle name="Normal 5 2 2 2 3 5" xfId="1359" xr:uid="{00000000-0005-0000-0000-0000394F0000}"/>
    <cellStyle name="Normal 5 2 2 2 3 5 2" xfId="8595" xr:uid="{00000000-0005-0000-0000-00003A4F0000}"/>
    <cellStyle name="Normal 5 2 2 2 3 5 2 2" xfId="15858" xr:uid="{00000000-0005-0000-0000-00003B4F0000}"/>
    <cellStyle name="Normal 5 2 2 2 3 5 2 2 2" xfId="32173" xr:uid="{00000000-0005-0000-0000-00003C4F0000}"/>
    <cellStyle name="Normal 5 2 2 2 3 5 2 3" xfId="25208" xr:uid="{00000000-0005-0000-0000-00003D4F0000}"/>
    <cellStyle name="Normal 5 2 2 2 3 5 3" xfId="11937" xr:uid="{00000000-0005-0000-0000-00003E4F0000}"/>
    <cellStyle name="Normal 5 2 2 2 3 5 3 2" xfId="28512" xr:uid="{00000000-0005-0000-0000-00003F4F0000}"/>
    <cellStyle name="Normal 5 2 2 2 3 5 4" xfId="5244" xr:uid="{00000000-0005-0000-0000-0000404F0000}"/>
    <cellStyle name="Normal 5 2 2 2 3 5 4 2" xfId="21908" xr:uid="{00000000-0005-0000-0000-0000414F0000}"/>
    <cellStyle name="Normal 5 2 2 2 3 5 5" xfId="18094" xr:uid="{00000000-0005-0000-0000-0000424F0000}"/>
    <cellStyle name="Normal 5 2 2 2 3 6" xfId="2732" xr:uid="{00000000-0005-0000-0000-0000434F0000}"/>
    <cellStyle name="Normal 5 2 2 2 3 6 2" xfId="14239" xr:uid="{00000000-0005-0000-0000-0000444F0000}"/>
    <cellStyle name="Normal 5 2 2 2 3 6 2 2" xfId="30554" xr:uid="{00000000-0005-0000-0000-0000454F0000}"/>
    <cellStyle name="Normal 5 2 2 2 3 6 3" xfId="6976" xr:uid="{00000000-0005-0000-0000-0000464F0000}"/>
    <cellStyle name="Normal 5 2 2 2 3 6 3 2" xfId="23589" xr:uid="{00000000-0005-0000-0000-0000474F0000}"/>
    <cellStyle name="Normal 5 2 2 2 3 6 4" xfId="19459" xr:uid="{00000000-0005-0000-0000-0000484F0000}"/>
    <cellStyle name="Normal 5 2 2 2 3 7" xfId="10290" xr:uid="{00000000-0005-0000-0000-0000494F0000}"/>
    <cellStyle name="Normal 5 2 2 2 3 7 2" xfId="26889" xr:uid="{00000000-0005-0000-0000-00004A4F0000}"/>
    <cellStyle name="Normal 5 2 2 2 3 8" xfId="4334" xr:uid="{00000000-0005-0000-0000-00004B4F0000}"/>
    <cellStyle name="Normal 5 2 2 2 3 8 2" xfId="21057" xr:uid="{00000000-0005-0000-0000-00004C4F0000}"/>
    <cellStyle name="Normal 5 2 2 2 3 9" xfId="17470" xr:uid="{00000000-0005-0000-0000-00004D4F0000}"/>
    <cellStyle name="Normal 5 2 2 2 4" xfId="1186" xr:uid="{00000000-0005-0000-0000-00004E4F0000}"/>
    <cellStyle name="Normal 5 2 2 2 4 2" xfId="1707" xr:uid="{00000000-0005-0000-0000-00004F4F0000}"/>
    <cellStyle name="Normal 5 2 2 2 4 2 2" xfId="2742" xr:uid="{00000000-0005-0000-0000-0000504F0000}"/>
    <cellStyle name="Normal 5 2 2 2 4 2 2 2" xfId="6601" xr:uid="{00000000-0005-0000-0000-0000514F0000}"/>
    <cellStyle name="Normal 5 2 2 2 4 2 2 2 2" xfId="9952" xr:uid="{00000000-0005-0000-0000-0000524F0000}"/>
    <cellStyle name="Normal 5 2 2 2 4 2 2 2 2 2" xfId="17215" xr:uid="{00000000-0005-0000-0000-0000534F0000}"/>
    <cellStyle name="Normal 5 2 2 2 4 2 2 2 2 2 2" xfId="33530" xr:uid="{00000000-0005-0000-0000-0000544F0000}"/>
    <cellStyle name="Normal 5 2 2 2 4 2 2 2 2 3" xfId="26565" xr:uid="{00000000-0005-0000-0000-0000554F0000}"/>
    <cellStyle name="Normal 5 2 2 2 4 2 2 2 3" xfId="13294" xr:uid="{00000000-0005-0000-0000-0000564F0000}"/>
    <cellStyle name="Normal 5 2 2 2 4 2 2 2 3 2" xfId="29869" xr:uid="{00000000-0005-0000-0000-0000574F0000}"/>
    <cellStyle name="Normal 5 2 2 2 4 2 2 2 4" xfId="23265" xr:uid="{00000000-0005-0000-0000-0000584F0000}"/>
    <cellStyle name="Normal 5 2 2 2 4 2 2 3" xfId="8331" xr:uid="{00000000-0005-0000-0000-0000594F0000}"/>
    <cellStyle name="Normal 5 2 2 2 4 2 2 3 2" xfId="15594" xr:uid="{00000000-0005-0000-0000-00005A4F0000}"/>
    <cellStyle name="Normal 5 2 2 2 4 2 2 3 2 2" xfId="31909" xr:uid="{00000000-0005-0000-0000-00005B4F0000}"/>
    <cellStyle name="Normal 5 2 2 2 4 2 2 3 3" xfId="24944" xr:uid="{00000000-0005-0000-0000-00005C4F0000}"/>
    <cellStyle name="Normal 5 2 2 2 4 2 2 4" xfId="11646" xr:uid="{00000000-0005-0000-0000-00005D4F0000}"/>
    <cellStyle name="Normal 5 2 2 2 4 2 2 4 2" xfId="28244" xr:uid="{00000000-0005-0000-0000-00005E4F0000}"/>
    <cellStyle name="Normal 5 2 2 2 4 2 2 5" xfId="4344" xr:uid="{00000000-0005-0000-0000-00005F4F0000}"/>
    <cellStyle name="Normal 5 2 2 2 4 2 2 5 2" xfId="21067" xr:uid="{00000000-0005-0000-0000-0000604F0000}"/>
    <cellStyle name="Normal 5 2 2 2 4 2 2 6" xfId="19469" xr:uid="{00000000-0005-0000-0000-0000614F0000}"/>
    <cellStyle name="Normal 5 2 2 2 4 2 3" xfId="2741" xr:uid="{00000000-0005-0000-0000-0000624F0000}"/>
    <cellStyle name="Normal 5 2 2 2 4 2 3 2" xfId="9176" xr:uid="{00000000-0005-0000-0000-0000634F0000}"/>
    <cellStyle name="Normal 5 2 2 2 4 2 3 2 2" xfId="16439" xr:uid="{00000000-0005-0000-0000-0000644F0000}"/>
    <cellStyle name="Normal 5 2 2 2 4 2 3 2 2 2" xfId="32754" xr:uid="{00000000-0005-0000-0000-0000654F0000}"/>
    <cellStyle name="Normal 5 2 2 2 4 2 3 2 3" xfId="25789" xr:uid="{00000000-0005-0000-0000-0000664F0000}"/>
    <cellStyle name="Normal 5 2 2 2 4 2 3 3" xfId="12518" xr:uid="{00000000-0005-0000-0000-0000674F0000}"/>
    <cellStyle name="Normal 5 2 2 2 4 2 3 3 2" xfId="29093" xr:uid="{00000000-0005-0000-0000-0000684F0000}"/>
    <cellStyle name="Normal 5 2 2 2 4 2 3 4" xfId="5825" xr:uid="{00000000-0005-0000-0000-0000694F0000}"/>
    <cellStyle name="Normal 5 2 2 2 4 2 3 4 2" xfId="22489" xr:uid="{00000000-0005-0000-0000-00006A4F0000}"/>
    <cellStyle name="Normal 5 2 2 2 4 2 3 5" xfId="19468" xr:uid="{00000000-0005-0000-0000-00006B4F0000}"/>
    <cellStyle name="Normal 5 2 2 2 4 2 4" xfId="7555" xr:uid="{00000000-0005-0000-0000-00006C4F0000}"/>
    <cellStyle name="Normal 5 2 2 2 4 2 4 2" xfId="14818" xr:uid="{00000000-0005-0000-0000-00006D4F0000}"/>
    <cellStyle name="Normal 5 2 2 2 4 2 4 2 2" xfId="31133" xr:uid="{00000000-0005-0000-0000-00006E4F0000}"/>
    <cellStyle name="Normal 5 2 2 2 4 2 4 3" xfId="24168" xr:uid="{00000000-0005-0000-0000-00006F4F0000}"/>
    <cellStyle name="Normal 5 2 2 2 4 2 5" xfId="10870" xr:uid="{00000000-0005-0000-0000-0000704F0000}"/>
    <cellStyle name="Normal 5 2 2 2 4 2 5 2" xfId="27468" xr:uid="{00000000-0005-0000-0000-0000714F0000}"/>
    <cellStyle name="Normal 5 2 2 2 4 2 6" xfId="4343" xr:uid="{00000000-0005-0000-0000-0000724F0000}"/>
    <cellStyle name="Normal 5 2 2 2 4 2 6 2" xfId="21066" xr:uid="{00000000-0005-0000-0000-0000734F0000}"/>
    <cellStyle name="Normal 5 2 2 2 4 2 7" xfId="18442" xr:uid="{00000000-0005-0000-0000-0000744F0000}"/>
    <cellStyle name="Normal 5 2 2 2 4 3" xfId="2743" xr:uid="{00000000-0005-0000-0000-0000754F0000}"/>
    <cellStyle name="Normal 5 2 2 2 4 3 2" xfId="6231" xr:uid="{00000000-0005-0000-0000-0000764F0000}"/>
    <cellStyle name="Normal 5 2 2 2 4 3 2 2" xfId="9582" xr:uid="{00000000-0005-0000-0000-0000774F0000}"/>
    <cellStyle name="Normal 5 2 2 2 4 3 2 2 2" xfId="16845" xr:uid="{00000000-0005-0000-0000-0000784F0000}"/>
    <cellStyle name="Normal 5 2 2 2 4 3 2 2 2 2" xfId="33160" xr:uid="{00000000-0005-0000-0000-0000794F0000}"/>
    <cellStyle name="Normal 5 2 2 2 4 3 2 2 3" xfId="26195" xr:uid="{00000000-0005-0000-0000-00007A4F0000}"/>
    <cellStyle name="Normal 5 2 2 2 4 3 2 3" xfId="12924" xr:uid="{00000000-0005-0000-0000-00007B4F0000}"/>
    <cellStyle name="Normal 5 2 2 2 4 3 2 3 2" xfId="29499" xr:uid="{00000000-0005-0000-0000-00007C4F0000}"/>
    <cellStyle name="Normal 5 2 2 2 4 3 2 4" xfId="22895" xr:uid="{00000000-0005-0000-0000-00007D4F0000}"/>
    <cellStyle name="Normal 5 2 2 2 4 3 3" xfId="7961" xr:uid="{00000000-0005-0000-0000-00007E4F0000}"/>
    <cellStyle name="Normal 5 2 2 2 4 3 3 2" xfId="15224" xr:uid="{00000000-0005-0000-0000-00007F4F0000}"/>
    <cellStyle name="Normal 5 2 2 2 4 3 3 2 2" xfId="31539" xr:uid="{00000000-0005-0000-0000-0000804F0000}"/>
    <cellStyle name="Normal 5 2 2 2 4 3 3 3" xfId="24574" xr:uid="{00000000-0005-0000-0000-0000814F0000}"/>
    <cellStyle name="Normal 5 2 2 2 4 3 4" xfId="11276" xr:uid="{00000000-0005-0000-0000-0000824F0000}"/>
    <cellStyle name="Normal 5 2 2 2 4 3 4 2" xfId="27874" xr:uid="{00000000-0005-0000-0000-0000834F0000}"/>
    <cellStyle name="Normal 5 2 2 2 4 3 5" xfId="4345" xr:uid="{00000000-0005-0000-0000-0000844F0000}"/>
    <cellStyle name="Normal 5 2 2 2 4 3 5 2" xfId="21068" xr:uid="{00000000-0005-0000-0000-0000854F0000}"/>
    <cellStyle name="Normal 5 2 2 2 4 3 6" xfId="19470" xr:uid="{00000000-0005-0000-0000-0000864F0000}"/>
    <cellStyle name="Normal 5 2 2 2 4 4" xfId="2740" xr:uid="{00000000-0005-0000-0000-0000874F0000}"/>
    <cellStyle name="Normal 5 2 2 2 4 4 2" xfId="8769" xr:uid="{00000000-0005-0000-0000-0000884F0000}"/>
    <cellStyle name="Normal 5 2 2 2 4 4 2 2" xfId="16032" xr:uid="{00000000-0005-0000-0000-0000894F0000}"/>
    <cellStyle name="Normal 5 2 2 2 4 4 2 2 2" xfId="32347" xr:uid="{00000000-0005-0000-0000-00008A4F0000}"/>
    <cellStyle name="Normal 5 2 2 2 4 4 2 3" xfId="25382" xr:uid="{00000000-0005-0000-0000-00008B4F0000}"/>
    <cellStyle name="Normal 5 2 2 2 4 4 3" xfId="12111" xr:uid="{00000000-0005-0000-0000-00008C4F0000}"/>
    <cellStyle name="Normal 5 2 2 2 4 4 3 2" xfId="28686" xr:uid="{00000000-0005-0000-0000-00008D4F0000}"/>
    <cellStyle name="Normal 5 2 2 2 4 4 4" xfId="5418" xr:uid="{00000000-0005-0000-0000-00008E4F0000}"/>
    <cellStyle name="Normal 5 2 2 2 4 4 4 2" xfId="22082" xr:uid="{00000000-0005-0000-0000-00008F4F0000}"/>
    <cellStyle name="Normal 5 2 2 2 4 4 5" xfId="19467" xr:uid="{00000000-0005-0000-0000-0000904F0000}"/>
    <cellStyle name="Normal 5 2 2 2 4 5" xfId="7149" xr:uid="{00000000-0005-0000-0000-0000914F0000}"/>
    <cellStyle name="Normal 5 2 2 2 4 5 2" xfId="14412" xr:uid="{00000000-0005-0000-0000-0000924F0000}"/>
    <cellStyle name="Normal 5 2 2 2 4 5 2 2" xfId="30727" xr:uid="{00000000-0005-0000-0000-0000934F0000}"/>
    <cellStyle name="Normal 5 2 2 2 4 5 3" xfId="23762" xr:uid="{00000000-0005-0000-0000-0000944F0000}"/>
    <cellStyle name="Normal 5 2 2 2 4 6" xfId="10464" xr:uid="{00000000-0005-0000-0000-0000954F0000}"/>
    <cellStyle name="Normal 5 2 2 2 4 6 2" xfId="27062" xr:uid="{00000000-0005-0000-0000-0000964F0000}"/>
    <cellStyle name="Normal 5 2 2 2 4 7" xfId="4342" xr:uid="{00000000-0005-0000-0000-0000974F0000}"/>
    <cellStyle name="Normal 5 2 2 2 4 7 2" xfId="21065" xr:uid="{00000000-0005-0000-0000-0000984F0000}"/>
    <cellStyle name="Normal 5 2 2 2 4 8" xfId="17923" xr:uid="{00000000-0005-0000-0000-0000994F0000}"/>
    <cellStyle name="Normal 5 2 2 2 5" xfId="856" xr:uid="{00000000-0005-0000-0000-00009A4F0000}"/>
    <cellStyle name="Normal 5 2 2 2 5 2" xfId="1425" xr:uid="{00000000-0005-0000-0000-00009B4F0000}"/>
    <cellStyle name="Normal 5 2 2 2 5 2 2" xfId="2745" xr:uid="{00000000-0005-0000-0000-00009C4F0000}"/>
    <cellStyle name="Normal 5 2 2 2 5 2 2 2" xfId="9776" xr:uid="{00000000-0005-0000-0000-00009D4F0000}"/>
    <cellStyle name="Normal 5 2 2 2 5 2 2 2 2" xfId="17039" xr:uid="{00000000-0005-0000-0000-00009E4F0000}"/>
    <cellStyle name="Normal 5 2 2 2 5 2 2 2 2 2" xfId="33354" xr:uid="{00000000-0005-0000-0000-00009F4F0000}"/>
    <cellStyle name="Normal 5 2 2 2 5 2 2 2 3" xfId="26389" xr:uid="{00000000-0005-0000-0000-0000A04F0000}"/>
    <cellStyle name="Normal 5 2 2 2 5 2 2 3" xfId="13118" xr:uid="{00000000-0005-0000-0000-0000A14F0000}"/>
    <cellStyle name="Normal 5 2 2 2 5 2 2 3 2" xfId="29693" xr:uid="{00000000-0005-0000-0000-0000A24F0000}"/>
    <cellStyle name="Normal 5 2 2 2 5 2 2 4" xfId="6425" xr:uid="{00000000-0005-0000-0000-0000A34F0000}"/>
    <cellStyle name="Normal 5 2 2 2 5 2 2 4 2" xfId="23089" xr:uid="{00000000-0005-0000-0000-0000A44F0000}"/>
    <cellStyle name="Normal 5 2 2 2 5 2 2 5" xfId="19472" xr:uid="{00000000-0005-0000-0000-0000A54F0000}"/>
    <cellStyle name="Normal 5 2 2 2 5 2 3" xfId="8155" xr:uid="{00000000-0005-0000-0000-0000A64F0000}"/>
    <cellStyle name="Normal 5 2 2 2 5 2 3 2" xfId="15418" xr:uid="{00000000-0005-0000-0000-0000A74F0000}"/>
    <cellStyle name="Normal 5 2 2 2 5 2 3 2 2" xfId="31733" xr:uid="{00000000-0005-0000-0000-0000A84F0000}"/>
    <cellStyle name="Normal 5 2 2 2 5 2 3 3" xfId="24768" xr:uid="{00000000-0005-0000-0000-0000A94F0000}"/>
    <cellStyle name="Normal 5 2 2 2 5 2 4" xfId="11470" xr:uid="{00000000-0005-0000-0000-0000AA4F0000}"/>
    <cellStyle name="Normal 5 2 2 2 5 2 4 2" xfId="28068" xr:uid="{00000000-0005-0000-0000-0000AB4F0000}"/>
    <cellStyle name="Normal 5 2 2 2 5 2 5" xfId="4347" xr:uid="{00000000-0005-0000-0000-0000AC4F0000}"/>
    <cellStyle name="Normal 5 2 2 2 5 2 5 2" xfId="21070" xr:uid="{00000000-0005-0000-0000-0000AD4F0000}"/>
    <cellStyle name="Normal 5 2 2 2 5 2 6" xfId="18160" xr:uid="{00000000-0005-0000-0000-0000AE4F0000}"/>
    <cellStyle name="Normal 5 2 2 2 5 3" xfId="2744" xr:uid="{00000000-0005-0000-0000-0000AF4F0000}"/>
    <cellStyle name="Normal 5 2 2 2 5 3 2" xfId="8964" xr:uid="{00000000-0005-0000-0000-0000B04F0000}"/>
    <cellStyle name="Normal 5 2 2 2 5 3 2 2" xfId="16227" xr:uid="{00000000-0005-0000-0000-0000B14F0000}"/>
    <cellStyle name="Normal 5 2 2 2 5 3 2 2 2" xfId="32542" xr:uid="{00000000-0005-0000-0000-0000B24F0000}"/>
    <cellStyle name="Normal 5 2 2 2 5 3 2 3" xfId="25577" xr:uid="{00000000-0005-0000-0000-0000B34F0000}"/>
    <cellStyle name="Normal 5 2 2 2 5 3 3" xfId="12306" xr:uid="{00000000-0005-0000-0000-0000B44F0000}"/>
    <cellStyle name="Normal 5 2 2 2 5 3 3 2" xfId="28881" xr:uid="{00000000-0005-0000-0000-0000B54F0000}"/>
    <cellStyle name="Normal 5 2 2 2 5 3 4" xfId="5613" xr:uid="{00000000-0005-0000-0000-0000B64F0000}"/>
    <cellStyle name="Normal 5 2 2 2 5 3 4 2" xfId="22277" xr:uid="{00000000-0005-0000-0000-0000B74F0000}"/>
    <cellStyle name="Normal 5 2 2 2 5 3 5" xfId="19471" xr:uid="{00000000-0005-0000-0000-0000B84F0000}"/>
    <cellStyle name="Normal 5 2 2 2 5 4" xfId="7343" xr:uid="{00000000-0005-0000-0000-0000B94F0000}"/>
    <cellStyle name="Normal 5 2 2 2 5 4 2" xfId="14606" xr:uid="{00000000-0005-0000-0000-0000BA4F0000}"/>
    <cellStyle name="Normal 5 2 2 2 5 4 2 2" xfId="30921" xr:uid="{00000000-0005-0000-0000-0000BB4F0000}"/>
    <cellStyle name="Normal 5 2 2 2 5 4 3" xfId="23956" xr:uid="{00000000-0005-0000-0000-0000BC4F0000}"/>
    <cellStyle name="Normal 5 2 2 2 5 5" xfId="10658" xr:uid="{00000000-0005-0000-0000-0000BD4F0000}"/>
    <cellStyle name="Normal 5 2 2 2 5 5 2" xfId="27256" xr:uid="{00000000-0005-0000-0000-0000BE4F0000}"/>
    <cellStyle name="Normal 5 2 2 2 5 6" xfId="4346" xr:uid="{00000000-0005-0000-0000-0000BF4F0000}"/>
    <cellStyle name="Normal 5 2 2 2 5 6 2" xfId="21069" xr:uid="{00000000-0005-0000-0000-0000C04F0000}"/>
    <cellStyle name="Normal 5 2 2 2 5 7" xfId="17641" xr:uid="{00000000-0005-0000-0000-0000C14F0000}"/>
    <cellStyle name="Normal 5 2 2 2 6" xfId="727" xr:uid="{00000000-0005-0000-0000-0000C24F0000}"/>
    <cellStyle name="Normal 5 2 2 2 6 2" xfId="2746" xr:uid="{00000000-0005-0000-0000-0000C34F0000}"/>
    <cellStyle name="Normal 5 2 2 2 6 2 2" xfId="9370" xr:uid="{00000000-0005-0000-0000-0000C44F0000}"/>
    <cellStyle name="Normal 5 2 2 2 6 2 2 2" xfId="16633" xr:uid="{00000000-0005-0000-0000-0000C54F0000}"/>
    <cellStyle name="Normal 5 2 2 2 6 2 2 2 2" xfId="32948" xr:uid="{00000000-0005-0000-0000-0000C64F0000}"/>
    <cellStyle name="Normal 5 2 2 2 6 2 2 3" xfId="25983" xr:uid="{00000000-0005-0000-0000-0000C74F0000}"/>
    <cellStyle name="Normal 5 2 2 2 6 2 3" xfId="12712" xr:uid="{00000000-0005-0000-0000-0000C84F0000}"/>
    <cellStyle name="Normal 5 2 2 2 6 2 3 2" xfId="29287" xr:uid="{00000000-0005-0000-0000-0000C94F0000}"/>
    <cellStyle name="Normal 5 2 2 2 6 2 4" xfId="6019" xr:uid="{00000000-0005-0000-0000-0000CA4F0000}"/>
    <cellStyle name="Normal 5 2 2 2 6 2 4 2" xfId="22683" xr:uid="{00000000-0005-0000-0000-0000CB4F0000}"/>
    <cellStyle name="Normal 5 2 2 2 6 2 5" xfId="19473" xr:uid="{00000000-0005-0000-0000-0000CC4F0000}"/>
    <cellStyle name="Normal 5 2 2 2 6 3" xfId="7749" xr:uid="{00000000-0005-0000-0000-0000CD4F0000}"/>
    <cellStyle name="Normal 5 2 2 2 6 3 2" xfId="15012" xr:uid="{00000000-0005-0000-0000-0000CE4F0000}"/>
    <cellStyle name="Normal 5 2 2 2 6 3 2 2" xfId="31327" xr:uid="{00000000-0005-0000-0000-0000CF4F0000}"/>
    <cellStyle name="Normal 5 2 2 2 6 3 3" xfId="24362" xr:uid="{00000000-0005-0000-0000-0000D04F0000}"/>
    <cellStyle name="Normal 5 2 2 2 6 4" xfId="11064" xr:uid="{00000000-0005-0000-0000-0000D14F0000}"/>
    <cellStyle name="Normal 5 2 2 2 6 4 2" xfId="27662" xr:uid="{00000000-0005-0000-0000-0000D24F0000}"/>
    <cellStyle name="Normal 5 2 2 2 6 5" xfId="4348" xr:uid="{00000000-0005-0000-0000-0000D34F0000}"/>
    <cellStyle name="Normal 5 2 2 2 6 5 2" xfId="21071" xr:uid="{00000000-0005-0000-0000-0000D44F0000}"/>
    <cellStyle name="Normal 5 2 2 2 6 6" xfId="17540" xr:uid="{00000000-0005-0000-0000-0000D54F0000}"/>
    <cellStyle name="Normal 5 2 2 2 7" xfId="1324" xr:uid="{00000000-0005-0000-0000-0000D64F0000}"/>
    <cellStyle name="Normal 5 2 2 2 7 2" xfId="8489" xr:uid="{00000000-0005-0000-0000-0000D74F0000}"/>
    <cellStyle name="Normal 5 2 2 2 7 2 2" xfId="15752" xr:uid="{00000000-0005-0000-0000-0000D84F0000}"/>
    <cellStyle name="Normal 5 2 2 2 7 2 2 2" xfId="32067" xr:uid="{00000000-0005-0000-0000-0000D94F0000}"/>
    <cellStyle name="Normal 5 2 2 2 7 2 3" xfId="25102" xr:uid="{00000000-0005-0000-0000-0000DA4F0000}"/>
    <cellStyle name="Normal 5 2 2 2 7 3" xfId="11830" xr:uid="{00000000-0005-0000-0000-0000DB4F0000}"/>
    <cellStyle name="Normal 5 2 2 2 7 3 2" xfId="28406" xr:uid="{00000000-0005-0000-0000-0000DC4F0000}"/>
    <cellStyle name="Normal 5 2 2 2 7 4" xfId="5136" xr:uid="{00000000-0005-0000-0000-0000DD4F0000}"/>
    <cellStyle name="Normal 5 2 2 2 7 4 2" xfId="21802" xr:uid="{00000000-0005-0000-0000-0000DE4F0000}"/>
    <cellStyle name="Normal 5 2 2 2 7 5" xfId="18059" xr:uid="{00000000-0005-0000-0000-0000DF4F0000}"/>
    <cellStyle name="Normal 5 2 2 2 8" xfId="2715" xr:uid="{00000000-0005-0000-0000-0000E04F0000}"/>
    <cellStyle name="Normal 5 2 2 2 8 2" xfId="14133" xr:uid="{00000000-0005-0000-0000-0000E14F0000}"/>
    <cellStyle name="Normal 5 2 2 2 8 2 2" xfId="30448" xr:uid="{00000000-0005-0000-0000-0000E24F0000}"/>
    <cellStyle name="Normal 5 2 2 2 8 3" xfId="6870" xr:uid="{00000000-0005-0000-0000-0000E34F0000}"/>
    <cellStyle name="Normal 5 2 2 2 8 3 2" xfId="23483" xr:uid="{00000000-0005-0000-0000-0000E44F0000}"/>
    <cellStyle name="Normal 5 2 2 2 8 4" xfId="19442" xr:uid="{00000000-0005-0000-0000-0000E54F0000}"/>
    <cellStyle name="Normal 5 2 2 2 9" xfId="10183" xr:uid="{00000000-0005-0000-0000-0000E64F0000}"/>
    <cellStyle name="Normal 5 2 2 2 9 2" xfId="26783" xr:uid="{00000000-0005-0000-0000-0000E74F0000}"/>
    <cellStyle name="Normal 5 2 2 3" xfId="672" xr:uid="{00000000-0005-0000-0000-0000E84F0000}"/>
    <cellStyle name="Normal 5 2 2 3 10" xfId="4349" xr:uid="{00000000-0005-0000-0000-0000E94F0000}"/>
    <cellStyle name="Normal 5 2 2 3 10 2" xfId="21072" xr:uid="{00000000-0005-0000-0000-0000EA4F0000}"/>
    <cellStyle name="Normal 5 2 2 3 11" xfId="17488" xr:uid="{00000000-0005-0000-0000-0000EB4F0000}"/>
    <cellStyle name="Normal 5 2 2 3 2" xfId="942" xr:uid="{00000000-0005-0000-0000-0000EC4F0000}"/>
    <cellStyle name="Normal 5 2 2 3 2 10" xfId="17720" xr:uid="{00000000-0005-0000-0000-0000ED4F0000}"/>
    <cellStyle name="Normal 5 2 2 3 2 2" xfId="1049" xr:uid="{00000000-0005-0000-0000-0000EE4F0000}"/>
    <cellStyle name="Normal 5 2 2 3 2 2 2" xfId="1192" xr:uid="{00000000-0005-0000-0000-0000EF4F0000}"/>
    <cellStyle name="Normal 5 2 2 3 2 2 2 2" xfId="1713" xr:uid="{00000000-0005-0000-0000-0000F04F0000}"/>
    <cellStyle name="Normal 5 2 2 3 2 2 2 2 2" xfId="2752" xr:uid="{00000000-0005-0000-0000-0000F14F0000}"/>
    <cellStyle name="Normal 5 2 2 3 2 2 2 2 2 2" xfId="6607" xr:uid="{00000000-0005-0000-0000-0000F24F0000}"/>
    <cellStyle name="Normal 5 2 2 3 2 2 2 2 2 2 2" xfId="9958" xr:uid="{00000000-0005-0000-0000-0000F34F0000}"/>
    <cellStyle name="Normal 5 2 2 3 2 2 2 2 2 2 2 2" xfId="17221" xr:uid="{00000000-0005-0000-0000-0000F44F0000}"/>
    <cellStyle name="Normal 5 2 2 3 2 2 2 2 2 2 2 2 2" xfId="33536" xr:uid="{00000000-0005-0000-0000-0000F54F0000}"/>
    <cellStyle name="Normal 5 2 2 3 2 2 2 2 2 2 2 3" xfId="26571" xr:uid="{00000000-0005-0000-0000-0000F64F0000}"/>
    <cellStyle name="Normal 5 2 2 3 2 2 2 2 2 2 3" xfId="13300" xr:uid="{00000000-0005-0000-0000-0000F74F0000}"/>
    <cellStyle name="Normal 5 2 2 3 2 2 2 2 2 2 3 2" xfId="29875" xr:uid="{00000000-0005-0000-0000-0000F84F0000}"/>
    <cellStyle name="Normal 5 2 2 3 2 2 2 2 2 2 4" xfId="23271" xr:uid="{00000000-0005-0000-0000-0000F94F0000}"/>
    <cellStyle name="Normal 5 2 2 3 2 2 2 2 2 3" xfId="8337" xr:uid="{00000000-0005-0000-0000-0000FA4F0000}"/>
    <cellStyle name="Normal 5 2 2 3 2 2 2 2 2 3 2" xfId="15600" xr:uid="{00000000-0005-0000-0000-0000FB4F0000}"/>
    <cellStyle name="Normal 5 2 2 3 2 2 2 2 2 3 2 2" xfId="31915" xr:uid="{00000000-0005-0000-0000-0000FC4F0000}"/>
    <cellStyle name="Normal 5 2 2 3 2 2 2 2 2 3 3" xfId="24950" xr:uid="{00000000-0005-0000-0000-0000FD4F0000}"/>
    <cellStyle name="Normal 5 2 2 3 2 2 2 2 2 4" xfId="11652" xr:uid="{00000000-0005-0000-0000-0000FE4F0000}"/>
    <cellStyle name="Normal 5 2 2 3 2 2 2 2 2 4 2" xfId="28250" xr:uid="{00000000-0005-0000-0000-0000FF4F0000}"/>
    <cellStyle name="Normal 5 2 2 3 2 2 2 2 2 5" xfId="4354" xr:uid="{00000000-0005-0000-0000-000000500000}"/>
    <cellStyle name="Normal 5 2 2 3 2 2 2 2 2 5 2" xfId="21077" xr:uid="{00000000-0005-0000-0000-000001500000}"/>
    <cellStyle name="Normal 5 2 2 3 2 2 2 2 2 6" xfId="19479" xr:uid="{00000000-0005-0000-0000-000002500000}"/>
    <cellStyle name="Normal 5 2 2 3 2 2 2 2 3" xfId="2751" xr:uid="{00000000-0005-0000-0000-000003500000}"/>
    <cellStyle name="Normal 5 2 2 3 2 2 2 2 3 2" xfId="9182" xr:uid="{00000000-0005-0000-0000-000004500000}"/>
    <cellStyle name="Normal 5 2 2 3 2 2 2 2 3 2 2" xfId="16445" xr:uid="{00000000-0005-0000-0000-000005500000}"/>
    <cellStyle name="Normal 5 2 2 3 2 2 2 2 3 2 2 2" xfId="32760" xr:uid="{00000000-0005-0000-0000-000006500000}"/>
    <cellStyle name="Normal 5 2 2 3 2 2 2 2 3 2 3" xfId="25795" xr:uid="{00000000-0005-0000-0000-000007500000}"/>
    <cellStyle name="Normal 5 2 2 3 2 2 2 2 3 3" xfId="12524" xr:uid="{00000000-0005-0000-0000-000008500000}"/>
    <cellStyle name="Normal 5 2 2 3 2 2 2 2 3 3 2" xfId="29099" xr:uid="{00000000-0005-0000-0000-000009500000}"/>
    <cellStyle name="Normal 5 2 2 3 2 2 2 2 3 4" xfId="5831" xr:uid="{00000000-0005-0000-0000-00000A500000}"/>
    <cellStyle name="Normal 5 2 2 3 2 2 2 2 3 4 2" xfId="22495" xr:uid="{00000000-0005-0000-0000-00000B500000}"/>
    <cellStyle name="Normal 5 2 2 3 2 2 2 2 3 5" xfId="19478" xr:uid="{00000000-0005-0000-0000-00000C500000}"/>
    <cellStyle name="Normal 5 2 2 3 2 2 2 2 4" xfId="7561" xr:uid="{00000000-0005-0000-0000-00000D500000}"/>
    <cellStyle name="Normal 5 2 2 3 2 2 2 2 4 2" xfId="14824" xr:uid="{00000000-0005-0000-0000-00000E500000}"/>
    <cellStyle name="Normal 5 2 2 3 2 2 2 2 4 2 2" xfId="31139" xr:uid="{00000000-0005-0000-0000-00000F500000}"/>
    <cellStyle name="Normal 5 2 2 3 2 2 2 2 4 3" xfId="24174" xr:uid="{00000000-0005-0000-0000-000010500000}"/>
    <cellStyle name="Normal 5 2 2 3 2 2 2 2 5" xfId="10876" xr:uid="{00000000-0005-0000-0000-000011500000}"/>
    <cellStyle name="Normal 5 2 2 3 2 2 2 2 5 2" xfId="27474" xr:uid="{00000000-0005-0000-0000-000012500000}"/>
    <cellStyle name="Normal 5 2 2 3 2 2 2 2 6" xfId="4353" xr:uid="{00000000-0005-0000-0000-000013500000}"/>
    <cellStyle name="Normal 5 2 2 3 2 2 2 2 6 2" xfId="21076" xr:uid="{00000000-0005-0000-0000-000014500000}"/>
    <cellStyle name="Normal 5 2 2 3 2 2 2 2 7" xfId="18448" xr:uid="{00000000-0005-0000-0000-000015500000}"/>
    <cellStyle name="Normal 5 2 2 3 2 2 2 3" xfId="2753" xr:uid="{00000000-0005-0000-0000-000016500000}"/>
    <cellStyle name="Normal 5 2 2 3 2 2 2 3 2" xfId="6237" xr:uid="{00000000-0005-0000-0000-000017500000}"/>
    <cellStyle name="Normal 5 2 2 3 2 2 2 3 2 2" xfId="9588" xr:uid="{00000000-0005-0000-0000-000018500000}"/>
    <cellStyle name="Normal 5 2 2 3 2 2 2 3 2 2 2" xfId="16851" xr:uid="{00000000-0005-0000-0000-000019500000}"/>
    <cellStyle name="Normal 5 2 2 3 2 2 2 3 2 2 2 2" xfId="33166" xr:uid="{00000000-0005-0000-0000-00001A500000}"/>
    <cellStyle name="Normal 5 2 2 3 2 2 2 3 2 2 3" xfId="26201" xr:uid="{00000000-0005-0000-0000-00001B500000}"/>
    <cellStyle name="Normal 5 2 2 3 2 2 2 3 2 3" xfId="12930" xr:uid="{00000000-0005-0000-0000-00001C500000}"/>
    <cellStyle name="Normal 5 2 2 3 2 2 2 3 2 3 2" xfId="29505" xr:uid="{00000000-0005-0000-0000-00001D500000}"/>
    <cellStyle name="Normal 5 2 2 3 2 2 2 3 2 4" xfId="22901" xr:uid="{00000000-0005-0000-0000-00001E500000}"/>
    <cellStyle name="Normal 5 2 2 3 2 2 2 3 3" xfId="7967" xr:uid="{00000000-0005-0000-0000-00001F500000}"/>
    <cellStyle name="Normal 5 2 2 3 2 2 2 3 3 2" xfId="15230" xr:uid="{00000000-0005-0000-0000-000020500000}"/>
    <cellStyle name="Normal 5 2 2 3 2 2 2 3 3 2 2" xfId="31545" xr:uid="{00000000-0005-0000-0000-000021500000}"/>
    <cellStyle name="Normal 5 2 2 3 2 2 2 3 3 3" xfId="24580" xr:uid="{00000000-0005-0000-0000-000022500000}"/>
    <cellStyle name="Normal 5 2 2 3 2 2 2 3 4" xfId="11282" xr:uid="{00000000-0005-0000-0000-000023500000}"/>
    <cellStyle name="Normal 5 2 2 3 2 2 2 3 4 2" xfId="27880" xr:uid="{00000000-0005-0000-0000-000024500000}"/>
    <cellStyle name="Normal 5 2 2 3 2 2 2 3 5" xfId="4355" xr:uid="{00000000-0005-0000-0000-000025500000}"/>
    <cellStyle name="Normal 5 2 2 3 2 2 2 3 5 2" xfId="21078" xr:uid="{00000000-0005-0000-0000-000026500000}"/>
    <cellStyle name="Normal 5 2 2 3 2 2 2 3 6" xfId="19480" xr:uid="{00000000-0005-0000-0000-000027500000}"/>
    <cellStyle name="Normal 5 2 2 3 2 2 2 4" xfId="2750" xr:uid="{00000000-0005-0000-0000-000028500000}"/>
    <cellStyle name="Normal 5 2 2 3 2 2 2 4 2" xfId="8775" xr:uid="{00000000-0005-0000-0000-000029500000}"/>
    <cellStyle name="Normal 5 2 2 3 2 2 2 4 2 2" xfId="16038" xr:uid="{00000000-0005-0000-0000-00002A500000}"/>
    <cellStyle name="Normal 5 2 2 3 2 2 2 4 2 2 2" xfId="32353" xr:uid="{00000000-0005-0000-0000-00002B500000}"/>
    <cellStyle name="Normal 5 2 2 3 2 2 2 4 2 3" xfId="25388" xr:uid="{00000000-0005-0000-0000-00002C500000}"/>
    <cellStyle name="Normal 5 2 2 3 2 2 2 4 3" xfId="12117" xr:uid="{00000000-0005-0000-0000-00002D500000}"/>
    <cellStyle name="Normal 5 2 2 3 2 2 2 4 3 2" xfId="28692" xr:uid="{00000000-0005-0000-0000-00002E500000}"/>
    <cellStyle name="Normal 5 2 2 3 2 2 2 4 4" xfId="5424" xr:uid="{00000000-0005-0000-0000-00002F500000}"/>
    <cellStyle name="Normal 5 2 2 3 2 2 2 4 4 2" xfId="22088" xr:uid="{00000000-0005-0000-0000-000030500000}"/>
    <cellStyle name="Normal 5 2 2 3 2 2 2 4 5" xfId="19477" xr:uid="{00000000-0005-0000-0000-000031500000}"/>
    <cellStyle name="Normal 5 2 2 3 2 2 2 5" xfId="7155" xr:uid="{00000000-0005-0000-0000-000032500000}"/>
    <cellStyle name="Normal 5 2 2 3 2 2 2 5 2" xfId="14418" xr:uid="{00000000-0005-0000-0000-000033500000}"/>
    <cellStyle name="Normal 5 2 2 3 2 2 2 5 2 2" xfId="30733" xr:uid="{00000000-0005-0000-0000-000034500000}"/>
    <cellStyle name="Normal 5 2 2 3 2 2 2 5 3" xfId="23768" xr:uid="{00000000-0005-0000-0000-000035500000}"/>
    <cellStyle name="Normal 5 2 2 3 2 2 2 6" xfId="10470" xr:uid="{00000000-0005-0000-0000-000036500000}"/>
    <cellStyle name="Normal 5 2 2 3 2 2 2 6 2" xfId="27068" xr:uid="{00000000-0005-0000-0000-000037500000}"/>
    <cellStyle name="Normal 5 2 2 3 2 2 2 7" xfId="4352" xr:uid="{00000000-0005-0000-0000-000038500000}"/>
    <cellStyle name="Normal 5 2 2 3 2 2 2 7 2" xfId="21075" xr:uid="{00000000-0005-0000-0000-000039500000}"/>
    <cellStyle name="Normal 5 2 2 3 2 2 2 8" xfId="17929" xr:uid="{00000000-0005-0000-0000-00003A500000}"/>
    <cellStyle name="Normal 5 2 2 3 2 2 3" xfId="1610" xr:uid="{00000000-0005-0000-0000-00003B500000}"/>
    <cellStyle name="Normal 5 2 2 3 2 2 3 2" xfId="2755" xr:uid="{00000000-0005-0000-0000-00003C500000}"/>
    <cellStyle name="Normal 5 2 2 3 2 2 3 2 2" xfId="6431" xr:uid="{00000000-0005-0000-0000-00003D500000}"/>
    <cellStyle name="Normal 5 2 2 3 2 2 3 2 2 2" xfId="9782" xr:uid="{00000000-0005-0000-0000-00003E500000}"/>
    <cellStyle name="Normal 5 2 2 3 2 2 3 2 2 2 2" xfId="17045" xr:uid="{00000000-0005-0000-0000-00003F500000}"/>
    <cellStyle name="Normal 5 2 2 3 2 2 3 2 2 2 2 2" xfId="33360" xr:uid="{00000000-0005-0000-0000-000040500000}"/>
    <cellStyle name="Normal 5 2 2 3 2 2 3 2 2 2 3" xfId="26395" xr:uid="{00000000-0005-0000-0000-000041500000}"/>
    <cellStyle name="Normal 5 2 2 3 2 2 3 2 2 3" xfId="13124" xr:uid="{00000000-0005-0000-0000-000042500000}"/>
    <cellStyle name="Normal 5 2 2 3 2 2 3 2 2 3 2" xfId="29699" xr:uid="{00000000-0005-0000-0000-000043500000}"/>
    <cellStyle name="Normal 5 2 2 3 2 2 3 2 2 4" xfId="23095" xr:uid="{00000000-0005-0000-0000-000044500000}"/>
    <cellStyle name="Normal 5 2 2 3 2 2 3 2 3" xfId="8161" xr:uid="{00000000-0005-0000-0000-000045500000}"/>
    <cellStyle name="Normal 5 2 2 3 2 2 3 2 3 2" xfId="15424" xr:uid="{00000000-0005-0000-0000-000046500000}"/>
    <cellStyle name="Normal 5 2 2 3 2 2 3 2 3 2 2" xfId="31739" xr:uid="{00000000-0005-0000-0000-000047500000}"/>
    <cellStyle name="Normal 5 2 2 3 2 2 3 2 3 3" xfId="24774" xr:uid="{00000000-0005-0000-0000-000048500000}"/>
    <cellStyle name="Normal 5 2 2 3 2 2 3 2 4" xfId="11476" xr:uid="{00000000-0005-0000-0000-000049500000}"/>
    <cellStyle name="Normal 5 2 2 3 2 2 3 2 4 2" xfId="28074" xr:uid="{00000000-0005-0000-0000-00004A500000}"/>
    <cellStyle name="Normal 5 2 2 3 2 2 3 2 5" xfId="4357" xr:uid="{00000000-0005-0000-0000-00004B500000}"/>
    <cellStyle name="Normal 5 2 2 3 2 2 3 2 5 2" xfId="21080" xr:uid="{00000000-0005-0000-0000-00004C500000}"/>
    <cellStyle name="Normal 5 2 2 3 2 2 3 2 6" xfId="19482" xr:uid="{00000000-0005-0000-0000-00004D500000}"/>
    <cellStyle name="Normal 5 2 2 3 2 2 3 3" xfId="2754" xr:uid="{00000000-0005-0000-0000-00004E500000}"/>
    <cellStyle name="Normal 5 2 2 3 2 2 3 3 2" xfId="8970" xr:uid="{00000000-0005-0000-0000-00004F500000}"/>
    <cellStyle name="Normal 5 2 2 3 2 2 3 3 2 2" xfId="16233" xr:uid="{00000000-0005-0000-0000-000050500000}"/>
    <cellStyle name="Normal 5 2 2 3 2 2 3 3 2 2 2" xfId="32548" xr:uid="{00000000-0005-0000-0000-000051500000}"/>
    <cellStyle name="Normal 5 2 2 3 2 2 3 3 2 3" xfId="25583" xr:uid="{00000000-0005-0000-0000-000052500000}"/>
    <cellStyle name="Normal 5 2 2 3 2 2 3 3 3" xfId="12312" xr:uid="{00000000-0005-0000-0000-000053500000}"/>
    <cellStyle name="Normal 5 2 2 3 2 2 3 3 3 2" xfId="28887" xr:uid="{00000000-0005-0000-0000-000054500000}"/>
    <cellStyle name="Normal 5 2 2 3 2 2 3 3 4" xfId="5619" xr:uid="{00000000-0005-0000-0000-000055500000}"/>
    <cellStyle name="Normal 5 2 2 3 2 2 3 3 4 2" xfId="22283" xr:uid="{00000000-0005-0000-0000-000056500000}"/>
    <cellStyle name="Normal 5 2 2 3 2 2 3 3 5" xfId="19481" xr:uid="{00000000-0005-0000-0000-000057500000}"/>
    <cellStyle name="Normal 5 2 2 3 2 2 3 4" xfId="7349" xr:uid="{00000000-0005-0000-0000-000058500000}"/>
    <cellStyle name="Normal 5 2 2 3 2 2 3 4 2" xfId="14612" xr:uid="{00000000-0005-0000-0000-000059500000}"/>
    <cellStyle name="Normal 5 2 2 3 2 2 3 4 2 2" xfId="30927" xr:uid="{00000000-0005-0000-0000-00005A500000}"/>
    <cellStyle name="Normal 5 2 2 3 2 2 3 4 3" xfId="23962" xr:uid="{00000000-0005-0000-0000-00005B500000}"/>
    <cellStyle name="Normal 5 2 2 3 2 2 3 5" xfId="10664" xr:uid="{00000000-0005-0000-0000-00005C500000}"/>
    <cellStyle name="Normal 5 2 2 3 2 2 3 5 2" xfId="27262" xr:uid="{00000000-0005-0000-0000-00005D500000}"/>
    <cellStyle name="Normal 5 2 2 3 2 2 3 6" xfId="4356" xr:uid="{00000000-0005-0000-0000-00005E500000}"/>
    <cellStyle name="Normal 5 2 2 3 2 2 3 6 2" xfId="21079" xr:uid="{00000000-0005-0000-0000-00005F500000}"/>
    <cellStyle name="Normal 5 2 2 3 2 2 3 7" xfId="18345" xr:uid="{00000000-0005-0000-0000-000060500000}"/>
    <cellStyle name="Normal 5 2 2 3 2 2 4" xfId="2756" xr:uid="{00000000-0005-0000-0000-000061500000}"/>
    <cellStyle name="Normal 5 2 2 3 2 2 4 2" xfId="6025" xr:uid="{00000000-0005-0000-0000-000062500000}"/>
    <cellStyle name="Normal 5 2 2 3 2 2 4 2 2" xfId="9376" xr:uid="{00000000-0005-0000-0000-000063500000}"/>
    <cellStyle name="Normal 5 2 2 3 2 2 4 2 2 2" xfId="16639" xr:uid="{00000000-0005-0000-0000-000064500000}"/>
    <cellStyle name="Normal 5 2 2 3 2 2 4 2 2 2 2" xfId="32954" xr:uid="{00000000-0005-0000-0000-000065500000}"/>
    <cellStyle name="Normal 5 2 2 3 2 2 4 2 2 3" xfId="25989" xr:uid="{00000000-0005-0000-0000-000066500000}"/>
    <cellStyle name="Normal 5 2 2 3 2 2 4 2 3" xfId="12718" xr:uid="{00000000-0005-0000-0000-000067500000}"/>
    <cellStyle name="Normal 5 2 2 3 2 2 4 2 3 2" xfId="29293" xr:uid="{00000000-0005-0000-0000-000068500000}"/>
    <cellStyle name="Normal 5 2 2 3 2 2 4 2 4" xfId="22689" xr:uid="{00000000-0005-0000-0000-000069500000}"/>
    <cellStyle name="Normal 5 2 2 3 2 2 4 3" xfId="7755" xr:uid="{00000000-0005-0000-0000-00006A500000}"/>
    <cellStyle name="Normal 5 2 2 3 2 2 4 3 2" xfId="15018" xr:uid="{00000000-0005-0000-0000-00006B500000}"/>
    <cellStyle name="Normal 5 2 2 3 2 2 4 3 2 2" xfId="31333" xr:uid="{00000000-0005-0000-0000-00006C500000}"/>
    <cellStyle name="Normal 5 2 2 3 2 2 4 3 3" xfId="24368" xr:uid="{00000000-0005-0000-0000-00006D500000}"/>
    <cellStyle name="Normal 5 2 2 3 2 2 4 4" xfId="11070" xr:uid="{00000000-0005-0000-0000-00006E500000}"/>
    <cellStyle name="Normal 5 2 2 3 2 2 4 4 2" xfId="27668" xr:uid="{00000000-0005-0000-0000-00006F500000}"/>
    <cellStyle name="Normal 5 2 2 3 2 2 4 5" xfId="4358" xr:uid="{00000000-0005-0000-0000-000070500000}"/>
    <cellStyle name="Normal 5 2 2 3 2 2 4 5 2" xfId="21081" xr:uid="{00000000-0005-0000-0000-000071500000}"/>
    <cellStyle name="Normal 5 2 2 3 2 2 4 6" xfId="19483" xr:uid="{00000000-0005-0000-0000-000072500000}"/>
    <cellStyle name="Normal 5 2 2 3 2 2 5" xfId="2749" xr:uid="{00000000-0005-0000-0000-000073500000}"/>
    <cellStyle name="Normal 5 2 2 3 2 2 5 2" xfId="8671" xr:uid="{00000000-0005-0000-0000-000074500000}"/>
    <cellStyle name="Normal 5 2 2 3 2 2 5 2 2" xfId="15934" xr:uid="{00000000-0005-0000-0000-000075500000}"/>
    <cellStyle name="Normal 5 2 2 3 2 2 5 2 2 2" xfId="32249" xr:uid="{00000000-0005-0000-0000-000076500000}"/>
    <cellStyle name="Normal 5 2 2 3 2 2 5 2 3" xfId="25284" xr:uid="{00000000-0005-0000-0000-000077500000}"/>
    <cellStyle name="Normal 5 2 2 3 2 2 5 3" xfId="12013" xr:uid="{00000000-0005-0000-0000-000078500000}"/>
    <cellStyle name="Normal 5 2 2 3 2 2 5 3 2" xfId="28588" xr:uid="{00000000-0005-0000-0000-000079500000}"/>
    <cellStyle name="Normal 5 2 2 3 2 2 5 4" xfId="5320" xr:uid="{00000000-0005-0000-0000-00007A500000}"/>
    <cellStyle name="Normal 5 2 2 3 2 2 5 4 2" xfId="21984" xr:uid="{00000000-0005-0000-0000-00007B500000}"/>
    <cellStyle name="Normal 5 2 2 3 2 2 5 5" xfId="19476" xr:uid="{00000000-0005-0000-0000-00007C500000}"/>
    <cellStyle name="Normal 5 2 2 3 2 2 6" xfId="7052" xr:uid="{00000000-0005-0000-0000-00007D500000}"/>
    <cellStyle name="Normal 5 2 2 3 2 2 6 2" xfId="14315" xr:uid="{00000000-0005-0000-0000-00007E500000}"/>
    <cellStyle name="Normal 5 2 2 3 2 2 6 2 2" xfId="30630" xr:uid="{00000000-0005-0000-0000-00007F500000}"/>
    <cellStyle name="Normal 5 2 2 3 2 2 6 3" xfId="23665" xr:uid="{00000000-0005-0000-0000-000080500000}"/>
    <cellStyle name="Normal 5 2 2 3 2 2 7" xfId="10366" xr:uid="{00000000-0005-0000-0000-000081500000}"/>
    <cellStyle name="Normal 5 2 2 3 2 2 7 2" xfId="26965" xr:uid="{00000000-0005-0000-0000-000082500000}"/>
    <cellStyle name="Normal 5 2 2 3 2 2 8" xfId="4351" xr:uid="{00000000-0005-0000-0000-000083500000}"/>
    <cellStyle name="Normal 5 2 2 3 2 2 8 2" xfId="21074" xr:uid="{00000000-0005-0000-0000-000084500000}"/>
    <cellStyle name="Normal 5 2 2 3 2 2 9" xfId="17826" xr:uid="{00000000-0005-0000-0000-000085500000}"/>
    <cellStyle name="Normal 5 2 2 3 2 3" xfId="1191" xr:uid="{00000000-0005-0000-0000-000086500000}"/>
    <cellStyle name="Normal 5 2 2 3 2 3 2" xfId="1712" xr:uid="{00000000-0005-0000-0000-000087500000}"/>
    <cellStyle name="Normal 5 2 2 3 2 3 2 2" xfId="2759" xr:uid="{00000000-0005-0000-0000-000088500000}"/>
    <cellStyle name="Normal 5 2 2 3 2 3 2 2 2" xfId="6606" xr:uid="{00000000-0005-0000-0000-000089500000}"/>
    <cellStyle name="Normal 5 2 2 3 2 3 2 2 2 2" xfId="9957" xr:uid="{00000000-0005-0000-0000-00008A500000}"/>
    <cellStyle name="Normal 5 2 2 3 2 3 2 2 2 2 2" xfId="17220" xr:uid="{00000000-0005-0000-0000-00008B500000}"/>
    <cellStyle name="Normal 5 2 2 3 2 3 2 2 2 2 2 2" xfId="33535" xr:uid="{00000000-0005-0000-0000-00008C500000}"/>
    <cellStyle name="Normal 5 2 2 3 2 3 2 2 2 2 3" xfId="26570" xr:uid="{00000000-0005-0000-0000-00008D500000}"/>
    <cellStyle name="Normal 5 2 2 3 2 3 2 2 2 3" xfId="13299" xr:uid="{00000000-0005-0000-0000-00008E500000}"/>
    <cellStyle name="Normal 5 2 2 3 2 3 2 2 2 3 2" xfId="29874" xr:uid="{00000000-0005-0000-0000-00008F500000}"/>
    <cellStyle name="Normal 5 2 2 3 2 3 2 2 2 4" xfId="23270" xr:uid="{00000000-0005-0000-0000-000090500000}"/>
    <cellStyle name="Normal 5 2 2 3 2 3 2 2 3" xfId="8336" xr:uid="{00000000-0005-0000-0000-000091500000}"/>
    <cellStyle name="Normal 5 2 2 3 2 3 2 2 3 2" xfId="15599" xr:uid="{00000000-0005-0000-0000-000092500000}"/>
    <cellStyle name="Normal 5 2 2 3 2 3 2 2 3 2 2" xfId="31914" xr:uid="{00000000-0005-0000-0000-000093500000}"/>
    <cellStyle name="Normal 5 2 2 3 2 3 2 2 3 3" xfId="24949" xr:uid="{00000000-0005-0000-0000-000094500000}"/>
    <cellStyle name="Normal 5 2 2 3 2 3 2 2 4" xfId="11651" xr:uid="{00000000-0005-0000-0000-000095500000}"/>
    <cellStyle name="Normal 5 2 2 3 2 3 2 2 4 2" xfId="28249" xr:uid="{00000000-0005-0000-0000-000096500000}"/>
    <cellStyle name="Normal 5 2 2 3 2 3 2 2 5" xfId="4361" xr:uid="{00000000-0005-0000-0000-000097500000}"/>
    <cellStyle name="Normal 5 2 2 3 2 3 2 2 5 2" xfId="21084" xr:uid="{00000000-0005-0000-0000-000098500000}"/>
    <cellStyle name="Normal 5 2 2 3 2 3 2 2 6" xfId="19486" xr:uid="{00000000-0005-0000-0000-000099500000}"/>
    <cellStyle name="Normal 5 2 2 3 2 3 2 3" xfId="2758" xr:uid="{00000000-0005-0000-0000-00009A500000}"/>
    <cellStyle name="Normal 5 2 2 3 2 3 2 3 2" xfId="9181" xr:uid="{00000000-0005-0000-0000-00009B500000}"/>
    <cellStyle name="Normal 5 2 2 3 2 3 2 3 2 2" xfId="16444" xr:uid="{00000000-0005-0000-0000-00009C500000}"/>
    <cellStyle name="Normal 5 2 2 3 2 3 2 3 2 2 2" xfId="32759" xr:uid="{00000000-0005-0000-0000-00009D500000}"/>
    <cellStyle name="Normal 5 2 2 3 2 3 2 3 2 3" xfId="25794" xr:uid="{00000000-0005-0000-0000-00009E500000}"/>
    <cellStyle name="Normal 5 2 2 3 2 3 2 3 3" xfId="12523" xr:uid="{00000000-0005-0000-0000-00009F500000}"/>
    <cellStyle name="Normal 5 2 2 3 2 3 2 3 3 2" xfId="29098" xr:uid="{00000000-0005-0000-0000-0000A0500000}"/>
    <cellStyle name="Normal 5 2 2 3 2 3 2 3 4" xfId="5830" xr:uid="{00000000-0005-0000-0000-0000A1500000}"/>
    <cellStyle name="Normal 5 2 2 3 2 3 2 3 4 2" xfId="22494" xr:uid="{00000000-0005-0000-0000-0000A2500000}"/>
    <cellStyle name="Normal 5 2 2 3 2 3 2 3 5" xfId="19485" xr:uid="{00000000-0005-0000-0000-0000A3500000}"/>
    <cellStyle name="Normal 5 2 2 3 2 3 2 4" xfId="7560" xr:uid="{00000000-0005-0000-0000-0000A4500000}"/>
    <cellStyle name="Normal 5 2 2 3 2 3 2 4 2" xfId="14823" xr:uid="{00000000-0005-0000-0000-0000A5500000}"/>
    <cellStyle name="Normal 5 2 2 3 2 3 2 4 2 2" xfId="31138" xr:uid="{00000000-0005-0000-0000-0000A6500000}"/>
    <cellStyle name="Normal 5 2 2 3 2 3 2 4 3" xfId="24173" xr:uid="{00000000-0005-0000-0000-0000A7500000}"/>
    <cellStyle name="Normal 5 2 2 3 2 3 2 5" xfId="10875" xr:uid="{00000000-0005-0000-0000-0000A8500000}"/>
    <cellStyle name="Normal 5 2 2 3 2 3 2 5 2" xfId="27473" xr:uid="{00000000-0005-0000-0000-0000A9500000}"/>
    <cellStyle name="Normal 5 2 2 3 2 3 2 6" xfId="4360" xr:uid="{00000000-0005-0000-0000-0000AA500000}"/>
    <cellStyle name="Normal 5 2 2 3 2 3 2 6 2" xfId="21083" xr:uid="{00000000-0005-0000-0000-0000AB500000}"/>
    <cellStyle name="Normal 5 2 2 3 2 3 2 7" xfId="18447" xr:uid="{00000000-0005-0000-0000-0000AC500000}"/>
    <cellStyle name="Normal 5 2 2 3 2 3 3" xfId="2760" xr:uid="{00000000-0005-0000-0000-0000AD500000}"/>
    <cellStyle name="Normal 5 2 2 3 2 3 3 2" xfId="6236" xr:uid="{00000000-0005-0000-0000-0000AE500000}"/>
    <cellStyle name="Normal 5 2 2 3 2 3 3 2 2" xfId="9587" xr:uid="{00000000-0005-0000-0000-0000AF500000}"/>
    <cellStyle name="Normal 5 2 2 3 2 3 3 2 2 2" xfId="16850" xr:uid="{00000000-0005-0000-0000-0000B0500000}"/>
    <cellStyle name="Normal 5 2 2 3 2 3 3 2 2 2 2" xfId="33165" xr:uid="{00000000-0005-0000-0000-0000B1500000}"/>
    <cellStyle name="Normal 5 2 2 3 2 3 3 2 2 3" xfId="26200" xr:uid="{00000000-0005-0000-0000-0000B2500000}"/>
    <cellStyle name="Normal 5 2 2 3 2 3 3 2 3" xfId="12929" xr:uid="{00000000-0005-0000-0000-0000B3500000}"/>
    <cellStyle name="Normal 5 2 2 3 2 3 3 2 3 2" xfId="29504" xr:uid="{00000000-0005-0000-0000-0000B4500000}"/>
    <cellStyle name="Normal 5 2 2 3 2 3 3 2 4" xfId="22900" xr:uid="{00000000-0005-0000-0000-0000B5500000}"/>
    <cellStyle name="Normal 5 2 2 3 2 3 3 3" xfId="7966" xr:uid="{00000000-0005-0000-0000-0000B6500000}"/>
    <cellStyle name="Normal 5 2 2 3 2 3 3 3 2" xfId="15229" xr:uid="{00000000-0005-0000-0000-0000B7500000}"/>
    <cellStyle name="Normal 5 2 2 3 2 3 3 3 2 2" xfId="31544" xr:uid="{00000000-0005-0000-0000-0000B8500000}"/>
    <cellStyle name="Normal 5 2 2 3 2 3 3 3 3" xfId="24579" xr:uid="{00000000-0005-0000-0000-0000B9500000}"/>
    <cellStyle name="Normal 5 2 2 3 2 3 3 4" xfId="11281" xr:uid="{00000000-0005-0000-0000-0000BA500000}"/>
    <cellStyle name="Normal 5 2 2 3 2 3 3 4 2" xfId="27879" xr:uid="{00000000-0005-0000-0000-0000BB500000}"/>
    <cellStyle name="Normal 5 2 2 3 2 3 3 5" xfId="4362" xr:uid="{00000000-0005-0000-0000-0000BC500000}"/>
    <cellStyle name="Normal 5 2 2 3 2 3 3 5 2" xfId="21085" xr:uid="{00000000-0005-0000-0000-0000BD500000}"/>
    <cellStyle name="Normal 5 2 2 3 2 3 3 6" xfId="19487" xr:uid="{00000000-0005-0000-0000-0000BE500000}"/>
    <cellStyle name="Normal 5 2 2 3 2 3 4" xfId="2757" xr:uid="{00000000-0005-0000-0000-0000BF500000}"/>
    <cellStyle name="Normal 5 2 2 3 2 3 4 2" xfId="8774" xr:uid="{00000000-0005-0000-0000-0000C0500000}"/>
    <cellStyle name="Normal 5 2 2 3 2 3 4 2 2" xfId="16037" xr:uid="{00000000-0005-0000-0000-0000C1500000}"/>
    <cellStyle name="Normal 5 2 2 3 2 3 4 2 2 2" xfId="32352" xr:uid="{00000000-0005-0000-0000-0000C2500000}"/>
    <cellStyle name="Normal 5 2 2 3 2 3 4 2 3" xfId="25387" xr:uid="{00000000-0005-0000-0000-0000C3500000}"/>
    <cellStyle name="Normal 5 2 2 3 2 3 4 3" xfId="12116" xr:uid="{00000000-0005-0000-0000-0000C4500000}"/>
    <cellStyle name="Normal 5 2 2 3 2 3 4 3 2" xfId="28691" xr:uid="{00000000-0005-0000-0000-0000C5500000}"/>
    <cellStyle name="Normal 5 2 2 3 2 3 4 4" xfId="5423" xr:uid="{00000000-0005-0000-0000-0000C6500000}"/>
    <cellStyle name="Normal 5 2 2 3 2 3 4 4 2" xfId="22087" xr:uid="{00000000-0005-0000-0000-0000C7500000}"/>
    <cellStyle name="Normal 5 2 2 3 2 3 4 5" xfId="19484" xr:uid="{00000000-0005-0000-0000-0000C8500000}"/>
    <cellStyle name="Normal 5 2 2 3 2 3 5" xfId="7154" xr:uid="{00000000-0005-0000-0000-0000C9500000}"/>
    <cellStyle name="Normal 5 2 2 3 2 3 5 2" xfId="14417" xr:uid="{00000000-0005-0000-0000-0000CA500000}"/>
    <cellStyle name="Normal 5 2 2 3 2 3 5 2 2" xfId="30732" xr:uid="{00000000-0005-0000-0000-0000CB500000}"/>
    <cellStyle name="Normal 5 2 2 3 2 3 5 3" xfId="23767" xr:uid="{00000000-0005-0000-0000-0000CC500000}"/>
    <cellStyle name="Normal 5 2 2 3 2 3 6" xfId="10469" xr:uid="{00000000-0005-0000-0000-0000CD500000}"/>
    <cellStyle name="Normal 5 2 2 3 2 3 6 2" xfId="27067" xr:uid="{00000000-0005-0000-0000-0000CE500000}"/>
    <cellStyle name="Normal 5 2 2 3 2 3 7" xfId="4359" xr:uid="{00000000-0005-0000-0000-0000CF500000}"/>
    <cellStyle name="Normal 5 2 2 3 2 3 7 2" xfId="21082" xr:uid="{00000000-0005-0000-0000-0000D0500000}"/>
    <cellStyle name="Normal 5 2 2 3 2 3 8" xfId="17928" xr:uid="{00000000-0005-0000-0000-0000D1500000}"/>
    <cellStyle name="Normal 5 2 2 3 2 4" xfId="1504" xr:uid="{00000000-0005-0000-0000-0000D2500000}"/>
    <cellStyle name="Normal 5 2 2 3 2 4 2" xfId="2762" xr:uid="{00000000-0005-0000-0000-0000D3500000}"/>
    <cellStyle name="Normal 5 2 2 3 2 4 2 2" xfId="6430" xr:uid="{00000000-0005-0000-0000-0000D4500000}"/>
    <cellStyle name="Normal 5 2 2 3 2 4 2 2 2" xfId="9781" xr:uid="{00000000-0005-0000-0000-0000D5500000}"/>
    <cellStyle name="Normal 5 2 2 3 2 4 2 2 2 2" xfId="17044" xr:uid="{00000000-0005-0000-0000-0000D6500000}"/>
    <cellStyle name="Normal 5 2 2 3 2 4 2 2 2 2 2" xfId="33359" xr:uid="{00000000-0005-0000-0000-0000D7500000}"/>
    <cellStyle name="Normal 5 2 2 3 2 4 2 2 2 3" xfId="26394" xr:uid="{00000000-0005-0000-0000-0000D8500000}"/>
    <cellStyle name="Normal 5 2 2 3 2 4 2 2 3" xfId="13123" xr:uid="{00000000-0005-0000-0000-0000D9500000}"/>
    <cellStyle name="Normal 5 2 2 3 2 4 2 2 3 2" xfId="29698" xr:uid="{00000000-0005-0000-0000-0000DA500000}"/>
    <cellStyle name="Normal 5 2 2 3 2 4 2 2 4" xfId="23094" xr:uid="{00000000-0005-0000-0000-0000DB500000}"/>
    <cellStyle name="Normal 5 2 2 3 2 4 2 3" xfId="8160" xr:uid="{00000000-0005-0000-0000-0000DC500000}"/>
    <cellStyle name="Normal 5 2 2 3 2 4 2 3 2" xfId="15423" xr:uid="{00000000-0005-0000-0000-0000DD500000}"/>
    <cellStyle name="Normal 5 2 2 3 2 4 2 3 2 2" xfId="31738" xr:uid="{00000000-0005-0000-0000-0000DE500000}"/>
    <cellStyle name="Normal 5 2 2 3 2 4 2 3 3" xfId="24773" xr:uid="{00000000-0005-0000-0000-0000DF500000}"/>
    <cellStyle name="Normal 5 2 2 3 2 4 2 4" xfId="11475" xr:uid="{00000000-0005-0000-0000-0000E0500000}"/>
    <cellStyle name="Normal 5 2 2 3 2 4 2 4 2" xfId="28073" xr:uid="{00000000-0005-0000-0000-0000E1500000}"/>
    <cellStyle name="Normal 5 2 2 3 2 4 2 5" xfId="4364" xr:uid="{00000000-0005-0000-0000-0000E2500000}"/>
    <cellStyle name="Normal 5 2 2 3 2 4 2 5 2" xfId="21087" xr:uid="{00000000-0005-0000-0000-0000E3500000}"/>
    <cellStyle name="Normal 5 2 2 3 2 4 2 6" xfId="19489" xr:uid="{00000000-0005-0000-0000-0000E4500000}"/>
    <cellStyle name="Normal 5 2 2 3 2 4 3" xfId="2761" xr:uid="{00000000-0005-0000-0000-0000E5500000}"/>
    <cellStyle name="Normal 5 2 2 3 2 4 3 2" xfId="8969" xr:uid="{00000000-0005-0000-0000-0000E6500000}"/>
    <cellStyle name="Normal 5 2 2 3 2 4 3 2 2" xfId="16232" xr:uid="{00000000-0005-0000-0000-0000E7500000}"/>
    <cellStyle name="Normal 5 2 2 3 2 4 3 2 2 2" xfId="32547" xr:uid="{00000000-0005-0000-0000-0000E8500000}"/>
    <cellStyle name="Normal 5 2 2 3 2 4 3 2 3" xfId="25582" xr:uid="{00000000-0005-0000-0000-0000E9500000}"/>
    <cellStyle name="Normal 5 2 2 3 2 4 3 3" xfId="12311" xr:uid="{00000000-0005-0000-0000-0000EA500000}"/>
    <cellStyle name="Normal 5 2 2 3 2 4 3 3 2" xfId="28886" xr:uid="{00000000-0005-0000-0000-0000EB500000}"/>
    <cellStyle name="Normal 5 2 2 3 2 4 3 4" xfId="5618" xr:uid="{00000000-0005-0000-0000-0000EC500000}"/>
    <cellStyle name="Normal 5 2 2 3 2 4 3 4 2" xfId="22282" xr:uid="{00000000-0005-0000-0000-0000ED500000}"/>
    <cellStyle name="Normal 5 2 2 3 2 4 3 5" xfId="19488" xr:uid="{00000000-0005-0000-0000-0000EE500000}"/>
    <cellStyle name="Normal 5 2 2 3 2 4 4" xfId="7348" xr:uid="{00000000-0005-0000-0000-0000EF500000}"/>
    <cellStyle name="Normal 5 2 2 3 2 4 4 2" xfId="14611" xr:uid="{00000000-0005-0000-0000-0000F0500000}"/>
    <cellStyle name="Normal 5 2 2 3 2 4 4 2 2" xfId="30926" xr:uid="{00000000-0005-0000-0000-0000F1500000}"/>
    <cellStyle name="Normal 5 2 2 3 2 4 4 3" xfId="23961" xr:uid="{00000000-0005-0000-0000-0000F2500000}"/>
    <cellStyle name="Normal 5 2 2 3 2 4 5" xfId="10663" xr:uid="{00000000-0005-0000-0000-0000F3500000}"/>
    <cellStyle name="Normal 5 2 2 3 2 4 5 2" xfId="27261" xr:uid="{00000000-0005-0000-0000-0000F4500000}"/>
    <cellStyle name="Normal 5 2 2 3 2 4 6" xfId="4363" xr:uid="{00000000-0005-0000-0000-0000F5500000}"/>
    <cellStyle name="Normal 5 2 2 3 2 4 6 2" xfId="21086" xr:uid="{00000000-0005-0000-0000-0000F6500000}"/>
    <cellStyle name="Normal 5 2 2 3 2 4 7" xfId="18239" xr:uid="{00000000-0005-0000-0000-0000F7500000}"/>
    <cellStyle name="Normal 5 2 2 3 2 5" xfId="2763" xr:uid="{00000000-0005-0000-0000-0000F8500000}"/>
    <cellStyle name="Normal 5 2 2 3 2 5 2" xfId="6024" xr:uid="{00000000-0005-0000-0000-0000F9500000}"/>
    <cellStyle name="Normal 5 2 2 3 2 5 2 2" xfId="9375" xr:uid="{00000000-0005-0000-0000-0000FA500000}"/>
    <cellStyle name="Normal 5 2 2 3 2 5 2 2 2" xfId="16638" xr:uid="{00000000-0005-0000-0000-0000FB500000}"/>
    <cellStyle name="Normal 5 2 2 3 2 5 2 2 2 2" xfId="32953" xr:uid="{00000000-0005-0000-0000-0000FC500000}"/>
    <cellStyle name="Normal 5 2 2 3 2 5 2 2 3" xfId="25988" xr:uid="{00000000-0005-0000-0000-0000FD500000}"/>
    <cellStyle name="Normal 5 2 2 3 2 5 2 3" xfId="12717" xr:uid="{00000000-0005-0000-0000-0000FE500000}"/>
    <cellStyle name="Normal 5 2 2 3 2 5 2 3 2" xfId="29292" xr:uid="{00000000-0005-0000-0000-0000FF500000}"/>
    <cellStyle name="Normal 5 2 2 3 2 5 2 4" xfId="22688" xr:uid="{00000000-0005-0000-0000-000000510000}"/>
    <cellStyle name="Normal 5 2 2 3 2 5 3" xfId="7754" xr:uid="{00000000-0005-0000-0000-000001510000}"/>
    <cellStyle name="Normal 5 2 2 3 2 5 3 2" xfId="15017" xr:uid="{00000000-0005-0000-0000-000002510000}"/>
    <cellStyle name="Normal 5 2 2 3 2 5 3 2 2" xfId="31332" xr:uid="{00000000-0005-0000-0000-000003510000}"/>
    <cellStyle name="Normal 5 2 2 3 2 5 3 3" xfId="24367" xr:uid="{00000000-0005-0000-0000-000004510000}"/>
    <cellStyle name="Normal 5 2 2 3 2 5 4" xfId="11069" xr:uid="{00000000-0005-0000-0000-000005510000}"/>
    <cellStyle name="Normal 5 2 2 3 2 5 4 2" xfId="27667" xr:uid="{00000000-0005-0000-0000-000006510000}"/>
    <cellStyle name="Normal 5 2 2 3 2 5 5" xfId="4365" xr:uid="{00000000-0005-0000-0000-000007510000}"/>
    <cellStyle name="Normal 5 2 2 3 2 5 5 2" xfId="21088" xr:uid="{00000000-0005-0000-0000-000008510000}"/>
    <cellStyle name="Normal 5 2 2 3 2 5 6" xfId="19490" xr:uid="{00000000-0005-0000-0000-000009510000}"/>
    <cellStyle name="Normal 5 2 2 3 2 6" xfId="2748" xr:uid="{00000000-0005-0000-0000-00000A510000}"/>
    <cellStyle name="Normal 5 2 2 3 2 6 2" xfId="8565" xr:uid="{00000000-0005-0000-0000-00000B510000}"/>
    <cellStyle name="Normal 5 2 2 3 2 6 2 2" xfId="15828" xr:uid="{00000000-0005-0000-0000-00000C510000}"/>
    <cellStyle name="Normal 5 2 2 3 2 6 2 2 2" xfId="32143" xr:uid="{00000000-0005-0000-0000-00000D510000}"/>
    <cellStyle name="Normal 5 2 2 3 2 6 2 3" xfId="25178" xr:uid="{00000000-0005-0000-0000-00000E510000}"/>
    <cellStyle name="Normal 5 2 2 3 2 6 3" xfId="11907" xr:uid="{00000000-0005-0000-0000-00000F510000}"/>
    <cellStyle name="Normal 5 2 2 3 2 6 3 2" xfId="28482" xr:uid="{00000000-0005-0000-0000-000010510000}"/>
    <cellStyle name="Normal 5 2 2 3 2 6 4" xfId="5214" xr:uid="{00000000-0005-0000-0000-000011510000}"/>
    <cellStyle name="Normal 5 2 2 3 2 6 4 2" xfId="21878" xr:uid="{00000000-0005-0000-0000-000012510000}"/>
    <cellStyle name="Normal 5 2 2 3 2 6 5" xfId="19475" xr:uid="{00000000-0005-0000-0000-000013510000}"/>
    <cellStyle name="Normal 5 2 2 3 2 7" xfId="6946" xr:uid="{00000000-0005-0000-0000-000014510000}"/>
    <cellStyle name="Normal 5 2 2 3 2 7 2" xfId="14209" xr:uid="{00000000-0005-0000-0000-000015510000}"/>
    <cellStyle name="Normal 5 2 2 3 2 7 2 2" xfId="30524" xr:uid="{00000000-0005-0000-0000-000016510000}"/>
    <cellStyle name="Normal 5 2 2 3 2 7 3" xfId="23559" xr:uid="{00000000-0005-0000-0000-000017510000}"/>
    <cellStyle name="Normal 5 2 2 3 2 8" xfId="10260" xr:uid="{00000000-0005-0000-0000-000018510000}"/>
    <cellStyle name="Normal 5 2 2 3 2 8 2" xfId="26859" xr:uid="{00000000-0005-0000-0000-000019510000}"/>
    <cellStyle name="Normal 5 2 2 3 2 9" xfId="4350" xr:uid="{00000000-0005-0000-0000-00001A510000}"/>
    <cellStyle name="Normal 5 2 2 3 2 9 2" xfId="21073" xr:uid="{00000000-0005-0000-0000-00001B510000}"/>
    <cellStyle name="Normal 5 2 2 3 3" xfId="996" xr:uid="{00000000-0005-0000-0000-00001C510000}"/>
    <cellStyle name="Normal 5 2 2 3 3 2" xfId="1193" xr:uid="{00000000-0005-0000-0000-00001D510000}"/>
    <cellStyle name="Normal 5 2 2 3 3 2 2" xfId="1714" xr:uid="{00000000-0005-0000-0000-00001E510000}"/>
    <cellStyle name="Normal 5 2 2 3 3 2 2 2" xfId="2767" xr:uid="{00000000-0005-0000-0000-00001F510000}"/>
    <cellStyle name="Normal 5 2 2 3 3 2 2 2 2" xfId="6608" xr:uid="{00000000-0005-0000-0000-000020510000}"/>
    <cellStyle name="Normal 5 2 2 3 3 2 2 2 2 2" xfId="9959" xr:uid="{00000000-0005-0000-0000-000021510000}"/>
    <cellStyle name="Normal 5 2 2 3 3 2 2 2 2 2 2" xfId="17222" xr:uid="{00000000-0005-0000-0000-000022510000}"/>
    <cellStyle name="Normal 5 2 2 3 3 2 2 2 2 2 2 2" xfId="33537" xr:uid="{00000000-0005-0000-0000-000023510000}"/>
    <cellStyle name="Normal 5 2 2 3 3 2 2 2 2 2 3" xfId="26572" xr:uid="{00000000-0005-0000-0000-000024510000}"/>
    <cellStyle name="Normal 5 2 2 3 3 2 2 2 2 3" xfId="13301" xr:uid="{00000000-0005-0000-0000-000025510000}"/>
    <cellStyle name="Normal 5 2 2 3 3 2 2 2 2 3 2" xfId="29876" xr:uid="{00000000-0005-0000-0000-000026510000}"/>
    <cellStyle name="Normal 5 2 2 3 3 2 2 2 2 4" xfId="23272" xr:uid="{00000000-0005-0000-0000-000027510000}"/>
    <cellStyle name="Normal 5 2 2 3 3 2 2 2 3" xfId="8338" xr:uid="{00000000-0005-0000-0000-000028510000}"/>
    <cellStyle name="Normal 5 2 2 3 3 2 2 2 3 2" xfId="15601" xr:uid="{00000000-0005-0000-0000-000029510000}"/>
    <cellStyle name="Normal 5 2 2 3 3 2 2 2 3 2 2" xfId="31916" xr:uid="{00000000-0005-0000-0000-00002A510000}"/>
    <cellStyle name="Normal 5 2 2 3 3 2 2 2 3 3" xfId="24951" xr:uid="{00000000-0005-0000-0000-00002B510000}"/>
    <cellStyle name="Normal 5 2 2 3 3 2 2 2 4" xfId="11653" xr:uid="{00000000-0005-0000-0000-00002C510000}"/>
    <cellStyle name="Normal 5 2 2 3 3 2 2 2 4 2" xfId="28251" xr:uid="{00000000-0005-0000-0000-00002D510000}"/>
    <cellStyle name="Normal 5 2 2 3 3 2 2 2 5" xfId="4369" xr:uid="{00000000-0005-0000-0000-00002E510000}"/>
    <cellStyle name="Normal 5 2 2 3 3 2 2 2 5 2" xfId="21092" xr:uid="{00000000-0005-0000-0000-00002F510000}"/>
    <cellStyle name="Normal 5 2 2 3 3 2 2 2 6" xfId="19494" xr:uid="{00000000-0005-0000-0000-000030510000}"/>
    <cellStyle name="Normal 5 2 2 3 3 2 2 3" xfId="2766" xr:uid="{00000000-0005-0000-0000-000031510000}"/>
    <cellStyle name="Normal 5 2 2 3 3 2 2 3 2" xfId="9183" xr:uid="{00000000-0005-0000-0000-000032510000}"/>
    <cellStyle name="Normal 5 2 2 3 3 2 2 3 2 2" xfId="16446" xr:uid="{00000000-0005-0000-0000-000033510000}"/>
    <cellStyle name="Normal 5 2 2 3 3 2 2 3 2 2 2" xfId="32761" xr:uid="{00000000-0005-0000-0000-000034510000}"/>
    <cellStyle name="Normal 5 2 2 3 3 2 2 3 2 3" xfId="25796" xr:uid="{00000000-0005-0000-0000-000035510000}"/>
    <cellStyle name="Normal 5 2 2 3 3 2 2 3 3" xfId="12525" xr:uid="{00000000-0005-0000-0000-000036510000}"/>
    <cellStyle name="Normal 5 2 2 3 3 2 2 3 3 2" xfId="29100" xr:uid="{00000000-0005-0000-0000-000037510000}"/>
    <cellStyle name="Normal 5 2 2 3 3 2 2 3 4" xfId="5832" xr:uid="{00000000-0005-0000-0000-000038510000}"/>
    <cellStyle name="Normal 5 2 2 3 3 2 2 3 4 2" xfId="22496" xr:uid="{00000000-0005-0000-0000-000039510000}"/>
    <cellStyle name="Normal 5 2 2 3 3 2 2 3 5" xfId="19493" xr:uid="{00000000-0005-0000-0000-00003A510000}"/>
    <cellStyle name="Normal 5 2 2 3 3 2 2 4" xfId="7562" xr:uid="{00000000-0005-0000-0000-00003B510000}"/>
    <cellStyle name="Normal 5 2 2 3 3 2 2 4 2" xfId="14825" xr:uid="{00000000-0005-0000-0000-00003C510000}"/>
    <cellStyle name="Normal 5 2 2 3 3 2 2 4 2 2" xfId="31140" xr:uid="{00000000-0005-0000-0000-00003D510000}"/>
    <cellStyle name="Normal 5 2 2 3 3 2 2 4 3" xfId="24175" xr:uid="{00000000-0005-0000-0000-00003E510000}"/>
    <cellStyle name="Normal 5 2 2 3 3 2 2 5" xfId="10877" xr:uid="{00000000-0005-0000-0000-00003F510000}"/>
    <cellStyle name="Normal 5 2 2 3 3 2 2 5 2" xfId="27475" xr:uid="{00000000-0005-0000-0000-000040510000}"/>
    <cellStyle name="Normal 5 2 2 3 3 2 2 6" xfId="4368" xr:uid="{00000000-0005-0000-0000-000041510000}"/>
    <cellStyle name="Normal 5 2 2 3 3 2 2 6 2" xfId="21091" xr:uid="{00000000-0005-0000-0000-000042510000}"/>
    <cellStyle name="Normal 5 2 2 3 3 2 2 7" xfId="18449" xr:uid="{00000000-0005-0000-0000-000043510000}"/>
    <cellStyle name="Normal 5 2 2 3 3 2 3" xfId="2768" xr:uid="{00000000-0005-0000-0000-000044510000}"/>
    <cellStyle name="Normal 5 2 2 3 3 2 3 2" xfId="6238" xr:uid="{00000000-0005-0000-0000-000045510000}"/>
    <cellStyle name="Normal 5 2 2 3 3 2 3 2 2" xfId="9589" xr:uid="{00000000-0005-0000-0000-000046510000}"/>
    <cellStyle name="Normal 5 2 2 3 3 2 3 2 2 2" xfId="16852" xr:uid="{00000000-0005-0000-0000-000047510000}"/>
    <cellStyle name="Normal 5 2 2 3 3 2 3 2 2 2 2" xfId="33167" xr:uid="{00000000-0005-0000-0000-000048510000}"/>
    <cellStyle name="Normal 5 2 2 3 3 2 3 2 2 3" xfId="26202" xr:uid="{00000000-0005-0000-0000-000049510000}"/>
    <cellStyle name="Normal 5 2 2 3 3 2 3 2 3" xfId="12931" xr:uid="{00000000-0005-0000-0000-00004A510000}"/>
    <cellStyle name="Normal 5 2 2 3 3 2 3 2 3 2" xfId="29506" xr:uid="{00000000-0005-0000-0000-00004B510000}"/>
    <cellStyle name="Normal 5 2 2 3 3 2 3 2 4" xfId="22902" xr:uid="{00000000-0005-0000-0000-00004C510000}"/>
    <cellStyle name="Normal 5 2 2 3 3 2 3 3" xfId="7968" xr:uid="{00000000-0005-0000-0000-00004D510000}"/>
    <cellStyle name="Normal 5 2 2 3 3 2 3 3 2" xfId="15231" xr:uid="{00000000-0005-0000-0000-00004E510000}"/>
    <cellStyle name="Normal 5 2 2 3 3 2 3 3 2 2" xfId="31546" xr:uid="{00000000-0005-0000-0000-00004F510000}"/>
    <cellStyle name="Normal 5 2 2 3 3 2 3 3 3" xfId="24581" xr:uid="{00000000-0005-0000-0000-000050510000}"/>
    <cellStyle name="Normal 5 2 2 3 3 2 3 4" xfId="11283" xr:uid="{00000000-0005-0000-0000-000051510000}"/>
    <cellStyle name="Normal 5 2 2 3 3 2 3 4 2" xfId="27881" xr:uid="{00000000-0005-0000-0000-000052510000}"/>
    <cellStyle name="Normal 5 2 2 3 3 2 3 5" xfId="4370" xr:uid="{00000000-0005-0000-0000-000053510000}"/>
    <cellStyle name="Normal 5 2 2 3 3 2 3 5 2" xfId="21093" xr:uid="{00000000-0005-0000-0000-000054510000}"/>
    <cellStyle name="Normal 5 2 2 3 3 2 3 6" xfId="19495" xr:uid="{00000000-0005-0000-0000-000055510000}"/>
    <cellStyle name="Normal 5 2 2 3 3 2 4" xfId="2765" xr:uid="{00000000-0005-0000-0000-000056510000}"/>
    <cellStyle name="Normal 5 2 2 3 3 2 4 2" xfId="8776" xr:uid="{00000000-0005-0000-0000-000057510000}"/>
    <cellStyle name="Normal 5 2 2 3 3 2 4 2 2" xfId="16039" xr:uid="{00000000-0005-0000-0000-000058510000}"/>
    <cellStyle name="Normal 5 2 2 3 3 2 4 2 2 2" xfId="32354" xr:uid="{00000000-0005-0000-0000-000059510000}"/>
    <cellStyle name="Normal 5 2 2 3 3 2 4 2 3" xfId="25389" xr:uid="{00000000-0005-0000-0000-00005A510000}"/>
    <cellStyle name="Normal 5 2 2 3 3 2 4 3" xfId="12118" xr:uid="{00000000-0005-0000-0000-00005B510000}"/>
    <cellStyle name="Normal 5 2 2 3 3 2 4 3 2" xfId="28693" xr:uid="{00000000-0005-0000-0000-00005C510000}"/>
    <cellStyle name="Normal 5 2 2 3 3 2 4 4" xfId="5425" xr:uid="{00000000-0005-0000-0000-00005D510000}"/>
    <cellStyle name="Normal 5 2 2 3 3 2 4 4 2" xfId="22089" xr:uid="{00000000-0005-0000-0000-00005E510000}"/>
    <cellStyle name="Normal 5 2 2 3 3 2 4 5" xfId="19492" xr:uid="{00000000-0005-0000-0000-00005F510000}"/>
    <cellStyle name="Normal 5 2 2 3 3 2 5" xfId="7156" xr:uid="{00000000-0005-0000-0000-000060510000}"/>
    <cellStyle name="Normal 5 2 2 3 3 2 5 2" xfId="14419" xr:uid="{00000000-0005-0000-0000-000061510000}"/>
    <cellStyle name="Normal 5 2 2 3 3 2 5 2 2" xfId="30734" xr:uid="{00000000-0005-0000-0000-000062510000}"/>
    <cellStyle name="Normal 5 2 2 3 3 2 5 3" xfId="23769" xr:uid="{00000000-0005-0000-0000-000063510000}"/>
    <cellStyle name="Normal 5 2 2 3 3 2 6" xfId="10471" xr:uid="{00000000-0005-0000-0000-000064510000}"/>
    <cellStyle name="Normal 5 2 2 3 3 2 6 2" xfId="27069" xr:uid="{00000000-0005-0000-0000-000065510000}"/>
    <cellStyle name="Normal 5 2 2 3 3 2 7" xfId="4367" xr:uid="{00000000-0005-0000-0000-000066510000}"/>
    <cellStyle name="Normal 5 2 2 3 3 2 7 2" xfId="21090" xr:uid="{00000000-0005-0000-0000-000067510000}"/>
    <cellStyle name="Normal 5 2 2 3 3 2 8" xfId="17930" xr:uid="{00000000-0005-0000-0000-000068510000}"/>
    <cellStyle name="Normal 5 2 2 3 3 3" xfId="1557" xr:uid="{00000000-0005-0000-0000-000069510000}"/>
    <cellStyle name="Normal 5 2 2 3 3 3 2" xfId="2770" xr:uid="{00000000-0005-0000-0000-00006A510000}"/>
    <cellStyle name="Normal 5 2 2 3 3 3 2 2" xfId="6432" xr:uid="{00000000-0005-0000-0000-00006B510000}"/>
    <cellStyle name="Normal 5 2 2 3 3 3 2 2 2" xfId="9783" xr:uid="{00000000-0005-0000-0000-00006C510000}"/>
    <cellStyle name="Normal 5 2 2 3 3 3 2 2 2 2" xfId="17046" xr:uid="{00000000-0005-0000-0000-00006D510000}"/>
    <cellStyle name="Normal 5 2 2 3 3 3 2 2 2 2 2" xfId="33361" xr:uid="{00000000-0005-0000-0000-00006E510000}"/>
    <cellStyle name="Normal 5 2 2 3 3 3 2 2 2 3" xfId="26396" xr:uid="{00000000-0005-0000-0000-00006F510000}"/>
    <cellStyle name="Normal 5 2 2 3 3 3 2 2 3" xfId="13125" xr:uid="{00000000-0005-0000-0000-000070510000}"/>
    <cellStyle name="Normal 5 2 2 3 3 3 2 2 3 2" xfId="29700" xr:uid="{00000000-0005-0000-0000-000071510000}"/>
    <cellStyle name="Normal 5 2 2 3 3 3 2 2 4" xfId="23096" xr:uid="{00000000-0005-0000-0000-000072510000}"/>
    <cellStyle name="Normal 5 2 2 3 3 3 2 3" xfId="8162" xr:uid="{00000000-0005-0000-0000-000073510000}"/>
    <cellStyle name="Normal 5 2 2 3 3 3 2 3 2" xfId="15425" xr:uid="{00000000-0005-0000-0000-000074510000}"/>
    <cellStyle name="Normal 5 2 2 3 3 3 2 3 2 2" xfId="31740" xr:uid="{00000000-0005-0000-0000-000075510000}"/>
    <cellStyle name="Normal 5 2 2 3 3 3 2 3 3" xfId="24775" xr:uid="{00000000-0005-0000-0000-000076510000}"/>
    <cellStyle name="Normal 5 2 2 3 3 3 2 4" xfId="11477" xr:uid="{00000000-0005-0000-0000-000077510000}"/>
    <cellStyle name="Normal 5 2 2 3 3 3 2 4 2" xfId="28075" xr:uid="{00000000-0005-0000-0000-000078510000}"/>
    <cellStyle name="Normal 5 2 2 3 3 3 2 5" xfId="4372" xr:uid="{00000000-0005-0000-0000-000079510000}"/>
    <cellStyle name="Normal 5 2 2 3 3 3 2 5 2" xfId="21095" xr:uid="{00000000-0005-0000-0000-00007A510000}"/>
    <cellStyle name="Normal 5 2 2 3 3 3 2 6" xfId="19497" xr:uid="{00000000-0005-0000-0000-00007B510000}"/>
    <cellStyle name="Normal 5 2 2 3 3 3 3" xfId="2769" xr:uid="{00000000-0005-0000-0000-00007C510000}"/>
    <cellStyle name="Normal 5 2 2 3 3 3 3 2" xfId="8971" xr:uid="{00000000-0005-0000-0000-00007D510000}"/>
    <cellStyle name="Normal 5 2 2 3 3 3 3 2 2" xfId="16234" xr:uid="{00000000-0005-0000-0000-00007E510000}"/>
    <cellStyle name="Normal 5 2 2 3 3 3 3 2 2 2" xfId="32549" xr:uid="{00000000-0005-0000-0000-00007F510000}"/>
    <cellStyle name="Normal 5 2 2 3 3 3 3 2 3" xfId="25584" xr:uid="{00000000-0005-0000-0000-000080510000}"/>
    <cellStyle name="Normal 5 2 2 3 3 3 3 3" xfId="12313" xr:uid="{00000000-0005-0000-0000-000081510000}"/>
    <cellStyle name="Normal 5 2 2 3 3 3 3 3 2" xfId="28888" xr:uid="{00000000-0005-0000-0000-000082510000}"/>
    <cellStyle name="Normal 5 2 2 3 3 3 3 4" xfId="5620" xr:uid="{00000000-0005-0000-0000-000083510000}"/>
    <cellStyle name="Normal 5 2 2 3 3 3 3 4 2" xfId="22284" xr:uid="{00000000-0005-0000-0000-000084510000}"/>
    <cellStyle name="Normal 5 2 2 3 3 3 3 5" xfId="19496" xr:uid="{00000000-0005-0000-0000-000085510000}"/>
    <cellStyle name="Normal 5 2 2 3 3 3 4" xfId="7350" xr:uid="{00000000-0005-0000-0000-000086510000}"/>
    <cellStyle name="Normal 5 2 2 3 3 3 4 2" xfId="14613" xr:uid="{00000000-0005-0000-0000-000087510000}"/>
    <cellStyle name="Normal 5 2 2 3 3 3 4 2 2" xfId="30928" xr:uid="{00000000-0005-0000-0000-000088510000}"/>
    <cellStyle name="Normal 5 2 2 3 3 3 4 3" xfId="23963" xr:uid="{00000000-0005-0000-0000-000089510000}"/>
    <cellStyle name="Normal 5 2 2 3 3 3 5" xfId="10665" xr:uid="{00000000-0005-0000-0000-00008A510000}"/>
    <cellStyle name="Normal 5 2 2 3 3 3 5 2" xfId="27263" xr:uid="{00000000-0005-0000-0000-00008B510000}"/>
    <cellStyle name="Normal 5 2 2 3 3 3 6" xfId="4371" xr:uid="{00000000-0005-0000-0000-00008C510000}"/>
    <cellStyle name="Normal 5 2 2 3 3 3 6 2" xfId="21094" xr:uid="{00000000-0005-0000-0000-00008D510000}"/>
    <cellStyle name="Normal 5 2 2 3 3 3 7" xfId="18292" xr:uid="{00000000-0005-0000-0000-00008E510000}"/>
    <cellStyle name="Normal 5 2 2 3 3 4" xfId="2771" xr:uid="{00000000-0005-0000-0000-00008F510000}"/>
    <cellStyle name="Normal 5 2 2 3 3 4 2" xfId="6026" xr:uid="{00000000-0005-0000-0000-000090510000}"/>
    <cellStyle name="Normal 5 2 2 3 3 4 2 2" xfId="9377" xr:uid="{00000000-0005-0000-0000-000091510000}"/>
    <cellStyle name="Normal 5 2 2 3 3 4 2 2 2" xfId="16640" xr:uid="{00000000-0005-0000-0000-000092510000}"/>
    <cellStyle name="Normal 5 2 2 3 3 4 2 2 2 2" xfId="32955" xr:uid="{00000000-0005-0000-0000-000093510000}"/>
    <cellStyle name="Normal 5 2 2 3 3 4 2 2 3" xfId="25990" xr:uid="{00000000-0005-0000-0000-000094510000}"/>
    <cellStyle name="Normal 5 2 2 3 3 4 2 3" xfId="12719" xr:uid="{00000000-0005-0000-0000-000095510000}"/>
    <cellStyle name="Normal 5 2 2 3 3 4 2 3 2" xfId="29294" xr:uid="{00000000-0005-0000-0000-000096510000}"/>
    <cellStyle name="Normal 5 2 2 3 3 4 2 4" xfId="22690" xr:uid="{00000000-0005-0000-0000-000097510000}"/>
    <cellStyle name="Normal 5 2 2 3 3 4 3" xfId="7756" xr:uid="{00000000-0005-0000-0000-000098510000}"/>
    <cellStyle name="Normal 5 2 2 3 3 4 3 2" xfId="15019" xr:uid="{00000000-0005-0000-0000-000099510000}"/>
    <cellStyle name="Normal 5 2 2 3 3 4 3 2 2" xfId="31334" xr:uid="{00000000-0005-0000-0000-00009A510000}"/>
    <cellStyle name="Normal 5 2 2 3 3 4 3 3" xfId="24369" xr:uid="{00000000-0005-0000-0000-00009B510000}"/>
    <cellStyle name="Normal 5 2 2 3 3 4 4" xfId="11071" xr:uid="{00000000-0005-0000-0000-00009C510000}"/>
    <cellStyle name="Normal 5 2 2 3 3 4 4 2" xfId="27669" xr:uid="{00000000-0005-0000-0000-00009D510000}"/>
    <cellStyle name="Normal 5 2 2 3 3 4 5" xfId="4373" xr:uid="{00000000-0005-0000-0000-00009E510000}"/>
    <cellStyle name="Normal 5 2 2 3 3 4 5 2" xfId="21096" xr:uid="{00000000-0005-0000-0000-00009F510000}"/>
    <cellStyle name="Normal 5 2 2 3 3 4 6" xfId="19498" xr:uid="{00000000-0005-0000-0000-0000A0510000}"/>
    <cellStyle name="Normal 5 2 2 3 3 5" xfId="2764" xr:uid="{00000000-0005-0000-0000-0000A1510000}"/>
    <cellStyle name="Normal 5 2 2 3 3 5 2" xfId="8618" xr:uid="{00000000-0005-0000-0000-0000A2510000}"/>
    <cellStyle name="Normal 5 2 2 3 3 5 2 2" xfId="15881" xr:uid="{00000000-0005-0000-0000-0000A3510000}"/>
    <cellStyle name="Normal 5 2 2 3 3 5 2 2 2" xfId="32196" xr:uid="{00000000-0005-0000-0000-0000A4510000}"/>
    <cellStyle name="Normal 5 2 2 3 3 5 2 3" xfId="25231" xr:uid="{00000000-0005-0000-0000-0000A5510000}"/>
    <cellStyle name="Normal 5 2 2 3 3 5 3" xfId="11960" xr:uid="{00000000-0005-0000-0000-0000A6510000}"/>
    <cellStyle name="Normal 5 2 2 3 3 5 3 2" xfId="28535" xr:uid="{00000000-0005-0000-0000-0000A7510000}"/>
    <cellStyle name="Normal 5 2 2 3 3 5 4" xfId="5267" xr:uid="{00000000-0005-0000-0000-0000A8510000}"/>
    <cellStyle name="Normal 5 2 2 3 3 5 4 2" xfId="21931" xr:uid="{00000000-0005-0000-0000-0000A9510000}"/>
    <cellStyle name="Normal 5 2 2 3 3 5 5" xfId="19491" xr:uid="{00000000-0005-0000-0000-0000AA510000}"/>
    <cellStyle name="Normal 5 2 2 3 3 6" xfId="6999" xr:uid="{00000000-0005-0000-0000-0000AB510000}"/>
    <cellStyle name="Normal 5 2 2 3 3 6 2" xfId="14262" xr:uid="{00000000-0005-0000-0000-0000AC510000}"/>
    <cellStyle name="Normal 5 2 2 3 3 6 2 2" xfId="30577" xr:uid="{00000000-0005-0000-0000-0000AD510000}"/>
    <cellStyle name="Normal 5 2 2 3 3 6 3" xfId="23612" xr:uid="{00000000-0005-0000-0000-0000AE510000}"/>
    <cellStyle name="Normal 5 2 2 3 3 7" xfId="10313" xr:uid="{00000000-0005-0000-0000-0000AF510000}"/>
    <cellStyle name="Normal 5 2 2 3 3 7 2" xfId="26912" xr:uid="{00000000-0005-0000-0000-0000B0510000}"/>
    <cellStyle name="Normal 5 2 2 3 3 8" xfId="4366" xr:uid="{00000000-0005-0000-0000-0000B1510000}"/>
    <cellStyle name="Normal 5 2 2 3 3 8 2" xfId="21089" xr:uid="{00000000-0005-0000-0000-0000B2510000}"/>
    <cellStyle name="Normal 5 2 2 3 3 9" xfId="17773" xr:uid="{00000000-0005-0000-0000-0000B3510000}"/>
    <cellStyle name="Normal 5 2 2 3 4" xfId="1190" xr:uid="{00000000-0005-0000-0000-0000B4510000}"/>
    <cellStyle name="Normal 5 2 2 3 4 2" xfId="1711" xr:uid="{00000000-0005-0000-0000-0000B5510000}"/>
    <cellStyle name="Normal 5 2 2 3 4 2 2" xfId="2774" xr:uid="{00000000-0005-0000-0000-0000B6510000}"/>
    <cellStyle name="Normal 5 2 2 3 4 2 2 2" xfId="6605" xr:uid="{00000000-0005-0000-0000-0000B7510000}"/>
    <cellStyle name="Normal 5 2 2 3 4 2 2 2 2" xfId="9956" xr:uid="{00000000-0005-0000-0000-0000B8510000}"/>
    <cellStyle name="Normal 5 2 2 3 4 2 2 2 2 2" xfId="17219" xr:uid="{00000000-0005-0000-0000-0000B9510000}"/>
    <cellStyle name="Normal 5 2 2 3 4 2 2 2 2 2 2" xfId="33534" xr:uid="{00000000-0005-0000-0000-0000BA510000}"/>
    <cellStyle name="Normal 5 2 2 3 4 2 2 2 2 3" xfId="26569" xr:uid="{00000000-0005-0000-0000-0000BB510000}"/>
    <cellStyle name="Normal 5 2 2 3 4 2 2 2 3" xfId="13298" xr:uid="{00000000-0005-0000-0000-0000BC510000}"/>
    <cellStyle name="Normal 5 2 2 3 4 2 2 2 3 2" xfId="29873" xr:uid="{00000000-0005-0000-0000-0000BD510000}"/>
    <cellStyle name="Normal 5 2 2 3 4 2 2 2 4" xfId="23269" xr:uid="{00000000-0005-0000-0000-0000BE510000}"/>
    <cellStyle name="Normal 5 2 2 3 4 2 2 3" xfId="8335" xr:uid="{00000000-0005-0000-0000-0000BF510000}"/>
    <cellStyle name="Normal 5 2 2 3 4 2 2 3 2" xfId="15598" xr:uid="{00000000-0005-0000-0000-0000C0510000}"/>
    <cellStyle name="Normal 5 2 2 3 4 2 2 3 2 2" xfId="31913" xr:uid="{00000000-0005-0000-0000-0000C1510000}"/>
    <cellStyle name="Normal 5 2 2 3 4 2 2 3 3" xfId="24948" xr:uid="{00000000-0005-0000-0000-0000C2510000}"/>
    <cellStyle name="Normal 5 2 2 3 4 2 2 4" xfId="11650" xr:uid="{00000000-0005-0000-0000-0000C3510000}"/>
    <cellStyle name="Normal 5 2 2 3 4 2 2 4 2" xfId="28248" xr:uid="{00000000-0005-0000-0000-0000C4510000}"/>
    <cellStyle name="Normal 5 2 2 3 4 2 2 5" xfId="4376" xr:uid="{00000000-0005-0000-0000-0000C5510000}"/>
    <cellStyle name="Normal 5 2 2 3 4 2 2 5 2" xfId="21099" xr:uid="{00000000-0005-0000-0000-0000C6510000}"/>
    <cellStyle name="Normal 5 2 2 3 4 2 2 6" xfId="19501" xr:uid="{00000000-0005-0000-0000-0000C7510000}"/>
    <cellStyle name="Normal 5 2 2 3 4 2 3" xfId="2773" xr:uid="{00000000-0005-0000-0000-0000C8510000}"/>
    <cellStyle name="Normal 5 2 2 3 4 2 3 2" xfId="9180" xr:uid="{00000000-0005-0000-0000-0000C9510000}"/>
    <cellStyle name="Normal 5 2 2 3 4 2 3 2 2" xfId="16443" xr:uid="{00000000-0005-0000-0000-0000CA510000}"/>
    <cellStyle name="Normal 5 2 2 3 4 2 3 2 2 2" xfId="32758" xr:uid="{00000000-0005-0000-0000-0000CB510000}"/>
    <cellStyle name="Normal 5 2 2 3 4 2 3 2 3" xfId="25793" xr:uid="{00000000-0005-0000-0000-0000CC510000}"/>
    <cellStyle name="Normal 5 2 2 3 4 2 3 3" xfId="12522" xr:uid="{00000000-0005-0000-0000-0000CD510000}"/>
    <cellStyle name="Normal 5 2 2 3 4 2 3 3 2" xfId="29097" xr:uid="{00000000-0005-0000-0000-0000CE510000}"/>
    <cellStyle name="Normal 5 2 2 3 4 2 3 4" xfId="5829" xr:uid="{00000000-0005-0000-0000-0000CF510000}"/>
    <cellStyle name="Normal 5 2 2 3 4 2 3 4 2" xfId="22493" xr:uid="{00000000-0005-0000-0000-0000D0510000}"/>
    <cellStyle name="Normal 5 2 2 3 4 2 3 5" xfId="19500" xr:uid="{00000000-0005-0000-0000-0000D1510000}"/>
    <cellStyle name="Normal 5 2 2 3 4 2 4" xfId="7559" xr:uid="{00000000-0005-0000-0000-0000D2510000}"/>
    <cellStyle name="Normal 5 2 2 3 4 2 4 2" xfId="14822" xr:uid="{00000000-0005-0000-0000-0000D3510000}"/>
    <cellStyle name="Normal 5 2 2 3 4 2 4 2 2" xfId="31137" xr:uid="{00000000-0005-0000-0000-0000D4510000}"/>
    <cellStyle name="Normal 5 2 2 3 4 2 4 3" xfId="24172" xr:uid="{00000000-0005-0000-0000-0000D5510000}"/>
    <cellStyle name="Normal 5 2 2 3 4 2 5" xfId="10874" xr:uid="{00000000-0005-0000-0000-0000D6510000}"/>
    <cellStyle name="Normal 5 2 2 3 4 2 5 2" xfId="27472" xr:uid="{00000000-0005-0000-0000-0000D7510000}"/>
    <cellStyle name="Normal 5 2 2 3 4 2 6" xfId="4375" xr:uid="{00000000-0005-0000-0000-0000D8510000}"/>
    <cellStyle name="Normal 5 2 2 3 4 2 6 2" xfId="21098" xr:uid="{00000000-0005-0000-0000-0000D9510000}"/>
    <cellStyle name="Normal 5 2 2 3 4 2 7" xfId="18446" xr:uid="{00000000-0005-0000-0000-0000DA510000}"/>
    <cellStyle name="Normal 5 2 2 3 4 3" xfId="2775" xr:uid="{00000000-0005-0000-0000-0000DB510000}"/>
    <cellStyle name="Normal 5 2 2 3 4 3 2" xfId="6235" xr:uid="{00000000-0005-0000-0000-0000DC510000}"/>
    <cellStyle name="Normal 5 2 2 3 4 3 2 2" xfId="9586" xr:uid="{00000000-0005-0000-0000-0000DD510000}"/>
    <cellStyle name="Normal 5 2 2 3 4 3 2 2 2" xfId="16849" xr:uid="{00000000-0005-0000-0000-0000DE510000}"/>
    <cellStyle name="Normal 5 2 2 3 4 3 2 2 2 2" xfId="33164" xr:uid="{00000000-0005-0000-0000-0000DF510000}"/>
    <cellStyle name="Normal 5 2 2 3 4 3 2 2 3" xfId="26199" xr:uid="{00000000-0005-0000-0000-0000E0510000}"/>
    <cellStyle name="Normal 5 2 2 3 4 3 2 3" xfId="12928" xr:uid="{00000000-0005-0000-0000-0000E1510000}"/>
    <cellStyle name="Normal 5 2 2 3 4 3 2 3 2" xfId="29503" xr:uid="{00000000-0005-0000-0000-0000E2510000}"/>
    <cellStyle name="Normal 5 2 2 3 4 3 2 4" xfId="22899" xr:uid="{00000000-0005-0000-0000-0000E3510000}"/>
    <cellStyle name="Normal 5 2 2 3 4 3 3" xfId="7965" xr:uid="{00000000-0005-0000-0000-0000E4510000}"/>
    <cellStyle name="Normal 5 2 2 3 4 3 3 2" xfId="15228" xr:uid="{00000000-0005-0000-0000-0000E5510000}"/>
    <cellStyle name="Normal 5 2 2 3 4 3 3 2 2" xfId="31543" xr:uid="{00000000-0005-0000-0000-0000E6510000}"/>
    <cellStyle name="Normal 5 2 2 3 4 3 3 3" xfId="24578" xr:uid="{00000000-0005-0000-0000-0000E7510000}"/>
    <cellStyle name="Normal 5 2 2 3 4 3 4" xfId="11280" xr:uid="{00000000-0005-0000-0000-0000E8510000}"/>
    <cellStyle name="Normal 5 2 2 3 4 3 4 2" xfId="27878" xr:uid="{00000000-0005-0000-0000-0000E9510000}"/>
    <cellStyle name="Normal 5 2 2 3 4 3 5" xfId="4377" xr:uid="{00000000-0005-0000-0000-0000EA510000}"/>
    <cellStyle name="Normal 5 2 2 3 4 3 5 2" xfId="21100" xr:uid="{00000000-0005-0000-0000-0000EB510000}"/>
    <cellStyle name="Normal 5 2 2 3 4 3 6" xfId="19502" xr:uid="{00000000-0005-0000-0000-0000EC510000}"/>
    <cellStyle name="Normal 5 2 2 3 4 4" xfId="2772" xr:uid="{00000000-0005-0000-0000-0000ED510000}"/>
    <cellStyle name="Normal 5 2 2 3 4 4 2" xfId="8773" xr:uid="{00000000-0005-0000-0000-0000EE510000}"/>
    <cellStyle name="Normal 5 2 2 3 4 4 2 2" xfId="16036" xr:uid="{00000000-0005-0000-0000-0000EF510000}"/>
    <cellStyle name="Normal 5 2 2 3 4 4 2 2 2" xfId="32351" xr:uid="{00000000-0005-0000-0000-0000F0510000}"/>
    <cellStyle name="Normal 5 2 2 3 4 4 2 3" xfId="25386" xr:uid="{00000000-0005-0000-0000-0000F1510000}"/>
    <cellStyle name="Normal 5 2 2 3 4 4 3" xfId="12115" xr:uid="{00000000-0005-0000-0000-0000F2510000}"/>
    <cellStyle name="Normal 5 2 2 3 4 4 3 2" xfId="28690" xr:uid="{00000000-0005-0000-0000-0000F3510000}"/>
    <cellStyle name="Normal 5 2 2 3 4 4 4" xfId="5422" xr:uid="{00000000-0005-0000-0000-0000F4510000}"/>
    <cellStyle name="Normal 5 2 2 3 4 4 4 2" xfId="22086" xr:uid="{00000000-0005-0000-0000-0000F5510000}"/>
    <cellStyle name="Normal 5 2 2 3 4 4 5" xfId="19499" xr:uid="{00000000-0005-0000-0000-0000F6510000}"/>
    <cellStyle name="Normal 5 2 2 3 4 5" xfId="7153" xr:uid="{00000000-0005-0000-0000-0000F7510000}"/>
    <cellStyle name="Normal 5 2 2 3 4 5 2" xfId="14416" xr:uid="{00000000-0005-0000-0000-0000F8510000}"/>
    <cellStyle name="Normal 5 2 2 3 4 5 2 2" xfId="30731" xr:uid="{00000000-0005-0000-0000-0000F9510000}"/>
    <cellStyle name="Normal 5 2 2 3 4 5 3" xfId="23766" xr:uid="{00000000-0005-0000-0000-0000FA510000}"/>
    <cellStyle name="Normal 5 2 2 3 4 6" xfId="10468" xr:uid="{00000000-0005-0000-0000-0000FB510000}"/>
    <cellStyle name="Normal 5 2 2 3 4 6 2" xfId="27066" xr:uid="{00000000-0005-0000-0000-0000FC510000}"/>
    <cellStyle name="Normal 5 2 2 3 4 7" xfId="4374" xr:uid="{00000000-0005-0000-0000-0000FD510000}"/>
    <cellStyle name="Normal 5 2 2 3 4 7 2" xfId="21097" xr:uid="{00000000-0005-0000-0000-0000FE510000}"/>
    <cellStyle name="Normal 5 2 2 3 4 8" xfId="17927" xr:uid="{00000000-0005-0000-0000-0000FF510000}"/>
    <cellStyle name="Normal 5 2 2 3 5" xfId="889" xr:uid="{00000000-0005-0000-0000-000000520000}"/>
    <cellStyle name="Normal 5 2 2 3 5 2" xfId="1451" xr:uid="{00000000-0005-0000-0000-000001520000}"/>
    <cellStyle name="Normal 5 2 2 3 5 2 2" xfId="2777" xr:uid="{00000000-0005-0000-0000-000002520000}"/>
    <cellStyle name="Normal 5 2 2 3 5 2 2 2" xfId="9780" xr:uid="{00000000-0005-0000-0000-000003520000}"/>
    <cellStyle name="Normal 5 2 2 3 5 2 2 2 2" xfId="17043" xr:uid="{00000000-0005-0000-0000-000004520000}"/>
    <cellStyle name="Normal 5 2 2 3 5 2 2 2 2 2" xfId="33358" xr:uid="{00000000-0005-0000-0000-000005520000}"/>
    <cellStyle name="Normal 5 2 2 3 5 2 2 2 3" xfId="26393" xr:uid="{00000000-0005-0000-0000-000006520000}"/>
    <cellStyle name="Normal 5 2 2 3 5 2 2 3" xfId="13122" xr:uid="{00000000-0005-0000-0000-000007520000}"/>
    <cellStyle name="Normal 5 2 2 3 5 2 2 3 2" xfId="29697" xr:uid="{00000000-0005-0000-0000-000008520000}"/>
    <cellStyle name="Normal 5 2 2 3 5 2 2 4" xfId="6429" xr:uid="{00000000-0005-0000-0000-000009520000}"/>
    <cellStyle name="Normal 5 2 2 3 5 2 2 4 2" xfId="23093" xr:uid="{00000000-0005-0000-0000-00000A520000}"/>
    <cellStyle name="Normal 5 2 2 3 5 2 2 5" xfId="19504" xr:uid="{00000000-0005-0000-0000-00000B520000}"/>
    <cellStyle name="Normal 5 2 2 3 5 2 3" xfId="8159" xr:uid="{00000000-0005-0000-0000-00000C520000}"/>
    <cellStyle name="Normal 5 2 2 3 5 2 3 2" xfId="15422" xr:uid="{00000000-0005-0000-0000-00000D520000}"/>
    <cellStyle name="Normal 5 2 2 3 5 2 3 2 2" xfId="31737" xr:uid="{00000000-0005-0000-0000-00000E520000}"/>
    <cellStyle name="Normal 5 2 2 3 5 2 3 3" xfId="24772" xr:uid="{00000000-0005-0000-0000-00000F520000}"/>
    <cellStyle name="Normal 5 2 2 3 5 2 4" xfId="11474" xr:uid="{00000000-0005-0000-0000-000010520000}"/>
    <cellStyle name="Normal 5 2 2 3 5 2 4 2" xfId="28072" xr:uid="{00000000-0005-0000-0000-000011520000}"/>
    <cellStyle name="Normal 5 2 2 3 5 2 5" xfId="4379" xr:uid="{00000000-0005-0000-0000-000012520000}"/>
    <cellStyle name="Normal 5 2 2 3 5 2 5 2" xfId="21102" xr:uid="{00000000-0005-0000-0000-000013520000}"/>
    <cellStyle name="Normal 5 2 2 3 5 2 6" xfId="18186" xr:uid="{00000000-0005-0000-0000-000014520000}"/>
    <cellStyle name="Normal 5 2 2 3 5 3" xfId="2776" xr:uid="{00000000-0005-0000-0000-000015520000}"/>
    <cellStyle name="Normal 5 2 2 3 5 3 2" xfId="8968" xr:uid="{00000000-0005-0000-0000-000016520000}"/>
    <cellStyle name="Normal 5 2 2 3 5 3 2 2" xfId="16231" xr:uid="{00000000-0005-0000-0000-000017520000}"/>
    <cellStyle name="Normal 5 2 2 3 5 3 2 2 2" xfId="32546" xr:uid="{00000000-0005-0000-0000-000018520000}"/>
    <cellStyle name="Normal 5 2 2 3 5 3 2 3" xfId="25581" xr:uid="{00000000-0005-0000-0000-000019520000}"/>
    <cellStyle name="Normal 5 2 2 3 5 3 3" xfId="12310" xr:uid="{00000000-0005-0000-0000-00001A520000}"/>
    <cellStyle name="Normal 5 2 2 3 5 3 3 2" xfId="28885" xr:uid="{00000000-0005-0000-0000-00001B520000}"/>
    <cellStyle name="Normal 5 2 2 3 5 3 4" xfId="5617" xr:uid="{00000000-0005-0000-0000-00001C520000}"/>
    <cellStyle name="Normal 5 2 2 3 5 3 4 2" xfId="22281" xr:uid="{00000000-0005-0000-0000-00001D520000}"/>
    <cellStyle name="Normal 5 2 2 3 5 3 5" xfId="19503" xr:uid="{00000000-0005-0000-0000-00001E520000}"/>
    <cellStyle name="Normal 5 2 2 3 5 4" xfId="7347" xr:uid="{00000000-0005-0000-0000-00001F520000}"/>
    <cellStyle name="Normal 5 2 2 3 5 4 2" xfId="14610" xr:uid="{00000000-0005-0000-0000-000020520000}"/>
    <cellStyle name="Normal 5 2 2 3 5 4 2 2" xfId="30925" xr:uid="{00000000-0005-0000-0000-000021520000}"/>
    <cellStyle name="Normal 5 2 2 3 5 4 3" xfId="23960" xr:uid="{00000000-0005-0000-0000-000022520000}"/>
    <cellStyle name="Normal 5 2 2 3 5 5" xfId="10662" xr:uid="{00000000-0005-0000-0000-000023520000}"/>
    <cellStyle name="Normal 5 2 2 3 5 5 2" xfId="27260" xr:uid="{00000000-0005-0000-0000-000024520000}"/>
    <cellStyle name="Normal 5 2 2 3 5 6" xfId="4378" xr:uid="{00000000-0005-0000-0000-000025520000}"/>
    <cellStyle name="Normal 5 2 2 3 5 6 2" xfId="21101" xr:uid="{00000000-0005-0000-0000-000026520000}"/>
    <cellStyle name="Normal 5 2 2 3 5 7" xfId="17667" xr:uid="{00000000-0005-0000-0000-000027520000}"/>
    <cellStyle name="Normal 5 2 2 3 6" xfId="780" xr:uid="{00000000-0005-0000-0000-000028520000}"/>
    <cellStyle name="Normal 5 2 2 3 6 2" xfId="2778" xr:uid="{00000000-0005-0000-0000-000029520000}"/>
    <cellStyle name="Normal 5 2 2 3 6 2 2" xfId="9374" xr:uid="{00000000-0005-0000-0000-00002A520000}"/>
    <cellStyle name="Normal 5 2 2 3 6 2 2 2" xfId="16637" xr:uid="{00000000-0005-0000-0000-00002B520000}"/>
    <cellStyle name="Normal 5 2 2 3 6 2 2 2 2" xfId="32952" xr:uid="{00000000-0005-0000-0000-00002C520000}"/>
    <cellStyle name="Normal 5 2 2 3 6 2 2 3" xfId="25987" xr:uid="{00000000-0005-0000-0000-00002D520000}"/>
    <cellStyle name="Normal 5 2 2 3 6 2 3" xfId="12716" xr:uid="{00000000-0005-0000-0000-00002E520000}"/>
    <cellStyle name="Normal 5 2 2 3 6 2 3 2" xfId="29291" xr:uid="{00000000-0005-0000-0000-00002F520000}"/>
    <cellStyle name="Normal 5 2 2 3 6 2 4" xfId="6023" xr:uid="{00000000-0005-0000-0000-000030520000}"/>
    <cellStyle name="Normal 5 2 2 3 6 2 4 2" xfId="22687" xr:uid="{00000000-0005-0000-0000-000031520000}"/>
    <cellStyle name="Normal 5 2 2 3 6 2 5" xfId="19505" xr:uid="{00000000-0005-0000-0000-000032520000}"/>
    <cellStyle name="Normal 5 2 2 3 6 3" xfId="7753" xr:uid="{00000000-0005-0000-0000-000033520000}"/>
    <cellStyle name="Normal 5 2 2 3 6 3 2" xfId="15016" xr:uid="{00000000-0005-0000-0000-000034520000}"/>
    <cellStyle name="Normal 5 2 2 3 6 3 2 2" xfId="31331" xr:uid="{00000000-0005-0000-0000-000035520000}"/>
    <cellStyle name="Normal 5 2 2 3 6 3 3" xfId="24366" xr:uid="{00000000-0005-0000-0000-000036520000}"/>
    <cellStyle name="Normal 5 2 2 3 6 4" xfId="11068" xr:uid="{00000000-0005-0000-0000-000037520000}"/>
    <cellStyle name="Normal 5 2 2 3 6 4 2" xfId="27666" xr:uid="{00000000-0005-0000-0000-000038520000}"/>
    <cellStyle name="Normal 5 2 2 3 6 5" xfId="4380" xr:uid="{00000000-0005-0000-0000-000039520000}"/>
    <cellStyle name="Normal 5 2 2 3 6 5 2" xfId="21103" xr:uid="{00000000-0005-0000-0000-00003A520000}"/>
    <cellStyle name="Normal 5 2 2 3 6 6" xfId="17593" xr:uid="{00000000-0005-0000-0000-00003B520000}"/>
    <cellStyle name="Normal 5 2 2 3 7" xfId="1377" xr:uid="{00000000-0005-0000-0000-00003C520000}"/>
    <cellStyle name="Normal 5 2 2 3 7 2" xfId="8512" xr:uid="{00000000-0005-0000-0000-00003D520000}"/>
    <cellStyle name="Normal 5 2 2 3 7 2 2" xfId="15775" xr:uid="{00000000-0005-0000-0000-00003E520000}"/>
    <cellStyle name="Normal 5 2 2 3 7 2 2 2" xfId="32090" xr:uid="{00000000-0005-0000-0000-00003F520000}"/>
    <cellStyle name="Normal 5 2 2 3 7 2 3" xfId="25125" xr:uid="{00000000-0005-0000-0000-000040520000}"/>
    <cellStyle name="Normal 5 2 2 3 7 3" xfId="11854" xr:uid="{00000000-0005-0000-0000-000041520000}"/>
    <cellStyle name="Normal 5 2 2 3 7 3 2" xfId="28429" xr:uid="{00000000-0005-0000-0000-000042520000}"/>
    <cellStyle name="Normal 5 2 2 3 7 4" xfId="5161" xr:uid="{00000000-0005-0000-0000-000043520000}"/>
    <cellStyle name="Normal 5 2 2 3 7 4 2" xfId="21825" xr:uid="{00000000-0005-0000-0000-000044520000}"/>
    <cellStyle name="Normal 5 2 2 3 7 5" xfId="18112" xr:uid="{00000000-0005-0000-0000-000045520000}"/>
    <cellStyle name="Normal 5 2 2 3 8" xfId="2747" xr:uid="{00000000-0005-0000-0000-000046520000}"/>
    <cellStyle name="Normal 5 2 2 3 8 2" xfId="14156" xr:uid="{00000000-0005-0000-0000-000047520000}"/>
    <cellStyle name="Normal 5 2 2 3 8 2 2" xfId="30471" xr:uid="{00000000-0005-0000-0000-000048520000}"/>
    <cellStyle name="Normal 5 2 2 3 8 3" xfId="6893" xr:uid="{00000000-0005-0000-0000-000049520000}"/>
    <cellStyle name="Normal 5 2 2 3 8 3 2" xfId="23506" xr:uid="{00000000-0005-0000-0000-00004A520000}"/>
    <cellStyle name="Normal 5 2 2 3 8 4" xfId="19474" xr:uid="{00000000-0005-0000-0000-00004B520000}"/>
    <cellStyle name="Normal 5 2 2 3 9" xfId="10207" xr:uid="{00000000-0005-0000-0000-00004C520000}"/>
    <cellStyle name="Normal 5 2 2 3 9 2" xfId="26806" xr:uid="{00000000-0005-0000-0000-00004D520000}"/>
    <cellStyle name="Normal 5 2 2 4" xfId="634" xr:uid="{00000000-0005-0000-0000-00004E520000}"/>
    <cellStyle name="Normal 5 2 2 4 10" xfId="17453" xr:uid="{00000000-0005-0000-0000-00004F520000}"/>
    <cellStyle name="Normal 5 2 2 4 2" xfId="1011" xr:uid="{00000000-0005-0000-0000-000050520000}"/>
    <cellStyle name="Normal 5 2 2 4 2 2" xfId="1195" xr:uid="{00000000-0005-0000-0000-000051520000}"/>
    <cellStyle name="Normal 5 2 2 4 2 2 2" xfId="1716" xr:uid="{00000000-0005-0000-0000-000052520000}"/>
    <cellStyle name="Normal 5 2 2 4 2 2 2 2" xfId="2783" xr:uid="{00000000-0005-0000-0000-000053520000}"/>
    <cellStyle name="Normal 5 2 2 4 2 2 2 2 2" xfId="6610" xr:uid="{00000000-0005-0000-0000-000054520000}"/>
    <cellStyle name="Normal 5 2 2 4 2 2 2 2 2 2" xfId="9961" xr:uid="{00000000-0005-0000-0000-000055520000}"/>
    <cellStyle name="Normal 5 2 2 4 2 2 2 2 2 2 2" xfId="17224" xr:uid="{00000000-0005-0000-0000-000056520000}"/>
    <cellStyle name="Normal 5 2 2 4 2 2 2 2 2 2 2 2" xfId="33539" xr:uid="{00000000-0005-0000-0000-000057520000}"/>
    <cellStyle name="Normal 5 2 2 4 2 2 2 2 2 2 3" xfId="26574" xr:uid="{00000000-0005-0000-0000-000058520000}"/>
    <cellStyle name="Normal 5 2 2 4 2 2 2 2 2 3" xfId="13303" xr:uid="{00000000-0005-0000-0000-000059520000}"/>
    <cellStyle name="Normal 5 2 2 4 2 2 2 2 2 3 2" xfId="29878" xr:uid="{00000000-0005-0000-0000-00005A520000}"/>
    <cellStyle name="Normal 5 2 2 4 2 2 2 2 2 4" xfId="23274" xr:uid="{00000000-0005-0000-0000-00005B520000}"/>
    <cellStyle name="Normal 5 2 2 4 2 2 2 2 3" xfId="8340" xr:uid="{00000000-0005-0000-0000-00005C520000}"/>
    <cellStyle name="Normal 5 2 2 4 2 2 2 2 3 2" xfId="15603" xr:uid="{00000000-0005-0000-0000-00005D520000}"/>
    <cellStyle name="Normal 5 2 2 4 2 2 2 2 3 2 2" xfId="31918" xr:uid="{00000000-0005-0000-0000-00005E520000}"/>
    <cellStyle name="Normal 5 2 2 4 2 2 2 2 3 3" xfId="24953" xr:uid="{00000000-0005-0000-0000-00005F520000}"/>
    <cellStyle name="Normal 5 2 2 4 2 2 2 2 4" xfId="11655" xr:uid="{00000000-0005-0000-0000-000060520000}"/>
    <cellStyle name="Normal 5 2 2 4 2 2 2 2 4 2" xfId="28253" xr:uid="{00000000-0005-0000-0000-000061520000}"/>
    <cellStyle name="Normal 5 2 2 4 2 2 2 2 5" xfId="4385" xr:uid="{00000000-0005-0000-0000-000062520000}"/>
    <cellStyle name="Normal 5 2 2 4 2 2 2 2 5 2" xfId="21108" xr:uid="{00000000-0005-0000-0000-000063520000}"/>
    <cellStyle name="Normal 5 2 2 4 2 2 2 2 6" xfId="19510" xr:uid="{00000000-0005-0000-0000-000064520000}"/>
    <cellStyle name="Normal 5 2 2 4 2 2 2 3" xfId="2782" xr:uid="{00000000-0005-0000-0000-000065520000}"/>
    <cellStyle name="Normal 5 2 2 4 2 2 2 3 2" xfId="9185" xr:uid="{00000000-0005-0000-0000-000066520000}"/>
    <cellStyle name="Normal 5 2 2 4 2 2 2 3 2 2" xfId="16448" xr:uid="{00000000-0005-0000-0000-000067520000}"/>
    <cellStyle name="Normal 5 2 2 4 2 2 2 3 2 2 2" xfId="32763" xr:uid="{00000000-0005-0000-0000-000068520000}"/>
    <cellStyle name="Normal 5 2 2 4 2 2 2 3 2 3" xfId="25798" xr:uid="{00000000-0005-0000-0000-000069520000}"/>
    <cellStyle name="Normal 5 2 2 4 2 2 2 3 3" xfId="12527" xr:uid="{00000000-0005-0000-0000-00006A520000}"/>
    <cellStyle name="Normal 5 2 2 4 2 2 2 3 3 2" xfId="29102" xr:uid="{00000000-0005-0000-0000-00006B520000}"/>
    <cellStyle name="Normal 5 2 2 4 2 2 2 3 4" xfId="5834" xr:uid="{00000000-0005-0000-0000-00006C520000}"/>
    <cellStyle name="Normal 5 2 2 4 2 2 2 3 4 2" xfId="22498" xr:uid="{00000000-0005-0000-0000-00006D520000}"/>
    <cellStyle name="Normal 5 2 2 4 2 2 2 3 5" xfId="19509" xr:uid="{00000000-0005-0000-0000-00006E520000}"/>
    <cellStyle name="Normal 5 2 2 4 2 2 2 4" xfId="7564" xr:uid="{00000000-0005-0000-0000-00006F520000}"/>
    <cellStyle name="Normal 5 2 2 4 2 2 2 4 2" xfId="14827" xr:uid="{00000000-0005-0000-0000-000070520000}"/>
    <cellStyle name="Normal 5 2 2 4 2 2 2 4 2 2" xfId="31142" xr:uid="{00000000-0005-0000-0000-000071520000}"/>
    <cellStyle name="Normal 5 2 2 4 2 2 2 4 3" xfId="24177" xr:uid="{00000000-0005-0000-0000-000072520000}"/>
    <cellStyle name="Normal 5 2 2 4 2 2 2 5" xfId="10879" xr:uid="{00000000-0005-0000-0000-000073520000}"/>
    <cellStyle name="Normal 5 2 2 4 2 2 2 5 2" xfId="27477" xr:uid="{00000000-0005-0000-0000-000074520000}"/>
    <cellStyle name="Normal 5 2 2 4 2 2 2 6" xfId="4384" xr:uid="{00000000-0005-0000-0000-000075520000}"/>
    <cellStyle name="Normal 5 2 2 4 2 2 2 6 2" xfId="21107" xr:uid="{00000000-0005-0000-0000-000076520000}"/>
    <cellStyle name="Normal 5 2 2 4 2 2 2 7" xfId="18451" xr:uid="{00000000-0005-0000-0000-000077520000}"/>
    <cellStyle name="Normal 5 2 2 4 2 2 3" xfId="2784" xr:uid="{00000000-0005-0000-0000-000078520000}"/>
    <cellStyle name="Normal 5 2 2 4 2 2 3 2" xfId="6240" xr:uid="{00000000-0005-0000-0000-000079520000}"/>
    <cellStyle name="Normal 5 2 2 4 2 2 3 2 2" xfId="9591" xr:uid="{00000000-0005-0000-0000-00007A520000}"/>
    <cellStyle name="Normal 5 2 2 4 2 2 3 2 2 2" xfId="16854" xr:uid="{00000000-0005-0000-0000-00007B520000}"/>
    <cellStyle name="Normal 5 2 2 4 2 2 3 2 2 2 2" xfId="33169" xr:uid="{00000000-0005-0000-0000-00007C520000}"/>
    <cellStyle name="Normal 5 2 2 4 2 2 3 2 2 3" xfId="26204" xr:uid="{00000000-0005-0000-0000-00007D520000}"/>
    <cellStyle name="Normal 5 2 2 4 2 2 3 2 3" xfId="12933" xr:uid="{00000000-0005-0000-0000-00007E520000}"/>
    <cellStyle name="Normal 5 2 2 4 2 2 3 2 3 2" xfId="29508" xr:uid="{00000000-0005-0000-0000-00007F520000}"/>
    <cellStyle name="Normal 5 2 2 4 2 2 3 2 4" xfId="22904" xr:uid="{00000000-0005-0000-0000-000080520000}"/>
    <cellStyle name="Normal 5 2 2 4 2 2 3 3" xfId="7970" xr:uid="{00000000-0005-0000-0000-000081520000}"/>
    <cellStyle name="Normal 5 2 2 4 2 2 3 3 2" xfId="15233" xr:uid="{00000000-0005-0000-0000-000082520000}"/>
    <cellStyle name="Normal 5 2 2 4 2 2 3 3 2 2" xfId="31548" xr:uid="{00000000-0005-0000-0000-000083520000}"/>
    <cellStyle name="Normal 5 2 2 4 2 2 3 3 3" xfId="24583" xr:uid="{00000000-0005-0000-0000-000084520000}"/>
    <cellStyle name="Normal 5 2 2 4 2 2 3 4" xfId="11285" xr:uid="{00000000-0005-0000-0000-000085520000}"/>
    <cellStyle name="Normal 5 2 2 4 2 2 3 4 2" xfId="27883" xr:uid="{00000000-0005-0000-0000-000086520000}"/>
    <cellStyle name="Normal 5 2 2 4 2 2 3 5" xfId="4386" xr:uid="{00000000-0005-0000-0000-000087520000}"/>
    <cellStyle name="Normal 5 2 2 4 2 2 3 5 2" xfId="21109" xr:uid="{00000000-0005-0000-0000-000088520000}"/>
    <cellStyle name="Normal 5 2 2 4 2 2 3 6" xfId="19511" xr:uid="{00000000-0005-0000-0000-000089520000}"/>
    <cellStyle name="Normal 5 2 2 4 2 2 4" xfId="2781" xr:uid="{00000000-0005-0000-0000-00008A520000}"/>
    <cellStyle name="Normal 5 2 2 4 2 2 4 2" xfId="8778" xr:uid="{00000000-0005-0000-0000-00008B520000}"/>
    <cellStyle name="Normal 5 2 2 4 2 2 4 2 2" xfId="16041" xr:uid="{00000000-0005-0000-0000-00008C520000}"/>
    <cellStyle name="Normal 5 2 2 4 2 2 4 2 2 2" xfId="32356" xr:uid="{00000000-0005-0000-0000-00008D520000}"/>
    <cellStyle name="Normal 5 2 2 4 2 2 4 2 3" xfId="25391" xr:uid="{00000000-0005-0000-0000-00008E520000}"/>
    <cellStyle name="Normal 5 2 2 4 2 2 4 3" xfId="12120" xr:uid="{00000000-0005-0000-0000-00008F520000}"/>
    <cellStyle name="Normal 5 2 2 4 2 2 4 3 2" xfId="28695" xr:uid="{00000000-0005-0000-0000-000090520000}"/>
    <cellStyle name="Normal 5 2 2 4 2 2 4 4" xfId="5427" xr:uid="{00000000-0005-0000-0000-000091520000}"/>
    <cellStyle name="Normal 5 2 2 4 2 2 4 4 2" xfId="22091" xr:uid="{00000000-0005-0000-0000-000092520000}"/>
    <cellStyle name="Normal 5 2 2 4 2 2 4 5" xfId="19508" xr:uid="{00000000-0005-0000-0000-000093520000}"/>
    <cellStyle name="Normal 5 2 2 4 2 2 5" xfId="7158" xr:uid="{00000000-0005-0000-0000-000094520000}"/>
    <cellStyle name="Normal 5 2 2 4 2 2 5 2" xfId="14421" xr:uid="{00000000-0005-0000-0000-000095520000}"/>
    <cellStyle name="Normal 5 2 2 4 2 2 5 2 2" xfId="30736" xr:uid="{00000000-0005-0000-0000-000096520000}"/>
    <cellStyle name="Normal 5 2 2 4 2 2 5 3" xfId="23771" xr:uid="{00000000-0005-0000-0000-000097520000}"/>
    <cellStyle name="Normal 5 2 2 4 2 2 6" xfId="10473" xr:uid="{00000000-0005-0000-0000-000098520000}"/>
    <cellStyle name="Normal 5 2 2 4 2 2 6 2" xfId="27071" xr:uid="{00000000-0005-0000-0000-000099520000}"/>
    <cellStyle name="Normal 5 2 2 4 2 2 7" xfId="4383" xr:uid="{00000000-0005-0000-0000-00009A520000}"/>
    <cellStyle name="Normal 5 2 2 4 2 2 7 2" xfId="21106" xr:uid="{00000000-0005-0000-0000-00009B520000}"/>
    <cellStyle name="Normal 5 2 2 4 2 2 8" xfId="17932" xr:uid="{00000000-0005-0000-0000-00009C520000}"/>
    <cellStyle name="Normal 5 2 2 4 2 3" xfId="1572" xr:uid="{00000000-0005-0000-0000-00009D520000}"/>
    <cellStyle name="Normal 5 2 2 4 2 3 2" xfId="2786" xr:uid="{00000000-0005-0000-0000-00009E520000}"/>
    <cellStyle name="Normal 5 2 2 4 2 3 2 2" xfId="6434" xr:uid="{00000000-0005-0000-0000-00009F520000}"/>
    <cellStyle name="Normal 5 2 2 4 2 3 2 2 2" xfId="9785" xr:uid="{00000000-0005-0000-0000-0000A0520000}"/>
    <cellStyle name="Normal 5 2 2 4 2 3 2 2 2 2" xfId="17048" xr:uid="{00000000-0005-0000-0000-0000A1520000}"/>
    <cellStyle name="Normal 5 2 2 4 2 3 2 2 2 2 2" xfId="33363" xr:uid="{00000000-0005-0000-0000-0000A2520000}"/>
    <cellStyle name="Normal 5 2 2 4 2 3 2 2 2 3" xfId="26398" xr:uid="{00000000-0005-0000-0000-0000A3520000}"/>
    <cellStyle name="Normal 5 2 2 4 2 3 2 2 3" xfId="13127" xr:uid="{00000000-0005-0000-0000-0000A4520000}"/>
    <cellStyle name="Normal 5 2 2 4 2 3 2 2 3 2" xfId="29702" xr:uid="{00000000-0005-0000-0000-0000A5520000}"/>
    <cellStyle name="Normal 5 2 2 4 2 3 2 2 4" xfId="23098" xr:uid="{00000000-0005-0000-0000-0000A6520000}"/>
    <cellStyle name="Normal 5 2 2 4 2 3 2 3" xfId="8164" xr:uid="{00000000-0005-0000-0000-0000A7520000}"/>
    <cellStyle name="Normal 5 2 2 4 2 3 2 3 2" xfId="15427" xr:uid="{00000000-0005-0000-0000-0000A8520000}"/>
    <cellStyle name="Normal 5 2 2 4 2 3 2 3 2 2" xfId="31742" xr:uid="{00000000-0005-0000-0000-0000A9520000}"/>
    <cellStyle name="Normal 5 2 2 4 2 3 2 3 3" xfId="24777" xr:uid="{00000000-0005-0000-0000-0000AA520000}"/>
    <cellStyle name="Normal 5 2 2 4 2 3 2 4" xfId="11479" xr:uid="{00000000-0005-0000-0000-0000AB520000}"/>
    <cellStyle name="Normal 5 2 2 4 2 3 2 4 2" xfId="28077" xr:uid="{00000000-0005-0000-0000-0000AC520000}"/>
    <cellStyle name="Normal 5 2 2 4 2 3 2 5" xfId="4388" xr:uid="{00000000-0005-0000-0000-0000AD520000}"/>
    <cellStyle name="Normal 5 2 2 4 2 3 2 5 2" xfId="21111" xr:uid="{00000000-0005-0000-0000-0000AE520000}"/>
    <cellStyle name="Normal 5 2 2 4 2 3 2 6" xfId="19513" xr:uid="{00000000-0005-0000-0000-0000AF520000}"/>
    <cellStyle name="Normal 5 2 2 4 2 3 3" xfId="2785" xr:uid="{00000000-0005-0000-0000-0000B0520000}"/>
    <cellStyle name="Normal 5 2 2 4 2 3 3 2" xfId="8973" xr:uid="{00000000-0005-0000-0000-0000B1520000}"/>
    <cellStyle name="Normal 5 2 2 4 2 3 3 2 2" xfId="16236" xr:uid="{00000000-0005-0000-0000-0000B2520000}"/>
    <cellStyle name="Normal 5 2 2 4 2 3 3 2 2 2" xfId="32551" xr:uid="{00000000-0005-0000-0000-0000B3520000}"/>
    <cellStyle name="Normal 5 2 2 4 2 3 3 2 3" xfId="25586" xr:uid="{00000000-0005-0000-0000-0000B4520000}"/>
    <cellStyle name="Normal 5 2 2 4 2 3 3 3" xfId="12315" xr:uid="{00000000-0005-0000-0000-0000B5520000}"/>
    <cellStyle name="Normal 5 2 2 4 2 3 3 3 2" xfId="28890" xr:uid="{00000000-0005-0000-0000-0000B6520000}"/>
    <cellStyle name="Normal 5 2 2 4 2 3 3 4" xfId="5622" xr:uid="{00000000-0005-0000-0000-0000B7520000}"/>
    <cellStyle name="Normal 5 2 2 4 2 3 3 4 2" xfId="22286" xr:uid="{00000000-0005-0000-0000-0000B8520000}"/>
    <cellStyle name="Normal 5 2 2 4 2 3 3 5" xfId="19512" xr:uid="{00000000-0005-0000-0000-0000B9520000}"/>
    <cellStyle name="Normal 5 2 2 4 2 3 4" xfId="7352" xr:uid="{00000000-0005-0000-0000-0000BA520000}"/>
    <cellStyle name="Normal 5 2 2 4 2 3 4 2" xfId="14615" xr:uid="{00000000-0005-0000-0000-0000BB520000}"/>
    <cellStyle name="Normal 5 2 2 4 2 3 4 2 2" xfId="30930" xr:uid="{00000000-0005-0000-0000-0000BC520000}"/>
    <cellStyle name="Normal 5 2 2 4 2 3 4 3" xfId="23965" xr:uid="{00000000-0005-0000-0000-0000BD520000}"/>
    <cellStyle name="Normal 5 2 2 4 2 3 5" xfId="10667" xr:uid="{00000000-0005-0000-0000-0000BE520000}"/>
    <cellStyle name="Normal 5 2 2 4 2 3 5 2" xfId="27265" xr:uid="{00000000-0005-0000-0000-0000BF520000}"/>
    <cellStyle name="Normal 5 2 2 4 2 3 6" xfId="4387" xr:uid="{00000000-0005-0000-0000-0000C0520000}"/>
    <cellStyle name="Normal 5 2 2 4 2 3 6 2" xfId="21110" xr:uid="{00000000-0005-0000-0000-0000C1520000}"/>
    <cellStyle name="Normal 5 2 2 4 2 3 7" xfId="18307" xr:uid="{00000000-0005-0000-0000-0000C2520000}"/>
    <cellStyle name="Normal 5 2 2 4 2 4" xfId="2787" xr:uid="{00000000-0005-0000-0000-0000C3520000}"/>
    <cellStyle name="Normal 5 2 2 4 2 4 2" xfId="6028" xr:uid="{00000000-0005-0000-0000-0000C4520000}"/>
    <cellStyle name="Normal 5 2 2 4 2 4 2 2" xfId="9379" xr:uid="{00000000-0005-0000-0000-0000C5520000}"/>
    <cellStyle name="Normal 5 2 2 4 2 4 2 2 2" xfId="16642" xr:uid="{00000000-0005-0000-0000-0000C6520000}"/>
    <cellStyle name="Normal 5 2 2 4 2 4 2 2 2 2" xfId="32957" xr:uid="{00000000-0005-0000-0000-0000C7520000}"/>
    <cellStyle name="Normal 5 2 2 4 2 4 2 2 3" xfId="25992" xr:uid="{00000000-0005-0000-0000-0000C8520000}"/>
    <cellStyle name="Normal 5 2 2 4 2 4 2 3" xfId="12721" xr:uid="{00000000-0005-0000-0000-0000C9520000}"/>
    <cellStyle name="Normal 5 2 2 4 2 4 2 3 2" xfId="29296" xr:uid="{00000000-0005-0000-0000-0000CA520000}"/>
    <cellStyle name="Normal 5 2 2 4 2 4 2 4" xfId="22692" xr:uid="{00000000-0005-0000-0000-0000CB520000}"/>
    <cellStyle name="Normal 5 2 2 4 2 4 3" xfId="7758" xr:uid="{00000000-0005-0000-0000-0000CC520000}"/>
    <cellStyle name="Normal 5 2 2 4 2 4 3 2" xfId="15021" xr:uid="{00000000-0005-0000-0000-0000CD520000}"/>
    <cellStyle name="Normal 5 2 2 4 2 4 3 2 2" xfId="31336" xr:uid="{00000000-0005-0000-0000-0000CE520000}"/>
    <cellStyle name="Normal 5 2 2 4 2 4 3 3" xfId="24371" xr:uid="{00000000-0005-0000-0000-0000CF520000}"/>
    <cellStyle name="Normal 5 2 2 4 2 4 4" xfId="11073" xr:uid="{00000000-0005-0000-0000-0000D0520000}"/>
    <cellStyle name="Normal 5 2 2 4 2 4 4 2" xfId="27671" xr:uid="{00000000-0005-0000-0000-0000D1520000}"/>
    <cellStyle name="Normal 5 2 2 4 2 4 5" xfId="4389" xr:uid="{00000000-0005-0000-0000-0000D2520000}"/>
    <cellStyle name="Normal 5 2 2 4 2 4 5 2" xfId="21112" xr:uid="{00000000-0005-0000-0000-0000D3520000}"/>
    <cellStyle name="Normal 5 2 2 4 2 4 6" xfId="19514" xr:uid="{00000000-0005-0000-0000-0000D4520000}"/>
    <cellStyle name="Normal 5 2 2 4 2 5" xfId="2780" xr:uid="{00000000-0005-0000-0000-0000D5520000}"/>
    <cellStyle name="Normal 5 2 2 4 2 5 2" xfId="8633" xr:uid="{00000000-0005-0000-0000-0000D6520000}"/>
    <cellStyle name="Normal 5 2 2 4 2 5 2 2" xfId="15896" xr:uid="{00000000-0005-0000-0000-0000D7520000}"/>
    <cellStyle name="Normal 5 2 2 4 2 5 2 2 2" xfId="32211" xr:uid="{00000000-0005-0000-0000-0000D8520000}"/>
    <cellStyle name="Normal 5 2 2 4 2 5 2 3" xfId="25246" xr:uid="{00000000-0005-0000-0000-0000D9520000}"/>
    <cellStyle name="Normal 5 2 2 4 2 5 3" xfId="11975" xr:uid="{00000000-0005-0000-0000-0000DA520000}"/>
    <cellStyle name="Normal 5 2 2 4 2 5 3 2" xfId="28550" xr:uid="{00000000-0005-0000-0000-0000DB520000}"/>
    <cellStyle name="Normal 5 2 2 4 2 5 4" xfId="5282" xr:uid="{00000000-0005-0000-0000-0000DC520000}"/>
    <cellStyle name="Normal 5 2 2 4 2 5 4 2" xfId="21946" xr:uid="{00000000-0005-0000-0000-0000DD520000}"/>
    <cellStyle name="Normal 5 2 2 4 2 5 5" xfId="19507" xr:uid="{00000000-0005-0000-0000-0000DE520000}"/>
    <cellStyle name="Normal 5 2 2 4 2 6" xfId="7014" xr:uid="{00000000-0005-0000-0000-0000DF520000}"/>
    <cellStyle name="Normal 5 2 2 4 2 6 2" xfId="14277" xr:uid="{00000000-0005-0000-0000-0000E0520000}"/>
    <cellStyle name="Normal 5 2 2 4 2 6 2 2" xfId="30592" xr:uid="{00000000-0005-0000-0000-0000E1520000}"/>
    <cellStyle name="Normal 5 2 2 4 2 6 3" xfId="23627" xr:uid="{00000000-0005-0000-0000-0000E2520000}"/>
    <cellStyle name="Normal 5 2 2 4 2 7" xfId="10328" xr:uid="{00000000-0005-0000-0000-0000E3520000}"/>
    <cellStyle name="Normal 5 2 2 4 2 7 2" xfId="26927" xr:uid="{00000000-0005-0000-0000-0000E4520000}"/>
    <cellStyle name="Normal 5 2 2 4 2 8" xfId="4382" xr:uid="{00000000-0005-0000-0000-0000E5520000}"/>
    <cellStyle name="Normal 5 2 2 4 2 8 2" xfId="21105" xr:uid="{00000000-0005-0000-0000-0000E6520000}"/>
    <cellStyle name="Normal 5 2 2 4 2 9" xfId="17788" xr:uid="{00000000-0005-0000-0000-0000E7520000}"/>
    <cellStyle name="Normal 5 2 2 4 3" xfId="1194" xr:uid="{00000000-0005-0000-0000-0000E8520000}"/>
    <cellStyle name="Normal 5 2 2 4 3 2" xfId="1715" xr:uid="{00000000-0005-0000-0000-0000E9520000}"/>
    <cellStyle name="Normal 5 2 2 4 3 2 2" xfId="2790" xr:uid="{00000000-0005-0000-0000-0000EA520000}"/>
    <cellStyle name="Normal 5 2 2 4 3 2 2 2" xfId="6609" xr:uid="{00000000-0005-0000-0000-0000EB520000}"/>
    <cellStyle name="Normal 5 2 2 4 3 2 2 2 2" xfId="9960" xr:uid="{00000000-0005-0000-0000-0000EC520000}"/>
    <cellStyle name="Normal 5 2 2 4 3 2 2 2 2 2" xfId="17223" xr:uid="{00000000-0005-0000-0000-0000ED520000}"/>
    <cellStyle name="Normal 5 2 2 4 3 2 2 2 2 2 2" xfId="33538" xr:uid="{00000000-0005-0000-0000-0000EE520000}"/>
    <cellStyle name="Normal 5 2 2 4 3 2 2 2 2 3" xfId="26573" xr:uid="{00000000-0005-0000-0000-0000EF520000}"/>
    <cellStyle name="Normal 5 2 2 4 3 2 2 2 3" xfId="13302" xr:uid="{00000000-0005-0000-0000-0000F0520000}"/>
    <cellStyle name="Normal 5 2 2 4 3 2 2 2 3 2" xfId="29877" xr:uid="{00000000-0005-0000-0000-0000F1520000}"/>
    <cellStyle name="Normal 5 2 2 4 3 2 2 2 4" xfId="23273" xr:uid="{00000000-0005-0000-0000-0000F2520000}"/>
    <cellStyle name="Normal 5 2 2 4 3 2 2 3" xfId="8339" xr:uid="{00000000-0005-0000-0000-0000F3520000}"/>
    <cellStyle name="Normal 5 2 2 4 3 2 2 3 2" xfId="15602" xr:uid="{00000000-0005-0000-0000-0000F4520000}"/>
    <cellStyle name="Normal 5 2 2 4 3 2 2 3 2 2" xfId="31917" xr:uid="{00000000-0005-0000-0000-0000F5520000}"/>
    <cellStyle name="Normal 5 2 2 4 3 2 2 3 3" xfId="24952" xr:uid="{00000000-0005-0000-0000-0000F6520000}"/>
    <cellStyle name="Normal 5 2 2 4 3 2 2 4" xfId="11654" xr:uid="{00000000-0005-0000-0000-0000F7520000}"/>
    <cellStyle name="Normal 5 2 2 4 3 2 2 4 2" xfId="28252" xr:uid="{00000000-0005-0000-0000-0000F8520000}"/>
    <cellStyle name="Normal 5 2 2 4 3 2 2 5" xfId="4392" xr:uid="{00000000-0005-0000-0000-0000F9520000}"/>
    <cellStyle name="Normal 5 2 2 4 3 2 2 5 2" xfId="21115" xr:uid="{00000000-0005-0000-0000-0000FA520000}"/>
    <cellStyle name="Normal 5 2 2 4 3 2 2 6" xfId="19517" xr:uid="{00000000-0005-0000-0000-0000FB520000}"/>
    <cellStyle name="Normal 5 2 2 4 3 2 3" xfId="2789" xr:uid="{00000000-0005-0000-0000-0000FC520000}"/>
    <cellStyle name="Normal 5 2 2 4 3 2 3 2" xfId="9184" xr:uid="{00000000-0005-0000-0000-0000FD520000}"/>
    <cellStyle name="Normal 5 2 2 4 3 2 3 2 2" xfId="16447" xr:uid="{00000000-0005-0000-0000-0000FE520000}"/>
    <cellStyle name="Normal 5 2 2 4 3 2 3 2 2 2" xfId="32762" xr:uid="{00000000-0005-0000-0000-0000FF520000}"/>
    <cellStyle name="Normal 5 2 2 4 3 2 3 2 3" xfId="25797" xr:uid="{00000000-0005-0000-0000-000000530000}"/>
    <cellStyle name="Normal 5 2 2 4 3 2 3 3" xfId="12526" xr:uid="{00000000-0005-0000-0000-000001530000}"/>
    <cellStyle name="Normal 5 2 2 4 3 2 3 3 2" xfId="29101" xr:uid="{00000000-0005-0000-0000-000002530000}"/>
    <cellStyle name="Normal 5 2 2 4 3 2 3 4" xfId="5833" xr:uid="{00000000-0005-0000-0000-000003530000}"/>
    <cellStyle name="Normal 5 2 2 4 3 2 3 4 2" xfId="22497" xr:uid="{00000000-0005-0000-0000-000004530000}"/>
    <cellStyle name="Normal 5 2 2 4 3 2 3 5" xfId="19516" xr:uid="{00000000-0005-0000-0000-000005530000}"/>
    <cellStyle name="Normal 5 2 2 4 3 2 4" xfId="7563" xr:uid="{00000000-0005-0000-0000-000006530000}"/>
    <cellStyle name="Normal 5 2 2 4 3 2 4 2" xfId="14826" xr:uid="{00000000-0005-0000-0000-000007530000}"/>
    <cellStyle name="Normal 5 2 2 4 3 2 4 2 2" xfId="31141" xr:uid="{00000000-0005-0000-0000-000008530000}"/>
    <cellStyle name="Normal 5 2 2 4 3 2 4 3" xfId="24176" xr:uid="{00000000-0005-0000-0000-000009530000}"/>
    <cellStyle name="Normal 5 2 2 4 3 2 5" xfId="10878" xr:uid="{00000000-0005-0000-0000-00000A530000}"/>
    <cellStyle name="Normal 5 2 2 4 3 2 5 2" xfId="27476" xr:uid="{00000000-0005-0000-0000-00000B530000}"/>
    <cellStyle name="Normal 5 2 2 4 3 2 6" xfId="4391" xr:uid="{00000000-0005-0000-0000-00000C530000}"/>
    <cellStyle name="Normal 5 2 2 4 3 2 6 2" xfId="21114" xr:uid="{00000000-0005-0000-0000-00000D530000}"/>
    <cellStyle name="Normal 5 2 2 4 3 2 7" xfId="18450" xr:uid="{00000000-0005-0000-0000-00000E530000}"/>
    <cellStyle name="Normal 5 2 2 4 3 3" xfId="2791" xr:uid="{00000000-0005-0000-0000-00000F530000}"/>
    <cellStyle name="Normal 5 2 2 4 3 3 2" xfId="6239" xr:uid="{00000000-0005-0000-0000-000010530000}"/>
    <cellStyle name="Normal 5 2 2 4 3 3 2 2" xfId="9590" xr:uid="{00000000-0005-0000-0000-000011530000}"/>
    <cellStyle name="Normal 5 2 2 4 3 3 2 2 2" xfId="16853" xr:uid="{00000000-0005-0000-0000-000012530000}"/>
    <cellStyle name="Normal 5 2 2 4 3 3 2 2 2 2" xfId="33168" xr:uid="{00000000-0005-0000-0000-000013530000}"/>
    <cellStyle name="Normal 5 2 2 4 3 3 2 2 3" xfId="26203" xr:uid="{00000000-0005-0000-0000-000014530000}"/>
    <cellStyle name="Normal 5 2 2 4 3 3 2 3" xfId="12932" xr:uid="{00000000-0005-0000-0000-000015530000}"/>
    <cellStyle name="Normal 5 2 2 4 3 3 2 3 2" xfId="29507" xr:uid="{00000000-0005-0000-0000-000016530000}"/>
    <cellStyle name="Normal 5 2 2 4 3 3 2 4" xfId="22903" xr:uid="{00000000-0005-0000-0000-000017530000}"/>
    <cellStyle name="Normal 5 2 2 4 3 3 3" xfId="7969" xr:uid="{00000000-0005-0000-0000-000018530000}"/>
    <cellStyle name="Normal 5 2 2 4 3 3 3 2" xfId="15232" xr:uid="{00000000-0005-0000-0000-000019530000}"/>
    <cellStyle name="Normal 5 2 2 4 3 3 3 2 2" xfId="31547" xr:uid="{00000000-0005-0000-0000-00001A530000}"/>
    <cellStyle name="Normal 5 2 2 4 3 3 3 3" xfId="24582" xr:uid="{00000000-0005-0000-0000-00001B530000}"/>
    <cellStyle name="Normal 5 2 2 4 3 3 4" xfId="11284" xr:uid="{00000000-0005-0000-0000-00001C530000}"/>
    <cellStyle name="Normal 5 2 2 4 3 3 4 2" xfId="27882" xr:uid="{00000000-0005-0000-0000-00001D530000}"/>
    <cellStyle name="Normal 5 2 2 4 3 3 5" xfId="4393" xr:uid="{00000000-0005-0000-0000-00001E530000}"/>
    <cellStyle name="Normal 5 2 2 4 3 3 5 2" xfId="21116" xr:uid="{00000000-0005-0000-0000-00001F530000}"/>
    <cellStyle name="Normal 5 2 2 4 3 3 6" xfId="19518" xr:uid="{00000000-0005-0000-0000-000020530000}"/>
    <cellStyle name="Normal 5 2 2 4 3 4" xfId="2788" xr:uid="{00000000-0005-0000-0000-000021530000}"/>
    <cellStyle name="Normal 5 2 2 4 3 4 2" xfId="8777" xr:uid="{00000000-0005-0000-0000-000022530000}"/>
    <cellStyle name="Normal 5 2 2 4 3 4 2 2" xfId="16040" xr:uid="{00000000-0005-0000-0000-000023530000}"/>
    <cellStyle name="Normal 5 2 2 4 3 4 2 2 2" xfId="32355" xr:uid="{00000000-0005-0000-0000-000024530000}"/>
    <cellStyle name="Normal 5 2 2 4 3 4 2 3" xfId="25390" xr:uid="{00000000-0005-0000-0000-000025530000}"/>
    <cellStyle name="Normal 5 2 2 4 3 4 3" xfId="12119" xr:uid="{00000000-0005-0000-0000-000026530000}"/>
    <cellStyle name="Normal 5 2 2 4 3 4 3 2" xfId="28694" xr:uid="{00000000-0005-0000-0000-000027530000}"/>
    <cellStyle name="Normal 5 2 2 4 3 4 4" xfId="5426" xr:uid="{00000000-0005-0000-0000-000028530000}"/>
    <cellStyle name="Normal 5 2 2 4 3 4 4 2" xfId="22090" xr:uid="{00000000-0005-0000-0000-000029530000}"/>
    <cellStyle name="Normal 5 2 2 4 3 4 5" xfId="19515" xr:uid="{00000000-0005-0000-0000-00002A530000}"/>
    <cellStyle name="Normal 5 2 2 4 3 5" xfId="7157" xr:uid="{00000000-0005-0000-0000-00002B530000}"/>
    <cellStyle name="Normal 5 2 2 4 3 5 2" xfId="14420" xr:uid="{00000000-0005-0000-0000-00002C530000}"/>
    <cellStyle name="Normal 5 2 2 4 3 5 2 2" xfId="30735" xr:uid="{00000000-0005-0000-0000-00002D530000}"/>
    <cellStyle name="Normal 5 2 2 4 3 5 3" xfId="23770" xr:uid="{00000000-0005-0000-0000-00002E530000}"/>
    <cellStyle name="Normal 5 2 2 4 3 6" xfId="10472" xr:uid="{00000000-0005-0000-0000-00002F530000}"/>
    <cellStyle name="Normal 5 2 2 4 3 6 2" xfId="27070" xr:uid="{00000000-0005-0000-0000-000030530000}"/>
    <cellStyle name="Normal 5 2 2 4 3 7" xfId="4390" xr:uid="{00000000-0005-0000-0000-000031530000}"/>
    <cellStyle name="Normal 5 2 2 4 3 7 2" xfId="21113" xr:uid="{00000000-0005-0000-0000-000032530000}"/>
    <cellStyle name="Normal 5 2 2 4 3 8" xfId="17931" xr:uid="{00000000-0005-0000-0000-000033530000}"/>
    <cellStyle name="Normal 5 2 2 4 4" xfId="904" xr:uid="{00000000-0005-0000-0000-000034530000}"/>
    <cellStyle name="Normal 5 2 2 4 4 2" xfId="1466" xr:uid="{00000000-0005-0000-0000-000035530000}"/>
    <cellStyle name="Normal 5 2 2 4 4 2 2" xfId="2793" xr:uid="{00000000-0005-0000-0000-000036530000}"/>
    <cellStyle name="Normal 5 2 2 4 4 2 2 2" xfId="9784" xr:uid="{00000000-0005-0000-0000-000037530000}"/>
    <cellStyle name="Normal 5 2 2 4 4 2 2 2 2" xfId="17047" xr:uid="{00000000-0005-0000-0000-000038530000}"/>
    <cellStyle name="Normal 5 2 2 4 4 2 2 2 2 2" xfId="33362" xr:uid="{00000000-0005-0000-0000-000039530000}"/>
    <cellStyle name="Normal 5 2 2 4 4 2 2 2 3" xfId="26397" xr:uid="{00000000-0005-0000-0000-00003A530000}"/>
    <cellStyle name="Normal 5 2 2 4 4 2 2 3" xfId="13126" xr:uid="{00000000-0005-0000-0000-00003B530000}"/>
    <cellStyle name="Normal 5 2 2 4 4 2 2 3 2" xfId="29701" xr:uid="{00000000-0005-0000-0000-00003C530000}"/>
    <cellStyle name="Normal 5 2 2 4 4 2 2 4" xfId="6433" xr:uid="{00000000-0005-0000-0000-00003D530000}"/>
    <cellStyle name="Normal 5 2 2 4 4 2 2 4 2" xfId="23097" xr:uid="{00000000-0005-0000-0000-00003E530000}"/>
    <cellStyle name="Normal 5 2 2 4 4 2 2 5" xfId="19520" xr:uid="{00000000-0005-0000-0000-00003F530000}"/>
    <cellStyle name="Normal 5 2 2 4 4 2 3" xfId="8163" xr:uid="{00000000-0005-0000-0000-000040530000}"/>
    <cellStyle name="Normal 5 2 2 4 4 2 3 2" xfId="15426" xr:uid="{00000000-0005-0000-0000-000041530000}"/>
    <cellStyle name="Normal 5 2 2 4 4 2 3 2 2" xfId="31741" xr:uid="{00000000-0005-0000-0000-000042530000}"/>
    <cellStyle name="Normal 5 2 2 4 4 2 3 3" xfId="24776" xr:uid="{00000000-0005-0000-0000-000043530000}"/>
    <cellStyle name="Normal 5 2 2 4 4 2 4" xfId="11478" xr:uid="{00000000-0005-0000-0000-000044530000}"/>
    <cellStyle name="Normal 5 2 2 4 4 2 4 2" xfId="28076" xr:uid="{00000000-0005-0000-0000-000045530000}"/>
    <cellStyle name="Normal 5 2 2 4 4 2 5" xfId="4395" xr:uid="{00000000-0005-0000-0000-000046530000}"/>
    <cellStyle name="Normal 5 2 2 4 4 2 5 2" xfId="21118" xr:uid="{00000000-0005-0000-0000-000047530000}"/>
    <cellStyle name="Normal 5 2 2 4 4 2 6" xfId="18201" xr:uid="{00000000-0005-0000-0000-000048530000}"/>
    <cellStyle name="Normal 5 2 2 4 4 3" xfId="2792" xr:uid="{00000000-0005-0000-0000-000049530000}"/>
    <cellStyle name="Normal 5 2 2 4 4 3 2" xfId="8972" xr:uid="{00000000-0005-0000-0000-00004A530000}"/>
    <cellStyle name="Normal 5 2 2 4 4 3 2 2" xfId="16235" xr:uid="{00000000-0005-0000-0000-00004B530000}"/>
    <cellStyle name="Normal 5 2 2 4 4 3 2 2 2" xfId="32550" xr:uid="{00000000-0005-0000-0000-00004C530000}"/>
    <cellStyle name="Normal 5 2 2 4 4 3 2 3" xfId="25585" xr:uid="{00000000-0005-0000-0000-00004D530000}"/>
    <cellStyle name="Normal 5 2 2 4 4 3 3" xfId="12314" xr:uid="{00000000-0005-0000-0000-00004E530000}"/>
    <cellStyle name="Normal 5 2 2 4 4 3 3 2" xfId="28889" xr:uid="{00000000-0005-0000-0000-00004F530000}"/>
    <cellStyle name="Normal 5 2 2 4 4 3 4" xfId="5621" xr:uid="{00000000-0005-0000-0000-000050530000}"/>
    <cellStyle name="Normal 5 2 2 4 4 3 4 2" xfId="22285" xr:uid="{00000000-0005-0000-0000-000051530000}"/>
    <cellStyle name="Normal 5 2 2 4 4 3 5" xfId="19519" xr:uid="{00000000-0005-0000-0000-000052530000}"/>
    <cellStyle name="Normal 5 2 2 4 4 4" xfId="7351" xr:uid="{00000000-0005-0000-0000-000053530000}"/>
    <cellStyle name="Normal 5 2 2 4 4 4 2" xfId="14614" xr:uid="{00000000-0005-0000-0000-000054530000}"/>
    <cellStyle name="Normal 5 2 2 4 4 4 2 2" xfId="30929" xr:uid="{00000000-0005-0000-0000-000055530000}"/>
    <cellStyle name="Normal 5 2 2 4 4 4 3" xfId="23964" xr:uid="{00000000-0005-0000-0000-000056530000}"/>
    <cellStyle name="Normal 5 2 2 4 4 5" xfId="10666" xr:uid="{00000000-0005-0000-0000-000057530000}"/>
    <cellStyle name="Normal 5 2 2 4 4 5 2" xfId="27264" xr:uid="{00000000-0005-0000-0000-000058530000}"/>
    <cellStyle name="Normal 5 2 2 4 4 6" xfId="4394" xr:uid="{00000000-0005-0000-0000-000059530000}"/>
    <cellStyle name="Normal 5 2 2 4 4 6 2" xfId="21117" xr:uid="{00000000-0005-0000-0000-00005A530000}"/>
    <cellStyle name="Normal 5 2 2 4 4 7" xfId="17682" xr:uid="{00000000-0005-0000-0000-00005B530000}"/>
    <cellStyle name="Normal 5 2 2 4 5" xfId="745" xr:uid="{00000000-0005-0000-0000-00005C530000}"/>
    <cellStyle name="Normal 5 2 2 4 5 2" xfId="2794" xr:uid="{00000000-0005-0000-0000-00005D530000}"/>
    <cellStyle name="Normal 5 2 2 4 5 2 2" xfId="9378" xr:uid="{00000000-0005-0000-0000-00005E530000}"/>
    <cellStyle name="Normal 5 2 2 4 5 2 2 2" xfId="16641" xr:uid="{00000000-0005-0000-0000-00005F530000}"/>
    <cellStyle name="Normal 5 2 2 4 5 2 2 2 2" xfId="32956" xr:uid="{00000000-0005-0000-0000-000060530000}"/>
    <cellStyle name="Normal 5 2 2 4 5 2 2 3" xfId="25991" xr:uid="{00000000-0005-0000-0000-000061530000}"/>
    <cellStyle name="Normal 5 2 2 4 5 2 3" xfId="12720" xr:uid="{00000000-0005-0000-0000-000062530000}"/>
    <cellStyle name="Normal 5 2 2 4 5 2 3 2" xfId="29295" xr:uid="{00000000-0005-0000-0000-000063530000}"/>
    <cellStyle name="Normal 5 2 2 4 5 2 4" xfId="6027" xr:uid="{00000000-0005-0000-0000-000064530000}"/>
    <cellStyle name="Normal 5 2 2 4 5 2 4 2" xfId="22691" xr:uid="{00000000-0005-0000-0000-000065530000}"/>
    <cellStyle name="Normal 5 2 2 4 5 2 5" xfId="19521" xr:uid="{00000000-0005-0000-0000-000066530000}"/>
    <cellStyle name="Normal 5 2 2 4 5 3" xfId="7757" xr:uid="{00000000-0005-0000-0000-000067530000}"/>
    <cellStyle name="Normal 5 2 2 4 5 3 2" xfId="15020" xr:uid="{00000000-0005-0000-0000-000068530000}"/>
    <cellStyle name="Normal 5 2 2 4 5 3 2 2" xfId="31335" xr:uid="{00000000-0005-0000-0000-000069530000}"/>
    <cellStyle name="Normal 5 2 2 4 5 3 3" xfId="24370" xr:uid="{00000000-0005-0000-0000-00006A530000}"/>
    <cellStyle name="Normal 5 2 2 4 5 4" xfId="11072" xr:uid="{00000000-0005-0000-0000-00006B530000}"/>
    <cellStyle name="Normal 5 2 2 4 5 4 2" xfId="27670" xr:uid="{00000000-0005-0000-0000-00006C530000}"/>
    <cellStyle name="Normal 5 2 2 4 5 5" xfId="4396" xr:uid="{00000000-0005-0000-0000-00006D530000}"/>
    <cellStyle name="Normal 5 2 2 4 5 5 2" xfId="21119" xr:uid="{00000000-0005-0000-0000-00006E530000}"/>
    <cellStyle name="Normal 5 2 2 4 5 6" xfId="17558" xr:uid="{00000000-0005-0000-0000-00006F530000}"/>
    <cellStyle name="Normal 5 2 2 4 6" xfId="1342" xr:uid="{00000000-0005-0000-0000-000070530000}"/>
    <cellStyle name="Normal 5 2 2 4 6 2" xfId="8527" xr:uid="{00000000-0005-0000-0000-000071530000}"/>
    <cellStyle name="Normal 5 2 2 4 6 2 2" xfId="15790" xr:uid="{00000000-0005-0000-0000-000072530000}"/>
    <cellStyle name="Normal 5 2 2 4 6 2 2 2" xfId="32105" xr:uid="{00000000-0005-0000-0000-000073530000}"/>
    <cellStyle name="Normal 5 2 2 4 6 2 3" xfId="25140" xr:uid="{00000000-0005-0000-0000-000074530000}"/>
    <cellStyle name="Normal 5 2 2 4 6 3" xfId="11869" xr:uid="{00000000-0005-0000-0000-000075530000}"/>
    <cellStyle name="Normal 5 2 2 4 6 3 2" xfId="28444" xr:uid="{00000000-0005-0000-0000-000076530000}"/>
    <cellStyle name="Normal 5 2 2 4 6 4" xfId="5176" xr:uid="{00000000-0005-0000-0000-000077530000}"/>
    <cellStyle name="Normal 5 2 2 4 6 4 2" xfId="21840" xr:uid="{00000000-0005-0000-0000-000078530000}"/>
    <cellStyle name="Normal 5 2 2 4 6 5" xfId="18077" xr:uid="{00000000-0005-0000-0000-000079530000}"/>
    <cellStyle name="Normal 5 2 2 4 7" xfId="2779" xr:uid="{00000000-0005-0000-0000-00007A530000}"/>
    <cellStyle name="Normal 5 2 2 4 7 2" xfId="14171" xr:uid="{00000000-0005-0000-0000-00007B530000}"/>
    <cellStyle name="Normal 5 2 2 4 7 2 2" xfId="30486" xr:uid="{00000000-0005-0000-0000-00007C530000}"/>
    <cellStyle name="Normal 5 2 2 4 7 3" xfId="6908" xr:uid="{00000000-0005-0000-0000-00007D530000}"/>
    <cellStyle name="Normal 5 2 2 4 7 3 2" xfId="23521" xr:uid="{00000000-0005-0000-0000-00007E530000}"/>
    <cellStyle name="Normal 5 2 2 4 7 4" xfId="19506" xr:uid="{00000000-0005-0000-0000-00007F530000}"/>
    <cellStyle name="Normal 5 2 2 4 8" xfId="10222" xr:uid="{00000000-0005-0000-0000-000080530000}"/>
    <cellStyle name="Normal 5 2 2 4 8 2" xfId="26821" xr:uid="{00000000-0005-0000-0000-000081530000}"/>
    <cellStyle name="Normal 5 2 2 4 9" xfId="4381" xr:uid="{00000000-0005-0000-0000-000082530000}"/>
    <cellStyle name="Normal 5 2 2 4 9 2" xfId="21104" xr:uid="{00000000-0005-0000-0000-000083530000}"/>
    <cellStyle name="Normal 5 2 2 5" xfId="957" xr:uid="{00000000-0005-0000-0000-000084530000}"/>
    <cellStyle name="Normal 5 2 2 5 2" xfId="1196" xr:uid="{00000000-0005-0000-0000-000085530000}"/>
    <cellStyle name="Normal 5 2 2 5 2 2" xfId="1717" xr:uid="{00000000-0005-0000-0000-000086530000}"/>
    <cellStyle name="Normal 5 2 2 5 2 2 2" xfId="2798" xr:uid="{00000000-0005-0000-0000-000087530000}"/>
    <cellStyle name="Normal 5 2 2 5 2 2 2 2" xfId="6611" xr:uid="{00000000-0005-0000-0000-000088530000}"/>
    <cellStyle name="Normal 5 2 2 5 2 2 2 2 2" xfId="9962" xr:uid="{00000000-0005-0000-0000-000089530000}"/>
    <cellStyle name="Normal 5 2 2 5 2 2 2 2 2 2" xfId="17225" xr:uid="{00000000-0005-0000-0000-00008A530000}"/>
    <cellStyle name="Normal 5 2 2 5 2 2 2 2 2 2 2" xfId="33540" xr:uid="{00000000-0005-0000-0000-00008B530000}"/>
    <cellStyle name="Normal 5 2 2 5 2 2 2 2 2 3" xfId="26575" xr:uid="{00000000-0005-0000-0000-00008C530000}"/>
    <cellStyle name="Normal 5 2 2 5 2 2 2 2 3" xfId="13304" xr:uid="{00000000-0005-0000-0000-00008D530000}"/>
    <cellStyle name="Normal 5 2 2 5 2 2 2 2 3 2" xfId="29879" xr:uid="{00000000-0005-0000-0000-00008E530000}"/>
    <cellStyle name="Normal 5 2 2 5 2 2 2 2 4" xfId="23275" xr:uid="{00000000-0005-0000-0000-00008F530000}"/>
    <cellStyle name="Normal 5 2 2 5 2 2 2 3" xfId="8341" xr:uid="{00000000-0005-0000-0000-000090530000}"/>
    <cellStyle name="Normal 5 2 2 5 2 2 2 3 2" xfId="15604" xr:uid="{00000000-0005-0000-0000-000091530000}"/>
    <cellStyle name="Normal 5 2 2 5 2 2 2 3 2 2" xfId="31919" xr:uid="{00000000-0005-0000-0000-000092530000}"/>
    <cellStyle name="Normal 5 2 2 5 2 2 2 3 3" xfId="24954" xr:uid="{00000000-0005-0000-0000-000093530000}"/>
    <cellStyle name="Normal 5 2 2 5 2 2 2 4" xfId="11656" xr:uid="{00000000-0005-0000-0000-000094530000}"/>
    <cellStyle name="Normal 5 2 2 5 2 2 2 4 2" xfId="28254" xr:uid="{00000000-0005-0000-0000-000095530000}"/>
    <cellStyle name="Normal 5 2 2 5 2 2 2 5" xfId="4400" xr:uid="{00000000-0005-0000-0000-000096530000}"/>
    <cellStyle name="Normal 5 2 2 5 2 2 2 5 2" xfId="21123" xr:uid="{00000000-0005-0000-0000-000097530000}"/>
    <cellStyle name="Normal 5 2 2 5 2 2 2 6" xfId="19525" xr:uid="{00000000-0005-0000-0000-000098530000}"/>
    <cellStyle name="Normal 5 2 2 5 2 2 3" xfId="2797" xr:uid="{00000000-0005-0000-0000-000099530000}"/>
    <cellStyle name="Normal 5 2 2 5 2 2 3 2" xfId="9186" xr:uid="{00000000-0005-0000-0000-00009A530000}"/>
    <cellStyle name="Normal 5 2 2 5 2 2 3 2 2" xfId="16449" xr:uid="{00000000-0005-0000-0000-00009B530000}"/>
    <cellStyle name="Normal 5 2 2 5 2 2 3 2 2 2" xfId="32764" xr:uid="{00000000-0005-0000-0000-00009C530000}"/>
    <cellStyle name="Normal 5 2 2 5 2 2 3 2 3" xfId="25799" xr:uid="{00000000-0005-0000-0000-00009D530000}"/>
    <cellStyle name="Normal 5 2 2 5 2 2 3 3" xfId="12528" xr:uid="{00000000-0005-0000-0000-00009E530000}"/>
    <cellStyle name="Normal 5 2 2 5 2 2 3 3 2" xfId="29103" xr:uid="{00000000-0005-0000-0000-00009F530000}"/>
    <cellStyle name="Normal 5 2 2 5 2 2 3 4" xfId="5835" xr:uid="{00000000-0005-0000-0000-0000A0530000}"/>
    <cellStyle name="Normal 5 2 2 5 2 2 3 4 2" xfId="22499" xr:uid="{00000000-0005-0000-0000-0000A1530000}"/>
    <cellStyle name="Normal 5 2 2 5 2 2 3 5" xfId="19524" xr:uid="{00000000-0005-0000-0000-0000A2530000}"/>
    <cellStyle name="Normal 5 2 2 5 2 2 4" xfId="7565" xr:uid="{00000000-0005-0000-0000-0000A3530000}"/>
    <cellStyle name="Normal 5 2 2 5 2 2 4 2" xfId="14828" xr:uid="{00000000-0005-0000-0000-0000A4530000}"/>
    <cellStyle name="Normal 5 2 2 5 2 2 4 2 2" xfId="31143" xr:uid="{00000000-0005-0000-0000-0000A5530000}"/>
    <cellStyle name="Normal 5 2 2 5 2 2 4 3" xfId="24178" xr:uid="{00000000-0005-0000-0000-0000A6530000}"/>
    <cellStyle name="Normal 5 2 2 5 2 2 5" xfId="10880" xr:uid="{00000000-0005-0000-0000-0000A7530000}"/>
    <cellStyle name="Normal 5 2 2 5 2 2 5 2" xfId="27478" xr:uid="{00000000-0005-0000-0000-0000A8530000}"/>
    <cellStyle name="Normal 5 2 2 5 2 2 6" xfId="4399" xr:uid="{00000000-0005-0000-0000-0000A9530000}"/>
    <cellStyle name="Normal 5 2 2 5 2 2 6 2" xfId="21122" xr:uid="{00000000-0005-0000-0000-0000AA530000}"/>
    <cellStyle name="Normal 5 2 2 5 2 2 7" xfId="18452" xr:uid="{00000000-0005-0000-0000-0000AB530000}"/>
    <cellStyle name="Normal 5 2 2 5 2 3" xfId="2799" xr:uid="{00000000-0005-0000-0000-0000AC530000}"/>
    <cellStyle name="Normal 5 2 2 5 2 3 2" xfId="6241" xr:uid="{00000000-0005-0000-0000-0000AD530000}"/>
    <cellStyle name="Normal 5 2 2 5 2 3 2 2" xfId="9592" xr:uid="{00000000-0005-0000-0000-0000AE530000}"/>
    <cellStyle name="Normal 5 2 2 5 2 3 2 2 2" xfId="16855" xr:uid="{00000000-0005-0000-0000-0000AF530000}"/>
    <cellStyle name="Normal 5 2 2 5 2 3 2 2 2 2" xfId="33170" xr:uid="{00000000-0005-0000-0000-0000B0530000}"/>
    <cellStyle name="Normal 5 2 2 5 2 3 2 2 3" xfId="26205" xr:uid="{00000000-0005-0000-0000-0000B1530000}"/>
    <cellStyle name="Normal 5 2 2 5 2 3 2 3" xfId="12934" xr:uid="{00000000-0005-0000-0000-0000B2530000}"/>
    <cellStyle name="Normal 5 2 2 5 2 3 2 3 2" xfId="29509" xr:uid="{00000000-0005-0000-0000-0000B3530000}"/>
    <cellStyle name="Normal 5 2 2 5 2 3 2 4" xfId="22905" xr:uid="{00000000-0005-0000-0000-0000B4530000}"/>
    <cellStyle name="Normal 5 2 2 5 2 3 3" xfId="7971" xr:uid="{00000000-0005-0000-0000-0000B5530000}"/>
    <cellStyle name="Normal 5 2 2 5 2 3 3 2" xfId="15234" xr:uid="{00000000-0005-0000-0000-0000B6530000}"/>
    <cellStyle name="Normal 5 2 2 5 2 3 3 2 2" xfId="31549" xr:uid="{00000000-0005-0000-0000-0000B7530000}"/>
    <cellStyle name="Normal 5 2 2 5 2 3 3 3" xfId="24584" xr:uid="{00000000-0005-0000-0000-0000B8530000}"/>
    <cellStyle name="Normal 5 2 2 5 2 3 4" xfId="11286" xr:uid="{00000000-0005-0000-0000-0000B9530000}"/>
    <cellStyle name="Normal 5 2 2 5 2 3 4 2" xfId="27884" xr:uid="{00000000-0005-0000-0000-0000BA530000}"/>
    <cellStyle name="Normal 5 2 2 5 2 3 5" xfId="4401" xr:uid="{00000000-0005-0000-0000-0000BB530000}"/>
    <cellStyle name="Normal 5 2 2 5 2 3 5 2" xfId="21124" xr:uid="{00000000-0005-0000-0000-0000BC530000}"/>
    <cellStyle name="Normal 5 2 2 5 2 3 6" xfId="19526" xr:uid="{00000000-0005-0000-0000-0000BD530000}"/>
    <cellStyle name="Normal 5 2 2 5 2 4" xfId="2796" xr:uid="{00000000-0005-0000-0000-0000BE530000}"/>
    <cellStyle name="Normal 5 2 2 5 2 4 2" xfId="8779" xr:uid="{00000000-0005-0000-0000-0000BF530000}"/>
    <cellStyle name="Normal 5 2 2 5 2 4 2 2" xfId="16042" xr:uid="{00000000-0005-0000-0000-0000C0530000}"/>
    <cellStyle name="Normal 5 2 2 5 2 4 2 2 2" xfId="32357" xr:uid="{00000000-0005-0000-0000-0000C1530000}"/>
    <cellStyle name="Normal 5 2 2 5 2 4 2 3" xfId="25392" xr:uid="{00000000-0005-0000-0000-0000C2530000}"/>
    <cellStyle name="Normal 5 2 2 5 2 4 3" xfId="12121" xr:uid="{00000000-0005-0000-0000-0000C3530000}"/>
    <cellStyle name="Normal 5 2 2 5 2 4 3 2" xfId="28696" xr:uid="{00000000-0005-0000-0000-0000C4530000}"/>
    <cellStyle name="Normal 5 2 2 5 2 4 4" xfId="5428" xr:uid="{00000000-0005-0000-0000-0000C5530000}"/>
    <cellStyle name="Normal 5 2 2 5 2 4 4 2" xfId="22092" xr:uid="{00000000-0005-0000-0000-0000C6530000}"/>
    <cellStyle name="Normal 5 2 2 5 2 4 5" xfId="19523" xr:uid="{00000000-0005-0000-0000-0000C7530000}"/>
    <cellStyle name="Normal 5 2 2 5 2 5" xfId="7159" xr:uid="{00000000-0005-0000-0000-0000C8530000}"/>
    <cellStyle name="Normal 5 2 2 5 2 5 2" xfId="14422" xr:uid="{00000000-0005-0000-0000-0000C9530000}"/>
    <cellStyle name="Normal 5 2 2 5 2 5 2 2" xfId="30737" xr:uid="{00000000-0005-0000-0000-0000CA530000}"/>
    <cellStyle name="Normal 5 2 2 5 2 5 3" xfId="23772" xr:uid="{00000000-0005-0000-0000-0000CB530000}"/>
    <cellStyle name="Normal 5 2 2 5 2 6" xfId="10474" xr:uid="{00000000-0005-0000-0000-0000CC530000}"/>
    <cellStyle name="Normal 5 2 2 5 2 6 2" xfId="27072" xr:uid="{00000000-0005-0000-0000-0000CD530000}"/>
    <cellStyle name="Normal 5 2 2 5 2 7" xfId="4398" xr:uid="{00000000-0005-0000-0000-0000CE530000}"/>
    <cellStyle name="Normal 5 2 2 5 2 7 2" xfId="21121" xr:uid="{00000000-0005-0000-0000-0000CF530000}"/>
    <cellStyle name="Normal 5 2 2 5 2 8" xfId="17933" xr:uid="{00000000-0005-0000-0000-0000D0530000}"/>
    <cellStyle name="Normal 5 2 2 5 3" xfId="1519" xr:uid="{00000000-0005-0000-0000-0000D1530000}"/>
    <cellStyle name="Normal 5 2 2 5 3 2" xfId="2801" xr:uid="{00000000-0005-0000-0000-0000D2530000}"/>
    <cellStyle name="Normal 5 2 2 5 3 2 2" xfId="6435" xr:uid="{00000000-0005-0000-0000-0000D3530000}"/>
    <cellStyle name="Normal 5 2 2 5 3 2 2 2" xfId="9786" xr:uid="{00000000-0005-0000-0000-0000D4530000}"/>
    <cellStyle name="Normal 5 2 2 5 3 2 2 2 2" xfId="17049" xr:uid="{00000000-0005-0000-0000-0000D5530000}"/>
    <cellStyle name="Normal 5 2 2 5 3 2 2 2 2 2" xfId="33364" xr:uid="{00000000-0005-0000-0000-0000D6530000}"/>
    <cellStyle name="Normal 5 2 2 5 3 2 2 2 3" xfId="26399" xr:uid="{00000000-0005-0000-0000-0000D7530000}"/>
    <cellStyle name="Normal 5 2 2 5 3 2 2 3" xfId="13128" xr:uid="{00000000-0005-0000-0000-0000D8530000}"/>
    <cellStyle name="Normal 5 2 2 5 3 2 2 3 2" xfId="29703" xr:uid="{00000000-0005-0000-0000-0000D9530000}"/>
    <cellStyle name="Normal 5 2 2 5 3 2 2 4" xfId="23099" xr:uid="{00000000-0005-0000-0000-0000DA530000}"/>
    <cellStyle name="Normal 5 2 2 5 3 2 3" xfId="8165" xr:uid="{00000000-0005-0000-0000-0000DB530000}"/>
    <cellStyle name="Normal 5 2 2 5 3 2 3 2" xfId="15428" xr:uid="{00000000-0005-0000-0000-0000DC530000}"/>
    <cellStyle name="Normal 5 2 2 5 3 2 3 2 2" xfId="31743" xr:uid="{00000000-0005-0000-0000-0000DD530000}"/>
    <cellStyle name="Normal 5 2 2 5 3 2 3 3" xfId="24778" xr:uid="{00000000-0005-0000-0000-0000DE530000}"/>
    <cellStyle name="Normal 5 2 2 5 3 2 4" xfId="11480" xr:uid="{00000000-0005-0000-0000-0000DF530000}"/>
    <cellStyle name="Normal 5 2 2 5 3 2 4 2" xfId="28078" xr:uid="{00000000-0005-0000-0000-0000E0530000}"/>
    <cellStyle name="Normal 5 2 2 5 3 2 5" xfId="4403" xr:uid="{00000000-0005-0000-0000-0000E1530000}"/>
    <cellStyle name="Normal 5 2 2 5 3 2 5 2" xfId="21126" xr:uid="{00000000-0005-0000-0000-0000E2530000}"/>
    <cellStyle name="Normal 5 2 2 5 3 2 6" xfId="19528" xr:uid="{00000000-0005-0000-0000-0000E3530000}"/>
    <cellStyle name="Normal 5 2 2 5 3 3" xfId="2800" xr:uid="{00000000-0005-0000-0000-0000E4530000}"/>
    <cellStyle name="Normal 5 2 2 5 3 3 2" xfId="8974" xr:uid="{00000000-0005-0000-0000-0000E5530000}"/>
    <cellStyle name="Normal 5 2 2 5 3 3 2 2" xfId="16237" xr:uid="{00000000-0005-0000-0000-0000E6530000}"/>
    <cellStyle name="Normal 5 2 2 5 3 3 2 2 2" xfId="32552" xr:uid="{00000000-0005-0000-0000-0000E7530000}"/>
    <cellStyle name="Normal 5 2 2 5 3 3 2 3" xfId="25587" xr:uid="{00000000-0005-0000-0000-0000E8530000}"/>
    <cellStyle name="Normal 5 2 2 5 3 3 3" xfId="12316" xr:uid="{00000000-0005-0000-0000-0000E9530000}"/>
    <cellStyle name="Normal 5 2 2 5 3 3 3 2" xfId="28891" xr:uid="{00000000-0005-0000-0000-0000EA530000}"/>
    <cellStyle name="Normal 5 2 2 5 3 3 4" xfId="5623" xr:uid="{00000000-0005-0000-0000-0000EB530000}"/>
    <cellStyle name="Normal 5 2 2 5 3 3 4 2" xfId="22287" xr:uid="{00000000-0005-0000-0000-0000EC530000}"/>
    <cellStyle name="Normal 5 2 2 5 3 3 5" xfId="19527" xr:uid="{00000000-0005-0000-0000-0000ED530000}"/>
    <cellStyle name="Normal 5 2 2 5 3 4" xfId="7353" xr:uid="{00000000-0005-0000-0000-0000EE530000}"/>
    <cellStyle name="Normal 5 2 2 5 3 4 2" xfId="14616" xr:uid="{00000000-0005-0000-0000-0000EF530000}"/>
    <cellStyle name="Normal 5 2 2 5 3 4 2 2" xfId="30931" xr:uid="{00000000-0005-0000-0000-0000F0530000}"/>
    <cellStyle name="Normal 5 2 2 5 3 4 3" xfId="23966" xr:uid="{00000000-0005-0000-0000-0000F1530000}"/>
    <cellStyle name="Normal 5 2 2 5 3 5" xfId="10668" xr:uid="{00000000-0005-0000-0000-0000F2530000}"/>
    <cellStyle name="Normal 5 2 2 5 3 5 2" xfId="27266" xr:uid="{00000000-0005-0000-0000-0000F3530000}"/>
    <cellStyle name="Normal 5 2 2 5 3 6" xfId="4402" xr:uid="{00000000-0005-0000-0000-0000F4530000}"/>
    <cellStyle name="Normal 5 2 2 5 3 6 2" xfId="21125" xr:uid="{00000000-0005-0000-0000-0000F5530000}"/>
    <cellStyle name="Normal 5 2 2 5 3 7" xfId="18254" xr:uid="{00000000-0005-0000-0000-0000F6530000}"/>
    <cellStyle name="Normal 5 2 2 5 4" xfId="2802" xr:uid="{00000000-0005-0000-0000-0000F7530000}"/>
    <cellStyle name="Normal 5 2 2 5 4 2" xfId="6029" xr:uid="{00000000-0005-0000-0000-0000F8530000}"/>
    <cellStyle name="Normal 5 2 2 5 4 2 2" xfId="9380" xr:uid="{00000000-0005-0000-0000-0000F9530000}"/>
    <cellStyle name="Normal 5 2 2 5 4 2 2 2" xfId="16643" xr:uid="{00000000-0005-0000-0000-0000FA530000}"/>
    <cellStyle name="Normal 5 2 2 5 4 2 2 2 2" xfId="32958" xr:uid="{00000000-0005-0000-0000-0000FB530000}"/>
    <cellStyle name="Normal 5 2 2 5 4 2 2 3" xfId="25993" xr:uid="{00000000-0005-0000-0000-0000FC530000}"/>
    <cellStyle name="Normal 5 2 2 5 4 2 3" xfId="12722" xr:uid="{00000000-0005-0000-0000-0000FD530000}"/>
    <cellStyle name="Normal 5 2 2 5 4 2 3 2" xfId="29297" xr:uid="{00000000-0005-0000-0000-0000FE530000}"/>
    <cellStyle name="Normal 5 2 2 5 4 2 4" xfId="22693" xr:uid="{00000000-0005-0000-0000-0000FF530000}"/>
    <cellStyle name="Normal 5 2 2 5 4 3" xfId="7759" xr:uid="{00000000-0005-0000-0000-000000540000}"/>
    <cellStyle name="Normal 5 2 2 5 4 3 2" xfId="15022" xr:uid="{00000000-0005-0000-0000-000001540000}"/>
    <cellStyle name="Normal 5 2 2 5 4 3 2 2" xfId="31337" xr:uid="{00000000-0005-0000-0000-000002540000}"/>
    <cellStyle name="Normal 5 2 2 5 4 3 3" xfId="24372" xr:uid="{00000000-0005-0000-0000-000003540000}"/>
    <cellStyle name="Normal 5 2 2 5 4 4" xfId="11074" xr:uid="{00000000-0005-0000-0000-000004540000}"/>
    <cellStyle name="Normal 5 2 2 5 4 4 2" xfId="27672" xr:uid="{00000000-0005-0000-0000-000005540000}"/>
    <cellStyle name="Normal 5 2 2 5 4 5" xfId="4404" xr:uid="{00000000-0005-0000-0000-000006540000}"/>
    <cellStyle name="Normal 5 2 2 5 4 5 2" xfId="21127" xr:uid="{00000000-0005-0000-0000-000007540000}"/>
    <cellStyle name="Normal 5 2 2 5 4 6" xfId="19529" xr:uid="{00000000-0005-0000-0000-000008540000}"/>
    <cellStyle name="Normal 5 2 2 5 5" xfId="2795" xr:uid="{00000000-0005-0000-0000-000009540000}"/>
    <cellStyle name="Normal 5 2 2 5 5 2" xfId="8580" xr:uid="{00000000-0005-0000-0000-00000A540000}"/>
    <cellStyle name="Normal 5 2 2 5 5 2 2" xfId="15843" xr:uid="{00000000-0005-0000-0000-00000B540000}"/>
    <cellStyle name="Normal 5 2 2 5 5 2 2 2" xfId="32158" xr:uid="{00000000-0005-0000-0000-00000C540000}"/>
    <cellStyle name="Normal 5 2 2 5 5 2 3" xfId="25193" xr:uid="{00000000-0005-0000-0000-00000D540000}"/>
    <cellStyle name="Normal 5 2 2 5 5 3" xfId="11922" xr:uid="{00000000-0005-0000-0000-00000E540000}"/>
    <cellStyle name="Normal 5 2 2 5 5 3 2" xfId="28497" xr:uid="{00000000-0005-0000-0000-00000F540000}"/>
    <cellStyle name="Normal 5 2 2 5 5 4" xfId="5229" xr:uid="{00000000-0005-0000-0000-000010540000}"/>
    <cellStyle name="Normal 5 2 2 5 5 4 2" xfId="21893" xr:uid="{00000000-0005-0000-0000-000011540000}"/>
    <cellStyle name="Normal 5 2 2 5 5 5" xfId="19522" xr:uid="{00000000-0005-0000-0000-000012540000}"/>
    <cellStyle name="Normal 5 2 2 5 6" xfId="6961" xr:uid="{00000000-0005-0000-0000-000013540000}"/>
    <cellStyle name="Normal 5 2 2 5 6 2" xfId="14224" xr:uid="{00000000-0005-0000-0000-000014540000}"/>
    <cellStyle name="Normal 5 2 2 5 6 2 2" xfId="30539" xr:uid="{00000000-0005-0000-0000-000015540000}"/>
    <cellStyle name="Normal 5 2 2 5 6 3" xfId="23574" xr:uid="{00000000-0005-0000-0000-000016540000}"/>
    <cellStyle name="Normal 5 2 2 5 7" xfId="10275" xr:uid="{00000000-0005-0000-0000-000017540000}"/>
    <cellStyle name="Normal 5 2 2 5 7 2" xfId="26874" xr:uid="{00000000-0005-0000-0000-000018540000}"/>
    <cellStyle name="Normal 5 2 2 5 8" xfId="4397" xr:uid="{00000000-0005-0000-0000-000019540000}"/>
    <cellStyle name="Normal 5 2 2 5 8 2" xfId="21120" xr:uid="{00000000-0005-0000-0000-00001A540000}"/>
    <cellStyle name="Normal 5 2 2 5 9" xfId="17735" xr:uid="{00000000-0005-0000-0000-00001B540000}"/>
    <cellStyle name="Normal 5 2 2 6" xfId="1185" xr:uid="{00000000-0005-0000-0000-00001C540000}"/>
    <cellStyle name="Normal 5 2 2 6 2" xfId="1706" xr:uid="{00000000-0005-0000-0000-00001D540000}"/>
    <cellStyle name="Normal 5 2 2 6 2 2" xfId="2805" xr:uid="{00000000-0005-0000-0000-00001E540000}"/>
    <cellStyle name="Normal 5 2 2 6 2 2 2" xfId="6600" xr:uid="{00000000-0005-0000-0000-00001F540000}"/>
    <cellStyle name="Normal 5 2 2 6 2 2 2 2" xfId="9951" xr:uid="{00000000-0005-0000-0000-000020540000}"/>
    <cellStyle name="Normal 5 2 2 6 2 2 2 2 2" xfId="17214" xr:uid="{00000000-0005-0000-0000-000021540000}"/>
    <cellStyle name="Normal 5 2 2 6 2 2 2 2 2 2" xfId="33529" xr:uid="{00000000-0005-0000-0000-000022540000}"/>
    <cellStyle name="Normal 5 2 2 6 2 2 2 2 3" xfId="26564" xr:uid="{00000000-0005-0000-0000-000023540000}"/>
    <cellStyle name="Normal 5 2 2 6 2 2 2 3" xfId="13293" xr:uid="{00000000-0005-0000-0000-000024540000}"/>
    <cellStyle name="Normal 5 2 2 6 2 2 2 3 2" xfId="29868" xr:uid="{00000000-0005-0000-0000-000025540000}"/>
    <cellStyle name="Normal 5 2 2 6 2 2 2 4" xfId="23264" xr:uid="{00000000-0005-0000-0000-000026540000}"/>
    <cellStyle name="Normal 5 2 2 6 2 2 3" xfId="8330" xr:uid="{00000000-0005-0000-0000-000027540000}"/>
    <cellStyle name="Normal 5 2 2 6 2 2 3 2" xfId="15593" xr:uid="{00000000-0005-0000-0000-000028540000}"/>
    <cellStyle name="Normal 5 2 2 6 2 2 3 2 2" xfId="31908" xr:uid="{00000000-0005-0000-0000-000029540000}"/>
    <cellStyle name="Normal 5 2 2 6 2 2 3 3" xfId="24943" xr:uid="{00000000-0005-0000-0000-00002A540000}"/>
    <cellStyle name="Normal 5 2 2 6 2 2 4" xfId="11645" xr:uid="{00000000-0005-0000-0000-00002B540000}"/>
    <cellStyle name="Normal 5 2 2 6 2 2 4 2" xfId="28243" xr:uid="{00000000-0005-0000-0000-00002C540000}"/>
    <cellStyle name="Normal 5 2 2 6 2 2 5" xfId="4407" xr:uid="{00000000-0005-0000-0000-00002D540000}"/>
    <cellStyle name="Normal 5 2 2 6 2 2 5 2" xfId="21130" xr:uid="{00000000-0005-0000-0000-00002E540000}"/>
    <cellStyle name="Normal 5 2 2 6 2 2 6" xfId="19532" xr:uid="{00000000-0005-0000-0000-00002F540000}"/>
    <cellStyle name="Normal 5 2 2 6 2 3" xfId="2804" xr:uid="{00000000-0005-0000-0000-000030540000}"/>
    <cellStyle name="Normal 5 2 2 6 2 3 2" xfId="9175" xr:uid="{00000000-0005-0000-0000-000031540000}"/>
    <cellStyle name="Normal 5 2 2 6 2 3 2 2" xfId="16438" xr:uid="{00000000-0005-0000-0000-000032540000}"/>
    <cellStyle name="Normal 5 2 2 6 2 3 2 2 2" xfId="32753" xr:uid="{00000000-0005-0000-0000-000033540000}"/>
    <cellStyle name="Normal 5 2 2 6 2 3 2 3" xfId="25788" xr:uid="{00000000-0005-0000-0000-000034540000}"/>
    <cellStyle name="Normal 5 2 2 6 2 3 3" xfId="12517" xr:uid="{00000000-0005-0000-0000-000035540000}"/>
    <cellStyle name="Normal 5 2 2 6 2 3 3 2" xfId="29092" xr:uid="{00000000-0005-0000-0000-000036540000}"/>
    <cellStyle name="Normal 5 2 2 6 2 3 4" xfId="5824" xr:uid="{00000000-0005-0000-0000-000037540000}"/>
    <cellStyle name="Normal 5 2 2 6 2 3 4 2" xfId="22488" xr:uid="{00000000-0005-0000-0000-000038540000}"/>
    <cellStyle name="Normal 5 2 2 6 2 3 5" xfId="19531" xr:uid="{00000000-0005-0000-0000-000039540000}"/>
    <cellStyle name="Normal 5 2 2 6 2 4" xfId="7554" xr:uid="{00000000-0005-0000-0000-00003A540000}"/>
    <cellStyle name="Normal 5 2 2 6 2 4 2" xfId="14817" xr:uid="{00000000-0005-0000-0000-00003B540000}"/>
    <cellStyle name="Normal 5 2 2 6 2 4 2 2" xfId="31132" xr:uid="{00000000-0005-0000-0000-00003C540000}"/>
    <cellStyle name="Normal 5 2 2 6 2 4 3" xfId="24167" xr:uid="{00000000-0005-0000-0000-00003D540000}"/>
    <cellStyle name="Normal 5 2 2 6 2 5" xfId="10869" xr:uid="{00000000-0005-0000-0000-00003E540000}"/>
    <cellStyle name="Normal 5 2 2 6 2 5 2" xfId="27467" xr:uid="{00000000-0005-0000-0000-00003F540000}"/>
    <cellStyle name="Normal 5 2 2 6 2 6" xfId="4406" xr:uid="{00000000-0005-0000-0000-000040540000}"/>
    <cellStyle name="Normal 5 2 2 6 2 6 2" xfId="21129" xr:uid="{00000000-0005-0000-0000-000041540000}"/>
    <cellStyle name="Normal 5 2 2 6 2 7" xfId="18441" xr:uid="{00000000-0005-0000-0000-000042540000}"/>
    <cellStyle name="Normal 5 2 2 6 3" xfId="2806" xr:uid="{00000000-0005-0000-0000-000043540000}"/>
    <cellStyle name="Normal 5 2 2 6 3 2" xfId="6230" xr:uid="{00000000-0005-0000-0000-000044540000}"/>
    <cellStyle name="Normal 5 2 2 6 3 2 2" xfId="9581" xr:uid="{00000000-0005-0000-0000-000045540000}"/>
    <cellStyle name="Normal 5 2 2 6 3 2 2 2" xfId="16844" xr:uid="{00000000-0005-0000-0000-000046540000}"/>
    <cellStyle name="Normal 5 2 2 6 3 2 2 2 2" xfId="33159" xr:uid="{00000000-0005-0000-0000-000047540000}"/>
    <cellStyle name="Normal 5 2 2 6 3 2 2 3" xfId="26194" xr:uid="{00000000-0005-0000-0000-000048540000}"/>
    <cellStyle name="Normal 5 2 2 6 3 2 3" xfId="12923" xr:uid="{00000000-0005-0000-0000-000049540000}"/>
    <cellStyle name="Normal 5 2 2 6 3 2 3 2" xfId="29498" xr:uid="{00000000-0005-0000-0000-00004A540000}"/>
    <cellStyle name="Normal 5 2 2 6 3 2 4" xfId="22894" xr:uid="{00000000-0005-0000-0000-00004B540000}"/>
    <cellStyle name="Normal 5 2 2 6 3 3" xfId="7960" xr:uid="{00000000-0005-0000-0000-00004C540000}"/>
    <cellStyle name="Normal 5 2 2 6 3 3 2" xfId="15223" xr:uid="{00000000-0005-0000-0000-00004D540000}"/>
    <cellStyle name="Normal 5 2 2 6 3 3 2 2" xfId="31538" xr:uid="{00000000-0005-0000-0000-00004E540000}"/>
    <cellStyle name="Normal 5 2 2 6 3 3 3" xfId="24573" xr:uid="{00000000-0005-0000-0000-00004F540000}"/>
    <cellStyle name="Normal 5 2 2 6 3 4" xfId="11275" xr:uid="{00000000-0005-0000-0000-000050540000}"/>
    <cellStyle name="Normal 5 2 2 6 3 4 2" xfId="27873" xr:uid="{00000000-0005-0000-0000-000051540000}"/>
    <cellStyle name="Normal 5 2 2 6 3 5" xfId="4408" xr:uid="{00000000-0005-0000-0000-000052540000}"/>
    <cellStyle name="Normal 5 2 2 6 3 5 2" xfId="21131" xr:uid="{00000000-0005-0000-0000-000053540000}"/>
    <cellStyle name="Normal 5 2 2 6 3 6" xfId="19533" xr:uid="{00000000-0005-0000-0000-000054540000}"/>
    <cellStyle name="Normal 5 2 2 6 4" xfId="2803" xr:uid="{00000000-0005-0000-0000-000055540000}"/>
    <cellStyle name="Normal 5 2 2 6 4 2" xfId="8768" xr:uid="{00000000-0005-0000-0000-000056540000}"/>
    <cellStyle name="Normal 5 2 2 6 4 2 2" xfId="16031" xr:uid="{00000000-0005-0000-0000-000057540000}"/>
    <cellStyle name="Normal 5 2 2 6 4 2 2 2" xfId="32346" xr:uid="{00000000-0005-0000-0000-000058540000}"/>
    <cellStyle name="Normal 5 2 2 6 4 2 3" xfId="25381" xr:uid="{00000000-0005-0000-0000-000059540000}"/>
    <cellStyle name="Normal 5 2 2 6 4 3" xfId="12110" xr:uid="{00000000-0005-0000-0000-00005A540000}"/>
    <cellStyle name="Normal 5 2 2 6 4 3 2" xfId="28685" xr:uid="{00000000-0005-0000-0000-00005B540000}"/>
    <cellStyle name="Normal 5 2 2 6 4 4" xfId="5417" xr:uid="{00000000-0005-0000-0000-00005C540000}"/>
    <cellStyle name="Normal 5 2 2 6 4 4 2" xfId="22081" xr:uid="{00000000-0005-0000-0000-00005D540000}"/>
    <cellStyle name="Normal 5 2 2 6 4 5" xfId="19530" xr:uid="{00000000-0005-0000-0000-00005E540000}"/>
    <cellStyle name="Normal 5 2 2 6 5" xfId="7148" xr:uid="{00000000-0005-0000-0000-00005F540000}"/>
    <cellStyle name="Normal 5 2 2 6 5 2" xfId="14411" xr:uid="{00000000-0005-0000-0000-000060540000}"/>
    <cellStyle name="Normal 5 2 2 6 5 2 2" xfId="30726" xr:uid="{00000000-0005-0000-0000-000061540000}"/>
    <cellStyle name="Normal 5 2 2 6 5 3" xfId="23761" xr:uid="{00000000-0005-0000-0000-000062540000}"/>
    <cellStyle name="Normal 5 2 2 6 6" xfId="10463" xr:uid="{00000000-0005-0000-0000-000063540000}"/>
    <cellStyle name="Normal 5 2 2 6 6 2" xfId="27061" xr:uid="{00000000-0005-0000-0000-000064540000}"/>
    <cellStyle name="Normal 5 2 2 6 7" xfId="4405" xr:uid="{00000000-0005-0000-0000-000065540000}"/>
    <cellStyle name="Normal 5 2 2 6 7 2" xfId="21128" xr:uid="{00000000-0005-0000-0000-000066540000}"/>
    <cellStyle name="Normal 5 2 2 6 8" xfId="17922" xr:uid="{00000000-0005-0000-0000-000067540000}"/>
    <cellStyle name="Normal 5 2 2 7" xfId="855" xr:uid="{00000000-0005-0000-0000-000068540000}"/>
    <cellStyle name="Normal 5 2 2 7 2" xfId="1424" xr:uid="{00000000-0005-0000-0000-000069540000}"/>
    <cellStyle name="Normal 5 2 2 7 2 2" xfId="2809" xr:uid="{00000000-0005-0000-0000-00006A540000}"/>
    <cellStyle name="Normal 5 2 2 7 2 2 2" xfId="6697" xr:uid="{00000000-0005-0000-0000-00006B540000}"/>
    <cellStyle name="Normal 5 2 2 7 2 2 2 2" xfId="10048" xr:uid="{00000000-0005-0000-0000-00006C540000}"/>
    <cellStyle name="Normal 5 2 2 7 2 2 2 2 2" xfId="17311" xr:uid="{00000000-0005-0000-0000-00006D540000}"/>
    <cellStyle name="Normal 5 2 2 7 2 2 2 2 2 2" xfId="33626" xr:uid="{00000000-0005-0000-0000-00006E540000}"/>
    <cellStyle name="Normal 5 2 2 7 2 2 2 2 3" xfId="26661" xr:uid="{00000000-0005-0000-0000-00006F540000}"/>
    <cellStyle name="Normal 5 2 2 7 2 2 2 3" xfId="13390" xr:uid="{00000000-0005-0000-0000-000070540000}"/>
    <cellStyle name="Normal 5 2 2 7 2 2 2 3 2" xfId="29965" xr:uid="{00000000-0005-0000-0000-000071540000}"/>
    <cellStyle name="Normal 5 2 2 7 2 2 2 4" xfId="23361" xr:uid="{00000000-0005-0000-0000-000072540000}"/>
    <cellStyle name="Normal 5 2 2 7 2 2 3" xfId="8427" xr:uid="{00000000-0005-0000-0000-000073540000}"/>
    <cellStyle name="Normal 5 2 2 7 2 2 3 2" xfId="15690" xr:uid="{00000000-0005-0000-0000-000074540000}"/>
    <cellStyle name="Normal 5 2 2 7 2 2 3 2 2" xfId="32005" xr:uid="{00000000-0005-0000-0000-000075540000}"/>
    <cellStyle name="Normal 5 2 2 7 2 2 3 3" xfId="25040" xr:uid="{00000000-0005-0000-0000-000076540000}"/>
    <cellStyle name="Normal 5 2 2 7 2 2 4" xfId="11742" xr:uid="{00000000-0005-0000-0000-000077540000}"/>
    <cellStyle name="Normal 5 2 2 7 2 2 4 2" xfId="28340" xr:uid="{00000000-0005-0000-0000-000078540000}"/>
    <cellStyle name="Normal 5 2 2 7 2 2 5" xfId="4411" xr:uid="{00000000-0005-0000-0000-000079540000}"/>
    <cellStyle name="Normal 5 2 2 7 2 2 5 2" xfId="21134" xr:uid="{00000000-0005-0000-0000-00007A540000}"/>
    <cellStyle name="Normal 5 2 2 7 2 2 6" xfId="19536" xr:uid="{00000000-0005-0000-0000-00007B540000}"/>
    <cellStyle name="Normal 5 2 2 7 2 3" xfId="2808" xr:uid="{00000000-0005-0000-0000-00007C540000}"/>
    <cellStyle name="Normal 5 2 2 7 2 3 2" xfId="9272" xr:uid="{00000000-0005-0000-0000-00007D540000}"/>
    <cellStyle name="Normal 5 2 2 7 2 3 2 2" xfId="16535" xr:uid="{00000000-0005-0000-0000-00007E540000}"/>
    <cellStyle name="Normal 5 2 2 7 2 3 2 2 2" xfId="32850" xr:uid="{00000000-0005-0000-0000-00007F540000}"/>
    <cellStyle name="Normal 5 2 2 7 2 3 2 3" xfId="25885" xr:uid="{00000000-0005-0000-0000-000080540000}"/>
    <cellStyle name="Normal 5 2 2 7 2 3 3" xfId="12614" xr:uid="{00000000-0005-0000-0000-000081540000}"/>
    <cellStyle name="Normal 5 2 2 7 2 3 3 2" xfId="29189" xr:uid="{00000000-0005-0000-0000-000082540000}"/>
    <cellStyle name="Normal 5 2 2 7 2 3 4" xfId="5921" xr:uid="{00000000-0005-0000-0000-000083540000}"/>
    <cellStyle name="Normal 5 2 2 7 2 3 4 2" xfId="22585" xr:uid="{00000000-0005-0000-0000-000084540000}"/>
    <cellStyle name="Normal 5 2 2 7 2 3 5" xfId="19535" xr:uid="{00000000-0005-0000-0000-000085540000}"/>
    <cellStyle name="Normal 5 2 2 7 2 4" xfId="7651" xr:uid="{00000000-0005-0000-0000-000086540000}"/>
    <cellStyle name="Normal 5 2 2 7 2 4 2" xfId="14914" xr:uid="{00000000-0005-0000-0000-000087540000}"/>
    <cellStyle name="Normal 5 2 2 7 2 4 2 2" xfId="31229" xr:uid="{00000000-0005-0000-0000-000088540000}"/>
    <cellStyle name="Normal 5 2 2 7 2 4 3" xfId="24264" xr:uid="{00000000-0005-0000-0000-000089540000}"/>
    <cellStyle name="Normal 5 2 2 7 2 5" xfId="10966" xr:uid="{00000000-0005-0000-0000-00008A540000}"/>
    <cellStyle name="Normal 5 2 2 7 2 5 2" xfId="27564" xr:uid="{00000000-0005-0000-0000-00008B540000}"/>
    <cellStyle name="Normal 5 2 2 7 2 6" xfId="4410" xr:uid="{00000000-0005-0000-0000-00008C540000}"/>
    <cellStyle name="Normal 5 2 2 7 2 6 2" xfId="21133" xr:uid="{00000000-0005-0000-0000-00008D540000}"/>
    <cellStyle name="Normal 5 2 2 7 2 7" xfId="18159" xr:uid="{00000000-0005-0000-0000-00008E540000}"/>
    <cellStyle name="Normal 5 2 2 7 3" xfId="2810" xr:uid="{00000000-0005-0000-0000-00008F540000}"/>
    <cellStyle name="Normal 5 2 2 7 3 2" xfId="6327" xr:uid="{00000000-0005-0000-0000-000090540000}"/>
    <cellStyle name="Normal 5 2 2 7 3 2 2" xfId="9678" xr:uid="{00000000-0005-0000-0000-000091540000}"/>
    <cellStyle name="Normal 5 2 2 7 3 2 2 2" xfId="16941" xr:uid="{00000000-0005-0000-0000-000092540000}"/>
    <cellStyle name="Normal 5 2 2 7 3 2 2 2 2" xfId="33256" xr:uid="{00000000-0005-0000-0000-000093540000}"/>
    <cellStyle name="Normal 5 2 2 7 3 2 2 3" xfId="26291" xr:uid="{00000000-0005-0000-0000-000094540000}"/>
    <cellStyle name="Normal 5 2 2 7 3 2 3" xfId="13020" xr:uid="{00000000-0005-0000-0000-000095540000}"/>
    <cellStyle name="Normal 5 2 2 7 3 2 3 2" xfId="29595" xr:uid="{00000000-0005-0000-0000-000096540000}"/>
    <cellStyle name="Normal 5 2 2 7 3 2 4" xfId="22991" xr:uid="{00000000-0005-0000-0000-000097540000}"/>
    <cellStyle name="Normal 5 2 2 7 3 3" xfId="8057" xr:uid="{00000000-0005-0000-0000-000098540000}"/>
    <cellStyle name="Normal 5 2 2 7 3 3 2" xfId="15320" xr:uid="{00000000-0005-0000-0000-000099540000}"/>
    <cellStyle name="Normal 5 2 2 7 3 3 2 2" xfId="31635" xr:uid="{00000000-0005-0000-0000-00009A540000}"/>
    <cellStyle name="Normal 5 2 2 7 3 3 3" xfId="24670" xr:uid="{00000000-0005-0000-0000-00009B540000}"/>
    <cellStyle name="Normal 5 2 2 7 3 4" xfId="11372" xr:uid="{00000000-0005-0000-0000-00009C540000}"/>
    <cellStyle name="Normal 5 2 2 7 3 4 2" xfId="27970" xr:uid="{00000000-0005-0000-0000-00009D540000}"/>
    <cellStyle name="Normal 5 2 2 7 3 5" xfId="4412" xr:uid="{00000000-0005-0000-0000-00009E540000}"/>
    <cellStyle name="Normal 5 2 2 7 3 5 2" xfId="21135" xr:uid="{00000000-0005-0000-0000-00009F540000}"/>
    <cellStyle name="Normal 5 2 2 7 3 6" xfId="19537" xr:uid="{00000000-0005-0000-0000-0000A0540000}"/>
    <cellStyle name="Normal 5 2 2 7 4" xfId="2807" xr:uid="{00000000-0005-0000-0000-0000A1540000}"/>
    <cellStyle name="Normal 5 2 2 7 4 2" xfId="8865" xr:uid="{00000000-0005-0000-0000-0000A2540000}"/>
    <cellStyle name="Normal 5 2 2 7 4 2 2" xfId="16128" xr:uid="{00000000-0005-0000-0000-0000A3540000}"/>
    <cellStyle name="Normal 5 2 2 7 4 2 2 2" xfId="32443" xr:uid="{00000000-0005-0000-0000-0000A4540000}"/>
    <cellStyle name="Normal 5 2 2 7 4 2 3" xfId="25478" xr:uid="{00000000-0005-0000-0000-0000A5540000}"/>
    <cellStyle name="Normal 5 2 2 7 4 3" xfId="12207" xr:uid="{00000000-0005-0000-0000-0000A6540000}"/>
    <cellStyle name="Normal 5 2 2 7 4 3 2" xfId="28782" xr:uid="{00000000-0005-0000-0000-0000A7540000}"/>
    <cellStyle name="Normal 5 2 2 7 4 4" xfId="5514" xr:uid="{00000000-0005-0000-0000-0000A8540000}"/>
    <cellStyle name="Normal 5 2 2 7 4 4 2" xfId="22178" xr:uid="{00000000-0005-0000-0000-0000A9540000}"/>
    <cellStyle name="Normal 5 2 2 7 4 5" xfId="19534" xr:uid="{00000000-0005-0000-0000-0000AA540000}"/>
    <cellStyle name="Normal 5 2 2 7 5" xfId="7245" xr:uid="{00000000-0005-0000-0000-0000AB540000}"/>
    <cellStyle name="Normal 5 2 2 7 5 2" xfId="14508" xr:uid="{00000000-0005-0000-0000-0000AC540000}"/>
    <cellStyle name="Normal 5 2 2 7 5 2 2" xfId="30823" xr:uid="{00000000-0005-0000-0000-0000AD540000}"/>
    <cellStyle name="Normal 5 2 2 7 5 3" xfId="23858" xr:uid="{00000000-0005-0000-0000-0000AE540000}"/>
    <cellStyle name="Normal 5 2 2 7 6" xfId="10560" xr:uid="{00000000-0005-0000-0000-0000AF540000}"/>
    <cellStyle name="Normal 5 2 2 7 6 2" xfId="27158" xr:uid="{00000000-0005-0000-0000-0000B0540000}"/>
    <cellStyle name="Normal 5 2 2 7 7" xfId="4409" xr:uid="{00000000-0005-0000-0000-0000B1540000}"/>
    <cellStyle name="Normal 5 2 2 7 7 2" xfId="21132" xr:uid="{00000000-0005-0000-0000-0000B2540000}"/>
    <cellStyle name="Normal 5 2 2 7 8" xfId="17640" xr:uid="{00000000-0005-0000-0000-0000B3540000}"/>
    <cellStyle name="Normal 5 2 2 8" xfId="710" xr:uid="{00000000-0005-0000-0000-0000B4540000}"/>
    <cellStyle name="Normal 5 2 2 8 2" xfId="2812" xr:uid="{00000000-0005-0000-0000-0000B5540000}"/>
    <cellStyle name="Normal 5 2 2 8 2 2" xfId="6424" xr:uid="{00000000-0005-0000-0000-0000B6540000}"/>
    <cellStyle name="Normal 5 2 2 8 2 2 2" xfId="9775" xr:uid="{00000000-0005-0000-0000-0000B7540000}"/>
    <cellStyle name="Normal 5 2 2 8 2 2 2 2" xfId="17038" xr:uid="{00000000-0005-0000-0000-0000B8540000}"/>
    <cellStyle name="Normal 5 2 2 8 2 2 2 2 2" xfId="33353" xr:uid="{00000000-0005-0000-0000-0000B9540000}"/>
    <cellStyle name="Normal 5 2 2 8 2 2 2 3" xfId="26388" xr:uid="{00000000-0005-0000-0000-0000BA540000}"/>
    <cellStyle name="Normal 5 2 2 8 2 2 3" xfId="13117" xr:uid="{00000000-0005-0000-0000-0000BB540000}"/>
    <cellStyle name="Normal 5 2 2 8 2 2 3 2" xfId="29692" xr:uid="{00000000-0005-0000-0000-0000BC540000}"/>
    <cellStyle name="Normal 5 2 2 8 2 2 4" xfId="23088" xr:uid="{00000000-0005-0000-0000-0000BD540000}"/>
    <cellStyle name="Normal 5 2 2 8 2 3" xfId="8154" xr:uid="{00000000-0005-0000-0000-0000BE540000}"/>
    <cellStyle name="Normal 5 2 2 8 2 3 2" xfId="15417" xr:uid="{00000000-0005-0000-0000-0000BF540000}"/>
    <cellStyle name="Normal 5 2 2 8 2 3 2 2" xfId="31732" xr:uid="{00000000-0005-0000-0000-0000C0540000}"/>
    <cellStyle name="Normal 5 2 2 8 2 3 3" xfId="24767" xr:uid="{00000000-0005-0000-0000-0000C1540000}"/>
    <cellStyle name="Normal 5 2 2 8 2 4" xfId="11469" xr:uid="{00000000-0005-0000-0000-0000C2540000}"/>
    <cellStyle name="Normal 5 2 2 8 2 4 2" xfId="28067" xr:uid="{00000000-0005-0000-0000-0000C3540000}"/>
    <cellStyle name="Normal 5 2 2 8 2 5" xfId="4414" xr:uid="{00000000-0005-0000-0000-0000C4540000}"/>
    <cellStyle name="Normal 5 2 2 8 2 5 2" xfId="21137" xr:uid="{00000000-0005-0000-0000-0000C5540000}"/>
    <cellStyle name="Normal 5 2 2 8 2 6" xfId="19539" xr:uid="{00000000-0005-0000-0000-0000C6540000}"/>
    <cellStyle name="Normal 5 2 2 8 3" xfId="2811" xr:uid="{00000000-0005-0000-0000-0000C7540000}"/>
    <cellStyle name="Normal 5 2 2 8 3 2" xfId="8963" xr:uid="{00000000-0005-0000-0000-0000C8540000}"/>
    <cellStyle name="Normal 5 2 2 8 3 2 2" xfId="16226" xr:uid="{00000000-0005-0000-0000-0000C9540000}"/>
    <cellStyle name="Normal 5 2 2 8 3 2 2 2" xfId="32541" xr:uid="{00000000-0005-0000-0000-0000CA540000}"/>
    <cellStyle name="Normal 5 2 2 8 3 2 3" xfId="25576" xr:uid="{00000000-0005-0000-0000-0000CB540000}"/>
    <cellStyle name="Normal 5 2 2 8 3 3" xfId="12305" xr:uid="{00000000-0005-0000-0000-0000CC540000}"/>
    <cellStyle name="Normal 5 2 2 8 3 3 2" xfId="28880" xr:uid="{00000000-0005-0000-0000-0000CD540000}"/>
    <cellStyle name="Normal 5 2 2 8 3 4" xfId="5612" xr:uid="{00000000-0005-0000-0000-0000CE540000}"/>
    <cellStyle name="Normal 5 2 2 8 3 4 2" xfId="22276" xr:uid="{00000000-0005-0000-0000-0000CF540000}"/>
    <cellStyle name="Normal 5 2 2 8 3 5" xfId="19538" xr:uid="{00000000-0005-0000-0000-0000D0540000}"/>
    <cellStyle name="Normal 5 2 2 8 4" xfId="7342" xr:uid="{00000000-0005-0000-0000-0000D1540000}"/>
    <cellStyle name="Normal 5 2 2 8 4 2" xfId="14605" xr:uid="{00000000-0005-0000-0000-0000D2540000}"/>
    <cellStyle name="Normal 5 2 2 8 4 2 2" xfId="30920" xr:uid="{00000000-0005-0000-0000-0000D3540000}"/>
    <cellStyle name="Normal 5 2 2 8 4 3" xfId="23955" xr:uid="{00000000-0005-0000-0000-0000D4540000}"/>
    <cellStyle name="Normal 5 2 2 8 5" xfId="10657" xr:uid="{00000000-0005-0000-0000-0000D5540000}"/>
    <cellStyle name="Normal 5 2 2 8 5 2" xfId="27255" xr:uid="{00000000-0005-0000-0000-0000D6540000}"/>
    <cellStyle name="Normal 5 2 2 8 6" xfId="4413" xr:uid="{00000000-0005-0000-0000-0000D7540000}"/>
    <cellStyle name="Normal 5 2 2 8 6 2" xfId="21136" xr:uid="{00000000-0005-0000-0000-0000D8540000}"/>
    <cellStyle name="Normal 5 2 2 8 7" xfId="17523" xr:uid="{00000000-0005-0000-0000-0000D9540000}"/>
    <cellStyle name="Normal 5 2 2 9" xfId="1307" xr:uid="{00000000-0005-0000-0000-0000DA540000}"/>
    <cellStyle name="Normal 5 2 2 9 2" xfId="2813" xr:uid="{00000000-0005-0000-0000-0000DB540000}"/>
    <cellStyle name="Normal 5 2 2 9 2 2" xfId="9369" xr:uid="{00000000-0005-0000-0000-0000DC540000}"/>
    <cellStyle name="Normal 5 2 2 9 2 2 2" xfId="16632" xr:uid="{00000000-0005-0000-0000-0000DD540000}"/>
    <cellStyle name="Normal 5 2 2 9 2 2 2 2" xfId="32947" xr:uid="{00000000-0005-0000-0000-0000DE540000}"/>
    <cellStyle name="Normal 5 2 2 9 2 2 3" xfId="25982" xr:uid="{00000000-0005-0000-0000-0000DF540000}"/>
    <cellStyle name="Normal 5 2 2 9 2 3" xfId="12711" xr:uid="{00000000-0005-0000-0000-0000E0540000}"/>
    <cellStyle name="Normal 5 2 2 9 2 3 2" xfId="29286" xr:uid="{00000000-0005-0000-0000-0000E1540000}"/>
    <cellStyle name="Normal 5 2 2 9 2 4" xfId="6018" xr:uid="{00000000-0005-0000-0000-0000E2540000}"/>
    <cellStyle name="Normal 5 2 2 9 2 4 2" xfId="22682" xr:uid="{00000000-0005-0000-0000-0000E3540000}"/>
    <cellStyle name="Normal 5 2 2 9 2 5" xfId="19540" xr:uid="{00000000-0005-0000-0000-0000E4540000}"/>
    <cellStyle name="Normal 5 2 2 9 3" xfId="7748" xr:uid="{00000000-0005-0000-0000-0000E5540000}"/>
    <cellStyle name="Normal 5 2 2 9 3 2" xfId="15011" xr:uid="{00000000-0005-0000-0000-0000E6540000}"/>
    <cellStyle name="Normal 5 2 2 9 3 2 2" xfId="31326" xr:uid="{00000000-0005-0000-0000-0000E7540000}"/>
    <cellStyle name="Normal 5 2 2 9 3 3" xfId="24361" xr:uid="{00000000-0005-0000-0000-0000E8540000}"/>
    <cellStyle name="Normal 5 2 2 9 4" xfId="11063" xr:uid="{00000000-0005-0000-0000-0000E9540000}"/>
    <cellStyle name="Normal 5 2 2 9 4 2" xfId="27661" xr:uid="{00000000-0005-0000-0000-0000EA540000}"/>
    <cellStyle name="Normal 5 2 2 9 5" xfId="4415" xr:uid="{00000000-0005-0000-0000-0000EB540000}"/>
    <cellStyle name="Normal 5 2 2 9 5 2" xfId="21138" xr:uid="{00000000-0005-0000-0000-0000EC540000}"/>
    <cellStyle name="Normal 5 2 2 9 6" xfId="18042" xr:uid="{00000000-0005-0000-0000-0000ED540000}"/>
    <cellStyle name="Normal 5 2 3" xfId="547" xr:uid="{00000000-0005-0000-0000-0000EE540000}"/>
    <cellStyle name="Normal 5 2 3 10" xfId="10164" xr:uid="{00000000-0005-0000-0000-0000EF540000}"/>
    <cellStyle name="Normal 5 2 3 10 2" xfId="26769" xr:uid="{00000000-0005-0000-0000-0000F0540000}"/>
    <cellStyle name="Normal 5 2 3 11" xfId="4416" xr:uid="{00000000-0005-0000-0000-0000F1540000}"/>
    <cellStyle name="Normal 5 2 3 11 2" xfId="21139" xr:uid="{00000000-0005-0000-0000-0000F2540000}"/>
    <cellStyle name="Normal 5 2 3 12" xfId="17419" xr:uid="{00000000-0005-0000-0000-0000F3540000}"/>
    <cellStyle name="Normal 5 2 3 2" xfId="610" xr:uid="{00000000-0005-0000-0000-0000F4540000}"/>
    <cellStyle name="Normal 5 2 3 2 10" xfId="4417" xr:uid="{00000000-0005-0000-0000-0000F5540000}"/>
    <cellStyle name="Normal 5 2 3 2 10 2" xfId="21140" xr:uid="{00000000-0005-0000-0000-0000F6540000}"/>
    <cellStyle name="Normal 5 2 3 2 11" xfId="17436" xr:uid="{00000000-0005-0000-0000-0000F7540000}"/>
    <cellStyle name="Normal 5 2 3 2 2" xfId="692" xr:uid="{00000000-0005-0000-0000-0000F8540000}"/>
    <cellStyle name="Normal 5 2 3 2 2 10" xfId="17506" xr:uid="{00000000-0005-0000-0000-0000F9540000}"/>
    <cellStyle name="Normal 5 2 3 2 2 2" xfId="1027" xr:uid="{00000000-0005-0000-0000-0000FA540000}"/>
    <cellStyle name="Normal 5 2 3 2 2 2 2" xfId="1200" xr:uid="{00000000-0005-0000-0000-0000FB540000}"/>
    <cellStyle name="Normal 5 2 3 2 2 2 2 2" xfId="1721" xr:uid="{00000000-0005-0000-0000-0000FC540000}"/>
    <cellStyle name="Normal 5 2 3 2 2 2 2 2 2" xfId="2820" xr:uid="{00000000-0005-0000-0000-0000FD540000}"/>
    <cellStyle name="Normal 5 2 3 2 2 2 2 2 2 2" xfId="6615" xr:uid="{00000000-0005-0000-0000-0000FE540000}"/>
    <cellStyle name="Normal 5 2 3 2 2 2 2 2 2 2 2" xfId="9966" xr:uid="{00000000-0005-0000-0000-0000FF540000}"/>
    <cellStyle name="Normal 5 2 3 2 2 2 2 2 2 2 2 2" xfId="17229" xr:uid="{00000000-0005-0000-0000-000000550000}"/>
    <cellStyle name="Normal 5 2 3 2 2 2 2 2 2 2 2 2 2" xfId="33544" xr:uid="{00000000-0005-0000-0000-000001550000}"/>
    <cellStyle name="Normal 5 2 3 2 2 2 2 2 2 2 2 3" xfId="26579" xr:uid="{00000000-0005-0000-0000-000002550000}"/>
    <cellStyle name="Normal 5 2 3 2 2 2 2 2 2 2 3" xfId="13308" xr:uid="{00000000-0005-0000-0000-000003550000}"/>
    <cellStyle name="Normal 5 2 3 2 2 2 2 2 2 2 3 2" xfId="29883" xr:uid="{00000000-0005-0000-0000-000004550000}"/>
    <cellStyle name="Normal 5 2 3 2 2 2 2 2 2 2 4" xfId="23279" xr:uid="{00000000-0005-0000-0000-000005550000}"/>
    <cellStyle name="Normal 5 2 3 2 2 2 2 2 2 3" xfId="8345" xr:uid="{00000000-0005-0000-0000-000006550000}"/>
    <cellStyle name="Normal 5 2 3 2 2 2 2 2 2 3 2" xfId="15608" xr:uid="{00000000-0005-0000-0000-000007550000}"/>
    <cellStyle name="Normal 5 2 3 2 2 2 2 2 2 3 2 2" xfId="31923" xr:uid="{00000000-0005-0000-0000-000008550000}"/>
    <cellStyle name="Normal 5 2 3 2 2 2 2 2 2 3 3" xfId="24958" xr:uid="{00000000-0005-0000-0000-000009550000}"/>
    <cellStyle name="Normal 5 2 3 2 2 2 2 2 2 4" xfId="11660" xr:uid="{00000000-0005-0000-0000-00000A550000}"/>
    <cellStyle name="Normal 5 2 3 2 2 2 2 2 2 4 2" xfId="28258" xr:uid="{00000000-0005-0000-0000-00000B550000}"/>
    <cellStyle name="Normal 5 2 3 2 2 2 2 2 2 5" xfId="4422" xr:uid="{00000000-0005-0000-0000-00000C550000}"/>
    <cellStyle name="Normal 5 2 3 2 2 2 2 2 2 5 2" xfId="21145" xr:uid="{00000000-0005-0000-0000-00000D550000}"/>
    <cellStyle name="Normal 5 2 3 2 2 2 2 2 2 6" xfId="19547" xr:uid="{00000000-0005-0000-0000-00000E550000}"/>
    <cellStyle name="Normal 5 2 3 2 2 2 2 2 3" xfId="2819" xr:uid="{00000000-0005-0000-0000-00000F550000}"/>
    <cellStyle name="Normal 5 2 3 2 2 2 2 2 3 2" xfId="9190" xr:uid="{00000000-0005-0000-0000-000010550000}"/>
    <cellStyle name="Normal 5 2 3 2 2 2 2 2 3 2 2" xfId="16453" xr:uid="{00000000-0005-0000-0000-000011550000}"/>
    <cellStyle name="Normal 5 2 3 2 2 2 2 2 3 2 2 2" xfId="32768" xr:uid="{00000000-0005-0000-0000-000012550000}"/>
    <cellStyle name="Normal 5 2 3 2 2 2 2 2 3 2 3" xfId="25803" xr:uid="{00000000-0005-0000-0000-000013550000}"/>
    <cellStyle name="Normal 5 2 3 2 2 2 2 2 3 3" xfId="12532" xr:uid="{00000000-0005-0000-0000-000014550000}"/>
    <cellStyle name="Normal 5 2 3 2 2 2 2 2 3 3 2" xfId="29107" xr:uid="{00000000-0005-0000-0000-000015550000}"/>
    <cellStyle name="Normal 5 2 3 2 2 2 2 2 3 4" xfId="5839" xr:uid="{00000000-0005-0000-0000-000016550000}"/>
    <cellStyle name="Normal 5 2 3 2 2 2 2 2 3 4 2" xfId="22503" xr:uid="{00000000-0005-0000-0000-000017550000}"/>
    <cellStyle name="Normal 5 2 3 2 2 2 2 2 3 5" xfId="19546" xr:uid="{00000000-0005-0000-0000-000018550000}"/>
    <cellStyle name="Normal 5 2 3 2 2 2 2 2 4" xfId="7569" xr:uid="{00000000-0005-0000-0000-000019550000}"/>
    <cellStyle name="Normal 5 2 3 2 2 2 2 2 4 2" xfId="14832" xr:uid="{00000000-0005-0000-0000-00001A550000}"/>
    <cellStyle name="Normal 5 2 3 2 2 2 2 2 4 2 2" xfId="31147" xr:uid="{00000000-0005-0000-0000-00001B550000}"/>
    <cellStyle name="Normal 5 2 3 2 2 2 2 2 4 3" xfId="24182" xr:uid="{00000000-0005-0000-0000-00001C550000}"/>
    <cellStyle name="Normal 5 2 3 2 2 2 2 2 5" xfId="10884" xr:uid="{00000000-0005-0000-0000-00001D550000}"/>
    <cellStyle name="Normal 5 2 3 2 2 2 2 2 5 2" xfId="27482" xr:uid="{00000000-0005-0000-0000-00001E550000}"/>
    <cellStyle name="Normal 5 2 3 2 2 2 2 2 6" xfId="4421" xr:uid="{00000000-0005-0000-0000-00001F550000}"/>
    <cellStyle name="Normal 5 2 3 2 2 2 2 2 6 2" xfId="21144" xr:uid="{00000000-0005-0000-0000-000020550000}"/>
    <cellStyle name="Normal 5 2 3 2 2 2 2 2 7" xfId="18456" xr:uid="{00000000-0005-0000-0000-000021550000}"/>
    <cellStyle name="Normal 5 2 3 2 2 2 2 3" xfId="2821" xr:uid="{00000000-0005-0000-0000-000022550000}"/>
    <cellStyle name="Normal 5 2 3 2 2 2 2 3 2" xfId="6245" xr:uid="{00000000-0005-0000-0000-000023550000}"/>
    <cellStyle name="Normal 5 2 3 2 2 2 2 3 2 2" xfId="9596" xr:uid="{00000000-0005-0000-0000-000024550000}"/>
    <cellStyle name="Normal 5 2 3 2 2 2 2 3 2 2 2" xfId="16859" xr:uid="{00000000-0005-0000-0000-000025550000}"/>
    <cellStyle name="Normal 5 2 3 2 2 2 2 3 2 2 2 2" xfId="33174" xr:uid="{00000000-0005-0000-0000-000026550000}"/>
    <cellStyle name="Normal 5 2 3 2 2 2 2 3 2 2 3" xfId="26209" xr:uid="{00000000-0005-0000-0000-000027550000}"/>
    <cellStyle name="Normal 5 2 3 2 2 2 2 3 2 3" xfId="12938" xr:uid="{00000000-0005-0000-0000-000028550000}"/>
    <cellStyle name="Normal 5 2 3 2 2 2 2 3 2 3 2" xfId="29513" xr:uid="{00000000-0005-0000-0000-000029550000}"/>
    <cellStyle name="Normal 5 2 3 2 2 2 2 3 2 4" xfId="22909" xr:uid="{00000000-0005-0000-0000-00002A550000}"/>
    <cellStyle name="Normal 5 2 3 2 2 2 2 3 3" xfId="7975" xr:uid="{00000000-0005-0000-0000-00002B550000}"/>
    <cellStyle name="Normal 5 2 3 2 2 2 2 3 3 2" xfId="15238" xr:uid="{00000000-0005-0000-0000-00002C550000}"/>
    <cellStyle name="Normal 5 2 3 2 2 2 2 3 3 2 2" xfId="31553" xr:uid="{00000000-0005-0000-0000-00002D550000}"/>
    <cellStyle name="Normal 5 2 3 2 2 2 2 3 3 3" xfId="24588" xr:uid="{00000000-0005-0000-0000-00002E550000}"/>
    <cellStyle name="Normal 5 2 3 2 2 2 2 3 4" xfId="11290" xr:uid="{00000000-0005-0000-0000-00002F550000}"/>
    <cellStyle name="Normal 5 2 3 2 2 2 2 3 4 2" xfId="27888" xr:uid="{00000000-0005-0000-0000-000030550000}"/>
    <cellStyle name="Normal 5 2 3 2 2 2 2 3 5" xfId="4423" xr:uid="{00000000-0005-0000-0000-000031550000}"/>
    <cellStyle name="Normal 5 2 3 2 2 2 2 3 5 2" xfId="21146" xr:uid="{00000000-0005-0000-0000-000032550000}"/>
    <cellStyle name="Normal 5 2 3 2 2 2 2 3 6" xfId="19548" xr:uid="{00000000-0005-0000-0000-000033550000}"/>
    <cellStyle name="Normal 5 2 3 2 2 2 2 4" xfId="2818" xr:uid="{00000000-0005-0000-0000-000034550000}"/>
    <cellStyle name="Normal 5 2 3 2 2 2 2 4 2" xfId="8783" xr:uid="{00000000-0005-0000-0000-000035550000}"/>
    <cellStyle name="Normal 5 2 3 2 2 2 2 4 2 2" xfId="16046" xr:uid="{00000000-0005-0000-0000-000036550000}"/>
    <cellStyle name="Normal 5 2 3 2 2 2 2 4 2 2 2" xfId="32361" xr:uid="{00000000-0005-0000-0000-000037550000}"/>
    <cellStyle name="Normal 5 2 3 2 2 2 2 4 2 3" xfId="25396" xr:uid="{00000000-0005-0000-0000-000038550000}"/>
    <cellStyle name="Normal 5 2 3 2 2 2 2 4 3" xfId="12125" xr:uid="{00000000-0005-0000-0000-000039550000}"/>
    <cellStyle name="Normal 5 2 3 2 2 2 2 4 3 2" xfId="28700" xr:uid="{00000000-0005-0000-0000-00003A550000}"/>
    <cellStyle name="Normal 5 2 3 2 2 2 2 4 4" xfId="5432" xr:uid="{00000000-0005-0000-0000-00003B550000}"/>
    <cellStyle name="Normal 5 2 3 2 2 2 2 4 4 2" xfId="22096" xr:uid="{00000000-0005-0000-0000-00003C550000}"/>
    <cellStyle name="Normal 5 2 3 2 2 2 2 4 5" xfId="19545" xr:uid="{00000000-0005-0000-0000-00003D550000}"/>
    <cellStyle name="Normal 5 2 3 2 2 2 2 5" xfId="7163" xr:uid="{00000000-0005-0000-0000-00003E550000}"/>
    <cellStyle name="Normal 5 2 3 2 2 2 2 5 2" xfId="14426" xr:uid="{00000000-0005-0000-0000-00003F550000}"/>
    <cellStyle name="Normal 5 2 3 2 2 2 2 5 2 2" xfId="30741" xr:uid="{00000000-0005-0000-0000-000040550000}"/>
    <cellStyle name="Normal 5 2 3 2 2 2 2 5 3" xfId="23776" xr:uid="{00000000-0005-0000-0000-000041550000}"/>
    <cellStyle name="Normal 5 2 3 2 2 2 2 6" xfId="10478" xr:uid="{00000000-0005-0000-0000-000042550000}"/>
    <cellStyle name="Normal 5 2 3 2 2 2 2 6 2" xfId="27076" xr:uid="{00000000-0005-0000-0000-000043550000}"/>
    <cellStyle name="Normal 5 2 3 2 2 2 2 7" xfId="4420" xr:uid="{00000000-0005-0000-0000-000044550000}"/>
    <cellStyle name="Normal 5 2 3 2 2 2 2 7 2" xfId="21143" xr:uid="{00000000-0005-0000-0000-000045550000}"/>
    <cellStyle name="Normal 5 2 3 2 2 2 2 8" xfId="17937" xr:uid="{00000000-0005-0000-0000-000046550000}"/>
    <cellStyle name="Normal 5 2 3 2 2 2 3" xfId="1588" xr:uid="{00000000-0005-0000-0000-000047550000}"/>
    <cellStyle name="Normal 5 2 3 2 2 2 3 2" xfId="2823" xr:uid="{00000000-0005-0000-0000-000048550000}"/>
    <cellStyle name="Normal 5 2 3 2 2 2 3 2 2" xfId="6439" xr:uid="{00000000-0005-0000-0000-000049550000}"/>
    <cellStyle name="Normal 5 2 3 2 2 2 3 2 2 2" xfId="9790" xr:uid="{00000000-0005-0000-0000-00004A550000}"/>
    <cellStyle name="Normal 5 2 3 2 2 2 3 2 2 2 2" xfId="17053" xr:uid="{00000000-0005-0000-0000-00004B550000}"/>
    <cellStyle name="Normal 5 2 3 2 2 2 3 2 2 2 2 2" xfId="33368" xr:uid="{00000000-0005-0000-0000-00004C550000}"/>
    <cellStyle name="Normal 5 2 3 2 2 2 3 2 2 2 3" xfId="26403" xr:uid="{00000000-0005-0000-0000-00004D550000}"/>
    <cellStyle name="Normal 5 2 3 2 2 2 3 2 2 3" xfId="13132" xr:uid="{00000000-0005-0000-0000-00004E550000}"/>
    <cellStyle name="Normal 5 2 3 2 2 2 3 2 2 3 2" xfId="29707" xr:uid="{00000000-0005-0000-0000-00004F550000}"/>
    <cellStyle name="Normal 5 2 3 2 2 2 3 2 2 4" xfId="23103" xr:uid="{00000000-0005-0000-0000-000050550000}"/>
    <cellStyle name="Normal 5 2 3 2 2 2 3 2 3" xfId="8169" xr:uid="{00000000-0005-0000-0000-000051550000}"/>
    <cellStyle name="Normal 5 2 3 2 2 2 3 2 3 2" xfId="15432" xr:uid="{00000000-0005-0000-0000-000052550000}"/>
    <cellStyle name="Normal 5 2 3 2 2 2 3 2 3 2 2" xfId="31747" xr:uid="{00000000-0005-0000-0000-000053550000}"/>
    <cellStyle name="Normal 5 2 3 2 2 2 3 2 3 3" xfId="24782" xr:uid="{00000000-0005-0000-0000-000054550000}"/>
    <cellStyle name="Normal 5 2 3 2 2 2 3 2 4" xfId="11484" xr:uid="{00000000-0005-0000-0000-000055550000}"/>
    <cellStyle name="Normal 5 2 3 2 2 2 3 2 4 2" xfId="28082" xr:uid="{00000000-0005-0000-0000-000056550000}"/>
    <cellStyle name="Normal 5 2 3 2 2 2 3 2 5" xfId="4425" xr:uid="{00000000-0005-0000-0000-000057550000}"/>
    <cellStyle name="Normal 5 2 3 2 2 2 3 2 5 2" xfId="21148" xr:uid="{00000000-0005-0000-0000-000058550000}"/>
    <cellStyle name="Normal 5 2 3 2 2 2 3 2 6" xfId="19550" xr:uid="{00000000-0005-0000-0000-000059550000}"/>
    <cellStyle name="Normal 5 2 3 2 2 2 3 3" xfId="2822" xr:uid="{00000000-0005-0000-0000-00005A550000}"/>
    <cellStyle name="Normal 5 2 3 2 2 2 3 3 2" xfId="8978" xr:uid="{00000000-0005-0000-0000-00005B550000}"/>
    <cellStyle name="Normal 5 2 3 2 2 2 3 3 2 2" xfId="16241" xr:uid="{00000000-0005-0000-0000-00005C550000}"/>
    <cellStyle name="Normal 5 2 3 2 2 2 3 3 2 2 2" xfId="32556" xr:uid="{00000000-0005-0000-0000-00005D550000}"/>
    <cellStyle name="Normal 5 2 3 2 2 2 3 3 2 3" xfId="25591" xr:uid="{00000000-0005-0000-0000-00005E550000}"/>
    <cellStyle name="Normal 5 2 3 2 2 2 3 3 3" xfId="12320" xr:uid="{00000000-0005-0000-0000-00005F550000}"/>
    <cellStyle name="Normal 5 2 3 2 2 2 3 3 3 2" xfId="28895" xr:uid="{00000000-0005-0000-0000-000060550000}"/>
    <cellStyle name="Normal 5 2 3 2 2 2 3 3 4" xfId="5627" xr:uid="{00000000-0005-0000-0000-000061550000}"/>
    <cellStyle name="Normal 5 2 3 2 2 2 3 3 4 2" xfId="22291" xr:uid="{00000000-0005-0000-0000-000062550000}"/>
    <cellStyle name="Normal 5 2 3 2 2 2 3 3 5" xfId="19549" xr:uid="{00000000-0005-0000-0000-000063550000}"/>
    <cellStyle name="Normal 5 2 3 2 2 2 3 4" xfId="7357" xr:uid="{00000000-0005-0000-0000-000064550000}"/>
    <cellStyle name="Normal 5 2 3 2 2 2 3 4 2" xfId="14620" xr:uid="{00000000-0005-0000-0000-000065550000}"/>
    <cellStyle name="Normal 5 2 3 2 2 2 3 4 2 2" xfId="30935" xr:uid="{00000000-0005-0000-0000-000066550000}"/>
    <cellStyle name="Normal 5 2 3 2 2 2 3 4 3" xfId="23970" xr:uid="{00000000-0005-0000-0000-000067550000}"/>
    <cellStyle name="Normal 5 2 3 2 2 2 3 5" xfId="10672" xr:uid="{00000000-0005-0000-0000-000068550000}"/>
    <cellStyle name="Normal 5 2 3 2 2 2 3 5 2" xfId="27270" xr:uid="{00000000-0005-0000-0000-000069550000}"/>
    <cellStyle name="Normal 5 2 3 2 2 2 3 6" xfId="4424" xr:uid="{00000000-0005-0000-0000-00006A550000}"/>
    <cellStyle name="Normal 5 2 3 2 2 2 3 6 2" xfId="21147" xr:uid="{00000000-0005-0000-0000-00006B550000}"/>
    <cellStyle name="Normal 5 2 3 2 2 2 3 7" xfId="18323" xr:uid="{00000000-0005-0000-0000-00006C550000}"/>
    <cellStyle name="Normal 5 2 3 2 2 2 4" xfId="2824" xr:uid="{00000000-0005-0000-0000-00006D550000}"/>
    <cellStyle name="Normal 5 2 3 2 2 2 4 2" xfId="6033" xr:uid="{00000000-0005-0000-0000-00006E550000}"/>
    <cellStyle name="Normal 5 2 3 2 2 2 4 2 2" xfId="9384" xr:uid="{00000000-0005-0000-0000-00006F550000}"/>
    <cellStyle name="Normal 5 2 3 2 2 2 4 2 2 2" xfId="16647" xr:uid="{00000000-0005-0000-0000-000070550000}"/>
    <cellStyle name="Normal 5 2 3 2 2 2 4 2 2 2 2" xfId="32962" xr:uid="{00000000-0005-0000-0000-000071550000}"/>
    <cellStyle name="Normal 5 2 3 2 2 2 4 2 2 3" xfId="25997" xr:uid="{00000000-0005-0000-0000-000072550000}"/>
    <cellStyle name="Normal 5 2 3 2 2 2 4 2 3" xfId="12726" xr:uid="{00000000-0005-0000-0000-000073550000}"/>
    <cellStyle name="Normal 5 2 3 2 2 2 4 2 3 2" xfId="29301" xr:uid="{00000000-0005-0000-0000-000074550000}"/>
    <cellStyle name="Normal 5 2 3 2 2 2 4 2 4" xfId="22697" xr:uid="{00000000-0005-0000-0000-000075550000}"/>
    <cellStyle name="Normal 5 2 3 2 2 2 4 3" xfId="7763" xr:uid="{00000000-0005-0000-0000-000076550000}"/>
    <cellStyle name="Normal 5 2 3 2 2 2 4 3 2" xfId="15026" xr:uid="{00000000-0005-0000-0000-000077550000}"/>
    <cellStyle name="Normal 5 2 3 2 2 2 4 3 2 2" xfId="31341" xr:uid="{00000000-0005-0000-0000-000078550000}"/>
    <cellStyle name="Normal 5 2 3 2 2 2 4 3 3" xfId="24376" xr:uid="{00000000-0005-0000-0000-000079550000}"/>
    <cellStyle name="Normal 5 2 3 2 2 2 4 4" xfId="11078" xr:uid="{00000000-0005-0000-0000-00007A550000}"/>
    <cellStyle name="Normal 5 2 3 2 2 2 4 4 2" xfId="27676" xr:uid="{00000000-0005-0000-0000-00007B550000}"/>
    <cellStyle name="Normal 5 2 3 2 2 2 4 5" xfId="4426" xr:uid="{00000000-0005-0000-0000-00007C550000}"/>
    <cellStyle name="Normal 5 2 3 2 2 2 4 5 2" xfId="21149" xr:uid="{00000000-0005-0000-0000-00007D550000}"/>
    <cellStyle name="Normal 5 2 3 2 2 2 4 6" xfId="19551" xr:uid="{00000000-0005-0000-0000-00007E550000}"/>
    <cellStyle name="Normal 5 2 3 2 2 2 5" xfId="2817" xr:uid="{00000000-0005-0000-0000-00007F550000}"/>
    <cellStyle name="Normal 5 2 3 2 2 2 5 2" xfId="8649" xr:uid="{00000000-0005-0000-0000-000080550000}"/>
    <cellStyle name="Normal 5 2 3 2 2 2 5 2 2" xfId="15912" xr:uid="{00000000-0005-0000-0000-000081550000}"/>
    <cellStyle name="Normal 5 2 3 2 2 2 5 2 2 2" xfId="32227" xr:uid="{00000000-0005-0000-0000-000082550000}"/>
    <cellStyle name="Normal 5 2 3 2 2 2 5 2 3" xfId="25262" xr:uid="{00000000-0005-0000-0000-000083550000}"/>
    <cellStyle name="Normal 5 2 3 2 2 2 5 3" xfId="11991" xr:uid="{00000000-0005-0000-0000-000084550000}"/>
    <cellStyle name="Normal 5 2 3 2 2 2 5 3 2" xfId="28566" xr:uid="{00000000-0005-0000-0000-000085550000}"/>
    <cellStyle name="Normal 5 2 3 2 2 2 5 4" xfId="5298" xr:uid="{00000000-0005-0000-0000-000086550000}"/>
    <cellStyle name="Normal 5 2 3 2 2 2 5 4 2" xfId="21962" xr:uid="{00000000-0005-0000-0000-000087550000}"/>
    <cellStyle name="Normal 5 2 3 2 2 2 5 5" xfId="19544" xr:uid="{00000000-0005-0000-0000-000088550000}"/>
    <cellStyle name="Normal 5 2 3 2 2 2 6" xfId="7030" xr:uid="{00000000-0005-0000-0000-000089550000}"/>
    <cellStyle name="Normal 5 2 3 2 2 2 6 2" xfId="14293" xr:uid="{00000000-0005-0000-0000-00008A550000}"/>
    <cellStyle name="Normal 5 2 3 2 2 2 6 2 2" xfId="30608" xr:uid="{00000000-0005-0000-0000-00008B550000}"/>
    <cellStyle name="Normal 5 2 3 2 2 2 6 3" xfId="23643" xr:uid="{00000000-0005-0000-0000-00008C550000}"/>
    <cellStyle name="Normal 5 2 3 2 2 2 7" xfId="10344" xr:uid="{00000000-0005-0000-0000-00008D550000}"/>
    <cellStyle name="Normal 5 2 3 2 2 2 7 2" xfId="26943" xr:uid="{00000000-0005-0000-0000-00008E550000}"/>
    <cellStyle name="Normal 5 2 3 2 2 2 8" xfId="4419" xr:uid="{00000000-0005-0000-0000-00008F550000}"/>
    <cellStyle name="Normal 5 2 3 2 2 2 8 2" xfId="21142" xr:uid="{00000000-0005-0000-0000-000090550000}"/>
    <cellStyle name="Normal 5 2 3 2 2 2 9" xfId="17804" xr:uid="{00000000-0005-0000-0000-000091550000}"/>
    <cellStyle name="Normal 5 2 3 2 2 3" xfId="1199" xr:uid="{00000000-0005-0000-0000-000092550000}"/>
    <cellStyle name="Normal 5 2 3 2 2 3 2" xfId="1720" xr:uid="{00000000-0005-0000-0000-000093550000}"/>
    <cellStyle name="Normal 5 2 3 2 2 3 2 2" xfId="2827" xr:uid="{00000000-0005-0000-0000-000094550000}"/>
    <cellStyle name="Normal 5 2 3 2 2 3 2 2 2" xfId="6614" xr:uid="{00000000-0005-0000-0000-000095550000}"/>
    <cellStyle name="Normal 5 2 3 2 2 3 2 2 2 2" xfId="9965" xr:uid="{00000000-0005-0000-0000-000096550000}"/>
    <cellStyle name="Normal 5 2 3 2 2 3 2 2 2 2 2" xfId="17228" xr:uid="{00000000-0005-0000-0000-000097550000}"/>
    <cellStyle name="Normal 5 2 3 2 2 3 2 2 2 2 2 2" xfId="33543" xr:uid="{00000000-0005-0000-0000-000098550000}"/>
    <cellStyle name="Normal 5 2 3 2 2 3 2 2 2 2 3" xfId="26578" xr:uid="{00000000-0005-0000-0000-000099550000}"/>
    <cellStyle name="Normal 5 2 3 2 2 3 2 2 2 3" xfId="13307" xr:uid="{00000000-0005-0000-0000-00009A550000}"/>
    <cellStyle name="Normal 5 2 3 2 2 3 2 2 2 3 2" xfId="29882" xr:uid="{00000000-0005-0000-0000-00009B550000}"/>
    <cellStyle name="Normal 5 2 3 2 2 3 2 2 2 4" xfId="23278" xr:uid="{00000000-0005-0000-0000-00009C550000}"/>
    <cellStyle name="Normal 5 2 3 2 2 3 2 2 3" xfId="8344" xr:uid="{00000000-0005-0000-0000-00009D550000}"/>
    <cellStyle name="Normal 5 2 3 2 2 3 2 2 3 2" xfId="15607" xr:uid="{00000000-0005-0000-0000-00009E550000}"/>
    <cellStyle name="Normal 5 2 3 2 2 3 2 2 3 2 2" xfId="31922" xr:uid="{00000000-0005-0000-0000-00009F550000}"/>
    <cellStyle name="Normal 5 2 3 2 2 3 2 2 3 3" xfId="24957" xr:uid="{00000000-0005-0000-0000-0000A0550000}"/>
    <cellStyle name="Normal 5 2 3 2 2 3 2 2 4" xfId="11659" xr:uid="{00000000-0005-0000-0000-0000A1550000}"/>
    <cellStyle name="Normal 5 2 3 2 2 3 2 2 4 2" xfId="28257" xr:uid="{00000000-0005-0000-0000-0000A2550000}"/>
    <cellStyle name="Normal 5 2 3 2 2 3 2 2 5" xfId="4429" xr:uid="{00000000-0005-0000-0000-0000A3550000}"/>
    <cellStyle name="Normal 5 2 3 2 2 3 2 2 5 2" xfId="21152" xr:uid="{00000000-0005-0000-0000-0000A4550000}"/>
    <cellStyle name="Normal 5 2 3 2 2 3 2 2 6" xfId="19554" xr:uid="{00000000-0005-0000-0000-0000A5550000}"/>
    <cellStyle name="Normal 5 2 3 2 2 3 2 3" xfId="2826" xr:uid="{00000000-0005-0000-0000-0000A6550000}"/>
    <cellStyle name="Normal 5 2 3 2 2 3 2 3 2" xfId="9189" xr:uid="{00000000-0005-0000-0000-0000A7550000}"/>
    <cellStyle name="Normal 5 2 3 2 2 3 2 3 2 2" xfId="16452" xr:uid="{00000000-0005-0000-0000-0000A8550000}"/>
    <cellStyle name="Normal 5 2 3 2 2 3 2 3 2 2 2" xfId="32767" xr:uid="{00000000-0005-0000-0000-0000A9550000}"/>
    <cellStyle name="Normal 5 2 3 2 2 3 2 3 2 3" xfId="25802" xr:uid="{00000000-0005-0000-0000-0000AA550000}"/>
    <cellStyle name="Normal 5 2 3 2 2 3 2 3 3" xfId="12531" xr:uid="{00000000-0005-0000-0000-0000AB550000}"/>
    <cellStyle name="Normal 5 2 3 2 2 3 2 3 3 2" xfId="29106" xr:uid="{00000000-0005-0000-0000-0000AC550000}"/>
    <cellStyle name="Normal 5 2 3 2 2 3 2 3 4" xfId="5838" xr:uid="{00000000-0005-0000-0000-0000AD550000}"/>
    <cellStyle name="Normal 5 2 3 2 2 3 2 3 4 2" xfId="22502" xr:uid="{00000000-0005-0000-0000-0000AE550000}"/>
    <cellStyle name="Normal 5 2 3 2 2 3 2 3 5" xfId="19553" xr:uid="{00000000-0005-0000-0000-0000AF550000}"/>
    <cellStyle name="Normal 5 2 3 2 2 3 2 4" xfId="7568" xr:uid="{00000000-0005-0000-0000-0000B0550000}"/>
    <cellStyle name="Normal 5 2 3 2 2 3 2 4 2" xfId="14831" xr:uid="{00000000-0005-0000-0000-0000B1550000}"/>
    <cellStyle name="Normal 5 2 3 2 2 3 2 4 2 2" xfId="31146" xr:uid="{00000000-0005-0000-0000-0000B2550000}"/>
    <cellStyle name="Normal 5 2 3 2 2 3 2 4 3" xfId="24181" xr:uid="{00000000-0005-0000-0000-0000B3550000}"/>
    <cellStyle name="Normal 5 2 3 2 2 3 2 5" xfId="10883" xr:uid="{00000000-0005-0000-0000-0000B4550000}"/>
    <cellStyle name="Normal 5 2 3 2 2 3 2 5 2" xfId="27481" xr:uid="{00000000-0005-0000-0000-0000B5550000}"/>
    <cellStyle name="Normal 5 2 3 2 2 3 2 6" xfId="4428" xr:uid="{00000000-0005-0000-0000-0000B6550000}"/>
    <cellStyle name="Normal 5 2 3 2 2 3 2 6 2" xfId="21151" xr:uid="{00000000-0005-0000-0000-0000B7550000}"/>
    <cellStyle name="Normal 5 2 3 2 2 3 2 7" xfId="18455" xr:uid="{00000000-0005-0000-0000-0000B8550000}"/>
    <cellStyle name="Normal 5 2 3 2 2 3 3" xfId="2828" xr:uid="{00000000-0005-0000-0000-0000B9550000}"/>
    <cellStyle name="Normal 5 2 3 2 2 3 3 2" xfId="6244" xr:uid="{00000000-0005-0000-0000-0000BA550000}"/>
    <cellStyle name="Normal 5 2 3 2 2 3 3 2 2" xfId="9595" xr:uid="{00000000-0005-0000-0000-0000BB550000}"/>
    <cellStyle name="Normal 5 2 3 2 2 3 3 2 2 2" xfId="16858" xr:uid="{00000000-0005-0000-0000-0000BC550000}"/>
    <cellStyle name="Normal 5 2 3 2 2 3 3 2 2 2 2" xfId="33173" xr:uid="{00000000-0005-0000-0000-0000BD550000}"/>
    <cellStyle name="Normal 5 2 3 2 2 3 3 2 2 3" xfId="26208" xr:uid="{00000000-0005-0000-0000-0000BE550000}"/>
    <cellStyle name="Normal 5 2 3 2 2 3 3 2 3" xfId="12937" xr:uid="{00000000-0005-0000-0000-0000BF550000}"/>
    <cellStyle name="Normal 5 2 3 2 2 3 3 2 3 2" xfId="29512" xr:uid="{00000000-0005-0000-0000-0000C0550000}"/>
    <cellStyle name="Normal 5 2 3 2 2 3 3 2 4" xfId="22908" xr:uid="{00000000-0005-0000-0000-0000C1550000}"/>
    <cellStyle name="Normal 5 2 3 2 2 3 3 3" xfId="7974" xr:uid="{00000000-0005-0000-0000-0000C2550000}"/>
    <cellStyle name="Normal 5 2 3 2 2 3 3 3 2" xfId="15237" xr:uid="{00000000-0005-0000-0000-0000C3550000}"/>
    <cellStyle name="Normal 5 2 3 2 2 3 3 3 2 2" xfId="31552" xr:uid="{00000000-0005-0000-0000-0000C4550000}"/>
    <cellStyle name="Normal 5 2 3 2 2 3 3 3 3" xfId="24587" xr:uid="{00000000-0005-0000-0000-0000C5550000}"/>
    <cellStyle name="Normal 5 2 3 2 2 3 3 4" xfId="11289" xr:uid="{00000000-0005-0000-0000-0000C6550000}"/>
    <cellStyle name="Normal 5 2 3 2 2 3 3 4 2" xfId="27887" xr:uid="{00000000-0005-0000-0000-0000C7550000}"/>
    <cellStyle name="Normal 5 2 3 2 2 3 3 5" xfId="4430" xr:uid="{00000000-0005-0000-0000-0000C8550000}"/>
    <cellStyle name="Normal 5 2 3 2 2 3 3 5 2" xfId="21153" xr:uid="{00000000-0005-0000-0000-0000C9550000}"/>
    <cellStyle name="Normal 5 2 3 2 2 3 3 6" xfId="19555" xr:uid="{00000000-0005-0000-0000-0000CA550000}"/>
    <cellStyle name="Normal 5 2 3 2 2 3 4" xfId="2825" xr:uid="{00000000-0005-0000-0000-0000CB550000}"/>
    <cellStyle name="Normal 5 2 3 2 2 3 4 2" xfId="8782" xr:uid="{00000000-0005-0000-0000-0000CC550000}"/>
    <cellStyle name="Normal 5 2 3 2 2 3 4 2 2" xfId="16045" xr:uid="{00000000-0005-0000-0000-0000CD550000}"/>
    <cellStyle name="Normal 5 2 3 2 2 3 4 2 2 2" xfId="32360" xr:uid="{00000000-0005-0000-0000-0000CE550000}"/>
    <cellStyle name="Normal 5 2 3 2 2 3 4 2 3" xfId="25395" xr:uid="{00000000-0005-0000-0000-0000CF550000}"/>
    <cellStyle name="Normal 5 2 3 2 2 3 4 3" xfId="12124" xr:uid="{00000000-0005-0000-0000-0000D0550000}"/>
    <cellStyle name="Normal 5 2 3 2 2 3 4 3 2" xfId="28699" xr:uid="{00000000-0005-0000-0000-0000D1550000}"/>
    <cellStyle name="Normal 5 2 3 2 2 3 4 4" xfId="5431" xr:uid="{00000000-0005-0000-0000-0000D2550000}"/>
    <cellStyle name="Normal 5 2 3 2 2 3 4 4 2" xfId="22095" xr:uid="{00000000-0005-0000-0000-0000D3550000}"/>
    <cellStyle name="Normal 5 2 3 2 2 3 4 5" xfId="19552" xr:uid="{00000000-0005-0000-0000-0000D4550000}"/>
    <cellStyle name="Normal 5 2 3 2 2 3 5" xfId="7162" xr:uid="{00000000-0005-0000-0000-0000D5550000}"/>
    <cellStyle name="Normal 5 2 3 2 2 3 5 2" xfId="14425" xr:uid="{00000000-0005-0000-0000-0000D6550000}"/>
    <cellStyle name="Normal 5 2 3 2 2 3 5 2 2" xfId="30740" xr:uid="{00000000-0005-0000-0000-0000D7550000}"/>
    <cellStyle name="Normal 5 2 3 2 2 3 5 3" xfId="23775" xr:uid="{00000000-0005-0000-0000-0000D8550000}"/>
    <cellStyle name="Normal 5 2 3 2 2 3 6" xfId="10477" xr:uid="{00000000-0005-0000-0000-0000D9550000}"/>
    <cellStyle name="Normal 5 2 3 2 2 3 6 2" xfId="27075" xr:uid="{00000000-0005-0000-0000-0000DA550000}"/>
    <cellStyle name="Normal 5 2 3 2 2 3 7" xfId="4427" xr:uid="{00000000-0005-0000-0000-0000DB550000}"/>
    <cellStyle name="Normal 5 2 3 2 2 3 7 2" xfId="21150" xr:uid="{00000000-0005-0000-0000-0000DC550000}"/>
    <cellStyle name="Normal 5 2 3 2 2 3 8" xfId="17936" xr:uid="{00000000-0005-0000-0000-0000DD550000}"/>
    <cellStyle name="Normal 5 2 3 2 2 4" xfId="920" xr:uid="{00000000-0005-0000-0000-0000DE550000}"/>
    <cellStyle name="Normal 5 2 3 2 2 4 2" xfId="1482" xr:uid="{00000000-0005-0000-0000-0000DF550000}"/>
    <cellStyle name="Normal 5 2 3 2 2 4 2 2" xfId="2830" xr:uid="{00000000-0005-0000-0000-0000E0550000}"/>
    <cellStyle name="Normal 5 2 3 2 2 4 2 2 2" xfId="9789" xr:uid="{00000000-0005-0000-0000-0000E1550000}"/>
    <cellStyle name="Normal 5 2 3 2 2 4 2 2 2 2" xfId="17052" xr:uid="{00000000-0005-0000-0000-0000E2550000}"/>
    <cellStyle name="Normal 5 2 3 2 2 4 2 2 2 2 2" xfId="33367" xr:uid="{00000000-0005-0000-0000-0000E3550000}"/>
    <cellStyle name="Normal 5 2 3 2 2 4 2 2 2 3" xfId="26402" xr:uid="{00000000-0005-0000-0000-0000E4550000}"/>
    <cellStyle name="Normal 5 2 3 2 2 4 2 2 3" xfId="13131" xr:uid="{00000000-0005-0000-0000-0000E5550000}"/>
    <cellStyle name="Normal 5 2 3 2 2 4 2 2 3 2" xfId="29706" xr:uid="{00000000-0005-0000-0000-0000E6550000}"/>
    <cellStyle name="Normal 5 2 3 2 2 4 2 2 4" xfId="6438" xr:uid="{00000000-0005-0000-0000-0000E7550000}"/>
    <cellStyle name="Normal 5 2 3 2 2 4 2 2 4 2" xfId="23102" xr:uid="{00000000-0005-0000-0000-0000E8550000}"/>
    <cellStyle name="Normal 5 2 3 2 2 4 2 2 5" xfId="19557" xr:uid="{00000000-0005-0000-0000-0000E9550000}"/>
    <cellStyle name="Normal 5 2 3 2 2 4 2 3" xfId="8168" xr:uid="{00000000-0005-0000-0000-0000EA550000}"/>
    <cellStyle name="Normal 5 2 3 2 2 4 2 3 2" xfId="15431" xr:uid="{00000000-0005-0000-0000-0000EB550000}"/>
    <cellStyle name="Normal 5 2 3 2 2 4 2 3 2 2" xfId="31746" xr:uid="{00000000-0005-0000-0000-0000EC550000}"/>
    <cellStyle name="Normal 5 2 3 2 2 4 2 3 3" xfId="24781" xr:uid="{00000000-0005-0000-0000-0000ED550000}"/>
    <cellStyle name="Normal 5 2 3 2 2 4 2 4" xfId="11483" xr:uid="{00000000-0005-0000-0000-0000EE550000}"/>
    <cellStyle name="Normal 5 2 3 2 2 4 2 4 2" xfId="28081" xr:uid="{00000000-0005-0000-0000-0000EF550000}"/>
    <cellStyle name="Normal 5 2 3 2 2 4 2 5" xfId="4432" xr:uid="{00000000-0005-0000-0000-0000F0550000}"/>
    <cellStyle name="Normal 5 2 3 2 2 4 2 5 2" xfId="21155" xr:uid="{00000000-0005-0000-0000-0000F1550000}"/>
    <cellStyle name="Normal 5 2 3 2 2 4 2 6" xfId="18217" xr:uid="{00000000-0005-0000-0000-0000F2550000}"/>
    <cellStyle name="Normal 5 2 3 2 2 4 3" xfId="2829" xr:uid="{00000000-0005-0000-0000-0000F3550000}"/>
    <cellStyle name="Normal 5 2 3 2 2 4 3 2" xfId="8977" xr:uid="{00000000-0005-0000-0000-0000F4550000}"/>
    <cellStyle name="Normal 5 2 3 2 2 4 3 2 2" xfId="16240" xr:uid="{00000000-0005-0000-0000-0000F5550000}"/>
    <cellStyle name="Normal 5 2 3 2 2 4 3 2 2 2" xfId="32555" xr:uid="{00000000-0005-0000-0000-0000F6550000}"/>
    <cellStyle name="Normal 5 2 3 2 2 4 3 2 3" xfId="25590" xr:uid="{00000000-0005-0000-0000-0000F7550000}"/>
    <cellStyle name="Normal 5 2 3 2 2 4 3 3" xfId="12319" xr:uid="{00000000-0005-0000-0000-0000F8550000}"/>
    <cellStyle name="Normal 5 2 3 2 2 4 3 3 2" xfId="28894" xr:uid="{00000000-0005-0000-0000-0000F9550000}"/>
    <cellStyle name="Normal 5 2 3 2 2 4 3 4" xfId="5626" xr:uid="{00000000-0005-0000-0000-0000FA550000}"/>
    <cellStyle name="Normal 5 2 3 2 2 4 3 4 2" xfId="22290" xr:uid="{00000000-0005-0000-0000-0000FB550000}"/>
    <cellStyle name="Normal 5 2 3 2 2 4 3 5" xfId="19556" xr:uid="{00000000-0005-0000-0000-0000FC550000}"/>
    <cellStyle name="Normal 5 2 3 2 2 4 4" xfId="7356" xr:uid="{00000000-0005-0000-0000-0000FD550000}"/>
    <cellStyle name="Normal 5 2 3 2 2 4 4 2" xfId="14619" xr:uid="{00000000-0005-0000-0000-0000FE550000}"/>
    <cellStyle name="Normal 5 2 3 2 2 4 4 2 2" xfId="30934" xr:uid="{00000000-0005-0000-0000-0000FF550000}"/>
    <cellStyle name="Normal 5 2 3 2 2 4 4 3" xfId="23969" xr:uid="{00000000-0005-0000-0000-000000560000}"/>
    <cellStyle name="Normal 5 2 3 2 2 4 5" xfId="10671" xr:uid="{00000000-0005-0000-0000-000001560000}"/>
    <cellStyle name="Normal 5 2 3 2 2 4 5 2" xfId="27269" xr:uid="{00000000-0005-0000-0000-000002560000}"/>
    <cellStyle name="Normal 5 2 3 2 2 4 6" xfId="4431" xr:uid="{00000000-0005-0000-0000-000003560000}"/>
    <cellStyle name="Normal 5 2 3 2 2 4 6 2" xfId="21154" xr:uid="{00000000-0005-0000-0000-000004560000}"/>
    <cellStyle name="Normal 5 2 3 2 2 4 7" xfId="17698" xr:uid="{00000000-0005-0000-0000-000005560000}"/>
    <cellStyle name="Normal 5 2 3 2 2 5" xfId="798" xr:uid="{00000000-0005-0000-0000-000006560000}"/>
    <cellStyle name="Normal 5 2 3 2 2 5 2" xfId="2831" xr:uid="{00000000-0005-0000-0000-000007560000}"/>
    <cellStyle name="Normal 5 2 3 2 2 5 2 2" xfId="9383" xr:uid="{00000000-0005-0000-0000-000008560000}"/>
    <cellStyle name="Normal 5 2 3 2 2 5 2 2 2" xfId="16646" xr:uid="{00000000-0005-0000-0000-000009560000}"/>
    <cellStyle name="Normal 5 2 3 2 2 5 2 2 2 2" xfId="32961" xr:uid="{00000000-0005-0000-0000-00000A560000}"/>
    <cellStyle name="Normal 5 2 3 2 2 5 2 2 3" xfId="25996" xr:uid="{00000000-0005-0000-0000-00000B560000}"/>
    <cellStyle name="Normal 5 2 3 2 2 5 2 3" xfId="12725" xr:uid="{00000000-0005-0000-0000-00000C560000}"/>
    <cellStyle name="Normal 5 2 3 2 2 5 2 3 2" xfId="29300" xr:uid="{00000000-0005-0000-0000-00000D560000}"/>
    <cellStyle name="Normal 5 2 3 2 2 5 2 4" xfId="6032" xr:uid="{00000000-0005-0000-0000-00000E560000}"/>
    <cellStyle name="Normal 5 2 3 2 2 5 2 4 2" xfId="22696" xr:uid="{00000000-0005-0000-0000-00000F560000}"/>
    <cellStyle name="Normal 5 2 3 2 2 5 2 5" xfId="19558" xr:uid="{00000000-0005-0000-0000-000010560000}"/>
    <cellStyle name="Normal 5 2 3 2 2 5 3" xfId="7762" xr:uid="{00000000-0005-0000-0000-000011560000}"/>
    <cellStyle name="Normal 5 2 3 2 2 5 3 2" xfId="15025" xr:uid="{00000000-0005-0000-0000-000012560000}"/>
    <cellStyle name="Normal 5 2 3 2 2 5 3 2 2" xfId="31340" xr:uid="{00000000-0005-0000-0000-000013560000}"/>
    <cellStyle name="Normal 5 2 3 2 2 5 3 3" xfId="24375" xr:uid="{00000000-0005-0000-0000-000014560000}"/>
    <cellStyle name="Normal 5 2 3 2 2 5 4" xfId="11077" xr:uid="{00000000-0005-0000-0000-000015560000}"/>
    <cellStyle name="Normal 5 2 3 2 2 5 4 2" xfId="27675" xr:uid="{00000000-0005-0000-0000-000016560000}"/>
    <cellStyle name="Normal 5 2 3 2 2 5 5" xfId="4433" xr:uid="{00000000-0005-0000-0000-000017560000}"/>
    <cellStyle name="Normal 5 2 3 2 2 5 5 2" xfId="21156" xr:uid="{00000000-0005-0000-0000-000018560000}"/>
    <cellStyle name="Normal 5 2 3 2 2 5 6" xfId="17611" xr:uid="{00000000-0005-0000-0000-000019560000}"/>
    <cellStyle name="Normal 5 2 3 2 2 6" xfId="1395" xr:uid="{00000000-0005-0000-0000-00001A560000}"/>
    <cellStyle name="Normal 5 2 3 2 2 6 2" xfId="8543" xr:uid="{00000000-0005-0000-0000-00001B560000}"/>
    <cellStyle name="Normal 5 2 3 2 2 6 2 2" xfId="15806" xr:uid="{00000000-0005-0000-0000-00001C560000}"/>
    <cellStyle name="Normal 5 2 3 2 2 6 2 2 2" xfId="32121" xr:uid="{00000000-0005-0000-0000-00001D560000}"/>
    <cellStyle name="Normal 5 2 3 2 2 6 2 3" xfId="25156" xr:uid="{00000000-0005-0000-0000-00001E560000}"/>
    <cellStyle name="Normal 5 2 3 2 2 6 3" xfId="11885" xr:uid="{00000000-0005-0000-0000-00001F560000}"/>
    <cellStyle name="Normal 5 2 3 2 2 6 3 2" xfId="28460" xr:uid="{00000000-0005-0000-0000-000020560000}"/>
    <cellStyle name="Normal 5 2 3 2 2 6 4" xfId="5192" xr:uid="{00000000-0005-0000-0000-000021560000}"/>
    <cellStyle name="Normal 5 2 3 2 2 6 4 2" xfId="21856" xr:uid="{00000000-0005-0000-0000-000022560000}"/>
    <cellStyle name="Normal 5 2 3 2 2 6 5" xfId="18130" xr:uid="{00000000-0005-0000-0000-000023560000}"/>
    <cellStyle name="Normal 5 2 3 2 2 7" xfId="2816" xr:uid="{00000000-0005-0000-0000-000024560000}"/>
    <cellStyle name="Normal 5 2 3 2 2 7 2" xfId="14187" xr:uid="{00000000-0005-0000-0000-000025560000}"/>
    <cellStyle name="Normal 5 2 3 2 2 7 2 2" xfId="30502" xr:uid="{00000000-0005-0000-0000-000026560000}"/>
    <cellStyle name="Normal 5 2 3 2 2 7 3" xfId="6924" xr:uid="{00000000-0005-0000-0000-000027560000}"/>
    <cellStyle name="Normal 5 2 3 2 2 7 3 2" xfId="23537" xr:uid="{00000000-0005-0000-0000-000028560000}"/>
    <cellStyle name="Normal 5 2 3 2 2 7 4" xfId="19543" xr:uid="{00000000-0005-0000-0000-000029560000}"/>
    <cellStyle name="Normal 5 2 3 2 2 8" xfId="10238" xr:uid="{00000000-0005-0000-0000-00002A560000}"/>
    <cellStyle name="Normal 5 2 3 2 2 8 2" xfId="26837" xr:uid="{00000000-0005-0000-0000-00002B560000}"/>
    <cellStyle name="Normal 5 2 3 2 2 9" xfId="4418" xr:uid="{00000000-0005-0000-0000-00002C560000}"/>
    <cellStyle name="Normal 5 2 3 2 2 9 2" xfId="21141" xr:uid="{00000000-0005-0000-0000-00002D560000}"/>
    <cellStyle name="Normal 5 2 3 2 3" xfId="654" xr:uid="{00000000-0005-0000-0000-00002E560000}"/>
    <cellStyle name="Normal 5 2 3 2 3 2" xfId="1201" xr:uid="{00000000-0005-0000-0000-00002F560000}"/>
    <cellStyle name="Normal 5 2 3 2 3 2 2" xfId="1722" xr:uid="{00000000-0005-0000-0000-000030560000}"/>
    <cellStyle name="Normal 5 2 3 2 3 2 2 2" xfId="2835" xr:uid="{00000000-0005-0000-0000-000031560000}"/>
    <cellStyle name="Normal 5 2 3 2 3 2 2 2 2" xfId="6616" xr:uid="{00000000-0005-0000-0000-000032560000}"/>
    <cellStyle name="Normal 5 2 3 2 3 2 2 2 2 2" xfId="9967" xr:uid="{00000000-0005-0000-0000-000033560000}"/>
    <cellStyle name="Normal 5 2 3 2 3 2 2 2 2 2 2" xfId="17230" xr:uid="{00000000-0005-0000-0000-000034560000}"/>
    <cellStyle name="Normal 5 2 3 2 3 2 2 2 2 2 2 2" xfId="33545" xr:uid="{00000000-0005-0000-0000-000035560000}"/>
    <cellStyle name="Normal 5 2 3 2 3 2 2 2 2 2 3" xfId="26580" xr:uid="{00000000-0005-0000-0000-000036560000}"/>
    <cellStyle name="Normal 5 2 3 2 3 2 2 2 2 3" xfId="13309" xr:uid="{00000000-0005-0000-0000-000037560000}"/>
    <cellStyle name="Normal 5 2 3 2 3 2 2 2 2 3 2" xfId="29884" xr:uid="{00000000-0005-0000-0000-000038560000}"/>
    <cellStyle name="Normal 5 2 3 2 3 2 2 2 2 4" xfId="23280" xr:uid="{00000000-0005-0000-0000-000039560000}"/>
    <cellStyle name="Normal 5 2 3 2 3 2 2 2 3" xfId="8346" xr:uid="{00000000-0005-0000-0000-00003A560000}"/>
    <cellStyle name="Normal 5 2 3 2 3 2 2 2 3 2" xfId="15609" xr:uid="{00000000-0005-0000-0000-00003B560000}"/>
    <cellStyle name="Normal 5 2 3 2 3 2 2 2 3 2 2" xfId="31924" xr:uid="{00000000-0005-0000-0000-00003C560000}"/>
    <cellStyle name="Normal 5 2 3 2 3 2 2 2 3 3" xfId="24959" xr:uid="{00000000-0005-0000-0000-00003D560000}"/>
    <cellStyle name="Normal 5 2 3 2 3 2 2 2 4" xfId="11661" xr:uid="{00000000-0005-0000-0000-00003E560000}"/>
    <cellStyle name="Normal 5 2 3 2 3 2 2 2 4 2" xfId="28259" xr:uid="{00000000-0005-0000-0000-00003F560000}"/>
    <cellStyle name="Normal 5 2 3 2 3 2 2 2 5" xfId="4437" xr:uid="{00000000-0005-0000-0000-000040560000}"/>
    <cellStyle name="Normal 5 2 3 2 3 2 2 2 5 2" xfId="21160" xr:uid="{00000000-0005-0000-0000-000041560000}"/>
    <cellStyle name="Normal 5 2 3 2 3 2 2 2 6" xfId="19562" xr:uid="{00000000-0005-0000-0000-000042560000}"/>
    <cellStyle name="Normal 5 2 3 2 3 2 2 3" xfId="2834" xr:uid="{00000000-0005-0000-0000-000043560000}"/>
    <cellStyle name="Normal 5 2 3 2 3 2 2 3 2" xfId="9191" xr:uid="{00000000-0005-0000-0000-000044560000}"/>
    <cellStyle name="Normal 5 2 3 2 3 2 2 3 2 2" xfId="16454" xr:uid="{00000000-0005-0000-0000-000045560000}"/>
    <cellStyle name="Normal 5 2 3 2 3 2 2 3 2 2 2" xfId="32769" xr:uid="{00000000-0005-0000-0000-000046560000}"/>
    <cellStyle name="Normal 5 2 3 2 3 2 2 3 2 3" xfId="25804" xr:uid="{00000000-0005-0000-0000-000047560000}"/>
    <cellStyle name="Normal 5 2 3 2 3 2 2 3 3" xfId="12533" xr:uid="{00000000-0005-0000-0000-000048560000}"/>
    <cellStyle name="Normal 5 2 3 2 3 2 2 3 3 2" xfId="29108" xr:uid="{00000000-0005-0000-0000-000049560000}"/>
    <cellStyle name="Normal 5 2 3 2 3 2 2 3 4" xfId="5840" xr:uid="{00000000-0005-0000-0000-00004A560000}"/>
    <cellStyle name="Normal 5 2 3 2 3 2 2 3 4 2" xfId="22504" xr:uid="{00000000-0005-0000-0000-00004B560000}"/>
    <cellStyle name="Normal 5 2 3 2 3 2 2 3 5" xfId="19561" xr:uid="{00000000-0005-0000-0000-00004C560000}"/>
    <cellStyle name="Normal 5 2 3 2 3 2 2 4" xfId="7570" xr:uid="{00000000-0005-0000-0000-00004D560000}"/>
    <cellStyle name="Normal 5 2 3 2 3 2 2 4 2" xfId="14833" xr:uid="{00000000-0005-0000-0000-00004E560000}"/>
    <cellStyle name="Normal 5 2 3 2 3 2 2 4 2 2" xfId="31148" xr:uid="{00000000-0005-0000-0000-00004F560000}"/>
    <cellStyle name="Normal 5 2 3 2 3 2 2 4 3" xfId="24183" xr:uid="{00000000-0005-0000-0000-000050560000}"/>
    <cellStyle name="Normal 5 2 3 2 3 2 2 5" xfId="10885" xr:uid="{00000000-0005-0000-0000-000051560000}"/>
    <cellStyle name="Normal 5 2 3 2 3 2 2 5 2" xfId="27483" xr:uid="{00000000-0005-0000-0000-000052560000}"/>
    <cellStyle name="Normal 5 2 3 2 3 2 2 6" xfId="4436" xr:uid="{00000000-0005-0000-0000-000053560000}"/>
    <cellStyle name="Normal 5 2 3 2 3 2 2 6 2" xfId="21159" xr:uid="{00000000-0005-0000-0000-000054560000}"/>
    <cellStyle name="Normal 5 2 3 2 3 2 2 7" xfId="18457" xr:uid="{00000000-0005-0000-0000-000055560000}"/>
    <cellStyle name="Normal 5 2 3 2 3 2 3" xfId="2836" xr:uid="{00000000-0005-0000-0000-000056560000}"/>
    <cellStyle name="Normal 5 2 3 2 3 2 3 2" xfId="6246" xr:uid="{00000000-0005-0000-0000-000057560000}"/>
    <cellStyle name="Normal 5 2 3 2 3 2 3 2 2" xfId="9597" xr:uid="{00000000-0005-0000-0000-000058560000}"/>
    <cellStyle name="Normal 5 2 3 2 3 2 3 2 2 2" xfId="16860" xr:uid="{00000000-0005-0000-0000-000059560000}"/>
    <cellStyle name="Normal 5 2 3 2 3 2 3 2 2 2 2" xfId="33175" xr:uid="{00000000-0005-0000-0000-00005A560000}"/>
    <cellStyle name="Normal 5 2 3 2 3 2 3 2 2 3" xfId="26210" xr:uid="{00000000-0005-0000-0000-00005B560000}"/>
    <cellStyle name="Normal 5 2 3 2 3 2 3 2 3" xfId="12939" xr:uid="{00000000-0005-0000-0000-00005C560000}"/>
    <cellStyle name="Normal 5 2 3 2 3 2 3 2 3 2" xfId="29514" xr:uid="{00000000-0005-0000-0000-00005D560000}"/>
    <cellStyle name="Normal 5 2 3 2 3 2 3 2 4" xfId="22910" xr:uid="{00000000-0005-0000-0000-00005E560000}"/>
    <cellStyle name="Normal 5 2 3 2 3 2 3 3" xfId="7976" xr:uid="{00000000-0005-0000-0000-00005F560000}"/>
    <cellStyle name="Normal 5 2 3 2 3 2 3 3 2" xfId="15239" xr:uid="{00000000-0005-0000-0000-000060560000}"/>
    <cellStyle name="Normal 5 2 3 2 3 2 3 3 2 2" xfId="31554" xr:uid="{00000000-0005-0000-0000-000061560000}"/>
    <cellStyle name="Normal 5 2 3 2 3 2 3 3 3" xfId="24589" xr:uid="{00000000-0005-0000-0000-000062560000}"/>
    <cellStyle name="Normal 5 2 3 2 3 2 3 4" xfId="11291" xr:uid="{00000000-0005-0000-0000-000063560000}"/>
    <cellStyle name="Normal 5 2 3 2 3 2 3 4 2" xfId="27889" xr:uid="{00000000-0005-0000-0000-000064560000}"/>
    <cellStyle name="Normal 5 2 3 2 3 2 3 5" xfId="4438" xr:uid="{00000000-0005-0000-0000-000065560000}"/>
    <cellStyle name="Normal 5 2 3 2 3 2 3 5 2" xfId="21161" xr:uid="{00000000-0005-0000-0000-000066560000}"/>
    <cellStyle name="Normal 5 2 3 2 3 2 3 6" xfId="19563" xr:uid="{00000000-0005-0000-0000-000067560000}"/>
    <cellStyle name="Normal 5 2 3 2 3 2 4" xfId="2833" xr:uid="{00000000-0005-0000-0000-000068560000}"/>
    <cellStyle name="Normal 5 2 3 2 3 2 4 2" xfId="8784" xr:uid="{00000000-0005-0000-0000-000069560000}"/>
    <cellStyle name="Normal 5 2 3 2 3 2 4 2 2" xfId="16047" xr:uid="{00000000-0005-0000-0000-00006A560000}"/>
    <cellStyle name="Normal 5 2 3 2 3 2 4 2 2 2" xfId="32362" xr:uid="{00000000-0005-0000-0000-00006B560000}"/>
    <cellStyle name="Normal 5 2 3 2 3 2 4 2 3" xfId="25397" xr:uid="{00000000-0005-0000-0000-00006C560000}"/>
    <cellStyle name="Normal 5 2 3 2 3 2 4 3" xfId="12126" xr:uid="{00000000-0005-0000-0000-00006D560000}"/>
    <cellStyle name="Normal 5 2 3 2 3 2 4 3 2" xfId="28701" xr:uid="{00000000-0005-0000-0000-00006E560000}"/>
    <cellStyle name="Normal 5 2 3 2 3 2 4 4" xfId="5433" xr:uid="{00000000-0005-0000-0000-00006F560000}"/>
    <cellStyle name="Normal 5 2 3 2 3 2 4 4 2" xfId="22097" xr:uid="{00000000-0005-0000-0000-000070560000}"/>
    <cellStyle name="Normal 5 2 3 2 3 2 4 5" xfId="19560" xr:uid="{00000000-0005-0000-0000-000071560000}"/>
    <cellStyle name="Normal 5 2 3 2 3 2 5" xfId="7164" xr:uid="{00000000-0005-0000-0000-000072560000}"/>
    <cellStyle name="Normal 5 2 3 2 3 2 5 2" xfId="14427" xr:uid="{00000000-0005-0000-0000-000073560000}"/>
    <cellStyle name="Normal 5 2 3 2 3 2 5 2 2" xfId="30742" xr:uid="{00000000-0005-0000-0000-000074560000}"/>
    <cellStyle name="Normal 5 2 3 2 3 2 5 3" xfId="23777" xr:uid="{00000000-0005-0000-0000-000075560000}"/>
    <cellStyle name="Normal 5 2 3 2 3 2 6" xfId="10479" xr:uid="{00000000-0005-0000-0000-000076560000}"/>
    <cellStyle name="Normal 5 2 3 2 3 2 6 2" xfId="27077" xr:uid="{00000000-0005-0000-0000-000077560000}"/>
    <cellStyle name="Normal 5 2 3 2 3 2 7" xfId="4435" xr:uid="{00000000-0005-0000-0000-000078560000}"/>
    <cellStyle name="Normal 5 2 3 2 3 2 7 2" xfId="21158" xr:uid="{00000000-0005-0000-0000-000079560000}"/>
    <cellStyle name="Normal 5 2 3 2 3 2 8" xfId="17938" xr:uid="{00000000-0005-0000-0000-00007A560000}"/>
    <cellStyle name="Normal 5 2 3 2 3 3" xfId="973" xr:uid="{00000000-0005-0000-0000-00007B560000}"/>
    <cellStyle name="Normal 5 2 3 2 3 3 2" xfId="1535" xr:uid="{00000000-0005-0000-0000-00007C560000}"/>
    <cellStyle name="Normal 5 2 3 2 3 3 2 2" xfId="2838" xr:uid="{00000000-0005-0000-0000-00007D560000}"/>
    <cellStyle name="Normal 5 2 3 2 3 3 2 2 2" xfId="9791" xr:uid="{00000000-0005-0000-0000-00007E560000}"/>
    <cellStyle name="Normal 5 2 3 2 3 3 2 2 2 2" xfId="17054" xr:uid="{00000000-0005-0000-0000-00007F560000}"/>
    <cellStyle name="Normal 5 2 3 2 3 3 2 2 2 2 2" xfId="33369" xr:uid="{00000000-0005-0000-0000-000080560000}"/>
    <cellStyle name="Normal 5 2 3 2 3 3 2 2 2 3" xfId="26404" xr:uid="{00000000-0005-0000-0000-000081560000}"/>
    <cellStyle name="Normal 5 2 3 2 3 3 2 2 3" xfId="13133" xr:uid="{00000000-0005-0000-0000-000082560000}"/>
    <cellStyle name="Normal 5 2 3 2 3 3 2 2 3 2" xfId="29708" xr:uid="{00000000-0005-0000-0000-000083560000}"/>
    <cellStyle name="Normal 5 2 3 2 3 3 2 2 4" xfId="6440" xr:uid="{00000000-0005-0000-0000-000084560000}"/>
    <cellStyle name="Normal 5 2 3 2 3 3 2 2 4 2" xfId="23104" xr:uid="{00000000-0005-0000-0000-000085560000}"/>
    <cellStyle name="Normal 5 2 3 2 3 3 2 2 5" xfId="19565" xr:uid="{00000000-0005-0000-0000-000086560000}"/>
    <cellStyle name="Normal 5 2 3 2 3 3 2 3" xfId="8170" xr:uid="{00000000-0005-0000-0000-000087560000}"/>
    <cellStyle name="Normal 5 2 3 2 3 3 2 3 2" xfId="15433" xr:uid="{00000000-0005-0000-0000-000088560000}"/>
    <cellStyle name="Normal 5 2 3 2 3 3 2 3 2 2" xfId="31748" xr:uid="{00000000-0005-0000-0000-000089560000}"/>
    <cellStyle name="Normal 5 2 3 2 3 3 2 3 3" xfId="24783" xr:uid="{00000000-0005-0000-0000-00008A560000}"/>
    <cellStyle name="Normal 5 2 3 2 3 3 2 4" xfId="11485" xr:uid="{00000000-0005-0000-0000-00008B560000}"/>
    <cellStyle name="Normal 5 2 3 2 3 3 2 4 2" xfId="28083" xr:uid="{00000000-0005-0000-0000-00008C560000}"/>
    <cellStyle name="Normal 5 2 3 2 3 3 2 5" xfId="4440" xr:uid="{00000000-0005-0000-0000-00008D560000}"/>
    <cellStyle name="Normal 5 2 3 2 3 3 2 5 2" xfId="21163" xr:uid="{00000000-0005-0000-0000-00008E560000}"/>
    <cellStyle name="Normal 5 2 3 2 3 3 2 6" xfId="18270" xr:uid="{00000000-0005-0000-0000-00008F560000}"/>
    <cellStyle name="Normal 5 2 3 2 3 3 3" xfId="2837" xr:uid="{00000000-0005-0000-0000-000090560000}"/>
    <cellStyle name="Normal 5 2 3 2 3 3 3 2" xfId="8979" xr:uid="{00000000-0005-0000-0000-000091560000}"/>
    <cellStyle name="Normal 5 2 3 2 3 3 3 2 2" xfId="16242" xr:uid="{00000000-0005-0000-0000-000092560000}"/>
    <cellStyle name="Normal 5 2 3 2 3 3 3 2 2 2" xfId="32557" xr:uid="{00000000-0005-0000-0000-000093560000}"/>
    <cellStyle name="Normal 5 2 3 2 3 3 3 2 3" xfId="25592" xr:uid="{00000000-0005-0000-0000-000094560000}"/>
    <cellStyle name="Normal 5 2 3 2 3 3 3 3" xfId="12321" xr:uid="{00000000-0005-0000-0000-000095560000}"/>
    <cellStyle name="Normal 5 2 3 2 3 3 3 3 2" xfId="28896" xr:uid="{00000000-0005-0000-0000-000096560000}"/>
    <cellStyle name="Normal 5 2 3 2 3 3 3 4" xfId="5628" xr:uid="{00000000-0005-0000-0000-000097560000}"/>
    <cellStyle name="Normal 5 2 3 2 3 3 3 4 2" xfId="22292" xr:uid="{00000000-0005-0000-0000-000098560000}"/>
    <cellStyle name="Normal 5 2 3 2 3 3 3 5" xfId="19564" xr:uid="{00000000-0005-0000-0000-000099560000}"/>
    <cellStyle name="Normal 5 2 3 2 3 3 4" xfId="7358" xr:uid="{00000000-0005-0000-0000-00009A560000}"/>
    <cellStyle name="Normal 5 2 3 2 3 3 4 2" xfId="14621" xr:uid="{00000000-0005-0000-0000-00009B560000}"/>
    <cellStyle name="Normal 5 2 3 2 3 3 4 2 2" xfId="30936" xr:uid="{00000000-0005-0000-0000-00009C560000}"/>
    <cellStyle name="Normal 5 2 3 2 3 3 4 3" xfId="23971" xr:uid="{00000000-0005-0000-0000-00009D560000}"/>
    <cellStyle name="Normal 5 2 3 2 3 3 5" xfId="10673" xr:uid="{00000000-0005-0000-0000-00009E560000}"/>
    <cellStyle name="Normal 5 2 3 2 3 3 5 2" xfId="27271" xr:uid="{00000000-0005-0000-0000-00009F560000}"/>
    <cellStyle name="Normal 5 2 3 2 3 3 6" xfId="4439" xr:uid="{00000000-0005-0000-0000-0000A0560000}"/>
    <cellStyle name="Normal 5 2 3 2 3 3 6 2" xfId="21162" xr:uid="{00000000-0005-0000-0000-0000A1560000}"/>
    <cellStyle name="Normal 5 2 3 2 3 3 7" xfId="17751" xr:uid="{00000000-0005-0000-0000-0000A2560000}"/>
    <cellStyle name="Normal 5 2 3 2 3 4" xfId="763" xr:uid="{00000000-0005-0000-0000-0000A3560000}"/>
    <cellStyle name="Normal 5 2 3 2 3 4 2" xfId="2839" xr:uid="{00000000-0005-0000-0000-0000A4560000}"/>
    <cellStyle name="Normal 5 2 3 2 3 4 2 2" xfId="9385" xr:uid="{00000000-0005-0000-0000-0000A5560000}"/>
    <cellStyle name="Normal 5 2 3 2 3 4 2 2 2" xfId="16648" xr:uid="{00000000-0005-0000-0000-0000A6560000}"/>
    <cellStyle name="Normal 5 2 3 2 3 4 2 2 2 2" xfId="32963" xr:uid="{00000000-0005-0000-0000-0000A7560000}"/>
    <cellStyle name="Normal 5 2 3 2 3 4 2 2 3" xfId="25998" xr:uid="{00000000-0005-0000-0000-0000A8560000}"/>
    <cellStyle name="Normal 5 2 3 2 3 4 2 3" xfId="12727" xr:uid="{00000000-0005-0000-0000-0000A9560000}"/>
    <cellStyle name="Normal 5 2 3 2 3 4 2 3 2" xfId="29302" xr:uid="{00000000-0005-0000-0000-0000AA560000}"/>
    <cellStyle name="Normal 5 2 3 2 3 4 2 4" xfId="6034" xr:uid="{00000000-0005-0000-0000-0000AB560000}"/>
    <cellStyle name="Normal 5 2 3 2 3 4 2 4 2" xfId="22698" xr:uid="{00000000-0005-0000-0000-0000AC560000}"/>
    <cellStyle name="Normal 5 2 3 2 3 4 2 5" xfId="19566" xr:uid="{00000000-0005-0000-0000-0000AD560000}"/>
    <cellStyle name="Normal 5 2 3 2 3 4 3" xfId="7764" xr:uid="{00000000-0005-0000-0000-0000AE560000}"/>
    <cellStyle name="Normal 5 2 3 2 3 4 3 2" xfId="15027" xr:uid="{00000000-0005-0000-0000-0000AF560000}"/>
    <cellStyle name="Normal 5 2 3 2 3 4 3 2 2" xfId="31342" xr:uid="{00000000-0005-0000-0000-0000B0560000}"/>
    <cellStyle name="Normal 5 2 3 2 3 4 3 3" xfId="24377" xr:uid="{00000000-0005-0000-0000-0000B1560000}"/>
    <cellStyle name="Normal 5 2 3 2 3 4 4" xfId="11079" xr:uid="{00000000-0005-0000-0000-0000B2560000}"/>
    <cellStyle name="Normal 5 2 3 2 3 4 4 2" xfId="27677" xr:uid="{00000000-0005-0000-0000-0000B3560000}"/>
    <cellStyle name="Normal 5 2 3 2 3 4 5" xfId="4441" xr:uid="{00000000-0005-0000-0000-0000B4560000}"/>
    <cellStyle name="Normal 5 2 3 2 3 4 5 2" xfId="21164" xr:uid="{00000000-0005-0000-0000-0000B5560000}"/>
    <cellStyle name="Normal 5 2 3 2 3 4 6" xfId="17576" xr:uid="{00000000-0005-0000-0000-0000B6560000}"/>
    <cellStyle name="Normal 5 2 3 2 3 5" xfId="1360" xr:uid="{00000000-0005-0000-0000-0000B7560000}"/>
    <cellStyle name="Normal 5 2 3 2 3 5 2" xfId="8596" xr:uid="{00000000-0005-0000-0000-0000B8560000}"/>
    <cellStyle name="Normal 5 2 3 2 3 5 2 2" xfId="15859" xr:uid="{00000000-0005-0000-0000-0000B9560000}"/>
    <cellStyle name="Normal 5 2 3 2 3 5 2 2 2" xfId="32174" xr:uid="{00000000-0005-0000-0000-0000BA560000}"/>
    <cellStyle name="Normal 5 2 3 2 3 5 2 3" xfId="25209" xr:uid="{00000000-0005-0000-0000-0000BB560000}"/>
    <cellStyle name="Normal 5 2 3 2 3 5 3" xfId="11938" xr:uid="{00000000-0005-0000-0000-0000BC560000}"/>
    <cellStyle name="Normal 5 2 3 2 3 5 3 2" xfId="28513" xr:uid="{00000000-0005-0000-0000-0000BD560000}"/>
    <cellStyle name="Normal 5 2 3 2 3 5 4" xfId="5245" xr:uid="{00000000-0005-0000-0000-0000BE560000}"/>
    <cellStyle name="Normal 5 2 3 2 3 5 4 2" xfId="21909" xr:uid="{00000000-0005-0000-0000-0000BF560000}"/>
    <cellStyle name="Normal 5 2 3 2 3 5 5" xfId="18095" xr:uid="{00000000-0005-0000-0000-0000C0560000}"/>
    <cellStyle name="Normal 5 2 3 2 3 6" xfId="2832" xr:uid="{00000000-0005-0000-0000-0000C1560000}"/>
    <cellStyle name="Normal 5 2 3 2 3 6 2" xfId="14240" xr:uid="{00000000-0005-0000-0000-0000C2560000}"/>
    <cellStyle name="Normal 5 2 3 2 3 6 2 2" xfId="30555" xr:uid="{00000000-0005-0000-0000-0000C3560000}"/>
    <cellStyle name="Normal 5 2 3 2 3 6 3" xfId="6977" xr:uid="{00000000-0005-0000-0000-0000C4560000}"/>
    <cellStyle name="Normal 5 2 3 2 3 6 3 2" xfId="23590" xr:uid="{00000000-0005-0000-0000-0000C5560000}"/>
    <cellStyle name="Normal 5 2 3 2 3 6 4" xfId="19559" xr:uid="{00000000-0005-0000-0000-0000C6560000}"/>
    <cellStyle name="Normal 5 2 3 2 3 7" xfId="10291" xr:uid="{00000000-0005-0000-0000-0000C7560000}"/>
    <cellStyle name="Normal 5 2 3 2 3 7 2" xfId="26890" xr:uid="{00000000-0005-0000-0000-0000C8560000}"/>
    <cellStyle name="Normal 5 2 3 2 3 8" xfId="4434" xr:uid="{00000000-0005-0000-0000-0000C9560000}"/>
    <cellStyle name="Normal 5 2 3 2 3 8 2" xfId="21157" xr:uid="{00000000-0005-0000-0000-0000CA560000}"/>
    <cellStyle name="Normal 5 2 3 2 3 9" xfId="17471" xr:uid="{00000000-0005-0000-0000-0000CB560000}"/>
    <cellStyle name="Normal 5 2 3 2 4" xfId="1198" xr:uid="{00000000-0005-0000-0000-0000CC560000}"/>
    <cellStyle name="Normal 5 2 3 2 4 2" xfId="1719" xr:uid="{00000000-0005-0000-0000-0000CD560000}"/>
    <cellStyle name="Normal 5 2 3 2 4 2 2" xfId="2842" xr:uid="{00000000-0005-0000-0000-0000CE560000}"/>
    <cellStyle name="Normal 5 2 3 2 4 2 2 2" xfId="6613" xr:uid="{00000000-0005-0000-0000-0000CF560000}"/>
    <cellStyle name="Normal 5 2 3 2 4 2 2 2 2" xfId="9964" xr:uid="{00000000-0005-0000-0000-0000D0560000}"/>
    <cellStyle name="Normal 5 2 3 2 4 2 2 2 2 2" xfId="17227" xr:uid="{00000000-0005-0000-0000-0000D1560000}"/>
    <cellStyle name="Normal 5 2 3 2 4 2 2 2 2 2 2" xfId="33542" xr:uid="{00000000-0005-0000-0000-0000D2560000}"/>
    <cellStyle name="Normal 5 2 3 2 4 2 2 2 2 3" xfId="26577" xr:uid="{00000000-0005-0000-0000-0000D3560000}"/>
    <cellStyle name="Normal 5 2 3 2 4 2 2 2 3" xfId="13306" xr:uid="{00000000-0005-0000-0000-0000D4560000}"/>
    <cellStyle name="Normal 5 2 3 2 4 2 2 2 3 2" xfId="29881" xr:uid="{00000000-0005-0000-0000-0000D5560000}"/>
    <cellStyle name="Normal 5 2 3 2 4 2 2 2 4" xfId="23277" xr:uid="{00000000-0005-0000-0000-0000D6560000}"/>
    <cellStyle name="Normal 5 2 3 2 4 2 2 3" xfId="8343" xr:uid="{00000000-0005-0000-0000-0000D7560000}"/>
    <cellStyle name="Normal 5 2 3 2 4 2 2 3 2" xfId="15606" xr:uid="{00000000-0005-0000-0000-0000D8560000}"/>
    <cellStyle name="Normal 5 2 3 2 4 2 2 3 2 2" xfId="31921" xr:uid="{00000000-0005-0000-0000-0000D9560000}"/>
    <cellStyle name="Normal 5 2 3 2 4 2 2 3 3" xfId="24956" xr:uid="{00000000-0005-0000-0000-0000DA560000}"/>
    <cellStyle name="Normal 5 2 3 2 4 2 2 4" xfId="11658" xr:uid="{00000000-0005-0000-0000-0000DB560000}"/>
    <cellStyle name="Normal 5 2 3 2 4 2 2 4 2" xfId="28256" xr:uid="{00000000-0005-0000-0000-0000DC560000}"/>
    <cellStyle name="Normal 5 2 3 2 4 2 2 5" xfId="4444" xr:uid="{00000000-0005-0000-0000-0000DD560000}"/>
    <cellStyle name="Normal 5 2 3 2 4 2 2 5 2" xfId="21167" xr:uid="{00000000-0005-0000-0000-0000DE560000}"/>
    <cellStyle name="Normal 5 2 3 2 4 2 2 6" xfId="19569" xr:uid="{00000000-0005-0000-0000-0000DF560000}"/>
    <cellStyle name="Normal 5 2 3 2 4 2 3" xfId="2841" xr:uid="{00000000-0005-0000-0000-0000E0560000}"/>
    <cellStyle name="Normal 5 2 3 2 4 2 3 2" xfId="9188" xr:uid="{00000000-0005-0000-0000-0000E1560000}"/>
    <cellStyle name="Normal 5 2 3 2 4 2 3 2 2" xfId="16451" xr:uid="{00000000-0005-0000-0000-0000E2560000}"/>
    <cellStyle name="Normal 5 2 3 2 4 2 3 2 2 2" xfId="32766" xr:uid="{00000000-0005-0000-0000-0000E3560000}"/>
    <cellStyle name="Normal 5 2 3 2 4 2 3 2 3" xfId="25801" xr:uid="{00000000-0005-0000-0000-0000E4560000}"/>
    <cellStyle name="Normal 5 2 3 2 4 2 3 3" xfId="12530" xr:uid="{00000000-0005-0000-0000-0000E5560000}"/>
    <cellStyle name="Normal 5 2 3 2 4 2 3 3 2" xfId="29105" xr:uid="{00000000-0005-0000-0000-0000E6560000}"/>
    <cellStyle name="Normal 5 2 3 2 4 2 3 4" xfId="5837" xr:uid="{00000000-0005-0000-0000-0000E7560000}"/>
    <cellStyle name="Normal 5 2 3 2 4 2 3 4 2" xfId="22501" xr:uid="{00000000-0005-0000-0000-0000E8560000}"/>
    <cellStyle name="Normal 5 2 3 2 4 2 3 5" xfId="19568" xr:uid="{00000000-0005-0000-0000-0000E9560000}"/>
    <cellStyle name="Normal 5 2 3 2 4 2 4" xfId="7567" xr:uid="{00000000-0005-0000-0000-0000EA560000}"/>
    <cellStyle name="Normal 5 2 3 2 4 2 4 2" xfId="14830" xr:uid="{00000000-0005-0000-0000-0000EB560000}"/>
    <cellStyle name="Normal 5 2 3 2 4 2 4 2 2" xfId="31145" xr:uid="{00000000-0005-0000-0000-0000EC560000}"/>
    <cellStyle name="Normal 5 2 3 2 4 2 4 3" xfId="24180" xr:uid="{00000000-0005-0000-0000-0000ED560000}"/>
    <cellStyle name="Normal 5 2 3 2 4 2 5" xfId="10882" xr:uid="{00000000-0005-0000-0000-0000EE560000}"/>
    <cellStyle name="Normal 5 2 3 2 4 2 5 2" xfId="27480" xr:uid="{00000000-0005-0000-0000-0000EF560000}"/>
    <cellStyle name="Normal 5 2 3 2 4 2 6" xfId="4443" xr:uid="{00000000-0005-0000-0000-0000F0560000}"/>
    <cellStyle name="Normal 5 2 3 2 4 2 6 2" xfId="21166" xr:uid="{00000000-0005-0000-0000-0000F1560000}"/>
    <cellStyle name="Normal 5 2 3 2 4 2 7" xfId="18454" xr:uid="{00000000-0005-0000-0000-0000F2560000}"/>
    <cellStyle name="Normal 5 2 3 2 4 3" xfId="2843" xr:uid="{00000000-0005-0000-0000-0000F3560000}"/>
    <cellStyle name="Normal 5 2 3 2 4 3 2" xfId="6243" xr:uid="{00000000-0005-0000-0000-0000F4560000}"/>
    <cellStyle name="Normal 5 2 3 2 4 3 2 2" xfId="9594" xr:uid="{00000000-0005-0000-0000-0000F5560000}"/>
    <cellStyle name="Normal 5 2 3 2 4 3 2 2 2" xfId="16857" xr:uid="{00000000-0005-0000-0000-0000F6560000}"/>
    <cellStyle name="Normal 5 2 3 2 4 3 2 2 2 2" xfId="33172" xr:uid="{00000000-0005-0000-0000-0000F7560000}"/>
    <cellStyle name="Normal 5 2 3 2 4 3 2 2 3" xfId="26207" xr:uid="{00000000-0005-0000-0000-0000F8560000}"/>
    <cellStyle name="Normal 5 2 3 2 4 3 2 3" xfId="12936" xr:uid="{00000000-0005-0000-0000-0000F9560000}"/>
    <cellStyle name="Normal 5 2 3 2 4 3 2 3 2" xfId="29511" xr:uid="{00000000-0005-0000-0000-0000FA560000}"/>
    <cellStyle name="Normal 5 2 3 2 4 3 2 4" xfId="22907" xr:uid="{00000000-0005-0000-0000-0000FB560000}"/>
    <cellStyle name="Normal 5 2 3 2 4 3 3" xfId="7973" xr:uid="{00000000-0005-0000-0000-0000FC560000}"/>
    <cellStyle name="Normal 5 2 3 2 4 3 3 2" xfId="15236" xr:uid="{00000000-0005-0000-0000-0000FD560000}"/>
    <cellStyle name="Normal 5 2 3 2 4 3 3 2 2" xfId="31551" xr:uid="{00000000-0005-0000-0000-0000FE560000}"/>
    <cellStyle name="Normal 5 2 3 2 4 3 3 3" xfId="24586" xr:uid="{00000000-0005-0000-0000-0000FF560000}"/>
    <cellStyle name="Normal 5 2 3 2 4 3 4" xfId="11288" xr:uid="{00000000-0005-0000-0000-000000570000}"/>
    <cellStyle name="Normal 5 2 3 2 4 3 4 2" xfId="27886" xr:uid="{00000000-0005-0000-0000-000001570000}"/>
    <cellStyle name="Normal 5 2 3 2 4 3 5" xfId="4445" xr:uid="{00000000-0005-0000-0000-000002570000}"/>
    <cellStyle name="Normal 5 2 3 2 4 3 5 2" xfId="21168" xr:uid="{00000000-0005-0000-0000-000003570000}"/>
    <cellStyle name="Normal 5 2 3 2 4 3 6" xfId="19570" xr:uid="{00000000-0005-0000-0000-000004570000}"/>
    <cellStyle name="Normal 5 2 3 2 4 4" xfId="2840" xr:uid="{00000000-0005-0000-0000-000005570000}"/>
    <cellStyle name="Normal 5 2 3 2 4 4 2" xfId="8781" xr:uid="{00000000-0005-0000-0000-000006570000}"/>
    <cellStyle name="Normal 5 2 3 2 4 4 2 2" xfId="16044" xr:uid="{00000000-0005-0000-0000-000007570000}"/>
    <cellStyle name="Normal 5 2 3 2 4 4 2 2 2" xfId="32359" xr:uid="{00000000-0005-0000-0000-000008570000}"/>
    <cellStyle name="Normal 5 2 3 2 4 4 2 3" xfId="25394" xr:uid="{00000000-0005-0000-0000-000009570000}"/>
    <cellStyle name="Normal 5 2 3 2 4 4 3" xfId="12123" xr:uid="{00000000-0005-0000-0000-00000A570000}"/>
    <cellStyle name="Normal 5 2 3 2 4 4 3 2" xfId="28698" xr:uid="{00000000-0005-0000-0000-00000B570000}"/>
    <cellStyle name="Normal 5 2 3 2 4 4 4" xfId="5430" xr:uid="{00000000-0005-0000-0000-00000C570000}"/>
    <cellStyle name="Normal 5 2 3 2 4 4 4 2" xfId="22094" xr:uid="{00000000-0005-0000-0000-00000D570000}"/>
    <cellStyle name="Normal 5 2 3 2 4 4 5" xfId="19567" xr:uid="{00000000-0005-0000-0000-00000E570000}"/>
    <cellStyle name="Normal 5 2 3 2 4 5" xfId="7161" xr:uid="{00000000-0005-0000-0000-00000F570000}"/>
    <cellStyle name="Normal 5 2 3 2 4 5 2" xfId="14424" xr:uid="{00000000-0005-0000-0000-000010570000}"/>
    <cellStyle name="Normal 5 2 3 2 4 5 2 2" xfId="30739" xr:uid="{00000000-0005-0000-0000-000011570000}"/>
    <cellStyle name="Normal 5 2 3 2 4 5 3" xfId="23774" xr:uid="{00000000-0005-0000-0000-000012570000}"/>
    <cellStyle name="Normal 5 2 3 2 4 6" xfId="10476" xr:uid="{00000000-0005-0000-0000-000013570000}"/>
    <cellStyle name="Normal 5 2 3 2 4 6 2" xfId="27074" xr:uid="{00000000-0005-0000-0000-000014570000}"/>
    <cellStyle name="Normal 5 2 3 2 4 7" xfId="4442" xr:uid="{00000000-0005-0000-0000-000015570000}"/>
    <cellStyle name="Normal 5 2 3 2 4 7 2" xfId="21165" xr:uid="{00000000-0005-0000-0000-000016570000}"/>
    <cellStyle name="Normal 5 2 3 2 4 8" xfId="17935" xr:uid="{00000000-0005-0000-0000-000017570000}"/>
    <cellStyle name="Normal 5 2 3 2 5" xfId="858" xr:uid="{00000000-0005-0000-0000-000018570000}"/>
    <cellStyle name="Normal 5 2 3 2 5 2" xfId="1427" xr:uid="{00000000-0005-0000-0000-000019570000}"/>
    <cellStyle name="Normal 5 2 3 2 5 2 2" xfId="2845" xr:uid="{00000000-0005-0000-0000-00001A570000}"/>
    <cellStyle name="Normal 5 2 3 2 5 2 2 2" xfId="9788" xr:uid="{00000000-0005-0000-0000-00001B570000}"/>
    <cellStyle name="Normal 5 2 3 2 5 2 2 2 2" xfId="17051" xr:uid="{00000000-0005-0000-0000-00001C570000}"/>
    <cellStyle name="Normal 5 2 3 2 5 2 2 2 2 2" xfId="33366" xr:uid="{00000000-0005-0000-0000-00001D570000}"/>
    <cellStyle name="Normal 5 2 3 2 5 2 2 2 3" xfId="26401" xr:uid="{00000000-0005-0000-0000-00001E570000}"/>
    <cellStyle name="Normal 5 2 3 2 5 2 2 3" xfId="13130" xr:uid="{00000000-0005-0000-0000-00001F570000}"/>
    <cellStyle name="Normal 5 2 3 2 5 2 2 3 2" xfId="29705" xr:uid="{00000000-0005-0000-0000-000020570000}"/>
    <cellStyle name="Normal 5 2 3 2 5 2 2 4" xfId="6437" xr:uid="{00000000-0005-0000-0000-000021570000}"/>
    <cellStyle name="Normal 5 2 3 2 5 2 2 4 2" xfId="23101" xr:uid="{00000000-0005-0000-0000-000022570000}"/>
    <cellStyle name="Normal 5 2 3 2 5 2 2 5" xfId="19572" xr:uid="{00000000-0005-0000-0000-000023570000}"/>
    <cellStyle name="Normal 5 2 3 2 5 2 3" xfId="8167" xr:uid="{00000000-0005-0000-0000-000024570000}"/>
    <cellStyle name="Normal 5 2 3 2 5 2 3 2" xfId="15430" xr:uid="{00000000-0005-0000-0000-000025570000}"/>
    <cellStyle name="Normal 5 2 3 2 5 2 3 2 2" xfId="31745" xr:uid="{00000000-0005-0000-0000-000026570000}"/>
    <cellStyle name="Normal 5 2 3 2 5 2 3 3" xfId="24780" xr:uid="{00000000-0005-0000-0000-000027570000}"/>
    <cellStyle name="Normal 5 2 3 2 5 2 4" xfId="11482" xr:uid="{00000000-0005-0000-0000-000028570000}"/>
    <cellStyle name="Normal 5 2 3 2 5 2 4 2" xfId="28080" xr:uid="{00000000-0005-0000-0000-000029570000}"/>
    <cellStyle name="Normal 5 2 3 2 5 2 5" xfId="4447" xr:uid="{00000000-0005-0000-0000-00002A570000}"/>
    <cellStyle name="Normal 5 2 3 2 5 2 5 2" xfId="21170" xr:uid="{00000000-0005-0000-0000-00002B570000}"/>
    <cellStyle name="Normal 5 2 3 2 5 2 6" xfId="18162" xr:uid="{00000000-0005-0000-0000-00002C570000}"/>
    <cellStyle name="Normal 5 2 3 2 5 3" xfId="2844" xr:uid="{00000000-0005-0000-0000-00002D570000}"/>
    <cellStyle name="Normal 5 2 3 2 5 3 2" xfId="8976" xr:uid="{00000000-0005-0000-0000-00002E570000}"/>
    <cellStyle name="Normal 5 2 3 2 5 3 2 2" xfId="16239" xr:uid="{00000000-0005-0000-0000-00002F570000}"/>
    <cellStyle name="Normal 5 2 3 2 5 3 2 2 2" xfId="32554" xr:uid="{00000000-0005-0000-0000-000030570000}"/>
    <cellStyle name="Normal 5 2 3 2 5 3 2 3" xfId="25589" xr:uid="{00000000-0005-0000-0000-000031570000}"/>
    <cellStyle name="Normal 5 2 3 2 5 3 3" xfId="12318" xr:uid="{00000000-0005-0000-0000-000032570000}"/>
    <cellStyle name="Normal 5 2 3 2 5 3 3 2" xfId="28893" xr:uid="{00000000-0005-0000-0000-000033570000}"/>
    <cellStyle name="Normal 5 2 3 2 5 3 4" xfId="5625" xr:uid="{00000000-0005-0000-0000-000034570000}"/>
    <cellStyle name="Normal 5 2 3 2 5 3 4 2" xfId="22289" xr:uid="{00000000-0005-0000-0000-000035570000}"/>
    <cellStyle name="Normal 5 2 3 2 5 3 5" xfId="19571" xr:uid="{00000000-0005-0000-0000-000036570000}"/>
    <cellStyle name="Normal 5 2 3 2 5 4" xfId="7355" xr:uid="{00000000-0005-0000-0000-000037570000}"/>
    <cellStyle name="Normal 5 2 3 2 5 4 2" xfId="14618" xr:uid="{00000000-0005-0000-0000-000038570000}"/>
    <cellStyle name="Normal 5 2 3 2 5 4 2 2" xfId="30933" xr:uid="{00000000-0005-0000-0000-000039570000}"/>
    <cellStyle name="Normal 5 2 3 2 5 4 3" xfId="23968" xr:uid="{00000000-0005-0000-0000-00003A570000}"/>
    <cellStyle name="Normal 5 2 3 2 5 5" xfId="10670" xr:uid="{00000000-0005-0000-0000-00003B570000}"/>
    <cellStyle name="Normal 5 2 3 2 5 5 2" xfId="27268" xr:uid="{00000000-0005-0000-0000-00003C570000}"/>
    <cellStyle name="Normal 5 2 3 2 5 6" xfId="4446" xr:uid="{00000000-0005-0000-0000-00003D570000}"/>
    <cellStyle name="Normal 5 2 3 2 5 6 2" xfId="21169" xr:uid="{00000000-0005-0000-0000-00003E570000}"/>
    <cellStyle name="Normal 5 2 3 2 5 7" xfId="17643" xr:uid="{00000000-0005-0000-0000-00003F570000}"/>
    <cellStyle name="Normal 5 2 3 2 6" xfId="728" xr:uid="{00000000-0005-0000-0000-000040570000}"/>
    <cellStyle name="Normal 5 2 3 2 6 2" xfId="2846" xr:uid="{00000000-0005-0000-0000-000041570000}"/>
    <cellStyle name="Normal 5 2 3 2 6 2 2" xfId="9382" xr:uid="{00000000-0005-0000-0000-000042570000}"/>
    <cellStyle name="Normal 5 2 3 2 6 2 2 2" xfId="16645" xr:uid="{00000000-0005-0000-0000-000043570000}"/>
    <cellStyle name="Normal 5 2 3 2 6 2 2 2 2" xfId="32960" xr:uid="{00000000-0005-0000-0000-000044570000}"/>
    <cellStyle name="Normal 5 2 3 2 6 2 2 3" xfId="25995" xr:uid="{00000000-0005-0000-0000-000045570000}"/>
    <cellStyle name="Normal 5 2 3 2 6 2 3" xfId="12724" xr:uid="{00000000-0005-0000-0000-000046570000}"/>
    <cellStyle name="Normal 5 2 3 2 6 2 3 2" xfId="29299" xr:uid="{00000000-0005-0000-0000-000047570000}"/>
    <cellStyle name="Normal 5 2 3 2 6 2 4" xfId="6031" xr:uid="{00000000-0005-0000-0000-000048570000}"/>
    <cellStyle name="Normal 5 2 3 2 6 2 4 2" xfId="22695" xr:uid="{00000000-0005-0000-0000-000049570000}"/>
    <cellStyle name="Normal 5 2 3 2 6 2 5" xfId="19573" xr:uid="{00000000-0005-0000-0000-00004A570000}"/>
    <cellStyle name="Normal 5 2 3 2 6 3" xfId="7761" xr:uid="{00000000-0005-0000-0000-00004B570000}"/>
    <cellStyle name="Normal 5 2 3 2 6 3 2" xfId="15024" xr:uid="{00000000-0005-0000-0000-00004C570000}"/>
    <cellStyle name="Normal 5 2 3 2 6 3 2 2" xfId="31339" xr:uid="{00000000-0005-0000-0000-00004D570000}"/>
    <cellStyle name="Normal 5 2 3 2 6 3 3" xfId="24374" xr:uid="{00000000-0005-0000-0000-00004E570000}"/>
    <cellStyle name="Normal 5 2 3 2 6 4" xfId="11076" xr:uid="{00000000-0005-0000-0000-00004F570000}"/>
    <cellStyle name="Normal 5 2 3 2 6 4 2" xfId="27674" xr:uid="{00000000-0005-0000-0000-000050570000}"/>
    <cellStyle name="Normal 5 2 3 2 6 5" xfId="4448" xr:uid="{00000000-0005-0000-0000-000051570000}"/>
    <cellStyle name="Normal 5 2 3 2 6 5 2" xfId="21171" xr:uid="{00000000-0005-0000-0000-000052570000}"/>
    <cellStyle name="Normal 5 2 3 2 6 6" xfId="17541" xr:uid="{00000000-0005-0000-0000-000053570000}"/>
    <cellStyle name="Normal 5 2 3 2 7" xfId="1325" xr:uid="{00000000-0005-0000-0000-000054570000}"/>
    <cellStyle name="Normal 5 2 3 2 7 2" xfId="8490" xr:uid="{00000000-0005-0000-0000-000055570000}"/>
    <cellStyle name="Normal 5 2 3 2 7 2 2" xfId="15753" xr:uid="{00000000-0005-0000-0000-000056570000}"/>
    <cellStyle name="Normal 5 2 3 2 7 2 2 2" xfId="32068" xr:uid="{00000000-0005-0000-0000-000057570000}"/>
    <cellStyle name="Normal 5 2 3 2 7 2 3" xfId="25103" xr:uid="{00000000-0005-0000-0000-000058570000}"/>
    <cellStyle name="Normal 5 2 3 2 7 3" xfId="11831" xr:uid="{00000000-0005-0000-0000-000059570000}"/>
    <cellStyle name="Normal 5 2 3 2 7 3 2" xfId="28407" xr:uid="{00000000-0005-0000-0000-00005A570000}"/>
    <cellStyle name="Normal 5 2 3 2 7 4" xfId="5137" xr:uid="{00000000-0005-0000-0000-00005B570000}"/>
    <cellStyle name="Normal 5 2 3 2 7 4 2" xfId="21803" xr:uid="{00000000-0005-0000-0000-00005C570000}"/>
    <cellStyle name="Normal 5 2 3 2 7 5" xfId="18060" xr:uid="{00000000-0005-0000-0000-00005D570000}"/>
    <cellStyle name="Normal 5 2 3 2 8" xfId="2815" xr:uid="{00000000-0005-0000-0000-00005E570000}"/>
    <cellStyle name="Normal 5 2 3 2 8 2" xfId="14134" xr:uid="{00000000-0005-0000-0000-00005F570000}"/>
    <cellStyle name="Normal 5 2 3 2 8 2 2" xfId="30449" xr:uid="{00000000-0005-0000-0000-000060570000}"/>
    <cellStyle name="Normal 5 2 3 2 8 3" xfId="6871" xr:uid="{00000000-0005-0000-0000-000061570000}"/>
    <cellStyle name="Normal 5 2 3 2 8 3 2" xfId="23484" xr:uid="{00000000-0005-0000-0000-000062570000}"/>
    <cellStyle name="Normal 5 2 3 2 8 4" xfId="19542" xr:uid="{00000000-0005-0000-0000-000063570000}"/>
    <cellStyle name="Normal 5 2 3 2 9" xfId="10184" xr:uid="{00000000-0005-0000-0000-000064570000}"/>
    <cellStyle name="Normal 5 2 3 2 9 2" xfId="26784" xr:uid="{00000000-0005-0000-0000-000065570000}"/>
    <cellStyle name="Normal 5 2 3 3" xfId="673" xr:uid="{00000000-0005-0000-0000-000066570000}"/>
    <cellStyle name="Normal 5 2 3 3 10" xfId="17489" xr:uid="{00000000-0005-0000-0000-000067570000}"/>
    <cellStyle name="Normal 5 2 3 3 2" xfId="1012" xr:uid="{00000000-0005-0000-0000-000068570000}"/>
    <cellStyle name="Normal 5 2 3 3 2 2" xfId="1203" xr:uid="{00000000-0005-0000-0000-000069570000}"/>
    <cellStyle name="Normal 5 2 3 3 2 2 2" xfId="1724" xr:uid="{00000000-0005-0000-0000-00006A570000}"/>
    <cellStyle name="Normal 5 2 3 3 2 2 2 2" xfId="2851" xr:uid="{00000000-0005-0000-0000-00006B570000}"/>
    <cellStyle name="Normal 5 2 3 3 2 2 2 2 2" xfId="6618" xr:uid="{00000000-0005-0000-0000-00006C570000}"/>
    <cellStyle name="Normal 5 2 3 3 2 2 2 2 2 2" xfId="9969" xr:uid="{00000000-0005-0000-0000-00006D570000}"/>
    <cellStyle name="Normal 5 2 3 3 2 2 2 2 2 2 2" xfId="17232" xr:uid="{00000000-0005-0000-0000-00006E570000}"/>
    <cellStyle name="Normal 5 2 3 3 2 2 2 2 2 2 2 2" xfId="33547" xr:uid="{00000000-0005-0000-0000-00006F570000}"/>
    <cellStyle name="Normal 5 2 3 3 2 2 2 2 2 2 3" xfId="26582" xr:uid="{00000000-0005-0000-0000-000070570000}"/>
    <cellStyle name="Normal 5 2 3 3 2 2 2 2 2 3" xfId="13311" xr:uid="{00000000-0005-0000-0000-000071570000}"/>
    <cellStyle name="Normal 5 2 3 3 2 2 2 2 2 3 2" xfId="29886" xr:uid="{00000000-0005-0000-0000-000072570000}"/>
    <cellStyle name="Normal 5 2 3 3 2 2 2 2 2 4" xfId="23282" xr:uid="{00000000-0005-0000-0000-000073570000}"/>
    <cellStyle name="Normal 5 2 3 3 2 2 2 2 3" xfId="8348" xr:uid="{00000000-0005-0000-0000-000074570000}"/>
    <cellStyle name="Normal 5 2 3 3 2 2 2 2 3 2" xfId="15611" xr:uid="{00000000-0005-0000-0000-000075570000}"/>
    <cellStyle name="Normal 5 2 3 3 2 2 2 2 3 2 2" xfId="31926" xr:uid="{00000000-0005-0000-0000-000076570000}"/>
    <cellStyle name="Normal 5 2 3 3 2 2 2 2 3 3" xfId="24961" xr:uid="{00000000-0005-0000-0000-000077570000}"/>
    <cellStyle name="Normal 5 2 3 3 2 2 2 2 4" xfId="11663" xr:uid="{00000000-0005-0000-0000-000078570000}"/>
    <cellStyle name="Normal 5 2 3 3 2 2 2 2 4 2" xfId="28261" xr:uid="{00000000-0005-0000-0000-000079570000}"/>
    <cellStyle name="Normal 5 2 3 3 2 2 2 2 5" xfId="4453" xr:uid="{00000000-0005-0000-0000-00007A570000}"/>
    <cellStyle name="Normal 5 2 3 3 2 2 2 2 5 2" xfId="21176" xr:uid="{00000000-0005-0000-0000-00007B570000}"/>
    <cellStyle name="Normal 5 2 3 3 2 2 2 2 6" xfId="19578" xr:uid="{00000000-0005-0000-0000-00007C570000}"/>
    <cellStyle name="Normal 5 2 3 3 2 2 2 3" xfId="2850" xr:uid="{00000000-0005-0000-0000-00007D570000}"/>
    <cellStyle name="Normal 5 2 3 3 2 2 2 3 2" xfId="9193" xr:uid="{00000000-0005-0000-0000-00007E570000}"/>
    <cellStyle name="Normal 5 2 3 3 2 2 2 3 2 2" xfId="16456" xr:uid="{00000000-0005-0000-0000-00007F570000}"/>
    <cellStyle name="Normal 5 2 3 3 2 2 2 3 2 2 2" xfId="32771" xr:uid="{00000000-0005-0000-0000-000080570000}"/>
    <cellStyle name="Normal 5 2 3 3 2 2 2 3 2 3" xfId="25806" xr:uid="{00000000-0005-0000-0000-000081570000}"/>
    <cellStyle name="Normal 5 2 3 3 2 2 2 3 3" xfId="12535" xr:uid="{00000000-0005-0000-0000-000082570000}"/>
    <cellStyle name="Normal 5 2 3 3 2 2 2 3 3 2" xfId="29110" xr:uid="{00000000-0005-0000-0000-000083570000}"/>
    <cellStyle name="Normal 5 2 3 3 2 2 2 3 4" xfId="5842" xr:uid="{00000000-0005-0000-0000-000084570000}"/>
    <cellStyle name="Normal 5 2 3 3 2 2 2 3 4 2" xfId="22506" xr:uid="{00000000-0005-0000-0000-000085570000}"/>
    <cellStyle name="Normal 5 2 3 3 2 2 2 3 5" xfId="19577" xr:uid="{00000000-0005-0000-0000-000086570000}"/>
    <cellStyle name="Normal 5 2 3 3 2 2 2 4" xfId="7572" xr:uid="{00000000-0005-0000-0000-000087570000}"/>
    <cellStyle name="Normal 5 2 3 3 2 2 2 4 2" xfId="14835" xr:uid="{00000000-0005-0000-0000-000088570000}"/>
    <cellStyle name="Normal 5 2 3 3 2 2 2 4 2 2" xfId="31150" xr:uid="{00000000-0005-0000-0000-000089570000}"/>
    <cellStyle name="Normal 5 2 3 3 2 2 2 4 3" xfId="24185" xr:uid="{00000000-0005-0000-0000-00008A570000}"/>
    <cellStyle name="Normal 5 2 3 3 2 2 2 5" xfId="10887" xr:uid="{00000000-0005-0000-0000-00008B570000}"/>
    <cellStyle name="Normal 5 2 3 3 2 2 2 5 2" xfId="27485" xr:uid="{00000000-0005-0000-0000-00008C570000}"/>
    <cellStyle name="Normal 5 2 3 3 2 2 2 6" xfId="4452" xr:uid="{00000000-0005-0000-0000-00008D570000}"/>
    <cellStyle name="Normal 5 2 3 3 2 2 2 6 2" xfId="21175" xr:uid="{00000000-0005-0000-0000-00008E570000}"/>
    <cellStyle name="Normal 5 2 3 3 2 2 2 7" xfId="18459" xr:uid="{00000000-0005-0000-0000-00008F570000}"/>
    <cellStyle name="Normal 5 2 3 3 2 2 3" xfId="2852" xr:uid="{00000000-0005-0000-0000-000090570000}"/>
    <cellStyle name="Normal 5 2 3 3 2 2 3 2" xfId="6248" xr:uid="{00000000-0005-0000-0000-000091570000}"/>
    <cellStyle name="Normal 5 2 3 3 2 2 3 2 2" xfId="9599" xr:uid="{00000000-0005-0000-0000-000092570000}"/>
    <cellStyle name="Normal 5 2 3 3 2 2 3 2 2 2" xfId="16862" xr:uid="{00000000-0005-0000-0000-000093570000}"/>
    <cellStyle name="Normal 5 2 3 3 2 2 3 2 2 2 2" xfId="33177" xr:uid="{00000000-0005-0000-0000-000094570000}"/>
    <cellStyle name="Normal 5 2 3 3 2 2 3 2 2 3" xfId="26212" xr:uid="{00000000-0005-0000-0000-000095570000}"/>
    <cellStyle name="Normal 5 2 3 3 2 2 3 2 3" xfId="12941" xr:uid="{00000000-0005-0000-0000-000096570000}"/>
    <cellStyle name="Normal 5 2 3 3 2 2 3 2 3 2" xfId="29516" xr:uid="{00000000-0005-0000-0000-000097570000}"/>
    <cellStyle name="Normal 5 2 3 3 2 2 3 2 4" xfId="22912" xr:uid="{00000000-0005-0000-0000-000098570000}"/>
    <cellStyle name="Normal 5 2 3 3 2 2 3 3" xfId="7978" xr:uid="{00000000-0005-0000-0000-000099570000}"/>
    <cellStyle name="Normal 5 2 3 3 2 2 3 3 2" xfId="15241" xr:uid="{00000000-0005-0000-0000-00009A570000}"/>
    <cellStyle name="Normal 5 2 3 3 2 2 3 3 2 2" xfId="31556" xr:uid="{00000000-0005-0000-0000-00009B570000}"/>
    <cellStyle name="Normal 5 2 3 3 2 2 3 3 3" xfId="24591" xr:uid="{00000000-0005-0000-0000-00009C570000}"/>
    <cellStyle name="Normal 5 2 3 3 2 2 3 4" xfId="11293" xr:uid="{00000000-0005-0000-0000-00009D570000}"/>
    <cellStyle name="Normal 5 2 3 3 2 2 3 4 2" xfId="27891" xr:uid="{00000000-0005-0000-0000-00009E570000}"/>
    <cellStyle name="Normal 5 2 3 3 2 2 3 5" xfId="4454" xr:uid="{00000000-0005-0000-0000-00009F570000}"/>
    <cellStyle name="Normal 5 2 3 3 2 2 3 5 2" xfId="21177" xr:uid="{00000000-0005-0000-0000-0000A0570000}"/>
    <cellStyle name="Normal 5 2 3 3 2 2 3 6" xfId="19579" xr:uid="{00000000-0005-0000-0000-0000A1570000}"/>
    <cellStyle name="Normal 5 2 3 3 2 2 4" xfId="2849" xr:uid="{00000000-0005-0000-0000-0000A2570000}"/>
    <cellStyle name="Normal 5 2 3 3 2 2 4 2" xfId="8786" xr:uid="{00000000-0005-0000-0000-0000A3570000}"/>
    <cellStyle name="Normal 5 2 3 3 2 2 4 2 2" xfId="16049" xr:uid="{00000000-0005-0000-0000-0000A4570000}"/>
    <cellStyle name="Normal 5 2 3 3 2 2 4 2 2 2" xfId="32364" xr:uid="{00000000-0005-0000-0000-0000A5570000}"/>
    <cellStyle name="Normal 5 2 3 3 2 2 4 2 3" xfId="25399" xr:uid="{00000000-0005-0000-0000-0000A6570000}"/>
    <cellStyle name="Normal 5 2 3 3 2 2 4 3" xfId="12128" xr:uid="{00000000-0005-0000-0000-0000A7570000}"/>
    <cellStyle name="Normal 5 2 3 3 2 2 4 3 2" xfId="28703" xr:uid="{00000000-0005-0000-0000-0000A8570000}"/>
    <cellStyle name="Normal 5 2 3 3 2 2 4 4" xfId="5435" xr:uid="{00000000-0005-0000-0000-0000A9570000}"/>
    <cellStyle name="Normal 5 2 3 3 2 2 4 4 2" xfId="22099" xr:uid="{00000000-0005-0000-0000-0000AA570000}"/>
    <cellStyle name="Normal 5 2 3 3 2 2 4 5" xfId="19576" xr:uid="{00000000-0005-0000-0000-0000AB570000}"/>
    <cellStyle name="Normal 5 2 3 3 2 2 5" xfId="7166" xr:uid="{00000000-0005-0000-0000-0000AC570000}"/>
    <cellStyle name="Normal 5 2 3 3 2 2 5 2" xfId="14429" xr:uid="{00000000-0005-0000-0000-0000AD570000}"/>
    <cellStyle name="Normal 5 2 3 3 2 2 5 2 2" xfId="30744" xr:uid="{00000000-0005-0000-0000-0000AE570000}"/>
    <cellStyle name="Normal 5 2 3 3 2 2 5 3" xfId="23779" xr:uid="{00000000-0005-0000-0000-0000AF570000}"/>
    <cellStyle name="Normal 5 2 3 3 2 2 6" xfId="10481" xr:uid="{00000000-0005-0000-0000-0000B0570000}"/>
    <cellStyle name="Normal 5 2 3 3 2 2 6 2" xfId="27079" xr:uid="{00000000-0005-0000-0000-0000B1570000}"/>
    <cellStyle name="Normal 5 2 3 3 2 2 7" xfId="4451" xr:uid="{00000000-0005-0000-0000-0000B2570000}"/>
    <cellStyle name="Normal 5 2 3 3 2 2 7 2" xfId="21174" xr:uid="{00000000-0005-0000-0000-0000B3570000}"/>
    <cellStyle name="Normal 5 2 3 3 2 2 8" xfId="17940" xr:uid="{00000000-0005-0000-0000-0000B4570000}"/>
    <cellStyle name="Normal 5 2 3 3 2 3" xfId="1573" xr:uid="{00000000-0005-0000-0000-0000B5570000}"/>
    <cellStyle name="Normal 5 2 3 3 2 3 2" xfId="2854" xr:uid="{00000000-0005-0000-0000-0000B6570000}"/>
    <cellStyle name="Normal 5 2 3 3 2 3 2 2" xfId="6442" xr:uid="{00000000-0005-0000-0000-0000B7570000}"/>
    <cellStyle name="Normal 5 2 3 3 2 3 2 2 2" xfId="9793" xr:uid="{00000000-0005-0000-0000-0000B8570000}"/>
    <cellStyle name="Normal 5 2 3 3 2 3 2 2 2 2" xfId="17056" xr:uid="{00000000-0005-0000-0000-0000B9570000}"/>
    <cellStyle name="Normal 5 2 3 3 2 3 2 2 2 2 2" xfId="33371" xr:uid="{00000000-0005-0000-0000-0000BA570000}"/>
    <cellStyle name="Normal 5 2 3 3 2 3 2 2 2 3" xfId="26406" xr:uid="{00000000-0005-0000-0000-0000BB570000}"/>
    <cellStyle name="Normal 5 2 3 3 2 3 2 2 3" xfId="13135" xr:uid="{00000000-0005-0000-0000-0000BC570000}"/>
    <cellStyle name="Normal 5 2 3 3 2 3 2 2 3 2" xfId="29710" xr:uid="{00000000-0005-0000-0000-0000BD570000}"/>
    <cellStyle name="Normal 5 2 3 3 2 3 2 2 4" xfId="23106" xr:uid="{00000000-0005-0000-0000-0000BE570000}"/>
    <cellStyle name="Normal 5 2 3 3 2 3 2 3" xfId="8172" xr:uid="{00000000-0005-0000-0000-0000BF570000}"/>
    <cellStyle name="Normal 5 2 3 3 2 3 2 3 2" xfId="15435" xr:uid="{00000000-0005-0000-0000-0000C0570000}"/>
    <cellStyle name="Normal 5 2 3 3 2 3 2 3 2 2" xfId="31750" xr:uid="{00000000-0005-0000-0000-0000C1570000}"/>
    <cellStyle name="Normal 5 2 3 3 2 3 2 3 3" xfId="24785" xr:uid="{00000000-0005-0000-0000-0000C2570000}"/>
    <cellStyle name="Normal 5 2 3 3 2 3 2 4" xfId="11487" xr:uid="{00000000-0005-0000-0000-0000C3570000}"/>
    <cellStyle name="Normal 5 2 3 3 2 3 2 4 2" xfId="28085" xr:uid="{00000000-0005-0000-0000-0000C4570000}"/>
    <cellStyle name="Normal 5 2 3 3 2 3 2 5" xfId="4456" xr:uid="{00000000-0005-0000-0000-0000C5570000}"/>
    <cellStyle name="Normal 5 2 3 3 2 3 2 5 2" xfId="21179" xr:uid="{00000000-0005-0000-0000-0000C6570000}"/>
    <cellStyle name="Normal 5 2 3 3 2 3 2 6" xfId="19581" xr:uid="{00000000-0005-0000-0000-0000C7570000}"/>
    <cellStyle name="Normal 5 2 3 3 2 3 3" xfId="2853" xr:uid="{00000000-0005-0000-0000-0000C8570000}"/>
    <cellStyle name="Normal 5 2 3 3 2 3 3 2" xfId="8981" xr:uid="{00000000-0005-0000-0000-0000C9570000}"/>
    <cellStyle name="Normal 5 2 3 3 2 3 3 2 2" xfId="16244" xr:uid="{00000000-0005-0000-0000-0000CA570000}"/>
    <cellStyle name="Normal 5 2 3 3 2 3 3 2 2 2" xfId="32559" xr:uid="{00000000-0005-0000-0000-0000CB570000}"/>
    <cellStyle name="Normal 5 2 3 3 2 3 3 2 3" xfId="25594" xr:uid="{00000000-0005-0000-0000-0000CC570000}"/>
    <cellStyle name="Normal 5 2 3 3 2 3 3 3" xfId="12323" xr:uid="{00000000-0005-0000-0000-0000CD570000}"/>
    <cellStyle name="Normal 5 2 3 3 2 3 3 3 2" xfId="28898" xr:uid="{00000000-0005-0000-0000-0000CE570000}"/>
    <cellStyle name="Normal 5 2 3 3 2 3 3 4" xfId="5630" xr:uid="{00000000-0005-0000-0000-0000CF570000}"/>
    <cellStyle name="Normal 5 2 3 3 2 3 3 4 2" xfId="22294" xr:uid="{00000000-0005-0000-0000-0000D0570000}"/>
    <cellStyle name="Normal 5 2 3 3 2 3 3 5" xfId="19580" xr:uid="{00000000-0005-0000-0000-0000D1570000}"/>
    <cellStyle name="Normal 5 2 3 3 2 3 4" xfId="7360" xr:uid="{00000000-0005-0000-0000-0000D2570000}"/>
    <cellStyle name="Normal 5 2 3 3 2 3 4 2" xfId="14623" xr:uid="{00000000-0005-0000-0000-0000D3570000}"/>
    <cellStyle name="Normal 5 2 3 3 2 3 4 2 2" xfId="30938" xr:uid="{00000000-0005-0000-0000-0000D4570000}"/>
    <cellStyle name="Normal 5 2 3 3 2 3 4 3" xfId="23973" xr:uid="{00000000-0005-0000-0000-0000D5570000}"/>
    <cellStyle name="Normal 5 2 3 3 2 3 5" xfId="10675" xr:uid="{00000000-0005-0000-0000-0000D6570000}"/>
    <cellStyle name="Normal 5 2 3 3 2 3 5 2" xfId="27273" xr:uid="{00000000-0005-0000-0000-0000D7570000}"/>
    <cellStyle name="Normal 5 2 3 3 2 3 6" xfId="4455" xr:uid="{00000000-0005-0000-0000-0000D8570000}"/>
    <cellStyle name="Normal 5 2 3 3 2 3 6 2" xfId="21178" xr:uid="{00000000-0005-0000-0000-0000D9570000}"/>
    <cellStyle name="Normal 5 2 3 3 2 3 7" xfId="18308" xr:uid="{00000000-0005-0000-0000-0000DA570000}"/>
    <cellStyle name="Normal 5 2 3 3 2 4" xfId="2855" xr:uid="{00000000-0005-0000-0000-0000DB570000}"/>
    <cellStyle name="Normal 5 2 3 3 2 4 2" xfId="6036" xr:uid="{00000000-0005-0000-0000-0000DC570000}"/>
    <cellStyle name="Normal 5 2 3 3 2 4 2 2" xfId="9387" xr:uid="{00000000-0005-0000-0000-0000DD570000}"/>
    <cellStyle name="Normal 5 2 3 3 2 4 2 2 2" xfId="16650" xr:uid="{00000000-0005-0000-0000-0000DE570000}"/>
    <cellStyle name="Normal 5 2 3 3 2 4 2 2 2 2" xfId="32965" xr:uid="{00000000-0005-0000-0000-0000DF570000}"/>
    <cellStyle name="Normal 5 2 3 3 2 4 2 2 3" xfId="26000" xr:uid="{00000000-0005-0000-0000-0000E0570000}"/>
    <cellStyle name="Normal 5 2 3 3 2 4 2 3" xfId="12729" xr:uid="{00000000-0005-0000-0000-0000E1570000}"/>
    <cellStyle name="Normal 5 2 3 3 2 4 2 3 2" xfId="29304" xr:uid="{00000000-0005-0000-0000-0000E2570000}"/>
    <cellStyle name="Normal 5 2 3 3 2 4 2 4" xfId="22700" xr:uid="{00000000-0005-0000-0000-0000E3570000}"/>
    <cellStyle name="Normal 5 2 3 3 2 4 3" xfId="7766" xr:uid="{00000000-0005-0000-0000-0000E4570000}"/>
    <cellStyle name="Normal 5 2 3 3 2 4 3 2" xfId="15029" xr:uid="{00000000-0005-0000-0000-0000E5570000}"/>
    <cellStyle name="Normal 5 2 3 3 2 4 3 2 2" xfId="31344" xr:uid="{00000000-0005-0000-0000-0000E6570000}"/>
    <cellStyle name="Normal 5 2 3 3 2 4 3 3" xfId="24379" xr:uid="{00000000-0005-0000-0000-0000E7570000}"/>
    <cellStyle name="Normal 5 2 3 3 2 4 4" xfId="11081" xr:uid="{00000000-0005-0000-0000-0000E8570000}"/>
    <cellStyle name="Normal 5 2 3 3 2 4 4 2" xfId="27679" xr:uid="{00000000-0005-0000-0000-0000E9570000}"/>
    <cellStyle name="Normal 5 2 3 3 2 4 5" xfId="4457" xr:uid="{00000000-0005-0000-0000-0000EA570000}"/>
    <cellStyle name="Normal 5 2 3 3 2 4 5 2" xfId="21180" xr:uid="{00000000-0005-0000-0000-0000EB570000}"/>
    <cellStyle name="Normal 5 2 3 3 2 4 6" xfId="19582" xr:uid="{00000000-0005-0000-0000-0000EC570000}"/>
    <cellStyle name="Normal 5 2 3 3 2 5" xfId="2848" xr:uid="{00000000-0005-0000-0000-0000ED570000}"/>
    <cellStyle name="Normal 5 2 3 3 2 5 2" xfId="8634" xr:uid="{00000000-0005-0000-0000-0000EE570000}"/>
    <cellStyle name="Normal 5 2 3 3 2 5 2 2" xfId="15897" xr:uid="{00000000-0005-0000-0000-0000EF570000}"/>
    <cellStyle name="Normal 5 2 3 3 2 5 2 2 2" xfId="32212" xr:uid="{00000000-0005-0000-0000-0000F0570000}"/>
    <cellStyle name="Normal 5 2 3 3 2 5 2 3" xfId="25247" xr:uid="{00000000-0005-0000-0000-0000F1570000}"/>
    <cellStyle name="Normal 5 2 3 3 2 5 3" xfId="11976" xr:uid="{00000000-0005-0000-0000-0000F2570000}"/>
    <cellStyle name="Normal 5 2 3 3 2 5 3 2" xfId="28551" xr:uid="{00000000-0005-0000-0000-0000F3570000}"/>
    <cellStyle name="Normal 5 2 3 3 2 5 4" xfId="5283" xr:uid="{00000000-0005-0000-0000-0000F4570000}"/>
    <cellStyle name="Normal 5 2 3 3 2 5 4 2" xfId="21947" xr:uid="{00000000-0005-0000-0000-0000F5570000}"/>
    <cellStyle name="Normal 5 2 3 3 2 5 5" xfId="19575" xr:uid="{00000000-0005-0000-0000-0000F6570000}"/>
    <cellStyle name="Normal 5 2 3 3 2 6" xfId="7015" xr:uid="{00000000-0005-0000-0000-0000F7570000}"/>
    <cellStyle name="Normal 5 2 3 3 2 6 2" xfId="14278" xr:uid="{00000000-0005-0000-0000-0000F8570000}"/>
    <cellStyle name="Normal 5 2 3 3 2 6 2 2" xfId="30593" xr:uid="{00000000-0005-0000-0000-0000F9570000}"/>
    <cellStyle name="Normal 5 2 3 3 2 6 3" xfId="23628" xr:uid="{00000000-0005-0000-0000-0000FA570000}"/>
    <cellStyle name="Normal 5 2 3 3 2 7" xfId="10329" xr:uid="{00000000-0005-0000-0000-0000FB570000}"/>
    <cellStyle name="Normal 5 2 3 3 2 7 2" xfId="26928" xr:uid="{00000000-0005-0000-0000-0000FC570000}"/>
    <cellStyle name="Normal 5 2 3 3 2 8" xfId="4450" xr:uid="{00000000-0005-0000-0000-0000FD570000}"/>
    <cellStyle name="Normal 5 2 3 3 2 8 2" xfId="21173" xr:uid="{00000000-0005-0000-0000-0000FE570000}"/>
    <cellStyle name="Normal 5 2 3 3 2 9" xfId="17789" xr:uid="{00000000-0005-0000-0000-0000FF570000}"/>
    <cellStyle name="Normal 5 2 3 3 3" xfId="1202" xr:uid="{00000000-0005-0000-0000-000000580000}"/>
    <cellStyle name="Normal 5 2 3 3 3 2" xfId="1723" xr:uid="{00000000-0005-0000-0000-000001580000}"/>
    <cellStyle name="Normal 5 2 3 3 3 2 2" xfId="2858" xr:uid="{00000000-0005-0000-0000-000002580000}"/>
    <cellStyle name="Normal 5 2 3 3 3 2 2 2" xfId="6617" xr:uid="{00000000-0005-0000-0000-000003580000}"/>
    <cellStyle name="Normal 5 2 3 3 3 2 2 2 2" xfId="9968" xr:uid="{00000000-0005-0000-0000-000004580000}"/>
    <cellStyle name="Normal 5 2 3 3 3 2 2 2 2 2" xfId="17231" xr:uid="{00000000-0005-0000-0000-000005580000}"/>
    <cellStyle name="Normal 5 2 3 3 3 2 2 2 2 2 2" xfId="33546" xr:uid="{00000000-0005-0000-0000-000006580000}"/>
    <cellStyle name="Normal 5 2 3 3 3 2 2 2 2 3" xfId="26581" xr:uid="{00000000-0005-0000-0000-000007580000}"/>
    <cellStyle name="Normal 5 2 3 3 3 2 2 2 3" xfId="13310" xr:uid="{00000000-0005-0000-0000-000008580000}"/>
    <cellStyle name="Normal 5 2 3 3 3 2 2 2 3 2" xfId="29885" xr:uid="{00000000-0005-0000-0000-000009580000}"/>
    <cellStyle name="Normal 5 2 3 3 3 2 2 2 4" xfId="23281" xr:uid="{00000000-0005-0000-0000-00000A580000}"/>
    <cellStyle name="Normal 5 2 3 3 3 2 2 3" xfId="8347" xr:uid="{00000000-0005-0000-0000-00000B580000}"/>
    <cellStyle name="Normal 5 2 3 3 3 2 2 3 2" xfId="15610" xr:uid="{00000000-0005-0000-0000-00000C580000}"/>
    <cellStyle name="Normal 5 2 3 3 3 2 2 3 2 2" xfId="31925" xr:uid="{00000000-0005-0000-0000-00000D580000}"/>
    <cellStyle name="Normal 5 2 3 3 3 2 2 3 3" xfId="24960" xr:uid="{00000000-0005-0000-0000-00000E580000}"/>
    <cellStyle name="Normal 5 2 3 3 3 2 2 4" xfId="11662" xr:uid="{00000000-0005-0000-0000-00000F580000}"/>
    <cellStyle name="Normal 5 2 3 3 3 2 2 4 2" xfId="28260" xr:uid="{00000000-0005-0000-0000-000010580000}"/>
    <cellStyle name="Normal 5 2 3 3 3 2 2 5" xfId="4460" xr:uid="{00000000-0005-0000-0000-000011580000}"/>
    <cellStyle name="Normal 5 2 3 3 3 2 2 5 2" xfId="21183" xr:uid="{00000000-0005-0000-0000-000012580000}"/>
    <cellStyle name="Normal 5 2 3 3 3 2 2 6" xfId="19585" xr:uid="{00000000-0005-0000-0000-000013580000}"/>
    <cellStyle name="Normal 5 2 3 3 3 2 3" xfId="2857" xr:uid="{00000000-0005-0000-0000-000014580000}"/>
    <cellStyle name="Normal 5 2 3 3 3 2 3 2" xfId="9192" xr:uid="{00000000-0005-0000-0000-000015580000}"/>
    <cellStyle name="Normal 5 2 3 3 3 2 3 2 2" xfId="16455" xr:uid="{00000000-0005-0000-0000-000016580000}"/>
    <cellStyle name="Normal 5 2 3 3 3 2 3 2 2 2" xfId="32770" xr:uid="{00000000-0005-0000-0000-000017580000}"/>
    <cellStyle name="Normal 5 2 3 3 3 2 3 2 3" xfId="25805" xr:uid="{00000000-0005-0000-0000-000018580000}"/>
    <cellStyle name="Normal 5 2 3 3 3 2 3 3" xfId="12534" xr:uid="{00000000-0005-0000-0000-000019580000}"/>
    <cellStyle name="Normal 5 2 3 3 3 2 3 3 2" xfId="29109" xr:uid="{00000000-0005-0000-0000-00001A580000}"/>
    <cellStyle name="Normal 5 2 3 3 3 2 3 4" xfId="5841" xr:uid="{00000000-0005-0000-0000-00001B580000}"/>
    <cellStyle name="Normal 5 2 3 3 3 2 3 4 2" xfId="22505" xr:uid="{00000000-0005-0000-0000-00001C580000}"/>
    <cellStyle name="Normal 5 2 3 3 3 2 3 5" xfId="19584" xr:uid="{00000000-0005-0000-0000-00001D580000}"/>
    <cellStyle name="Normal 5 2 3 3 3 2 4" xfId="7571" xr:uid="{00000000-0005-0000-0000-00001E580000}"/>
    <cellStyle name="Normal 5 2 3 3 3 2 4 2" xfId="14834" xr:uid="{00000000-0005-0000-0000-00001F580000}"/>
    <cellStyle name="Normal 5 2 3 3 3 2 4 2 2" xfId="31149" xr:uid="{00000000-0005-0000-0000-000020580000}"/>
    <cellStyle name="Normal 5 2 3 3 3 2 4 3" xfId="24184" xr:uid="{00000000-0005-0000-0000-000021580000}"/>
    <cellStyle name="Normal 5 2 3 3 3 2 5" xfId="10886" xr:uid="{00000000-0005-0000-0000-000022580000}"/>
    <cellStyle name="Normal 5 2 3 3 3 2 5 2" xfId="27484" xr:uid="{00000000-0005-0000-0000-000023580000}"/>
    <cellStyle name="Normal 5 2 3 3 3 2 6" xfId="4459" xr:uid="{00000000-0005-0000-0000-000024580000}"/>
    <cellStyle name="Normal 5 2 3 3 3 2 6 2" xfId="21182" xr:uid="{00000000-0005-0000-0000-000025580000}"/>
    <cellStyle name="Normal 5 2 3 3 3 2 7" xfId="18458" xr:uid="{00000000-0005-0000-0000-000026580000}"/>
    <cellStyle name="Normal 5 2 3 3 3 3" xfId="2859" xr:uid="{00000000-0005-0000-0000-000027580000}"/>
    <cellStyle name="Normal 5 2 3 3 3 3 2" xfId="6247" xr:uid="{00000000-0005-0000-0000-000028580000}"/>
    <cellStyle name="Normal 5 2 3 3 3 3 2 2" xfId="9598" xr:uid="{00000000-0005-0000-0000-000029580000}"/>
    <cellStyle name="Normal 5 2 3 3 3 3 2 2 2" xfId="16861" xr:uid="{00000000-0005-0000-0000-00002A580000}"/>
    <cellStyle name="Normal 5 2 3 3 3 3 2 2 2 2" xfId="33176" xr:uid="{00000000-0005-0000-0000-00002B580000}"/>
    <cellStyle name="Normal 5 2 3 3 3 3 2 2 3" xfId="26211" xr:uid="{00000000-0005-0000-0000-00002C580000}"/>
    <cellStyle name="Normal 5 2 3 3 3 3 2 3" xfId="12940" xr:uid="{00000000-0005-0000-0000-00002D580000}"/>
    <cellStyle name="Normal 5 2 3 3 3 3 2 3 2" xfId="29515" xr:uid="{00000000-0005-0000-0000-00002E580000}"/>
    <cellStyle name="Normal 5 2 3 3 3 3 2 4" xfId="22911" xr:uid="{00000000-0005-0000-0000-00002F580000}"/>
    <cellStyle name="Normal 5 2 3 3 3 3 3" xfId="7977" xr:uid="{00000000-0005-0000-0000-000030580000}"/>
    <cellStyle name="Normal 5 2 3 3 3 3 3 2" xfId="15240" xr:uid="{00000000-0005-0000-0000-000031580000}"/>
    <cellStyle name="Normal 5 2 3 3 3 3 3 2 2" xfId="31555" xr:uid="{00000000-0005-0000-0000-000032580000}"/>
    <cellStyle name="Normal 5 2 3 3 3 3 3 3" xfId="24590" xr:uid="{00000000-0005-0000-0000-000033580000}"/>
    <cellStyle name="Normal 5 2 3 3 3 3 4" xfId="11292" xr:uid="{00000000-0005-0000-0000-000034580000}"/>
    <cellStyle name="Normal 5 2 3 3 3 3 4 2" xfId="27890" xr:uid="{00000000-0005-0000-0000-000035580000}"/>
    <cellStyle name="Normal 5 2 3 3 3 3 5" xfId="4461" xr:uid="{00000000-0005-0000-0000-000036580000}"/>
    <cellStyle name="Normal 5 2 3 3 3 3 5 2" xfId="21184" xr:uid="{00000000-0005-0000-0000-000037580000}"/>
    <cellStyle name="Normal 5 2 3 3 3 3 6" xfId="19586" xr:uid="{00000000-0005-0000-0000-000038580000}"/>
    <cellStyle name="Normal 5 2 3 3 3 4" xfId="2856" xr:uid="{00000000-0005-0000-0000-000039580000}"/>
    <cellStyle name="Normal 5 2 3 3 3 4 2" xfId="8785" xr:uid="{00000000-0005-0000-0000-00003A580000}"/>
    <cellStyle name="Normal 5 2 3 3 3 4 2 2" xfId="16048" xr:uid="{00000000-0005-0000-0000-00003B580000}"/>
    <cellStyle name="Normal 5 2 3 3 3 4 2 2 2" xfId="32363" xr:uid="{00000000-0005-0000-0000-00003C580000}"/>
    <cellStyle name="Normal 5 2 3 3 3 4 2 3" xfId="25398" xr:uid="{00000000-0005-0000-0000-00003D580000}"/>
    <cellStyle name="Normal 5 2 3 3 3 4 3" xfId="12127" xr:uid="{00000000-0005-0000-0000-00003E580000}"/>
    <cellStyle name="Normal 5 2 3 3 3 4 3 2" xfId="28702" xr:uid="{00000000-0005-0000-0000-00003F580000}"/>
    <cellStyle name="Normal 5 2 3 3 3 4 4" xfId="5434" xr:uid="{00000000-0005-0000-0000-000040580000}"/>
    <cellStyle name="Normal 5 2 3 3 3 4 4 2" xfId="22098" xr:uid="{00000000-0005-0000-0000-000041580000}"/>
    <cellStyle name="Normal 5 2 3 3 3 4 5" xfId="19583" xr:uid="{00000000-0005-0000-0000-000042580000}"/>
    <cellStyle name="Normal 5 2 3 3 3 5" xfId="7165" xr:uid="{00000000-0005-0000-0000-000043580000}"/>
    <cellStyle name="Normal 5 2 3 3 3 5 2" xfId="14428" xr:uid="{00000000-0005-0000-0000-000044580000}"/>
    <cellStyle name="Normal 5 2 3 3 3 5 2 2" xfId="30743" xr:uid="{00000000-0005-0000-0000-000045580000}"/>
    <cellStyle name="Normal 5 2 3 3 3 5 3" xfId="23778" xr:uid="{00000000-0005-0000-0000-000046580000}"/>
    <cellStyle name="Normal 5 2 3 3 3 6" xfId="10480" xr:uid="{00000000-0005-0000-0000-000047580000}"/>
    <cellStyle name="Normal 5 2 3 3 3 6 2" xfId="27078" xr:uid="{00000000-0005-0000-0000-000048580000}"/>
    <cellStyle name="Normal 5 2 3 3 3 7" xfId="4458" xr:uid="{00000000-0005-0000-0000-000049580000}"/>
    <cellStyle name="Normal 5 2 3 3 3 7 2" xfId="21181" xr:uid="{00000000-0005-0000-0000-00004A580000}"/>
    <cellStyle name="Normal 5 2 3 3 3 8" xfId="17939" xr:uid="{00000000-0005-0000-0000-00004B580000}"/>
    <cellStyle name="Normal 5 2 3 3 4" xfId="905" xr:uid="{00000000-0005-0000-0000-00004C580000}"/>
    <cellStyle name="Normal 5 2 3 3 4 2" xfId="1467" xr:uid="{00000000-0005-0000-0000-00004D580000}"/>
    <cellStyle name="Normal 5 2 3 3 4 2 2" xfId="2861" xr:uid="{00000000-0005-0000-0000-00004E580000}"/>
    <cellStyle name="Normal 5 2 3 3 4 2 2 2" xfId="9792" xr:uid="{00000000-0005-0000-0000-00004F580000}"/>
    <cellStyle name="Normal 5 2 3 3 4 2 2 2 2" xfId="17055" xr:uid="{00000000-0005-0000-0000-000050580000}"/>
    <cellStyle name="Normal 5 2 3 3 4 2 2 2 2 2" xfId="33370" xr:uid="{00000000-0005-0000-0000-000051580000}"/>
    <cellStyle name="Normal 5 2 3 3 4 2 2 2 3" xfId="26405" xr:uid="{00000000-0005-0000-0000-000052580000}"/>
    <cellStyle name="Normal 5 2 3 3 4 2 2 3" xfId="13134" xr:uid="{00000000-0005-0000-0000-000053580000}"/>
    <cellStyle name="Normal 5 2 3 3 4 2 2 3 2" xfId="29709" xr:uid="{00000000-0005-0000-0000-000054580000}"/>
    <cellStyle name="Normal 5 2 3 3 4 2 2 4" xfId="6441" xr:uid="{00000000-0005-0000-0000-000055580000}"/>
    <cellStyle name="Normal 5 2 3 3 4 2 2 4 2" xfId="23105" xr:uid="{00000000-0005-0000-0000-000056580000}"/>
    <cellStyle name="Normal 5 2 3 3 4 2 2 5" xfId="19588" xr:uid="{00000000-0005-0000-0000-000057580000}"/>
    <cellStyle name="Normal 5 2 3 3 4 2 3" xfId="8171" xr:uid="{00000000-0005-0000-0000-000058580000}"/>
    <cellStyle name="Normal 5 2 3 3 4 2 3 2" xfId="15434" xr:uid="{00000000-0005-0000-0000-000059580000}"/>
    <cellStyle name="Normal 5 2 3 3 4 2 3 2 2" xfId="31749" xr:uid="{00000000-0005-0000-0000-00005A580000}"/>
    <cellStyle name="Normal 5 2 3 3 4 2 3 3" xfId="24784" xr:uid="{00000000-0005-0000-0000-00005B580000}"/>
    <cellStyle name="Normal 5 2 3 3 4 2 4" xfId="11486" xr:uid="{00000000-0005-0000-0000-00005C580000}"/>
    <cellStyle name="Normal 5 2 3 3 4 2 4 2" xfId="28084" xr:uid="{00000000-0005-0000-0000-00005D580000}"/>
    <cellStyle name="Normal 5 2 3 3 4 2 5" xfId="4463" xr:uid="{00000000-0005-0000-0000-00005E580000}"/>
    <cellStyle name="Normal 5 2 3 3 4 2 5 2" xfId="21186" xr:uid="{00000000-0005-0000-0000-00005F580000}"/>
    <cellStyle name="Normal 5 2 3 3 4 2 6" xfId="18202" xr:uid="{00000000-0005-0000-0000-000060580000}"/>
    <cellStyle name="Normal 5 2 3 3 4 3" xfId="2860" xr:uid="{00000000-0005-0000-0000-000061580000}"/>
    <cellStyle name="Normal 5 2 3 3 4 3 2" xfId="8980" xr:uid="{00000000-0005-0000-0000-000062580000}"/>
    <cellStyle name="Normal 5 2 3 3 4 3 2 2" xfId="16243" xr:uid="{00000000-0005-0000-0000-000063580000}"/>
    <cellStyle name="Normal 5 2 3 3 4 3 2 2 2" xfId="32558" xr:uid="{00000000-0005-0000-0000-000064580000}"/>
    <cellStyle name="Normal 5 2 3 3 4 3 2 3" xfId="25593" xr:uid="{00000000-0005-0000-0000-000065580000}"/>
    <cellStyle name="Normal 5 2 3 3 4 3 3" xfId="12322" xr:uid="{00000000-0005-0000-0000-000066580000}"/>
    <cellStyle name="Normal 5 2 3 3 4 3 3 2" xfId="28897" xr:uid="{00000000-0005-0000-0000-000067580000}"/>
    <cellStyle name="Normal 5 2 3 3 4 3 4" xfId="5629" xr:uid="{00000000-0005-0000-0000-000068580000}"/>
    <cellStyle name="Normal 5 2 3 3 4 3 4 2" xfId="22293" xr:uid="{00000000-0005-0000-0000-000069580000}"/>
    <cellStyle name="Normal 5 2 3 3 4 3 5" xfId="19587" xr:uid="{00000000-0005-0000-0000-00006A580000}"/>
    <cellStyle name="Normal 5 2 3 3 4 4" xfId="7359" xr:uid="{00000000-0005-0000-0000-00006B580000}"/>
    <cellStyle name="Normal 5 2 3 3 4 4 2" xfId="14622" xr:uid="{00000000-0005-0000-0000-00006C580000}"/>
    <cellStyle name="Normal 5 2 3 3 4 4 2 2" xfId="30937" xr:uid="{00000000-0005-0000-0000-00006D580000}"/>
    <cellStyle name="Normal 5 2 3 3 4 4 3" xfId="23972" xr:uid="{00000000-0005-0000-0000-00006E580000}"/>
    <cellStyle name="Normal 5 2 3 3 4 5" xfId="10674" xr:uid="{00000000-0005-0000-0000-00006F580000}"/>
    <cellStyle name="Normal 5 2 3 3 4 5 2" xfId="27272" xr:uid="{00000000-0005-0000-0000-000070580000}"/>
    <cellStyle name="Normal 5 2 3 3 4 6" xfId="4462" xr:uid="{00000000-0005-0000-0000-000071580000}"/>
    <cellStyle name="Normal 5 2 3 3 4 6 2" xfId="21185" xr:uid="{00000000-0005-0000-0000-000072580000}"/>
    <cellStyle name="Normal 5 2 3 3 4 7" xfId="17683" xr:uid="{00000000-0005-0000-0000-000073580000}"/>
    <cellStyle name="Normal 5 2 3 3 5" xfId="781" xr:uid="{00000000-0005-0000-0000-000074580000}"/>
    <cellStyle name="Normal 5 2 3 3 5 2" xfId="2862" xr:uid="{00000000-0005-0000-0000-000075580000}"/>
    <cellStyle name="Normal 5 2 3 3 5 2 2" xfId="9386" xr:uid="{00000000-0005-0000-0000-000076580000}"/>
    <cellStyle name="Normal 5 2 3 3 5 2 2 2" xfId="16649" xr:uid="{00000000-0005-0000-0000-000077580000}"/>
    <cellStyle name="Normal 5 2 3 3 5 2 2 2 2" xfId="32964" xr:uid="{00000000-0005-0000-0000-000078580000}"/>
    <cellStyle name="Normal 5 2 3 3 5 2 2 3" xfId="25999" xr:uid="{00000000-0005-0000-0000-000079580000}"/>
    <cellStyle name="Normal 5 2 3 3 5 2 3" xfId="12728" xr:uid="{00000000-0005-0000-0000-00007A580000}"/>
    <cellStyle name="Normal 5 2 3 3 5 2 3 2" xfId="29303" xr:uid="{00000000-0005-0000-0000-00007B580000}"/>
    <cellStyle name="Normal 5 2 3 3 5 2 4" xfId="6035" xr:uid="{00000000-0005-0000-0000-00007C580000}"/>
    <cellStyle name="Normal 5 2 3 3 5 2 4 2" xfId="22699" xr:uid="{00000000-0005-0000-0000-00007D580000}"/>
    <cellStyle name="Normal 5 2 3 3 5 2 5" xfId="19589" xr:uid="{00000000-0005-0000-0000-00007E580000}"/>
    <cellStyle name="Normal 5 2 3 3 5 3" xfId="7765" xr:uid="{00000000-0005-0000-0000-00007F580000}"/>
    <cellStyle name="Normal 5 2 3 3 5 3 2" xfId="15028" xr:uid="{00000000-0005-0000-0000-000080580000}"/>
    <cellStyle name="Normal 5 2 3 3 5 3 2 2" xfId="31343" xr:uid="{00000000-0005-0000-0000-000081580000}"/>
    <cellStyle name="Normal 5 2 3 3 5 3 3" xfId="24378" xr:uid="{00000000-0005-0000-0000-000082580000}"/>
    <cellStyle name="Normal 5 2 3 3 5 4" xfId="11080" xr:uid="{00000000-0005-0000-0000-000083580000}"/>
    <cellStyle name="Normal 5 2 3 3 5 4 2" xfId="27678" xr:uid="{00000000-0005-0000-0000-000084580000}"/>
    <cellStyle name="Normal 5 2 3 3 5 5" xfId="4464" xr:uid="{00000000-0005-0000-0000-000085580000}"/>
    <cellStyle name="Normal 5 2 3 3 5 5 2" xfId="21187" xr:uid="{00000000-0005-0000-0000-000086580000}"/>
    <cellStyle name="Normal 5 2 3 3 5 6" xfId="17594" xr:uid="{00000000-0005-0000-0000-000087580000}"/>
    <cellStyle name="Normal 5 2 3 3 6" xfId="1378" xr:uid="{00000000-0005-0000-0000-000088580000}"/>
    <cellStyle name="Normal 5 2 3 3 6 2" xfId="8528" xr:uid="{00000000-0005-0000-0000-000089580000}"/>
    <cellStyle name="Normal 5 2 3 3 6 2 2" xfId="15791" xr:uid="{00000000-0005-0000-0000-00008A580000}"/>
    <cellStyle name="Normal 5 2 3 3 6 2 2 2" xfId="32106" xr:uid="{00000000-0005-0000-0000-00008B580000}"/>
    <cellStyle name="Normal 5 2 3 3 6 2 3" xfId="25141" xr:uid="{00000000-0005-0000-0000-00008C580000}"/>
    <cellStyle name="Normal 5 2 3 3 6 3" xfId="11870" xr:uid="{00000000-0005-0000-0000-00008D580000}"/>
    <cellStyle name="Normal 5 2 3 3 6 3 2" xfId="28445" xr:uid="{00000000-0005-0000-0000-00008E580000}"/>
    <cellStyle name="Normal 5 2 3 3 6 4" xfId="5177" xr:uid="{00000000-0005-0000-0000-00008F580000}"/>
    <cellStyle name="Normal 5 2 3 3 6 4 2" xfId="21841" xr:uid="{00000000-0005-0000-0000-000090580000}"/>
    <cellStyle name="Normal 5 2 3 3 6 5" xfId="18113" xr:uid="{00000000-0005-0000-0000-000091580000}"/>
    <cellStyle name="Normal 5 2 3 3 7" xfId="2847" xr:uid="{00000000-0005-0000-0000-000092580000}"/>
    <cellStyle name="Normal 5 2 3 3 7 2" xfId="14172" xr:uid="{00000000-0005-0000-0000-000093580000}"/>
    <cellStyle name="Normal 5 2 3 3 7 2 2" xfId="30487" xr:uid="{00000000-0005-0000-0000-000094580000}"/>
    <cellStyle name="Normal 5 2 3 3 7 3" xfId="6909" xr:uid="{00000000-0005-0000-0000-000095580000}"/>
    <cellStyle name="Normal 5 2 3 3 7 3 2" xfId="23522" xr:uid="{00000000-0005-0000-0000-000096580000}"/>
    <cellStyle name="Normal 5 2 3 3 7 4" xfId="19574" xr:uid="{00000000-0005-0000-0000-000097580000}"/>
    <cellStyle name="Normal 5 2 3 3 8" xfId="10223" xr:uid="{00000000-0005-0000-0000-000098580000}"/>
    <cellStyle name="Normal 5 2 3 3 8 2" xfId="26822" xr:uid="{00000000-0005-0000-0000-000099580000}"/>
    <cellStyle name="Normal 5 2 3 3 9" xfId="4449" xr:uid="{00000000-0005-0000-0000-00009A580000}"/>
    <cellStyle name="Normal 5 2 3 3 9 2" xfId="21172" xr:uid="{00000000-0005-0000-0000-00009B580000}"/>
    <cellStyle name="Normal 5 2 3 4" xfId="635" xr:uid="{00000000-0005-0000-0000-00009C580000}"/>
    <cellStyle name="Normal 5 2 3 4 2" xfId="1204" xr:uid="{00000000-0005-0000-0000-00009D580000}"/>
    <cellStyle name="Normal 5 2 3 4 2 2" xfId="1725" xr:uid="{00000000-0005-0000-0000-00009E580000}"/>
    <cellStyle name="Normal 5 2 3 4 2 2 2" xfId="2866" xr:uid="{00000000-0005-0000-0000-00009F580000}"/>
    <cellStyle name="Normal 5 2 3 4 2 2 2 2" xfId="6619" xr:uid="{00000000-0005-0000-0000-0000A0580000}"/>
    <cellStyle name="Normal 5 2 3 4 2 2 2 2 2" xfId="9970" xr:uid="{00000000-0005-0000-0000-0000A1580000}"/>
    <cellStyle name="Normal 5 2 3 4 2 2 2 2 2 2" xfId="17233" xr:uid="{00000000-0005-0000-0000-0000A2580000}"/>
    <cellStyle name="Normal 5 2 3 4 2 2 2 2 2 2 2" xfId="33548" xr:uid="{00000000-0005-0000-0000-0000A3580000}"/>
    <cellStyle name="Normal 5 2 3 4 2 2 2 2 2 3" xfId="26583" xr:uid="{00000000-0005-0000-0000-0000A4580000}"/>
    <cellStyle name="Normal 5 2 3 4 2 2 2 2 3" xfId="13312" xr:uid="{00000000-0005-0000-0000-0000A5580000}"/>
    <cellStyle name="Normal 5 2 3 4 2 2 2 2 3 2" xfId="29887" xr:uid="{00000000-0005-0000-0000-0000A6580000}"/>
    <cellStyle name="Normal 5 2 3 4 2 2 2 2 4" xfId="23283" xr:uid="{00000000-0005-0000-0000-0000A7580000}"/>
    <cellStyle name="Normal 5 2 3 4 2 2 2 3" xfId="8349" xr:uid="{00000000-0005-0000-0000-0000A8580000}"/>
    <cellStyle name="Normal 5 2 3 4 2 2 2 3 2" xfId="15612" xr:uid="{00000000-0005-0000-0000-0000A9580000}"/>
    <cellStyle name="Normal 5 2 3 4 2 2 2 3 2 2" xfId="31927" xr:uid="{00000000-0005-0000-0000-0000AA580000}"/>
    <cellStyle name="Normal 5 2 3 4 2 2 2 3 3" xfId="24962" xr:uid="{00000000-0005-0000-0000-0000AB580000}"/>
    <cellStyle name="Normal 5 2 3 4 2 2 2 4" xfId="11664" xr:uid="{00000000-0005-0000-0000-0000AC580000}"/>
    <cellStyle name="Normal 5 2 3 4 2 2 2 4 2" xfId="28262" xr:uid="{00000000-0005-0000-0000-0000AD580000}"/>
    <cellStyle name="Normal 5 2 3 4 2 2 2 5" xfId="4468" xr:uid="{00000000-0005-0000-0000-0000AE580000}"/>
    <cellStyle name="Normal 5 2 3 4 2 2 2 5 2" xfId="21191" xr:uid="{00000000-0005-0000-0000-0000AF580000}"/>
    <cellStyle name="Normal 5 2 3 4 2 2 2 6" xfId="19593" xr:uid="{00000000-0005-0000-0000-0000B0580000}"/>
    <cellStyle name="Normal 5 2 3 4 2 2 3" xfId="2865" xr:uid="{00000000-0005-0000-0000-0000B1580000}"/>
    <cellStyle name="Normal 5 2 3 4 2 2 3 2" xfId="9194" xr:uid="{00000000-0005-0000-0000-0000B2580000}"/>
    <cellStyle name="Normal 5 2 3 4 2 2 3 2 2" xfId="16457" xr:uid="{00000000-0005-0000-0000-0000B3580000}"/>
    <cellStyle name="Normal 5 2 3 4 2 2 3 2 2 2" xfId="32772" xr:uid="{00000000-0005-0000-0000-0000B4580000}"/>
    <cellStyle name="Normal 5 2 3 4 2 2 3 2 3" xfId="25807" xr:uid="{00000000-0005-0000-0000-0000B5580000}"/>
    <cellStyle name="Normal 5 2 3 4 2 2 3 3" xfId="12536" xr:uid="{00000000-0005-0000-0000-0000B6580000}"/>
    <cellStyle name="Normal 5 2 3 4 2 2 3 3 2" xfId="29111" xr:uid="{00000000-0005-0000-0000-0000B7580000}"/>
    <cellStyle name="Normal 5 2 3 4 2 2 3 4" xfId="5843" xr:uid="{00000000-0005-0000-0000-0000B8580000}"/>
    <cellStyle name="Normal 5 2 3 4 2 2 3 4 2" xfId="22507" xr:uid="{00000000-0005-0000-0000-0000B9580000}"/>
    <cellStyle name="Normal 5 2 3 4 2 2 3 5" xfId="19592" xr:uid="{00000000-0005-0000-0000-0000BA580000}"/>
    <cellStyle name="Normal 5 2 3 4 2 2 4" xfId="7573" xr:uid="{00000000-0005-0000-0000-0000BB580000}"/>
    <cellStyle name="Normal 5 2 3 4 2 2 4 2" xfId="14836" xr:uid="{00000000-0005-0000-0000-0000BC580000}"/>
    <cellStyle name="Normal 5 2 3 4 2 2 4 2 2" xfId="31151" xr:uid="{00000000-0005-0000-0000-0000BD580000}"/>
    <cellStyle name="Normal 5 2 3 4 2 2 4 3" xfId="24186" xr:uid="{00000000-0005-0000-0000-0000BE580000}"/>
    <cellStyle name="Normal 5 2 3 4 2 2 5" xfId="10888" xr:uid="{00000000-0005-0000-0000-0000BF580000}"/>
    <cellStyle name="Normal 5 2 3 4 2 2 5 2" xfId="27486" xr:uid="{00000000-0005-0000-0000-0000C0580000}"/>
    <cellStyle name="Normal 5 2 3 4 2 2 6" xfId="4467" xr:uid="{00000000-0005-0000-0000-0000C1580000}"/>
    <cellStyle name="Normal 5 2 3 4 2 2 6 2" xfId="21190" xr:uid="{00000000-0005-0000-0000-0000C2580000}"/>
    <cellStyle name="Normal 5 2 3 4 2 2 7" xfId="18460" xr:uid="{00000000-0005-0000-0000-0000C3580000}"/>
    <cellStyle name="Normal 5 2 3 4 2 3" xfId="2867" xr:uid="{00000000-0005-0000-0000-0000C4580000}"/>
    <cellStyle name="Normal 5 2 3 4 2 3 2" xfId="6249" xr:uid="{00000000-0005-0000-0000-0000C5580000}"/>
    <cellStyle name="Normal 5 2 3 4 2 3 2 2" xfId="9600" xr:uid="{00000000-0005-0000-0000-0000C6580000}"/>
    <cellStyle name="Normal 5 2 3 4 2 3 2 2 2" xfId="16863" xr:uid="{00000000-0005-0000-0000-0000C7580000}"/>
    <cellStyle name="Normal 5 2 3 4 2 3 2 2 2 2" xfId="33178" xr:uid="{00000000-0005-0000-0000-0000C8580000}"/>
    <cellStyle name="Normal 5 2 3 4 2 3 2 2 3" xfId="26213" xr:uid="{00000000-0005-0000-0000-0000C9580000}"/>
    <cellStyle name="Normal 5 2 3 4 2 3 2 3" xfId="12942" xr:uid="{00000000-0005-0000-0000-0000CA580000}"/>
    <cellStyle name="Normal 5 2 3 4 2 3 2 3 2" xfId="29517" xr:uid="{00000000-0005-0000-0000-0000CB580000}"/>
    <cellStyle name="Normal 5 2 3 4 2 3 2 4" xfId="22913" xr:uid="{00000000-0005-0000-0000-0000CC580000}"/>
    <cellStyle name="Normal 5 2 3 4 2 3 3" xfId="7979" xr:uid="{00000000-0005-0000-0000-0000CD580000}"/>
    <cellStyle name="Normal 5 2 3 4 2 3 3 2" xfId="15242" xr:uid="{00000000-0005-0000-0000-0000CE580000}"/>
    <cellStyle name="Normal 5 2 3 4 2 3 3 2 2" xfId="31557" xr:uid="{00000000-0005-0000-0000-0000CF580000}"/>
    <cellStyle name="Normal 5 2 3 4 2 3 3 3" xfId="24592" xr:uid="{00000000-0005-0000-0000-0000D0580000}"/>
    <cellStyle name="Normal 5 2 3 4 2 3 4" xfId="11294" xr:uid="{00000000-0005-0000-0000-0000D1580000}"/>
    <cellStyle name="Normal 5 2 3 4 2 3 4 2" xfId="27892" xr:uid="{00000000-0005-0000-0000-0000D2580000}"/>
    <cellStyle name="Normal 5 2 3 4 2 3 5" xfId="4469" xr:uid="{00000000-0005-0000-0000-0000D3580000}"/>
    <cellStyle name="Normal 5 2 3 4 2 3 5 2" xfId="21192" xr:uid="{00000000-0005-0000-0000-0000D4580000}"/>
    <cellStyle name="Normal 5 2 3 4 2 3 6" xfId="19594" xr:uid="{00000000-0005-0000-0000-0000D5580000}"/>
    <cellStyle name="Normal 5 2 3 4 2 4" xfId="2864" xr:uid="{00000000-0005-0000-0000-0000D6580000}"/>
    <cellStyle name="Normal 5 2 3 4 2 4 2" xfId="8787" xr:uid="{00000000-0005-0000-0000-0000D7580000}"/>
    <cellStyle name="Normal 5 2 3 4 2 4 2 2" xfId="16050" xr:uid="{00000000-0005-0000-0000-0000D8580000}"/>
    <cellStyle name="Normal 5 2 3 4 2 4 2 2 2" xfId="32365" xr:uid="{00000000-0005-0000-0000-0000D9580000}"/>
    <cellStyle name="Normal 5 2 3 4 2 4 2 3" xfId="25400" xr:uid="{00000000-0005-0000-0000-0000DA580000}"/>
    <cellStyle name="Normal 5 2 3 4 2 4 3" xfId="12129" xr:uid="{00000000-0005-0000-0000-0000DB580000}"/>
    <cellStyle name="Normal 5 2 3 4 2 4 3 2" xfId="28704" xr:uid="{00000000-0005-0000-0000-0000DC580000}"/>
    <cellStyle name="Normal 5 2 3 4 2 4 4" xfId="5436" xr:uid="{00000000-0005-0000-0000-0000DD580000}"/>
    <cellStyle name="Normal 5 2 3 4 2 4 4 2" xfId="22100" xr:uid="{00000000-0005-0000-0000-0000DE580000}"/>
    <cellStyle name="Normal 5 2 3 4 2 4 5" xfId="19591" xr:uid="{00000000-0005-0000-0000-0000DF580000}"/>
    <cellStyle name="Normal 5 2 3 4 2 5" xfId="7167" xr:uid="{00000000-0005-0000-0000-0000E0580000}"/>
    <cellStyle name="Normal 5 2 3 4 2 5 2" xfId="14430" xr:uid="{00000000-0005-0000-0000-0000E1580000}"/>
    <cellStyle name="Normal 5 2 3 4 2 5 2 2" xfId="30745" xr:uid="{00000000-0005-0000-0000-0000E2580000}"/>
    <cellStyle name="Normal 5 2 3 4 2 5 3" xfId="23780" xr:uid="{00000000-0005-0000-0000-0000E3580000}"/>
    <cellStyle name="Normal 5 2 3 4 2 6" xfId="10482" xr:uid="{00000000-0005-0000-0000-0000E4580000}"/>
    <cellStyle name="Normal 5 2 3 4 2 6 2" xfId="27080" xr:uid="{00000000-0005-0000-0000-0000E5580000}"/>
    <cellStyle name="Normal 5 2 3 4 2 7" xfId="4466" xr:uid="{00000000-0005-0000-0000-0000E6580000}"/>
    <cellStyle name="Normal 5 2 3 4 2 7 2" xfId="21189" xr:uid="{00000000-0005-0000-0000-0000E7580000}"/>
    <cellStyle name="Normal 5 2 3 4 2 8" xfId="17941" xr:uid="{00000000-0005-0000-0000-0000E8580000}"/>
    <cellStyle name="Normal 5 2 3 4 3" xfId="958" xr:uid="{00000000-0005-0000-0000-0000E9580000}"/>
    <cellStyle name="Normal 5 2 3 4 3 2" xfId="1520" xr:uid="{00000000-0005-0000-0000-0000EA580000}"/>
    <cellStyle name="Normal 5 2 3 4 3 2 2" xfId="2869" xr:uid="{00000000-0005-0000-0000-0000EB580000}"/>
    <cellStyle name="Normal 5 2 3 4 3 2 2 2" xfId="9794" xr:uid="{00000000-0005-0000-0000-0000EC580000}"/>
    <cellStyle name="Normal 5 2 3 4 3 2 2 2 2" xfId="17057" xr:uid="{00000000-0005-0000-0000-0000ED580000}"/>
    <cellStyle name="Normal 5 2 3 4 3 2 2 2 2 2" xfId="33372" xr:uid="{00000000-0005-0000-0000-0000EE580000}"/>
    <cellStyle name="Normal 5 2 3 4 3 2 2 2 3" xfId="26407" xr:uid="{00000000-0005-0000-0000-0000EF580000}"/>
    <cellStyle name="Normal 5 2 3 4 3 2 2 3" xfId="13136" xr:uid="{00000000-0005-0000-0000-0000F0580000}"/>
    <cellStyle name="Normal 5 2 3 4 3 2 2 3 2" xfId="29711" xr:uid="{00000000-0005-0000-0000-0000F1580000}"/>
    <cellStyle name="Normal 5 2 3 4 3 2 2 4" xfId="6443" xr:uid="{00000000-0005-0000-0000-0000F2580000}"/>
    <cellStyle name="Normal 5 2 3 4 3 2 2 4 2" xfId="23107" xr:uid="{00000000-0005-0000-0000-0000F3580000}"/>
    <cellStyle name="Normal 5 2 3 4 3 2 2 5" xfId="19596" xr:uid="{00000000-0005-0000-0000-0000F4580000}"/>
    <cellStyle name="Normal 5 2 3 4 3 2 3" xfId="8173" xr:uid="{00000000-0005-0000-0000-0000F5580000}"/>
    <cellStyle name="Normal 5 2 3 4 3 2 3 2" xfId="15436" xr:uid="{00000000-0005-0000-0000-0000F6580000}"/>
    <cellStyle name="Normal 5 2 3 4 3 2 3 2 2" xfId="31751" xr:uid="{00000000-0005-0000-0000-0000F7580000}"/>
    <cellStyle name="Normal 5 2 3 4 3 2 3 3" xfId="24786" xr:uid="{00000000-0005-0000-0000-0000F8580000}"/>
    <cellStyle name="Normal 5 2 3 4 3 2 4" xfId="11488" xr:uid="{00000000-0005-0000-0000-0000F9580000}"/>
    <cellStyle name="Normal 5 2 3 4 3 2 4 2" xfId="28086" xr:uid="{00000000-0005-0000-0000-0000FA580000}"/>
    <cellStyle name="Normal 5 2 3 4 3 2 5" xfId="4471" xr:uid="{00000000-0005-0000-0000-0000FB580000}"/>
    <cellStyle name="Normal 5 2 3 4 3 2 5 2" xfId="21194" xr:uid="{00000000-0005-0000-0000-0000FC580000}"/>
    <cellStyle name="Normal 5 2 3 4 3 2 6" xfId="18255" xr:uid="{00000000-0005-0000-0000-0000FD580000}"/>
    <cellStyle name="Normal 5 2 3 4 3 3" xfId="2868" xr:uid="{00000000-0005-0000-0000-0000FE580000}"/>
    <cellStyle name="Normal 5 2 3 4 3 3 2" xfId="8982" xr:uid="{00000000-0005-0000-0000-0000FF580000}"/>
    <cellStyle name="Normal 5 2 3 4 3 3 2 2" xfId="16245" xr:uid="{00000000-0005-0000-0000-000000590000}"/>
    <cellStyle name="Normal 5 2 3 4 3 3 2 2 2" xfId="32560" xr:uid="{00000000-0005-0000-0000-000001590000}"/>
    <cellStyle name="Normal 5 2 3 4 3 3 2 3" xfId="25595" xr:uid="{00000000-0005-0000-0000-000002590000}"/>
    <cellStyle name="Normal 5 2 3 4 3 3 3" xfId="12324" xr:uid="{00000000-0005-0000-0000-000003590000}"/>
    <cellStyle name="Normal 5 2 3 4 3 3 3 2" xfId="28899" xr:uid="{00000000-0005-0000-0000-000004590000}"/>
    <cellStyle name="Normal 5 2 3 4 3 3 4" xfId="5631" xr:uid="{00000000-0005-0000-0000-000005590000}"/>
    <cellStyle name="Normal 5 2 3 4 3 3 4 2" xfId="22295" xr:uid="{00000000-0005-0000-0000-000006590000}"/>
    <cellStyle name="Normal 5 2 3 4 3 3 5" xfId="19595" xr:uid="{00000000-0005-0000-0000-000007590000}"/>
    <cellStyle name="Normal 5 2 3 4 3 4" xfId="7361" xr:uid="{00000000-0005-0000-0000-000008590000}"/>
    <cellStyle name="Normal 5 2 3 4 3 4 2" xfId="14624" xr:uid="{00000000-0005-0000-0000-000009590000}"/>
    <cellStyle name="Normal 5 2 3 4 3 4 2 2" xfId="30939" xr:uid="{00000000-0005-0000-0000-00000A590000}"/>
    <cellStyle name="Normal 5 2 3 4 3 4 3" xfId="23974" xr:uid="{00000000-0005-0000-0000-00000B590000}"/>
    <cellStyle name="Normal 5 2 3 4 3 5" xfId="10676" xr:uid="{00000000-0005-0000-0000-00000C590000}"/>
    <cellStyle name="Normal 5 2 3 4 3 5 2" xfId="27274" xr:uid="{00000000-0005-0000-0000-00000D590000}"/>
    <cellStyle name="Normal 5 2 3 4 3 6" xfId="4470" xr:uid="{00000000-0005-0000-0000-00000E590000}"/>
    <cellStyle name="Normal 5 2 3 4 3 6 2" xfId="21193" xr:uid="{00000000-0005-0000-0000-00000F590000}"/>
    <cellStyle name="Normal 5 2 3 4 3 7" xfId="17736" xr:uid="{00000000-0005-0000-0000-000010590000}"/>
    <cellStyle name="Normal 5 2 3 4 4" xfId="746" xr:uid="{00000000-0005-0000-0000-000011590000}"/>
    <cellStyle name="Normal 5 2 3 4 4 2" xfId="2870" xr:uid="{00000000-0005-0000-0000-000012590000}"/>
    <cellStyle name="Normal 5 2 3 4 4 2 2" xfId="9388" xr:uid="{00000000-0005-0000-0000-000013590000}"/>
    <cellStyle name="Normal 5 2 3 4 4 2 2 2" xfId="16651" xr:uid="{00000000-0005-0000-0000-000014590000}"/>
    <cellStyle name="Normal 5 2 3 4 4 2 2 2 2" xfId="32966" xr:uid="{00000000-0005-0000-0000-000015590000}"/>
    <cellStyle name="Normal 5 2 3 4 4 2 2 3" xfId="26001" xr:uid="{00000000-0005-0000-0000-000016590000}"/>
    <cellStyle name="Normal 5 2 3 4 4 2 3" xfId="12730" xr:uid="{00000000-0005-0000-0000-000017590000}"/>
    <cellStyle name="Normal 5 2 3 4 4 2 3 2" xfId="29305" xr:uid="{00000000-0005-0000-0000-000018590000}"/>
    <cellStyle name="Normal 5 2 3 4 4 2 4" xfId="6037" xr:uid="{00000000-0005-0000-0000-000019590000}"/>
    <cellStyle name="Normal 5 2 3 4 4 2 4 2" xfId="22701" xr:uid="{00000000-0005-0000-0000-00001A590000}"/>
    <cellStyle name="Normal 5 2 3 4 4 2 5" xfId="19597" xr:uid="{00000000-0005-0000-0000-00001B590000}"/>
    <cellStyle name="Normal 5 2 3 4 4 3" xfId="7767" xr:uid="{00000000-0005-0000-0000-00001C590000}"/>
    <cellStyle name="Normal 5 2 3 4 4 3 2" xfId="15030" xr:uid="{00000000-0005-0000-0000-00001D590000}"/>
    <cellStyle name="Normal 5 2 3 4 4 3 2 2" xfId="31345" xr:uid="{00000000-0005-0000-0000-00001E590000}"/>
    <cellStyle name="Normal 5 2 3 4 4 3 3" xfId="24380" xr:uid="{00000000-0005-0000-0000-00001F590000}"/>
    <cellStyle name="Normal 5 2 3 4 4 4" xfId="11082" xr:uid="{00000000-0005-0000-0000-000020590000}"/>
    <cellStyle name="Normal 5 2 3 4 4 4 2" xfId="27680" xr:uid="{00000000-0005-0000-0000-000021590000}"/>
    <cellStyle name="Normal 5 2 3 4 4 5" xfId="4472" xr:uid="{00000000-0005-0000-0000-000022590000}"/>
    <cellStyle name="Normal 5 2 3 4 4 5 2" xfId="21195" xr:uid="{00000000-0005-0000-0000-000023590000}"/>
    <cellStyle name="Normal 5 2 3 4 4 6" xfId="17559" xr:uid="{00000000-0005-0000-0000-000024590000}"/>
    <cellStyle name="Normal 5 2 3 4 5" xfId="1343" xr:uid="{00000000-0005-0000-0000-000025590000}"/>
    <cellStyle name="Normal 5 2 3 4 5 2" xfId="8581" xr:uid="{00000000-0005-0000-0000-000026590000}"/>
    <cellStyle name="Normal 5 2 3 4 5 2 2" xfId="15844" xr:uid="{00000000-0005-0000-0000-000027590000}"/>
    <cellStyle name="Normal 5 2 3 4 5 2 2 2" xfId="32159" xr:uid="{00000000-0005-0000-0000-000028590000}"/>
    <cellStyle name="Normal 5 2 3 4 5 2 3" xfId="25194" xr:uid="{00000000-0005-0000-0000-000029590000}"/>
    <cellStyle name="Normal 5 2 3 4 5 3" xfId="11923" xr:uid="{00000000-0005-0000-0000-00002A590000}"/>
    <cellStyle name="Normal 5 2 3 4 5 3 2" xfId="28498" xr:uid="{00000000-0005-0000-0000-00002B590000}"/>
    <cellStyle name="Normal 5 2 3 4 5 4" xfId="5230" xr:uid="{00000000-0005-0000-0000-00002C590000}"/>
    <cellStyle name="Normal 5 2 3 4 5 4 2" xfId="21894" xr:uid="{00000000-0005-0000-0000-00002D590000}"/>
    <cellStyle name="Normal 5 2 3 4 5 5" xfId="18078" xr:uid="{00000000-0005-0000-0000-00002E590000}"/>
    <cellStyle name="Normal 5 2 3 4 6" xfId="2863" xr:uid="{00000000-0005-0000-0000-00002F590000}"/>
    <cellStyle name="Normal 5 2 3 4 6 2" xfId="14225" xr:uid="{00000000-0005-0000-0000-000030590000}"/>
    <cellStyle name="Normal 5 2 3 4 6 2 2" xfId="30540" xr:uid="{00000000-0005-0000-0000-000031590000}"/>
    <cellStyle name="Normal 5 2 3 4 6 3" xfId="6962" xr:uid="{00000000-0005-0000-0000-000032590000}"/>
    <cellStyle name="Normal 5 2 3 4 6 3 2" xfId="23575" xr:uid="{00000000-0005-0000-0000-000033590000}"/>
    <cellStyle name="Normal 5 2 3 4 6 4" xfId="19590" xr:uid="{00000000-0005-0000-0000-000034590000}"/>
    <cellStyle name="Normal 5 2 3 4 7" xfId="10276" xr:uid="{00000000-0005-0000-0000-000035590000}"/>
    <cellStyle name="Normal 5 2 3 4 7 2" xfId="26875" xr:uid="{00000000-0005-0000-0000-000036590000}"/>
    <cellStyle name="Normal 5 2 3 4 8" xfId="4465" xr:uid="{00000000-0005-0000-0000-000037590000}"/>
    <cellStyle name="Normal 5 2 3 4 8 2" xfId="21188" xr:uid="{00000000-0005-0000-0000-000038590000}"/>
    <cellStyle name="Normal 5 2 3 4 9" xfId="17454" xr:uid="{00000000-0005-0000-0000-000039590000}"/>
    <cellStyle name="Normal 5 2 3 5" xfId="1197" xr:uid="{00000000-0005-0000-0000-00003A590000}"/>
    <cellStyle name="Normal 5 2 3 5 2" xfId="1718" xr:uid="{00000000-0005-0000-0000-00003B590000}"/>
    <cellStyle name="Normal 5 2 3 5 2 2" xfId="2873" xr:uid="{00000000-0005-0000-0000-00003C590000}"/>
    <cellStyle name="Normal 5 2 3 5 2 2 2" xfId="6612" xr:uid="{00000000-0005-0000-0000-00003D590000}"/>
    <cellStyle name="Normal 5 2 3 5 2 2 2 2" xfId="9963" xr:uid="{00000000-0005-0000-0000-00003E590000}"/>
    <cellStyle name="Normal 5 2 3 5 2 2 2 2 2" xfId="17226" xr:uid="{00000000-0005-0000-0000-00003F590000}"/>
    <cellStyle name="Normal 5 2 3 5 2 2 2 2 2 2" xfId="33541" xr:uid="{00000000-0005-0000-0000-000040590000}"/>
    <cellStyle name="Normal 5 2 3 5 2 2 2 2 3" xfId="26576" xr:uid="{00000000-0005-0000-0000-000041590000}"/>
    <cellStyle name="Normal 5 2 3 5 2 2 2 3" xfId="13305" xr:uid="{00000000-0005-0000-0000-000042590000}"/>
    <cellStyle name="Normal 5 2 3 5 2 2 2 3 2" xfId="29880" xr:uid="{00000000-0005-0000-0000-000043590000}"/>
    <cellStyle name="Normal 5 2 3 5 2 2 2 4" xfId="23276" xr:uid="{00000000-0005-0000-0000-000044590000}"/>
    <cellStyle name="Normal 5 2 3 5 2 2 3" xfId="8342" xr:uid="{00000000-0005-0000-0000-000045590000}"/>
    <cellStyle name="Normal 5 2 3 5 2 2 3 2" xfId="15605" xr:uid="{00000000-0005-0000-0000-000046590000}"/>
    <cellStyle name="Normal 5 2 3 5 2 2 3 2 2" xfId="31920" xr:uid="{00000000-0005-0000-0000-000047590000}"/>
    <cellStyle name="Normal 5 2 3 5 2 2 3 3" xfId="24955" xr:uid="{00000000-0005-0000-0000-000048590000}"/>
    <cellStyle name="Normal 5 2 3 5 2 2 4" xfId="11657" xr:uid="{00000000-0005-0000-0000-000049590000}"/>
    <cellStyle name="Normal 5 2 3 5 2 2 4 2" xfId="28255" xr:uid="{00000000-0005-0000-0000-00004A590000}"/>
    <cellStyle name="Normal 5 2 3 5 2 2 5" xfId="4475" xr:uid="{00000000-0005-0000-0000-00004B590000}"/>
    <cellStyle name="Normal 5 2 3 5 2 2 5 2" xfId="21198" xr:uid="{00000000-0005-0000-0000-00004C590000}"/>
    <cellStyle name="Normal 5 2 3 5 2 2 6" xfId="19600" xr:uid="{00000000-0005-0000-0000-00004D590000}"/>
    <cellStyle name="Normal 5 2 3 5 2 3" xfId="2872" xr:uid="{00000000-0005-0000-0000-00004E590000}"/>
    <cellStyle name="Normal 5 2 3 5 2 3 2" xfId="9187" xr:uid="{00000000-0005-0000-0000-00004F590000}"/>
    <cellStyle name="Normal 5 2 3 5 2 3 2 2" xfId="16450" xr:uid="{00000000-0005-0000-0000-000050590000}"/>
    <cellStyle name="Normal 5 2 3 5 2 3 2 2 2" xfId="32765" xr:uid="{00000000-0005-0000-0000-000051590000}"/>
    <cellStyle name="Normal 5 2 3 5 2 3 2 3" xfId="25800" xr:uid="{00000000-0005-0000-0000-000052590000}"/>
    <cellStyle name="Normal 5 2 3 5 2 3 3" xfId="12529" xr:uid="{00000000-0005-0000-0000-000053590000}"/>
    <cellStyle name="Normal 5 2 3 5 2 3 3 2" xfId="29104" xr:uid="{00000000-0005-0000-0000-000054590000}"/>
    <cellStyle name="Normal 5 2 3 5 2 3 4" xfId="5836" xr:uid="{00000000-0005-0000-0000-000055590000}"/>
    <cellStyle name="Normal 5 2 3 5 2 3 4 2" xfId="22500" xr:uid="{00000000-0005-0000-0000-000056590000}"/>
    <cellStyle name="Normal 5 2 3 5 2 3 5" xfId="19599" xr:uid="{00000000-0005-0000-0000-000057590000}"/>
    <cellStyle name="Normal 5 2 3 5 2 4" xfId="7566" xr:uid="{00000000-0005-0000-0000-000058590000}"/>
    <cellStyle name="Normal 5 2 3 5 2 4 2" xfId="14829" xr:uid="{00000000-0005-0000-0000-000059590000}"/>
    <cellStyle name="Normal 5 2 3 5 2 4 2 2" xfId="31144" xr:uid="{00000000-0005-0000-0000-00005A590000}"/>
    <cellStyle name="Normal 5 2 3 5 2 4 3" xfId="24179" xr:uid="{00000000-0005-0000-0000-00005B590000}"/>
    <cellStyle name="Normal 5 2 3 5 2 5" xfId="10881" xr:uid="{00000000-0005-0000-0000-00005C590000}"/>
    <cellStyle name="Normal 5 2 3 5 2 5 2" xfId="27479" xr:uid="{00000000-0005-0000-0000-00005D590000}"/>
    <cellStyle name="Normal 5 2 3 5 2 6" xfId="4474" xr:uid="{00000000-0005-0000-0000-00005E590000}"/>
    <cellStyle name="Normal 5 2 3 5 2 6 2" xfId="21197" xr:uid="{00000000-0005-0000-0000-00005F590000}"/>
    <cellStyle name="Normal 5 2 3 5 2 7" xfId="18453" xr:uid="{00000000-0005-0000-0000-000060590000}"/>
    <cellStyle name="Normal 5 2 3 5 3" xfId="2874" xr:uid="{00000000-0005-0000-0000-000061590000}"/>
    <cellStyle name="Normal 5 2 3 5 3 2" xfId="6242" xr:uid="{00000000-0005-0000-0000-000062590000}"/>
    <cellStyle name="Normal 5 2 3 5 3 2 2" xfId="9593" xr:uid="{00000000-0005-0000-0000-000063590000}"/>
    <cellStyle name="Normal 5 2 3 5 3 2 2 2" xfId="16856" xr:uid="{00000000-0005-0000-0000-000064590000}"/>
    <cellStyle name="Normal 5 2 3 5 3 2 2 2 2" xfId="33171" xr:uid="{00000000-0005-0000-0000-000065590000}"/>
    <cellStyle name="Normal 5 2 3 5 3 2 2 3" xfId="26206" xr:uid="{00000000-0005-0000-0000-000066590000}"/>
    <cellStyle name="Normal 5 2 3 5 3 2 3" xfId="12935" xr:uid="{00000000-0005-0000-0000-000067590000}"/>
    <cellStyle name="Normal 5 2 3 5 3 2 3 2" xfId="29510" xr:uid="{00000000-0005-0000-0000-000068590000}"/>
    <cellStyle name="Normal 5 2 3 5 3 2 4" xfId="22906" xr:uid="{00000000-0005-0000-0000-000069590000}"/>
    <cellStyle name="Normal 5 2 3 5 3 3" xfId="7972" xr:uid="{00000000-0005-0000-0000-00006A590000}"/>
    <cellStyle name="Normal 5 2 3 5 3 3 2" xfId="15235" xr:uid="{00000000-0005-0000-0000-00006B590000}"/>
    <cellStyle name="Normal 5 2 3 5 3 3 2 2" xfId="31550" xr:uid="{00000000-0005-0000-0000-00006C590000}"/>
    <cellStyle name="Normal 5 2 3 5 3 3 3" xfId="24585" xr:uid="{00000000-0005-0000-0000-00006D590000}"/>
    <cellStyle name="Normal 5 2 3 5 3 4" xfId="11287" xr:uid="{00000000-0005-0000-0000-00006E590000}"/>
    <cellStyle name="Normal 5 2 3 5 3 4 2" xfId="27885" xr:uid="{00000000-0005-0000-0000-00006F590000}"/>
    <cellStyle name="Normal 5 2 3 5 3 5" xfId="4476" xr:uid="{00000000-0005-0000-0000-000070590000}"/>
    <cellStyle name="Normal 5 2 3 5 3 5 2" xfId="21199" xr:uid="{00000000-0005-0000-0000-000071590000}"/>
    <cellStyle name="Normal 5 2 3 5 3 6" xfId="19601" xr:uid="{00000000-0005-0000-0000-000072590000}"/>
    <cellStyle name="Normal 5 2 3 5 4" xfId="2871" xr:uid="{00000000-0005-0000-0000-000073590000}"/>
    <cellStyle name="Normal 5 2 3 5 4 2" xfId="8780" xr:uid="{00000000-0005-0000-0000-000074590000}"/>
    <cellStyle name="Normal 5 2 3 5 4 2 2" xfId="16043" xr:uid="{00000000-0005-0000-0000-000075590000}"/>
    <cellStyle name="Normal 5 2 3 5 4 2 2 2" xfId="32358" xr:uid="{00000000-0005-0000-0000-000076590000}"/>
    <cellStyle name="Normal 5 2 3 5 4 2 3" xfId="25393" xr:uid="{00000000-0005-0000-0000-000077590000}"/>
    <cellStyle name="Normal 5 2 3 5 4 3" xfId="12122" xr:uid="{00000000-0005-0000-0000-000078590000}"/>
    <cellStyle name="Normal 5 2 3 5 4 3 2" xfId="28697" xr:uid="{00000000-0005-0000-0000-000079590000}"/>
    <cellStyle name="Normal 5 2 3 5 4 4" xfId="5429" xr:uid="{00000000-0005-0000-0000-00007A590000}"/>
    <cellStyle name="Normal 5 2 3 5 4 4 2" xfId="22093" xr:uid="{00000000-0005-0000-0000-00007B590000}"/>
    <cellStyle name="Normal 5 2 3 5 4 5" xfId="19598" xr:uid="{00000000-0005-0000-0000-00007C590000}"/>
    <cellStyle name="Normal 5 2 3 5 5" xfId="7160" xr:uid="{00000000-0005-0000-0000-00007D590000}"/>
    <cellStyle name="Normal 5 2 3 5 5 2" xfId="14423" xr:uid="{00000000-0005-0000-0000-00007E590000}"/>
    <cellStyle name="Normal 5 2 3 5 5 2 2" xfId="30738" xr:uid="{00000000-0005-0000-0000-00007F590000}"/>
    <cellStyle name="Normal 5 2 3 5 5 3" xfId="23773" xr:uid="{00000000-0005-0000-0000-000080590000}"/>
    <cellStyle name="Normal 5 2 3 5 6" xfId="10475" xr:uid="{00000000-0005-0000-0000-000081590000}"/>
    <cellStyle name="Normal 5 2 3 5 6 2" xfId="27073" xr:uid="{00000000-0005-0000-0000-000082590000}"/>
    <cellStyle name="Normal 5 2 3 5 7" xfId="4473" xr:uid="{00000000-0005-0000-0000-000083590000}"/>
    <cellStyle name="Normal 5 2 3 5 7 2" xfId="21196" xr:uid="{00000000-0005-0000-0000-000084590000}"/>
    <cellStyle name="Normal 5 2 3 5 8" xfId="17934" xr:uid="{00000000-0005-0000-0000-000085590000}"/>
    <cellStyle name="Normal 5 2 3 6" xfId="857" xr:uid="{00000000-0005-0000-0000-000086590000}"/>
    <cellStyle name="Normal 5 2 3 6 2" xfId="1426" xr:uid="{00000000-0005-0000-0000-000087590000}"/>
    <cellStyle name="Normal 5 2 3 6 2 2" xfId="2876" xr:uid="{00000000-0005-0000-0000-000088590000}"/>
    <cellStyle name="Normal 5 2 3 6 2 2 2" xfId="9787" xr:uid="{00000000-0005-0000-0000-000089590000}"/>
    <cellStyle name="Normal 5 2 3 6 2 2 2 2" xfId="17050" xr:uid="{00000000-0005-0000-0000-00008A590000}"/>
    <cellStyle name="Normal 5 2 3 6 2 2 2 2 2" xfId="33365" xr:uid="{00000000-0005-0000-0000-00008B590000}"/>
    <cellStyle name="Normal 5 2 3 6 2 2 2 3" xfId="26400" xr:uid="{00000000-0005-0000-0000-00008C590000}"/>
    <cellStyle name="Normal 5 2 3 6 2 2 3" xfId="13129" xr:uid="{00000000-0005-0000-0000-00008D590000}"/>
    <cellStyle name="Normal 5 2 3 6 2 2 3 2" xfId="29704" xr:uid="{00000000-0005-0000-0000-00008E590000}"/>
    <cellStyle name="Normal 5 2 3 6 2 2 4" xfId="6436" xr:uid="{00000000-0005-0000-0000-00008F590000}"/>
    <cellStyle name="Normal 5 2 3 6 2 2 4 2" xfId="23100" xr:uid="{00000000-0005-0000-0000-000090590000}"/>
    <cellStyle name="Normal 5 2 3 6 2 2 5" xfId="19603" xr:uid="{00000000-0005-0000-0000-000091590000}"/>
    <cellStyle name="Normal 5 2 3 6 2 3" xfId="8166" xr:uid="{00000000-0005-0000-0000-000092590000}"/>
    <cellStyle name="Normal 5 2 3 6 2 3 2" xfId="15429" xr:uid="{00000000-0005-0000-0000-000093590000}"/>
    <cellStyle name="Normal 5 2 3 6 2 3 2 2" xfId="31744" xr:uid="{00000000-0005-0000-0000-000094590000}"/>
    <cellStyle name="Normal 5 2 3 6 2 3 3" xfId="24779" xr:uid="{00000000-0005-0000-0000-000095590000}"/>
    <cellStyle name="Normal 5 2 3 6 2 4" xfId="11481" xr:uid="{00000000-0005-0000-0000-000096590000}"/>
    <cellStyle name="Normal 5 2 3 6 2 4 2" xfId="28079" xr:uid="{00000000-0005-0000-0000-000097590000}"/>
    <cellStyle name="Normal 5 2 3 6 2 5" xfId="4478" xr:uid="{00000000-0005-0000-0000-000098590000}"/>
    <cellStyle name="Normal 5 2 3 6 2 5 2" xfId="21201" xr:uid="{00000000-0005-0000-0000-000099590000}"/>
    <cellStyle name="Normal 5 2 3 6 2 6" xfId="18161" xr:uid="{00000000-0005-0000-0000-00009A590000}"/>
    <cellStyle name="Normal 5 2 3 6 3" xfId="2875" xr:uid="{00000000-0005-0000-0000-00009B590000}"/>
    <cellStyle name="Normal 5 2 3 6 3 2" xfId="8975" xr:uid="{00000000-0005-0000-0000-00009C590000}"/>
    <cellStyle name="Normal 5 2 3 6 3 2 2" xfId="16238" xr:uid="{00000000-0005-0000-0000-00009D590000}"/>
    <cellStyle name="Normal 5 2 3 6 3 2 2 2" xfId="32553" xr:uid="{00000000-0005-0000-0000-00009E590000}"/>
    <cellStyle name="Normal 5 2 3 6 3 2 3" xfId="25588" xr:uid="{00000000-0005-0000-0000-00009F590000}"/>
    <cellStyle name="Normal 5 2 3 6 3 3" xfId="12317" xr:uid="{00000000-0005-0000-0000-0000A0590000}"/>
    <cellStyle name="Normal 5 2 3 6 3 3 2" xfId="28892" xr:uid="{00000000-0005-0000-0000-0000A1590000}"/>
    <cellStyle name="Normal 5 2 3 6 3 4" xfId="5624" xr:uid="{00000000-0005-0000-0000-0000A2590000}"/>
    <cellStyle name="Normal 5 2 3 6 3 4 2" xfId="22288" xr:uid="{00000000-0005-0000-0000-0000A3590000}"/>
    <cellStyle name="Normal 5 2 3 6 3 5" xfId="19602" xr:uid="{00000000-0005-0000-0000-0000A4590000}"/>
    <cellStyle name="Normal 5 2 3 6 4" xfId="7354" xr:uid="{00000000-0005-0000-0000-0000A5590000}"/>
    <cellStyle name="Normal 5 2 3 6 4 2" xfId="14617" xr:uid="{00000000-0005-0000-0000-0000A6590000}"/>
    <cellStyle name="Normal 5 2 3 6 4 2 2" xfId="30932" xr:uid="{00000000-0005-0000-0000-0000A7590000}"/>
    <cellStyle name="Normal 5 2 3 6 4 3" xfId="23967" xr:uid="{00000000-0005-0000-0000-0000A8590000}"/>
    <cellStyle name="Normal 5 2 3 6 5" xfId="10669" xr:uid="{00000000-0005-0000-0000-0000A9590000}"/>
    <cellStyle name="Normal 5 2 3 6 5 2" xfId="27267" xr:uid="{00000000-0005-0000-0000-0000AA590000}"/>
    <cellStyle name="Normal 5 2 3 6 6" xfId="4477" xr:uid="{00000000-0005-0000-0000-0000AB590000}"/>
    <cellStyle name="Normal 5 2 3 6 6 2" xfId="21200" xr:uid="{00000000-0005-0000-0000-0000AC590000}"/>
    <cellStyle name="Normal 5 2 3 6 7" xfId="17642" xr:uid="{00000000-0005-0000-0000-0000AD590000}"/>
    <cellStyle name="Normal 5 2 3 7" xfId="711" xr:uid="{00000000-0005-0000-0000-0000AE590000}"/>
    <cellStyle name="Normal 5 2 3 7 2" xfId="2877" xr:uid="{00000000-0005-0000-0000-0000AF590000}"/>
    <cellStyle name="Normal 5 2 3 7 2 2" xfId="9381" xr:uid="{00000000-0005-0000-0000-0000B0590000}"/>
    <cellStyle name="Normal 5 2 3 7 2 2 2" xfId="16644" xr:uid="{00000000-0005-0000-0000-0000B1590000}"/>
    <cellStyle name="Normal 5 2 3 7 2 2 2 2" xfId="32959" xr:uid="{00000000-0005-0000-0000-0000B2590000}"/>
    <cellStyle name="Normal 5 2 3 7 2 2 3" xfId="25994" xr:uid="{00000000-0005-0000-0000-0000B3590000}"/>
    <cellStyle name="Normal 5 2 3 7 2 3" xfId="12723" xr:uid="{00000000-0005-0000-0000-0000B4590000}"/>
    <cellStyle name="Normal 5 2 3 7 2 3 2" xfId="29298" xr:uid="{00000000-0005-0000-0000-0000B5590000}"/>
    <cellStyle name="Normal 5 2 3 7 2 4" xfId="6030" xr:uid="{00000000-0005-0000-0000-0000B6590000}"/>
    <cellStyle name="Normal 5 2 3 7 2 4 2" xfId="22694" xr:uid="{00000000-0005-0000-0000-0000B7590000}"/>
    <cellStyle name="Normal 5 2 3 7 2 5" xfId="19604" xr:uid="{00000000-0005-0000-0000-0000B8590000}"/>
    <cellStyle name="Normal 5 2 3 7 3" xfId="7760" xr:uid="{00000000-0005-0000-0000-0000B9590000}"/>
    <cellStyle name="Normal 5 2 3 7 3 2" xfId="15023" xr:uid="{00000000-0005-0000-0000-0000BA590000}"/>
    <cellStyle name="Normal 5 2 3 7 3 2 2" xfId="31338" xr:uid="{00000000-0005-0000-0000-0000BB590000}"/>
    <cellStyle name="Normal 5 2 3 7 3 3" xfId="24373" xr:uid="{00000000-0005-0000-0000-0000BC590000}"/>
    <cellStyle name="Normal 5 2 3 7 4" xfId="11075" xr:uid="{00000000-0005-0000-0000-0000BD590000}"/>
    <cellStyle name="Normal 5 2 3 7 4 2" xfId="27673" xr:uid="{00000000-0005-0000-0000-0000BE590000}"/>
    <cellStyle name="Normal 5 2 3 7 5" xfId="4479" xr:uid="{00000000-0005-0000-0000-0000BF590000}"/>
    <cellStyle name="Normal 5 2 3 7 5 2" xfId="21202" xr:uid="{00000000-0005-0000-0000-0000C0590000}"/>
    <cellStyle name="Normal 5 2 3 7 6" xfId="17524" xr:uid="{00000000-0005-0000-0000-0000C1590000}"/>
    <cellStyle name="Normal 5 2 3 8" xfId="1308" xr:uid="{00000000-0005-0000-0000-0000C2590000}"/>
    <cellStyle name="Normal 5 2 3 8 2" xfId="8471" xr:uid="{00000000-0005-0000-0000-0000C3590000}"/>
    <cellStyle name="Normal 5 2 3 8 2 2" xfId="15734" xr:uid="{00000000-0005-0000-0000-0000C4590000}"/>
    <cellStyle name="Normal 5 2 3 8 2 2 2" xfId="32049" xr:uid="{00000000-0005-0000-0000-0000C5590000}"/>
    <cellStyle name="Normal 5 2 3 8 2 3" xfId="25084" xr:uid="{00000000-0005-0000-0000-0000C6590000}"/>
    <cellStyle name="Normal 5 2 3 8 3" xfId="11812" xr:uid="{00000000-0005-0000-0000-0000C7590000}"/>
    <cellStyle name="Normal 5 2 3 8 3 2" xfId="28388" xr:uid="{00000000-0005-0000-0000-0000C8590000}"/>
    <cellStyle name="Normal 5 2 3 8 4" xfId="5118" xr:uid="{00000000-0005-0000-0000-0000C9590000}"/>
    <cellStyle name="Normal 5 2 3 8 4 2" xfId="21784" xr:uid="{00000000-0005-0000-0000-0000CA590000}"/>
    <cellStyle name="Normal 5 2 3 8 5" xfId="18043" xr:uid="{00000000-0005-0000-0000-0000CB590000}"/>
    <cellStyle name="Normal 5 2 3 9" xfId="2814" xr:uid="{00000000-0005-0000-0000-0000CC590000}"/>
    <cellStyle name="Normal 5 2 3 9 2" xfId="14119" xr:uid="{00000000-0005-0000-0000-0000CD590000}"/>
    <cellStyle name="Normal 5 2 3 9 2 2" xfId="30434" xr:uid="{00000000-0005-0000-0000-0000CE590000}"/>
    <cellStyle name="Normal 5 2 3 9 3" xfId="6856" xr:uid="{00000000-0005-0000-0000-0000CF590000}"/>
    <cellStyle name="Normal 5 2 3 9 3 2" xfId="23469" xr:uid="{00000000-0005-0000-0000-0000D0590000}"/>
    <cellStyle name="Normal 5 2 3 9 4" xfId="19541" xr:uid="{00000000-0005-0000-0000-0000D1590000}"/>
    <cellStyle name="Normal 5 2 4" xfId="884" xr:uid="{00000000-0005-0000-0000-0000D2590000}"/>
    <cellStyle name="Normal 5 2 4 10" xfId="4480" xr:uid="{00000000-0005-0000-0000-0000D3590000}"/>
    <cellStyle name="Normal 5 2 4 10 2" xfId="21203" xr:uid="{00000000-0005-0000-0000-0000D4590000}"/>
    <cellStyle name="Normal 5 2 4 11" xfId="17662" xr:uid="{00000000-0005-0000-0000-0000D5590000}"/>
    <cellStyle name="Normal 5 2 4 2" xfId="937" xr:uid="{00000000-0005-0000-0000-0000D6590000}"/>
    <cellStyle name="Normal 5 2 4 2 10" xfId="17715" xr:uid="{00000000-0005-0000-0000-0000D7590000}"/>
    <cellStyle name="Normal 5 2 4 2 2" xfId="1044" xr:uid="{00000000-0005-0000-0000-0000D8590000}"/>
    <cellStyle name="Normal 5 2 4 2 2 2" xfId="1207" xr:uid="{00000000-0005-0000-0000-0000D9590000}"/>
    <cellStyle name="Normal 5 2 4 2 2 2 2" xfId="1728" xr:uid="{00000000-0005-0000-0000-0000DA590000}"/>
    <cellStyle name="Normal 5 2 4 2 2 2 2 2" xfId="2883" xr:uid="{00000000-0005-0000-0000-0000DB590000}"/>
    <cellStyle name="Normal 5 2 4 2 2 2 2 2 2" xfId="6622" xr:uid="{00000000-0005-0000-0000-0000DC590000}"/>
    <cellStyle name="Normal 5 2 4 2 2 2 2 2 2 2" xfId="9973" xr:uid="{00000000-0005-0000-0000-0000DD590000}"/>
    <cellStyle name="Normal 5 2 4 2 2 2 2 2 2 2 2" xfId="17236" xr:uid="{00000000-0005-0000-0000-0000DE590000}"/>
    <cellStyle name="Normal 5 2 4 2 2 2 2 2 2 2 2 2" xfId="33551" xr:uid="{00000000-0005-0000-0000-0000DF590000}"/>
    <cellStyle name="Normal 5 2 4 2 2 2 2 2 2 2 3" xfId="26586" xr:uid="{00000000-0005-0000-0000-0000E0590000}"/>
    <cellStyle name="Normal 5 2 4 2 2 2 2 2 2 3" xfId="13315" xr:uid="{00000000-0005-0000-0000-0000E1590000}"/>
    <cellStyle name="Normal 5 2 4 2 2 2 2 2 2 3 2" xfId="29890" xr:uid="{00000000-0005-0000-0000-0000E2590000}"/>
    <cellStyle name="Normal 5 2 4 2 2 2 2 2 2 4" xfId="23286" xr:uid="{00000000-0005-0000-0000-0000E3590000}"/>
    <cellStyle name="Normal 5 2 4 2 2 2 2 2 3" xfId="8352" xr:uid="{00000000-0005-0000-0000-0000E4590000}"/>
    <cellStyle name="Normal 5 2 4 2 2 2 2 2 3 2" xfId="15615" xr:uid="{00000000-0005-0000-0000-0000E5590000}"/>
    <cellStyle name="Normal 5 2 4 2 2 2 2 2 3 2 2" xfId="31930" xr:uid="{00000000-0005-0000-0000-0000E6590000}"/>
    <cellStyle name="Normal 5 2 4 2 2 2 2 2 3 3" xfId="24965" xr:uid="{00000000-0005-0000-0000-0000E7590000}"/>
    <cellStyle name="Normal 5 2 4 2 2 2 2 2 4" xfId="11667" xr:uid="{00000000-0005-0000-0000-0000E8590000}"/>
    <cellStyle name="Normal 5 2 4 2 2 2 2 2 4 2" xfId="28265" xr:uid="{00000000-0005-0000-0000-0000E9590000}"/>
    <cellStyle name="Normal 5 2 4 2 2 2 2 2 5" xfId="4485" xr:uid="{00000000-0005-0000-0000-0000EA590000}"/>
    <cellStyle name="Normal 5 2 4 2 2 2 2 2 5 2" xfId="21208" xr:uid="{00000000-0005-0000-0000-0000EB590000}"/>
    <cellStyle name="Normal 5 2 4 2 2 2 2 2 6" xfId="19610" xr:uid="{00000000-0005-0000-0000-0000EC590000}"/>
    <cellStyle name="Normal 5 2 4 2 2 2 2 3" xfId="2882" xr:uid="{00000000-0005-0000-0000-0000ED590000}"/>
    <cellStyle name="Normal 5 2 4 2 2 2 2 3 2" xfId="9197" xr:uid="{00000000-0005-0000-0000-0000EE590000}"/>
    <cellStyle name="Normal 5 2 4 2 2 2 2 3 2 2" xfId="16460" xr:uid="{00000000-0005-0000-0000-0000EF590000}"/>
    <cellStyle name="Normal 5 2 4 2 2 2 2 3 2 2 2" xfId="32775" xr:uid="{00000000-0005-0000-0000-0000F0590000}"/>
    <cellStyle name="Normal 5 2 4 2 2 2 2 3 2 3" xfId="25810" xr:uid="{00000000-0005-0000-0000-0000F1590000}"/>
    <cellStyle name="Normal 5 2 4 2 2 2 2 3 3" xfId="12539" xr:uid="{00000000-0005-0000-0000-0000F2590000}"/>
    <cellStyle name="Normal 5 2 4 2 2 2 2 3 3 2" xfId="29114" xr:uid="{00000000-0005-0000-0000-0000F3590000}"/>
    <cellStyle name="Normal 5 2 4 2 2 2 2 3 4" xfId="5846" xr:uid="{00000000-0005-0000-0000-0000F4590000}"/>
    <cellStyle name="Normal 5 2 4 2 2 2 2 3 4 2" xfId="22510" xr:uid="{00000000-0005-0000-0000-0000F5590000}"/>
    <cellStyle name="Normal 5 2 4 2 2 2 2 3 5" xfId="19609" xr:uid="{00000000-0005-0000-0000-0000F6590000}"/>
    <cellStyle name="Normal 5 2 4 2 2 2 2 4" xfId="7576" xr:uid="{00000000-0005-0000-0000-0000F7590000}"/>
    <cellStyle name="Normal 5 2 4 2 2 2 2 4 2" xfId="14839" xr:uid="{00000000-0005-0000-0000-0000F8590000}"/>
    <cellStyle name="Normal 5 2 4 2 2 2 2 4 2 2" xfId="31154" xr:uid="{00000000-0005-0000-0000-0000F9590000}"/>
    <cellStyle name="Normal 5 2 4 2 2 2 2 4 3" xfId="24189" xr:uid="{00000000-0005-0000-0000-0000FA590000}"/>
    <cellStyle name="Normal 5 2 4 2 2 2 2 5" xfId="10891" xr:uid="{00000000-0005-0000-0000-0000FB590000}"/>
    <cellStyle name="Normal 5 2 4 2 2 2 2 5 2" xfId="27489" xr:uid="{00000000-0005-0000-0000-0000FC590000}"/>
    <cellStyle name="Normal 5 2 4 2 2 2 2 6" xfId="4484" xr:uid="{00000000-0005-0000-0000-0000FD590000}"/>
    <cellStyle name="Normal 5 2 4 2 2 2 2 6 2" xfId="21207" xr:uid="{00000000-0005-0000-0000-0000FE590000}"/>
    <cellStyle name="Normal 5 2 4 2 2 2 2 7" xfId="18463" xr:uid="{00000000-0005-0000-0000-0000FF590000}"/>
    <cellStyle name="Normal 5 2 4 2 2 2 3" xfId="2884" xr:uid="{00000000-0005-0000-0000-0000005A0000}"/>
    <cellStyle name="Normal 5 2 4 2 2 2 3 2" xfId="6252" xr:uid="{00000000-0005-0000-0000-0000015A0000}"/>
    <cellStyle name="Normal 5 2 4 2 2 2 3 2 2" xfId="9603" xr:uid="{00000000-0005-0000-0000-0000025A0000}"/>
    <cellStyle name="Normal 5 2 4 2 2 2 3 2 2 2" xfId="16866" xr:uid="{00000000-0005-0000-0000-0000035A0000}"/>
    <cellStyle name="Normal 5 2 4 2 2 2 3 2 2 2 2" xfId="33181" xr:uid="{00000000-0005-0000-0000-0000045A0000}"/>
    <cellStyle name="Normal 5 2 4 2 2 2 3 2 2 3" xfId="26216" xr:uid="{00000000-0005-0000-0000-0000055A0000}"/>
    <cellStyle name="Normal 5 2 4 2 2 2 3 2 3" xfId="12945" xr:uid="{00000000-0005-0000-0000-0000065A0000}"/>
    <cellStyle name="Normal 5 2 4 2 2 2 3 2 3 2" xfId="29520" xr:uid="{00000000-0005-0000-0000-0000075A0000}"/>
    <cellStyle name="Normal 5 2 4 2 2 2 3 2 4" xfId="22916" xr:uid="{00000000-0005-0000-0000-0000085A0000}"/>
    <cellStyle name="Normal 5 2 4 2 2 2 3 3" xfId="7982" xr:uid="{00000000-0005-0000-0000-0000095A0000}"/>
    <cellStyle name="Normal 5 2 4 2 2 2 3 3 2" xfId="15245" xr:uid="{00000000-0005-0000-0000-00000A5A0000}"/>
    <cellStyle name="Normal 5 2 4 2 2 2 3 3 2 2" xfId="31560" xr:uid="{00000000-0005-0000-0000-00000B5A0000}"/>
    <cellStyle name="Normal 5 2 4 2 2 2 3 3 3" xfId="24595" xr:uid="{00000000-0005-0000-0000-00000C5A0000}"/>
    <cellStyle name="Normal 5 2 4 2 2 2 3 4" xfId="11297" xr:uid="{00000000-0005-0000-0000-00000D5A0000}"/>
    <cellStyle name="Normal 5 2 4 2 2 2 3 4 2" xfId="27895" xr:uid="{00000000-0005-0000-0000-00000E5A0000}"/>
    <cellStyle name="Normal 5 2 4 2 2 2 3 5" xfId="4486" xr:uid="{00000000-0005-0000-0000-00000F5A0000}"/>
    <cellStyle name="Normal 5 2 4 2 2 2 3 5 2" xfId="21209" xr:uid="{00000000-0005-0000-0000-0000105A0000}"/>
    <cellStyle name="Normal 5 2 4 2 2 2 3 6" xfId="19611" xr:uid="{00000000-0005-0000-0000-0000115A0000}"/>
    <cellStyle name="Normal 5 2 4 2 2 2 4" xfId="2881" xr:uid="{00000000-0005-0000-0000-0000125A0000}"/>
    <cellStyle name="Normal 5 2 4 2 2 2 4 2" xfId="8790" xr:uid="{00000000-0005-0000-0000-0000135A0000}"/>
    <cellStyle name="Normal 5 2 4 2 2 2 4 2 2" xfId="16053" xr:uid="{00000000-0005-0000-0000-0000145A0000}"/>
    <cellStyle name="Normal 5 2 4 2 2 2 4 2 2 2" xfId="32368" xr:uid="{00000000-0005-0000-0000-0000155A0000}"/>
    <cellStyle name="Normal 5 2 4 2 2 2 4 2 3" xfId="25403" xr:uid="{00000000-0005-0000-0000-0000165A0000}"/>
    <cellStyle name="Normal 5 2 4 2 2 2 4 3" xfId="12132" xr:uid="{00000000-0005-0000-0000-0000175A0000}"/>
    <cellStyle name="Normal 5 2 4 2 2 2 4 3 2" xfId="28707" xr:uid="{00000000-0005-0000-0000-0000185A0000}"/>
    <cellStyle name="Normal 5 2 4 2 2 2 4 4" xfId="5439" xr:uid="{00000000-0005-0000-0000-0000195A0000}"/>
    <cellStyle name="Normal 5 2 4 2 2 2 4 4 2" xfId="22103" xr:uid="{00000000-0005-0000-0000-00001A5A0000}"/>
    <cellStyle name="Normal 5 2 4 2 2 2 4 5" xfId="19608" xr:uid="{00000000-0005-0000-0000-00001B5A0000}"/>
    <cellStyle name="Normal 5 2 4 2 2 2 5" xfId="7170" xr:uid="{00000000-0005-0000-0000-00001C5A0000}"/>
    <cellStyle name="Normal 5 2 4 2 2 2 5 2" xfId="14433" xr:uid="{00000000-0005-0000-0000-00001D5A0000}"/>
    <cellStyle name="Normal 5 2 4 2 2 2 5 2 2" xfId="30748" xr:uid="{00000000-0005-0000-0000-00001E5A0000}"/>
    <cellStyle name="Normal 5 2 4 2 2 2 5 3" xfId="23783" xr:uid="{00000000-0005-0000-0000-00001F5A0000}"/>
    <cellStyle name="Normal 5 2 4 2 2 2 6" xfId="10485" xr:uid="{00000000-0005-0000-0000-0000205A0000}"/>
    <cellStyle name="Normal 5 2 4 2 2 2 6 2" xfId="27083" xr:uid="{00000000-0005-0000-0000-0000215A0000}"/>
    <cellStyle name="Normal 5 2 4 2 2 2 7" xfId="4483" xr:uid="{00000000-0005-0000-0000-0000225A0000}"/>
    <cellStyle name="Normal 5 2 4 2 2 2 7 2" xfId="21206" xr:uid="{00000000-0005-0000-0000-0000235A0000}"/>
    <cellStyle name="Normal 5 2 4 2 2 2 8" xfId="17944" xr:uid="{00000000-0005-0000-0000-0000245A0000}"/>
    <cellStyle name="Normal 5 2 4 2 2 3" xfId="1605" xr:uid="{00000000-0005-0000-0000-0000255A0000}"/>
    <cellStyle name="Normal 5 2 4 2 2 3 2" xfId="2886" xr:uid="{00000000-0005-0000-0000-0000265A0000}"/>
    <cellStyle name="Normal 5 2 4 2 2 3 2 2" xfId="6446" xr:uid="{00000000-0005-0000-0000-0000275A0000}"/>
    <cellStyle name="Normal 5 2 4 2 2 3 2 2 2" xfId="9797" xr:uid="{00000000-0005-0000-0000-0000285A0000}"/>
    <cellStyle name="Normal 5 2 4 2 2 3 2 2 2 2" xfId="17060" xr:uid="{00000000-0005-0000-0000-0000295A0000}"/>
    <cellStyle name="Normal 5 2 4 2 2 3 2 2 2 2 2" xfId="33375" xr:uid="{00000000-0005-0000-0000-00002A5A0000}"/>
    <cellStyle name="Normal 5 2 4 2 2 3 2 2 2 3" xfId="26410" xr:uid="{00000000-0005-0000-0000-00002B5A0000}"/>
    <cellStyle name="Normal 5 2 4 2 2 3 2 2 3" xfId="13139" xr:uid="{00000000-0005-0000-0000-00002C5A0000}"/>
    <cellStyle name="Normal 5 2 4 2 2 3 2 2 3 2" xfId="29714" xr:uid="{00000000-0005-0000-0000-00002D5A0000}"/>
    <cellStyle name="Normal 5 2 4 2 2 3 2 2 4" xfId="23110" xr:uid="{00000000-0005-0000-0000-00002E5A0000}"/>
    <cellStyle name="Normal 5 2 4 2 2 3 2 3" xfId="8176" xr:uid="{00000000-0005-0000-0000-00002F5A0000}"/>
    <cellStyle name="Normal 5 2 4 2 2 3 2 3 2" xfId="15439" xr:uid="{00000000-0005-0000-0000-0000305A0000}"/>
    <cellStyle name="Normal 5 2 4 2 2 3 2 3 2 2" xfId="31754" xr:uid="{00000000-0005-0000-0000-0000315A0000}"/>
    <cellStyle name="Normal 5 2 4 2 2 3 2 3 3" xfId="24789" xr:uid="{00000000-0005-0000-0000-0000325A0000}"/>
    <cellStyle name="Normal 5 2 4 2 2 3 2 4" xfId="11491" xr:uid="{00000000-0005-0000-0000-0000335A0000}"/>
    <cellStyle name="Normal 5 2 4 2 2 3 2 4 2" xfId="28089" xr:uid="{00000000-0005-0000-0000-0000345A0000}"/>
    <cellStyle name="Normal 5 2 4 2 2 3 2 5" xfId="4488" xr:uid="{00000000-0005-0000-0000-0000355A0000}"/>
    <cellStyle name="Normal 5 2 4 2 2 3 2 5 2" xfId="21211" xr:uid="{00000000-0005-0000-0000-0000365A0000}"/>
    <cellStyle name="Normal 5 2 4 2 2 3 2 6" xfId="19613" xr:uid="{00000000-0005-0000-0000-0000375A0000}"/>
    <cellStyle name="Normal 5 2 4 2 2 3 3" xfId="2885" xr:uid="{00000000-0005-0000-0000-0000385A0000}"/>
    <cellStyle name="Normal 5 2 4 2 2 3 3 2" xfId="8985" xr:uid="{00000000-0005-0000-0000-0000395A0000}"/>
    <cellStyle name="Normal 5 2 4 2 2 3 3 2 2" xfId="16248" xr:uid="{00000000-0005-0000-0000-00003A5A0000}"/>
    <cellStyle name="Normal 5 2 4 2 2 3 3 2 2 2" xfId="32563" xr:uid="{00000000-0005-0000-0000-00003B5A0000}"/>
    <cellStyle name="Normal 5 2 4 2 2 3 3 2 3" xfId="25598" xr:uid="{00000000-0005-0000-0000-00003C5A0000}"/>
    <cellStyle name="Normal 5 2 4 2 2 3 3 3" xfId="12327" xr:uid="{00000000-0005-0000-0000-00003D5A0000}"/>
    <cellStyle name="Normal 5 2 4 2 2 3 3 3 2" xfId="28902" xr:uid="{00000000-0005-0000-0000-00003E5A0000}"/>
    <cellStyle name="Normal 5 2 4 2 2 3 3 4" xfId="5634" xr:uid="{00000000-0005-0000-0000-00003F5A0000}"/>
    <cellStyle name="Normal 5 2 4 2 2 3 3 4 2" xfId="22298" xr:uid="{00000000-0005-0000-0000-0000405A0000}"/>
    <cellStyle name="Normal 5 2 4 2 2 3 3 5" xfId="19612" xr:uid="{00000000-0005-0000-0000-0000415A0000}"/>
    <cellStyle name="Normal 5 2 4 2 2 3 4" xfId="7364" xr:uid="{00000000-0005-0000-0000-0000425A0000}"/>
    <cellStyle name="Normal 5 2 4 2 2 3 4 2" xfId="14627" xr:uid="{00000000-0005-0000-0000-0000435A0000}"/>
    <cellStyle name="Normal 5 2 4 2 2 3 4 2 2" xfId="30942" xr:uid="{00000000-0005-0000-0000-0000445A0000}"/>
    <cellStyle name="Normal 5 2 4 2 2 3 4 3" xfId="23977" xr:uid="{00000000-0005-0000-0000-0000455A0000}"/>
    <cellStyle name="Normal 5 2 4 2 2 3 5" xfId="10679" xr:uid="{00000000-0005-0000-0000-0000465A0000}"/>
    <cellStyle name="Normal 5 2 4 2 2 3 5 2" xfId="27277" xr:uid="{00000000-0005-0000-0000-0000475A0000}"/>
    <cellStyle name="Normal 5 2 4 2 2 3 6" xfId="4487" xr:uid="{00000000-0005-0000-0000-0000485A0000}"/>
    <cellStyle name="Normal 5 2 4 2 2 3 6 2" xfId="21210" xr:uid="{00000000-0005-0000-0000-0000495A0000}"/>
    <cellStyle name="Normal 5 2 4 2 2 3 7" xfId="18340" xr:uid="{00000000-0005-0000-0000-00004A5A0000}"/>
    <cellStyle name="Normal 5 2 4 2 2 4" xfId="2887" xr:uid="{00000000-0005-0000-0000-00004B5A0000}"/>
    <cellStyle name="Normal 5 2 4 2 2 4 2" xfId="6040" xr:uid="{00000000-0005-0000-0000-00004C5A0000}"/>
    <cellStyle name="Normal 5 2 4 2 2 4 2 2" xfId="9391" xr:uid="{00000000-0005-0000-0000-00004D5A0000}"/>
    <cellStyle name="Normal 5 2 4 2 2 4 2 2 2" xfId="16654" xr:uid="{00000000-0005-0000-0000-00004E5A0000}"/>
    <cellStyle name="Normal 5 2 4 2 2 4 2 2 2 2" xfId="32969" xr:uid="{00000000-0005-0000-0000-00004F5A0000}"/>
    <cellStyle name="Normal 5 2 4 2 2 4 2 2 3" xfId="26004" xr:uid="{00000000-0005-0000-0000-0000505A0000}"/>
    <cellStyle name="Normal 5 2 4 2 2 4 2 3" xfId="12733" xr:uid="{00000000-0005-0000-0000-0000515A0000}"/>
    <cellStyle name="Normal 5 2 4 2 2 4 2 3 2" xfId="29308" xr:uid="{00000000-0005-0000-0000-0000525A0000}"/>
    <cellStyle name="Normal 5 2 4 2 2 4 2 4" xfId="22704" xr:uid="{00000000-0005-0000-0000-0000535A0000}"/>
    <cellStyle name="Normal 5 2 4 2 2 4 3" xfId="7770" xr:uid="{00000000-0005-0000-0000-0000545A0000}"/>
    <cellStyle name="Normal 5 2 4 2 2 4 3 2" xfId="15033" xr:uid="{00000000-0005-0000-0000-0000555A0000}"/>
    <cellStyle name="Normal 5 2 4 2 2 4 3 2 2" xfId="31348" xr:uid="{00000000-0005-0000-0000-0000565A0000}"/>
    <cellStyle name="Normal 5 2 4 2 2 4 3 3" xfId="24383" xr:uid="{00000000-0005-0000-0000-0000575A0000}"/>
    <cellStyle name="Normal 5 2 4 2 2 4 4" xfId="11085" xr:uid="{00000000-0005-0000-0000-0000585A0000}"/>
    <cellStyle name="Normal 5 2 4 2 2 4 4 2" xfId="27683" xr:uid="{00000000-0005-0000-0000-0000595A0000}"/>
    <cellStyle name="Normal 5 2 4 2 2 4 5" xfId="4489" xr:uid="{00000000-0005-0000-0000-00005A5A0000}"/>
    <cellStyle name="Normal 5 2 4 2 2 4 5 2" xfId="21212" xr:uid="{00000000-0005-0000-0000-00005B5A0000}"/>
    <cellStyle name="Normal 5 2 4 2 2 4 6" xfId="19614" xr:uid="{00000000-0005-0000-0000-00005C5A0000}"/>
    <cellStyle name="Normal 5 2 4 2 2 5" xfId="2880" xr:uid="{00000000-0005-0000-0000-00005D5A0000}"/>
    <cellStyle name="Normal 5 2 4 2 2 5 2" xfId="8666" xr:uid="{00000000-0005-0000-0000-00005E5A0000}"/>
    <cellStyle name="Normal 5 2 4 2 2 5 2 2" xfId="15929" xr:uid="{00000000-0005-0000-0000-00005F5A0000}"/>
    <cellStyle name="Normal 5 2 4 2 2 5 2 2 2" xfId="32244" xr:uid="{00000000-0005-0000-0000-0000605A0000}"/>
    <cellStyle name="Normal 5 2 4 2 2 5 2 3" xfId="25279" xr:uid="{00000000-0005-0000-0000-0000615A0000}"/>
    <cellStyle name="Normal 5 2 4 2 2 5 3" xfId="12008" xr:uid="{00000000-0005-0000-0000-0000625A0000}"/>
    <cellStyle name="Normal 5 2 4 2 2 5 3 2" xfId="28583" xr:uid="{00000000-0005-0000-0000-0000635A0000}"/>
    <cellStyle name="Normal 5 2 4 2 2 5 4" xfId="5315" xr:uid="{00000000-0005-0000-0000-0000645A0000}"/>
    <cellStyle name="Normal 5 2 4 2 2 5 4 2" xfId="21979" xr:uid="{00000000-0005-0000-0000-0000655A0000}"/>
    <cellStyle name="Normal 5 2 4 2 2 5 5" xfId="19607" xr:uid="{00000000-0005-0000-0000-0000665A0000}"/>
    <cellStyle name="Normal 5 2 4 2 2 6" xfId="7047" xr:uid="{00000000-0005-0000-0000-0000675A0000}"/>
    <cellStyle name="Normal 5 2 4 2 2 6 2" xfId="14310" xr:uid="{00000000-0005-0000-0000-0000685A0000}"/>
    <cellStyle name="Normal 5 2 4 2 2 6 2 2" xfId="30625" xr:uid="{00000000-0005-0000-0000-0000695A0000}"/>
    <cellStyle name="Normal 5 2 4 2 2 6 3" xfId="23660" xr:uid="{00000000-0005-0000-0000-00006A5A0000}"/>
    <cellStyle name="Normal 5 2 4 2 2 7" xfId="10361" xr:uid="{00000000-0005-0000-0000-00006B5A0000}"/>
    <cellStyle name="Normal 5 2 4 2 2 7 2" xfId="26960" xr:uid="{00000000-0005-0000-0000-00006C5A0000}"/>
    <cellStyle name="Normal 5 2 4 2 2 8" xfId="4482" xr:uid="{00000000-0005-0000-0000-00006D5A0000}"/>
    <cellStyle name="Normal 5 2 4 2 2 8 2" xfId="21205" xr:uid="{00000000-0005-0000-0000-00006E5A0000}"/>
    <cellStyle name="Normal 5 2 4 2 2 9" xfId="17821" xr:uid="{00000000-0005-0000-0000-00006F5A0000}"/>
    <cellStyle name="Normal 5 2 4 2 3" xfId="1206" xr:uid="{00000000-0005-0000-0000-0000705A0000}"/>
    <cellStyle name="Normal 5 2 4 2 3 2" xfId="1727" xr:uid="{00000000-0005-0000-0000-0000715A0000}"/>
    <cellStyle name="Normal 5 2 4 2 3 2 2" xfId="2890" xr:uid="{00000000-0005-0000-0000-0000725A0000}"/>
    <cellStyle name="Normal 5 2 4 2 3 2 2 2" xfId="6621" xr:uid="{00000000-0005-0000-0000-0000735A0000}"/>
    <cellStyle name="Normal 5 2 4 2 3 2 2 2 2" xfId="9972" xr:uid="{00000000-0005-0000-0000-0000745A0000}"/>
    <cellStyle name="Normal 5 2 4 2 3 2 2 2 2 2" xfId="17235" xr:uid="{00000000-0005-0000-0000-0000755A0000}"/>
    <cellStyle name="Normal 5 2 4 2 3 2 2 2 2 2 2" xfId="33550" xr:uid="{00000000-0005-0000-0000-0000765A0000}"/>
    <cellStyle name="Normal 5 2 4 2 3 2 2 2 2 3" xfId="26585" xr:uid="{00000000-0005-0000-0000-0000775A0000}"/>
    <cellStyle name="Normal 5 2 4 2 3 2 2 2 3" xfId="13314" xr:uid="{00000000-0005-0000-0000-0000785A0000}"/>
    <cellStyle name="Normal 5 2 4 2 3 2 2 2 3 2" xfId="29889" xr:uid="{00000000-0005-0000-0000-0000795A0000}"/>
    <cellStyle name="Normal 5 2 4 2 3 2 2 2 4" xfId="23285" xr:uid="{00000000-0005-0000-0000-00007A5A0000}"/>
    <cellStyle name="Normal 5 2 4 2 3 2 2 3" xfId="8351" xr:uid="{00000000-0005-0000-0000-00007B5A0000}"/>
    <cellStyle name="Normal 5 2 4 2 3 2 2 3 2" xfId="15614" xr:uid="{00000000-0005-0000-0000-00007C5A0000}"/>
    <cellStyle name="Normal 5 2 4 2 3 2 2 3 2 2" xfId="31929" xr:uid="{00000000-0005-0000-0000-00007D5A0000}"/>
    <cellStyle name="Normal 5 2 4 2 3 2 2 3 3" xfId="24964" xr:uid="{00000000-0005-0000-0000-00007E5A0000}"/>
    <cellStyle name="Normal 5 2 4 2 3 2 2 4" xfId="11666" xr:uid="{00000000-0005-0000-0000-00007F5A0000}"/>
    <cellStyle name="Normal 5 2 4 2 3 2 2 4 2" xfId="28264" xr:uid="{00000000-0005-0000-0000-0000805A0000}"/>
    <cellStyle name="Normal 5 2 4 2 3 2 2 5" xfId="4492" xr:uid="{00000000-0005-0000-0000-0000815A0000}"/>
    <cellStyle name="Normal 5 2 4 2 3 2 2 5 2" xfId="21215" xr:uid="{00000000-0005-0000-0000-0000825A0000}"/>
    <cellStyle name="Normal 5 2 4 2 3 2 2 6" xfId="19617" xr:uid="{00000000-0005-0000-0000-0000835A0000}"/>
    <cellStyle name="Normal 5 2 4 2 3 2 3" xfId="2889" xr:uid="{00000000-0005-0000-0000-0000845A0000}"/>
    <cellStyle name="Normal 5 2 4 2 3 2 3 2" xfId="9196" xr:uid="{00000000-0005-0000-0000-0000855A0000}"/>
    <cellStyle name="Normal 5 2 4 2 3 2 3 2 2" xfId="16459" xr:uid="{00000000-0005-0000-0000-0000865A0000}"/>
    <cellStyle name="Normal 5 2 4 2 3 2 3 2 2 2" xfId="32774" xr:uid="{00000000-0005-0000-0000-0000875A0000}"/>
    <cellStyle name="Normal 5 2 4 2 3 2 3 2 3" xfId="25809" xr:uid="{00000000-0005-0000-0000-0000885A0000}"/>
    <cellStyle name="Normal 5 2 4 2 3 2 3 3" xfId="12538" xr:uid="{00000000-0005-0000-0000-0000895A0000}"/>
    <cellStyle name="Normal 5 2 4 2 3 2 3 3 2" xfId="29113" xr:uid="{00000000-0005-0000-0000-00008A5A0000}"/>
    <cellStyle name="Normal 5 2 4 2 3 2 3 4" xfId="5845" xr:uid="{00000000-0005-0000-0000-00008B5A0000}"/>
    <cellStyle name="Normal 5 2 4 2 3 2 3 4 2" xfId="22509" xr:uid="{00000000-0005-0000-0000-00008C5A0000}"/>
    <cellStyle name="Normal 5 2 4 2 3 2 3 5" xfId="19616" xr:uid="{00000000-0005-0000-0000-00008D5A0000}"/>
    <cellStyle name="Normal 5 2 4 2 3 2 4" xfId="7575" xr:uid="{00000000-0005-0000-0000-00008E5A0000}"/>
    <cellStyle name="Normal 5 2 4 2 3 2 4 2" xfId="14838" xr:uid="{00000000-0005-0000-0000-00008F5A0000}"/>
    <cellStyle name="Normal 5 2 4 2 3 2 4 2 2" xfId="31153" xr:uid="{00000000-0005-0000-0000-0000905A0000}"/>
    <cellStyle name="Normal 5 2 4 2 3 2 4 3" xfId="24188" xr:uid="{00000000-0005-0000-0000-0000915A0000}"/>
    <cellStyle name="Normal 5 2 4 2 3 2 5" xfId="10890" xr:uid="{00000000-0005-0000-0000-0000925A0000}"/>
    <cellStyle name="Normal 5 2 4 2 3 2 5 2" xfId="27488" xr:uid="{00000000-0005-0000-0000-0000935A0000}"/>
    <cellStyle name="Normal 5 2 4 2 3 2 6" xfId="4491" xr:uid="{00000000-0005-0000-0000-0000945A0000}"/>
    <cellStyle name="Normal 5 2 4 2 3 2 6 2" xfId="21214" xr:uid="{00000000-0005-0000-0000-0000955A0000}"/>
    <cellStyle name="Normal 5 2 4 2 3 2 7" xfId="18462" xr:uid="{00000000-0005-0000-0000-0000965A0000}"/>
    <cellStyle name="Normal 5 2 4 2 3 3" xfId="2891" xr:uid="{00000000-0005-0000-0000-0000975A0000}"/>
    <cellStyle name="Normal 5 2 4 2 3 3 2" xfId="6251" xr:uid="{00000000-0005-0000-0000-0000985A0000}"/>
    <cellStyle name="Normal 5 2 4 2 3 3 2 2" xfId="9602" xr:uid="{00000000-0005-0000-0000-0000995A0000}"/>
    <cellStyle name="Normal 5 2 4 2 3 3 2 2 2" xfId="16865" xr:uid="{00000000-0005-0000-0000-00009A5A0000}"/>
    <cellStyle name="Normal 5 2 4 2 3 3 2 2 2 2" xfId="33180" xr:uid="{00000000-0005-0000-0000-00009B5A0000}"/>
    <cellStyle name="Normal 5 2 4 2 3 3 2 2 3" xfId="26215" xr:uid="{00000000-0005-0000-0000-00009C5A0000}"/>
    <cellStyle name="Normal 5 2 4 2 3 3 2 3" xfId="12944" xr:uid="{00000000-0005-0000-0000-00009D5A0000}"/>
    <cellStyle name="Normal 5 2 4 2 3 3 2 3 2" xfId="29519" xr:uid="{00000000-0005-0000-0000-00009E5A0000}"/>
    <cellStyle name="Normal 5 2 4 2 3 3 2 4" xfId="22915" xr:uid="{00000000-0005-0000-0000-00009F5A0000}"/>
    <cellStyle name="Normal 5 2 4 2 3 3 3" xfId="7981" xr:uid="{00000000-0005-0000-0000-0000A05A0000}"/>
    <cellStyle name="Normal 5 2 4 2 3 3 3 2" xfId="15244" xr:uid="{00000000-0005-0000-0000-0000A15A0000}"/>
    <cellStyle name="Normal 5 2 4 2 3 3 3 2 2" xfId="31559" xr:uid="{00000000-0005-0000-0000-0000A25A0000}"/>
    <cellStyle name="Normal 5 2 4 2 3 3 3 3" xfId="24594" xr:uid="{00000000-0005-0000-0000-0000A35A0000}"/>
    <cellStyle name="Normal 5 2 4 2 3 3 4" xfId="11296" xr:uid="{00000000-0005-0000-0000-0000A45A0000}"/>
    <cellStyle name="Normal 5 2 4 2 3 3 4 2" xfId="27894" xr:uid="{00000000-0005-0000-0000-0000A55A0000}"/>
    <cellStyle name="Normal 5 2 4 2 3 3 5" xfId="4493" xr:uid="{00000000-0005-0000-0000-0000A65A0000}"/>
    <cellStyle name="Normal 5 2 4 2 3 3 5 2" xfId="21216" xr:uid="{00000000-0005-0000-0000-0000A75A0000}"/>
    <cellStyle name="Normal 5 2 4 2 3 3 6" xfId="19618" xr:uid="{00000000-0005-0000-0000-0000A85A0000}"/>
    <cellStyle name="Normal 5 2 4 2 3 4" xfId="2888" xr:uid="{00000000-0005-0000-0000-0000A95A0000}"/>
    <cellStyle name="Normal 5 2 4 2 3 4 2" xfId="8789" xr:uid="{00000000-0005-0000-0000-0000AA5A0000}"/>
    <cellStyle name="Normal 5 2 4 2 3 4 2 2" xfId="16052" xr:uid="{00000000-0005-0000-0000-0000AB5A0000}"/>
    <cellStyle name="Normal 5 2 4 2 3 4 2 2 2" xfId="32367" xr:uid="{00000000-0005-0000-0000-0000AC5A0000}"/>
    <cellStyle name="Normal 5 2 4 2 3 4 2 3" xfId="25402" xr:uid="{00000000-0005-0000-0000-0000AD5A0000}"/>
    <cellStyle name="Normal 5 2 4 2 3 4 3" xfId="12131" xr:uid="{00000000-0005-0000-0000-0000AE5A0000}"/>
    <cellStyle name="Normal 5 2 4 2 3 4 3 2" xfId="28706" xr:uid="{00000000-0005-0000-0000-0000AF5A0000}"/>
    <cellStyle name="Normal 5 2 4 2 3 4 4" xfId="5438" xr:uid="{00000000-0005-0000-0000-0000B05A0000}"/>
    <cellStyle name="Normal 5 2 4 2 3 4 4 2" xfId="22102" xr:uid="{00000000-0005-0000-0000-0000B15A0000}"/>
    <cellStyle name="Normal 5 2 4 2 3 4 5" xfId="19615" xr:uid="{00000000-0005-0000-0000-0000B25A0000}"/>
    <cellStyle name="Normal 5 2 4 2 3 5" xfId="7169" xr:uid="{00000000-0005-0000-0000-0000B35A0000}"/>
    <cellStyle name="Normal 5 2 4 2 3 5 2" xfId="14432" xr:uid="{00000000-0005-0000-0000-0000B45A0000}"/>
    <cellStyle name="Normal 5 2 4 2 3 5 2 2" xfId="30747" xr:uid="{00000000-0005-0000-0000-0000B55A0000}"/>
    <cellStyle name="Normal 5 2 4 2 3 5 3" xfId="23782" xr:uid="{00000000-0005-0000-0000-0000B65A0000}"/>
    <cellStyle name="Normal 5 2 4 2 3 6" xfId="10484" xr:uid="{00000000-0005-0000-0000-0000B75A0000}"/>
    <cellStyle name="Normal 5 2 4 2 3 6 2" xfId="27082" xr:uid="{00000000-0005-0000-0000-0000B85A0000}"/>
    <cellStyle name="Normal 5 2 4 2 3 7" xfId="4490" xr:uid="{00000000-0005-0000-0000-0000B95A0000}"/>
    <cellStyle name="Normal 5 2 4 2 3 7 2" xfId="21213" xr:uid="{00000000-0005-0000-0000-0000BA5A0000}"/>
    <cellStyle name="Normal 5 2 4 2 3 8" xfId="17943" xr:uid="{00000000-0005-0000-0000-0000BB5A0000}"/>
    <cellStyle name="Normal 5 2 4 2 4" xfId="1499" xr:uid="{00000000-0005-0000-0000-0000BC5A0000}"/>
    <cellStyle name="Normal 5 2 4 2 4 2" xfId="2893" xr:uid="{00000000-0005-0000-0000-0000BD5A0000}"/>
    <cellStyle name="Normal 5 2 4 2 4 2 2" xfId="6445" xr:uid="{00000000-0005-0000-0000-0000BE5A0000}"/>
    <cellStyle name="Normal 5 2 4 2 4 2 2 2" xfId="9796" xr:uid="{00000000-0005-0000-0000-0000BF5A0000}"/>
    <cellStyle name="Normal 5 2 4 2 4 2 2 2 2" xfId="17059" xr:uid="{00000000-0005-0000-0000-0000C05A0000}"/>
    <cellStyle name="Normal 5 2 4 2 4 2 2 2 2 2" xfId="33374" xr:uid="{00000000-0005-0000-0000-0000C15A0000}"/>
    <cellStyle name="Normal 5 2 4 2 4 2 2 2 3" xfId="26409" xr:uid="{00000000-0005-0000-0000-0000C25A0000}"/>
    <cellStyle name="Normal 5 2 4 2 4 2 2 3" xfId="13138" xr:uid="{00000000-0005-0000-0000-0000C35A0000}"/>
    <cellStyle name="Normal 5 2 4 2 4 2 2 3 2" xfId="29713" xr:uid="{00000000-0005-0000-0000-0000C45A0000}"/>
    <cellStyle name="Normal 5 2 4 2 4 2 2 4" xfId="23109" xr:uid="{00000000-0005-0000-0000-0000C55A0000}"/>
    <cellStyle name="Normal 5 2 4 2 4 2 3" xfId="8175" xr:uid="{00000000-0005-0000-0000-0000C65A0000}"/>
    <cellStyle name="Normal 5 2 4 2 4 2 3 2" xfId="15438" xr:uid="{00000000-0005-0000-0000-0000C75A0000}"/>
    <cellStyle name="Normal 5 2 4 2 4 2 3 2 2" xfId="31753" xr:uid="{00000000-0005-0000-0000-0000C85A0000}"/>
    <cellStyle name="Normal 5 2 4 2 4 2 3 3" xfId="24788" xr:uid="{00000000-0005-0000-0000-0000C95A0000}"/>
    <cellStyle name="Normal 5 2 4 2 4 2 4" xfId="11490" xr:uid="{00000000-0005-0000-0000-0000CA5A0000}"/>
    <cellStyle name="Normal 5 2 4 2 4 2 4 2" xfId="28088" xr:uid="{00000000-0005-0000-0000-0000CB5A0000}"/>
    <cellStyle name="Normal 5 2 4 2 4 2 5" xfId="4495" xr:uid="{00000000-0005-0000-0000-0000CC5A0000}"/>
    <cellStyle name="Normal 5 2 4 2 4 2 5 2" xfId="21218" xr:uid="{00000000-0005-0000-0000-0000CD5A0000}"/>
    <cellStyle name="Normal 5 2 4 2 4 2 6" xfId="19620" xr:uid="{00000000-0005-0000-0000-0000CE5A0000}"/>
    <cellStyle name="Normal 5 2 4 2 4 3" xfId="2892" xr:uid="{00000000-0005-0000-0000-0000CF5A0000}"/>
    <cellStyle name="Normal 5 2 4 2 4 3 2" xfId="8984" xr:uid="{00000000-0005-0000-0000-0000D05A0000}"/>
    <cellStyle name="Normal 5 2 4 2 4 3 2 2" xfId="16247" xr:uid="{00000000-0005-0000-0000-0000D15A0000}"/>
    <cellStyle name="Normal 5 2 4 2 4 3 2 2 2" xfId="32562" xr:uid="{00000000-0005-0000-0000-0000D25A0000}"/>
    <cellStyle name="Normal 5 2 4 2 4 3 2 3" xfId="25597" xr:uid="{00000000-0005-0000-0000-0000D35A0000}"/>
    <cellStyle name="Normal 5 2 4 2 4 3 3" xfId="12326" xr:uid="{00000000-0005-0000-0000-0000D45A0000}"/>
    <cellStyle name="Normal 5 2 4 2 4 3 3 2" xfId="28901" xr:uid="{00000000-0005-0000-0000-0000D55A0000}"/>
    <cellStyle name="Normal 5 2 4 2 4 3 4" xfId="5633" xr:uid="{00000000-0005-0000-0000-0000D65A0000}"/>
    <cellStyle name="Normal 5 2 4 2 4 3 4 2" xfId="22297" xr:uid="{00000000-0005-0000-0000-0000D75A0000}"/>
    <cellStyle name="Normal 5 2 4 2 4 3 5" xfId="19619" xr:uid="{00000000-0005-0000-0000-0000D85A0000}"/>
    <cellStyle name="Normal 5 2 4 2 4 4" xfId="7363" xr:uid="{00000000-0005-0000-0000-0000D95A0000}"/>
    <cellStyle name="Normal 5 2 4 2 4 4 2" xfId="14626" xr:uid="{00000000-0005-0000-0000-0000DA5A0000}"/>
    <cellStyle name="Normal 5 2 4 2 4 4 2 2" xfId="30941" xr:uid="{00000000-0005-0000-0000-0000DB5A0000}"/>
    <cellStyle name="Normal 5 2 4 2 4 4 3" xfId="23976" xr:uid="{00000000-0005-0000-0000-0000DC5A0000}"/>
    <cellStyle name="Normal 5 2 4 2 4 5" xfId="10678" xr:uid="{00000000-0005-0000-0000-0000DD5A0000}"/>
    <cellStyle name="Normal 5 2 4 2 4 5 2" xfId="27276" xr:uid="{00000000-0005-0000-0000-0000DE5A0000}"/>
    <cellStyle name="Normal 5 2 4 2 4 6" xfId="4494" xr:uid="{00000000-0005-0000-0000-0000DF5A0000}"/>
    <cellStyle name="Normal 5 2 4 2 4 6 2" xfId="21217" xr:uid="{00000000-0005-0000-0000-0000E05A0000}"/>
    <cellStyle name="Normal 5 2 4 2 4 7" xfId="18234" xr:uid="{00000000-0005-0000-0000-0000E15A0000}"/>
    <cellStyle name="Normal 5 2 4 2 5" xfId="2894" xr:uid="{00000000-0005-0000-0000-0000E25A0000}"/>
    <cellStyle name="Normal 5 2 4 2 5 2" xfId="6039" xr:uid="{00000000-0005-0000-0000-0000E35A0000}"/>
    <cellStyle name="Normal 5 2 4 2 5 2 2" xfId="9390" xr:uid="{00000000-0005-0000-0000-0000E45A0000}"/>
    <cellStyle name="Normal 5 2 4 2 5 2 2 2" xfId="16653" xr:uid="{00000000-0005-0000-0000-0000E55A0000}"/>
    <cellStyle name="Normal 5 2 4 2 5 2 2 2 2" xfId="32968" xr:uid="{00000000-0005-0000-0000-0000E65A0000}"/>
    <cellStyle name="Normal 5 2 4 2 5 2 2 3" xfId="26003" xr:uid="{00000000-0005-0000-0000-0000E75A0000}"/>
    <cellStyle name="Normal 5 2 4 2 5 2 3" xfId="12732" xr:uid="{00000000-0005-0000-0000-0000E85A0000}"/>
    <cellStyle name="Normal 5 2 4 2 5 2 3 2" xfId="29307" xr:uid="{00000000-0005-0000-0000-0000E95A0000}"/>
    <cellStyle name="Normal 5 2 4 2 5 2 4" xfId="22703" xr:uid="{00000000-0005-0000-0000-0000EA5A0000}"/>
    <cellStyle name="Normal 5 2 4 2 5 3" xfId="7769" xr:uid="{00000000-0005-0000-0000-0000EB5A0000}"/>
    <cellStyle name="Normal 5 2 4 2 5 3 2" xfId="15032" xr:uid="{00000000-0005-0000-0000-0000EC5A0000}"/>
    <cellStyle name="Normal 5 2 4 2 5 3 2 2" xfId="31347" xr:uid="{00000000-0005-0000-0000-0000ED5A0000}"/>
    <cellStyle name="Normal 5 2 4 2 5 3 3" xfId="24382" xr:uid="{00000000-0005-0000-0000-0000EE5A0000}"/>
    <cellStyle name="Normal 5 2 4 2 5 4" xfId="11084" xr:uid="{00000000-0005-0000-0000-0000EF5A0000}"/>
    <cellStyle name="Normal 5 2 4 2 5 4 2" xfId="27682" xr:uid="{00000000-0005-0000-0000-0000F05A0000}"/>
    <cellStyle name="Normal 5 2 4 2 5 5" xfId="4496" xr:uid="{00000000-0005-0000-0000-0000F15A0000}"/>
    <cellStyle name="Normal 5 2 4 2 5 5 2" xfId="21219" xr:uid="{00000000-0005-0000-0000-0000F25A0000}"/>
    <cellStyle name="Normal 5 2 4 2 5 6" xfId="19621" xr:uid="{00000000-0005-0000-0000-0000F35A0000}"/>
    <cellStyle name="Normal 5 2 4 2 6" xfId="2879" xr:uid="{00000000-0005-0000-0000-0000F45A0000}"/>
    <cellStyle name="Normal 5 2 4 2 6 2" xfId="8560" xr:uid="{00000000-0005-0000-0000-0000F55A0000}"/>
    <cellStyle name="Normal 5 2 4 2 6 2 2" xfId="15823" xr:uid="{00000000-0005-0000-0000-0000F65A0000}"/>
    <cellStyle name="Normal 5 2 4 2 6 2 2 2" xfId="32138" xr:uid="{00000000-0005-0000-0000-0000F75A0000}"/>
    <cellStyle name="Normal 5 2 4 2 6 2 3" xfId="25173" xr:uid="{00000000-0005-0000-0000-0000F85A0000}"/>
    <cellStyle name="Normal 5 2 4 2 6 3" xfId="11902" xr:uid="{00000000-0005-0000-0000-0000F95A0000}"/>
    <cellStyle name="Normal 5 2 4 2 6 3 2" xfId="28477" xr:uid="{00000000-0005-0000-0000-0000FA5A0000}"/>
    <cellStyle name="Normal 5 2 4 2 6 4" xfId="5209" xr:uid="{00000000-0005-0000-0000-0000FB5A0000}"/>
    <cellStyle name="Normal 5 2 4 2 6 4 2" xfId="21873" xr:uid="{00000000-0005-0000-0000-0000FC5A0000}"/>
    <cellStyle name="Normal 5 2 4 2 6 5" xfId="19606" xr:uid="{00000000-0005-0000-0000-0000FD5A0000}"/>
    <cellStyle name="Normal 5 2 4 2 7" xfId="6941" xr:uid="{00000000-0005-0000-0000-0000FE5A0000}"/>
    <cellStyle name="Normal 5 2 4 2 7 2" xfId="14204" xr:uid="{00000000-0005-0000-0000-0000FF5A0000}"/>
    <cellStyle name="Normal 5 2 4 2 7 2 2" xfId="30519" xr:uid="{00000000-0005-0000-0000-0000005B0000}"/>
    <cellStyle name="Normal 5 2 4 2 7 3" xfId="23554" xr:uid="{00000000-0005-0000-0000-0000015B0000}"/>
    <cellStyle name="Normal 5 2 4 2 8" xfId="10255" xr:uid="{00000000-0005-0000-0000-0000025B0000}"/>
    <cellStyle name="Normal 5 2 4 2 8 2" xfId="26854" xr:uid="{00000000-0005-0000-0000-0000035B0000}"/>
    <cellStyle name="Normal 5 2 4 2 9" xfId="4481" xr:uid="{00000000-0005-0000-0000-0000045B0000}"/>
    <cellStyle name="Normal 5 2 4 2 9 2" xfId="21204" xr:uid="{00000000-0005-0000-0000-0000055B0000}"/>
    <cellStyle name="Normal 5 2 4 3" xfId="991" xr:uid="{00000000-0005-0000-0000-0000065B0000}"/>
    <cellStyle name="Normal 5 2 4 3 2" xfId="1208" xr:uid="{00000000-0005-0000-0000-0000075B0000}"/>
    <cellStyle name="Normal 5 2 4 3 2 2" xfId="1729" xr:uid="{00000000-0005-0000-0000-0000085B0000}"/>
    <cellStyle name="Normal 5 2 4 3 2 2 2" xfId="2898" xr:uid="{00000000-0005-0000-0000-0000095B0000}"/>
    <cellStyle name="Normal 5 2 4 3 2 2 2 2" xfId="6623" xr:uid="{00000000-0005-0000-0000-00000A5B0000}"/>
    <cellStyle name="Normal 5 2 4 3 2 2 2 2 2" xfId="9974" xr:uid="{00000000-0005-0000-0000-00000B5B0000}"/>
    <cellStyle name="Normal 5 2 4 3 2 2 2 2 2 2" xfId="17237" xr:uid="{00000000-0005-0000-0000-00000C5B0000}"/>
    <cellStyle name="Normal 5 2 4 3 2 2 2 2 2 2 2" xfId="33552" xr:uid="{00000000-0005-0000-0000-00000D5B0000}"/>
    <cellStyle name="Normal 5 2 4 3 2 2 2 2 2 3" xfId="26587" xr:uid="{00000000-0005-0000-0000-00000E5B0000}"/>
    <cellStyle name="Normal 5 2 4 3 2 2 2 2 3" xfId="13316" xr:uid="{00000000-0005-0000-0000-00000F5B0000}"/>
    <cellStyle name="Normal 5 2 4 3 2 2 2 2 3 2" xfId="29891" xr:uid="{00000000-0005-0000-0000-0000105B0000}"/>
    <cellStyle name="Normal 5 2 4 3 2 2 2 2 4" xfId="23287" xr:uid="{00000000-0005-0000-0000-0000115B0000}"/>
    <cellStyle name="Normal 5 2 4 3 2 2 2 3" xfId="8353" xr:uid="{00000000-0005-0000-0000-0000125B0000}"/>
    <cellStyle name="Normal 5 2 4 3 2 2 2 3 2" xfId="15616" xr:uid="{00000000-0005-0000-0000-0000135B0000}"/>
    <cellStyle name="Normal 5 2 4 3 2 2 2 3 2 2" xfId="31931" xr:uid="{00000000-0005-0000-0000-0000145B0000}"/>
    <cellStyle name="Normal 5 2 4 3 2 2 2 3 3" xfId="24966" xr:uid="{00000000-0005-0000-0000-0000155B0000}"/>
    <cellStyle name="Normal 5 2 4 3 2 2 2 4" xfId="11668" xr:uid="{00000000-0005-0000-0000-0000165B0000}"/>
    <cellStyle name="Normal 5 2 4 3 2 2 2 4 2" xfId="28266" xr:uid="{00000000-0005-0000-0000-0000175B0000}"/>
    <cellStyle name="Normal 5 2 4 3 2 2 2 5" xfId="4500" xr:uid="{00000000-0005-0000-0000-0000185B0000}"/>
    <cellStyle name="Normal 5 2 4 3 2 2 2 5 2" xfId="21223" xr:uid="{00000000-0005-0000-0000-0000195B0000}"/>
    <cellStyle name="Normal 5 2 4 3 2 2 2 6" xfId="19625" xr:uid="{00000000-0005-0000-0000-00001A5B0000}"/>
    <cellStyle name="Normal 5 2 4 3 2 2 3" xfId="2897" xr:uid="{00000000-0005-0000-0000-00001B5B0000}"/>
    <cellStyle name="Normal 5 2 4 3 2 2 3 2" xfId="9198" xr:uid="{00000000-0005-0000-0000-00001C5B0000}"/>
    <cellStyle name="Normal 5 2 4 3 2 2 3 2 2" xfId="16461" xr:uid="{00000000-0005-0000-0000-00001D5B0000}"/>
    <cellStyle name="Normal 5 2 4 3 2 2 3 2 2 2" xfId="32776" xr:uid="{00000000-0005-0000-0000-00001E5B0000}"/>
    <cellStyle name="Normal 5 2 4 3 2 2 3 2 3" xfId="25811" xr:uid="{00000000-0005-0000-0000-00001F5B0000}"/>
    <cellStyle name="Normal 5 2 4 3 2 2 3 3" xfId="12540" xr:uid="{00000000-0005-0000-0000-0000205B0000}"/>
    <cellStyle name="Normal 5 2 4 3 2 2 3 3 2" xfId="29115" xr:uid="{00000000-0005-0000-0000-0000215B0000}"/>
    <cellStyle name="Normal 5 2 4 3 2 2 3 4" xfId="5847" xr:uid="{00000000-0005-0000-0000-0000225B0000}"/>
    <cellStyle name="Normal 5 2 4 3 2 2 3 4 2" xfId="22511" xr:uid="{00000000-0005-0000-0000-0000235B0000}"/>
    <cellStyle name="Normal 5 2 4 3 2 2 3 5" xfId="19624" xr:uid="{00000000-0005-0000-0000-0000245B0000}"/>
    <cellStyle name="Normal 5 2 4 3 2 2 4" xfId="7577" xr:uid="{00000000-0005-0000-0000-0000255B0000}"/>
    <cellStyle name="Normal 5 2 4 3 2 2 4 2" xfId="14840" xr:uid="{00000000-0005-0000-0000-0000265B0000}"/>
    <cellStyle name="Normal 5 2 4 3 2 2 4 2 2" xfId="31155" xr:uid="{00000000-0005-0000-0000-0000275B0000}"/>
    <cellStyle name="Normal 5 2 4 3 2 2 4 3" xfId="24190" xr:uid="{00000000-0005-0000-0000-0000285B0000}"/>
    <cellStyle name="Normal 5 2 4 3 2 2 5" xfId="10892" xr:uid="{00000000-0005-0000-0000-0000295B0000}"/>
    <cellStyle name="Normal 5 2 4 3 2 2 5 2" xfId="27490" xr:uid="{00000000-0005-0000-0000-00002A5B0000}"/>
    <cellStyle name="Normal 5 2 4 3 2 2 6" xfId="4499" xr:uid="{00000000-0005-0000-0000-00002B5B0000}"/>
    <cellStyle name="Normal 5 2 4 3 2 2 6 2" xfId="21222" xr:uid="{00000000-0005-0000-0000-00002C5B0000}"/>
    <cellStyle name="Normal 5 2 4 3 2 2 7" xfId="18464" xr:uid="{00000000-0005-0000-0000-00002D5B0000}"/>
    <cellStyle name="Normal 5 2 4 3 2 3" xfId="2899" xr:uid="{00000000-0005-0000-0000-00002E5B0000}"/>
    <cellStyle name="Normal 5 2 4 3 2 3 2" xfId="6253" xr:uid="{00000000-0005-0000-0000-00002F5B0000}"/>
    <cellStyle name="Normal 5 2 4 3 2 3 2 2" xfId="9604" xr:uid="{00000000-0005-0000-0000-0000305B0000}"/>
    <cellStyle name="Normal 5 2 4 3 2 3 2 2 2" xfId="16867" xr:uid="{00000000-0005-0000-0000-0000315B0000}"/>
    <cellStyle name="Normal 5 2 4 3 2 3 2 2 2 2" xfId="33182" xr:uid="{00000000-0005-0000-0000-0000325B0000}"/>
    <cellStyle name="Normal 5 2 4 3 2 3 2 2 3" xfId="26217" xr:uid="{00000000-0005-0000-0000-0000335B0000}"/>
    <cellStyle name="Normal 5 2 4 3 2 3 2 3" xfId="12946" xr:uid="{00000000-0005-0000-0000-0000345B0000}"/>
    <cellStyle name="Normal 5 2 4 3 2 3 2 3 2" xfId="29521" xr:uid="{00000000-0005-0000-0000-0000355B0000}"/>
    <cellStyle name="Normal 5 2 4 3 2 3 2 4" xfId="22917" xr:uid="{00000000-0005-0000-0000-0000365B0000}"/>
    <cellStyle name="Normal 5 2 4 3 2 3 3" xfId="7983" xr:uid="{00000000-0005-0000-0000-0000375B0000}"/>
    <cellStyle name="Normal 5 2 4 3 2 3 3 2" xfId="15246" xr:uid="{00000000-0005-0000-0000-0000385B0000}"/>
    <cellStyle name="Normal 5 2 4 3 2 3 3 2 2" xfId="31561" xr:uid="{00000000-0005-0000-0000-0000395B0000}"/>
    <cellStyle name="Normal 5 2 4 3 2 3 3 3" xfId="24596" xr:uid="{00000000-0005-0000-0000-00003A5B0000}"/>
    <cellStyle name="Normal 5 2 4 3 2 3 4" xfId="11298" xr:uid="{00000000-0005-0000-0000-00003B5B0000}"/>
    <cellStyle name="Normal 5 2 4 3 2 3 4 2" xfId="27896" xr:uid="{00000000-0005-0000-0000-00003C5B0000}"/>
    <cellStyle name="Normal 5 2 4 3 2 3 5" xfId="4501" xr:uid="{00000000-0005-0000-0000-00003D5B0000}"/>
    <cellStyle name="Normal 5 2 4 3 2 3 5 2" xfId="21224" xr:uid="{00000000-0005-0000-0000-00003E5B0000}"/>
    <cellStyle name="Normal 5 2 4 3 2 3 6" xfId="19626" xr:uid="{00000000-0005-0000-0000-00003F5B0000}"/>
    <cellStyle name="Normal 5 2 4 3 2 4" xfId="2896" xr:uid="{00000000-0005-0000-0000-0000405B0000}"/>
    <cellStyle name="Normal 5 2 4 3 2 4 2" xfId="8791" xr:uid="{00000000-0005-0000-0000-0000415B0000}"/>
    <cellStyle name="Normal 5 2 4 3 2 4 2 2" xfId="16054" xr:uid="{00000000-0005-0000-0000-0000425B0000}"/>
    <cellStyle name="Normal 5 2 4 3 2 4 2 2 2" xfId="32369" xr:uid="{00000000-0005-0000-0000-0000435B0000}"/>
    <cellStyle name="Normal 5 2 4 3 2 4 2 3" xfId="25404" xr:uid="{00000000-0005-0000-0000-0000445B0000}"/>
    <cellStyle name="Normal 5 2 4 3 2 4 3" xfId="12133" xr:uid="{00000000-0005-0000-0000-0000455B0000}"/>
    <cellStyle name="Normal 5 2 4 3 2 4 3 2" xfId="28708" xr:uid="{00000000-0005-0000-0000-0000465B0000}"/>
    <cellStyle name="Normal 5 2 4 3 2 4 4" xfId="5440" xr:uid="{00000000-0005-0000-0000-0000475B0000}"/>
    <cellStyle name="Normal 5 2 4 3 2 4 4 2" xfId="22104" xr:uid="{00000000-0005-0000-0000-0000485B0000}"/>
    <cellStyle name="Normal 5 2 4 3 2 4 5" xfId="19623" xr:uid="{00000000-0005-0000-0000-0000495B0000}"/>
    <cellStyle name="Normal 5 2 4 3 2 5" xfId="7171" xr:uid="{00000000-0005-0000-0000-00004A5B0000}"/>
    <cellStyle name="Normal 5 2 4 3 2 5 2" xfId="14434" xr:uid="{00000000-0005-0000-0000-00004B5B0000}"/>
    <cellStyle name="Normal 5 2 4 3 2 5 2 2" xfId="30749" xr:uid="{00000000-0005-0000-0000-00004C5B0000}"/>
    <cellStyle name="Normal 5 2 4 3 2 5 3" xfId="23784" xr:uid="{00000000-0005-0000-0000-00004D5B0000}"/>
    <cellStyle name="Normal 5 2 4 3 2 6" xfId="10486" xr:uid="{00000000-0005-0000-0000-00004E5B0000}"/>
    <cellStyle name="Normal 5 2 4 3 2 6 2" xfId="27084" xr:uid="{00000000-0005-0000-0000-00004F5B0000}"/>
    <cellStyle name="Normal 5 2 4 3 2 7" xfId="4498" xr:uid="{00000000-0005-0000-0000-0000505B0000}"/>
    <cellStyle name="Normal 5 2 4 3 2 7 2" xfId="21221" xr:uid="{00000000-0005-0000-0000-0000515B0000}"/>
    <cellStyle name="Normal 5 2 4 3 2 8" xfId="17945" xr:uid="{00000000-0005-0000-0000-0000525B0000}"/>
    <cellStyle name="Normal 5 2 4 3 3" xfId="1552" xr:uid="{00000000-0005-0000-0000-0000535B0000}"/>
    <cellStyle name="Normal 5 2 4 3 3 2" xfId="2901" xr:uid="{00000000-0005-0000-0000-0000545B0000}"/>
    <cellStyle name="Normal 5 2 4 3 3 2 2" xfId="6447" xr:uid="{00000000-0005-0000-0000-0000555B0000}"/>
    <cellStyle name="Normal 5 2 4 3 3 2 2 2" xfId="9798" xr:uid="{00000000-0005-0000-0000-0000565B0000}"/>
    <cellStyle name="Normal 5 2 4 3 3 2 2 2 2" xfId="17061" xr:uid="{00000000-0005-0000-0000-0000575B0000}"/>
    <cellStyle name="Normal 5 2 4 3 3 2 2 2 2 2" xfId="33376" xr:uid="{00000000-0005-0000-0000-0000585B0000}"/>
    <cellStyle name="Normal 5 2 4 3 3 2 2 2 3" xfId="26411" xr:uid="{00000000-0005-0000-0000-0000595B0000}"/>
    <cellStyle name="Normal 5 2 4 3 3 2 2 3" xfId="13140" xr:uid="{00000000-0005-0000-0000-00005A5B0000}"/>
    <cellStyle name="Normal 5 2 4 3 3 2 2 3 2" xfId="29715" xr:uid="{00000000-0005-0000-0000-00005B5B0000}"/>
    <cellStyle name="Normal 5 2 4 3 3 2 2 4" xfId="23111" xr:uid="{00000000-0005-0000-0000-00005C5B0000}"/>
    <cellStyle name="Normal 5 2 4 3 3 2 3" xfId="8177" xr:uid="{00000000-0005-0000-0000-00005D5B0000}"/>
    <cellStyle name="Normal 5 2 4 3 3 2 3 2" xfId="15440" xr:uid="{00000000-0005-0000-0000-00005E5B0000}"/>
    <cellStyle name="Normal 5 2 4 3 3 2 3 2 2" xfId="31755" xr:uid="{00000000-0005-0000-0000-00005F5B0000}"/>
    <cellStyle name="Normal 5 2 4 3 3 2 3 3" xfId="24790" xr:uid="{00000000-0005-0000-0000-0000605B0000}"/>
    <cellStyle name="Normal 5 2 4 3 3 2 4" xfId="11492" xr:uid="{00000000-0005-0000-0000-0000615B0000}"/>
    <cellStyle name="Normal 5 2 4 3 3 2 4 2" xfId="28090" xr:uid="{00000000-0005-0000-0000-0000625B0000}"/>
    <cellStyle name="Normal 5 2 4 3 3 2 5" xfId="4503" xr:uid="{00000000-0005-0000-0000-0000635B0000}"/>
    <cellStyle name="Normal 5 2 4 3 3 2 5 2" xfId="21226" xr:uid="{00000000-0005-0000-0000-0000645B0000}"/>
    <cellStyle name="Normal 5 2 4 3 3 2 6" xfId="19628" xr:uid="{00000000-0005-0000-0000-0000655B0000}"/>
    <cellStyle name="Normal 5 2 4 3 3 3" xfId="2900" xr:uid="{00000000-0005-0000-0000-0000665B0000}"/>
    <cellStyle name="Normal 5 2 4 3 3 3 2" xfId="8986" xr:uid="{00000000-0005-0000-0000-0000675B0000}"/>
    <cellStyle name="Normal 5 2 4 3 3 3 2 2" xfId="16249" xr:uid="{00000000-0005-0000-0000-0000685B0000}"/>
    <cellStyle name="Normal 5 2 4 3 3 3 2 2 2" xfId="32564" xr:uid="{00000000-0005-0000-0000-0000695B0000}"/>
    <cellStyle name="Normal 5 2 4 3 3 3 2 3" xfId="25599" xr:uid="{00000000-0005-0000-0000-00006A5B0000}"/>
    <cellStyle name="Normal 5 2 4 3 3 3 3" xfId="12328" xr:uid="{00000000-0005-0000-0000-00006B5B0000}"/>
    <cellStyle name="Normal 5 2 4 3 3 3 3 2" xfId="28903" xr:uid="{00000000-0005-0000-0000-00006C5B0000}"/>
    <cellStyle name="Normal 5 2 4 3 3 3 4" xfId="5635" xr:uid="{00000000-0005-0000-0000-00006D5B0000}"/>
    <cellStyle name="Normal 5 2 4 3 3 3 4 2" xfId="22299" xr:uid="{00000000-0005-0000-0000-00006E5B0000}"/>
    <cellStyle name="Normal 5 2 4 3 3 3 5" xfId="19627" xr:uid="{00000000-0005-0000-0000-00006F5B0000}"/>
    <cellStyle name="Normal 5 2 4 3 3 4" xfId="7365" xr:uid="{00000000-0005-0000-0000-0000705B0000}"/>
    <cellStyle name="Normal 5 2 4 3 3 4 2" xfId="14628" xr:uid="{00000000-0005-0000-0000-0000715B0000}"/>
    <cellStyle name="Normal 5 2 4 3 3 4 2 2" xfId="30943" xr:uid="{00000000-0005-0000-0000-0000725B0000}"/>
    <cellStyle name="Normal 5 2 4 3 3 4 3" xfId="23978" xr:uid="{00000000-0005-0000-0000-0000735B0000}"/>
    <cellStyle name="Normal 5 2 4 3 3 5" xfId="10680" xr:uid="{00000000-0005-0000-0000-0000745B0000}"/>
    <cellStyle name="Normal 5 2 4 3 3 5 2" xfId="27278" xr:uid="{00000000-0005-0000-0000-0000755B0000}"/>
    <cellStyle name="Normal 5 2 4 3 3 6" xfId="4502" xr:uid="{00000000-0005-0000-0000-0000765B0000}"/>
    <cellStyle name="Normal 5 2 4 3 3 6 2" xfId="21225" xr:uid="{00000000-0005-0000-0000-0000775B0000}"/>
    <cellStyle name="Normal 5 2 4 3 3 7" xfId="18287" xr:uid="{00000000-0005-0000-0000-0000785B0000}"/>
    <cellStyle name="Normal 5 2 4 3 4" xfId="2902" xr:uid="{00000000-0005-0000-0000-0000795B0000}"/>
    <cellStyle name="Normal 5 2 4 3 4 2" xfId="6041" xr:uid="{00000000-0005-0000-0000-00007A5B0000}"/>
    <cellStyle name="Normal 5 2 4 3 4 2 2" xfId="9392" xr:uid="{00000000-0005-0000-0000-00007B5B0000}"/>
    <cellStyle name="Normal 5 2 4 3 4 2 2 2" xfId="16655" xr:uid="{00000000-0005-0000-0000-00007C5B0000}"/>
    <cellStyle name="Normal 5 2 4 3 4 2 2 2 2" xfId="32970" xr:uid="{00000000-0005-0000-0000-00007D5B0000}"/>
    <cellStyle name="Normal 5 2 4 3 4 2 2 3" xfId="26005" xr:uid="{00000000-0005-0000-0000-00007E5B0000}"/>
    <cellStyle name="Normal 5 2 4 3 4 2 3" xfId="12734" xr:uid="{00000000-0005-0000-0000-00007F5B0000}"/>
    <cellStyle name="Normal 5 2 4 3 4 2 3 2" xfId="29309" xr:uid="{00000000-0005-0000-0000-0000805B0000}"/>
    <cellStyle name="Normal 5 2 4 3 4 2 4" xfId="22705" xr:uid="{00000000-0005-0000-0000-0000815B0000}"/>
    <cellStyle name="Normal 5 2 4 3 4 3" xfId="7771" xr:uid="{00000000-0005-0000-0000-0000825B0000}"/>
    <cellStyle name="Normal 5 2 4 3 4 3 2" xfId="15034" xr:uid="{00000000-0005-0000-0000-0000835B0000}"/>
    <cellStyle name="Normal 5 2 4 3 4 3 2 2" xfId="31349" xr:uid="{00000000-0005-0000-0000-0000845B0000}"/>
    <cellStyle name="Normal 5 2 4 3 4 3 3" xfId="24384" xr:uid="{00000000-0005-0000-0000-0000855B0000}"/>
    <cellStyle name="Normal 5 2 4 3 4 4" xfId="11086" xr:uid="{00000000-0005-0000-0000-0000865B0000}"/>
    <cellStyle name="Normal 5 2 4 3 4 4 2" xfId="27684" xr:uid="{00000000-0005-0000-0000-0000875B0000}"/>
    <cellStyle name="Normal 5 2 4 3 4 5" xfId="4504" xr:uid="{00000000-0005-0000-0000-0000885B0000}"/>
    <cellStyle name="Normal 5 2 4 3 4 5 2" xfId="21227" xr:uid="{00000000-0005-0000-0000-0000895B0000}"/>
    <cellStyle name="Normal 5 2 4 3 4 6" xfId="19629" xr:uid="{00000000-0005-0000-0000-00008A5B0000}"/>
    <cellStyle name="Normal 5 2 4 3 5" xfId="2895" xr:uid="{00000000-0005-0000-0000-00008B5B0000}"/>
    <cellStyle name="Normal 5 2 4 3 5 2" xfId="8613" xr:uid="{00000000-0005-0000-0000-00008C5B0000}"/>
    <cellStyle name="Normal 5 2 4 3 5 2 2" xfId="15876" xr:uid="{00000000-0005-0000-0000-00008D5B0000}"/>
    <cellStyle name="Normal 5 2 4 3 5 2 2 2" xfId="32191" xr:uid="{00000000-0005-0000-0000-00008E5B0000}"/>
    <cellStyle name="Normal 5 2 4 3 5 2 3" xfId="25226" xr:uid="{00000000-0005-0000-0000-00008F5B0000}"/>
    <cellStyle name="Normal 5 2 4 3 5 3" xfId="11955" xr:uid="{00000000-0005-0000-0000-0000905B0000}"/>
    <cellStyle name="Normal 5 2 4 3 5 3 2" xfId="28530" xr:uid="{00000000-0005-0000-0000-0000915B0000}"/>
    <cellStyle name="Normal 5 2 4 3 5 4" xfId="5262" xr:uid="{00000000-0005-0000-0000-0000925B0000}"/>
    <cellStyle name="Normal 5 2 4 3 5 4 2" xfId="21926" xr:uid="{00000000-0005-0000-0000-0000935B0000}"/>
    <cellStyle name="Normal 5 2 4 3 5 5" xfId="19622" xr:uid="{00000000-0005-0000-0000-0000945B0000}"/>
    <cellStyle name="Normal 5 2 4 3 6" xfId="6994" xr:uid="{00000000-0005-0000-0000-0000955B0000}"/>
    <cellStyle name="Normal 5 2 4 3 6 2" xfId="14257" xr:uid="{00000000-0005-0000-0000-0000965B0000}"/>
    <cellStyle name="Normal 5 2 4 3 6 2 2" xfId="30572" xr:uid="{00000000-0005-0000-0000-0000975B0000}"/>
    <cellStyle name="Normal 5 2 4 3 6 3" xfId="23607" xr:uid="{00000000-0005-0000-0000-0000985B0000}"/>
    <cellStyle name="Normal 5 2 4 3 7" xfId="10308" xr:uid="{00000000-0005-0000-0000-0000995B0000}"/>
    <cellStyle name="Normal 5 2 4 3 7 2" xfId="26907" xr:uid="{00000000-0005-0000-0000-00009A5B0000}"/>
    <cellStyle name="Normal 5 2 4 3 8" xfId="4497" xr:uid="{00000000-0005-0000-0000-00009B5B0000}"/>
    <cellStyle name="Normal 5 2 4 3 8 2" xfId="21220" xr:uid="{00000000-0005-0000-0000-00009C5B0000}"/>
    <cellStyle name="Normal 5 2 4 3 9" xfId="17768" xr:uid="{00000000-0005-0000-0000-00009D5B0000}"/>
    <cellStyle name="Normal 5 2 4 4" xfId="1205" xr:uid="{00000000-0005-0000-0000-00009E5B0000}"/>
    <cellStyle name="Normal 5 2 4 4 2" xfId="1726" xr:uid="{00000000-0005-0000-0000-00009F5B0000}"/>
    <cellStyle name="Normal 5 2 4 4 2 2" xfId="2905" xr:uid="{00000000-0005-0000-0000-0000A05B0000}"/>
    <cellStyle name="Normal 5 2 4 4 2 2 2" xfId="6620" xr:uid="{00000000-0005-0000-0000-0000A15B0000}"/>
    <cellStyle name="Normal 5 2 4 4 2 2 2 2" xfId="9971" xr:uid="{00000000-0005-0000-0000-0000A25B0000}"/>
    <cellStyle name="Normal 5 2 4 4 2 2 2 2 2" xfId="17234" xr:uid="{00000000-0005-0000-0000-0000A35B0000}"/>
    <cellStyle name="Normal 5 2 4 4 2 2 2 2 2 2" xfId="33549" xr:uid="{00000000-0005-0000-0000-0000A45B0000}"/>
    <cellStyle name="Normal 5 2 4 4 2 2 2 2 3" xfId="26584" xr:uid="{00000000-0005-0000-0000-0000A55B0000}"/>
    <cellStyle name="Normal 5 2 4 4 2 2 2 3" xfId="13313" xr:uid="{00000000-0005-0000-0000-0000A65B0000}"/>
    <cellStyle name="Normal 5 2 4 4 2 2 2 3 2" xfId="29888" xr:uid="{00000000-0005-0000-0000-0000A75B0000}"/>
    <cellStyle name="Normal 5 2 4 4 2 2 2 4" xfId="23284" xr:uid="{00000000-0005-0000-0000-0000A85B0000}"/>
    <cellStyle name="Normal 5 2 4 4 2 2 3" xfId="8350" xr:uid="{00000000-0005-0000-0000-0000A95B0000}"/>
    <cellStyle name="Normal 5 2 4 4 2 2 3 2" xfId="15613" xr:uid="{00000000-0005-0000-0000-0000AA5B0000}"/>
    <cellStyle name="Normal 5 2 4 4 2 2 3 2 2" xfId="31928" xr:uid="{00000000-0005-0000-0000-0000AB5B0000}"/>
    <cellStyle name="Normal 5 2 4 4 2 2 3 3" xfId="24963" xr:uid="{00000000-0005-0000-0000-0000AC5B0000}"/>
    <cellStyle name="Normal 5 2 4 4 2 2 4" xfId="11665" xr:uid="{00000000-0005-0000-0000-0000AD5B0000}"/>
    <cellStyle name="Normal 5 2 4 4 2 2 4 2" xfId="28263" xr:uid="{00000000-0005-0000-0000-0000AE5B0000}"/>
    <cellStyle name="Normal 5 2 4 4 2 2 5" xfId="4507" xr:uid="{00000000-0005-0000-0000-0000AF5B0000}"/>
    <cellStyle name="Normal 5 2 4 4 2 2 5 2" xfId="21230" xr:uid="{00000000-0005-0000-0000-0000B05B0000}"/>
    <cellStyle name="Normal 5 2 4 4 2 2 6" xfId="19632" xr:uid="{00000000-0005-0000-0000-0000B15B0000}"/>
    <cellStyle name="Normal 5 2 4 4 2 3" xfId="2904" xr:uid="{00000000-0005-0000-0000-0000B25B0000}"/>
    <cellStyle name="Normal 5 2 4 4 2 3 2" xfId="9195" xr:uid="{00000000-0005-0000-0000-0000B35B0000}"/>
    <cellStyle name="Normal 5 2 4 4 2 3 2 2" xfId="16458" xr:uid="{00000000-0005-0000-0000-0000B45B0000}"/>
    <cellStyle name="Normal 5 2 4 4 2 3 2 2 2" xfId="32773" xr:uid="{00000000-0005-0000-0000-0000B55B0000}"/>
    <cellStyle name="Normal 5 2 4 4 2 3 2 3" xfId="25808" xr:uid="{00000000-0005-0000-0000-0000B65B0000}"/>
    <cellStyle name="Normal 5 2 4 4 2 3 3" xfId="12537" xr:uid="{00000000-0005-0000-0000-0000B75B0000}"/>
    <cellStyle name="Normal 5 2 4 4 2 3 3 2" xfId="29112" xr:uid="{00000000-0005-0000-0000-0000B85B0000}"/>
    <cellStyle name="Normal 5 2 4 4 2 3 4" xfId="5844" xr:uid="{00000000-0005-0000-0000-0000B95B0000}"/>
    <cellStyle name="Normal 5 2 4 4 2 3 4 2" xfId="22508" xr:uid="{00000000-0005-0000-0000-0000BA5B0000}"/>
    <cellStyle name="Normal 5 2 4 4 2 3 5" xfId="19631" xr:uid="{00000000-0005-0000-0000-0000BB5B0000}"/>
    <cellStyle name="Normal 5 2 4 4 2 4" xfId="7574" xr:uid="{00000000-0005-0000-0000-0000BC5B0000}"/>
    <cellStyle name="Normal 5 2 4 4 2 4 2" xfId="14837" xr:uid="{00000000-0005-0000-0000-0000BD5B0000}"/>
    <cellStyle name="Normal 5 2 4 4 2 4 2 2" xfId="31152" xr:uid="{00000000-0005-0000-0000-0000BE5B0000}"/>
    <cellStyle name="Normal 5 2 4 4 2 4 3" xfId="24187" xr:uid="{00000000-0005-0000-0000-0000BF5B0000}"/>
    <cellStyle name="Normal 5 2 4 4 2 5" xfId="10889" xr:uid="{00000000-0005-0000-0000-0000C05B0000}"/>
    <cellStyle name="Normal 5 2 4 4 2 5 2" xfId="27487" xr:uid="{00000000-0005-0000-0000-0000C15B0000}"/>
    <cellStyle name="Normal 5 2 4 4 2 6" xfId="4506" xr:uid="{00000000-0005-0000-0000-0000C25B0000}"/>
    <cellStyle name="Normal 5 2 4 4 2 6 2" xfId="21229" xr:uid="{00000000-0005-0000-0000-0000C35B0000}"/>
    <cellStyle name="Normal 5 2 4 4 2 7" xfId="18461" xr:uid="{00000000-0005-0000-0000-0000C45B0000}"/>
    <cellStyle name="Normal 5 2 4 4 3" xfId="2906" xr:uid="{00000000-0005-0000-0000-0000C55B0000}"/>
    <cellStyle name="Normal 5 2 4 4 3 2" xfId="6250" xr:uid="{00000000-0005-0000-0000-0000C65B0000}"/>
    <cellStyle name="Normal 5 2 4 4 3 2 2" xfId="9601" xr:uid="{00000000-0005-0000-0000-0000C75B0000}"/>
    <cellStyle name="Normal 5 2 4 4 3 2 2 2" xfId="16864" xr:uid="{00000000-0005-0000-0000-0000C85B0000}"/>
    <cellStyle name="Normal 5 2 4 4 3 2 2 2 2" xfId="33179" xr:uid="{00000000-0005-0000-0000-0000C95B0000}"/>
    <cellStyle name="Normal 5 2 4 4 3 2 2 3" xfId="26214" xr:uid="{00000000-0005-0000-0000-0000CA5B0000}"/>
    <cellStyle name="Normal 5 2 4 4 3 2 3" xfId="12943" xr:uid="{00000000-0005-0000-0000-0000CB5B0000}"/>
    <cellStyle name="Normal 5 2 4 4 3 2 3 2" xfId="29518" xr:uid="{00000000-0005-0000-0000-0000CC5B0000}"/>
    <cellStyle name="Normal 5 2 4 4 3 2 4" xfId="22914" xr:uid="{00000000-0005-0000-0000-0000CD5B0000}"/>
    <cellStyle name="Normal 5 2 4 4 3 3" xfId="7980" xr:uid="{00000000-0005-0000-0000-0000CE5B0000}"/>
    <cellStyle name="Normal 5 2 4 4 3 3 2" xfId="15243" xr:uid="{00000000-0005-0000-0000-0000CF5B0000}"/>
    <cellStyle name="Normal 5 2 4 4 3 3 2 2" xfId="31558" xr:uid="{00000000-0005-0000-0000-0000D05B0000}"/>
    <cellStyle name="Normal 5 2 4 4 3 3 3" xfId="24593" xr:uid="{00000000-0005-0000-0000-0000D15B0000}"/>
    <cellStyle name="Normal 5 2 4 4 3 4" xfId="11295" xr:uid="{00000000-0005-0000-0000-0000D25B0000}"/>
    <cellStyle name="Normal 5 2 4 4 3 4 2" xfId="27893" xr:uid="{00000000-0005-0000-0000-0000D35B0000}"/>
    <cellStyle name="Normal 5 2 4 4 3 5" xfId="4508" xr:uid="{00000000-0005-0000-0000-0000D45B0000}"/>
    <cellStyle name="Normal 5 2 4 4 3 5 2" xfId="21231" xr:uid="{00000000-0005-0000-0000-0000D55B0000}"/>
    <cellStyle name="Normal 5 2 4 4 3 6" xfId="19633" xr:uid="{00000000-0005-0000-0000-0000D65B0000}"/>
    <cellStyle name="Normal 5 2 4 4 4" xfId="2903" xr:uid="{00000000-0005-0000-0000-0000D75B0000}"/>
    <cellStyle name="Normal 5 2 4 4 4 2" xfId="8788" xr:uid="{00000000-0005-0000-0000-0000D85B0000}"/>
    <cellStyle name="Normal 5 2 4 4 4 2 2" xfId="16051" xr:uid="{00000000-0005-0000-0000-0000D95B0000}"/>
    <cellStyle name="Normal 5 2 4 4 4 2 2 2" xfId="32366" xr:uid="{00000000-0005-0000-0000-0000DA5B0000}"/>
    <cellStyle name="Normal 5 2 4 4 4 2 3" xfId="25401" xr:uid="{00000000-0005-0000-0000-0000DB5B0000}"/>
    <cellStyle name="Normal 5 2 4 4 4 3" xfId="12130" xr:uid="{00000000-0005-0000-0000-0000DC5B0000}"/>
    <cellStyle name="Normal 5 2 4 4 4 3 2" xfId="28705" xr:uid="{00000000-0005-0000-0000-0000DD5B0000}"/>
    <cellStyle name="Normal 5 2 4 4 4 4" xfId="5437" xr:uid="{00000000-0005-0000-0000-0000DE5B0000}"/>
    <cellStyle name="Normal 5 2 4 4 4 4 2" xfId="22101" xr:uid="{00000000-0005-0000-0000-0000DF5B0000}"/>
    <cellStyle name="Normal 5 2 4 4 4 5" xfId="19630" xr:uid="{00000000-0005-0000-0000-0000E05B0000}"/>
    <cellStyle name="Normal 5 2 4 4 5" xfId="7168" xr:uid="{00000000-0005-0000-0000-0000E15B0000}"/>
    <cellStyle name="Normal 5 2 4 4 5 2" xfId="14431" xr:uid="{00000000-0005-0000-0000-0000E25B0000}"/>
    <cellStyle name="Normal 5 2 4 4 5 2 2" xfId="30746" xr:uid="{00000000-0005-0000-0000-0000E35B0000}"/>
    <cellStyle name="Normal 5 2 4 4 5 3" xfId="23781" xr:uid="{00000000-0005-0000-0000-0000E45B0000}"/>
    <cellStyle name="Normal 5 2 4 4 6" xfId="10483" xr:uid="{00000000-0005-0000-0000-0000E55B0000}"/>
    <cellStyle name="Normal 5 2 4 4 6 2" xfId="27081" xr:uid="{00000000-0005-0000-0000-0000E65B0000}"/>
    <cellStyle name="Normal 5 2 4 4 7" xfId="4505" xr:uid="{00000000-0005-0000-0000-0000E75B0000}"/>
    <cellStyle name="Normal 5 2 4 4 7 2" xfId="21228" xr:uid="{00000000-0005-0000-0000-0000E85B0000}"/>
    <cellStyle name="Normal 5 2 4 4 8" xfId="17942" xr:uid="{00000000-0005-0000-0000-0000E95B0000}"/>
    <cellStyle name="Normal 5 2 4 5" xfId="1446" xr:uid="{00000000-0005-0000-0000-0000EA5B0000}"/>
    <cellStyle name="Normal 5 2 4 5 2" xfId="2908" xr:uid="{00000000-0005-0000-0000-0000EB5B0000}"/>
    <cellStyle name="Normal 5 2 4 5 2 2" xfId="6444" xr:uid="{00000000-0005-0000-0000-0000EC5B0000}"/>
    <cellStyle name="Normal 5 2 4 5 2 2 2" xfId="9795" xr:uid="{00000000-0005-0000-0000-0000ED5B0000}"/>
    <cellStyle name="Normal 5 2 4 5 2 2 2 2" xfId="17058" xr:uid="{00000000-0005-0000-0000-0000EE5B0000}"/>
    <cellStyle name="Normal 5 2 4 5 2 2 2 2 2" xfId="33373" xr:uid="{00000000-0005-0000-0000-0000EF5B0000}"/>
    <cellStyle name="Normal 5 2 4 5 2 2 2 3" xfId="26408" xr:uid="{00000000-0005-0000-0000-0000F05B0000}"/>
    <cellStyle name="Normal 5 2 4 5 2 2 3" xfId="13137" xr:uid="{00000000-0005-0000-0000-0000F15B0000}"/>
    <cellStyle name="Normal 5 2 4 5 2 2 3 2" xfId="29712" xr:uid="{00000000-0005-0000-0000-0000F25B0000}"/>
    <cellStyle name="Normal 5 2 4 5 2 2 4" xfId="23108" xr:uid="{00000000-0005-0000-0000-0000F35B0000}"/>
    <cellStyle name="Normal 5 2 4 5 2 3" xfId="8174" xr:uid="{00000000-0005-0000-0000-0000F45B0000}"/>
    <cellStyle name="Normal 5 2 4 5 2 3 2" xfId="15437" xr:uid="{00000000-0005-0000-0000-0000F55B0000}"/>
    <cellStyle name="Normal 5 2 4 5 2 3 2 2" xfId="31752" xr:uid="{00000000-0005-0000-0000-0000F65B0000}"/>
    <cellStyle name="Normal 5 2 4 5 2 3 3" xfId="24787" xr:uid="{00000000-0005-0000-0000-0000F75B0000}"/>
    <cellStyle name="Normal 5 2 4 5 2 4" xfId="11489" xr:uid="{00000000-0005-0000-0000-0000F85B0000}"/>
    <cellStyle name="Normal 5 2 4 5 2 4 2" xfId="28087" xr:uid="{00000000-0005-0000-0000-0000F95B0000}"/>
    <cellStyle name="Normal 5 2 4 5 2 5" xfId="4510" xr:uid="{00000000-0005-0000-0000-0000FA5B0000}"/>
    <cellStyle name="Normal 5 2 4 5 2 5 2" xfId="21233" xr:uid="{00000000-0005-0000-0000-0000FB5B0000}"/>
    <cellStyle name="Normal 5 2 4 5 2 6" xfId="19635" xr:uid="{00000000-0005-0000-0000-0000FC5B0000}"/>
    <cellStyle name="Normal 5 2 4 5 3" xfId="2907" xr:uid="{00000000-0005-0000-0000-0000FD5B0000}"/>
    <cellStyle name="Normal 5 2 4 5 3 2" xfId="8983" xr:uid="{00000000-0005-0000-0000-0000FE5B0000}"/>
    <cellStyle name="Normal 5 2 4 5 3 2 2" xfId="16246" xr:uid="{00000000-0005-0000-0000-0000FF5B0000}"/>
    <cellStyle name="Normal 5 2 4 5 3 2 2 2" xfId="32561" xr:uid="{00000000-0005-0000-0000-0000005C0000}"/>
    <cellStyle name="Normal 5 2 4 5 3 2 3" xfId="25596" xr:uid="{00000000-0005-0000-0000-0000015C0000}"/>
    <cellStyle name="Normal 5 2 4 5 3 3" xfId="12325" xr:uid="{00000000-0005-0000-0000-0000025C0000}"/>
    <cellStyle name="Normal 5 2 4 5 3 3 2" xfId="28900" xr:uid="{00000000-0005-0000-0000-0000035C0000}"/>
    <cellStyle name="Normal 5 2 4 5 3 4" xfId="5632" xr:uid="{00000000-0005-0000-0000-0000045C0000}"/>
    <cellStyle name="Normal 5 2 4 5 3 4 2" xfId="22296" xr:uid="{00000000-0005-0000-0000-0000055C0000}"/>
    <cellStyle name="Normal 5 2 4 5 3 5" xfId="19634" xr:uid="{00000000-0005-0000-0000-0000065C0000}"/>
    <cellStyle name="Normal 5 2 4 5 4" xfId="7362" xr:uid="{00000000-0005-0000-0000-0000075C0000}"/>
    <cellStyle name="Normal 5 2 4 5 4 2" xfId="14625" xr:uid="{00000000-0005-0000-0000-0000085C0000}"/>
    <cellStyle name="Normal 5 2 4 5 4 2 2" xfId="30940" xr:uid="{00000000-0005-0000-0000-0000095C0000}"/>
    <cellStyle name="Normal 5 2 4 5 4 3" xfId="23975" xr:uid="{00000000-0005-0000-0000-00000A5C0000}"/>
    <cellStyle name="Normal 5 2 4 5 5" xfId="10677" xr:uid="{00000000-0005-0000-0000-00000B5C0000}"/>
    <cellStyle name="Normal 5 2 4 5 5 2" xfId="27275" xr:uid="{00000000-0005-0000-0000-00000C5C0000}"/>
    <cellStyle name="Normal 5 2 4 5 6" xfId="4509" xr:uid="{00000000-0005-0000-0000-00000D5C0000}"/>
    <cellStyle name="Normal 5 2 4 5 6 2" xfId="21232" xr:uid="{00000000-0005-0000-0000-00000E5C0000}"/>
    <cellStyle name="Normal 5 2 4 5 7" xfId="18181" xr:uid="{00000000-0005-0000-0000-00000F5C0000}"/>
    <cellStyle name="Normal 5 2 4 6" xfId="2909" xr:uid="{00000000-0005-0000-0000-0000105C0000}"/>
    <cellStyle name="Normal 5 2 4 6 2" xfId="6038" xr:uid="{00000000-0005-0000-0000-0000115C0000}"/>
    <cellStyle name="Normal 5 2 4 6 2 2" xfId="9389" xr:uid="{00000000-0005-0000-0000-0000125C0000}"/>
    <cellStyle name="Normal 5 2 4 6 2 2 2" xfId="16652" xr:uid="{00000000-0005-0000-0000-0000135C0000}"/>
    <cellStyle name="Normal 5 2 4 6 2 2 2 2" xfId="32967" xr:uid="{00000000-0005-0000-0000-0000145C0000}"/>
    <cellStyle name="Normal 5 2 4 6 2 2 3" xfId="26002" xr:uid="{00000000-0005-0000-0000-0000155C0000}"/>
    <cellStyle name="Normal 5 2 4 6 2 3" xfId="12731" xr:uid="{00000000-0005-0000-0000-0000165C0000}"/>
    <cellStyle name="Normal 5 2 4 6 2 3 2" xfId="29306" xr:uid="{00000000-0005-0000-0000-0000175C0000}"/>
    <cellStyle name="Normal 5 2 4 6 2 4" xfId="22702" xr:uid="{00000000-0005-0000-0000-0000185C0000}"/>
    <cellStyle name="Normal 5 2 4 6 3" xfId="7768" xr:uid="{00000000-0005-0000-0000-0000195C0000}"/>
    <cellStyle name="Normal 5 2 4 6 3 2" xfId="15031" xr:uid="{00000000-0005-0000-0000-00001A5C0000}"/>
    <cellStyle name="Normal 5 2 4 6 3 2 2" xfId="31346" xr:uid="{00000000-0005-0000-0000-00001B5C0000}"/>
    <cellStyle name="Normal 5 2 4 6 3 3" xfId="24381" xr:uid="{00000000-0005-0000-0000-00001C5C0000}"/>
    <cellStyle name="Normal 5 2 4 6 4" xfId="11083" xr:uid="{00000000-0005-0000-0000-00001D5C0000}"/>
    <cellStyle name="Normal 5 2 4 6 4 2" xfId="27681" xr:uid="{00000000-0005-0000-0000-00001E5C0000}"/>
    <cellStyle name="Normal 5 2 4 6 5" xfId="4511" xr:uid="{00000000-0005-0000-0000-00001F5C0000}"/>
    <cellStyle name="Normal 5 2 4 6 5 2" xfId="21234" xr:uid="{00000000-0005-0000-0000-0000205C0000}"/>
    <cellStyle name="Normal 5 2 4 6 6" xfId="19636" xr:uid="{00000000-0005-0000-0000-0000215C0000}"/>
    <cellStyle name="Normal 5 2 4 7" xfId="2878" xr:uid="{00000000-0005-0000-0000-0000225C0000}"/>
    <cellStyle name="Normal 5 2 4 7 2" xfId="8507" xr:uid="{00000000-0005-0000-0000-0000235C0000}"/>
    <cellStyle name="Normal 5 2 4 7 2 2" xfId="15770" xr:uid="{00000000-0005-0000-0000-0000245C0000}"/>
    <cellStyle name="Normal 5 2 4 7 2 2 2" xfId="32085" xr:uid="{00000000-0005-0000-0000-0000255C0000}"/>
    <cellStyle name="Normal 5 2 4 7 2 3" xfId="25120" xr:uid="{00000000-0005-0000-0000-0000265C0000}"/>
    <cellStyle name="Normal 5 2 4 7 3" xfId="11849" xr:uid="{00000000-0005-0000-0000-0000275C0000}"/>
    <cellStyle name="Normal 5 2 4 7 3 2" xfId="28424" xr:uid="{00000000-0005-0000-0000-0000285C0000}"/>
    <cellStyle name="Normal 5 2 4 7 4" xfId="5156" xr:uid="{00000000-0005-0000-0000-0000295C0000}"/>
    <cellStyle name="Normal 5 2 4 7 4 2" xfId="21820" xr:uid="{00000000-0005-0000-0000-00002A5C0000}"/>
    <cellStyle name="Normal 5 2 4 7 5" xfId="19605" xr:uid="{00000000-0005-0000-0000-00002B5C0000}"/>
    <cellStyle name="Normal 5 2 4 8" xfId="6888" xr:uid="{00000000-0005-0000-0000-00002C5C0000}"/>
    <cellStyle name="Normal 5 2 4 8 2" xfId="14151" xr:uid="{00000000-0005-0000-0000-00002D5C0000}"/>
    <cellStyle name="Normal 5 2 4 8 2 2" xfId="30466" xr:uid="{00000000-0005-0000-0000-00002E5C0000}"/>
    <cellStyle name="Normal 5 2 4 8 3" xfId="23501" xr:uid="{00000000-0005-0000-0000-00002F5C0000}"/>
    <cellStyle name="Normal 5 2 4 9" xfId="10202" xr:uid="{00000000-0005-0000-0000-0000305C0000}"/>
    <cellStyle name="Normal 5 2 4 9 2" xfId="26801" xr:uid="{00000000-0005-0000-0000-0000315C0000}"/>
    <cellStyle name="Normal 5 2 5" xfId="2910" xr:uid="{00000000-0005-0000-0000-0000325C0000}"/>
    <cellStyle name="Normal 5 2 5 2" xfId="2911" xr:uid="{00000000-0005-0000-0000-0000335C0000}"/>
    <cellStyle name="Normal 5 2 5 2 2" xfId="2912" xr:uid="{00000000-0005-0000-0000-0000345C0000}"/>
    <cellStyle name="Normal 5 2 5 2 2 2" xfId="6692" xr:uid="{00000000-0005-0000-0000-0000355C0000}"/>
    <cellStyle name="Normal 5 2 5 2 2 2 2" xfId="10043" xr:uid="{00000000-0005-0000-0000-0000365C0000}"/>
    <cellStyle name="Normal 5 2 5 2 2 2 2 2" xfId="17306" xr:uid="{00000000-0005-0000-0000-0000375C0000}"/>
    <cellStyle name="Normal 5 2 5 2 2 2 2 2 2" xfId="33621" xr:uid="{00000000-0005-0000-0000-0000385C0000}"/>
    <cellStyle name="Normal 5 2 5 2 2 2 2 3" xfId="26656" xr:uid="{00000000-0005-0000-0000-0000395C0000}"/>
    <cellStyle name="Normal 5 2 5 2 2 2 3" xfId="13385" xr:uid="{00000000-0005-0000-0000-00003A5C0000}"/>
    <cellStyle name="Normal 5 2 5 2 2 2 3 2" xfId="29960" xr:uid="{00000000-0005-0000-0000-00003B5C0000}"/>
    <cellStyle name="Normal 5 2 5 2 2 2 4" xfId="23356" xr:uid="{00000000-0005-0000-0000-00003C5C0000}"/>
    <cellStyle name="Normal 5 2 5 2 2 3" xfId="8422" xr:uid="{00000000-0005-0000-0000-00003D5C0000}"/>
    <cellStyle name="Normal 5 2 5 2 2 3 2" xfId="15685" xr:uid="{00000000-0005-0000-0000-00003E5C0000}"/>
    <cellStyle name="Normal 5 2 5 2 2 3 2 2" xfId="32000" xr:uid="{00000000-0005-0000-0000-00003F5C0000}"/>
    <cellStyle name="Normal 5 2 5 2 2 3 3" xfId="25035" xr:uid="{00000000-0005-0000-0000-0000405C0000}"/>
    <cellStyle name="Normal 5 2 5 2 2 4" xfId="11737" xr:uid="{00000000-0005-0000-0000-0000415C0000}"/>
    <cellStyle name="Normal 5 2 5 2 2 4 2" xfId="28335" xr:uid="{00000000-0005-0000-0000-0000425C0000}"/>
    <cellStyle name="Normal 5 2 5 2 2 5" xfId="4514" xr:uid="{00000000-0005-0000-0000-0000435C0000}"/>
    <cellStyle name="Normal 5 2 5 2 2 5 2" xfId="21237" xr:uid="{00000000-0005-0000-0000-0000445C0000}"/>
    <cellStyle name="Normal 5 2 5 2 2 6" xfId="19639" xr:uid="{00000000-0005-0000-0000-0000455C0000}"/>
    <cellStyle name="Normal 5 2 5 2 3" xfId="5916" xr:uid="{00000000-0005-0000-0000-0000465C0000}"/>
    <cellStyle name="Normal 5 2 5 2 3 2" xfId="9267" xr:uid="{00000000-0005-0000-0000-0000475C0000}"/>
    <cellStyle name="Normal 5 2 5 2 3 2 2" xfId="16530" xr:uid="{00000000-0005-0000-0000-0000485C0000}"/>
    <cellStyle name="Normal 5 2 5 2 3 2 2 2" xfId="32845" xr:uid="{00000000-0005-0000-0000-0000495C0000}"/>
    <cellStyle name="Normal 5 2 5 2 3 2 3" xfId="25880" xr:uid="{00000000-0005-0000-0000-00004A5C0000}"/>
    <cellStyle name="Normal 5 2 5 2 3 3" xfId="12609" xr:uid="{00000000-0005-0000-0000-00004B5C0000}"/>
    <cellStyle name="Normal 5 2 5 2 3 3 2" xfId="29184" xr:uid="{00000000-0005-0000-0000-00004C5C0000}"/>
    <cellStyle name="Normal 5 2 5 2 3 4" xfId="22580" xr:uid="{00000000-0005-0000-0000-00004D5C0000}"/>
    <cellStyle name="Normal 5 2 5 2 4" xfId="7646" xr:uid="{00000000-0005-0000-0000-00004E5C0000}"/>
    <cellStyle name="Normal 5 2 5 2 4 2" xfId="14909" xr:uid="{00000000-0005-0000-0000-00004F5C0000}"/>
    <cellStyle name="Normal 5 2 5 2 4 2 2" xfId="31224" xr:uid="{00000000-0005-0000-0000-0000505C0000}"/>
    <cellStyle name="Normal 5 2 5 2 4 3" xfId="24259" xr:uid="{00000000-0005-0000-0000-0000515C0000}"/>
    <cellStyle name="Normal 5 2 5 2 5" xfId="10961" xr:uid="{00000000-0005-0000-0000-0000525C0000}"/>
    <cellStyle name="Normal 5 2 5 2 5 2" xfId="27559" xr:uid="{00000000-0005-0000-0000-0000535C0000}"/>
    <cellStyle name="Normal 5 2 5 2 6" xfId="4513" xr:uid="{00000000-0005-0000-0000-0000545C0000}"/>
    <cellStyle name="Normal 5 2 5 2 6 2" xfId="21236" xr:uid="{00000000-0005-0000-0000-0000555C0000}"/>
    <cellStyle name="Normal 5 2 5 2 7" xfId="19638" xr:uid="{00000000-0005-0000-0000-0000565C0000}"/>
    <cellStyle name="Normal 5 2 5 3" xfId="2913" xr:uid="{00000000-0005-0000-0000-0000575C0000}"/>
    <cellStyle name="Normal 5 2 5 3 2" xfId="6322" xr:uid="{00000000-0005-0000-0000-0000585C0000}"/>
    <cellStyle name="Normal 5 2 5 3 2 2" xfId="9673" xr:uid="{00000000-0005-0000-0000-0000595C0000}"/>
    <cellStyle name="Normal 5 2 5 3 2 2 2" xfId="16936" xr:uid="{00000000-0005-0000-0000-00005A5C0000}"/>
    <cellStyle name="Normal 5 2 5 3 2 2 2 2" xfId="33251" xr:uid="{00000000-0005-0000-0000-00005B5C0000}"/>
    <cellStyle name="Normal 5 2 5 3 2 2 3" xfId="26286" xr:uid="{00000000-0005-0000-0000-00005C5C0000}"/>
    <cellStyle name="Normal 5 2 5 3 2 3" xfId="13015" xr:uid="{00000000-0005-0000-0000-00005D5C0000}"/>
    <cellStyle name="Normal 5 2 5 3 2 3 2" xfId="29590" xr:uid="{00000000-0005-0000-0000-00005E5C0000}"/>
    <cellStyle name="Normal 5 2 5 3 2 4" xfId="22986" xr:uid="{00000000-0005-0000-0000-00005F5C0000}"/>
    <cellStyle name="Normal 5 2 5 3 3" xfId="8052" xr:uid="{00000000-0005-0000-0000-0000605C0000}"/>
    <cellStyle name="Normal 5 2 5 3 3 2" xfId="15315" xr:uid="{00000000-0005-0000-0000-0000615C0000}"/>
    <cellStyle name="Normal 5 2 5 3 3 2 2" xfId="31630" xr:uid="{00000000-0005-0000-0000-0000625C0000}"/>
    <cellStyle name="Normal 5 2 5 3 3 3" xfId="24665" xr:uid="{00000000-0005-0000-0000-0000635C0000}"/>
    <cellStyle name="Normal 5 2 5 3 4" xfId="11367" xr:uid="{00000000-0005-0000-0000-0000645C0000}"/>
    <cellStyle name="Normal 5 2 5 3 4 2" xfId="27965" xr:uid="{00000000-0005-0000-0000-0000655C0000}"/>
    <cellStyle name="Normal 5 2 5 3 5" xfId="4515" xr:uid="{00000000-0005-0000-0000-0000665C0000}"/>
    <cellStyle name="Normal 5 2 5 3 5 2" xfId="21238" xr:uid="{00000000-0005-0000-0000-0000675C0000}"/>
    <cellStyle name="Normal 5 2 5 3 6" xfId="19640" xr:uid="{00000000-0005-0000-0000-0000685C0000}"/>
    <cellStyle name="Normal 5 2 5 4" xfId="5509" xr:uid="{00000000-0005-0000-0000-0000695C0000}"/>
    <cellStyle name="Normal 5 2 5 4 2" xfId="8860" xr:uid="{00000000-0005-0000-0000-00006A5C0000}"/>
    <cellStyle name="Normal 5 2 5 4 2 2" xfId="16123" xr:uid="{00000000-0005-0000-0000-00006B5C0000}"/>
    <cellStyle name="Normal 5 2 5 4 2 2 2" xfId="32438" xr:uid="{00000000-0005-0000-0000-00006C5C0000}"/>
    <cellStyle name="Normal 5 2 5 4 2 3" xfId="25473" xr:uid="{00000000-0005-0000-0000-00006D5C0000}"/>
    <cellStyle name="Normal 5 2 5 4 3" xfId="12202" xr:uid="{00000000-0005-0000-0000-00006E5C0000}"/>
    <cellStyle name="Normal 5 2 5 4 3 2" xfId="28777" xr:uid="{00000000-0005-0000-0000-00006F5C0000}"/>
    <cellStyle name="Normal 5 2 5 4 4" xfId="22173" xr:uid="{00000000-0005-0000-0000-0000705C0000}"/>
    <cellStyle name="Normal 5 2 5 5" xfId="7240" xr:uid="{00000000-0005-0000-0000-0000715C0000}"/>
    <cellStyle name="Normal 5 2 5 5 2" xfId="14503" xr:uid="{00000000-0005-0000-0000-0000725C0000}"/>
    <cellStyle name="Normal 5 2 5 5 2 2" xfId="30818" xr:uid="{00000000-0005-0000-0000-0000735C0000}"/>
    <cellStyle name="Normal 5 2 5 5 3" xfId="23853" xr:uid="{00000000-0005-0000-0000-0000745C0000}"/>
    <cellStyle name="Normal 5 2 5 6" xfId="10555" xr:uid="{00000000-0005-0000-0000-0000755C0000}"/>
    <cellStyle name="Normal 5 2 5 6 2" xfId="27153" xr:uid="{00000000-0005-0000-0000-0000765C0000}"/>
    <cellStyle name="Normal 5 2 5 7" xfId="4512" xr:uid="{00000000-0005-0000-0000-0000775C0000}"/>
    <cellStyle name="Normal 5 2 5 7 2" xfId="21235" xr:uid="{00000000-0005-0000-0000-0000785C0000}"/>
    <cellStyle name="Normal 5 2 5 8" xfId="19637" xr:uid="{00000000-0005-0000-0000-0000795C0000}"/>
    <cellStyle name="Normal 5 2 6" xfId="5034" xr:uid="{00000000-0005-0000-0000-00007A5C0000}"/>
    <cellStyle name="Normal 5 2 6 2" xfId="6805" xr:uid="{00000000-0005-0000-0000-00007B5C0000}"/>
    <cellStyle name="Normal 5 2 6 2 2" xfId="10118" xr:uid="{00000000-0005-0000-0000-00007C5C0000}"/>
    <cellStyle name="Normal 5 2 6 2 2 2" xfId="17381" xr:uid="{00000000-0005-0000-0000-00007D5C0000}"/>
    <cellStyle name="Normal 5 2 6 2 2 2 2" xfId="33696" xr:uid="{00000000-0005-0000-0000-00007E5C0000}"/>
    <cellStyle name="Normal 5 2 6 2 2 3" xfId="26731" xr:uid="{00000000-0005-0000-0000-00007F5C0000}"/>
    <cellStyle name="Normal 5 2 6 2 3" xfId="13463" xr:uid="{00000000-0005-0000-0000-0000805C0000}"/>
    <cellStyle name="Normal 5 2 6 2 3 2" xfId="30035" xr:uid="{00000000-0005-0000-0000-0000815C0000}"/>
    <cellStyle name="Normal 5 2 6 2 4" xfId="23431" xr:uid="{00000000-0005-0000-0000-0000825C0000}"/>
    <cellStyle name="Normal 5 2 6 3" xfId="8440" xr:uid="{00000000-0005-0000-0000-0000835C0000}"/>
    <cellStyle name="Normal 5 2 6 3 2" xfId="15703" xr:uid="{00000000-0005-0000-0000-0000845C0000}"/>
    <cellStyle name="Normal 5 2 6 3 2 2" xfId="32018" xr:uid="{00000000-0005-0000-0000-0000855C0000}"/>
    <cellStyle name="Normal 5 2 6 3 3" xfId="25053" xr:uid="{00000000-0005-0000-0000-0000865C0000}"/>
    <cellStyle name="Normal 5 2 6 4" xfId="11755" xr:uid="{00000000-0005-0000-0000-0000875C0000}"/>
    <cellStyle name="Normal 5 2 6 4 2" xfId="28353" xr:uid="{00000000-0005-0000-0000-0000885C0000}"/>
    <cellStyle name="Normal 5 2 6 5" xfId="21753" xr:uid="{00000000-0005-0000-0000-0000895C0000}"/>
    <cellStyle name="Normal 5 3" xfId="361" xr:uid="{00000000-0005-0000-0000-00008A5C0000}"/>
    <cellStyle name="Normal 5 3 2" xfId="548" xr:uid="{00000000-0005-0000-0000-00008B5C0000}"/>
    <cellStyle name="Normal 5 3 2 10" xfId="10165" xr:uid="{00000000-0005-0000-0000-00008C5C0000}"/>
    <cellStyle name="Normal 5 3 2 10 2" xfId="26770" xr:uid="{00000000-0005-0000-0000-00008D5C0000}"/>
    <cellStyle name="Normal 5 3 2 11" xfId="4516" xr:uid="{00000000-0005-0000-0000-00008E5C0000}"/>
    <cellStyle name="Normal 5 3 2 11 2" xfId="21239" xr:uid="{00000000-0005-0000-0000-00008F5C0000}"/>
    <cellStyle name="Normal 5 3 2 12" xfId="17420" xr:uid="{00000000-0005-0000-0000-0000905C0000}"/>
    <cellStyle name="Normal 5 3 2 2" xfId="611" xr:uid="{00000000-0005-0000-0000-0000915C0000}"/>
    <cellStyle name="Normal 5 3 2 2 10" xfId="4517" xr:uid="{00000000-0005-0000-0000-0000925C0000}"/>
    <cellStyle name="Normal 5 3 2 2 10 2" xfId="21240" xr:uid="{00000000-0005-0000-0000-0000935C0000}"/>
    <cellStyle name="Normal 5 3 2 2 11" xfId="17437" xr:uid="{00000000-0005-0000-0000-0000945C0000}"/>
    <cellStyle name="Normal 5 3 2 2 2" xfId="693" xr:uid="{00000000-0005-0000-0000-0000955C0000}"/>
    <cellStyle name="Normal 5 3 2 2 2 10" xfId="17507" xr:uid="{00000000-0005-0000-0000-0000965C0000}"/>
    <cellStyle name="Normal 5 3 2 2 2 2" xfId="1028" xr:uid="{00000000-0005-0000-0000-0000975C0000}"/>
    <cellStyle name="Normal 5 3 2 2 2 2 2" xfId="1212" xr:uid="{00000000-0005-0000-0000-0000985C0000}"/>
    <cellStyle name="Normal 5 3 2 2 2 2 2 2" xfId="1733" xr:uid="{00000000-0005-0000-0000-0000995C0000}"/>
    <cellStyle name="Normal 5 3 2 2 2 2 2 2 2" xfId="2920" xr:uid="{00000000-0005-0000-0000-00009A5C0000}"/>
    <cellStyle name="Normal 5 3 2 2 2 2 2 2 2 2" xfId="6627" xr:uid="{00000000-0005-0000-0000-00009B5C0000}"/>
    <cellStyle name="Normal 5 3 2 2 2 2 2 2 2 2 2" xfId="9978" xr:uid="{00000000-0005-0000-0000-00009C5C0000}"/>
    <cellStyle name="Normal 5 3 2 2 2 2 2 2 2 2 2 2" xfId="17241" xr:uid="{00000000-0005-0000-0000-00009D5C0000}"/>
    <cellStyle name="Normal 5 3 2 2 2 2 2 2 2 2 2 2 2" xfId="33556" xr:uid="{00000000-0005-0000-0000-00009E5C0000}"/>
    <cellStyle name="Normal 5 3 2 2 2 2 2 2 2 2 2 3" xfId="26591" xr:uid="{00000000-0005-0000-0000-00009F5C0000}"/>
    <cellStyle name="Normal 5 3 2 2 2 2 2 2 2 2 3" xfId="13320" xr:uid="{00000000-0005-0000-0000-0000A05C0000}"/>
    <cellStyle name="Normal 5 3 2 2 2 2 2 2 2 2 3 2" xfId="29895" xr:uid="{00000000-0005-0000-0000-0000A15C0000}"/>
    <cellStyle name="Normal 5 3 2 2 2 2 2 2 2 2 4" xfId="23291" xr:uid="{00000000-0005-0000-0000-0000A25C0000}"/>
    <cellStyle name="Normal 5 3 2 2 2 2 2 2 2 3" xfId="8357" xr:uid="{00000000-0005-0000-0000-0000A35C0000}"/>
    <cellStyle name="Normal 5 3 2 2 2 2 2 2 2 3 2" xfId="15620" xr:uid="{00000000-0005-0000-0000-0000A45C0000}"/>
    <cellStyle name="Normal 5 3 2 2 2 2 2 2 2 3 2 2" xfId="31935" xr:uid="{00000000-0005-0000-0000-0000A55C0000}"/>
    <cellStyle name="Normal 5 3 2 2 2 2 2 2 2 3 3" xfId="24970" xr:uid="{00000000-0005-0000-0000-0000A65C0000}"/>
    <cellStyle name="Normal 5 3 2 2 2 2 2 2 2 4" xfId="11672" xr:uid="{00000000-0005-0000-0000-0000A75C0000}"/>
    <cellStyle name="Normal 5 3 2 2 2 2 2 2 2 4 2" xfId="28270" xr:uid="{00000000-0005-0000-0000-0000A85C0000}"/>
    <cellStyle name="Normal 5 3 2 2 2 2 2 2 2 5" xfId="4522" xr:uid="{00000000-0005-0000-0000-0000A95C0000}"/>
    <cellStyle name="Normal 5 3 2 2 2 2 2 2 2 5 2" xfId="21245" xr:uid="{00000000-0005-0000-0000-0000AA5C0000}"/>
    <cellStyle name="Normal 5 3 2 2 2 2 2 2 2 6" xfId="19647" xr:uid="{00000000-0005-0000-0000-0000AB5C0000}"/>
    <cellStyle name="Normal 5 3 2 2 2 2 2 2 3" xfId="2919" xr:uid="{00000000-0005-0000-0000-0000AC5C0000}"/>
    <cellStyle name="Normal 5 3 2 2 2 2 2 2 3 2" xfId="9202" xr:uid="{00000000-0005-0000-0000-0000AD5C0000}"/>
    <cellStyle name="Normal 5 3 2 2 2 2 2 2 3 2 2" xfId="16465" xr:uid="{00000000-0005-0000-0000-0000AE5C0000}"/>
    <cellStyle name="Normal 5 3 2 2 2 2 2 2 3 2 2 2" xfId="32780" xr:uid="{00000000-0005-0000-0000-0000AF5C0000}"/>
    <cellStyle name="Normal 5 3 2 2 2 2 2 2 3 2 3" xfId="25815" xr:uid="{00000000-0005-0000-0000-0000B05C0000}"/>
    <cellStyle name="Normal 5 3 2 2 2 2 2 2 3 3" xfId="12544" xr:uid="{00000000-0005-0000-0000-0000B15C0000}"/>
    <cellStyle name="Normal 5 3 2 2 2 2 2 2 3 3 2" xfId="29119" xr:uid="{00000000-0005-0000-0000-0000B25C0000}"/>
    <cellStyle name="Normal 5 3 2 2 2 2 2 2 3 4" xfId="5851" xr:uid="{00000000-0005-0000-0000-0000B35C0000}"/>
    <cellStyle name="Normal 5 3 2 2 2 2 2 2 3 4 2" xfId="22515" xr:uid="{00000000-0005-0000-0000-0000B45C0000}"/>
    <cellStyle name="Normal 5 3 2 2 2 2 2 2 3 5" xfId="19646" xr:uid="{00000000-0005-0000-0000-0000B55C0000}"/>
    <cellStyle name="Normal 5 3 2 2 2 2 2 2 4" xfId="7581" xr:uid="{00000000-0005-0000-0000-0000B65C0000}"/>
    <cellStyle name="Normal 5 3 2 2 2 2 2 2 4 2" xfId="14844" xr:uid="{00000000-0005-0000-0000-0000B75C0000}"/>
    <cellStyle name="Normal 5 3 2 2 2 2 2 2 4 2 2" xfId="31159" xr:uid="{00000000-0005-0000-0000-0000B85C0000}"/>
    <cellStyle name="Normal 5 3 2 2 2 2 2 2 4 3" xfId="24194" xr:uid="{00000000-0005-0000-0000-0000B95C0000}"/>
    <cellStyle name="Normal 5 3 2 2 2 2 2 2 5" xfId="10896" xr:uid="{00000000-0005-0000-0000-0000BA5C0000}"/>
    <cellStyle name="Normal 5 3 2 2 2 2 2 2 5 2" xfId="27494" xr:uid="{00000000-0005-0000-0000-0000BB5C0000}"/>
    <cellStyle name="Normal 5 3 2 2 2 2 2 2 6" xfId="4521" xr:uid="{00000000-0005-0000-0000-0000BC5C0000}"/>
    <cellStyle name="Normal 5 3 2 2 2 2 2 2 6 2" xfId="21244" xr:uid="{00000000-0005-0000-0000-0000BD5C0000}"/>
    <cellStyle name="Normal 5 3 2 2 2 2 2 2 7" xfId="18468" xr:uid="{00000000-0005-0000-0000-0000BE5C0000}"/>
    <cellStyle name="Normal 5 3 2 2 2 2 2 3" xfId="2921" xr:uid="{00000000-0005-0000-0000-0000BF5C0000}"/>
    <cellStyle name="Normal 5 3 2 2 2 2 2 3 2" xfId="6257" xr:uid="{00000000-0005-0000-0000-0000C05C0000}"/>
    <cellStyle name="Normal 5 3 2 2 2 2 2 3 2 2" xfId="9608" xr:uid="{00000000-0005-0000-0000-0000C15C0000}"/>
    <cellStyle name="Normal 5 3 2 2 2 2 2 3 2 2 2" xfId="16871" xr:uid="{00000000-0005-0000-0000-0000C25C0000}"/>
    <cellStyle name="Normal 5 3 2 2 2 2 2 3 2 2 2 2" xfId="33186" xr:uid="{00000000-0005-0000-0000-0000C35C0000}"/>
    <cellStyle name="Normal 5 3 2 2 2 2 2 3 2 2 3" xfId="26221" xr:uid="{00000000-0005-0000-0000-0000C45C0000}"/>
    <cellStyle name="Normal 5 3 2 2 2 2 2 3 2 3" xfId="12950" xr:uid="{00000000-0005-0000-0000-0000C55C0000}"/>
    <cellStyle name="Normal 5 3 2 2 2 2 2 3 2 3 2" xfId="29525" xr:uid="{00000000-0005-0000-0000-0000C65C0000}"/>
    <cellStyle name="Normal 5 3 2 2 2 2 2 3 2 4" xfId="22921" xr:uid="{00000000-0005-0000-0000-0000C75C0000}"/>
    <cellStyle name="Normal 5 3 2 2 2 2 2 3 3" xfId="7987" xr:uid="{00000000-0005-0000-0000-0000C85C0000}"/>
    <cellStyle name="Normal 5 3 2 2 2 2 2 3 3 2" xfId="15250" xr:uid="{00000000-0005-0000-0000-0000C95C0000}"/>
    <cellStyle name="Normal 5 3 2 2 2 2 2 3 3 2 2" xfId="31565" xr:uid="{00000000-0005-0000-0000-0000CA5C0000}"/>
    <cellStyle name="Normal 5 3 2 2 2 2 2 3 3 3" xfId="24600" xr:uid="{00000000-0005-0000-0000-0000CB5C0000}"/>
    <cellStyle name="Normal 5 3 2 2 2 2 2 3 4" xfId="11302" xr:uid="{00000000-0005-0000-0000-0000CC5C0000}"/>
    <cellStyle name="Normal 5 3 2 2 2 2 2 3 4 2" xfId="27900" xr:uid="{00000000-0005-0000-0000-0000CD5C0000}"/>
    <cellStyle name="Normal 5 3 2 2 2 2 2 3 5" xfId="4523" xr:uid="{00000000-0005-0000-0000-0000CE5C0000}"/>
    <cellStyle name="Normal 5 3 2 2 2 2 2 3 5 2" xfId="21246" xr:uid="{00000000-0005-0000-0000-0000CF5C0000}"/>
    <cellStyle name="Normal 5 3 2 2 2 2 2 3 6" xfId="19648" xr:uid="{00000000-0005-0000-0000-0000D05C0000}"/>
    <cellStyle name="Normal 5 3 2 2 2 2 2 4" xfId="2918" xr:uid="{00000000-0005-0000-0000-0000D15C0000}"/>
    <cellStyle name="Normal 5 3 2 2 2 2 2 4 2" xfId="8795" xr:uid="{00000000-0005-0000-0000-0000D25C0000}"/>
    <cellStyle name="Normal 5 3 2 2 2 2 2 4 2 2" xfId="16058" xr:uid="{00000000-0005-0000-0000-0000D35C0000}"/>
    <cellStyle name="Normal 5 3 2 2 2 2 2 4 2 2 2" xfId="32373" xr:uid="{00000000-0005-0000-0000-0000D45C0000}"/>
    <cellStyle name="Normal 5 3 2 2 2 2 2 4 2 3" xfId="25408" xr:uid="{00000000-0005-0000-0000-0000D55C0000}"/>
    <cellStyle name="Normal 5 3 2 2 2 2 2 4 3" xfId="12137" xr:uid="{00000000-0005-0000-0000-0000D65C0000}"/>
    <cellStyle name="Normal 5 3 2 2 2 2 2 4 3 2" xfId="28712" xr:uid="{00000000-0005-0000-0000-0000D75C0000}"/>
    <cellStyle name="Normal 5 3 2 2 2 2 2 4 4" xfId="5444" xr:uid="{00000000-0005-0000-0000-0000D85C0000}"/>
    <cellStyle name="Normal 5 3 2 2 2 2 2 4 4 2" xfId="22108" xr:uid="{00000000-0005-0000-0000-0000D95C0000}"/>
    <cellStyle name="Normal 5 3 2 2 2 2 2 4 5" xfId="19645" xr:uid="{00000000-0005-0000-0000-0000DA5C0000}"/>
    <cellStyle name="Normal 5 3 2 2 2 2 2 5" xfId="7175" xr:uid="{00000000-0005-0000-0000-0000DB5C0000}"/>
    <cellStyle name="Normal 5 3 2 2 2 2 2 5 2" xfId="14438" xr:uid="{00000000-0005-0000-0000-0000DC5C0000}"/>
    <cellStyle name="Normal 5 3 2 2 2 2 2 5 2 2" xfId="30753" xr:uid="{00000000-0005-0000-0000-0000DD5C0000}"/>
    <cellStyle name="Normal 5 3 2 2 2 2 2 5 3" xfId="23788" xr:uid="{00000000-0005-0000-0000-0000DE5C0000}"/>
    <cellStyle name="Normal 5 3 2 2 2 2 2 6" xfId="10490" xr:uid="{00000000-0005-0000-0000-0000DF5C0000}"/>
    <cellStyle name="Normal 5 3 2 2 2 2 2 6 2" xfId="27088" xr:uid="{00000000-0005-0000-0000-0000E05C0000}"/>
    <cellStyle name="Normal 5 3 2 2 2 2 2 7" xfId="4520" xr:uid="{00000000-0005-0000-0000-0000E15C0000}"/>
    <cellStyle name="Normal 5 3 2 2 2 2 2 7 2" xfId="21243" xr:uid="{00000000-0005-0000-0000-0000E25C0000}"/>
    <cellStyle name="Normal 5 3 2 2 2 2 2 8" xfId="17949" xr:uid="{00000000-0005-0000-0000-0000E35C0000}"/>
    <cellStyle name="Normal 5 3 2 2 2 2 3" xfId="1589" xr:uid="{00000000-0005-0000-0000-0000E45C0000}"/>
    <cellStyle name="Normal 5 3 2 2 2 2 3 2" xfId="2923" xr:uid="{00000000-0005-0000-0000-0000E55C0000}"/>
    <cellStyle name="Normal 5 3 2 2 2 2 3 2 2" xfId="6451" xr:uid="{00000000-0005-0000-0000-0000E65C0000}"/>
    <cellStyle name="Normal 5 3 2 2 2 2 3 2 2 2" xfId="9802" xr:uid="{00000000-0005-0000-0000-0000E75C0000}"/>
    <cellStyle name="Normal 5 3 2 2 2 2 3 2 2 2 2" xfId="17065" xr:uid="{00000000-0005-0000-0000-0000E85C0000}"/>
    <cellStyle name="Normal 5 3 2 2 2 2 3 2 2 2 2 2" xfId="33380" xr:uid="{00000000-0005-0000-0000-0000E95C0000}"/>
    <cellStyle name="Normal 5 3 2 2 2 2 3 2 2 2 3" xfId="26415" xr:uid="{00000000-0005-0000-0000-0000EA5C0000}"/>
    <cellStyle name="Normal 5 3 2 2 2 2 3 2 2 3" xfId="13144" xr:uid="{00000000-0005-0000-0000-0000EB5C0000}"/>
    <cellStyle name="Normal 5 3 2 2 2 2 3 2 2 3 2" xfId="29719" xr:uid="{00000000-0005-0000-0000-0000EC5C0000}"/>
    <cellStyle name="Normal 5 3 2 2 2 2 3 2 2 4" xfId="23115" xr:uid="{00000000-0005-0000-0000-0000ED5C0000}"/>
    <cellStyle name="Normal 5 3 2 2 2 2 3 2 3" xfId="8181" xr:uid="{00000000-0005-0000-0000-0000EE5C0000}"/>
    <cellStyle name="Normal 5 3 2 2 2 2 3 2 3 2" xfId="15444" xr:uid="{00000000-0005-0000-0000-0000EF5C0000}"/>
    <cellStyle name="Normal 5 3 2 2 2 2 3 2 3 2 2" xfId="31759" xr:uid="{00000000-0005-0000-0000-0000F05C0000}"/>
    <cellStyle name="Normal 5 3 2 2 2 2 3 2 3 3" xfId="24794" xr:uid="{00000000-0005-0000-0000-0000F15C0000}"/>
    <cellStyle name="Normal 5 3 2 2 2 2 3 2 4" xfId="11496" xr:uid="{00000000-0005-0000-0000-0000F25C0000}"/>
    <cellStyle name="Normal 5 3 2 2 2 2 3 2 4 2" xfId="28094" xr:uid="{00000000-0005-0000-0000-0000F35C0000}"/>
    <cellStyle name="Normal 5 3 2 2 2 2 3 2 5" xfId="4525" xr:uid="{00000000-0005-0000-0000-0000F45C0000}"/>
    <cellStyle name="Normal 5 3 2 2 2 2 3 2 5 2" xfId="21248" xr:uid="{00000000-0005-0000-0000-0000F55C0000}"/>
    <cellStyle name="Normal 5 3 2 2 2 2 3 2 6" xfId="19650" xr:uid="{00000000-0005-0000-0000-0000F65C0000}"/>
    <cellStyle name="Normal 5 3 2 2 2 2 3 3" xfId="2922" xr:uid="{00000000-0005-0000-0000-0000F75C0000}"/>
    <cellStyle name="Normal 5 3 2 2 2 2 3 3 2" xfId="8990" xr:uid="{00000000-0005-0000-0000-0000F85C0000}"/>
    <cellStyle name="Normal 5 3 2 2 2 2 3 3 2 2" xfId="16253" xr:uid="{00000000-0005-0000-0000-0000F95C0000}"/>
    <cellStyle name="Normal 5 3 2 2 2 2 3 3 2 2 2" xfId="32568" xr:uid="{00000000-0005-0000-0000-0000FA5C0000}"/>
    <cellStyle name="Normal 5 3 2 2 2 2 3 3 2 3" xfId="25603" xr:uid="{00000000-0005-0000-0000-0000FB5C0000}"/>
    <cellStyle name="Normal 5 3 2 2 2 2 3 3 3" xfId="12332" xr:uid="{00000000-0005-0000-0000-0000FC5C0000}"/>
    <cellStyle name="Normal 5 3 2 2 2 2 3 3 3 2" xfId="28907" xr:uid="{00000000-0005-0000-0000-0000FD5C0000}"/>
    <cellStyle name="Normal 5 3 2 2 2 2 3 3 4" xfId="5639" xr:uid="{00000000-0005-0000-0000-0000FE5C0000}"/>
    <cellStyle name="Normal 5 3 2 2 2 2 3 3 4 2" xfId="22303" xr:uid="{00000000-0005-0000-0000-0000FF5C0000}"/>
    <cellStyle name="Normal 5 3 2 2 2 2 3 3 5" xfId="19649" xr:uid="{00000000-0005-0000-0000-0000005D0000}"/>
    <cellStyle name="Normal 5 3 2 2 2 2 3 4" xfId="7369" xr:uid="{00000000-0005-0000-0000-0000015D0000}"/>
    <cellStyle name="Normal 5 3 2 2 2 2 3 4 2" xfId="14632" xr:uid="{00000000-0005-0000-0000-0000025D0000}"/>
    <cellStyle name="Normal 5 3 2 2 2 2 3 4 2 2" xfId="30947" xr:uid="{00000000-0005-0000-0000-0000035D0000}"/>
    <cellStyle name="Normal 5 3 2 2 2 2 3 4 3" xfId="23982" xr:uid="{00000000-0005-0000-0000-0000045D0000}"/>
    <cellStyle name="Normal 5 3 2 2 2 2 3 5" xfId="10684" xr:uid="{00000000-0005-0000-0000-0000055D0000}"/>
    <cellStyle name="Normal 5 3 2 2 2 2 3 5 2" xfId="27282" xr:uid="{00000000-0005-0000-0000-0000065D0000}"/>
    <cellStyle name="Normal 5 3 2 2 2 2 3 6" xfId="4524" xr:uid="{00000000-0005-0000-0000-0000075D0000}"/>
    <cellStyle name="Normal 5 3 2 2 2 2 3 6 2" xfId="21247" xr:uid="{00000000-0005-0000-0000-0000085D0000}"/>
    <cellStyle name="Normal 5 3 2 2 2 2 3 7" xfId="18324" xr:uid="{00000000-0005-0000-0000-0000095D0000}"/>
    <cellStyle name="Normal 5 3 2 2 2 2 4" xfId="2924" xr:uid="{00000000-0005-0000-0000-00000A5D0000}"/>
    <cellStyle name="Normal 5 3 2 2 2 2 4 2" xfId="6045" xr:uid="{00000000-0005-0000-0000-00000B5D0000}"/>
    <cellStyle name="Normal 5 3 2 2 2 2 4 2 2" xfId="9396" xr:uid="{00000000-0005-0000-0000-00000C5D0000}"/>
    <cellStyle name="Normal 5 3 2 2 2 2 4 2 2 2" xfId="16659" xr:uid="{00000000-0005-0000-0000-00000D5D0000}"/>
    <cellStyle name="Normal 5 3 2 2 2 2 4 2 2 2 2" xfId="32974" xr:uid="{00000000-0005-0000-0000-00000E5D0000}"/>
    <cellStyle name="Normal 5 3 2 2 2 2 4 2 2 3" xfId="26009" xr:uid="{00000000-0005-0000-0000-00000F5D0000}"/>
    <cellStyle name="Normal 5 3 2 2 2 2 4 2 3" xfId="12738" xr:uid="{00000000-0005-0000-0000-0000105D0000}"/>
    <cellStyle name="Normal 5 3 2 2 2 2 4 2 3 2" xfId="29313" xr:uid="{00000000-0005-0000-0000-0000115D0000}"/>
    <cellStyle name="Normal 5 3 2 2 2 2 4 2 4" xfId="22709" xr:uid="{00000000-0005-0000-0000-0000125D0000}"/>
    <cellStyle name="Normal 5 3 2 2 2 2 4 3" xfId="7775" xr:uid="{00000000-0005-0000-0000-0000135D0000}"/>
    <cellStyle name="Normal 5 3 2 2 2 2 4 3 2" xfId="15038" xr:uid="{00000000-0005-0000-0000-0000145D0000}"/>
    <cellStyle name="Normal 5 3 2 2 2 2 4 3 2 2" xfId="31353" xr:uid="{00000000-0005-0000-0000-0000155D0000}"/>
    <cellStyle name="Normal 5 3 2 2 2 2 4 3 3" xfId="24388" xr:uid="{00000000-0005-0000-0000-0000165D0000}"/>
    <cellStyle name="Normal 5 3 2 2 2 2 4 4" xfId="11090" xr:uid="{00000000-0005-0000-0000-0000175D0000}"/>
    <cellStyle name="Normal 5 3 2 2 2 2 4 4 2" xfId="27688" xr:uid="{00000000-0005-0000-0000-0000185D0000}"/>
    <cellStyle name="Normal 5 3 2 2 2 2 4 5" xfId="4526" xr:uid="{00000000-0005-0000-0000-0000195D0000}"/>
    <cellStyle name="Normal 5 3 2 2 2 2 4 5 2" xfId="21249" xr:uid="{00000000-0005-0000-0000-00001A5D0000}"/>
    <cellStyle name="Normal 5 3 2 2 2 2 4 6" xfId="19651" xr:uid="{00000000-0005-0000-0000-00001B5D0000}"/>
    <cellStyle name="Normal 5 3 2 2 2 2 5" xfId="2917" xr:uid="{00000000-0005-0000-0000-00001C5D0000}"/>
    <cellStyle name="Normal 5 3 2 2 2 2 5 2" xfId="8650" xr:uid="{00000000-0005-0000-0000-00001D5D0000}"/>
    <cellStyle name="Normal 5 3 2 2 2 2 5 2 2" xfId="15913" xr:uid="{00000000-0005-0000-0000-00001E5D0000}"/>
    <cellStyle name="Normal 5 3 2 2 2 2 5 2 2 2" xfId="32228" xr:uid="{00000000-0005-0000-0000-00001F5D0000}"/>
    <cellStyle name="Normal 5 3 2 2 2 2 5 2 3" xfId="25263" xr:uid="{00000000-0005-0000-0000-0000205D0000}"/>
    <cellStyle name="Normal 5 3 2 2 2 2 5 3" xfId="11992" xr:uid="{00000000-0005-0000-0000-0000215D0000}"/>
    <cellStyle name="Normal 5 3 2 2 2 2 5 3 2" xfId="28567" xr:uid="{00000000-0005-0000-0000-0000225D0000}"/>
    <cellStyle name="Normal 5 3 2 2 2 2 5 4" xfId="5299" xr:uid="{00000000-0005-0000-0000-0000235D0000}"/>
    <cellStyle name="Normal 5 3 2 2 2 2 5 4 2" xfId="21963" xr:uid="{00000000-0005-0000-0000-0000245D0000}"/>
    <cellStyle name="Normal 5 3 2 2 2 2 5 5" xfId="19644" xr:uid="{00000000-0005-0000-0000-0000255D0000}"/>
    <cellStyle name="Normal 5 3 2 2 2 2 6" xfId="7031" xr:uid="{00000000-0005-0000-0000-0000265D0000}"/>
    <cellStyle name="Normal 5 3 2 2 2 2 6 2" xfId="14294" xr:uid="{00000000-0005-0000-0000-0000275D0000}"/>
    <cellStyle name="Normal 5 3 2 2 2 2 6 2 2" xfId="30609" xr:uid="{00000000-0005-0000-0000-0000285D0000}"/>
    <cellStyle name="Normal 5 3 2 2 2 2 6 3" xfId="23644" xr:uid="{00000000-0005-0000-0000-0000295D0000}"/>
    <cellStyle name="Normal 5 3 2 2 2 2 7" xfId="10345" xr:uid="{00000000-0005-0000-0000-00002A5D0000}"/>
    <cellStyle name="Normal 5 3 2 2 2 2 7 2" xfId="26944" xr:uid="{00000000-0005-0000-0000-00002B5D0000}"/>
    <cellStyle name="Normal 5 3 2 2 2 2 8" xfId="4519" xr:uid="{00000000-0005-0000-0000-00002C5D0000}"/>
    <cellStyle name="Normal 5 3 2 2 2 2 8 2" xfId="21242" xr:uid="{00000000-0005-0000-0000-00002D5D0000}"/>
    <cellStyle name="Normal 5 3 2 2 2 2 9" xfId="17805" xr:uid="{00000000-0005-0000-0000-00002E5D0000}"/>
    <cellStyle name="Normal 5 3 2 2 2 3" xfId="1211" xr:uid="{00000000-0005-0000-0000-00002F5D0000}"/>
    <cellStyle name="Normal 5 3 2 2 2 3 2" xfId="1732" xr:uid="{00000000-0005-0000-0000-0000305D0000}"/>
    <cellStyle name="Normal 5 3 2 2 2 3 2 2" xfId="2927" xr:uid="{00000000-0005-0000-0000-0000315D0000}"/>
    <cellStyle name="Normal 5 3 2 2 2 3 2 2 2" xfId="6626" xr:uid="{00000000-0005-0000-0000-0000325D0000}"/>
    <cellStyle name="Normal 5 3 2 2 2 3 2 2 2 2" xfId="9977" xr:uid="{00000000-0005-0000-0000-0000335D0000}"/>
    <cellStyle name="Normal 5 3 2 2 2 3 2 2 2 2 2" xfId="17240" xr:uid="{00000000-0005-0000-0000-0000345D0000}"/>
    <cellStyle name="Normal 5 3 2 2 2 3 2 2 2 2 2 2" xfId="33555" xr:uid="{00000000-0005-0000-0000-0000355D0000}"/>
    <cellStyle name="Normal 5 3 2 2 2 3 2 2 2 2 3" xfId="26590" xr:uid="{00000000-0005-0000-0000-0000365D0000}"/>
    <cellStyle name="Normal 5 3 2 2 2 3 2 2 2 3" xfId="13319" xr:uid="{00000000-0005-0000-0000-0000375D0000}"/>
    <cellStyle name="Normal 5 3 2 2 2 3 2 2 2 3 2" xfId="29894" xr:uid="{00000000-0005-0000-0000-0000385D0000}"/>
    <cellStyle name="Normal 5 3 2 2 2 3 2 2 2 4" xfId="23290" xr:uid="{00000000-0005-0000-0000-0000395D0000}"/>
    <cellStyle name="Normal 5 3 2 2 2 3 2 2 3" xfId="8356" xr:uid="{00000000-0005-0000-0000-00003A5D0000}"/>
    <cellStyle name="Normal 5 3 2 2 2 3 2 2 3 2" xfId="15619" xr:uid="{00000000-0005-0000-0000-00003B5D0000}"/>
    <cellStyle name="Normal 5 3 2 2 2 3 2 2 3 2 2" xfId="31934" xr:uid="{00000000-0005-0000-0000-00003C5D0000}"/>
    <cellStyle name="Normal 5 3 2 2 2 3 2 2 3 3" xfId="24969" xr:uid="{00000000-0005-0000-0000-00003D5D0000}"/>
    <cellStyle name="Normal 5 3 2 2 2 3 2 2 4" xfId="11671" xr:uid="{00000000-0005-0000-0000-00003E5D0000}"/>
    <cellStyle name="Normal 5 3 2 2 2 3 2 2 4 2" xfId="28269" xr:uid="{00000000-0005-0000-0000-00003F5D0000}"/>
    <cellStyle name="Normal 5 3 2 2 2 3 2 2 5" xfId="4529" xr:uid="{00000000-0005-0000-0000-0000405D0000}"/>
    <cellStyle name="Normal 5 3 2 2 2 3 2 2 5 2" xfId="21252" xr:uid="{00000000-0005-0000-0000-0000415D0000}"/>
    <cellStyle name="Normal 5 3 2 2 2 3 2 2 6" xfId="19654" xr:uid="{00000000-0005-0000-0000-0000425D0000}"/>
    <cellStyle name="Normal 5 3 2 2 2 3 2 3" xfId="2926" xr:uid="{00000000-0005-0000-0000-0000435D0000}"/>
    <cellStyle name="Normal 5 3 2 2 2 3 2 3 2" xfId="9201" xr:uid="{00000000-0005-0000-0000-0000445D0000}"/>
    <cellStyle name="Normal 5 3 2 2 2 3 2 3 2 2" xfId="16464" xr:uid="{00000000-0005-0000-0000-0000455D0000}"/>
    <cellStyle name="Normal 5 3 2 2 2 3 2 3 2 2 2" xfId="32779" xr:uid="{00000000-0005-0000-0000-0000465D0000}"/>
    <cellStyle name="Normal 5 3 2 2 2 3 2 3 2 3" xfId="25814" xr:uid="{00000000-0005-0000-0000-0000475D0000}"/>
    <cellStyle name="Normal 5 3 2 2 2 3 2 3 3" xfId="12543" xr:uid="{00000000-0005-0000-0000-0000485D0000}"/>
    <cellStyle name="Normal 5 3 2 2 2 3 2 3 3 2" xfId="29118" xr:uid="{00000000-0005-0000-0000-0000495D0000}"/>
    <cellStyle name="Normal 5 3 2 2 2 3 2 3 4" xfId="5850" xr:uid="{00000000-0005-0000-0000-00004A5D0000}"/>
    <cellStyle name="Normal 5 3 2 2 2 3 2 3 4 2" xfId="22514" xr:uid="{00000000-0005-0000-0000-00004B5D0000}"/>
    <cellStyle name="Normal 5 3 2 2 2 3 2 3 5" xfId="19653" xr:uid="{00000000-0005-0000-0000-00004C5D0000}"/>
    <cellStyle name="Normal 5 3 2 2 2 3 2 4" xfId="7580" xr:uid="{00000000-0005-0000-0000-00004D5D0000}"/>
    <cellStyle name="Normal 5 3 2 2 2 3 2 4 2" xfId="14843" xr:uid="{00000000-0005-0000-0000-00004E5D0000}"/>
    <cellStyle name="Normal 5 3 2 2 2 3 2 4 2 2" xfId="31158" xr:uid="{00000000-0005-0000-0000-00004F5D0000}"/>
    <cellStyle name="Normal 5 3 2 2 2 3 2 4 3" xfId="24193" xr:uid="{00000000-0005-0000-0000-0000505D0000}"/>
    <cellStyle name="Normal 5 3 2 2 2 3 2 5" xfId="10895" xr:uid="{00000000-0005-0000-0000-0000515D0000}"/>
    <cellStyle name="Normal 5 3 2 2 2 3 2 5 2" xfId="27493" xr:uid="{00000000-0005-0000-0000-0000525D0000}"/>
    <cellStyle name="Normal 5 3 2 2 2 3 2 6" xfId="4528" xr:uid="{00000000-0005-0000-0000-0000535D0000}"/>
    <cellStyle name="Normal 5 3 2 2 2 3 2 6 2" xfId="21251" xr:uid="{00000000-0005-0000-0000-0000545D0000}"/>
    <cellStyle name="Normal 5 3 2 2 2 3 2 7" xfId="18467" xr:uid="{00000000-0005-0000-0000-0000555D0000}"/>
    <cellStyle name="Normal 5 3 2 2 2 3 3" xfId="2928" xr:uid="{00000000-0005-0000-0000-0000565D0000}"/>
    <cellStyle name="Normal 5 3 2 2 2 3 3 2" xfId="6256" xr:uid="{00000000-0005-0000-0000-0000575D0000}"/>
    <cellStyle name="Normal 5 3 2 2 2 3 3 2 2" xfId="9607" xr:uid="{00000000-0005-0000-0000-0000585D0000}"/>
    <cellStyle name="Normal 5 3 2 2 2 3 3 2 2 2" xfId="16870" xr:uid="{00000000-0005-0000-0000-0000595D0000}"/>
    <cellStyle name="Normal 5 3 2 2 2 3 3 2 2 2 2" xfId="33185" xr:uid="{00000000-0005-0000-0000-00005A5D0000}"/>
    <cellStyle name="Normal 5 3 2 2 2 3 3 2 2 3" xfId="26220" xr:uid="{00000000-0005-0000-0000-00005B5D0000}"/>
    <cellStyle name="Normal 5 3 2 2 2 3 3 2 3" xfId="12949" xr:uid="{00000000-0005-0000-0000-00005C5D0000}"/>
    <cellStyle name="Normal 5 3 2 2 2 3 3 2 3 2" xfId="29524" xr:uid="{00000000-0005-0000-0000-00005D5D0000}"/>
    <cellStyle name="Normal 5 3 2 2 2 3 3 2 4" xfId="22920" xr:uid="{00000000-0005-0000-0000-00005E5D0000}"/>
    <cellStyle name="Normal 5 3 2 2 2 3 3 3" xfId="7986" xr:uid="{00000000-0005-0000-0000-00005F5D0000}"/>
    <cellStyle name="Normal 5 3 2 2 2 3 3 3 2" xfId="15249" xr:uid="{00000000-0005-0000-0000-0000605D0000}"/>
    <cellStyle name="Normal 5 3 2 2 2 3 3 3 2 2" xfId="31564" xr:uid="{00000000-0005-0000-0000-0000615D0000}"/>
    <cellStyle name="Normal 5 3 2 2 2 3 3 3 3" xfId="24599" xr:uid="{00000000-0005-0000-0000-0000625D0000}"/>
    <cellStyle name="Normal 5 3 2 2 2 3 3 4" xfId="11301" xr:uid="{00000000-0005-0000-0000-0000635D0000}"/>
    <cellStyle name="Normal 5 3 2 2 2 3 3 4 2" xfId="27899" xr:uid="{00000000-0005-0000-0000-0000645D0000}"/>
    <cellStyle name="Normal 5 3 2 2 2 3 3 5" xfId="4530" xr:uid="{00000000-0005-0000-0000-0000655D0000}"/>
    <cellStyle name="Normal 5 3 2 2 2 3 3 5 2" xfId="21253" xr:uid="{00000000-0005-0000-0000-0000665D0000}"/>
    <cellStyle name="Normal 5 3 2 2 2 3 3 6" xfId="19655" xr:uid="{00000000-0005-0000-0000-0000675D0000}"/>
    <cellStyle name="Normal 5 3 2 2 2 3 4" xfId="2925" xr:uid="{00000000-0005-0000-0000-0000685D0000}"/>
    <cellStyle name="Normal 5 3 2 2 2 3 4 2" xfId="8794" xr:uid="{00000000-0005-0000-0000-0000695D0000}"/>
    <cellStyle name="Normal 5 3 2 2 2 3 4 2 2" xfId="16057" xr:uid="{00000000-0005-0000-0000-00006A5D0000}"/>
    <cellStyle name="Normal 5 3 2 2 2 3 4 2 2 2" xfId="32372" xr:uid="{00000000-0005-0000-0000-00006B5D0000}"/>
    <cellStyle name="Normal 5 3 2 2 2 3 4 2 3" xfId="25407" xr:uid="{00000000-0005-0000-0000-00006C5D0000}"/>
    <cellStyle name="Normal 5 3 2 2 2 3 4 3" xfId="12136" xr:uid="{00000000-0005-0000-0000-00006D5D0000}"/>
    <cellStyle name="Normal 5 3 2 2 2 3 4 3 2" xfId="28711" xr:uid="{00000000-0005-0000-0000-00006E5D0000}"/>
    <cellStyle name="Normal 5 3 2 2 2 3 4 4" xfId="5443" xr:uid="{00000000-0005-0000-0000-00006F5D0000}"/>
    <cellStyle name="Normal 5 3 2 2 2 3 4 4 2" xfId="22107" xr:uid="{00000000-0005-0000-0000-0000705D0000}"/>
    <cellStyle name="Normal 5 3 2 2 2 3 4 5" xfId="19652" xr:uid="{00000000-0005-0000-0000-0000715D0000}"/>
    <cellStyle name="Normal 5 3 2 2 2 3 5" xfId="7174" xr:uid="{00000000-0005-0000-0000-0000725D0000}"/>
    <cellStyle name="Normal 5 3 2 2 2 3 5 2" xfId="14437" xr:uid="{00000000-0005-0000-0000-0000735D0000}"/>
    <cellStyle name="Normal 5 3 2 2 2 3 5 2 2" xfId="30752" xr:uid="{00000000-0005-0000-0000-0000745D0000}"/>
    <cellStyle name="Normal 5 3 2 2 2 3 5 3" xfId="23787" xr:uid="{00000000-0005-0000-0000-0000755D0000}"/>
    <cellStyle name="Normal 5 3 2 2 2 3 6" xfId="10489" xr:uid="{00000000-0005-0000-0000-0000765D0000}"/>
    <cellStyle name="Normal 5 3 2 2 2 3 6 2" xfId="27087" xr:uid="{00000000-0005-0000-0000-0000775D0000}"/>
    <cellStyle name="Normal 5 3 2 2 2 3 7" xfId="4527" xr:uid="{00000000-0005-0000-0000-0000785D0000}"/>
    <cellStyle name="Normal 5 3 2 2 2 3 7 2" xfId="21250" xr:uid="{00000000-0005-0000-0000-0000795D0000}"/>
    <cellStyle name="Normal 5 3 2 2 2 3 8" xfId="17948" xr:uid="{00000000-0005-0000-0000-00007A5D0000}"/>
    <cellStyle name="Normal 5 3 2 2 2 4" xfId="921" xr:uid="{00000000-0005-0000-0000-00007B5D0000}"/>
    <cellStyle name="Normal 5 3 2 2 2 4 2" xfId="1483" xr:uid="{00000000-0005-0000-0000-00007C5D0000}"/>
    <cellStyle name="Normal 5 3 2 2 2 4 2 2" xfId="2930" xr:uid="{00000000-0005-0000-0000-00007D5D0000}"/>
    <cellStyle name="Normal 5 3 2 2 2 4 2 2 2" xfId="9801" xr:uid="{00000000-0005-0000-0000-00007E5D0000}"/>
    <cellStyle name="Normal 5 3 2 2 2 4 2 2 2 2" xfId="17064" xr:uid="{00000000-0005-0000-0000-00007F5D0000}"/>
    <cellStyle name="Normal 5 3 2 2 2 4 2 2 2 2 2" xfId="33379" xr:uid="{00000000-0005-0000-0000-0000805D0000}"/>
    <cellStyle name="Normal 5 3 2 2 2 4 2 2 2 3" xfId="26414" xr:uid="{00000000-0005-0000-0000-0000815D0000}"/>
    <cellStyle name="Normal 5 3 2 2 2 4 2 2 3" xfId="13143" xr:uid="{00000000-0005-0000-0000-0000825D0000}"/>
    <cellStyle name="Normal 5 3 2 2 2 4 2 2 3 2" xfId="29718" xr:uid="{00000000-0005-0000-0000-0000835D0000}"/>
    <cellStyle name="Normal 5 3 2 2 2 4 2 2 4" xfId="6450" xr:uid="{00000000-0005-0000-0000-0000845D0000}"/>
    <cellStyle name="Normal 5 3 2 2 2 4 2 2 4 2" xfId="23114" xr:uid="{00000000-0005-0000-0000-0000855D0000}"/>
    <cellStyle name="Normal 5 3 2 2 2 4 2 2 5" xfId="19657" xr:uid="{00000000-0005-0000-0000-0000865D0000}"/>
    <cellStyle name="Normal 5 3 2 2 2 4 2 3" xfId="8180" xr:uid="{00000000-0005-0000-0000-0000875D0000}"/>
    <cellStyle name="Normal 5 3 2 2 2 4 2 3 2" xfId="15443" xr:uid="{00000000-0005-0000-0000-0000885D0000}"/>
    <cellStyle name="Normal 5 3 2 2 2 4 2 3 2 2" xfId="31758" xr:uid="{00000000-0005-0000-0000-0000895D0000}"/>
    <cellStyle name="Normal 5 3 2 2 2 4 2 3 3" xfId="24793" xr:uid="{00000000-0005-0000-0000-00008A5D0000}"/>
    <cellStyle name="Normal 5 3 2 2 2 4 2 4" xfId="11495" xr:uid="{00000000-0005-0000-0000-00008B5D0000}"/>
    <cellStyle name="Normal 5 3 2 2 2 4 2 4 2" xfId="28093" xr:uid="{00000000-0005-0000-0000-00008C5D0000}"/>
    <cellStyle name="Normal 5 3 2 2 2 4 2 5" xfId="4532" xr:uid="{00000000-0005-0000-0000-00008D5D0000}"/>
    <cellStyle name="Normal 5 3 2 2 2 4 2 5 2" xfId="21255" xr:uid="{00000000-0005-0000-0000-00008E5D0000}"/>
    <cellStyle name="Normal 5 3 2 2 2 4 2 6" xfId="18218" xr:uid="{00000000-0005-0000-0000-00008F5D0000}"/>
    <cellStyle name="Normal 5 3 2 2 2 4 3" xfId="2929" xr:uid="{00000000-0005-0000-0000-0000905D0000}"/>
    <cellStyle name="Normal 5 3 2 2 2 4 3 2" xfId="8989" xr:uid="{00000000-0005-0000-0000-0000915D0000}"/>
    <cellStyle name="Normal 5 3 2 2 2 4 3 2 2" xfId="16252" xr:uid="{00000000-0005-0000-0000-0000925D0000}"/>
    <cellStyle name="Normal 5 3 2 2 2 4 3 2 2 2" xfId="32567" xr:uid="{00000000-0005-0000-0000-0000935D0000}"/>
    <cellStyle name="Normal 5 3 2 2 2 4 3 2 3" xfId="25602" xr:uid="{00000000-0005-0000-0000-0000945D0000}"/>
    <cellStyle name="Normal 5 3 2 2 2 4 3 3" xfId="12331" xr:uid="{00000000-0005-0000-0000-0000955D0000}"/>
    <cellStyle name="Normal 5 3 2 2 2 4 3 3 2" xfId="28906" xr:uid="{00000000-0005-0000-0000-0000965D0000}"/>
    <cellStyle name="Normal 5 3 2 2 2 4 3 4" xfId="5638" xr:uid="{00000000-0005-0000-0000-0000975D0000}"/>
    <cellStyle name="Normal 5 3 2 2 2 4 3 4 2" xfId="22302" xr:uid="{00000000-0005-0000-0000-0000985D0000}"/>
    <cellStyle name="Normal 5 3 2 2 2 4 3 5" xfId="19656" xr:uid="{00000000-0005-0000-0000-0000995D0000}"/>
    <cellStyle name="Normal 5 3 2 2 2 4 4" xfId="7368" xr:uid="{00000000-0005-0000-0000-00009A5D0000}"/>
    <cellStyle name="Normal 5 3 2 2 2 4 4 2" xfId="14631" xr:uid="{00000000-0005-0000-0000-00009B5D0000}"/>
    <cellStyle name="Normal 5 3 2 2 2 4 4 2 2" xfId="30946" xr:uid="{00000000-0005-0000-0000-00009C5D0000}"/>
    <cellStyle name="Normal 5 3 2 2 2 4 4 3" xfId="23981" xr:uid="{00000000-0005-0000-0000-00009D5D0000}"/>
    <cellStyle name="Normal 5 3 2 2 2 4 5" xfId="10683" xr:uid="{00000000-0005-0000-0000-00009E5D0000}"/>
    <cellStyle name="Normal 5 3 2 2 2 4 5 2" xfId="27281" xr:uid="{00000000-0005-0000-0000-00009F5D0000}"/>
    <cellStyle name="Normal 5 3 2 2 2 4 6" xfId="4531" xr:uid="{00000000-0005-0000-0000-0000A05D0000}"/>
    <cellStyle name="Normal 5 3 2 2 2 4 6 2" xfId="21254" xr:uid="{00000000-0005-0000-0000-0000A15D0000}"/>
    <cellStyle name="Normal 5 3 2 2 2 4 7" xfId="17699" xr:uid="{00000000-0005-0000-0000-0000A25D0000}"/>
    <cellStyle name="Normal 5 3 2 2 2 5" xfId="799" xr:uid="{00000000-0005-0000-0000-0000A35D0000}"/>
    <cellStyle name="Normal 5 3 2 2 2 5 2" xfId="2931" xr:uid="{00000000-0005-0000-0000-0000A45D0000}"/>
    <cellStyle name="Normal 5 3 2 2 2 5 2 2" xfId="9395" xr:uid="{00000000-0005-0000-0000-0000A55D0000}"/>
    <cellStyle name="Normal 5 3 2 2 2 5 2 2 2" xfId="16658" xr:uid="{00000000-0005-0000-0000-0000A65D0000}"/>
    <cellStyle name="Normal 5 3 2 2 2 5 2 2 2 2" xfId="32973" xr:uid="{00000000-0005-0000-0000-0000A75D0000}"/>
    <cellStyle name="Normal 5 3 2 2 2 5 2 2 3" xfId="26008" xr:uid="{00000000-0005-0000-0000-0000A85D0000}"/>
    <cellStyle name="Normal 5 3 2 2 2 5 2 3" xfId="12737" xr:uid="{00000000-0005-0000-0000-0000A95D0000}"/>
    <cellStyle name="Normal 5 3 2 2 2 5 2 3 2" xfId="29312" xr:uid="{00000000-0005-0000-0000-0000AA5D0000}"/>
    <cellStyle name="Normal 5 3 2 2 2 5 2 4" xfId="6044" xr:uid="{00000000-0005-0000-0000-0000AB5D0000}"/>
    <cellStyle name="Normal 5 3 2 2 2 5 2 4 2" xfId="22708" xr:uid="{00000000-0005-0000-0000-0000AC5D0000}"/>
    <cellStyle name="Normal 5 3 2 2 2 5 2 5" xfId="19658" xr:uid="{00000000-0005-0000-0000-0000AD5D0000}"/>
    <cellStyle name="Normal 5 3 2 2 2 5 3" xfId="7774" xr:uid="{00000000-0005-0000-0000-0000AE5D0000}"/>
    <cellStyle name="Normal 5 3 2 2 2 5 3 2" xfId="15037" xr:uid="{00000000-0005-0000-0000-0000AF5D0000}"/>
    <cellStyle name="Normal 5 3 2 2 2 5 3 2 2" xfId="31352" xr:uid="{00000000-0005-0000-0000-0000B05D0000}"/>
    <cellStyle name="Normal 5 3 2 2 2 5 3 3" xfId="24387" xr:uid="{00000000-0005-0000-0000-0000B15D0000}"/>
    <cellStyle name="Normal 5 3 2 2 2 5 4" xfId="11089" xr:uid="{00000000-0005-0000-0000-0000B25D0000}"/>
    <cellStyle name="Normal 5 3 2 2 2 5 4 2" xfId="27687" xr:uid="{00000000-0005-0000-0000-0000B35D0000}"/>
    <cellStyle name="Normal 5 3 2 2 2 5 5" xfId="4533" xr:uid="{00000000-0005-0000-0000-0000B45D0000}"/>
    <cellStyle name="Normal 5 3 2 2 2 5 5 2" xfId="21256" xr:uid="{00000000-0005-0000-0000-0000B55D0000}"/>
    <cellStyle name="Normal 5 3 2 2 2 5 6" xfId="17612" xr:uid="{00000000-0005-0000-0000-0000B65D0000}"/>
    <cellStyle name="Normal 5 3 2 2 2 6" xfId="1396" xr:uid="{00000000-0005-0000-0000-0000B75D0000}"/>
    <cellStyle name="Normal 5 3 2 2 2 6 2" xfId="8544" xr:uid="{00000000-0005-0000-0000-0000B85D0000}"/>
    <cellStyle name="Normal 5 3 2 2 2 6 2 2" xfId="15807" xr:uid="{00000000-0005-0000-0000-0000B95D0000}"/>
    <cellStyle name="Normal 5 3 2 2 2 6 2 2 2" xfId="32122" xr:uid="{00000000-0005-0000-0000-0000BA5D0000}"/>
    <cellStyle name="Normal 5 3 2 2 2 6 2 3" xfId="25157" xr:uid="{00000000-0005-0000-0000-0000BB5D0000}"/>
    <cellStyle name="Normal 5 3 2 2 2 6 3" xfId="11886" xr:uid="{00000000-0005-0000-0000-0000BC5D0000}"/>
    <cellStyle name="Normal 5 3 2 2 2 6 3 2" xfId="28461" xr:uid="{00000000-0005-0000-0000-0000BD5D0000}"/>
    <cellStyle name="Normal 5 3 2 2 2 6 4" xfId="5193" xr:uid="{00000000-0005-0000-0000-0000BE5D0000}"/>
    <cellStyle name="Normal 5 3 2 2 2 6 4 2" xfId="21857" xr:uid="{00000000-0005-0000-0000-0000BF5D0000}"/>
    <cellStyle name="Normal 5 3 2 2 2 6 5" xfId="18131" xr:uid="{00000000-0005-0000-0000-0000C05D0000}"/>
    <cellStyle name="Normal 5 3 2 2 2 7" xfId="2916" xr:uid="{00000000-0005-0000-0000-0000C15D0000}"/>
    <cellStyle name="Normal 5 3 2 2 2 7 2" xfId="14188" xr:uid="{00000000-0005-0000-0000-0000C25D0000}"/>
    <cellStyle name="Normal 5 3 2 2 2 7 2 2" xfId="30503" xr:uid="{00000000-0005-0000-0000-0000C35D0000}"/>
    <cellStyle name="Normal 5 3 2 2 2 7 3" xfId="6925" xr:uid="{00000000-0005-0000-0000-0000C45D0000}"/>
    <cellStyle name="Normal 5 3 2 2 2 7 3 2" xfId="23538" xr:uid="{00000000-0005-0000-0000-0000C55D0000}"/>
    <cellStyle name="Normal 5 3 2 2 2 7 4" xfId="19643" xr:uid="{00000000-0005-0000-0000-0000C65D0000}"/>
    <cellStyle name="Normal 5 3 2 2 2 8" xfId="10239" xr:uid="{00000000-0005-0000-0000-0000C75D0000}"/>
    <cellStyle name="Normal 5 3 2 2 2 8 2" xfId="26838" xr:uid="{00000000-0005-0000-0000-0000C85D0000}"/>
    <cellStyle name="Normal 5 3 2 2 2 9" xfId="4518" xr:uid="{00000000-0005-0000-0000-0000C95D0000}"/>
    <cellStyle name="Normal 5 3 2 2 2 9 2" xfId="21241" xr:uid="{00000000-0005-0000-0000-0000CA5D0000}"/>
    <cellStyle name="Normal 5 3 2 2 3" xfId="655" xr:uid="{00000000-0005-0000-0000-0000CB5D0000}"/>
    <cellStyle name="Normal 5 3 2 2 3 2" xfId="1213" xr:uid="{00000000-0005-0000-0000-0000CC5D0000}"/>
    <cellStyle name="Normal 5 3 2 2 3 2 2" xfId="1734" xr:uid="{00000000-0005-0000-0000-0000CD5D0000}"/>
    <cellStyle name="Normal 5 3 2 2 3 2 2 2" xfId="2935" xr:uid="{00000000-0005-0000-0000-0000CE5D0000}"/>
    <cellStyle name="Normal 5 3 2 2 3 2 2 2 2" xfId="6628" xr:uid="{00000000-0005-0000-0000-0000CF5D0000}"/>
    <cellStyle name="Normal 5 3 2 2 3 2 2 2 2 2" xfId="9979" xr:uid="{00000000-0005-0000-0000-0000D05D0000}"/>
    <cellStyle name="Normal 5 3 2 2 3 2 2 2 2 2 2" xfId="17242" xr:uid="{00000000-0005-0000-0000-0000D15D0000}"/>
    <cellStyle name="Normal 5 3 2 2 3 2 2 2 2 2 2 2" xfId="33557" xr:uid="{00000000-0005-0000-0000-0000D25D0000}"/>
    <cellStyle name="Normal 5 3 2 2 3 2 2 2 2 2 3" xfId="26592" xr:uid="{00000000-0005-0000-0000-0000D35D0000}"/>
    <cellStyle name="Normal 5 3 2 2 3 2 2 2 2 3" xfId="13321" xr:uid="{00000000-0005-0000-0000-0000D45D0000}"/>
    <cellStyle name="Normal 5 3 2 2 3 2 2 2 2 3 2" xfId="29896" xr:uid="{00000000-0005-0000-0000-0000D55D0000}"/>
    <cellStyle name="Normal 5 3 2 2 3 2 2 2 2 4" xfId="23292" xr:uid="{00000000-0005-0000-0000-0000D65D0000}"/>
    <cellStyle name="Normal 5 3 2 2 3 2 2 2 3" xfId="8358" xr:uid="{00000000-0005-0000-0000-0000D75D0000}"/>
    <cellStyle name="Normal 5 3 2 2 3 2 2 2 3 2" xfId="15621" xr:uid="{00000000-0005-0000-0000-0000D85D0000}"/>
    <cellStyle name="Normal 5 3 2 2 3 2 2 2 3 2 2" xfId="31936" xr:uid="{00000000-0005-0000-0000-0000D95D0000}"/>
    <cellStyle name="Normal 5 3 2 2 3 2 2 2 3 3" xfId="24971" xr:uid="{00000000-0005-0000-0000-0000DA5D0000}"/>
    <cellStyle name="Normal 5 3 2 2 3 2 2 2 4" xfId="11673" xr:uid="{00000000-0005-0000-0000-0000DB5D0000}"/>
    <cellStyle name="Normal 5 3 2 2 3 2 2 2 4 2" xfId="28271" xr:uid="{00000000-0005-0000-0000-0000DC5D0000}"/>
    <cellStyle name="Normal 5 3 2 2 3 2 2 2 5" xfId="4537" xr:uid="{00000000-0005-0000-0000-0000DD5D0000}"/>
    <cellStyle name="Normal 5 3 2 2 3 2 2 2 5 2" xfId="21260" xr:uid="{00000000-0005-0000-0000-0000DE5D0000}"/>
    <cellStyle name="Normal 5 3 2 2 3 2 2 2 6" xfId="19662" xr:uid="{00000000-0005-0000-0000-0000DF5D0000}"/>
    <cellStyle name="Normal 5 3 2 2 3 2 2 3" xfId="2934" xr:uid="{00000000-0005-0000-0000-0000E05D0000}"/>
    <cellStyle name="Normal 5 3 2 2 3 2 2 3 2" xfId="9203" xr:uid="{00000000-0005-0000-0000-0000E15D0000}"/>
    <cellStyle name="Normal 5 3 2 2 3 2 2 3 2 2" xfId="16466" xr:uid="{00000000-0005-0000-0000-0000E25D0000}"/>
    <cellStyle name="Normal 5 3 2 2 3 2 2 3 2 2 2" xfId="32781" xr:uid="{00000000-0005-0000-0000-0000E35D0000}"/>
    <cellStyle name="Normal 5 3 2 2 3 2 2 3 2 3" xfId="25816" xr:uid="{00000000-0005-0000-0000-0000E45D0000}"/>
    <cellStyle name="Normal 5 3 2 2 3 2 2 3 3" xfId="12545" xr:uid="{00000000-0005-0000-0000-0000E55D0000}"/>
    <cellStyle name="Normal 5 3 2 2 3 2 2 3 3 2" xfId="29120" xr:uid="{00000000-0005-0000-0000-0000E65D0000}"/>
    <cellStyle name="Normal 5 3 2 2 3 2 2 3 4" xfId="5852" xr:uid="{00000000-0005-0000-0000-0000E75D0000}"/>
    <cellStyle name="Normal 5 3 2 2 3 2 2 3 4 2" xfId="22516" xr:uid="{00000000-0005-0000-0000-0000E85D0000}"/>
    <cellStyle name="Normal 5 3 2 2 3 2 2 3 5" xfId="19661" xr:uid="{00000000-0005-0000-0000-0000E95D0000}"/>
    <cellStyle name="Normal 5 3 2 2 3 2 2 4" xfId="7582" xr:uid="{00000000-0005-0000-0000-0000EA5D0000}"/>
    <cellStyle name="Normal 5 3 2 2 3 2 2 4 2" xfId="14845" xr:uid="{00000000-0005-0000-0000-0000EB5D0000}"/>
    <cellStyle name="Normal 5 3 2 2 3 2 2 4 2 2" xfId="31160" xr:uid="{00000000-0005-0000-0000-0000EC5D0000}"/>
    <cellStyle name="Normal 5 3 2 2 3 2 2 4 3" xfId="24195" xr:uid="{00000000-0005-0000-0000-0000ED5D0000}"/>
    <cellStyle name="Normal 5 3 2 2 3 2 2 5" xfId="10897" xr:uid="{00000000-0005-0000-0000-0000EE5D0000}"/>
    <cellStyle name="Normal 5 3 2 2 3 2 2 5 2" xfId="27495" xr:uid="{00000000-0005-0000-0000-0000EF5D0000}"/>
    <cellStyle name="Normal 5 3 2 2 3 2 2 6" xfId="4536" xr:uid="{00000000-0005-0000-0000-0000F05D0000}"/>
    <cellStyle name="Normal 5 3 2 2 3 2 2 6 2" xfId="21259" xr:uid="{00000000-0005-0000-0000-0000F15D0000}"/>
    <cellStyle name="Normal 5 3 2 2 3 2 2 7" xfId="18469" xr:uid="{00000000-0005-0000-0000-0000F25D0000}"/>
    <cellStyle name="Normal 5 3 2 2 3 2 3" xfId="2936" xr:uid="{00000000-0005-0000-0000-0000F35D0000}"/>
    <cellStyle name="Normal 5 3 2 2 3 2 3 2" xfId="6258" xr:uid="{00000000-0005-0000-0000-0000F45D0000}"/>
    <cellStyle name="Normal 5 3 2 2 3 2 3 2 2" xfId="9609" xr:uid="{00000000-0005-0000-0000-0000F55D0000}"/>
    <cellStyle name="Normal 5 3 2 2 3 2 3 2 2 2" xfId="16872" xr:uid="{00000000-0005-0000-0000-0000F65D0000}"/>
    <cellStyle name="Normal 5 3 2 2 3 2 3 2 2 2 2" xfId="33187" xr:uid="{00000000-0005-0000-0000-0000F75D0000}"/>
    <cellStyle name="Normal 5 3 2 2 3 2 3 2 2 3" xfId="26222" xr:uid="{00000000-0005-0000-0000-0000F85D0000}"/>
    <cellStyle name="Normal 5 3 2 2 3 2 3 2 3" xfId="12951" xr:uid="{00000000-0005-0000-0000-0000F95D0000}"/>
    <cellStyle name="Normal 5 3 2 2 3 2 3 2 3 2" xfId="29526" xr:uid="{00000000-0005-0000-0000-0000FA5D0000}"/>
    <cellStyle name="Normal 5 3 2 2 3 2 3 2 4" xfId="22922" xr:uid="{00000000-0005-0000-0000-0000FB5D0000}"/>
    <cellStyle name="Normal 5 3 2 2 3 2 3 3" xfId="7988" xr:uid="{00000000-0005-0000-0000-0000FC5D0000}"/>
    <cellStyle name="Normal 5 3 2 2 3 2 3 3 2" xfId="15251" xr:uid="{00000000-0005-0000-0000-0000FD5D0000}"/>
    <cellStyle name="Normal 5 3 2 2 3 2 3 3 2 2" xfId="31566" xr:uid="{00000000-0005-0000-0000-0000FE5D0000}"/>
    <cellStyle name="Normal 5 3 2 2 3 2 3 3 3" xfId="24601" xr:uid="{00000000-0005-0000-0000-0000FF5D0000}"/>
    <cellStyle name="Normal 5 3 2 2 3 2 3 4" xfId="11303" xr:uid="{00000000-0005-0000-0000-0000005E0000}"/>
    <cellStyle name="Normal 5 3 2 2 3 2 3 4 2" xfId="27901" xr:uid="{00000000-0005-0000-0000-0000015E0000}"/>
    <cellStyle name="Normal 5 3 2 2 3 2 3 5" xfId="4538" xr:uid="{00000000-0005-0000-0000-0000025E0000}"/>
    <cellStyle name="Normal 5 3 2 2 3 2 3 5 2" xfId="21261" xr:uid="{00000000-0005-0000-0000-0000035E0000}"/>
    <cellStyle name="Normal 5 3 2 2 3 2 3 6" xfId="19663" xr:uid="{00000000-0005-0000-0000-0000045E0000}"/>
    <cellStyle name="Normal 5 3 2 2 3 2 4" xfId="2933" xr:uid="{00000000-0005-0000-0000-0000055E0000}"/>
    <cellStyle name="Normal 5 3 2 2 3 2 4 2" xfId="8796" xr:uid="{00000000-0005-0000-0000-0000065E0000}"/>
    <cellStyle name="Normal 5 3 2 2 3 2 4 2 2" xfId="16059" xr:uid="{00000000-0005-0000-0000-0000075E0000}"/>
    <cellStyle name="Normal 5 3 2 2 3 2 4 2 2 2" xfId="32374" xr:uid="{00000000-0005-0000-0000-0000085E0000}"/>
    <cellStyle name="Normal 5 3 2 2 3 2 4 2 3" xfId="25409" xr:uid="{00000000-0005-0000-0000-0000095E0000}"/>
    <cellStyle name="Normal 5 3 2 2 3 2 4 3" xfId="12138" xr:uid="{00000000-0005-0000-0000-00000A5E0000}"/>
    <cellStyle name="Normal 5 3 2 2 3 2 4 3 2" xfId="28713" xr:uid="{00000000-0005-0000-0000-00000B5E0000}"/>
    <cellStyle name="Normal 5 3 2 2 3 2 4 4" xfId="5445" xr:uid="{00000000-0005-0000-0000-00000C5E0000}"/>
    <cellStyle name="Normal 5 3 2 2 3 2 4 4 2" xfId="22109" xr:uid="{00000000-0005-0000-0000-00000D5E0000}"/>
    <cellStyle name="Normal 5 3 2 2 3 2 4 5" xfId="19660" xr:uid="{00000000-0005-0000-0000-00000E5E0000}"/>
    <cellStyle name="Normal 5 3 2 2 3 2 5" xfId="7176" xr:uid="{00000000-0005-0000-0000-00000F5E0000}"/>
    <cellStyle name="Normal 5 3 2 2 3 2 5 2" xfId="14439" xr:uid="{00000000-0005-0000-0000-0000105E0000}"/>
    <cellStyle name="Normal 5 3 2 2 3 2 5 2 2" xfId="30754" xr:uid="{00000000-0005-0000-0000-0000115E0000}"/>
    <cellStyle name="Normal 5 3 2 2 3 2 5 3" xfId="23789" xr:uid="{00000000-0005-0000-0000-0000125E0000}"/>
    <cellStyle name="Normal 5 3 2 2 3 2 6" xfId="10491" xr:uid="{00000000-0005-0000-0000-0000135E0000}"/>
    <cellStyle name="Normal 5 3 2 2 3 2 6 2" xfId="27089" xr:uid="{00000000-0005-0000-0000-0000145E0000}"/>
    <cellStyle name="Normal 5 3 2 2 3 2 7" xfId="4535" xr:uid="{00000000-0005-0000-0000-0000155E0000}"/>
    <cellStyle name="Normal 5 3 2 2 3 2 7 2" xfId="21258" xr:uid="{00000000-0005-0000-0000-0000165E0000}"/>
    <cellStyle name="Normal 5 3 2 2 3 2 8" xfId="17950" xr:uid="{00000000-0005-0000-0000-0000175E0000}"/>
    <cellStyle name="Normal 5 3 2 2 3 3" xfId="974" xr:uid="{00000000-0005-0000-0000-0000185E0000}"/>
    <cellStyle name="Normal 5 3 2 2 3 3 2" xfId="1536" xr:uid="{00000000-0005-0000-0000-0000195E0000}"/>
    <cellStyle name="Normal 5 3 2 2 3 3 2 2" xfId="2938" xr:uid="{00000000-0005-0000-0000-00001A5E0000}"/>
    <cellStyle name="Normal 5 3 2 2 3 3 2 2 2" xfId="9803" xr:uid="{00000000-0005-0000-0000-00001B5E0000}"/>
    <cellStyle name="Normal 5 3 2 2 3 3 2 2 2 2" xfId="17066" xr:uid="{00000000-0005-0000-0000-00001C5E0000}"/>
    <cellStyle name="Normal 5 3 2 2 3 3 2 2 2 2 2" xfId="33381" xr:uid="{00000000-0005-0000-0000-00001D5E0000}"/>
    <cellStyle name="Normal 5 3 2 2 3 3 2 2 2 3" xfId="26416" xr:uid="{00000000-0005-0000-0000-00001E5E0000}"/>
    <cellStyle name="Normal 5 3 2 2 3 3 2 2 3" xfId="13145" xr:uid="{00000000-0005-0000-0000-00001F5E0000}"/>
    <cellStyle name="Normal 5 3 2 2 3 3 2 2 3 2" xfId="29720" xr:uid="{00000000-0005-0000-0000-0000205E0000}"/>
    <cellStyle name="Normal 5 3 2 2 3 3 2 2 4" xfId="6452" xr:uid="{00000000-0005-0000-0000-0000215E0000}"/>
    <cellStyle name="Normal 5 3 2 2 3 3 2 2 4 2" xfId="23116" xr:uid="{00000000-0005-0000-0000-0000225E0000}"/>
    <cellStyle name="Normal 5 3 2 2 3 3 2 2 5" xfId="19665" xr:uid="{00000000-0005-0000-0000-0000235E0000}"/>
    <cellStyle name="Normal 5 3 2 2 3 3 2 3" xfId="8182" xr:uid="{00000000-0005-0000-0000-0000245E0000}"/>
    <cellStyle name="Normal 5 3 2 2 3 3 2 3 2" xfId="15445" xr:uid="{00000000-0005-0000-0000-0000255E0000}"/>
    <cellStyle name="Normal 5 3 2 2 3 3 2 3 2 2" xfId="31760" xr:uid="{00000000-0005-0000-0000-0000265E0000}"/>
    <cellStyle name="Normal 5 3 2 2 3 3 2 3 3" xfId="24795" xr:uid="{00000000-0005-0000-0000-0000275E0000}"/>
    <cellStyle name="Normal 5 3 2 2 3 3 2 4" xfId="11497" xr:uid="{00000000-0005-0000-0000-0000285E0000}"/>
    <cellStyle name="Normal 5 3 2 2 3 3 2 4 2" xfId="28095" xr:uid="{00000000-0005-0000-0000-0000295E0000}"/>
    <cellStyle name="Normal 5 3 2 2 3 3 2 5" xfId="4540" xr:uid="{00000000-0005-0000-0000-00002A5E0000}"/>
    <cellStyle name="Normal 5 3 2 2 3 3 2 5 2" xfId="21263" xr:uid="{00000000-0005-0000-0000-00002B5E0000}"/>
    <cellStyle name="Normal 5 3 2 2 3 3 2 6" xfId="18271" xr:uid="{00000000-0005-0000-0000-00002C5E0000}"/>
    <cellStyle name="Normal 5 3 2 2 3 3 3" xfId="2937" xr:uid="{00000000-0005-0000-0000-00002D5E0000}"/>
    <cellStyle name="Normal 5 3 2 2 3 3 3 2" xfId="8991" xr:uid="{00000000-0005-0000-0000-00002E5E0000}"/>
    <cellStyle name="Normal 5 3 2 2 3 3 3 2 2" xfId="16254" xr:uid="{00000000-0005-0000-0000-00002F5E0000}"/>
    <cellStyle name="Normal 5 3 2 2 3 3 3 2 2 2" xfId="32569" xr:uid="{00000000-0005-0000-0000-0000305E0000}"/>
    <cellStyle name="Normal 5 3 2 2 3 3 3 2 3" xfId="25604" xr:uid="{00000000-0005-0000-0000-0000315E0000}"/>
    <cellStyle name="Normal 5 3 2 2 3 3 3 3" xfId="12333" xr:uid="{00000000-0005-0000-0000-0000325E0000}"/>
    <cellStyle name="Normal 5 3 2 2 3 3 3 3 2" xfId="28908" xr:uid="{00000000-0005-0000-0000-0000335E0000}"/>
    <cellStyle name="Normal 5 3 2 2 3 3 3 4" xfId="5640" xr:uid="{00000000-0005-0000-0000-0000345E0000}"/>
    <cellStyle name="Normal 5 3 2 2 3 3 3 4 2" xfId="22304" xr:uid="{00000000-0005-0000-0000-0000355E0000}"/>
    <cellStyle name="Normal 5 3 2 2 3 3 3 5" xfId="19664" xr:uid="{00000000-0005-0000-0000-0000365E0000}"/>
    <cellStyle name="Normal 5 3 2 2 3 3 4" xfId="7370" xr:uid="{00000000-0005-0000-0000-0000375E0000}"/>
    <cellStyle name="Normal 5 3 2 2 3 3 4 2" xfId="14633" xr:uid="{00000000-0005-0000-0000-0000385E0000}"/>
    <cellStyle name="Normal 5 3 2 2 3 3 4 2 2" xfId="30948" xr:uid="{00000000-0005-0000-0000-0000395E0000}"/>
    <cellStyle name="Normal 5 3 2 2 3 3 4 3" xfId="23983" xr:uid="{00000000-0005-0000-0000-00003A5E0000}"/>
    <cellStyle name="Normal 5 3 2 2 3 3 5" xfId="10685" xr:uid="{00000000-0005-0000-0000-00003B5E0000}"/>
    <cellStyle name="Normal 5 3 2 2 3 3 5 2" xfId="27283" xr:uid="{00000000-0005-0000-0000-00003C5E0000}"/>
    <cellStyle name="Normal 5 3 2 2 3 3 6" xfId="4539" xr:uid="{00000000-0005-0000-0000-00003D5E0000}"/>
    <cellStyle name="Normal 5 3 2 2 3 3 6 2" xfId="21262" xr:uid="{00000000-0005-0000-0000-00003E5E0000}"/>
    <cellStyle name="Normal 5 3 2 2 3 3 7" xfId="17752" xr:uid="{00000000-0005-0000-0000-00003F5E0000}"/>
    <cellStyle name="Normal 5 3 2 2 3 4" xfId="764" xr:uid="{00000000-0005-0000-0000-0000405E0000}"/>
    <cellStyle name="Normal 5 3 2 2 3 4 2" xfId="2939" xr:uid="{00000000-0005-0000-0000-0000415E0000}"/>
    <cellStyle name="Normal 5 3 2 2 3 4 2 2" xfId="9397" xr:uid="{00000000-0005-0000-0000-0000425E0000}"/>
    <cellStyle name="Normal 5 3 2 2 3 4 2 2 2" xfId="16660" xr:uid="{00000000-0005-0000-0000-0000435E0000}"/>
    <cellStyle name="Normal 5 3 2 2 3 4 2 2 2 2" xfId="32975" xr:uid="{00000000-0005-0000-0000-0000445E0000}"/>
    <cellStyle name="Normal 5 3 2 2 3 4 2 2 3" xfId="26010" xr:uid="{00000000-0005-0000-0000-0000455E0000}"/>
    <cellStyle name="Normal 5 3 2 2 3 4 2 3" xfId="12739" xr:uid="{00000000-0005-0000-0000-0000465E0000}"/>
    <cellStyle name="Normal 5 3 2 2 3 4 2 3 2" xfId="29314" xr:uid="{00000000-0005-0000-0000-0000475E0000}"/>
    <cellStyle name="Normal 5 3 2 2 3 4 2 4" xfId="6046" xr:uid="{00000000-0005-0000-0000-0000485E0000}"/>
    <cellStyle name="Normal 5 3 2 2 3 4 2 4 2" xfId="22710" xr:uid="{00000000-0005-0000-0000-0000495E0000}"/>
    <cellStyle name="Normal 5 3 2 2 3 4 2 5" xfId="19666" xr:uid="{00000000-0005-0000-0000-00004A5E0000}"/>
    <cellStyle name="Normal 5 3 2 2 3 4 3" xfId="7776" xr:uid="{00000000-0005-0000-0000-00004B5E0000}"/>
    <cellStyle name="Normal 5 3 2 2 3 4 3 2" xfId="15039" xr:uid="{00000000-0005-0000-0000-00004C5E0000}"/>
    <cellStyle name="Normal 5 3 2 2 3 4 3 2 2" xfId="31354" xr:uid="{00000000-0005-0000-0000-00004D5E0000}"/>
    <cellStyle name="Normal 5 3 2 2 3 4 3 3" xfId="24389" xr:uid="{00000000-0005-0000-0000-00004E5E0000}"/>
    <cellStyle name="Normal 5 3 2 2 3 4 4" xfId="11091" xr:uid="{00000000-0005-0000-0000-00004F5E0000}"/>
    <cellStyle name="Normal 5 3 2 2 3 4 4 2" xfId="27689" xr:uid="{00000000-0005-0000-0000-0000505E0000}"/>
    <cellStyle name="Normal 5 3 2 2 3 4 5" xfId="4541" xr:uid="{00000000-0005-0000-0000-0000515E0000}"/>
    <cellStyle name="Normal 5 3 2 2 3 4 5 2" xfId="21264" xr:uid="{00000000-0005-0000-0000-0000525E0000}"/>
    <cellStyle name="Normal 5 3 2 2 3 4 6" xfId="17577" xr:uid="{00000000-0005-0000-0000-0000535E0000}"/>
    <cellStyle name="Normal 5 3 2 2 3 5" xfId="1361" xr:uid="{00000000-0005-0000-0000-0000545E0000}"/>
    <cellStyle name="Normal 5 3 2 2 3 5 2" xfId="8597" xr:uid="{00000000-0005-0000-0000-0000555E0000}"/>
    <cellStyle name="Normal 5 3 2 2 3 5 2 2" xfId="15860" xr:uid="{00000000-0005-0000-0000-0000565E0000}"/>
    <cellStyle name="Normal 5 3 2 2 3 5 2 2 2" xfId="32175" xr:uid="{00000000-0005-0000-0000-0000575E0000}"/>
    <cellStyle name="Normal 5 3 2 2 3 5 2 3" xfId="25210" xr:uid="{00000000-0005-0000-0000-0000585E0000}"/>
    <cellStyle name="Normal 5 3 2 2 3 5 3" xfId="11939" xr:uid="{00000000-0005-0000-0000-0000595E0000}"/>
    <cellStyle name="Normal 5 3 2 2 3 5 3 2" xfId="28514" xr:uid="{00000000-0005-0000-0000-00005A5E0000}"/>
    <cellStyle name="Normal 5 3 2 2 3 5 4" xfId="5246" xr:uid="{00000000-0005-0000-0000-00005B5E0000}"/>
    <cellStyle name="Normal 5 3 2 2 3 5 4 2" xfId="21910" xr:uid="{00000000-0005-0000-0000-00005C5E0000}"/>
    <cellStyle name="Normal 5 3 2 2 3 5 5" xfId="18096" xr:uid="{00000000-0005-0000-0000-00005D5E0000}"/>
    <cellStyle name="Normal 5 3 2 2 3 6" xfId="2932" xr:uid="{00000000-0005-0000-0000-00005E5E0000}"/>
    <cellStyle name="Normal 5 3 2 2 3 6 2" xfId="14241" xr:uid="{00000000-0005-0000-0000-00005F5E0000}"/>
    <cellStyle name="Normal 5 3 2 2 3 6 2 2" xfId="30556" xr:uid="{00000000-0005-0000-0000-0000605E0000}"/>
    <cellStyle name="Normal 5 3 2 2 3 6 3" xfId="6978" xr:uid="{00000000-0005-0000-0000-0000615E0000}"/>
    <cellStyle name="Normal 5 3 2 2 3 6 3 2" xfId="23591" xr:uid="{00000000-0005-0000-0000-0000625E0000}"/>
    <cellStyle name="Normal 5 3 2 2 3 6 4" xfId="19659" xr:uid="{00000000-0005-0000-0000-0000635E0000}"/>
    <cellStyle name="Normal 5 3 2 2 3 7" xfId="10292" xr:uid="{00000000-0005-0000-0000-0000645E0000}"/>
    <cellStyle name="Normal 5 3 2 2 3 7 2" xfId="26891" xr:uid="{00000000-0005-0000-0000-0000655E0000}"/>
    <cellStyle name="Normal 5 3 2 2 3 8" xfId="4534" xr:uid="{00000000-0005-0000-0000-0000665E0000}"/>
    <cellStyle name="Normal 5 3 2 2 3 8 2" xfId="21257" xr:uid="{00000000-0005-0000-0000-0000675E0000}"/>
    <cellStyle name="Normal 5 3 2 2 3 9" xfId="17472" xr:uid="{00000000-0005-0000-0000-0000685E0000}"/>
    <cellStyle name="Normal 5 3 2 2 4" xfId="1210" xr:uid="{00000000-0005-0000-0000-0000695E0000}"/>
    <cellStyle name="Normal 5 3 2 2 4 2" xfId="1731" xr:uid="{00000000-0005-0000-0000-00006A5E0000}"/>
    <cellStyle name="Normal 5 3 2 2 4 2 2" xfId="2942" xr:uid="{00000000-0005-0000-0000-00006B5E0000}"/>
    <cellStyle name="Normal 5 3 2 2 4 2 2 2" xfId="6625" xr:uid="{00000000-0005-0000-0000-00006C5E0000}"/>
    <cellStyle name="Normal 5 3 2 2 4 2 2 2 2" xfId="9976" xr:uid="{00000000-0005-0000-0000-00006D5E0000}"/>
    <cellStyle name="Normal 5 3 2 2 4 2 2 2 2 2" xfId="17239" xr:uid="{00000000-0005-0000-0000-00006E5E0000}"/>
    <cellStyle name="Normal 5 3 2 2 4 2 2 2 2 2 2" xfId="33554" xr:uid="{00000000-0005-0000-0000-00006F5E0000}"/>
    <cellStyle name="Normal 5 3 2 2 4 2 2 2 2 3" xfId="26589" xr:uid="{00000000-0005-0000-0000-0000705E0000}"/>
    <cellStyle name="Normal 5 3 2 2 4 2 2 2 3" xfId="13318" xr:uid="{00000000-0005-0000-0000-0000715E0000}"/>
    <cellStyle name="Normal 5 3 2 2 4 2 2 2 3 2" xfId="29893" xr:uid="{00000000-0005-0000-0000-0000725E0000}"/>
    <cellStyle name="Normal 5 3 2 2 4 2 2 2 4" xfId="23289" xr:uid="{00000000-0005-0000-0000-0000735E0000}"/>
    <cellStyle name="Normal 5 3 2 2 4 2 2 3" xfId="8355" xr:uid="{00000000-0005-0000-0000-0000745E0000}"/>
    <cellStyle name="Normal 5 3 2 2 4 2 2 3 2" xfId="15618" xr:uid="{00000000-0005-0000-0000-0000755E0000}"/>
    <cellStyle name="Normal 5 3 2 2 4 2 2 3 2 2" xfId="31933" xr:uid="{00000000-0005-0000-0000-0000765E0000}"/>
    <cellStyle name="Normal 5 3 2 2 4 2 2 3 3" xfId="24968" xr:uid="{00000000-0005-0000-0000-0000775E0000}"/>
    <cellStyle name="Normal 5 3 2 2 4 2 2 4" xfId="11670" xr:uid="{00000000-0005-0000-0000-0000785E0000}"/>
    <cellStyle name="Normal 5 3 2 2 4 2 2 4 2" xfId="28268" xr:uid="{00000000-0005-0000-0000-0000795E0000}"/>
    <cellStyle name="Normal 5 3 2 2 4 2 2 5" xfId="4544" xr:uid="{00000000-0005-0000-0000-00007A5E0000}"/>
    <cellStyle name="Normal 5 3 2 2 4 2 2 5 2" xfId="21267" xr:uid="{00000000-0005-0000-0000-00007B5E0000}"/>
    <cellStyle name="Normal 5 3 2 2 4 2 2 6" xfId="19669" xr:uid="{00000000-0005-0000-0000-00007C5E0000}"/>
    <cellStyle name="Normal 5 3 2 2 4 2 3" xfId="2941" xr:uid="{00000000-0005-0000-0000-00007D5E0000}"/>
    <cellStyle name="Normal 5 3 2 2 4 2 3 2" xfId="9200" xr:uid="{00000000-0005-0000-0000-00007E5E0000}"/>
    <cellStyle name="Normal 5 3 2 2 4 2 3 2 2" xfId="16463" xr:uid="{00000000-0005-0000-0000-00007F5E0000}"/>
    <cellStyle name="Normal 5 3 2 2 4 2 3 2 2 2" xfId="32778" xr:uid="{00000000-0005-0000-0000-0000805E0000}"/>
    <cellStyle name="Normal 5 3 2 2 4 2 3 2 3" xfId="25813" xr:uid="{00000000-0005-0000-0000-0000815E0000}"/>
    <cellStyle name="Normal 5 3 2 2 4 2 3 3" xfId="12542" xr:uid="{00000000-0005-0000-0000-0000825E0000}"/>
    <cellStyle name="Normal 5 3 2 2 4 2 3 3 2" xfId="29117" xr:uid="{00000000-0005-0000-0000-0000835E0000}"/>
    <cellStyle name="Normal 5 3 2 2 4 2 3 4" xfId="5849" xr:uid="{00000000-0005-0000-0000-0000845E0000}"/>
    <cellStyle name="Normal 5 3 2 2 4 2 3 4 2" xfId="22513" xr:uid="{00000000-0005-0000-0000-0000855E0000}"/>
    <cellStyle name="Normal 5 3 2 2 4 2 3 5" xfId="19668" xr:uid="{00000000-0005-0000-0000-0000865E0000}"/>
    <cellStyle name="Normal 5 3 2 2 4 2 4" xfId="7579" xr:uid="{00000000-0005-0000-0000-0000875E0000}"/>
    <cellStyle name="Normal 5 3 2 2 4 2 4 2" xfId="14842" xr:uid="{00000000-0005-0000-0000-0000885E0000}"/>
    <cellStyle name="Normal 5 3 2 2 4 2 4 2 2" xfId="31157" xr:uid="{00000000-0005-0000-0000-0000895E0000}"/>
    <cellStyle name="Normal 5 3 2 2 4 2 4 3" xfId="24192" xr:uid="{00000000-0005-0000-0000-00008A5E0000}"/>
    <cellStyle name="Normal 5 3 2 2 4 2 5" xfId="10894" xr:uid="{00000000-0005-0000-0000-00008B5E0000}"/>
    <cellStyle name="Normal 5 3 2 2 4 2 5 2" xfId="27492" xr:uid="{00000000-0005-0000-0000-00008C5E0000}"/>
    <cellStyle name="Normal 5 3 2 2 4 2 6" xfId="4543" xr:uid="{00000000-0005-0000-0000-00008D5E0000}"/>
    <cellStyle name="Normal 5 3 2 2 4 2 6 2" xfId="21266" xr:uid="{00000000-0005-0000-0000-00008E5E0000}"/>
    <cellStyle name="Normal 5 3 2 2 4 2 7" xfId="18466" xr:uid="{00000000-0005-0000-0000-00008F5E0000}"/>
    <cellStyle name="Normal 5 3 2 2 4 3" xfId="2943" xr:uid="{00000000-0005-0000-0000-0000905E0000}"/>
    <cellStyle name="Normal 5 3 2 2 4 3 2" xfId="6255" xr:uid="{00000000-0005-0000-0000-0000915E0000}"/>
    <cellStyle name="Normal 5 3 2 2 4 3 2 2" xfId="9606" xr:uid="{00000000-0005-0000-0000-0000925E0000}"/>
    <cellStyle name="Normal 5 3 2 2 4 3 2 2 2" xfId="16869" xr:uid="{00000000-0005-0000-0000-0000935E0000}"/>
    <cellStyle name="Normal 5 3 2 2 4 3 2 2 2 2" xfId="33184" xr:uid="{00000000-0005-0000-0000-0000945E0000}"/>
    <cellStyle name="Normal 5 3 2 2 4 3 2 2 3" xfId="26219" xr:uid="{00000000-0005-0000-0000-0000955E0000}"/>
    <cellStyle name="Normal 5 3 2 2 4 3 2 3" xfId="12948" xr:uid="{00000000-0005-0000-0000-0000965E0000}"/>
    <cellStyle name="Normal 5 3 2 2 4 3 2 3 2" xfId="29523" xr:uid="{00000000-0005-0000-0000-0000975E0000}"/>
    <cellStyle name="Normal 5 3 2 2 4 3 2 4" xfId="22919" xr:uid="{00000000-0005-0000-0000-0000985E0000}"/>
    <cellStyle name="Normal 5 3 2 2 4 3 3" xfId="7985" xr:uid="{00000000-0005-0000-0000-0000995E0000}"/>
    <cellStyle name="Normal 5 3 2 2 4 3 3 2" xfId="15248" xr:uid="{00000000-0005-0000-0000-00009A5E0000}"/>
    <cellStyle name="Normal 5 3 2 2 4 3 3 2 2" xfId="31563" xr:uid="{00000000-0005-0000-0000-00009B5E0000}"/>
    <cellStyle name="Normal 5 3 2 2 4 3 3 3" xfId="24598" xr:uid="{00000000-0005-0000-0000-00009C5E0000}"/>
    <cellStyle name="Normal 5 3 2 2 4 3 4" xfId="11300" xr:uid="{00000000-0005-0000-0000-00009D5E0000}"/>
    <cellStyle name="Normal 5 3 2 2 4 3 4 2" xfId="27898" xr:uid="{00000000-0005-0000-0000-00009E5E0000}"/>
    <cellStyle name="Normal 5 3 2 2 4 3 5" xfId="4545" xr:uid="{00000000-0005-0000-0000-00009F5E0000}"/>
    <cellStyle name="Normal 5 3 2 2 4 3 5 2" xfId="21268" xr:uid="{00000000-0005-0000-0000-0000A05E0000}"/>
    <cellStyle name="Normal 5 3 2 2 4 3 6" xfId="19670" xr:uid="{00000000-0005-0000-0000-0000A15E0000}"/>
    <cellStyle name="Normal 5 3 2 2 4 4" xfId="2940" xr:uid="{00000000-0005-0000-0000-0000A25E0000}"/>
    <cellStyle name="Normal 5 3 2 2 4 4 2" xfId="8793" xr:uid="{00000000-0005-0000-0000-0000A35E0000}"/>
    <cellStyle name="Normal 5 3 2 2 4 4 2 2" xfId="16056" xr:uid="{00000000-0005-0000-0000-0000A45E0000}"/>
    <cellStyle name="Normal 5 3 2 2 4 4 2 2 2" xfId="32371" xr:uid="{00000000-0005-0000-0000-0000A55E0000}"/>
    <cellStyle name="Normal 5 3 2 2 4 4 2 3" xfId="25406" xr:uid="{00000000-0005-0000-0000-0000A65E0000}"/>
    <cellStyle name="Normal 5 3 2 2 4 4 3" xfId="12135" xr:uid="{00000000-0005-0000-0000-0000A75E0000}"/>
    <cellStyle name="Normal 5 3 2 2 4 4 3 2" xfId="28710" xr:uid="{00000000-0005-0000-0000-0000A85E0000}"/>
    <cellStyle name="Normal 5 3 2 2 4 4 4" xfId="5442" xr:uid="{00000000-0005-0000-0000-0000A95E0000}"/>
    <cellStyle name="Normal 5 3 2 2 4 4 4 2" xfId="22106" xr:uid="{00000000-0005-0000-0000-0000AA5E0000}"/>
    <cellStyle name="Normal 5 3 2 2 4 4 5" xfId="19667" xr:uid="{00000000-0005-0000-0000-0000AB5E0000}"/>
    <cellStyle name="Normal 5 3 2 2 4 5" xfId="7173" xr:uid="{00000000-0005-0000-0000-0000AC5E0000}"/>
    <cellStyle name="Normal 5 3 2 2 4 5 2" xfId="14436" xr:uid="{00000000-0005-0000-0000-0000AD5E0000}"/>
    <cellStyle name="Normal 5 3 2 2 4 5 2 2" xfId="30751" xr:uid="{00000000-0005-0000-0000-0000AE5E0000}"/>
    <cellStyle name="Normal 5 3 2 2 4 5 3" xfId="23786" xr:uid="{00000000-0005-0000-0000-0000AF5E0000}"/>
    <cellStyle name="Normal 5 3 2 2 4 6" xfId="10488" xr:uid="{00000000-0005-0000-0000-0000B05E0000}"/>
    <cellStyle name="Normal 5 3 2 2 4 6 2" xfId="27086" xr:uid="{00000000-0005-0000-0000-0000B15E0000}"/>
    <cellStyle name="Normal 5 3 2 2 4 7" xfId="4542" xr:uid="{00000000-0005-0000-0000-0000B25E0000}"/>
    <cellStyle name="Normal 5 3 2 2 4 7 2" xfId="21265" xr:uid="{00000000-0005-0000-0000-0000B35E0000}"/>
    <cellStyle name="Normal 5 3 2 2 4 8" xfId="17947" xr:uid="{00000000-0005-0000-0000-0000B45E0000}"/>
    <cellStyle name="Normal 5 3 2 2 5" xfId="860" xr:uid="{00000000-0005-0000-0000-0000B55E0000}"/>
    <cellStyle name="Normal 5 3 2 2 5 2" xfId="1429" xr:uid="{00000000-0005-0000-0000-0000B65E0000}"/>
    <cellStyle name="Normal 5 3 2 2 5 2 2" xfId="2945" xr:uid="{00000000-0005-0000-0000-0000B75E0000}"/>
    <cellStyle name="Normal 5 3 2 2 5 2 2 2" xfId="9800" xr:uid="{00000000-0005-0000-0000-0000B85E0000}"/>
    <cellStyle name="Normal 5 3 2 2 5 2 2 2 2" xfId="17063" xr:uid="{00000000-0005-0000-0000-0000B95E0000}"/>
    <cellStyle name="Normal 5 3 2 2 5 2 2 2 2 2" xfId="33378" xr:uid="{00000000-0005-0000-0000-0000BA5E0000}"/>
    <cellStyle name="Normal 5 3 2 2 5 2 2 2 3" xfId="26413" xr:uid="{00000000-0005-0000-0000-0000BB5E0000}"/>
    <cellStyle name="Normal 5 3 2 2 5 2 2 3" xfId="13142" xr:uid="{00000000-0005-0000-0000-0000BC5E0000}"/>
    <cellStyle name="Normal 5 3 2 2 5 2 2 3 2" xfId="29717" xr:uid="{00000000-0005-0000-0000-0000BD5E0000}"/>
    <cellStyle name="Normal 5 3 2 2 5 2 2 4" xfId="6449" xr:uid="{00000000-0005-0000-0000-0000BE5E0000}"/>
    <cellStyle name="Normal 5 3 2 2 5 2 2 4 2" xfId="23113" xr:uid="{00000000-0005-0000-0000-0000BF5E0000}"/>
    <cellStyle name="Normal 5 3 2 2 5 2 2 5" xfId="19672" xr:uid="{00000000-0005-0000-0000-0000C05E0000}"/>
    <cellStyle name="Normal 5 3 2 2 5 2 3" xfId="8179" xr:uid="{00000000-0005-0000-0000-0000C15E0000}"/>
    <cellStyle name="Normal 5 3 2 2 5 2 3 2" xfId="15442" xr:uid="{00000000-0005-0000-0000-0000C25E0000}"/>
    <cellStyle name="Normal 5 3 2 2 5 2 3 2 2" xfId="31757" xr:uid="{00000000-0005-0000-0000-0000C35E0000}"/>
    <cellStyle name="Normal 5 3 2 2 5 2 3 3" xfId="24792" xr:uid="{00000000-0005-0000-0000-0000C45E0000}"/>
    <cellStyle name="Normal 5 3 2 2 5 2 4" xfId="11494" xr:uid="{00000000-0005-0000-0000-0000C55E0000}"/>
    <cellStyle name="Normal 5 3 2 2 5 2 4 2" xfId="28092" xr:uid="{00000000-0005-0000-0000-0000C65E0000}"/>
    <cellStyle name="Normal 5 3 2 2 5 2 5" xfId="4547" xr:uid="{00000000-0005-0000-0000-0000C75E0000}"/>
    <cellStyle name="Normal 5 3 2 2 5 2 5 2" xfId="21270" xr:uid="{00000000-0005-0000-0000-0000C85E0000}"/>
    <cellStyle name="Normal 5 3 2 2 5 2 6" xfId="18164" xr:uid="{00000000-0005-0000-0000-0000C95E0000}"/>
    <cellStyle name="Normal 5 3 2 2 5 3" xfId="2944" xr:uid="{00000000-0005-0000-0000-0000CA5E0000}"/>
    <cellStyle name="Normal 5 3 2 2 5 3 2" xfId="8988" xr:uid="{00000000-0005-0000-0000-0000CB5E0000}"/>
    <cellStyle name="Normal 5 3 2 2 5 3 2 2" xfId="16251" xr:uid="{00000000-0005-0000-0000-0000CC5E0000}"/>
    <cellStyle name="Normal 5 3 2 2 5 3 2 2 2" xfId="32566" xr:uid="{00000000-0005-0000-0000-0000CD5E0000}"/>
    <cellStyle name="Normal 5 3 2 2 5 3 2 3" xfId="25601" xr:uid="{00000000-0005-0000-0000-0000CE5E0000}"/>
    <cellStyle name="Normal 5 3 2 2 5 3 3" xfId="12330" xr:uid="{00000000-0005-0000-0000-0000CF5E0000}"/>
    <cellStyle name="Normal 5 3 2 2 5 3 3 2" xfId="28905" xr:uid="{00000000-0005-0000-0000-0000D05E0000}"/>
    <cellStyle name="Normal 5 3 2 2 5 3 4" xfId="5637" xr:uid="{00000000-0005-0000-0000-0000D15E0000}"/>
    <cellStyle name="Normal 5 3 2 2 5 3 4 2" xfId="22301" xr:uid="{00000000-0005-0000-0000-0000D25E0000}"/>
    <cellStyle name="Normal 5 3 2 2 5 3 5" xfId="19671" xr:uid="{00000000-0005-0000-0000-0000D35E0000}"/>
    <cellStyle name="Normal 5 3 2 2 5 4" xfId="7367" xr:uid="{00000000-0005-0000-0000-0000D45E0000}"/>
    <cellStyle name="Normal 5 3 2 2 5 4 2" xfId="14630" xr:uid="{00000000-0005-0000-0000-0000D55E0000}"/>
    <cellStyle name="Normal 5 3 2 2 5 4 2 2" xfId="30945" xr:uid="{00000000-0005-0000-0000-0000D65E0000}"/>
    <cellStyle name="Normal 5 3 2 2 5 4 3" xfId="23980" xr:uid="{00000000-0005-0000-0000-0000D75E0000}"/>
    <cellStyle name="Normal 5 3 2 2 5 5" xfId="10682" xr:uid="{00000000-0005-0000-0000-0000D85E0000}"/>
    <cellStyle name="Normal 5 3 2 2 5 5 2" xfId="27280" xr:uid="{00000000-0005-0000-0000-0000D95E0000}"/>
    <cellStyle name="Normal 5 3 2 2 5 6" xfId="4546" xr:uid="{00000000-0005-0000-0000-0000DA5E0000}"/>
    <cellStyle name="Normal 5 3 2 2 5 6 2" xfId="21269" xr:uid="{00000000-0005-0000-0000-0000DB5E0000}"/>
    <cellStyle name="Normal 5 3 2 2 5 7" xfId="17645" xr:uid="{00000000-0005-0000-0000-0000DC5E0000}"/>
    <cellStyle name="Normal 5 3 2 2 6" xfId="729" xr:uid="{00000000-0005-0000-0000-0000DD5E0000}"/>
    <cellStyle name="Normal 5 3 2 2 6 2" xfId="2946" xr:uid="{00000000-0005-0000-0000-0000DE5E0000}"/>
    <cellStyle name="Normal 5 3 2 2 6 2 2" xfId="9394" xr:uid="{00000000-0005-0000-0000-0000DF5E0000}"/>
    <cellStyle name="Normal 5 3 2 2 6 2 2 2" xfId="16657" xr:uid="{00000000-0005-0000-0000-0000E05E0000}"/>
    <cellStyle name="Normal 5 3 2 2 6 2 2 2 2" xfId="32972" xr:uid="{00000000-0005-0000-0000-0000E15E0000}"/>
    <cellStyle name="Normal 5 3 2 2 6 2 2 3" xfId="26007" xr:uid="{00000000-0005-0000-0000-0000E25E0000}"/>
    <cellStyle name="Normal 5 3 2 2 6 2 3" xfId="12736" xr:uid="{00000000-0005-0000-0000-0000E35E0000}"/>
    <cellStyle name="Normal 5 3 2 2 6 2 3 2" xfId="29311" xr:uid="{00000000-0005-0000-0000-0000E45E0000}"/>
    <cellStyle name="Normal 5 3 2 2 6 2 4" xfId="6043" xr:uid="{00000000-0005-0000-0000-0000E55E0000}"/>
    <cellStyle name="Normal 5 3 2 2 6 2 4 2" xfId="22707" xr:uid="{00000000-0005-0000-0000-0000E65E0000}"/>
    <cellStyle name="Normal 5 3 2 2 6 2 5" xfId="19673" xr:uid="{00000000-0005-0000-0000-0000E75E0000}"/>
    <cellStyle name="Normal 5 3 2 2 6 3" xfId="7773" xr:uid="{00000000-0005-0000-0000-0000E85E0000}"/>
    <cellStyle name="Normal 5 3 2 2 6 3 2" xfId="15036" xr:uid="{00000000-0005-0000-0000-0000E95E0000}"/>
    <cellStyle name="Normal 5 3 2 2 6 3 2 2" xfId="31351" xr:uid="{00000000-0005-0000-0000-0000EA5E0000}"/>
    <cellStyle name="Normal 5 3 2 2 6 3 3" xfId="24386" xr:uid="{00000000-0005-0000-0000-0000EB5E0000}"/>
    <cellStyle name="Normal 5 3 2 2 6 4" xfId="11088" xr:uid="{00000000-0005-0000-0000-0000EC5E0000}"/>
    <cellStyle name="Normal 5 3 2 2 6 4 2" xfId="27686" xr:uid="{00000000-0005-0000-0000-0000ED5E0000}"/>
    <cellStyle name="Normal 5 3 2 2 6 5" xfId="4548" xr:uid="{00000000-0005-0000-0000-0000EE5E0000}"/>
    <cellStyle name="Normal 5 3 2 2 6 5 2" xfId="21271" xr:uid="{00000000-0005-0000-0000-0000EF5E0000}"/>
    <cellStyle name="Normal 5 3 2 2 6 6" xfId="17542" xr:uid="{00000000-0005-0000-0000-0000F05E0000}"/>
    <cellStyle name="Normal 5 3 2 2 7" xfId="1326" xr:uid="{00000000-0005-0000-0000-0000F15E0000}"/>
    <cellStyle name="Normal 5 3 2 2 7 2" xfId="8491" xr:uid="{00000000-0005-0000-0000-0000F25E0000}"/>
    <cellStyle name="Normal 5 3 2 2 7 2 2" xfId="15754" xr:uid="{00000000-0005-0000-0000-0000F35E0000}"/>
    <cellStyle name="Normal 5 3 2 2 7 2 2 2" xfId="32069" xr:uid="{00000000-0005-0000-0000-0000F45E0000}"/>
    <cellStyle name="Normal 5 3 2 2 7 2 3" xfId="25104" xr:uid="{00000000-0005-0000-0000-0000F55E0000}"/>
    <cellStyle name="Normal 5 3 2 2 7 3" xfId="11832" xr:uid="{00000000-0005-0000-0000-0000F65E0000}"/>
    <cellStyle name="Normal 5 3 2 2 7 3 2" xfId="28408" xr:uid="{00000000-0005-0000-0000-0000F75E0000}"/>
    <cellStyle name="Normal 5 3 2 2 7 4" xfId="5138" xr:uid="{00000000-0005-0000-0000-0000F85E0000}"/>
    <cellStyle name="Normal 5 3 2 2 7 4 2" xfId="21804" xr:uid="{00000000-0005-0000-0000-0000F95E0000}"/>
    <cellStyle name="Normal 5 3 2 2 7 5" xfId="18061" xr:uid="{00000000-0005-0000-0000-0000FA5E0000}"/>
    <cellStyle name="Normal 5 3 2 2 8" xfId="2915" xr:uid="{00000000-0005-0000-0000-0000FB5E0000}"/>
    <cellStyle name="Normal 5 3 2 2 8 2" xfId="14135" xr:uid="{00000000-0005-0000-0000-0000FC5E0000}"/>
    <cellStyle name="Normal 5 3 2 2 8 2 2" xfId="30450" xr:uid="{00000000-0005-0000-0000-0000FD5E0000}"/>
    <cellStyle name="Normal 5 3 2 2 8 3" xfId="6872" xr:uid="{00000000-0005-0000-0000-0000FE5E0000}"/>
    <cellStyle name="Normal 5 3 2 2 8 3 2" xfId="23485" xr:uid="{00000000-0005-0000-0000-0000FF5E0000}"/>
    <cellStyle name="Normal 5 3 2 2 8 4" xfId="19642" xr:uid="{00000000-0005-0000-0000-0000005F0000}"/>
    <cellStyle name="Normal 5 3 2 2 9" xfId="10185" xr:uid="{00000000-0005-0000-0000-0000015F0000}"/>
    <cellStyle name="Normal 5 3 2 2 9 2" xfId="26785" xr:uid="{00000000-0005-0000-0000-0000025F0000}"/>
    <cellStyle name="Normal 5 3 2 3" xfId="674" xr:uid="{00000000-0005-0000-0000-0000035F0000}"/>
    <cellStyle name="Normal 5 3 2 3 10" xfId="17490" xr:uid="{00000000-0005-0000-0000-0000045F0000}"/>
    <cellStyle name="Normal 5 3 2 3 2" xfId="1013" xr:uid="{00000000-0005-0000-0000-0000055F0000}"/>
    <cellStyle name="Normal 5 3 2 3 2 2" xfId="1215" xr:uid="{00000000-0005-0000-0000-0000065F0000}"/>
    <cellStyle name="Normal 5 3 2 3 2 2 2" xfId="1736" xr:uid="{00000000-0005-0000-0000-0000075F0000}"/>
    <cellStyle name="Normal 5 3 2 3 2 2 2 2" xfId="2951" xr:uid="{00000000-0005-0000-0000-0000085F0000}"/>
    <cellStyle name="Normal 5 3 2 3 2 2 2 2 2" xfId="6630" xr:uid="{00000000-0005-0000-0000-0000095F0000}"/>
    <cellStyle name="Normal 5 3 2 3 2 2 2 2 2 2" xfId="9981" xr:uid="{00000000-0005-0000-0000-00000A5F0000}"/>
    <cellStyle name="Normal 5 3 2 3 2 2 2 2 2 2 2" xfId="17244" xr:uid="{00000000-0005-0000-0000-00000B5F0000}"/>
    <cellStyle name="Normal 5 3 2 3 2 2 2 2 2 2 2 2" xfId="33559" xr:uid="{00000000-0005-0000-0000-00000C5F0000}"/>
    <cellStyle name="Normal 5 3 2 3 2 2 2 2 2 2 3" xfId="26594" xr:uid="{00000000-0005-0000-0000-00000D5F0000}"/>
    <cellStyle name="Normal 5 3 2 3 2 2 2 2 2 3" xfId="13323" xr:uid="{00000000-0005-0000-0000-00000E5F0000}"/>
    <cellStyle name="Normal 5 3 2 3 2 2 2 2 2 3 2" xfId="29898" xr:uid="{00000000-0005-0000-0000-00000F5F0000}"/>
    <cellStyle name="Normal 5 3 2 3 2 2 2 2 2 4" xfId="23294" xr:uid="{00000000-0005-0000-0000-0000105F0000}"/>
    <cellStyle name="Normal 5 3 2 3 2 2 2 2 3" xfId="8360" xr:uid="{00000000-0005-0000-0000-0000115F0000}"/>
    <cellStyle name="Normal 5 3 2 3 2 2 2 2 3 2" xfId="15623" xr:uid="{00000000-0005-0000-0000-0000125F0000}"/>
    <cellStyle name="Normal 5 3 2 3 2 2 2 2 3 2 2" xfId="31938" xr:uid="{00000000-0005-0000-0000-0000135F0000}"/>
    <cellStyle name="Normal 5 3 2 3 2 2 2 2 3 3" xfId="24973" xr:uid="{00000000-0005-0000-0000-0000145F0000}"/>
    <cellStyle name="Normal 5 3 2 3 2 2 2 2 4" xfId="11675" xr:uid="{00000000-0005-0000-0000-0000155F0000}"/>
    <cellStyle name="Normal 5 3 2 3 2 2 2 2 4 2" xfId="28273" xr:uid="{00000000-0005-0000-0000-0000165F0000}"/>
    <cellStyle name="Normal 5 3 2 3 2 2 2 2 5" xfId="4553" xr:uid="{00000000-0005-0000-0000-0000175F0000}"/>
    <cellStyle name="Normal 5 3 2 3 2 2 2 2 5 2" xfId="21276" xr:uid="{00000000-0005-0000-0000-0000185F0000}"/>
    <cellStyle name="Normal 5 3 2 3 2 2 2 2 6" xfId="19678" xr:uid="{00000000-0005-0000-0000-0000195F0000}"/>
    <cellStyle name="Normal 5 3 2 3 2 2 2 3" xfId="2950" xr:uid="{00000000-0005-0000-0000-00001A5F0000}"/>
    <cellStyle name="Normal 5 3 2 3 2 2 2 3 2" xfId="9205" xr:uid="{00000000-0005-0000-0000-00001B5F0000}"/>
    <cellStyle name="Normal 5 3 2 3 2 2 2 3 2 2" xfId="16468" xr:uid="{00000000-0005-0000-0000-00001C5F0000}"/>
    <cellStyle name="Normal 5 3 2 3 2 2 2 3 2 2 2" xfId="32783" xr:uid="{00000000-0005-0000-0000-00001D5F0000}"/>
    <cellStyle name="Normal 5 3 2 3 2 2 2 3 2 3" xfId="25818" xr:uid="{00000000-0005-0000-0000-00001E5F0000}"/>
    <cellStyle name="Normal 5 3 2 3 2 2 2 3 3" xfId="12547" xr:uid="{00000000-0005-0000-0000-00001F5F0000}"/>
    <cellStyle name="Normal 5 3 2 3 2 2 2 3 3 2" xfId="29122" xr:uid="{00000000-0005-0000-0000-0000205F0000}"/>
    <cellStyle name="Normal 5 3 2 3 2 2 2 3 4" xfId="5854" xr:uid="{00000000-0005-0000-0000-0000215F0000}"/>
    <cellStyle name="Normal 5 3 2 3 2 2 2 3 4 2" xfId="22518" xr:uid="{00000000-0005-0000-0000-0000225F0000}"/>
    <cellStyle name="Normal 5 3 2 3 2 2 2 3 5" xfId="19677" xr:uid="{00000000-0005-0000-0000-0000235F0000}"/>
    <cellStyle name="Normal 5 3 2 3 2 2 2 4" xfId="7584" xr:uid="{00000000-0005-0000-0000-0000245F0000}"/>
    <cellStyle name="Normal 5 3 2 3 2 2 2 4 2" xfId="14847" xr:uid="{00000000-0005-0000-0000-0000255F0000}"/>
    <cellStyle name="Normal 5 3 2 3 2 2 2 4 2 2" xfId="31162" xr:uid="{00000000-0005-0000-0000-0000265F0000}"/>
    <cellStyle name="Normal 5 3 2 3 2 2 2 4 3" xfId="24197" xr:uid="{00000000-0005-0000-0000-0000275F0000}"/>
    <cellStyle name="Normal 5 3 2 3 2 2 2 5" xfId="10899" xr:uid="{00000000-0005-0000-0000-0000285F0000}"/>
    <cellStyle name="Normal 5 3 2 3 2 2 2 5 2" xfId="27497" xr:uid="{00000000-0005-0000-0000-0000295F0000}"/>
    <cellStyle name="Normal 5 3 2 3 2 2 2 6" xfId="4552" xr:uid="{00000000-0005-0000-0000-00002A5F0000}"/>
    <cellStyle name="Normal 5 3 2 3 2 2 2 6 2" xfId="21275" xr:uid="{00000000-0005-0000-0000-00002B5F0000}"/>
    <cellStyle name="Normal 5 3 2 3 2 2 2 7" xfId="18471" xr:uid="{00000000-0005-0000-0000-00002C5F0000}"/>
    <cellStyle name="Normal 5 3 2 3 2 2 3" xfId="2952" xr:uid="{00000000-0005-0000-0000-00002D5F0000}"/>
    <cellStyle name="Normal 5 3 2 3 2 2 3 2" xfId="6260" xr:uid="{00000000-0005-0000-0000-00002E5F0000}"/>
    <cellStyle name="Normal 5 3 2 3 2 2 3 2 2" xfId="9611" xr:uid="{00000000-0005-0000-0000-00002F5F0000}"/>
    <cellStyle name="Normal 5 3 2 3 2 2 3 2 2 2" xfId="16874" xr:uid="{00000000-0005-0000-0000-0000305F0000}"/>
    <cellStyle name="Normal 5 3 2 3 2 2 3 2 2 2 2" xfId="33189" xr:uid="{00000000-0005-0000-0000-0000315F0000}"/>
    <cellStyle name="Normal 5 3 2 3 2 2 3 2 2 3" xfId="26224" xr:uid="{00000000-0005-0000-0000-0000325F0000}"/>
    <cellStyle name="Normal 5 3 2 3 2 2 3 2 3" xfId="12953" xr:uid="{00000000-0005-0000-0000-0000335F0000}"/>
    <cellStyle name="Normal 5 3 2 3 2 2 3 2 3 2" xfId="29528" xr:uid="{00000000-0005-0000-0000-0000345F0000}"/>
    <cellStyle name="Normal 5 3 2 3 2 2 3 2 4" xfId="22924" xr:uid="{00000000-0005-0000-0000-0000355F0000}"/>
    <cellStyle name="Normal 5 3 2 3 2 2 3 3" xfId="7990" xr:uid="{00000000-0005-0000-0000-0000365F0000}"/>
    <cellStyle name="Normal 5 3 2 3 2 2 3 3 2" xfId="15253" xr:uid="{00000000-0005-0000-0000-0000375F0000}"/>
    <cellStyle name="Normal 5 3 2 3 2 2 3 3 2 2" xfId="31568" xr:uid="{00000000-0005-0000-0000-0000385F0000}"/>
    <cellStyle name="Normal 5 3 2 3 2 2 3 3 3" xfId="24603" xr:uid="{00000000-0005-0000-0000-0000395F0000}"/>
    <cellStyle name="Normal 5 3 2 3 2 2 3 4" xfId="11305" xr:uid="{00000000-0005-0000-0000-00003A5F0000}"/>
    <cellStyle name="Normal 5 3 2 3 2 2 3 4 2" xfId="27903" xr:uid="{00000000-0005-0000-0000-00003B5F0000}"/>
    <cellStyle name="Normal 5 3 2 3 2 2 3 5" xfId="4554" xr:uid="{00000000-0005-0000-0000-00003C5F0000}"/>
    <cellStyle name="Normal 5 3 2 3 2 2 3 5 2" xfId="21277" xr:uid="{00000000-0005-0000-0000-00003D5F0000}"/>
    <cellStyle name="Normal 5 3 2 3 2 2 3 6" xfId="19679" xr:uid="{00000000-0005-0000-0000-00003E5F0000}"/>
    <cellStyle name="Normal 5 3 2 3 2 2 4" xfId="2949" xr:uid="{00000000-0005-0000-0000-00003F5F0000}"/>
    <cellStyle name="Normal 5 3 2 3 2 2 4 2" xfId="8798" xr:uid="{00000000-0005-0000-0000-0000405F0000}"/>
    <cellStyle name="Normal 5 3 2 3 2 2 4 2 2" xfId="16061" xr:uid="{00000000-0005-0000-0000-0000415F0000}"/>
    <cellStyle name="Normal 5 3 2 3 2 2 4 2 2 2" xfId="32376" xr:uid="{00000000-0005-0000-0000-0000425F0000}"/>
    <cellStyle name="Normal 5 3 2 3 2 2 4 2 3" xfId="25411" xr:uid="{00000000-0005-0000-0000-0000435F0000}"/>
    <cellStyle name="Normal 5 3 2 3 2 2 4 3" xfId="12140" xr:uid="{00000000-0005-0000-0000-0000445F0000}"/>
    <cellStyle name="Normal 5 3 2 3 2 2 4 3 2" xfId="28715" xr:uid="{00000000-0005-0000-0000-0000455F0000}"/>
    <cellStyle name="Normal 5 3 2 3 2 2 4 4" xfId="5447" xr:uid="{00000000-0005-0000-0000-0000465F0000}"/>
    <cellStyle name="Normal 5 3 2 3 2 2 4 4 2" xfId="22111" xr:uid="{00000000-0005-0000-0000-0000475F0000}"/>
    <cellStyle name="Normal 5 3 2 3 2 2 4 5" xfId="19676" xr:uid="{00000000-0005-0000-0000-0000485F0000}"/>
    <cellStyle name="Normal 5 3 2 3 2 2 5" xfId="7178" xr:uid="{00000000-0005-0000-0000-0000495F0000}"/>
    <cellStyle name="Normal 5 3 2 3 2 2 5 2" xfId="14441" xr:uid="{00000000-0005-0000-0000-00004A5F0000}"/>
    <cellStyle name="Normal 5 3 2 3 2 2 5 2 2" xfId="30756" xr:uid="{00000000-0005-0000-0000-00004B5F0000}"/>
    <cellStyle name="Normal 5 3 2 3 2 2 5 3" xfId="23791" xr:uid="{00000000-0005-0000-0000-00004C5F0000}"/>
    <cellStyle name="Normal 5 3 2 3 2 2 6" xfId="10493" xr:uid="{00000000-0005-0000-0000-00004D5F0000}"/>
    <cellStyle name="Normal 5 3 2 3 2 2 6 2" xfId="27091" xr:uid="{00000000-0005-0000-0000-00004E5F0000}"/>
    <cellStyle name="Normal 5 3 2 3 2 2 7" xfId="4551" xr:uid="{00000000-0005-0000-0000-00004F5F0000}"/>
    <cellStyle name="Normal 5 3 2 3 2 2 7 2" xfId="21274" xr:uid="{00000000-0005-0000-0000-0000505F0000}"/>
    <cellStyle name="Normal 5 3 2 3 2 2 8" xfId="17952" xr:uid="{00000000-0005-0000-0000-0000515F0000}"/>
    <cellStyle name="Normal 5 3 2 3 2 3" xfId="1574" xr:uid="{00000000-0005-0000-0000-0000525F0000}"/>
    <cellStyle name="Normal 5 3 2 3 2 3 2" xfId="2954" xr:uid="{00000000-0005-0000-0000-0000535F0000}"/>
    <cellStyle name="Normal 5 3 2 3 2 3 2 2" xfId="6454" xr:uid="{00000000-0005-0000-0000-0000545F0000}"/>
    <cellStyle name="Normal 5 3 2 3 2 3 2 2 2" xfId="9805" xr:uid="{00000000-0005-0000-0000-0000555F0000}"/>
    <cellStyle name="Normal 5 3 2 3 2 3 2 2 2 2" xfId="17068" xr:uid="{00000000-0005-0000-0000-0000565F0000}"/>
    <cellStyle name="Normal 5 3 2 3 2 3 2 2 2 2 2" xfId="33383" xr:uid="{00000000-0005-0000-0000-0000575F0000}"/>
    <cellStyle name="Normal 5 3 2 3 2 3 2 2 2 3" xfId="26418" xr:uid="{00000000-0005-0000-0000-0000585F0000}"/>
    <cellStyle name="Normal 5 3 2 3 2 3 2 2 3" xfId="13147" xr:uid="{00000000-0005-0000-0000-0000595F0000}"/>
    <cellStyle name="Normal 5 3 2 3 2 3 2 2 3 2" xfId="29722" xr:uid="{00000000-0005-0000-0000-00005A5F0000}"/>
    <cellStyle name="Normal 5 3 2 3 2 3 2 2 4" xfId="23118" xr:uid="{00000000-0005-0000-0000-00005B5F0000}"/>
    <cellStyle name="Normal 5 3 2 3 2 3 2 3" xfId="8184" xr:uid="{00000000-0005-0000-0000-00005C5F0000}"/>
    <cellStyle name="Normal 5 3 2 3 2 3 2 3 2" xfId="15447" xr:uid="{00000000-0005-0000-0000-00005D5F0000}"/>
    <cellStyle name="Normal 5 3 2 3 2 3 2 3 2 2" xfId="31762" xr:uid="{00000000-0005-0000-0000-00005E5F0000}"/>
    <cellStyle name="Normal 5 3 2 3 2 3 2 3 3" xfId="24797" xr:uid="{00000000-0005-0000-0000-00005F5F0000}"/>
    <cellStyle name="Normal 5 3 2 3 2 3 2 4" xfId="11499" xr:uid="{00000000-0005-0000-0000-0000605F0000}"/>
    <cellStyle name="Normal 5 3 2 3 2 3 2 4 2" xfId="28097" xr:uid="{00000000-0005-0000-0000-0000615F0000}"/>
    <cellStyle name="Normal 5 3 2 3 2 3 2 5" xfId="4556" xr:uid="{00000000-0005-0000-0000-0000625F0000}"/>
    <cellStyle name="Normal 5 3 2 3 2 3 2 5 2" xfId="21279" xr:uid="{00000000-0005-0000-0000-0000635F0000}"/>
    <cellStyle name="Normal 5 3 2 3 2 3 2 6" xfId="19681" xr:uid="{00000000-0005-0000-0000-0000645F0000}"/>
    <cellStyle name="Normal 5 3 2 3 2 3 3" xfId="2953" xr:uid="{00000000-0005-0000-0000-0000655F0000}"/>
    <cellStyle name="Normal 5 3 2 3 2 3 3 2" xfId="8993" xr:uid="{00000000-0005-0000-0000-0000665F0000}"/>
    <cellStyle name="Normal 5 3 2 3 2 3 3 2 2" xfId="16256" xr:uid="{00000000-0005-0000-0000-0000675F0000}"/>
    <cellStyle name="Normal 5 3 2 3 2 3 3 2 2 2" xfId="32571" xr:uid="{00000000-0005-0000-0000-0000685F0000}"/>
    <cellStyle name="Normal 5 3 2 3 2 3 3 2 3" xfId="25606" xr:uid="{00000000-0005-0000-0000-0000695F0000}"/>
    <cellStyle name="Normal 5 3 2 3 2 3 3 3" xfId="12335" xr:uid="{00000000-0005-0000-0000-00006A5F0000}"/>
    <cellStyle name="Normal 5 3 2 3 2 3 3 3 2" xfId="28910" xr:uid="{00000000-0005-0000-0000-00006B5F0000}"/>
    <cellStyle name="Normal 5 3 2 3 2 3 3 4" xfId="5642" xr:uid="{00000000-0005-0000-0000-00006C5F0000}"/>
    <cellStyle name="Normal 5 3 2 3 2 3 3 4 2" xfId="22306" xr:uid="{00000000-0005-0000-0000-00006D5F0000}"/>
    <cellStyle name="Normal 5 3 2 3 2 3 3 5" xfId="19680" xr:uid="{00000000-0005-0000-0000-00006E5F0000}"/>
    <cellStyle name="Normal 5 3 2 3 2 3 4" xfId="7372" xr:uid="{00000000-0005-0000-0000-00006F5F0000}"/>
    <cellStyle name="Normal 5 3 2 3 2 3 4 2" xfId="14635" xr:uid="{00000000-0005-0000-0000-0000705F0000}"/>
    <cellStyle name="Normal 5 3 2 3 2 3 4 2 2" xfId="30950" xr:uid="{00000000-0005-0000-0000-0000715F0000}"/>
    <cellStyle name="Normal 5 3 2 3 2 3 4 3" xfId="23985" xr:uid="{00000000-0005-0000-0000-0000725F0000}"/>
    <cellStyle name="Normal 5 3 2 3 2 3 5" xfId="10687" xr:uid="{00000000-0005-0000-0000-0000735F0000}"/>
    <cellStyle name="Normal 5 3 2 3 2 3 5 2" xfId="27285" xr:uid="{00000000-0005-0000-0000-0000745F0000}"/>
    <cellStyle name="Normal 5 3 2 3 2 3 6" xfId="4555" xr:uid="{00000000-0005-0000-0000-0000755F0000}"/>
    <cellStyle name="Normal 5 3 2 3 2 3 6 2" xfId="21278" xr:uid="{00000000-0005-0000-0000-0000765F0000}"/>
    <cellStyle name="Normal 5 3 2 3 2 3 7" xfId="18309" xr:uid="{00000000-0005-0000-0000-0000775F0000}"/>
    <cellStyle name="Normal 5 3 2 3 2 4" xfId="2955" xr:uid="{00000000-0005-0000-0000-0000785F0000}"/>
    <cellStyle name="Normal 5 3 2 3 2 4 2" xfId="6048" xr:uid="{00000000-0005-0000-0000-0000795F0000}"/>
    <cellStyle name="Normal 5 3 2 3 2 4 2 2" xfId="9399" xr:uid="{00000000-0005-0000-0000-00007A5F0000}"/>
    <cellStyle name="Normal 5 3 2 3 2 4 2 2 2" xfId="16662" xr:uid="{00000000-0005-0000-0000-00007B5F0000}"/>
    <cellStyle name="Normal 5 3 2 3 2 4 2 2 2 2" xfId="32977" xr:uid="{00000000-0005-0000-0000-00007C5F0000}"/>
    <cellStyle name="Normal 5 3 2 3 2 4 2 2 3" xfId="26012" xr:uid="{00000000-0005-0000-0000-00007D5F0000}"/>
    <cellStyle name="Normal 5 3 2 3 2 4 2 3" xfId="12741" xr:uid="{00000000-0005-0000-0000-00007E5F0000}"/>
    <cellStyle name="Normal 5 3 2 3 2 4 2 3 2" xfId="29316" xr:uid="{00000000-0005-0000-0000-00007F5F0000}"/>
    <cellStyle name="Normal 5 3 2 3 2 4 2 4" xfId="22712" xr:uid="{00000000-0005-0000-0000-0000805F0000}"/>
    <cellStyle name="Normal 5 3 2 3 2 4 3" xfId="7778" xr:uid="{00000000-0005-0000-0000-0000815F0000}"/>
    <cellStyle name="Normal 5 3 2 3 2 4 3 2" xfId="15041" xr:uid="{00000000-0005-0000-0000-0000825F0000}"/>
    <cellStyle name="Normal 5 3 2 3 2 4 3 2 2" xfId="31356" xr:uid="{00000000-0005-0000-0000-0000835F0000}"/>
    <cellStyle name="Normal 5 3 2 3 2 4 3 3" xfId="24391" xr:uid="{00000000-0005-0000-0000-0000845F0000}"/>
    <cellStyle name="Normal 5 3 2 3 2 4 4" xfId="11093" xr:uid="{00000000-0005-0000-0000-0000855F0000}"/>
    <cellStyle name="Normal 5 3 2 3 2 4 4 2" xfId="27691" xr:uid="{00000000-0005-0000-0000-0000865F0000}"/>
    <cellStyle name="Normal 5 3 2 3 2 4 5" xfId="4557" xr:uid="{00000000-0005-0000-0000-0000875F0000}"/>
    <cellStyle name="Normal 5 3 2 3 2 4 5 2" xfId="21280" xr:uid="{00000000-0005-0000-0000-0000885F0000}"/>
    <cellStyle name="Normal 5 3 2 3 2 4 6" xfId="19682" xr:uid="{00000000-0005-0000-0000-0000895F0000}"/>
    <cellStyle name="Normal 5 3 2 3 2 5" xfId="2948" xr:uid="{00000000-0005-0000-0000-00008A5F0000}"/>
    <cellStyle name="Normal 5 3 2 3 2 5 2" xfId="8635" xr:uid="{00000000-0005-0000-0000-00008B5F0000}"/>
    <cellStyle name="Normal 5 3 2 3 2 5 2 2" xfId="15898" xr:uid="{00000000-0005-0000-0000-00008C5F0000}"/>
    <cellStyle name="Normal 5 3 2 3 2 5 2 2 2" xfId="32213" xr:uid="{00000000-0005-0000-0000-00008D5F0000}"/>
    <cellStyle name="Normal 5 3 2 3 2 5 2 3" xfId="25248" xr:uid="{00000000-0005-0000-0000-00008E5F0000}"/>
    <cellStyle name="Normal 5 3 2 3 2 5 3" xfId="11977" xr:uid="{00000000-0005-0000-0000-00008F5F0000}"/>
    <cellStyle name="Normal 5 3 2 3 2 5 3 2" xfId="28552" xr:uid="{00000000-0005-0000-0000-0000905F0000}"/>
    <cellStyle name="Normal 5 3 2 3 2 5 4" xfId="5284" xr:uid="{00000000-0005-0000-0000-0000915F0000}"/>
    <cellStyle name="Normal 5 3 2 3 2 5 4 2" xfId="21948" xr:uid="{00000000-0005-0000-0000-0000925F0000}"/>
    <cellStyle name="Normal 5 3 2 3 2 5 5" xfId="19675" xr:uid="{00000000-0005-0000-0000-0000935F0000}"/>
    <cellStyle name="Normal 5 3 2 3 2 6" xfId="7016" xr:uid="{00000000-0005-0000-0000-0000945F0000}"/>
    <cellStyle name="Normal 5 3 2 3 2 6 2" xfId="14279" xr:uid="{00000000-0005-0000-0000-0000955F0000}"/>
    <cellStyle name="Normal 5 3 2 3 2 6 2 2" xfId="30594" xr:uid="{00000000-0005-0000-0000-0000965F0000}"/>
    <cellStyle name="Normal 5 3 2 3 2 6 3" xfId="23629" xr:uid="{00000000-0005-0000-0000-0000975F0000}"/>
    <cellStyle name="Normal 5 3 2 3 2 7" xfId="10330" xr:uid="{00000000-0005-0000-0000-0000985F0000}"/>
    <cellStyle name="Normal 5 3 2 3 2 7 2" xfId="26929" xr:uid="{00000000-0005-0000-0000-0000995F0000}"/>
    <cellStyle name="Normal 5 3 2 3 2 8" xfId="4550" xr:uid="{00000000-0005-0000-0000-00009A5F0000}"/>
    <cellStyle name="Normal 5 3 2 3 2 8 2" xfId="21273" xr:uid="{00000000-0005-0000-0000-00009B5F0000}"/>
    <cellStyle name="Normal 5 3 2 3 2 9" xfId="17790" xr:uid="{00000000-0005-0000-0000-00009C5F0000}"/>
    <cellStyle name="Normal 5 3 2 3 3" xfId="1214" xr:uid="{00000000-0005-0000-0000-00009D5F0000}"/>
    <cellStyle name="Normal 5 3 2 3 3 2" xfId="1735" xr:uid="{00000000-0005-0000-0000-00009E5F0000}"/>
    <cellStyle name="Normal 5 3 2 3 3 2 2" xfId="2958" xr:uid="{00000000-0005-0000-0000-00009F5F0000}"/>
    <cellStyle name="Normal 5 3 2 3 3 2 2 2" xfId="6629" xr:uid="{00000000-0005-0000-0000-0000A05F0000}"/>
    <cellStyle name="Normal 5 3 2 3 3 2 2 2 2" xfId="9980" xr:uid="{00000000-0005-0000-0000-0000A15F0000}"/>
    <cellStyle name="Normal 5 3 2 3 3 2 2 2 2 2" xfId="17243" xr:uid="{00000000-0005-0000-0000-0000A25F0000}"/>
    <cellStyle name="Normal 5 3 2 3 3 2 2 2 2 2 2" xfId="33558" xr:uid="{00000000-0005-0000-0000-0000A35F0000}"/>
    <cellStyle name="Normal 5 3 2 3 3 2 2 2 2 3" xfId="26593" xr:uid="{00000000-0005-0000-0000-0000A45F0000}"/>
    <cellStyle name="Normal 5 3 2 3 3 2 2 2 3" xfId="13322" xr:uid="{00000000-0005-0000-0000-0000A55F0000}"/>
    <cellStyle name="Normal 5 3 2 3 3 2 2 2 3 2" xfId="29897" xr:uid="{00000000-0005-0000-0000-0000A65F0000}"/>
    <cellStyle name="Normal 5 3 2 3 3 2 2 2 4" xfId="23293" xr:uid="{00000000-0005-0000-0000-0000A75F0000}"/>
    <cellStyle name="Normal 5 3 2 3 3 2 2 3" xfId="8359" xr:uid="{00000000-0005-0000-0000-0000A85F0000}"/>
    <cellStyle name="Normal 5 3 2 3 3 2 2 3 2" xfId="15622" xr:uid="{00000000-0005-0000-0000-0000A95F0000}"/>
    <cellStyle name="Normal 5 3 2 3 3 2 2 3 2 2" xfId="31937" xr:uid="{00000000-0005-0000-0000-0000AA5F0000}"/>
    <cellStyle name="Normal 5 3 2 3 3 2 2 3 3" xfId="24972" xr:uid="{00000000-0005-0000-0000-0000AB5F0000}"/>
    <cellStyle name="Normal 5 3 2 3 3 2 2 4" xfId="11674" xr:uid="{00000000-0005-0000-0000-0000AC5F0000}"/>
    <cellStyle name="Normal 5 3 2 3 3 2 2 4 2" xfId="28272" xr:uid="{00000000-0005-0000-0000-0000AD5F0000}"/>
    <cellStyle name="Normal 5 3 2 3 3 2 2 5" xfId="4560" xr:uid="{00000000-0005-0000-0000-0000AE5F0000}"/>
    <cellStyle name="Normal 5 3 2 3 3 2 2 5 2" xfId="21283" xr:uid="{00000000-0005-0000-0000-0000AF5F0000}"/>
    <cellStyle name="Normal 5 3 2 3 3 2 2 6" xfId="19685" xr:uid="{00000000-0005-0000-0000-0000B05F0000}"/>
    <cellStyle name="Normal 5 3 2 3 3 2 3" xfId="2957" xr:uid="{00000000-0005-0000-0000-0000B15F0000}"/>
    <cellStyle name="Normal 5 3 2 3 3 2 3 2" xfId="9204" xr:uid="{00000000-0005-0000-0000-0000B25F0000}"/>
    <cellStyle name="Normal 5 3 2 3 3 2 3 2 2" xfId="16467" xr:uid="{00000000-0005-0000-0000-0000B35F0000}"/>
    <cellStyle name="Normal 5 3 2 3 3 2 3 2 2 2" xfId="32782" xr:uid="{00000000-0005-0000-0000-0000B45F0000}"/>
    <cellStyle name="Normal 5 3 2 3 3 2 3 2 3" xfId="25817" xr:uid="{00000000-0005-0000-0000-0000B55F0000}"/>
    <cellStyle name="Normal 5 3 2 3 3 2 3 3" xfId="12546" xr:uid="{00000000-0005-0000-0000-0000B65F0000}"/>
    <cellStyle name="Normal 5 3 2 3 3 2 3 3 2" xfId="29121" xr:uid="{00000000-0005-0000-0000-0000B75F0000}"/>
    <cellStyle name="Normal 5 3 2 3 3 2 3 4" xfId="5853" xr:uid="{00000000-0005-0000-0000-0000B85F0000}"/>
    <cellStyle name="Normal 5 3 2 3 3 2 3 4 2" xfId="22517" xr:uid="{00000000-0005-0000-0000-0000B95F0000}"/>
    <cellStyle name="Normal 5 3 2 3 3 2 3 5" xfId="19684" xr:uid="{00000000-0005-0000-0000-0000BA5F0000}"/>
    <cellStyle name="Normal 5 3 2 3 3 2 4" xfId="7583" xr:uid="{00000000-0005-0000-0000-0000BB5F0000}"/>
    <cellStyle name="Normal 5 3 2 3 3 2 4 2" xfId="14846" xr:uid="{00000000-0005-0000-0000-0000BC5F0000}"/>
    <cellStyle name="Normal 5 3 2 3 3 2 4 2 2" xfId="31161" xr:uid="{00000000-0005-0000-0000-0000BD5F0000}"/>
    <cellStyle name="Normal 5 3 2 3 3 2 4 3" xfId="24196" xr:uid="{00000000-0005-0000-0000-0000BE5F0000}"/>
    <cellStyle name="Normal 5 3 2 3 3 2 5" xfId="10898" xr:uid="{00000000-0005-0000-0000-0000BF5F0000}"/>
    <cellStyle name="Normal 5 3 2 3 3 2 5 2" xfId="27496" xr:uid="{00000000-0005-0000-0000-0000C05F0000}"/>
    <cellStyle name="Normal 5 3 2 3 3 2 6" xfId="4559" xr:uid="{00000000-0005-0000-0000-0000C15F0000}"/>
    <cellStyle name="Normal 5 3 2 3 3 2 6 2" xfId="21282" xr:uid="{00000000-0005-0000-0000-0000C25F0000}"/>
    <cellStyle name="Normal 5 3 2 3 3 2 7" xfId="18470" xr:uid="{00000000-0005-0000-0000-0000C35F0000}"/>
    <cellStyle name="Normal 5 3 2 3 3 3" xfId="2959" xr:uid="{00000000-0005-0000-0000-0000C45F0000}"/>
    <cellStyle name="Normal 5 3 2 3 3 3 2" xfId="6259" xr:uid="{00000000-0005-0000-0000-0000C55F0000}"/>
    <cellStyle name="Normal 5 3 2 3 3 3 2 2" xfId="9610" xr:uid="{00000000-0005-0000-0000-0000C65F0000}"/>
    <cellStyle name="Normal 5 3 2 3 3 3 2 2 2" xfId="16873" xr:uid="{00000000-0005-0000-0000-0000C75F0000}"/>
    <cellStyle name="Normal 5 3 2 3 3 3 2 2 2 2" xfId="33188" xr:uid="{00000000-0005-0000-0000-0000C85F0000}"/>
    <cellStyle name="Normal 5 3 2 3 3 3 2 2 3" xfId="26223" xr:uid="{00000000-0005-0000-0000-0000C95F0000}"/>
    <cellStyle name="Normal 5 3 2 3 3 3 2 3" xfId="12952" xr:uid="{00000000-0005-0000-0000-0000CA5F0000}"/>
    <cellStyle name="Normal 5 3 2 3 3 3 2 3 2" xfId="29527" xr:uid="{00000000-0005-0000-0000-0000CB5F0000}"/>
    <cellStyle name="Normal 5 3 2 3 3 3 2 4" xfId="22923" xr:uid="{00000000-0005-0000-0000-0000CC5F0000}"/>
    <cellStyle name="Normal 5 3 2 3 3 3 3" xfId="7989" xr:uid="{00000000-0005-0000-0000-0000CD5F0000}"/>
    <cellStyle name="Normal 5 3 2 3 3 3 3 2" xfId="15252" xr:uid="{00000000-0005-0000-0000-0000CE5F0000}"/>
    <cellStyle name="Normal 5 3 2 3 3 3 3 2 2" xfId="31567" xr:uid="{00000000-0005-0000-0000-0000CF5F0000}"/>
    <cellStyle name="Normal 5 3 2 3 3 3 3 3" xfId="24602" xr:uid="{00000000-0005-0000-0000-0000D05F0000}"/>
    <cellStyle name="Normal 5 3 2 3 3 3 4" xfId="11304" xr:uid="{00000000-0005-0000-0000-0000D15F0000}"/>
    <cellStyle name="Normal 5 3 2 3 3 3 4 2" xfId="27902" xr:uid="{00000000-0005-0000-0000-0000D25F0000}"/>
    <cellStyle name="Normal 5 3 2 3 3 3 5" xfId="4561" xr:uid="{00000000-0005-0000-0000-0000D35F0000}"/>
    <cellStyle name="Normal 5 3 2 3 3 3 5 2" xfId="21284" xr:uid="{00000000-0005-0000-0000-0000D45F0000}"/>
    <cellStyle name="Normal 5 3 2 3 3 3 6" xfId="19686" xr:uid="{00000000-0005-0000-0000-0000D55F0000}"/>
    <cellStyle name="Normal 5 3 2 3 3 4" xfId="2956" xr:uid="{00000000-0005-0000-0000-0000D65F0000}"/>
    <cellStyle name="Normal 5 3 2 3 3 4 2" xfId="8797" xr:uid="{00000000-0005-0000-0000-0000D75F0000}"/>
    <cellStyle name="Normal 5 3 2 3 3 4 2 2" xfId="16060" xr:uid="{00000000-0005-0000-0000-0000D85F0000}"/>
    <cellStyle name="Normal 5 3 2 3 3 4 2 2 2" xfId="32375" xr:uid="{00000000-0005-0000-0000-0000D95F0000}"/>
    <cellStyle name="Normal 5 3 2 3 3 4 2 3" xfId="25410" xr:uid="{00000000-0005-0000-0000-0000DA5F0000}"/>
    <cellStyle name="Normal 5 3 2 3 3 4 3" xfId="12139" xr:uid="{00000000-0005-0000-0000-0000DB5F0000}"/>
    <cellStyle name="Normal 5 3 2 3 3 4 3 2" xfId="28714" xr:uid="{00000000-0005-0000-0000-0000DC5F0000}"/>
    <cellStyle name="Normal 5 3 2 3 3 4 4" xfId="5446" xr:uid="{00000000-0005-0000-0000-0000DD5F0000}"/>
    <cellStyle name="Normal 5 3 2 3 3 4 4 2" xfId="22110" xr:uid="{00000000-0005-0000-0000-0000DE5F0000}"/>
    <cellStyle name="Normal 5 3 2 3 3 4 5" xfId="19683" xr:uid="{00000000-0005-0000-0000-0000DF5F0000}"/>
    <cellStyle name="Normal 5 3 2 3 3 5" xfId="7177" xr:uid="{00000000-0005-0000-0000-0000E05F0000}"/>
    <cellStyle name="Normal 5 3 2 3 3 5 2" xfId="14440" xr:uid="{00000000-0005-0000-0000-0000E15F0000}"/>
    <cellStyle name="Normal 5 3 2 3 3 5 2 2" xfId="30755" xr:uid="{00000000-0005-0000-0000-0000E25F0000}"/>
    <cellStyle name="Normal 5 3 2 3 3 5 3" xfId="23790" xr:uid="{00000000-0005-0000-0000-0000E35F0000}"/>
    <cellStyle name="Normal 5 3 2 3 3 6" xfId="10492" xr:uid="{00000000-0005-0000-0000-0000E45F0000}"/>
    <cellStyle name="Normal 5 3 2 3 3 6 2" xfId="27090" xr:uid="{00000000-0005-0000-0000-0000E55F0000}"/>
    <cellStyle name="Normal 5 3 2 3 3 7" xfId="4558" xr:uid="{00000000-0005-0000-0000-0000E65F0000}"/>
    <cellStyle name="Normal 5 3 2 3 3 7 2" xfId="21281" xr:uid="{00000000-0005-0000-0000-0000E75F0000}"/>
    <cellStyle name="Normal 5 3 2 3 3 8" xfId="17951" xr:uid="{00000000-0005-0000-0000-0000E85F0000}"/>
    <cellStyle name="Normal 5 3 2 3 4" xfId="906" xr:uid="{00000000-0005-0000-0000-0000E95F0000}"/>
    <cellStyle name="Normal 5 3 2 3 4 2" xfId="1468" xr:uid="{00000000-0005-0000-0000-0000EA5F0000}"/>
    <cellStyle name="Normal 5 3 2 3 4 2 2" xfId="2961" xr:uid="{00000000-0005-0000-0000-0000EB5F0000}"/>
    <cellStyle name="Normal 5 3 2 3 4 2 2 2" xfId="9804" xr:uid="{00000000-0005-0000-0000-0000EC5F0000}"/>
    <cellStyle name="Normal 5 3 2 3 4 2 2 2 2" xfId="17067" xr:uid="{00000000-0005-0000-0000-0000ED5F0000}"/>
    <cellStyle name="Normal 5 3 2 3 4 2 2 2 2 2" xfId="33382" xr:uid="{00000000-0005-0000-0000-0000EE5F0000}"/>
    <cellStyle name="Normal 5 3 2 3 4 2 2 2 3" xfId="26417" xr:uid="{00000000-0005-0000-0000-0000EF5F0000}"/>
    <cellStyle name="Normal 5 3 2 3 4 2 2 3" xfId="13146" xr:uid="{00000000-0005-0000-0000-0000F05F0000}"/>
    <cellStyle name="Normal 5 3 2 3 4 2 2 3 2" xfId="29721" xr:uid="{00000000-0005-0000-0000-0000F15F0000}"/>
    <cellStyle name="Normal 5 3 2 3 4 2 2 4" xfId="6453" xr:uid="{00000000-0005-0000-0000-0000F25F0000}"/>
    <cellStyle name="Normal 5 3 2 3 4 2 2 4 2" xfId="23117" xr:uid="{00000000-0005-0000-0000-0000F35F0000}"/>
    <cellStyle name="Normal 5 3 2 3 4 2 2 5" xfId="19688" xr:uid="{00000000-0005-0000-0000-0000F45F0000}"/>
    <cellStyle name="Normal 5 3 2 3 4 2 3" xfId="8183" xr:uid="{00000000-0005-0000-0000-0000F55F0000}"/>
    <cellStyle name="Normal 5 3 2 3 4 2 3 2" xfId="15446" xr:uid="{00000000-0005-0000-0000-0000F65F0000}"/>
    <cellStyle name="Normal 5 3 2 3 4 2 3 2 2" xfId="31761" xr:uid="{00000000-0005-0000-0000-0000F75F0000}"/>
    <cellStyle name="Normal 5 3 2 3 4 2 3 3" xfId="24796" xr:uid="{00000000-0005-0000-0000-0000F85F0000}"/>
    <cellStyle name="Normal 5 3 2 3 4 2 4" xfId="11498" xr:uid="{00000000-0005-0000-0000-0000F95F0000}"/>
    <cellStyle name="Normal 5 3 2 3 4 2 4 2" xfId="28096" xr:uid="{00000000-0005-0000-0000-0000FA5F0000}"/>
    <cellStyle name="Normal 5 3 2 3 4 2 5" xfId="4563" xr:uid="{00000000-0005-0000-0000-0000FB5F0000}"/>
    <cellStyle name="Normal 5 3 2 3 4 2 5 2" xfId="21286" xr:uid="{00000000-0005-0000-0000-0000FC5F0000}"/>
    <cellStyle name="Normal 5 3 2 3 4 2 6" xfId="18203" xr:uid="{00000000-0005-0000-0000-0000FD5F0000}"/>
    <cellStyle name="Normal 5 3 2 3 4 3" xfId="2960" xr:uid="{00000000-0005-0000-0000-0000FE5F0000}"/>
    <cellStyle name="Normal 5 3 2 3 4 3 2" xfId="8992" xr:uid="{00000000-0005-0000-0000-0000FF5F0000}"/>
    <cellStyle name="Normal 5 3 2 3 4 3 2 2" xfId="16255" xr:uid="{00000000-0005-0000-0000-000000600000}"/>
    <cellStyle name="Normal 5 3 2 3 4 3 2 2 2" xfId="32570" xr:uid="{00000000-0005-0000-0000-000001600000}"/>
    <cellStyle name="Normal 5 3 2 3 4 3 2 3" xfId="25605" xr:uid="{00000000-0005-0000-0000-000002600000}"/>
    <cellStyle name="Normal 5 3 2 3 4 3 3" xfId="12334" xr:uid="{00000000-0005-0000-0000-000003600000}"/>
    <cellStyle name="Normal 5 3 2 3 4 3 3 2" xfId="28909" xr:uid="{00000000-0005-0000-0000-000004600000}"/>
    <cellStyle name="Normal 5 3 2 3 4 3 4" xfId="5641" xr:uid="{00000000-0005-0000-0000-000005600000}"/>
    <cellStyle name="Normal 5 3 2 3 4 3 4 2" xfId="22305" xr:uid="{00000000-0005-0000-0000-000006600000}"/>
    <cellStyle name="Normal 5 3 2 3 4 3 5" xfId="19687" xr:uid="{00000000-0005-0000-0000-000007600000}"/>
    <cellStyle name="Normal 5 3 2 3 4 4" xfId="7371" xr:uid="{00000000-0005-0000-0000-000008600000}"/>
    <cellStyle name="Normal 5 3 2 3 4 4 2" xfId="14634" xr:uid="{00000000-0005-0000-0000-000009600000}"/>
    <cellStyle name="Normal 5 3 2 3 4 4 2 2" xfId="30949" xr:uid="{00000000-0005-0000-0000-00000A600000}"/>
    <cellStyle name="Normal 5 3 2 3 4 4 3" xfId="23984" xr:uid="{00000000-0005-0000-0000-00000B600000}"/>
    <cellStyle name="Normal 5 3 2 3 4 5" xfId="10686" xr:uid="{00000000-0005-0000-0000-00000C600000}"/>
    <cellStyle name="Normal 5 3 2 3 4 5 2" xfId="27284" xr:uid="{00000000-0005-0000-0000-00000D600000}"/>
    <cellStyle name="Normal 5 3 2 3 4 6" xfId="4562" xr:uid="{00000000-0005-0000-0000-00000E600000}"/>
    <cellStyle name="Normal 5 3 2 3 4 6 2" xfId="21285" xr:uid="{00000000-0005-0000-0000-00000F600000}"/>
    <cellStyle name="Normal 5 3 2 3 4 7" xfId="17684" xr:uid="{00000000-0005-0000-0000-000010600000}"/>
    <cellStyle name="Normal 5 3 2 3 5" xfId="782" xr:uid="{00000000-0005-0000-0000-000011600000}"/>
    <cellStyle name="Normal 5 3 2 3 5 2" xfId="2962" xr:uid="{00000000-0005-0000-0000-000012600000}"/>
    <cellStyle name="Normal 5 3 2 3 5 2 2" xfId="9398" xr:uid="{00000000-0005-0000-0000-000013600000}"/>
    <cellStyle name="Normal 5 3 2 3 5 2 2 2" xfId="16661" xr:uid="{00000000-0005-0000-0000-000014600000}"/>
    <cellStyle name="Normal 5 3 2 3 5 2 2 2 2" xfId="32976" xr:uid="{00000000-0005-0000-0000-000015600000}"/>
    <cellStyle name="Normal 5 3 2 3 5 2 2 3" xfId="26011" xr:uid="{00000000-0005-0000-0000-000016600000}"/>
    <cellStyle name="Normal 5 3 2 3 5 2 3" xfId="12740" xr:uid="{00000000-0005-0000-0000-000017600000}"/>
    <cellStyle name="Normal 5 3 2 3 5 2 3 2" xfId="29315" xr:uid="{00000000-0005-0000-0000-000018600000}"/>
    <cellStyle name="Normal 5 3 2 3 5 2 4" xfId="6047" xr:uid="{00000000-0005-0000-0000-000019600000}"/>
    <cellStyle name="Normal 5 3 2 3 5 2 4 2" xfId="22711" xr:uid="{00000000-0005-0000-0000-00001A600000}"/>
    <cellStyle name="Normal 5 3 2 3 5 2 5" xfId="19689" xr:uid="{00000000-0005-0000-0000-00001B600000}"/>
    <cellStyle name="Normal 5 3 2 3 5 3" xfId="7777" xr:uid="{00000000-0005-0000-0000-00001C600000}"/>
    <cellStyle name="Normal 5 3 2 3 5 3 2" xfId="15040" xr:uid="{00000000-0005-0000-0000-00001D600000}"/>
    <cellStyle name="Normal 5 3 2 3 5 3 2 2" xfId="31355" xr:uid="{00000000-0005-0000-0000-00001E600000}"/>
    <cellStyle name="Normal 5 3 2 3 5 3 3" xfId="24390" xr:uid="{00000000-0005-0000-0000-00001F600000}"/>
    <cellStyle name="Normal 5 3 2 3 5 4" xfId="11092" xr:uid="{00000000-0005-0000-0000-000020600000}"/>
    <cellStyle name="Normal 5 3 2 3 5 4 2" xfId="27690" xr:uid="{00000000-0005-0000-0000-000021600000}"/>
    <cellStyle name="Normal 5 3 2 3 5 5" xfId="4564" xr:uid="{00000000-0005-0000-0000-000022600000}"/>
    <cellStyle name="Normal 5 3 2 3 5 5 2" xfId="21287" xr:uid="{00000000-0005-0000-0000-000023600000}"/>
    <cellStyle name="Normal 5 3 2 3 5 6" xfId="17595" xr:uid="{00000000-0005-0000-0000-000024600000}"/>
    <cellStyle name="Normal 5 3 2 3 6" xfId="1379" xr:uid="{00000000-0005-0000-0000-000025600000}"/>
    <cellStyle name="Normal 5 3 2 3 6 2" xfId="8529" xr:uid="{00000000-0005-0000-0000-000026600000}"/>
    <cellStyle name="Normal 5 3 2 3 6 2 2" xfId="15792" xr:uid="{00000000-0005-0000-0000-000027600000}"/>
    <cellStyle name="Normal 5 3 2 3 6 2 2 2" xfId="32107" xr:uid="{00000000-0005-0000-0000-000028600000}"/>
    <cellStyle name="Normal 5 3 2 3 6 2 3" xfId="25142" xr:uid="{00000000-0005-0000-0000-000029600000}"/>
    <cellStyle name="Normal 5 3 2 3 6 3" xfId="11871" xr:uid="{00000000-0005-0000-0000-00002A600000}"/>
    <cellStyle name="Normal 5 3 2 3 6 3 2" xfId="28446" xr:uid="{00000000-0005-0000-0000-00002B600000}"/>
    <cellStyle name="Normal 5 3 2 3 6 4" xfId="5178" xr:uid="{00000000-0005-0000-0000-00002C600000}"/>
    <cellStyle name="Normal 5 3 2 3 6 4 2" xfId="21842" xr:uid="{00000000-0005-0000-0000-00002D600000}"/>
    <cellStyle name="Normal 5 3 2 3 6 5" xfId="18114" xr:uid="{00000000-0005-0000-0000-00002E600000}"/>
    <cellStyle name="Normal 5 3 2 3 7" xfId="2947" xr:uid="{00000000-0005-0000-0000-00002F600000}"/>
    <cellStyle name="Normal 5 3 2 3 7 2" xfId="14173" xr:uid="{00000000-0005-0000-0000-000030600000}"/>
    <cellStyle name="Normal 5 3 2 3 7 2 2" xfId="30488" xr:uid="{00000000-0005-0000-0000-000031600000}"/>
    <cellStyle name="Normal 5 3 2 3 7 3" xfId="6910" xr:uid="{00000000-0005-0000-0000-000032600000}"/>
    <cellStyle name="Normal 5 3 2 3 7 3 2" xfId="23523" xr:uid="{00000000-0005-0000-0000-000033600000}"/>
    <cellStyle name="Normal 5 3 2 3 7 4" xfId="19674" xr:uid="{00000000-0005-0000-0000-000034600000}"/>
    <cellStyle name="Normal 5 3 2 3 8" xfId="10224" xr:uid="{00000000-0005-0000-0000-000035600000}"/>
    <cellStyle name="Normal 5 3 2 3 8 2" xfId="26823" xr:uid="{00000000-0005-0000-0000-000036600000}"/>
    <cellStyle name="Normal 5 3 2 3 9" xfId="4549" xr:uid="{00000000-0005-0000-0000-000037600000}"/>
    <cellStyle name="Normal 5 3 2 3 9 2" xfId="21272" xr:uid="{00000000-0005-0000-0000-000038600000}"/>
    <cellStyle name="Normal 5 3 2 4" xfId="636" xr:uid="{00000000-0005-0000-0000-000039600000}"/>
    <cellStyle name="Normal 5 3 2 4 2" xfId="1216" xr:uid="{00000000-0005-0000-0000-00003A600000}"/>
    <cellStyle name="Normal 5 3 2 4 2 2" xfId="1737" xr:uid="{00000000-0005-0000-0000-00003B600000}"/>
    <cellStyle name="Normal 5 3 2 4 2 2 2" xfId="2966" xr:uid="{00000000-0005-0000-0000-00003C600000}"/>
    <cellStyle name="Normal 5 3 2 4 2 2 2 2" xfId="6631" xr:uid="{00000000-0005-0000-0000-00003D600000}"/>
    <cellStyle name="Normal 5 3 2 4 2 2 2 2 2" xfId="9982" xr:uid="{00000000-0005-0000-0000-00003E600000}"/>
    <cellStyle name="Normal 5 3 2 4 2 2 2 2 2 2" xfId="17245" xr:uid="{00000000-0005-0000-0000-00003F600000}"/>
    <cellStyle name="Normal 5 3 2 4 2 2 2 2 2 2 2" xfId="33560" xr:uid="{00000000-0005-0000-0000-000040600000}"/>
    <cellStyle name="Normal 5 3 2 4 2 2 2 2 2 3" xfId="26595" xr:uid="{00000000-0005-0000-0000-000041600000}"/>
    <cellStyle name="Normal 5 3 2 4 2 2 2 2 3" xfId="13324" xr:uid="{00000000-0005-0000-0000-000042600000}"/>
    <cellStyle name="Normal 5 3 2 4 2 2 2 2 3 2" xfId="29899" xr:uid="{00000000-0005-0000-0000-000043600000}"/>
    <cellStyle name="Normal 5 3 2 4 2 2 2 2 4" xfId="23295" xr:uid="{00000000-0005-0000-0000-000044600000}"/>
    <cellStyle name="Normal 5 3 2 4 2 2 2 3" xfId="8361" xr:uid="{00000000-0005-0000-0000-000045600000}"/>
    <cellStyle name="Normal 5 3 2 4 2 2 2 3 2" xfId="15624" xr:uid="{00000000-0005-0000-0000-000046600000}"/>
    <cellStyle name="Normal 5 3 2 4 2 2 2 3 2 2" xfId="31939" xr:uid="{00000000-0005-0000-0000-000047600000}"/>
    <cellStyle name="Normal 5 3 2 4 2 2 2 3 3" xfId="24974" xr:uid="{00000000-0005-0000-0000-000048600000}"/>
    <cellStyle name="Normal 5 3 2 4 2 2 2 4" xfId="11676" xr:uid="{00000000-0005-0000-0000-000049600000}"/>
    <cellStyle name="Normal 5 3 2 4 2 2 2 4 2" xfId="28274" xr:uid="{00000000-0005-0000-0000-00004A600000}"/>
    <cellStyle name="Normal 5 3 2 4 2 2 2 5" xfId="4568" xr:uid="{00000000-0005-0000-0000-00004B600000}"/>
    <cellStyle name="Normal 5 3 2 4 2 2 2 5 2" xfId="21291" xr:uid="{00000000-0005-0000-0000-00004C600000}"/>
    <cellStyle name="Normal 5 3 2 4 2 2 2 6" xfId="19693" xr:uid="{00000000-0005-0000-0000-00004D600000}"/>
    <cellStyle name="Normal 5 3 2 4 2 2 3" xfId="2965" xr:uid="{00000000-0005-0000-0000-00004E600000}"/>
    <cellStyle name="Normal 5 3 2 4 2 2 3 2" xfId="9206" xr:uid="{00000000-0005-0000-0000-00004F600000}"/>
    <cellStyle name="Normal 5 3 2 4 2 2 3 2 2" xfId="16469" xr:uid="{00000000-0005-0000-0000-000050600000}"/>
    <cellStyle name="Normal 5 3 2 4 2 2 3 2 2 2" xfId="32784" xr:uid="{00000000-0005-0000-0000-000051600000}"/>
    <cellStyle name="Normal 5 3 2 4 2 2 3 2 3" xfId="25819" xr:uid="{00000000-0005-0000-0000-000052600000}"/>
    <cellStyle name="Normal 5 3 2 4 2 2 3 3" xfId="12548" xr:uid="{00000000-0005-0000-0000-000053600000}"/>
    <cellStyle name="Normal 5 3 2 4 2 2 3 3 2" xfId="29123" xr:uid="{00000000-0005-0000-0000-000054600000}"/>
    <cellStyle name="Normal 5 3 2 4 2 2 3 4" xfId="5855" xr:uid="{00000000-0005-0000-0000-000055600000}"/>
    <cellStyle name="Normal 5 3 2 4 2 2 3 4 2" xfId="22519" xr:uid="{00000000-0005-0000-0000-000056600000}"/>
    <cellStyle name="Normal 5 3 2 4 2 2 3 5" xfId="19692" xr:uid="{00000000-0005-0000-0000-000057600000}"/>
    <cellStyle name="Normal 5 3 2 4 2 2 4" xfId="7585" xr:uid="{00000000-0005-0000-0000-000058600000}"/>
    <cellStyle name="Normal 5 3 2 4 2 2 4 2" xfId="14848" xr:uid="{00000000-0005-0000-0000-000059600000}"/>
    <cellStyle name="Normal 5 3 2 4 2 2 4 2 2" xfId="31163" xr:uid="{00000000-0005-0000-0000-00005A600000}"/>
    <cellStyle name="Normal 5 3 2 4 2 2 4 3" xfId="24198" xr:uid="{00000000-0005-0000-0000-00005B600000}"/>
    <cellStyle name="Normal 5 3 2 4 2 2 5" xfId="10900" xr:uid="{00000000-0005-0000-0000-00005C600000}"/>
    <cellStyle name="Normal 5 3 2 4 2 2 5 2" xfId="27498" xr:uid="{00000000-0005-0000-0000-00005D600000}"/>
    <cellStyle name="Normal 5 3 2 4 2 2 6" xfId="4567" xr:uid="{00000000-0005-0000-0000-00005E600000}"/>
    <cellStyle name="Normal 5 3 2 4 2 2 6 2" xfId="21290" xr:uid="{00000000-0005-0000-0000-00005F600000}"/>
    <cellStyle name="Normal 5 3 2 4 2 2 7" xfId="18472" xr:uid="{00000000-0005-0000-0000-000060600000}"/>
    <cellStyle name="Normal 5 3 2 4 2 3" xfId="2967" xr:uid="{00000000-0005-0000-0000-000061600000}"/>
    <cellStyle name="Normal 5 3 2 4 2 3 2" xfId="6261" xr:uid="{00000000-0005-0000-0000-000062600000}"/>
    <cellStyle name="Normal 5 3 2 4 2 3 2 2" xfId="9612" xr:uid="{00000000-0005-0000-0000-000063600000}"/>
    <cellStyle name="Normal 5 3 2 4 2 3 2 2 2" xfId="16875" xr:uid="{00000000-0005-0000-0000-000064600000}"/>
    <cellStyle name="Normal 5 3 2 4 2 3 2 2 2 2" xfId="33190" xr:uid="{00000000-0005-0000-0000-000065600000}"/>
    <cellStyle name="Normal 5 3 2 4 2 3 2 2 3" xfId="26225" xr:uid="{00000000-0005-0000-0000-000066600000}"/>
    <cellStyle name="Normal 5 3 2 4 2 3 2 3" xfId="12954" xr:uid="{00000000-0005-0000-0000-000067600000}"/>
    <cellStyle name="Normal 5 3 2 4 2 3 2 3 2" xfId="29529" xr:uid="{00000000-0005-0000-0000-000068600000}"/>
    <cellStyle name="Normal 5 3 2 4 2 3 2 4" xfId="22925" xr:uid="{00000000-0005-0000-0000-000069600000}"/>
    <cellStyle name="Normal 5 3 2 4 2 3 3" xfId="7991" xr:uid="{00000000-0005-0000-0000-00006A600000}"/>
    <cellStyle name="Normal 5 3 2 4 2 3 3 2" xfId="15254" xr:uid="{00000000-0005-0000-0000-00006B600000}"/>
    <cellStyle name="Normal 5 3 2 4 2 3 3 2 2" xfId="31569" xr:uid="{00000000-0005-0000-0000-00006C600000}"/>
    <cellStyle name="Normal 5 3 2 4 2 3 3 3" xfId="24604" xr:uid="{00000000-0005-0000-0000-00006D600000}"/>
    <cellStyle name="Normal 5 3 2 4 2 3 4" xfId="11306" xr:uid="{00000000-0005-0000-0000-00006E600000}"/>
    <cellStyle name="Normal 5 3 2 4 2 3 4 2" xfId="27904" xr:uid="{00000000-0005-0000-0000-00006F600000}"/>
    <cellStyle name="Normal 5 3 2 4 2 3 5" xfId="4569" xr:uid="{00000000-0005-0000-0000-000070600000}"/>
    <cellStyle name="Normal 5 3 2 4 2 3 5 2" xfId="21292" xr:uid="{00000000-0005-0000-0000-000071600000}"/>
    <cellStyle name="Normal 5 3 2 4 2 3 6" xfId="19694" xr:uid="{00000000-0005-0000-0000-000072600000}"/>
    <cellStyle name="Normal 5 3 2 4 2 4" xfId="2964" xr:uid="{00000000-0005-0000-0000-000073600000}"/>
    <cellStyle name="Normal 5 3 2 4 2 4 2" xfId="8799" xr:uid="{00000000-0005-0000-0000-000074600000}"/>
    <cellStyle name="Normal 5 3 2 4 2 4 2 2" xfId="16062" xr:uid="{00000000-0005-0000-0000-000075600000}"/>
    <cellStyle name="Normal 5 3 2 4 2 4 2 2 2" xfId="32377" xr:uid="{00000000-0005-0000-0000-000076600000}"/>
    <cellStyle name="Normal 5 3 2 4 2 4 2 3" xfId="25412" xr:uid="{00000000-0005-0000-0000-000077600000}"/>
    <cellStyle name="Normal 5 3 2 4 2 4 3" xfId="12141" xr:uid="{00000000-0005-0000-0000-000078600000}"/>
    <cellStyle name="Normal 5 3 2 4 2 4 3 2" xfId="28716" xr:uid="{00000000-0005-0000-0000-000079600000}"/>
    <cellStyle name="Normal 5 3 2 4 2 4 4" xfId="5448" xr:uid="{00000000-0005-0000-0000-00007A600000}"/>
    <cellStyle name="Normal 5 3 2 4 2 4 4 2" xfId="22112" xr:uid="{00000000-0005-0000-0000-00007B600000}"/>
    <cellStyle name="Normal 5 3 2 4 2 4 5" xfId="19691" xr:uid="{00000000-0005-0000-0000-00007C600000}"/>
    <cellStyle name="Normal 5 3 2 4 2 5" xfId="7179" xr:uid="{00000000-0005-0000-0000-00007D600000}"/>
    <cellStyle name="Normal 5 3 2 4 2 5 2" xfId="14442" xr:uid="{00000000-0005-0000-0000-00007E600000}"/>
    <cellStyle name="Normal 5 3 2 4 2 5 2 2" xfId="30757" xr:uid="{00000000-0005-0000-0000-00007F600000}"/>
    <cellStyle name="Normal 5 3 2 4 2 5 3" xfId="23792" xr:uid="{00000000-0005-0000-0000-000080600000}"/>
    <cellStyle name="Normal 5 3 2 4 2 6" xfId="10494" xr:uid="{00000000-0005-0000-0000-000081600000}"/>
    <cellStyle name="Normal 5 3 2 4 2 6 2" xfId="27092" xr:uid="{00000000-0005-0000-0000-000082600000}"/>
    <cellStyle name="Normal 5 3 2 4 2 7" xfId="4566" xr:uid="{00000000-0005-0000-0000-000083600000}"/>
    <cellStyle name="Normal 5 3 2 4 2 7 2" xfId="21289" xr:uid="{00000000-0005-0000-0000-000084600000}"/>
    <cellStyle name="Normal 5 3 2 4 2 8" xfId="17953" xr:uid="{00000000-0005-0000-0000-000085600000}"/>
    <cellStyle name="Normal 5 3 2 4 3" xfId="959" xr:uid="{00000000-0005-0000-0000-000086600000}"/>
    <cellStyle name="Normal 5 3 2 4 3 2" xfId="1521" xr:uid="{00000000-0005-0000-0000-000087600000}"/>
    <cellStyle name="Normal 5 3 2 4 3 2 2" xfId="2969" xr:uid="{00000000-0005-0000-0000-000088600000}"/>
    <cellStyle name="Normal 5 3 2 4 3 2 2 2" xfId="9806" xr:uid="{00000000-0005-0000-0000-000089600000}"/>
    <cellStyle name="Normal 5 3 2 4 3 2 2 2 2" xfId="17069" xr:uid="{00000000-0005-0000-0000-00008A600000}"/>
    <cellStyle name="Normal 5 3 2 4 3 2 2 2 2 2" xfId="33384" xr:uid="{00000000-0005-0000-0000-00008B600000}"/>
    <cellStyle name="Normal 5 3 2 4 3 2 2 2 3" xfId="26419" xr:uid="{00000000-0005-0000-0000-00008C600000}"/>
    <cellStyle name="Normal 5 3 2 4 3 2 2 3" xfId="13148" xr:uid="{00000000-0005-0000-0000-00008D600000}"/>
    <cellStyle name="Normal 5 3 2 4 3 2 2 3 2" xfId="29723" xr:uid="{00000000-0005-0000-0000-00008E600000}"/>
    <cellStyle name="Normal 5 3 2 4 3 2 2 4" xfId="6455" xr:uid="{00000000-0005-0000-0000-00008F600000}"/>
    <cellStyle name="Normal 5 3 2 4 3 2 2 4 2" xfId="23119" xr:uid="{00000000-0005-0000-0000-000090600000}"/>
    <cellStyle name="Normal 5 3 2 4 3 2 2 5" xfId="19696" xr:uid="{00000000-0005-0000-0000-000091600000}"/>
    <cellStyle name="Normal 5 3 2 4 3 2 3" xfId="8185" xr:uid="{00000000-0005-0000-0000-000092600000}"/>
    <cellStyle name="Normal 5 3 2 4 3 2 3 2" xfId="15448" xr:uid="{00000000-0005-0000-0000-000093600000}"/>
    <cellStyle name="Normal 5 3 2 4 3 2 3 2 2" xfId="31763" xr:uid="{00000000-0005-0000-0000-000094600000}"/>
    <cellStyle name="Normal 5 3 2 4 3 2 3 3" xfId="24798" xr:uid="{00000000-0005-0000-0000-000095600000}"/>
    <cellStyle name="Normal 5 3 2 4 3 2 4" xfId="11500" xr:uid="{00000000-0005-0000-0000-000096600000}"/>
    <cellStyle name="Normal 5 3 2 4 3 2 4 2" xfId="28098" xr:uid="{00000000-0005-0000-0000-000097600000}"/>
    <cellStyle name="Normal 5 3 2 4 3 2 5" xfId="4571" xr:uid="{00000000-0005-0000-0000-000098600000}"/>
    <cellStyle name="Normal 5 3 2 4 3 2 5 2" xfId="21294" xr:uid="{00000000-0005-0000-0000-000099600000}"/>
    <cellStyle name="Normal 5 3 2 4 3 2 6" xfId="18256" xr:uid="{00000000-0005-0000-0000-00009A600000}"/>
    <cellStyle name="Normal 5 3 2 4 3 3" xfId="2968" xr:uid="{00000000-0005-0000-0000-00009B600000}"/>
    <cellStyle name="Normal 5 3 2 4 3 3 2" xfId="8994" xr:uid="{00000000-0005-0000-0000-00009C600000}"/>
    <cellStyle name="Normal 5 3 2 4 3 3 2 2" xfId="16257" xr:uid="{00000000-0005-0000-0000-00009D600000}"/>
    <cellStyle name="Normal 5 3 2 4 3 3 2 2 2" xfId="32572" xr:uid="{00000000-0005-0000-0000-00009E600000}"/>
    <cellStyle name="Normal 5 3 2 4 3 3 2 3" xfId="25607" xr:uid="{00000000-0005-0000-0000-00009F600000}"/>
    <cellStyle name="Normal 5 3 2 4 3 3 3" xfId="12336" xr:uid="{00000000-0005-0000-0000-0000A0600000}"/>
    <cellStyle name="Normal 5 3 2 4 3 3 3 2" xfId="28911" xr:uid="{00000000-0005-0000-0000-0000A1600000}"/>
    <cellStyle name="Normal 5 3 2 4 3 3 4" xfId="5643" xr:uid="{00000000-0005-0000-0000-0000A2600000}"/>
    <cellStyle name="Normal 5 3 2 4 3 3 4 2" xfId="22307" xr:uid="{00000000-0005-0000-0000-0000A3600000}"/>
    <cellStyle name="Normal 5 3 2 4 3 3 5" xfId="19695" xr:uid="{00000000-0005-0000-0000-0000A4600000}"/>
    <cellStyle name="Normal 5 3 2 4 3 4" xfId="7373" xr:uid="{00000000-0005-0000-0000-0000A5600000}"/>
    <cellStyle name="Normal 5 3 2 4 3 4 2" xfId="14636" xr:uid="{00000000-0005-0000-0000-0000A6600000}"/>
    <cellStyle name="Normal 5 3 2 4 3 4 2 2" xfId="30951" xr:uid="{00000000-0005-0000-0000-0000A7600000}"/>
    <cellStyle name="Normal 5 3 2 4 3 4 3" xfId="23986" xr:uid="{00000000-0005-0000-0000-0000A8600000}"/>
    <cellStyle name="Normal 5 3 2 4 3 5" xfId="10688" xr:uid="{00000000-0005-0000-0000-0000A9600000}"/>
    <cellStyle name="Normal 5 3 2 4 3 5 2" xfId="27286" xr:uid="{00000000-0005-0000-0000-0000AA600000}"/>
    <cellStyle name="Normal 5 3 2 4 3 6" xfId="4570" xr:uid="{00000000-0005-0000-0000-0000AB600000}"/>
    <cellStyle name="Normal 5 3 2 4 3 6 2" xfId="21293" xr:uid="{00000000-0005-0000-0000-0000AC600000}"/>
    <cellStyle name="Normal 5 3 2 4 3 7" xfId="17737" xr:uid="{00000000-0005-0000-0000-0000AD600000}"/>
    <cellStyle name="Normal 5 3 2 4 4" xfId="747" xr:uid="{00000000-0005-0000-0000-0000AE600000}"/>
    <cellStyle name="Normal 5 3 2 4 4 2" xfId="2970" xr:uid="{00000000-0005-0000-0000-0000AF600000}"/>
    <cellStyle name="Normal 5 3 2 4 4 2 2" xfId="9400" xr:uid="{00000000-0005-0000-0000-0000B0600000}"/>
    <cellStyle name="Normal 5 3 2 4 4 2 2 2" xfId="16663" xr:uid="{00000000-0005-0000-0000-0000B1600000}"/>
    <cellStyle name="Normal 5 3 2 4 4 2 2 2 2" xfId="32978" xr:uid="{00000000-0005-0000-0000-0000B2600000}"/>
    <cellStyle name="Normal 5 3 2 4 4 2 2 3" xfId="26013" xr:uid="{00000000-0005-0000-0000-0000B3600000}"/>
    <cellStyle name="Normal 5 3 2 4 4 2 3" xfId="12742" xr:uid="{00000000-0005-0000-0000-0000B4600000}"/>
    <cellStyle name="Normal 5 3 2 4 4 2 3 2" xfId="29317" xr:uid="{00000000-0005-0000-0000-0000B5600000}"/>
    <cellStyle name="Normal 5 3 2 4 4 2 4" xfId="6049" xr:uid="{00000000-0005-0000-0000-0000B6600000}"/>
    <cellStyle name="Normal 5 3 2 4 4 2 4 2" xfId="22713" xr:uid="{00000000-0005-0000-0000-0000B7600000}"/>
    <cellStyle name="Normal 5 3 2 4 4 2 5" xfId="19697" xr:uid="{00000000-0005-0000-0000-0000B8600000}"/>
    <cellStyle name="Normal 5 3 2 4 4 3" xfId="7779" xr:uid="{00000000-0005-0000-0000-0000B9600000}"/>
    <cellStyle name="Normal 5 3 2 4 4 3 2" xfId="15042" xr:uid="{00000000-0005-0000-0000-0000BA600000}"/>
    <cellStyle name="Normal 5 3 2 4 4 3 2 2" xfId="31357" xr:uid="{00000000-0005-0000-0000-0000BB600000}"/>
    <cellStyle name="Normal 5 3 2 4 4 3 3" xfId="24392" xr:uid="{00000000-0005-0000-0000-0000BC600000}"/>
    <cellStyle name="Normal 5 3 2 4 4 4" xfId="11094" xr:uid="{00000000-0005-0000-0000-0000BD600000}"/>
    <cellStyle name="Normal 5 3 2 4 4 4 2" xfId="27692" xr:uid="{00000000-0005-0000-0000-0000BE600000}"/>
    <cellStyle name="Normal 5 3 2 4 4 5" xfId="4572" xr:uid="{00000000-0005-0000-0000-0000BF600000}"/>
    <cellStyle name="Normal 5 3 2 4 4 5 2" xfId="21295" xr:uid="{00000000-0005-0000-0000-0000C0600000}"/>
    <cellStyle name="Normal 5 3 2 4 4 6" xfId="17560" xr:uid="{00000000-0005-0000-0000-0000C1600000}"/>
    <cellStyle name="Normal 5 3 2 4 5" xfId="1344" xr:uid="{00000000-0005-0000-0000-0000C2600000}"/>
    <cellStyle name="Normal 5 3 2 4 5 2" xfId="8582" xr:uid="{00000000-0005-0000-0000-0000C3600000}"/>
    <cellStyle name="Normal 5 3 2 4 5 2 2" xfId="15845" xr:uid="{00000000-0005-0000-0000-0000C4600000}"/>
    <cellStyle name="Normal 5 3 2 4 5 2 2 2" xfId="32160" xr:uid="{00000000-0005-0000-0000-0000C5600000}"/>
    <cellStyle name="Normal 5 3 2 4 5 2 3" xfId="25195" xr:uid="{00000000-0005-0000-0000-0000C6600000}"/>
    <cellStyle name="Normal 5 3 2 4 5 3" xfId="11924" xr:uid="{00000000-0005-0000-0000-0000C7600000}"/>
    <cellStyle name="Normal 5 3 2 4 5 3 2" xfId="28499" xr:uid="{00000000-0005-0000-0000-0000C8600000}"/>
    <cellStyle name="Normal 5 3 2 4 5 4" xfId="5231" xr:uid="{00000000-0005-0000-0000-0000C9600000}"/>
    <cellStyle name="Normal 5 3 2 4 5 4 2" xfId="21895" xr:uid="{00000000-0005-0000-0000-0000CA600000}"/>
    <cellStyle name="Normal 5 3 2 4 5 5" xfId="18079" xr:uid="{00000000-0005-0000-0000-0000CB600000}"/>
    <cellStyle name="Normal 5 3 2 4 6" xfId="2963" xr:uid="{00000000-0005-0000-0000-0000CC600000}"/>
    <cellStyle name="Normal 5 3 2 4 6 2" xfId="14226" xr:uid="{00000000-0005-0000-0000-0000CD600000}"/>
    <cellStyle name="Normal 5 3 2 4 6 2 2" xfId="30541" xr:uid="{00000000-0005-0000-0000-0000CE600000}"/>
    <cellStyle name="Normal 5 3 2 4 6 3" xfId="6963" xr:uid="{00000000-0005-0000-0000-0000CF600000}"/>
    <cellStyle name="Normal 5 3 2 4 6 3 2" xfId="23576" xr:uid="{00000000-0005-0000-0000-0000D0600000}"/>
    <cellStyle name="Normal 5 3 2 4 6 4" xfId="19690" xr:uid="{00000000-0005-0000-0000-0000D1600000}"/>
    <cellStyle name="Normal 5 3 2 4 7" xfId="10277" xr:uid="{00000000-0005-0000-0000-0000D2600000}"/>
    <cellStyle name="Normal 5 3 2 4 7 2" xfId="26876" xr:uid="{00000000-0005-0000-0000-0000D3600000}"/>
    <cellStyle name="Normal 5 3 2 4 8" xfId="4565" xr:uid="{00000000-0005-0000-0000-0000D4600000}"/>
    <cellStyle name="Normal 5 3 2 4 8 2" xfId="21288" xr:uid="{00000000-0005-0000-0000-0000D5600000}"/>
    <cellStyle name="Normal 5 3 2 4 9" xfId="17455" xr:uid="{00000000-0005-0000-0000-0000D6600000}"/>
    <cellStyle name="Normal 5 3 2 5" xfId="1209" xr:uid="{00000000-0005-0000-0000-0000D7600000}"/>
    <cellStyle name="Normal 5 3 2 5 2" xfId="1730" xr:uid="{00000000-0005-0000-0000-0000D8600000}"/>
    <cellStyle name="Normal 5 3 2 5 2 2" xfId="2973" xr:uid="{00000000-0005-0000-0000-0000D9600000}"/>
    <cellStyle name="Normal 5 3 2 5 2 2 2" xfId="6624" xr:uid="{00000000-0005-0000-0000-0000DA600000}"/>
    <cellStyle name="Normal 5 3 2 5 2 2 2 2" xfId="9975" xr:uid="{00000000-0005-0000-0000-0000DB600000}"/>
    <cellStyle name="Normal 5 3 2 5 2 2 2 2 2" xfId="17238" xr:uid="{00000000-0005-0000-0000-0000DC600000}"/>
    <cellStyle name="Normal 5 3 2 5 2 2 2 2 2 2" xfId="33553" xr:uid="{00000000-0005-0000-0000-0000DD600000}"/>
    <cellStyle name="Normal 5 3 2 5 2 2 2 2 3" xfId="26588" xr:uid="{00000000-0005-0000-0000-0000DE600000}"/>
    <cellStyle name="Normal 5 3 2 5 2 2 2 3" xfId="13317" xr:uid="{00000000-0005-0000-0000-0000DF600000}"/>
    <cellStyle name="Normal 5 3 2 5 2 2 2 3 2" xfId="29892" xr:uid="{00000000-0005-0000-0000-0000E0600000}"/>
    <cellStyle name="Normal 5 3 2 5 2 2 2 4" xfId="23288" xr:uid="{00000000-0005-0000-0000-0000E1600000}"/>
    <cellStyle name="Normal 5 3 2 5 2 2 3" xfId="8354" xr:uid="{00000000-0005-0000-0000-0000E2600000}"/>
    <cellStyle name="Normal 5 3 2 5 2 2 3 2" xfId="15617" xr:uid="{00000000-0005-0000-0000-0000E3600000}"/>
    <cellStyle name="Normal 5 3 2 5 2 2 3 2 2" xfId="31932" xr:uid="{00000000-0005-0000-0000-0000E4600000}"/>
    <cellStyle name="Normal 5 3 2 5 2 2 3 3" xfId="24967" xr:uid="{00000000-0005-0000-0000-0000E5600000}"/>
    <cellStyle name="Normal 5 3 2 5 2 2 4" xfId="11669" xr:uid="{00000000-0005-0000-0000-0000E6600000}"/>
    <cellStyle name="Normal 5 3 2 5 2 2 4 2" xfId="28267" xr:uid="{00000000-0005-0000-0000-0000E7600000}"/>
    <cellStyle name="Normal 5 3 2 5 2 2 5" xfId="4575" xr:uid="{00000000-0005-0000-0000-0000E8600000}"/>
    <cellStyle name="Normal 5 3 2 5 2 2 5 2" xfId="21298" xr:uid="{00000000-0005-0000-0000-0000E9600000}"/>
    <cellStyle name="Normal 5 3 2 5 2 2 6" xfId="19700" xr:uid="{00000000-0005-0000-0000-0000EA600000}"/>
    <cellStyle name="Normal 5 3 2 5 2 3" xfId="2972" xr:uid="{00000000-0005-0000-0000-0000EB600000}"/>
    <cellStyle name="Normal 5 3 2 5 2 3 2" xfId="9199" xr:uid="{00000000-0005-0000-0000-0000EC600000}"/>
    <cellStyle name="Normal 5 3 2 5 2 3 2 2" xfId="16462" xr:uid="{00000000-0005-0000-0000-0000ED600000}"/>
    <cellStyle name="Normal 5 3 2 5 2 3 2 2 2" xfId="32777" xr:uid="{00000000-0005-0000-0000-0000EE600000}"/>
    <cellStyle name="Normal 5 3 2 5 2 3 2 3" xfId="25812" xr:uid="{00000000-0005-0000-0000-0000EF600000}"/>
    <cellStyle name="Normal 5 3 2 5 2 3 3" xfId="12541" xr:uid="{00000000-0005-0000-0000-0000F0600000}"/>
    <cellStyle name="Normal 5 3 2 5 2 3 3 2" xfId="29116" xr:uid="{00000000-0005-0000-0000-0000F1600000}"/>
    <cellStyle name="Normal 5 3 2 5 2 3 4" xfId="5848" xr:uid="{00000000-0005-0000-0000-0000F2600000}"/>
    <cellStyle name="Normal 5 3 2 5 2 3 4 2" xfId="22512" xr:uid="{00000000-0005-0000-0000-0000F3600000}"/>
    <cellStyle name="Normal 5 3 2 5 2 3 5" xfId="19699" xr:uid="{00000000-0005-0000-0000-0000F4600000}"/>
    <cellStyle name="Normal 5 3 2 5 2 4" xfId="7578" xr:uid="{00000000-0005-0000-0000-0000F5600000}"/>
    <cellStyle name="Normal 5 3 2 5 2 4 2" xfId="14841" xr:uid="{00000000-0005-0000-0000-0000F6600000}"/>
    <cellStyle name="Normal 5 3 2 5 2 4 2 2" xfId="31156" xr:uid="{00000000-0005-0000-0000-0000F7600000}"/>
    <cellStyle name="Normal 5 3 2 5 2 4 3" xfId="24191" xr:uid="{00000000-0005-0000-0000-0000F8600000}"/>
    <cellStyle name="Normal 5 3 2 5 2 5" xfId="10893" xr:uid="{00000000-0005-0000-0000-0000F9600000}"/>
    <cellStyle name="Normal 5 3 2 5 2 5 2" xfId="27491" xr:uid="{00000000-0005-0000-0000-0000FA600000}"/>
    <cellStyle name="Normal 5 3 2 5 2 6" xfId="4574" xr:uid="{00000000-0005-0000-0000-0000FB600000}"/>
    <cellStyle name="Normal 5 3 2 5 2 6 2" xfId="21297" xr:uid="{00000000-0005-0000-0000-0000FC600000}"/>
    <cellStyle name="Normal 5 3 2 5 2 7" xfId="18465" xr:uid="{00000000-0005-0000-0000-0000FD600000}"/>
    <cellStyle name="Normal 5 3 2 5 3" xfId="2974" xr:uid="{00000000-0005-0000-0000-0000FE600000}"/>
    <cellStyle name="Normal 5 3 2 5 3 2" xfId="6254" xr:uid="{00000000-0005-0000-0000-0000FF600000}"/>
    <cellStyle name="Normal 5 3 2 5 3 2 2" xfId="9605" xr:uid="{00000000-0005-0000-0000-000000610000}"/>
    <cellStyle name="Normal 5 3 2 5 3 2 2 2" xfId="16868" xr:uid="{00000000-0005-0000-0000-000001610000}"/>
    <cellStyle name="Normal 5 3 2 5 3 2 2 2 2" xfId="33183" xr:uid="{00000000-0005-0000-0000-000002610000}"/>
    <cellStyle name="Normal 5 3 2 5 3 2 2 3" xfId="26218" xr:uid="{00000000-0005-0000-0000-000003610000}"/>
    <cellStyle name="Normal 5 3 2 5 3 2 3" xfId="12947" xr:uid="{00000000-0005-0000-0000-000004610000}"/>
    <cellStyle name="Normal 5 3 2 5 3 2 3 2" xfId="29522" xr:uid="{00000000-0005-0000-0000-000005610000}"/>
    <cellStyle name="Normal 5 3 2 5 3 2 4" xfId="22918" xr:uid="{00000000-0005-0000-0000-000006610000}"/>
    <cellStyle name="Normal 5 3 2 5 3 3" xfId="7984" xr:uid="{00000000-0005-0000-0000-000007610000}"/>
    <cellStyle name="Normal 5 3 2 5 3 3 2" xfId="15247" xr:uid="{00000000-0005-0000-0000-000008610000}"/>
    <cellStyle name="Normal 5 3 2 5 3 3 2 2" xfId="31562" xr:uid="{00000000-0005-0000-0000-000009610000}"/>
    <cellStyle name="Normal 5 3 2 5 3 3 3" xfId="24597" xr:uid="{00000000-0005-0000-0000-00000A610000}"/>
    <cellStyle name="Normal 5 3 2 5 3 4" xfId="11299" xr:uid="{00000000-0005-0000-0000-00000B610000}"/>
    <cellStyle name="Normal 5 3 2 5 3 4 2" xfId="27897" xr:uid="{00000000-0005-0000-0000-00000C610000}"/>
    <cellStyle name="Normal 5 3 2 5 3 5" xfId="4576" xr:uid="{00000000-0005-0000-0000-00000D610000}"/>
    <cellStyle name="Normal 5 3 2 5 3 5 2" xfId="21299" xr:uid="{00000000-0005-0000-0000-00000E610000}"/>
    <cellStyle name="Normal 5 3 2 5 3 6" xfId="19701" xr:uid="{00000000-0005-0000-0000-00000F610000}"/>
    <cellStyle name="Normal 5 3 2 5 4" xfId="2971" xr:uid="{00000000-0005-0000-0000-000010610000}"/>
    <cellStyle name="Normal 5 3 2 5 4 2" xfId="8792" xr:uid="{00000000-0005-0000-0000-000011610000}"/>
    <cellStyle name="Normal 5 3 2 5 4 2 2" xfId="16055" xr:uid="{00000000-0005-0000-0000-000012610000}"/>
    <cellStyle name="Normal 5 3 2 5 4 2 2 2" xfId="32370" xr:uid="{00000000-0005-0000-0000-000013610000}"/>
    <cellStyle name="Normal 5 3 2 5 4 2 3" xfId="25405" xr:uid="{00000000-0005-0000-0000-000014610000}"/>
    <cellStyle name="Normal 5 3 2 5 4 3" xfId="12134" xr:uid="{00000000-0005-0000-0000-000015610000}"/>
    <cellStyle name="Normal 5 3 2 5 4 3 2" xfId="28709" xr:uid="{00000000-0005-0000-0000-000016610000}"/>
    <cellStyle name="Normal 5 3 2 5 4 4" xfId="5441" xr:uid="{00000000-0005-0000-0000-000017610000}"/>
    <cellStyle name="Normal 5 3 2 5 4 4 2" xfId="22105" xr:uid="{00000000-0005-0000-0000-000018610000}"/>
    <cellStyle name="Normal 5 3 2 5 4 5" xfId="19698" xr:uid="{00000000-0005-0000-0000-000019610000}"/>
    <cellStyle name="Normal 5 3 2 5 5" xfId="7172" xr:uid="{00000000-0005-0000-0000-00001A610000}"/>
    <cellStyle name="Normal 5 3 2 5 5 2" xfId="14435" xr:uid="{00000000-0005-0000-0000-00001B610000}"/>
    <cellStyle name="Normal 5 3 2 5 5 2 2" xfId="30750" xr:uid="{00000000-0005-0000-0000-00001C610000}"/>
    <cellStyle name="Normal 5 3 2 5 5 3" xfId="23785" xr:uid="{00000000-0005-0000-0000-00001D610000}"/>
    <cellStyle name="Normal 5 3 2 5 6" xfId="10487" xr:uid="{00000000-0005-0000-0000-00001E610000}"/>
    <cellStyle name="Normal 5 3 2 5 6 2" xfId="27085" xr:uid="{00000000-0005-0000-0000-00001F610000}"/>
    <cellStyle name="Normal 5 3 2 5 7" xfId="4573" xr:uid="{00000000-0005-0000-0000-000020610000}"/>
    <cellStyle name="Normal 5 3 2 5 7 2" xfId="21296" xr:uid="{00000000-0005-0000-0000-000021610000}"/>
    <cellStyle name="Normal 5 3 2 5 8" xfId="17946" xr:uid="{00000000-0005-0000-0000-000022610000}"/>
    <cellStyle name="Normal 5 3 2 6" xfId="859" xr:uid="{00000000-0005-0000-0000-000023610000}"/>
    <cellStyle name="Normal 5 3 2 6 2" xfId="1428" xr:uid="{00000000-0005-0000-0000-000024610000}"/>
    <cellStyle name="Normal 5 3 2 6 2 2" xfId="2976" xr:uid="{00000000-0005-0000-0000-000025610000}"/>
    <cellStyle name="Normal 5 3 2 6 2 2 2" xfId="9799" xr:uid="{00000000-0005-0000-0000-000026610000}"/>
    <cellStyle name="Normal 5 3 2 6 2 2 2 2" xfId="17062" xr:uid="{00000000-0005-0000-0000-000027610000}"/>
    <cellStyle name="Normal 5 3 2 6 2 2 2 2 2" xfId="33377" xr:uid="{00000000-0005-0000-0000-000028610000}"/>
    <cellStyle name="Normal 5 3 2 6 2 2 2 3" xfId="26412" xr:uid="{00000000-0005-0000-0000-000029610000}"/>
    <cellStyle name="Normal 5 3 2 6 2 2 3" xfId="13141" xr:uid="{00000000-0005-0000-0000-00002A610000}"/>
    <cellStyle name="Normal 5 3 2 6 2 2 3 2" xfId="29716" xr:uid="{00000000-0005-0000-0000-00002B610000}"/>
    <cellStyle name="Normal 5 3 2 6 2 2 4" xfId="6448" xr:uid="{00000000-0005-0000-0000-00002C610000}"/>
    <cellStyle name="Normal 5 3 2 6 2 2 4 2" xfId="23112" xr:uid="{00000000-0005-0000-0000-00002D610000}"/>
    <cellStyle name="Normal 5 3 2 6 2 2 5" xfId="19703" xr:uid="{00000000-0005-0000-0000-00002E610000}"/>
    <cellStyle name="Normal 5 3 2 6 2 3" xfId="8178" xr:uid="{00000000-0005-0000-0000-00002F610000}"/>
    <cellStyle name="Normal 5 3 2 6 2 3 2" xfId="15441" xr:uid="{00000000-0005-0000-0000-000030610000}"/>
    <cellStyle name="Normal 5 3 2 6 2 3 2 2" xfId="31756" xr:uid="{00000000-0005-0000-0000-000031610000}"/>
    <cellStyle name="Normal 5 3 2 6 2 3 3" xfId="24791" xr:uid="{00000000-0005-0000-0000-000032610000}"/>
    <cellStyle name="Normal 5 3 2 6 2 4" xfId="11493" xr:uid="{00000000-0005-0000-0000-000033610000}"/>
    <cellStyle name="Normal 5 3 2 6 2 4 2" xfId="28091" xr:uid="{00000000-0005-0000-0000-000034610000}"/>
    <cellStyle name="Normal 5 3 2 6 2 5" xfId="4578" xr:uid="{00000000-0005-0000-0000-000035610000}"/>
    <cellStyle name="Normal 5 3 2 6 2 5 2" xfId="21301" xr:uid="{00000000-0005-0000-0000-000036610000}"/>
    <cellStyle name="Normal 5 3 2 6 2 6" xfId="18163" xr:uid="{00000000-0005-0000-0000-000037610000}"/>
    <cellStyle name="Normal 5 3 2 6 3" xfId="2975" xr:uid="{00000000-0005-0000-0000-000038610000}"/>
    <cellStyle name="Normal 5 3 2 6 3 2" xfId="8987" xr:uid="{00000000-0005-0000-0000-000039610000}"/>
    <cellStyle name="Normal 5 3 2 6 3 2 2" xfId="16250" xr:uid="{00000000-0005-0000-0000-00003A610000}"/>
    <cellStyle name="Normal 5 3 2 6 3 2 2 2" xfId="32565" xr:uid="{00000000-0005-0000-0000-00003B610000}"/>
    <cellStyle name="Normal 5 3 2 6 3 2 3" xfId="25600" xr:uid="{00000000-0005-0000-0000-00003C610000}"/>
    <cellStyle name="Normal 5 3 2 6 3 3" xfId="12329" xr:uid="{00000000-0005-0000-0000-00003D610000}"/>
    <cellStyle name="Normal 5 3 2 6 3 3 2" xfId="28904" xr:uid="{00000000-0005-0000-0000-00003E610000}"/>
    <cellStyle name="Normal 5 3 2 6 3 4" xfId="5636" xr:uid="{00000000-0005-0000-0000-00003F610000}"/>
    <cellStyle name="Normal 5 3 2 6 3 4 2" xfId="22300" xr:uid="{00000000-0005-0000-0000-000040610000}"/>
    <cellStyle name="Normal 5 3 2 6 3 5" xfId="19702" xr:uid="{00000000-0005-0000-0000-000041610000}"/>
    <cellStyle name="Normal 5 3 2 6 4" xfId="7366" xr:uid="{00000000-0005-0000-0000-000042610000}"/>
    <cellStyle name="Normal 5 3 2 6 4 2" xfId="14629" xr:uid="{00000000-0005-0000-0000-000043610000}"/>
    <cellStyle name="Normal 5 3 2 6 4 2 2" xfId="30944" xr:uid="{00000000-0005-0000-0000-000044610000}"/>
    <cellStyle name="Normal 5 3 2 6 4 3" xfId="23979" xr:uid="{00000000-0005-0000-0000-000045610000}"/>
    <cellStyle name="Normal 5 3 2 6 5" xfId="10681" xr:uid="{00000000-0005-0000-0000-000046610000}"/>
    <cellStyle name="Normal 5 3 2 6 5 2" xfId="27279" xr:uid="{00000000-0005-0000-0000-000047610000}"/>
    <cellStyle name="Normal 5 3 2 6 6" xfId="4577" xr:uid="{00000000-0005-0000-0000-000048610000}"/>
    <cellStyle name="Normal 5 3 2 6 6 2" xfId="21300" xr:uid="{00000000-0005-0000-0000-000049610000}"/>
    <cellStyle name="Normal 5 3 2 6 7" xfId="17644" xr:uid="{00000000-0005-0000-0000-00004A610000}"/>
    <cellStyle name="Normal 5 3 2 7" xfId="712" xr:uid="{00000000-0005-0000-0000-00004B610000}"/>
    <cellStyle name="Normal 5 3 2 7 2" xfId="2977" xr:uid="{00000000-0005-0000-0000-00004C610000}"/>
    <cellStyle name="Normal 5 3 2 7 2 2" xfId="9393" xr:uid="{00000000-0005-0000-0000-00004D610000}"/>
    <cellStyle name="Normal 5 3 2 7 2 2 2" xfId="16656" xr:uid="{00000000-0005-0000-0000-00004E610000}"/>
    <cellStyle name="Normal 5 3 2 7 2 2 2 2" xfId="32971" xr:uid="{00000000-0005-0000-0000-00004F610000}"/>
    <cellStyle name="Normal 5 3 2 7 2 2 3" xfId="26006" xr:uid="{00000000-0005-0000-0000-000050610000}"/>
    <cellStyle name="Normal 5 3 2 7 2 3" xfId="12735" xr:uid="{00000000-0005-0000-0000-000051610000}"/>
    <cellStyle name="Normal 5 3 2 7 2 3 2" xfId="29310" xr:uid="{00000000-0005-0000-0000-000052610000}"/>
    <cellStyle name="Normal 5 3 2 7 2 4" xfId="6042" xr:uid="{00000000-0005-0000-0000-000053610000}"/>
    <cellStyle name="Normal 5 3 2 7 2 4 2" xfId="22706" xr:uid="{00000000-0005-0000-0000-000054610000}"/>
    <cellStyle name="Normal 5 3 2 7 2 5" xfId="19704" xr:uid="{00000000-0005-0000-0000-000055610000}"/>
    <cellStyle name="Normal 5 3 2 7 3" xfId="7772" xr:uid="{00000000-0005-0000-0000-000056610000}"/>
    <cellStyle name="Normal 5 3 2 7 3 2" xfId="15035" xr:uid="{00000000-0005-0000-0000-000057610000}"/>
    <cellStyle name="Normal 5 3 2 7 3 2 2" xfId="31350" xr:uid="{00000000-0005-0000-0000-000058610000}"/>
    <cellStyle name="Normal 5 3 2 7 3 3" xfId="24385" xr:uid="{00000000-0005-0000-0000-000059610000}"/>
    <cellStyle name="Normal 5 3 2 7 4" xfId="11087" xr:uid="{00000000-0005-0000-0000-00005A610000}"/>
    <cellStyle name="Normal 5 3 2 7 4 2" xfId="27685" xr:uid="{00000000-0005-0000-0000-00005B610000}"/>
    <cellStyle name="Normal 5 3 2 7 5" xfId="4579" xr:uid="{00000000-0005-0000-0000-00005C610000}"/>
    <cellStyle name="Normal 5 3 2 7 5 2" xfId="21302" xr:uid="{00000000-0005-0000-0000-00005D610000}"/>
    <cellStyle name="Normal 5 3 2 7 6" xfId="17525" xr:uid="{00000000-0005-0000-0000-00005E610000}"/>
    <cellStyle name="Normal 5 3 2 8" xfId="1309" xr:uid="{00000000-0005-0000-0000-00005F610000}"/>
    <cellStyle name="Normal 5 3 2 8 2" xfId="8472" xr:uid="{00000000-0005-0000-0000-000060610000}"/>
    <cellStyle name="Normal 5 3 2 8 2 2" xfId="15735" xr:uid="{00000000-0005-0000-0000-000061610000}"/>
    <cellStyle name="Normal 5 3 2 8 2 2 2" xfId="32050" xr:uid="{00000000-0005-0000-0000-000062610000}"/>
    <cellStyle name="Normal 5 3 2 8 2 3" xfId="25085" xr:uid="{00000000-0005-0000-0000-000063610000}"/>
    <cellStyle name="Normal 5 3 2 8 3" xfId="11813" xr:uid="{00000000-0005-0000-0000-000064610000}"/>
    <cellStyle name="Normal 5 3 2 8 3 2" xfId="28389" xr:uid="{00000000-0005-0000-0000-000065610000}"/>
    <cellStyle name="Normal 5 3 2 8 4" xfId="5119" xr:uid="{00000000-0005-0000-0000-000066610000}"/>
    <cellStyle name="Normal 5 3 2 8 4 2" xfId="21785" xr:uid="{00000000-0005-0000-0000-000067610000}"/>
    <cellStyle name="Normal 5 3 2 8 5" xfId="18044" xr:uid="{00000000-0005-0000-0000-000068610000}"/>
    <cellStyle name="Normal 5 3 2 9" xfId="2914" xr:uid="{00000000-0005-0000-0000-000069610000}"/>
    <cellStyle name="Normal 5 3 2 9 2" xfId="14120" xr:uid="{00000000-0005-0000-0000-00006A610000}"/>
    <cellStyle name="Normal 5 3 2 9 2 2" xfId="30435" xr:uid="{00000000-0005-0000-0000-00006B610000}"/>
    <cellStyle name="Normal 5 3 2 9 3" xfId="6857" xr:uid="{00000000-0005-0000-0000-00006C610000}"/>
    <cellStyle name="Normal 5 3 2 9 3 2" xfId="23470" xr:uid="{00000000-0005-0000-0000-00006D610000}"/>
    <cellStyle name="Normal 5 3 2 9 4" xfId="19641" xr:uid="{00000000-0005-0000-0000-00006E610000}"/>
    <cellStyle name="Normal 5 3 3" xfId="881" xr:uid="{00000000-0005-0000-0000-00006F610000}"/>
    <cellStyle name="Normal 5 3 3 10" xfId="4580" xr:uid="{00000000-0005-0000-0000-000070610000}"/>
    <cellStyle name="Normal 5 3 3 10 2" xfId="21303" xr:uid="{00000000-0005-0000-0000-000071610000}"/>
    <cellStyle name="Normal 5 3 3 11" xfId="17659" xr:uid="{00000000-0005-0000-0000-000072610000}"/>
    <cellStyle name="Normal 5 3 3 2" xfId="934" xr:uid="{00000000-0005-0000-0000-000073610000}"/>
    <cellStyle name="Normal 5 3 3 2 10" xfId="17712" xr:uid="{00000000-0005-0000-0000-000074610000}"/>
    <cellStyle name="Normal 5 3 3 2 2" xfId="1041" xr:uid="{00000000-0005-0000-0000-000075610000}"/>
    <cellStyle name="Normal 5 3 3 2 2 2" xfId="1219" xr:uid="{00000000-0005-0000-0000-000076610000}"/>
    <cellStyle name="Normal 5 3 3 2 2 2 2" xfId="1740" xr:uid="{00000000-0005-0000-0000-000077610000}"/>
    <cellStyle name="Normal 5 3 3 2 2 2 2 2" xfId="2983" xr:uid="{00000000-0005-0000-0000-000078610000}"/>
    <cellStyle name="Normal 5 3 3 2 2 2 2 2 2" xfId="6634" xr:uid="{00000000-0005-0000-0000-000079610000}"/>
    <cellStyle name="Normal 5 3 3 2 2 2 2 2 2 2" xfId="9985" xr:uid="{00000000-0005-0000-0000-00007A610000}"/>
    <cellStyle name="Normal 5 3 3 2 2 2 2 2 2 2 2" xfId="17248" xr:uid="{00000000-0005-0000-0000-00007B610000}"/>
    <cellStyle name="Normal 5 3 3 2 2 2 2 2 2 2 2 2" xfId="33563" xr:uid="{00000000-0005-0000-0000-00007C610000}"/>
    <cellStyle name="Normal 5 3 3 2 2 2 2 2 2 2 3" xfId="26598" xr:uid="{00000000-0005-0000-0000-00007D610000}"/>
    <cellStyle name="Normal 5 3 3 2 2 2 2 2 2 3" xfId="13327" xr:uid="{00000000-0005-0000-0000-00007E610000}"/>
    <cellStyle name="Normal 5 3 3 2 2 2 2 2 2 3 2" xfId="29902" xr:uid="{00000000-0005-0000-0000-00007F610000}"/>
    <cellStyle name="Normal 5 3 3 2 2 2 2 2 2 4" xfId="23298" xr:uid="{00000000-0005-0000-0000-000080610000}"/>
    <cellStyle name="Normal 5 3 3 2 2 2 2 2 3" xfId="8364" xr:uid="{00000000-0005-0000-0000-000081610000}"/>
    <cellStyle name="Normal 5 3 3 2 2 2 2 2 3 2" xfId="15627" xr:uid="{00000000-0005-0000-0000-000082610000}"/>
    <cellStyle name="Normal 5 3 3 2 2 2 2 2 3 2 2" xfId="31942" xr:uid="{00000000-0005-0000-0000-000083610000}"/>
    <cellStyle name="Normal 5 3 3 2 2 2 2 2 3 3" xfId="24977" xr:uid="{00000000-0005-0000-0000-000084610000}"/>
    <cellStyle name="Normal 5 3 3 2 2 2 2 2 4" xfId="11679" xr:uid="{00000000-0005-0000-0000-000085610000}"/>
    <cellStyle name="Normal 5 3 3 2 2 2 2 2 4 2" xfId="28277" xr:uid="{00000000-0005-0000-0000-000086610000}"/>
    <cellStyle name="Normal 5 3 3 2 2 2 2 2 5" xfId="4585" xr:uid="{00000000-0005-0000-0000-000087610000}"/>
    <cellStyle name="Normal 5 3 3 2 2 2 2 2 5 2" xfId="21308" xr:uid="{00000000-0005-0000-0000-000088610000}"/>
    <cellStyle name="Normal 5 3 3 2 2 2 2 2 6" xfId="19710" xr:uid="{00000000-0005-0000-0000-000089610000}"/>
    <cellStyle name="Normal 5 3 3 2 2 2 2 3" xfId="2982" xr:uid="{00000000-0005-0000-0000-00008A610000}"/>
    <cellStyle name="Normal 5 3 3 2 2 2 2 3 2" xfId="9209" xr:uid="{00000000-0005-0000-0000-00008B610000}"/>
    <cellStyle name="Normal 5 3 3 2 2 2 2 3 2 2" xfId="16472" xr:uid="{00000000-0005-0000-0000-00008C610000}"/>
    <cellStyle name="Normal 5 3 3 2 2 2 2 3 2 2 2" xfId="32787" xr:uid="{00000000-0005-0000-0000-00008D610000}"/>
    <cellStyle name="Normal 5 3 3 2 2 2 2 3 2 3" xfId="25822" xr:uid="{00000000-0005-0000-0000-00008E610000}"/>
    <cellStyle name="Normal 5 3 3 2 2 2 2 3 3" xfId="12551" xr:uid="{00000000-0005-0000-0000-00008F610000}"/>
    <cellStyle name="Normal 5 3 3 2 2 2 2 3 3 2" xfId="29126" xr:uid="{00000000-0005-0000-0000-000090610000}"/>
    <cellStyle name="Normal 5 3 3 2 2 2 2 3 4" xfId="5858" xr:uid="{00000000-0005-0000-0000-000091610000}"/>
    <cellStyle name="Normal 5 3 3 2 2 2 2 3 4 2" xfId="22522" xr:uid="{00000000-0005-0000-0000-000092610000}"/>
    <cellStyle name="Normal 5 3 3 2 2 2 2 3 5" xfId="19709" xr:uid="{00000000-0005-0000-0000-000093610000}"/>
    <cellStyle name="Normal 5 3 3 2 2 2 2 4" xfId="7588" xr:uid="{00000000-0005-0000-0000-000094610000}"/>
    <cellStyle name="Normal 5 3 3 2 2 2 2 4 2" xfId="14851" xr:uid="{00000000-0005-0000-0000-000095610000}"/>
    <cellStyle name="Normal 5 3 3 2 2 2 2 4 2 2" xfId="31166" xr:uid="{00000000-0005-0000-0000-000096610000}"/>
    <cellStyle name="Normal 5 3 3 2 2 2 2 4 3" xfId="24201" xr:uid="{00000000-0005-0000-0000-000097610000}"/>
    <cellStyle name="Normal 5 3 3 2 2 2 2 5" xfId="10903" xr:uid="{00000000-0005-0000-0000-000098610000}"/>
    <cellStyle name="Normal 5 3 3 2 2 2 2 5 2" xfId="27501" xr:uid="{00000000-0005-0000-0000-000099610000}"/>
    <cellStyle name="Normal 5 3 3 2 2 2 2 6" xfId="4584" xr:uid="{00000000-0005-0000-0000-00009A610000}"/>
    <cellStyle name="Normal 5 3 3 2 2 2 2 6 2" xfId="21307" xr:uid="{00000000-0005-0000-0000-00009B610000}"/>
    <cellStyle name="Normal 5 3 3 2 2 2 2 7" xfId="18475" xr:uid="{00000000-0005-0000-0000-00009C610000}"/>
    <cellStyle name="Normal 5 3 3 2 2 2 3" xfId="2984" xr:uid="{00000000-0005-0000-0000-00009D610000}"/>
    <cellStyle name="Normal 5 3 3 2 2 2 3 2" xfId="6264" xr:uid="{00000000-0005-0000-0000-00009E610000}"/>
    <cellStyle name="Normal 5 3 3 2 2 2 3 2 2" xfId="9615" xr:uid="{00000000-0005-0000-0000-00009F610000}"/>
    <cellStyle name="Normal 5 3 3 2 2 2 3 2 2 2" xfId="16878" xr:uid="{00000000-0005-0000-0000-0000A0610000}"/>
    <cellStyle name="Normal 5 3 3 2 2 2 3 2 2 2 2" xfId="33193" xr:uid="{00000000-0005-0000-0000-0000A1610000}"/>
    <cellStyle name="Normal 5 3 3 2 2 2 3 2 2 3" xfId="26228" xr:uid="{00000000-0005-0000-0000-0000A2610000}"/>
    <cellStyle name="Normal 5 3 3 2 2 2 3 2 3" xfId="12957" xr:uid="{00000000-0005-0000-0000-0000A3610000}"/>
    <cellStyle name="Normal 5 3 3 2 2 2 3 2 3 2" xfId="29532" xr:uid="{00000000-0005-0000-0000-0000A4610000}"/>
    <cellStyle name="Normal 5 3 3 2 2 2 3 2 4" xfId="22928" xr:uid="{00000000-0005-0000-0000-0000A5610000}"/>
    <cellStyle name="Normal 5 3 3 2 2 2 3 3" xfId="7994" xr:uid="{00000000-0005-0000-0000-0000A6610000}"/>
    <cellStyle name="Normal 5 3 3 2 2 2 3 3 2" xfId="15257" xr:uid="{00000000-0005-0000-0000-0000A7610000}"/>
    <cellStyle name="Normal 5 3 3 2 2 2 3 3 2 2" xfId="31572" xr:uid="{00000000-0005-0000-0000-0000A8610000}"/>
    <cellStyle name="Normal 5 3 3 2 2 2 3 3 3" xfId="24607" xr:uid="{00000000-0005-0000-0000-0000A9610000}"/>
    <cellStyle name="Normal 5 3 3 2 2 2 3 4" xfId="11309" xr:uid="{00000000-0005-0000-0000-0000AA610000}"/>
    <cellStyle name="Normal 5 3 3 2 2 2 3 4 2" xfId="27907" xr:uid="{00000000-0005-0000-0000-0000AB610000}"/>
    <cellStyle name="Normal 5 3 3 2 2 2 3 5" xfId="4586" xr:uid="{00000000-0005-0000-0000-0000AC610000}"/>
    <cellStyle name="Normal 5 3 3 2 2 2 3 5 2" xfId="21309" xr:uid="{00000000-0005-0000-0000-0000AD610000}"/>
    <cellStyle name="Normal 5 3 3 2 2 2 3 6" xfId="19711" xr:uid="{00000000-0005-0000-0000-0000AE610000}"/>
    <cellStyle name="Normal 5 3 3 2 2 2 4" xfId="2981" xr:uid="{00000000-0005-0000-0000-0000AF610000}"/>
    <cellStyle name="Normal 5 3 3 2 2 2 4 2" xfId="8802" xr:uid="{00000000-0005-0000-0000-0000B0610000}"/>
    <cellStyle name="Normal 5 3 3 2 2 2 4 2 2" xfId="16065" xr:uid="{00000000-0005-0000-0000-0000B1610000}"/>
    <cellStyle name="Normal 5 3 3 2 2 2 4 2 2 2" xfId="32380" xr:uid="{00000000-0005-0000-0000-0000B2610000}"/>
    <cellStyle name="Normal 5 3 3 2 2 2 4 2 3" xfId="25415" xr:uid="{00000000-0005-0000-0000-0000B3610000}"/>
    <cellStyle name="Normal 5 3 3 2 2 2 4 3" xfId="12144" xr:uid="{00000000-0005-0000-0000-0000B4610000}"/>
    <cellStyle name="Normal 5 3 3 2 2 2 4 3 2" xfId="28719" xr:uid="{00000000-0005-0000-0000-0000B5610000}"/>
    <cellStyle name="Normal 5 3 3 2 2 2 4 4" xfId="5451" xr:uid="{00000000-0005-0000-0000-0000B6610000}"/>
    <cellStyle name="Normal 5 3 3 2 2 2 4 4 2" xfId="22115" xr:uid="{00000000-0005-0000-0000-0000B7610000}"/>
    <cellStyle name="Normal 5 3 3 2 2 2 4 5" xfId="19708" xr:uid="{00000000-0005-0000-0000-0000B8610000}"/>
    <cellStyle name="Normal 5 3 3 2 2 2 5" xfId="7182" xr:uid="{00000000-0005-0000-0000-0000B9610000}"/>
    <cellStyle name="Normal 5 3 3 2 2 2 5 2" xfId="14445" xr:uid="{00000000-0005-0000-0000-0000BA610000}"/>
    <cellStyle name="Normal 5 3 3 2 2 2 5 2 2" xfId="30760" xr:uid="{00000000-0005-0000-0000-0000BB610000}"/>
    <cellStyle name="Normal 5 3 3 2 2 2 5 3" xfId="23795" xr:uid="{00000000-0005-0000-0000-0000BC610000}"/>
    <cellStyle name="Normal 5 3 3 2 2 2 6" xfId="10497" xr:uid="{00000000-0005-0000-0000-0000BD610000}"/>
    <cellStyle name="Normal 5 3 3 2 2 2 6 2" xfId="27095" xr:uid="{00000000-0005-0000-0000-0000BE610000}"/>
    <cellStyle name="Normal 5 3 3 2 2 2 7" xfId="4583" xr:uid="{00000000-0005-0000-0000-0000BF610000}"/>
    <cellStyle name="Normal 5 3 3 2 2 2 7 2" xfId="21306" xr:uid="{00000000-0005-0000-0000-0000C0610000}"/>
    <cellStyle name="Normal 5 3 3 2 2 2 8" xfId="17956" xr:uid="{00000000-0005-0000-0000-0000C1610000}"/>
    <cellStyle name="Normal 5 3 3 2 2 3" xfId="1602" xr:uid="{00000000-0005-0000-0000-0000C2610000}"/>
    <cellStyle name="Normal 5 3 3 2 2 3 2" xfId="2986" xr:uid="{00000000-0005-0000-0000-0000C3610000}"/>
    <cellStyle name="Normal 5 3 3 2 2 3 2 2" xfId="6458" xr:uid="{00000000-0005-0000-0000-0000C4610000}"/>
    <cellStyle name="Normal 5 3 3 2 2 3 2 2 2" xfId="9809" xr:uid="{00000000-0005-0000-0000-0000C5610000}"/>
    <cellStyle name="Normal 5 3 3 2 2 3 2 2 2 2" xfId="17072" xr:uid="{00000000-0005-0000-0000-0000C6610000}"/>
    <cellStyle name="Normal 5 3 3 2 2 3 2 2 2 2 2" xfId="33387" xr:uid="{00000000-0005-0000-0000-0000C7610000}"/>
    <cellStyle name="Normal 5 3 3 2 2 3 2 2 2 3" xfId="26422" xr:uid="{00000000-0005-0000-0000-0000C8610000}"/>
    <cellStyle name="Normal 5 3 3 2 2 3 2 2 3" xfId="13151" xr:uid="{00000000-0005-0000-0000-0000C9610000}"/>
    <cellStyle name="Normal 5 3 3 2 2 3 2 2 3 2" xfId="29726" xr:uid="{00000000-0005-0000-0000-0000CA610000}"/>
    <cellStyle name="Normal 5 3 3 2 2 3 2 2 4" xfId="23122" xr:uid="{00000000-0005-0000-0000-0000CB610000}"/>
    <cellStyle name="Normal 5 3 3 2 2 3 2 3" xfId="8188" xr:uid="{00000000-0005-0000-0000-0000CC610000}"/>
    <cellStyle name="Normal 5 3 3 2 2 3 2 3 2" xfId="15451" xr:uid="{00000000-0005-0000-0000-0000CD610000}"/>
    <cellStyle name="Normal 5 3 3 2 2 3 2 3 2 2" xfId="31766" xr:uid="{00000000-0005-0000-0000-0000CE610000}"/>
    <cellStyle name="Normal 5 3 3 2 2 3 2 3 3" xfId="24801" xr:uid="{00000000-0005-0000-0000-0000CF610000}"/>
    <cellStyle name="Normal 5 3 3 2 2 3 2 4" xfId="11503" xr:uid="{00000000-0005-0000-0000-0000D0610000}"/>
    <cellStyle name="Normal 5 3 3 2 2 3 2 4 2" xfId="28101" xr:uid="{00000000-0005-0000-0000-0000D1610000}"/>
    <cellStyle name="Normal 5 3 3 2 2 3 2 5" xfId="4588" xr:uid="{00000000-0005-0000-0000-0000D2610000}"/>
    <cellStyle name="Normal 5 3 3 2 2 3 2 5 2" xfId="21311" xr:uid="{00000000-0005-0000-0000-0000D3610000}"/>
    <cellStyle name="Normal 5 3 3 2 2 3 2 6" xfId="19713" xr:uid="{00000000-0005-0000-0000-0000D4610000}"/>
    <cellStyle name="Normal 5 3 3 2 2 3 3" xfId="2985" xr:uid="{00000000-0005-0000-0000-0000D5610000}"/>
    <cellStyle name="Normal 5 3 3 2 2 3 3 2" xfId="8997" xr:uid="{00000000-0005-0000-0000-0000D6610000}"/>
    <cellStyle name="Normal 5 3 3 2 2 3 3 2 2" xfId="16260" xr:uid="{00000000-0005-0000-0000-0000D7610000}"/>
    <cellStyle name="Normal 5 3 3 2 2 3 3 2 2 2" xfId="32575" xr:uid="{00000000-0005-0000-0000-0000D8610000}"/>
    <cellStyle name="Normal 5 3 3 2 2 3 3 2 3" xfId="25610" xr:uid="{00000000-0005-0000-0000-0000D9610000}"/>
    <cellStyle name="Normal 5 3 3 2 2 3 3 3" xfId="12339" xr:uid="{00000000-0005-0000-0000-0000DA610000}"/>
    <cellStyle name="Normal 5 3 3 2 2 3 3 3 2" xfId="28914" xr:uid="{00000000-0005-0000-0000-0000DB610000}"/>
    <cellStyle name="Normal 5 3 3 2 2 3 3 4" xfId="5646" xr:uid="{00000000-0005-0000-0000-0000DC610000}"/>
    <cellStyle name="Normal 5 3 3 2 2 3 3 4 2" xfId="22310" xr:uid="{00000000-0005-0000-0000-0000DD610000}"/>
    <cellStyle name="Normal 5 3 3 2 2 3 3 5" xfId="19712" xr:uid="{00000000-0005-0000-0000-0000DE610000}"/>
    <cellStyle name="Normal 5 3 3 2 2 3 4" xfId="7376" xr:uid="{00000000-0005-0000-0000-0000DF610000}"/>
    <cellStyle name="Normal 5 3 3 2 2 3 4 2" xfId="14639" xr:uid="{00000000-0005-0000-0000-0000E0610000}"/>
    <cellStyle name="Normal 5 3 3 2 2 3 4 2 2" xfId="30954" xr:uid="{00000000-0005-0000-0000-0000E1610000}"/>
    <cellStyle name="Normal 5 3 3 2 2 3 4 3" xfId="23989" xr:uid="{00000000-0005-0000-0000-0000E2610000}"/>
    <cellStyle name="Normal 5 3 3 2 2 3 5" xfId="10691" xr:uid="{00000000-0005-0000-0000-0000E3610000}"/>
    <cellStyle name="Normal 5 3 3 2 2 3 5 2" xfId="27289" xr:uid="{00000000-0005-0000-0000-0000E4610000}"/>
    <cellStyle name="Normal 5 3 3 2 2 3 6" xfId="4587" xr:uid="{00000000-0005-0000-0000-0000E5610000}"/>
    <cellStyle name="Normal 5 3 3 2 2 3 6 2" xfId="21310" xr:uid="{00000000-0005-0000-0000-0000E6610000}"/>
    <cellStyle name="Normal 5 3 3 2 2 3 7" xfId="18337" xr:uid="{00000000-0005-0000-0000-0000E7610000}"/>
    <cellStyle name="Normal 5 3 3 2 2 4" xfId="2987" xr:uid="{00000000-0005-0000-0000-0000E8610000}"/>
    <cellStyle name="Normal 5 3 3 2 2 4 2" xfId="6052" xr:uid="{00000000-0005-0000-0000-0000E9610000}"/>
    <cellStyle name="Normal 5 3 3 2 2 4 2 2" xfId="9403" xr:uid="{00000000-0005-0000-0000-0000EA610000}"/>
    <cellStyle name="Normal 5 3 3 2 2 4 2 2 2" xfId="16666" xr:uid="{00000000-0005-0000-0000-0000EB610000}"/>
    <cellStyle name="Normal 5 3 3 2 2 4 2 2 2 2" xfId="32981" xr:uid="{00000000-0005-0000-0000-0000EC610000}"/>
    <cellStyle name="Normal 5 3 3 2 2 4 2 2 3" xfId="26016" xr:uid="{00000000-0005-0000-0000-0000ED610000}"/>
    <cellStyle name="Normal 5 3 3 2 2 4 2 3" xfId="12745" xr:uid="{00000000-0005-0000-0000-0000EE610000}"/>
    <cellStyle name="Normal 5 3 3 2 2 4 2 3 2" xfId="29320" xr:uid="{00000000-0005-0000-0000-0000EF610000}"/>
    <cellStyle name="Normal 5 3 3 2 2 4 2 4" xfId="22716" xr:uid="{00000000-0005-0000-0000-0000F0610000}"/>
    <cellStyle name="Normal 5 3 3 2 2 4 3" xfId="7782" xr:uid="{00000000-0005-0000-0000-0000F1610000}"/>
    <cellStyle name="Normal 5 3 3 2 2 4 3 2" xfId="15045" xr:uid="{00000000-0005-0000-0000-0000F2610000}"/>
    <cellStyle name="Normal 5 3 3 2 2 4 3 2 2" xfId="31360" xr:uid="{00000000-0005-0000-0000-0000F3610000}"/>
    <cellStyle name="Normal 5 3 3 2 2 4 3 3" xfId="24395" xr:uid="{00000000-0005-0000-0000-0000F4610000}"/>
    <cellStyle name="Normal 5 3 3 2 2 4 4" xfId="11097" xr:uid="{00000000-0005-0000-0000-0000F5610000}"/>
    <cellStyle name="Normal 5 3 3 2 2 4 4 2" xfId="27695" xr:uid="{00000000-0005-0000-0000-0000F6610000}"/>
    <cellStyle name="Normal 5 3 3 2 2 4 5" xfId="4589" xr:uid="{00000000-0005-0000-0000-0000F7610000}"/>
    <cellStyle name="Normal 5 3 3 2 2 4 5 2" xfId="21312" xr:uid="{00000000-0005-0000-0000-0000F8610000}"/>
    <cellStyle name="Normal 5 3 3 2 2 4 6" xfId="19714" xr:uid="{00000000-0005-0000-0000-0000F9610000}"/>
    <cellStyle name="Normal 5 3 3 2 2 5" xfId="2980" xr:uid="{00000000-0005-0000-0000-0000FA610000}"/>
    <cellStyle name="Normal 5 3 3 2 2 5 2" xfId="8663" xr:uid="{00000000-0005-0000-0000-0000FB610000}"/>
    <cellStyle name="Normal 5 3 3 2 2 5 2 2" xfId="15926" xr:uid="{00000000-0005-0000-0000-0000FC610000}"/>
    <cellStyle name="Normal 5 3 3 2 2 5 2 2 2" xfId="32241" xr:uid="{00000000-0005-0000-0000-0000FD610000}"/>
    <cellStyle name="Normal 5 3 3 2 2 5 2 3" xfId="25276" xr:uid="{00000000-0005-0000-0000-0000FE610000}"/>
    <cellStyle name="Normal 5 3 3 2 2 5 3" xfId="12005" xr:uid="{00000000-0005-0000-0000-0000FF610000}"/>
    <cellStyle name="Normal 5 3 3 2 2 5 3 2" xfId="28580" xr:uid="{00000000-0005-0000-0000-000000620000}"/>
    <cellStyle name="Normal 5 3 3 2 2 5 4" xfId="5312" xr:uid="{00000000-0005-0000-0000-000001620000}"/>
    <cellStyle name="Normal 5 3 3 2 2 5 4 2" xfId="21976" xr:uid="{00000000-0005-0000-0000-000002620000}"/>
    <cellStyle name="Normal 5 3 3 2 2 5 5" xfId="19707" xr:uid="{00000000-0005-0000-0000-000003620000}"/>
    <cellStyle name="Normal 5 3 3 2 2 6" xfId="7044" xr:uid="{00000000-0005-0000-0000-000004620000}"/>
    <cellStyle name="Normal 5 3 3 2 2 6 2" xfId="14307" xr:uid="{00000000-0005-0000-0000-000005620000}"/>
    <cellStyle name="Normal 5 3 3 2 2 6 2 2" xfId="30622" xr:uid="{00000000-0005-0000-0000-000006620000}"/>
    <cellStyle name="Normal 5 3 3 2 2 6 3" xfId="23657" xr:uid="{00000000-0005-0000-0000-000007620000}"/>
    <cellStyle name="Normal 5 3 3 2 2 7" xfId="10358" xr:uid="{00000000-0005-0000-0000-000008620000}"/>
    <cellStyle name="Normal 5 3 3 2 2 7 2" xfId="26957" xr:uid="{00000000-0005-0000-0000-000009620000}"/>
    <cellStyle name="Normal 5 3 3 2 2 8" xfId="4582" xr:uid="{00000000-0005-0000-0000-00000A620000}"/>
    <cellStyle name="Normal 5 3 3 2 2 8 2" xfId="21305" xr:uid="{00000000-0005-0000-0000-00000B620000}"/>
    <cellStyle name="Normal 5 3 3 2 2 9" xfId="17818" xr:uid="{00000000-0005-0000-0000-00000C620000}"/>
    <cellStyle name="Normal 5 3 3 2 3" xfId="1218" xr:uid="{00000000-0005-0000-0000-00000D620000}"/>
    <cellStyle name="Normal 5 3 3 2 3 2" xfId="1739" xr:uid="{00000000-0005-0000-0000-00000E620000}"/>
    <cellStyle name="Normal 5 3 3 2 3 2 2" xfId="2990" xr:uid="{00000000-0005-0000-0000-00000F620000}"/>
    <cellStyle name="Normal 5 3 3 2 3 2 2 2" xfId="6633" xr:uid="{00000000-0005-0000-0000-000010620000}"/>
    <cellStyle name="Normal 5 3 3 2 3 2 2 2 2" xfId="9984" xr:uid="{00000000-0005-0000-0000-000011620000}"/>
    <cellStyle name="Normal 5 3 3 2 3 2 2 2 2 2" xfId="17247" xr:uid="{00000000-0005-0000-0000-000012620000}"/>
    <cellStyle name="Normal 5 3 3 2 3 2 2 2 2 2 2" xfId="33562" xr:uid="{00000000-0005-0000-0000-000013620000}"/>
    <cellStyle name="Normal 5 3 3 2 3 2 2 2 2 3" xfId="26597" xr:uid="{00000000-0005-0000-0000-000014620000}"/>
    <cellStyle name="Normal 5 3 3 2 3 2 2 2 3" xfId="13326" xr:uid="{00000000-0005-0000-0000-000015620000}"/>
    <cellStyle name="Normal 5 3 3 2 3 2 2 2 3 2" xfId="29901" xr:uid="{00000000-0005-0000-0000-000016620000}"/>
    <cellStyle name="Normal 5 3 3 2 3 2 2 2 4" xfId="23297" xr:uid="{00000000-0005-0000-0000-000017620000}"/>
    <cellStyle name="Normal 5 3 3 2 3 2 2 3" xfId="8363" xr:uid="{00000000-0005-0000-0000-000018620000}"/>
    <cellStyle name="Normal 5 3 3 2 3 2 2 3 2" xfId="15626" xr:uid="{00000000-0005-0000-0000-000019620000}"/>
    <cellStyle name="Normal 5 3 3 2 3 2 2 3 2 2" xfId="31941" xr:uid="{00000000-0005-0000-0000-00001A620000}"/>
    <cellStyle name="Normal 5 3 3 2 3 2 2 3 3" xfId="24976" xr:uid="{00000000-0005-0000-0000-00001B620000}"/>
    <cellStyle name="Normal 5 3 3 2 3 2 2 4" xfId="11678" xr:uid="{00000000-0005-0000-0000-00001C620000}"/>
    <cellStyle name="Normal 5 3 3 2 3 2 2 4 2" xfId="28276" xr:uid="{00000000-0005-0000-0000-00001D620000}"/>
    <cellStyle name="Normal 5 3 3 2 3 2 2 5" xfId="4592" xr:uid="{00000000-0005-0000-0000-00001E620000}"/>
    <cellStyle name="Normal 5 3 3 2 3 2 2 5 2" xfId="21315" xr:uid="{00000000-0005-0000-0000-00001F620000}"/>
    <cellStyle name="Normal 5 3 3 2 3 2 2 6" xfId="19717" xr:uid="{00000000-0005-0000-0000-000020620000}"/>
    <cellStyle name="Normal 5 3 3 2 3 2 3" xfId="2989" xr:uid="{00000000-0005-0000-0000-000021620000}"/>
    <cellStyle name="Normal 5 3 3 2 3 2 3 2" xfId="9208" xr:uid="{00000000-0005-0000-0000-000022620000}"/>
    <cellStyle name="Normal 5 3 3 2 3 2 3 2 2" xfId="16471" xr:uid="{00000000-0005-0000-0000-000023620000}"/>
    <cellStyle name="Normal 5 3 3 2 3 2 3 2 2 2" xfId="32786" xr:uid="{00000000-0005-0000-0000-000024620000}"/>
    <cellStyle name="Normal 5 3 3 2 3 2 3 2 3" xfId="25821" xr:uid="{00000000-0005-0000-0000-000025620000}"/>
    <cellStyle name="Normal 5 3 3 2 3 2 3 3" xfId="12550" xr:uid="{00000000-0005-0000-0000-000026620000}"/>
    <cellStyle name="Normal 5 3 3 2 3 2 3 3 2" xfId="29125" xr:uid="{00000000-0005-0000-0000-000027620000}"/>
    <cellStyle name="Normal 5 3 3 2 3 2 3 4" xfId="5857" xr:uid="{00000000-0005-0000-0000-000028620000}"/>
    <cellStyle name="Normal 5 3 3 2 3 2 3 4 2" xfId="22521" xr:uid="{00000000-0005-0000-0000-000029620000}"/>
    <cellStyle name="Normal 5 3 3 2 3 2 3 5" xfId="19716" xr:uid="{00000000-0005-0000-0000-00002A620000}"/>
    <cellStyle name="Normal 5 3 3 2 3 2 4" xfId="7587" xr:uid="{00000000-0005-0000-0000-00002B620000}"/>
    <cellStyle name="Normal 5 3 3 2 3 2 4 2" xfId="14850" xr:uid="{00000000-0005-0000-0000-00002C620000}"/>
    <cellStyle name="Normal 5 3 3 2 3 2 4 2 2" xfId="31165" xr:uid="{00000000-0005-0000-0000-00002D620000}"/>
    <cellStyle name="Normal 5 3 3 2 3 2 4 3" xfId="24200" xr:uid="{00000000-0005-0000-0000-00002E620000}"/>
    <cellStyle name="Normal 5 3 3 2 3 2 5" xfId="10902" xr:uid="{00000000-0005-0000-0000-00002F620000}"/>
    <cellStyle name="Normal 5 3 3 2 3 2 5 2" xfId="27500" xr:uid="{00000000-0005-0000-0000-000030620000}"/>
    <cellStyle name="Normal 5 3 3 2 3 2 6" xfId="4591" xr:uid="{00000000-0005-0000-0000-000031620000}"/>
    <cellStyle name="Normal 5 3 3 2 3 2 6 2" xfId="21314" xr:uid="{00000000-0005-0000-0000-000032620000}"/>
    <cellStyle name="Normal 5 3 3 2 3 2 7" xfId="18474" xr:uid="{00000000-0005-0000-0000-000033620000}"/>
    <cellStyle name="Normal 5 3 3 2 3 3" xfId="2991" xr:uid="{00000000-0005-0000-0000-000034620000}"/>
    <cellStyle name="Normal 5 3 3 2 3 3 2" xfId="6263" xr:uid="{00000000-0005-0000-0000-000035620000}"/>
    <cellStyle name="Normal 5 3 3 2 3 3 2 2" xfId="9614" xr:uid="{00000000-0005-0000-0000-000036620000}"/>
    <cellStyle name="Normal 5 3 3 2 3 3 2 2 2" xfId="16877" xr:uid="{00000000-0005-0000-0000-000037620000}"/>
    <cellStyle name="Normal 5 3 3 2 3 3 2 2 2 2" xfId="33192" xr:uid="{00000000-0005-0000-0000-000038620000}"/>
    <cellStyle name="Normal 5 3 3 2 3 3 2 2 3" xfId="26227" xr:uid="{00000000-0005-0000-0000-000039620000}"/>
    <cellStyle name="Normal 5 3 3 2 3 3 2 3" xfId="12956" xr:uid="{00000000-0005-0000-0000-00003A620000}"/>
    <cellStyle name="Normal 5 3 3 2 3 3 2 3 2" xfId="29531" xr:uid="{00000000-0005-0000-0000-00003B620000}"/>
    <cellStyle name="Normal 5 3 3 2 3 3 2 4" xfId="22927" xr:uid="{00000000-0005-0000-0000-00003C620000}"/>
    <cellStyle name="Normal 5 3 3 2 3 3 3" xfId="7993" xr:uid="{00000000-0005-0000-0000-00003D620000}"/>
    <cellStyle name="Normal 5 3 3 2 3 3 3 2" xfId="15256" xr:uid="{00000000-0005-0000-0000-00003E620000}"/>
    <cellStyle name="Normal 5 3 3 2 3 3 3 2 2" xfId="31571" xr:uid="{00000000-0005-0000-0000-00003F620000}"/>
    <cellStyle name="Normal 5 3 3 2 3 3 3 3" xfId="24606" xr:uid="{00000000-0005-0000-0000-000040620000}"/>
    <cellStyle name="Normal 5 3 3 2 3 3 4" xfId="11308" xr:uid="{00000000-0005-0000-0000-000041620000}"/>
    <cellStyle name="Normal 5 3 3 2 3 3 4 2" xfId="27906" xr:uid="{00000000-0005-0000-0000-000042620000}"/>
    <cellStyle name="Normal 5 3 3 2 3 3 5" xfId="4593" xr:uid="{00000000-0005-0000-0000-000043620000}"/>
    <cellStyle name="Normal 5 3 3 2 3 3 5 2" xfId="21316" xr:uid="{00000000-0005-0000-0000-000044620000}"/>
    <cellStyle name="Normal 5 3 3 2 3 3 6" xfId="19718" xr:uid="{00000000-0005-0000-0000-000045620000}"/>
    <cellStyle name="Normal 5 3 3 2 3 4" xfId="2988" xr:uid="{00000000-0005-0000-0000-000046620000}"/>
    <cellStyle name="Normal 5 3 3 2 3 4 2" xfId="8801" xr:uid="{00000000-0005-0000-0000-000047620000}"/>
    <cellStyle name="Normal 5 3 3 2 3 4 2 2" xfId="16064" xr:uid="{00000000-0005-0000-0000-000048620000}"/>
    <cellStyle name="Normal 5 3 3 2 3 4 2 2 2" xfId="32379" xr:uid="{00000000-0005-0000-0000-000049620000}"/>
    <cellStyle name="Normal 5 3 3 2 3 4 2 3" xfId="25414" xr:uid="{00000000-0005-0000-0000-00004A620000}"/>
    <cellStyle name="Normal 5 3 3 2 3 4 3" xfId="12143" xr:uid="{00000000-0005-0000-0000-00004B620000}"/>
    <cellStyle name="Normal 5 3 3 2 3 4 3 2" xfId="28718" xr:uid="{00000000-0005-0000-0000-00004C620000}"/>
    <cellStyle name="Normal 5 3 3 2 3 4 4" xfId="5450" xr:uid="{00000000-0005-0000-0000-00004D620000}"/>
    <cellStyle name="Normal 5 3 3 2 3 4 4 2" xfId="22114" xr:uid="{00000000-0005-0000-0000-00004E620000}"/>
    <cellStyle name="Normal 5 3 3 2 3 4 5" xfId="19715" xr:uid="{00000000-0005-0000-0000-00004F620000}"/>
    <cellStyle name="Normal 5 3 3 2 3 5" xfId="7181" xr:uid="{00000000-0005-0000-0000-000050620000}"/>
    <cellStyle name="Normal 5 3 3 2 3 5 2" xfId="14444" xr:uid="{00000000-0005-0000-0000-000051620000}"/>
    <cellStyle name="Normal 5 3 3 2 3 5 2 2" xfId="30759" xr:uid="{00000000-0005-0000-0000-000052620000}"/>
    <cellStyle name="Normal 5 3 3 2 3 5 3" xfId="23794" xr:uid="{00000000-0005-0000-0000-000053620000}"/>
    <cellStyle name="Normal 5 3 3 2 3 6" xfId="10496" xr:uid="{00000000-0005-0000-0000-000054620000}"/>
    <cellStyle name="Normal 5 3 3 2 3 6 2" xfId="27094" xr:uid="{00000000-0005-0000-0000-000055620000}"/>
    <cellStyle name="Normal 5 3 3 2 3 7" xfId="4590" xr:uid="{00000000-0005-0000-0000-000056620000}"/>
    <cellStyle name="Normal 5 3 3 2 3 7 2" xfId="21313" xr:uid="{00000000-0005-0000-0000-000057620000}"/>
    <cellStyle name="Normal 5 3 3 2 3 8" xfId="17955" xr:uid="{00000000-0005-0000-0000-000058620000}"/>
    <cellStyle name="Normal 5 3 3 2 4" xfId="1496" xr:uid="{00000000-0005-0000-0000-000059620000}"/>
    <cellStyle name="Normal 5 3 3 2 4 2" xfId="2993" xr:uid="{00000000-0005-0000-0000-00005A620000}"/>
    <cellStyle name="Normal 5 3 3 2 4 2 2" xfId="6457" xr:uid="{00000000-0005-0000-0000-00005B620000}"/>
    <cellStyle name="Normal 5 3 3 2 4 2 2 2" xfId="9808" xr:uid="{00000000-0005-0000-0000-00005C620000}"/>
    <cellStyle name="Normal 5 3 3 2 4 2 2 2 2" xfId="17071" xr:uid="{00000000-0005-0000-0000-00005D620000}"/>
    <cellStyle name="Normal 5 3 3 2 4 2 2 2 2 2" xfId="33386" xr:uid="{00000000-0005-0000-0000-00005E620000}"/>
    <cellStyle name="Normal 5 3 3 2 4 2 2 2 3" xfId="26421" xr:uid="{00000000-0005-0000-0000-00005F620000}"/>
    <cellStyle name="Normal 5 3 3 2 4 2 2 3" xfId="13150" xr:uid="{00000000-0005-0000-0000-000060620000}"/>
    <cellStyle name="Normal 5 3 3 2 4 2 2 3 2" xfId="29725" xr:uid="{00000000-0005-0000-0000-000061620000}"/>
    <cellStyle name="Normal 5 3 3 2 4 2 2 4" xfId="23121" xr:uid="{00000000-0005-0000-0000-000062620000}"/>
    <cellStyle name="Normal 5 3 3 2 4 2 3" xfId="8187" xr:uid="{00000000-0005-0000-0000-000063620000}"/>
    <cellStyle name="Normal 5 3 3 2 4 2 3 2" xfId="15450" xr:uid="{00000000-0005-0000-0000-000064620000}"/>
    <cellStyle name="Normal 5 3 3 2 4 2 3 2 2" xfId="31765" xr:uid="{00000000-0005-0000-0000-000065620000}"/>
    <cellStyle name="Normal 5 3 3 2 4 2 3 3" xfId="24800" xr:uid="{00000000-0005-0000-0000-000066620000}"/>
    <cellStyle name="Normal 5 3 3 2 4 2 4" xfId="11502" xr:uid="{00000000-0005-0000-0000-000067620000}"/>
    <cellStyle name="Normal 5 3 3 2 4 2 4 2" xfId="28100" xr:uid="{00000000-0005-0000-0000-000068620000}"/>
    <cellStyle name="Normal 5 3 3 2 4 2 5" xfId="4595" xr:uid="{00000000-0005-0000-0000-000069620000}"/>
    <cellStyle name="Normal 5 3 3 2 4 2 5 2" xfId="21318" xr:uid="{00000000-0005-0000-0000-00006A620000}"/>
    <cellStyle name="Normal 5 3 3 2 4 2 6" xfId="19720" xr:uid="{00000000-0005-0000-0000-00006B620000}"/>
    <cellStyle name="Normal 5 3 3 2 4 3" xfId="2992" xr:uid="{00000000-0005-0000-0000-00006C620000}"/>
    <cellStyle name="Normal 5 3 3 2 4 3 2" xfId="8996" xr:uid="{00000000-0005-0000-0000-00006D620000}"/>
    <cellStyle name="Normal 5 3 3 2 4 3 2 2" xfId="16259" xr:uid="{00000000-0005-0000-0000-00006E620000}"/>
    <cellStyle name="Normal 5 3 3 2 4 3 2 2 2" xfId="32574" xr:uid="{00000000-0005-0000-0000-00006F620000}"/>
    <cellStyle name="Normal 5 3 3 2 4 3 2 3" xfId="25609" xr:uid="{00000000-0005-0000-0000-000070620000}"/>
    <cellStyle name="Normal 5 3 3 2 4 3 3" xfId="12338" xr:uid="{00000000-0005-0000-0000-000071620000}"/>
    <cellStyle name="Normal 5 3 3 2 4 3 3 2" xfId="28913" xr:uid="{00000000-0005-0000-0000-000072620000}"/>
    <cellStyle name="Normal 5 3 3 2 4 3 4" xfId="5645" xr:uid="{00000000-0005-0000-0000-000073620000}"/>
    <cellStyle name="Normal 5 3 3 2 4 3 4 2" xfId="22309" xr:uid="{00000000-0005-0000-0000-000074620000}"/>
    <cellStyle name="Normal 5 3 3 2 4 3 5" xfId="19719" xr:uid="{00000000-0005-0000-0000-000075620000}"/>
    <cellStyle name="Normal 5 3 3 2 4 4" xfId="7375" xr:uid="{00000000-0005-0000-0000-000076620000}"/>
    <cellStyle name="Normal 5 3 3 2 4 4 2" xfId="14638" xr:uid="{00000000-0005-0000-0000-000077620000}"/>
    <cellStyle name="Normal 5 3 3 2 4 4 2 2" xfId="30953" xr:uid="{00000000-0005-0000-0000-000078620000}"/>
    <cellStyle name="Normal 5 3 3 2 4 4 3" xfId="23988" xr:uid="{00000000-0005-0000-0000-000079620000}"/>
    <cellStyle name="Normal 5 3 3 2 4 5" xfId="10690" xr:uid="{00000000-0005-0000-0000-00007A620000}"/>
    <cellStyle name="Normal 5 3 3 2 4 5 2" xfId="27288" xr:uid="{00000000-0005-0000-0000-00007B620000}"/>
    <cellStyle name="Normal 5 3 3 2 4 6" xfId="4594" xr:uid="{00000000-0005-0000-0000-00007C620000}"/>
    <cellStyle name="Normal 5 3 3 2 4 6 2" xfId="21317" xr:uid="{00000000-0005-0000-0000-00007D620000}"/>
    <cellStyle name="Normal 5 3 3 2 4 7" xfId="18231" xr:uid="{00000000-0005-0000-0000-00007E620000}"/>
    <cellStyle name="Normal 5 3 3 2 5" xfId="2994" xr:uid="{00000000-0005-0000-0000-00007F620000}"/>
    <cellStyle name="Normal 5 3 3 2 5 2" xfId="6051" xr:uid="{00000000-0005-0000-0000-000080620000}"/>
    <cellStyle name="Normal 5 3 3 2 5 2 2" xfId="9402" xr:uid="{00000000-0005-0000-0000-000081620000}"/>
    <cellStyle name="Normal 5 3 3 2 5 2 2 2" xfId="16665" xr:uid="{00000000-0005-0000-0000-000082620000}"/>
    <cellStyle name="Normal 5 3 3 2 5 2 2 2 2" xfId="32980" xr:uid="{00000000-0005-0000-0000-000083620000}"/>
    <cellStyle name="Normal 5 3 3 2 5 2 2 3" xfId="26015" xr:uid="{00000000-0005-0000-0000-000084620000}"/>
    <cellStyle name="Normal 5 3 3 2 5 2 3" xfId="12744" xr:uid="{00000000-0005-0000-0000-000085620000}"/>
    <cellStyle name="Normal 5 3 3 2 5 2 3 2" xfId="29319" xr:uid="{00000000-0005-0000-0000-000086620000}"/>
    <cellStyle name="Normal 5 3 3 2 5 2 4" xfId="22715" xr:uid="{00000000-0005-0000-0000-000087620000}"/>
    <cellStyle name="Normal 5 3 3 2 5 3" xfId="7781" xr:uid="{00000000-0005-0000-0000-000088620000}"/>
    <cellStyle name="Normal 5 3 3 2 5 3 2" xfId="15044" xr:uid="{00000000-0005-0000-0000-000089620000}"/>
    <cellStyle name="Normal 5 3 3 2 5 3 2 2" xfId="31359" xr:uid="{00000000-0005-0000-0000-00008A620000}"/>
    <cellStyle name="Normal 5 3 3 2 5 3 3" xfId="24394" xr:uid="{00000000-0005-0000-0000-00008B620000}"/>
    <cellStyle name="Normal 5 3 3 2 5 4" xfId="11096" xr:uid="{00000000-0005-0000-0000-00008C620000}"/>
    <cellStyle name="Normal 5 3 3 2 5 4 2" xfId="27694" xr:uid="{00000000-0005-0000-0000-00008D620000}"/>
    <cellStyle name="Normal 5 3 3 2 5 5" xfId="4596" xr:uid="{00000000-0005-0000-0000-00008E620000}"/>
    <cellStyle name="Normal 5 3 3 2 5 5 2" xfId="21319" xr:uid="{00000000-0005-0000-0000-00008F620000}"/>
    <cellStyle name="Normal 5 3 3 2 5 6" xfId="19721" xr:uid="{00000000-0005-0000-0000-000090620000}"/>
    <cellStyle name="Normal 5 3 3 2 6" xfId="2979" xr:uid="{00000000-0005-0000-0000-000091620000}"/>
    <cellStyle name="Normal 5 3 3 2 6 2" xfId="8557" xr:uid="{00000000-0005-0000-0000-000092620000}"/>
    <cellStyle name="Normal 5 3 3 2 6 2 2" xfId="15820" xr:uid="{00000000-0005-0000-0000-000093620000}"/>
    <cellStyle name="Normal 5 3 3 2 6 2 2 2" xfId="32135" xr:uid="{00000000-0005-0000-0000-000094620000}"/>
    <cellStyle name="Normal 5 3 3 2 6 2 3" xfId="25170" xr:uid="{00000000-0005-0000-0000-000095620000}"/>
    <cellStyle name="Normal 5 3 3 2 6 3" xfId="11899" xr:uid="{00000000-0005-0000-0000-000096620000}"/>
    <cellStyle name="Normal 5 3 3 2 6 3 2" xfId="28474" xr:uid="{00000000-0005-0000-0000-000097620000}"/>
    <cellStyle name="Normal 5 3 3 2 6 4" xfId="5206" xr:uid="{00000000-0005-0000-0000-000098620000}"/>
    <cellStyle name="Normal 5 3 3 2 6 4 2" xfId="21870" xr:uid="{00000000-0005-0000-0000-000099620000}"/>
    <cellStyle name="Normal 5 3 3 2 6 5" xfId="19706" xr:uid="{00000000-0005-0000-0000-00009A620000}"/>
    <cellStyle name="Normal 5 3 3 2 7" xfId="6938" xr:uid="{00000000-0005-0000-0000-00009B620000}"/>
    <cellStyle name="Normal 5 3 3 2 7 2" xfId="14201" xr:uid="{00000000-0005-0000-0000-00009C620000}"/>
    <cellStyle name="Normal 5 3 3 2 7 2 2" xfId="30516" xr:uid="{00000000-0005-0000-0000-00009D620000}"/>
    <cellStyle name="Normal 5 3 3 2 7 3" xfId="23551" xr:uid="{00000000-0005-0000-0000-00009E620000}"/>
    <cellStyle name="Normal 5 3 3 2 8" xfId="10252" xr:uid="{00000000-0005-0000-0000-00009F620000}"/>
    <cellStyle name="Normal 5 3 3 2 8 2" xfId="26851" xr:uid="{00000000-0005-0000-0000-0000A0620000}"/>
    <cellStyle name="Normal 5 3 3 2 9" xfId="4581" xr:uid="{00000000-0005-0000-0000-0000A1620000}"/>
    <cellStyle name="Normal 5 3 3 2 9 2" xfId="21304" xr:uid="{00000000-0005-0000-0000-0000A2620000}"/>
    <cellStyle name="Normal 5 3 3 3" xfId="988" xr:uid="{00000000-0005-0000-0000-0000A3620000}"/>
    <cellStyle name="Normal 5 3 3 3 2" xfId="1220" xr:uid="{00000000-0005-0000-0000-0000A4620000}"/>
    <cellStyle name="Normal 5 3 3 3 2 2" xfId="1741" xr:uid="{00000000-0005-0000-0000-0000A5620000}"/>
    <cellStyle name="Normal 5 3 3 3 2 2 2" xfId="2998" xr:uid="{00000000-0005-0000-0000-0000A6620000}"/>
    <cellStyle name="Normal 5 3 3 3 2 2 2 2" xfId="6635" xr:uid="{00000000-0005-0000-0000-0000A7620000}"/>
    <cellStyle name="Normal 5 3 3 3 2 2 2 2 2" xfId="9986" xr:uid="{00000000-0005-0000-0000-0000A8620000}"/>
    <cellStyle name="Normal 5 3 3 3 2 2 2 2 2 2" xfId="17249" xr:uid="{00000000-0005-0000-0000-0000A9620000}"/>
    <cellStyle name="Normal 5 3 3 3 2 2 2 2 2 2 2" xfId="33564" xr:uid="{00000000-0005-0000-0000-0000AA620000}"/>
    <cellStyle name="Normal 5 3 3 3 2 2 2 2 2 3" xfId="26599" xr:uid="{00000000-0005-0000-0000-0000AB620000}"/>
    <cellStyle name="Normal 5 3 3 3 2 2 2 2 3" xfId="13328" xr:uid="{00000000-0005-0000-0000-0000AC620000}"/>
    <cellStyle name="Normal 5 3 3 3 2 2 2 2 3 2" xfId="29903" xr:uid="{00000000-0005-0000-0000-0000AD620000}"/>
    <cellStyle name="Normal 5 3 3 3 2 2 2 2 4" xfId="23299" xr:uid="{00000000-0005-0000-0000-0000AE620000}"/>
    <cellStyle name="Normal 5 3 3 3 2 2 2 3" xfId="8365" xr:uid="{00000000-0005-0000-0000-0000AF620000}"/>
    <cellStyle name="Normal 5 3 3 3 2 2 2 3 2" xfId="15628" xr:uid="{00000000-0005-0000-0000-0000B0620000}"/>
    <cellStyle name="Normal 5 3 3 3 2 2 2 3 2 2" xfId="31943" xr:uid="{00000000-0005-0000-0000-0000B1620000}"/>
    <cellStyle name="Normal 5 3 3 3 2 2 2 3 3" xfId="24978" xr:uid="{00000000-0005-0000-0000-0000B2620000}"/>
    <cellStyle name="Normal 5 3 3 3 2 2 2 4" xfId="11680" xr:uid="{00000000-0005-0000-0000-0000B3620000}"/>
    <cellStyle name="Normal 5 3 3 3 2 2 2 4 2" xfId="28278" xr:uid="{00000000-0005-0000-0000-0000B4620000}"/>
    <cellStyle name="Normal 5 3 3 3 2 2 2 5" xfId="4600" xr:uid="{00000000-0005-0000-0000-0000B5620000}"/>
    <cellStyle name="Normal 5 3 3 3 2 2 2 5 2" xfId="21323" xr:uid="{00000000-0005-0000-0000-0000B6620000}"/>
    <cellStyle name="Normal 5 3 3 3 2 2 2 6" xfId="19725" xr:uid="{00000000-0005-0000-0000-0000B7620000}"/>
    <cellStyle name="Normal 5 3 3 3 2 2 3" xfId="2997" xr:uid="{00000000-0005-0000-0000-0000B8620000}"/>
    <cellStyle name="Normal 5 3 3 3 2 2 3 2" xfId="9210" xr:uid="{00000000-0005-0000-0000-0000B9620000}"/>
    <cellStyle name="Normal 5 3 3 3 2 2 3 2 2" xfId="16473" xr:uid="{00000000-0005-0000-0000-0000BA620000}"/>
    <cellStyle name="Normal 5 3 3 3 2 2 3 2 2 2" xfId="32788" xr:uid="{00000000-0005-0000-0000-0000BB620000}"/>
    <cellStyle name="Normal 5 3 3 3 2 2 3 2 3" xfId="25823" xr:uid="{00000000-0005-0000-0000-0000BC620000}"/>
    <cellStyle name="Normal 5 3 3 3 2 2 3 3" xfId="12552" xr:uid="{00000000-0005-0000-0000-0000BD620000}"/>
    <cellStyle name="Normal 5 3 3 3 2 2 3 3 2" xfId="29127" xr:uid="{00000000-0005-0000-0000-0000BE620000}"/>
    <cellStyle name="Normal 5 3 3 3 2 2 3 4" xfId="5859" xr:uid="{00000000-0005-0000-0000-0000BF620000}"/>
    <cellStyle name="Normal 5 3 3 3 2 2 3 4 2" xfId="22523" xr:uid="{00000000-0005-0000-0000-0000C0620000}"/>
    <cellStyle name="Normal 5 3 3 3 2 2 3 5" xfId="19724" xr:uid="{00000000-0005-0000-0000-0000C1620000}"/>
    <cellStyle name="Normal 5 3 3 3 2 2 4" xfId="7589" xr:uid="{00000000-0005-0000-0000-0000C2620000}"/>
    <cellStyle name="Normal 5 3 3 3 2 2 4 2" xfId="14852" xr:uid="{00000000-0005-0000-0000-0000C3620000}"/>
    <cellStyle name="Normal 5 3 3 3 2 2 4 2 2" xfId="31167" xr:uid="{00000000-0005-0000-0000-0000C4620000}"/>
    <cellStyle name="Normal 5 3 3 3 2 2 4 3" xfId="24202" xr:uid="{00000000-0005-0000-0000-0000C5620000}"/>
    <cellStyle name="Normal 5 3 3 3 2 2 5" xfId="10904" xr:uid="{00000000-0005-0000-0000-0000C6620000}"/>
    <cellStyle name="Normal 5 3 3 3 2 2 5 2" xfId="27502" xr:uid="{00000000-0005-0000-0000-0000C7620000}"/>
    <cellStyle name="Normal 5 3 3 3 2 2 6" xfId="4599" xr:uid="{00000000-0005-0000-0000-0000C8620000}"/>
    <cellStyle name="Normal 5 3 3 3 2 2 6 2" xfId="21322" xr:uid="{00000000-0005-0000-0000-0000C9620000}"/>
    <cellStyle name="Normal 5 3 3 3 2 2 7" xfId="18476" xr:uid="{00000000-0005-0000-0000-0000CA620000}"/>
    <cellStyle name="Normal 5 3 3 3 2 3" xfId="2999" xr:uid="{00000000-0005-0000-0000-0000CB620000}"/>
    <cellStyle name="Normal 5 3 3 3 2 3 2" xfId="6265" xr:uid="{00000000-0005-0000-0000-0000CC620000}"/>
    <cellStyle name="Normal 5 3 3 3 2 3 2 2" xfId="9616" xr:uid="{00000000-0005-0000-0000-0000CD620000}"/>
    <cellStyle name="Normal 5 3 3 3 2 3 2 2 2" xfId="16879" xr:uid="{00000000-0005-0000-0000-0000CE620000}"/>
    <cellStyle name="Normal 5 3 3 3 2 3 2 2 2 2" xfId="33194" xr:uid="{00000000-0005-0000-0000-0000CF620000}"/>
    <cellStyle name="Normal 5 3 3 3 2 3 2 2 3" xfId="26229" xr:uid="{00000000-0005-0000-0000-0000D0620000}"/>
    <cellStyle name="Normal 5 3 3 3 2 3 2 3" xfId="12958" xr:uid="{00000000-0005-0000-0000-0000D1620000}"/>
    <cellStyle name="Normal 5 3 3 3 2 3 2 3 2" xfId="29533" xr:uid="{00000000-0005-0000-0000-0000D2620000}"/>
    <cellStyle name="Normal 5 3 3 3 2 3 2 4" xfId="22929" xr:uid="{00000000-0005-0000-0000-0000D3620000}"/>
    <cellStyle name="Normal 5 3 3 3 2 3 3" xfId="7995" xr:uid="{00000000-0005-0000-0000-0000D4620000}"/>
    <cellStyle name="Normal 5 3 3 3 2 3 3 2" xfId="15258" xr:uid="{00000000-0005-0000-0000-0000D5620000}"/>
    <cellStyle name="Normal 5 3 3 3 2 3 3 2 2" xfId="31573" xr:uid="{00000000-0005-0000-0000-0000D6620000}"/>
    <cellStyle name="Normal 5 3 3 3 2 3 3 3" xfId="24608" xr:uid="{00000000-0005-0000-0000-0000D7620000}"/>
    <cellStyle name="Normal 5 3 3 3 2 3 4" xfId="11310" xr:uid="{00000000-0005-0000-0000-0000D8620000}"/>
    <cellStyle name="Normal 5 3 3 3 2 3 4 2" xfId="27908" xr:uid="{00000000-0005-0000-0000-0000D9620000}"/>
    <cellStyle name="Normal 5 3 3 3 2 3 5" xfId="4601" xr:uid="{00000000-0005-0000-0000-0000DA620000}"/>
    <cellStyle name="Normal 5 3 3 3 2 3 5 2" xfId="21324" xr:uid="{00000000-0005-0000-0000-0000DB620000}"/>
    <cellStyle name="Normal 5 3 3 3 2 3 6" xfId="19726" xr:uid="{00000000-0005-0000-0000-0000DC620000}"/>
    <cellStyle name="Normal 5 3 3 3 2 4" xfId="2996" xr:uid="{00000000-0005-0000-0000-0000DD620000}"/>
    <cellStyle name="Normal 5 3 3 3 2 4 2" xfId="8803" xr:uid="{00000000-0005-0000-0000-0000DE620000}"/>
    <cellStyle name="Normal 5 3 3 3 2 4 2 2" xfId="16066" xr:uid="{00000000-0005-0000-0000-0000DF620000}"/>
    <cellStyle name="Normal 5 3 3 3 2 4 2 2 2" xfId="32381" xr:uid="{00000000-0005-0000-0000-0000E0620000}"/>
    <cellStyle name="Normal 5 3 3 3 2 4 2 3" xfId="25416" xr:uid="{00000000-0005-0000-0000-0000E1620000}"/>
    <cellStyle name="Normal 5 3 3 3 2 4 3" xfId="12145" xr:uid="{00000000-0005-0000-0000-0000E2620000}"/>
    <cellStyle name="Normal 5 3 3 3 2 4 3 2" xfId="28720" xr:uid="{00000000-0005-0000-0000-0000E3620000}"/>
    <cellStyle name="Normal 5 3 3 3 2 4 4" xfId="5452" xr:uid="{00000000-0005-0000-0000-0000E4620000}"/>
    <cellStyle name="Normal 5 3 3 3 2 4 4 2" xfId="22116" xr:uid="{00000000-0005-0000-0000-0000E5620000}"/>
    <cellStyle name="Normal 5 3 3 3 2 4 5" xfId="19723" xr:uid="{00000000-0005-0000-0000-0000E6620000}"/>
    <cellStyle name="Normal 5 3 3 3 2 5" xfId="7183" xr:uid="{00000000-0005-0000-0000-0000E7620000}"/>
    <cellStyle name="Normal 5 3 3 3 2 5 2" xfId="14446" xr:uid="{00000000-0005-0000-0000-0000E8620000}"/>
    <cellStyle name="Normal 5 3 3 3 2 5 2 2" xfId="30761" xr:uid="{00000000-0005-0000-0000-0000E9620000}"/>
    <cellStyle name="Normal 5 3 3 3 2 5 3" xfId="23796" xr:uid="{00000000-0005-0000-0000-0000EA620000}"/>
    <cellStyle name="Normal 5 3 3 3 2 6" xfId="10498" xr:uid="{00000000-0005-0000-0000-0000EB620000}"/>
    <cellStyle name="Normal 5 3 3 3 2 6 2" xfId="27096" xr:uid="{00000000-0005-0000-0000-0000EC620000}"/>
    <cellStyle name="Normal 5 3 3 3 2 7" xfId="4598" xr:uid="{00000000-0005-0000-0000-0000ED620000}"/>
    <cellStyle name="Normal 5 3 3 3 2 7 2" xfId="21321" xr:uid="{00000000-0005-0000-0000-0000EE620000}"/>
    <cellStyle name="Normal 5 3 3 3 2 8" xfId="17957" xr:uid="{00000000-0005-0000-0000-0000EF620000}"/>
    <cellStyle name="Normal 5 3 3 3 3" xfId="1549" xr:uid="{00000000-0005-0000-0000-0000F0620000}"/>
    <cellStyle name="Normal 5 3 3 3 3 2" xfId="3001" xr:uid="{00000000-0005-0000-0000-0000F1620000}"/>
    <cellStyle name="Normal 5 3 3 3 3 2 2" xfId="6459" xr:uid="{00000000-0005-0000-0000-0000F2620000}"/>
    <cellStyle name="Normal 5 3 3 3 3 2 2 2" xfId="9810" xr:uid="{00000000-0005-0000-0000-0000F3620000}"/>
    <cellStyle name="Normal 5 3 3 3 3 2 2 2 2" xfId="17073" xr:uid="{00000000-0005-0000-0000-0000F4620000}"/>
    <cellStyle name="Normal 5 3 3 3 3 2 2 2 2 2" xfId="33388" xr:uid="{00000000-0005-0000-0000-0000F5620000}"/>
    <cellStyle name="Normal 5 3 3 3 3 2 2 2 3" xfId="26423" xr:uid="{00000000-0005-0000-0000-0000F6620000}"/>
    <cellStyle name="Normal 5 3 3 3 3 2 2 3" xfId="13152" xr:uid="{00000000-0005-0000-0000-0000F7620000}"/>
    <cellStyle name="Normal 5 3 3 3 3 2 2 3 2" xfId="29727" xr:uid="{00000000-0005-0000-0000-0000F8620000}"/>
    <cellStyle name="Normal 5 3 3 3 3 2 2 4" xfId="23123" xr:uid="{00000000-0005-0000-0000-0000F9620000}"/>
    <cellStyle name="Normal 5 3 3 3 3 2 3" xfId="8189" xr:uid="{00000000-0005-0000-0000-0000FA620000}"/>
    <cellStyle name="Normal 5 3 3 3 3 2 3 2" xfId="15452" xr:uid="{00000000-0005-0000-0000-0000FB620000}"/>
    <cellStyle name="Normal 5 3 3 3 3 2 3 2 2" xfId="31767" xr:uid="{00000000-0005-0000-0000-0000FC620000}"/>
    <cellStyle name="Normal 5 3 3 3 3 2 3 3" xfId="24802" xr:uid="{00000000-0005-0000-0000-0000FD620000}"/>
    <cellStyle name="Normal 5 3 3 3 3 2 4" xfId="11504" xr:uid="{00000000-0005-0000-0000-0000FE620000}"/>
    <cellStyle name="Normal 5 3 3 3 3 2 4 2" xfId="28102" xr:uid="{00000000-0005-0000-0000-0000FF620000}"/>
    <cellStyle name="Normal 5 3 3 3 3 2 5" xfId="4603" xr:uid="{00000000-0005-0000-0000-000000630000}"/>
    <cellStyle name="Normal 5 3 3 3 3 2 5 2" xfId="21326" xr:uid="{00000000-0005-0000-0000-000001630000}"/>
    <cellStyle name="Normal 5 3 3 3 3 2 6" xfId="19728" xr:uid="{00000000-0005-0000-0000-000002630000}"/>
    <cellStyle name="Normal 5 3 3 3 3 3" xfId="3000" xr:uid="{00000000-0005-0000-0000-000003630000}"/>
    <cellStyle name="Normal 5 3 3 3 3 3 2" xfId="8998" xr:uid="{00000000-0005-0000-0000-000004630000}"/>
    <cellStyle name="Normal 5 3 3 3 3 3 2 2" xfId="16261" xr:uid="{00000000-0005-0000-0000-000005630000}"/>
    <cellStyle name="Normal 5 3 3 3 3 3 2 2 2" xfId="32576" xr:uid="{00000000-0005-0000-0000-000006630000}"/>
    <cellStyle name="Normal 5 3 3 3 3 3 2 3" xfId="25611" xr:uid="{00000000-0005-0000-0000-000007630000}"/>
    <cellStyle name="Normal 5 3 3 3 3 3 3" xfId="12340" xr:uid="{00000000-0005-0000-0000-000008630000}"/>
    <cellStyle name="Normal 5 3 3 3 3 3 3 2" xfId="28915" xr:uid="{00000000-0005-0000-0000-000009630000}"/>
    <cellStyle name="Normal 5 3 3 3 3 3 4" xfId="5647" xr:uid="{00000000-0005-0000-0000-00000A630000}"/>
    <cellStyle name="Normal 5 3 3 3 3 3 4 2" xfId="22311" xr:uid="{00000000-0005-0000-0000-00000B630000}"/>
    <cellStyle name="Normal 5 3 3 3 3 3 5" xfId="19727" xr:uid="{00000000-0005-0000-0000-00000C630000}"/>
    <cellStyle name="Normal 5 3 3 3 3 4" xfId="7377" xr:uid="{00000000-0005-0000-0000-00000D630000}"/>
    <cellStyle name="Normal 5 3 3 3 3 4 2" xfId="14640" xr:uid="{00000000-0005-0000-0000-00000E630000}"/>
    <cellStyle name="Normal 5 3 3 3 3 4 2 2" xfId="30955" xr:uid="{00000000-0005-0000-0000-00000F630000}"/>
    <cellStyle name="Normal 5 3 3 3 3 4 3" xfId="23990" xr:uid="{00000000-0005-0000-0000-000010630000}"/>
    <cellStyle name="Normal 5 3 3 3 3 5" xfId="10692" xr:uid="{00000000-0005-0000-0000-000011630000}"/>
    <cellStyle name="Normal 5 3 3 3 3 5 2" xfId="27290" xr:uid="{00000000-0005-0000-0000-000012630000}"/>
    <cellStyle name="Normal 5 3 3 3 3 6" xfId="4602" xr:uid="{00000000-0005-0000-0000-000013630000}"/>
    <cellStyle name="Normal 5 3 3 3 3 6 2" xfId="21325" xr:uid="{00000000-0005-0000-0000-000014630000}"/>
    <cellStyle name="Normal 5 3 3 3 3 7" xfId="18284" xr:uid="{00000000-0005-0000-0000-000015630000}"/>
    <cellStyle name="Normal 5 3 3 3 4" xfId="3002" xr:uid="{00000000-0005-0000-0000-000016630000}"/>
    <cellStyle name="Normal 5 3 3 3 4 2" xfId="6053" xr:uid="{00000000-0005-0000-0000-000017630000}"/>
    <cellStyle name="Normal 5 3 3 3 4 2 2" xfId="9404" xr:uid="{00000000-0005-0000-0000-000018630000}"/>
    <cellStyle name="Normal 5 3 3 3 4 2 2 2" xfId="16667" xr:uid="{00000000-0005-0000-0000-000019630000}"/>
    <cellStyle name="Normal 5 3 3 3 4 2 2 2 2" xfId="32982" xr:uid="{00000000-0005-0000-0000-00001A630000}"/>
    <cellStyle name="Normal 5 3 3 3 4 2 2 3" xfId="26017" xr:uid="{00000000-0005-0000-0000-00001B630000}"/>
    <cellStyle name="Normal 5 3 3 3 4 2 3" xfId="12746" xr:uid="{00000000-0005-0000-0000-00001C630000}"/>
    <cellStyle name="Normal 5 3 3 3 4 2 3 2" xfId="29321" xr:uid="{00000000-0005-0000-0000-00001D630000}"/>
    <cellStyle name="Normal 5 3 3 3 4 2 4" xfId="22717" xr:uid="{00000000-0005-0000-0000-00001E630000}"/>
    <cellStyle name="Normal 5 3 3 3 4 3" xfId="7783" xr:uid="{00000000-0005-0000-0000-00001F630000}"/>
    <cellStyle name="Normal 5 3 3 3 4 3 2" xfId="15046" xr:uid="{00000000-0005-0000-0000-000020630000}"/>
    <cellStyle name="Normal 5 3 3 3 4 3 2 2" xfId="31361" xr:uid="{00000000-0005-0000-0000-000021630000}"/>
    <cellStyle name="Normal 5 3 3 3 4 3 3" xfId="24396" xr:uid="{00000000-0005-0000-0000-000022630000}"/>
    <cellStyle name="Normal 5 3 3 3 4 4" xfId="11098" xr:uid="{00000000-0005-0000-0000-000023630000}"/>
    <cellStyle name="Normal 5 3 3 3 4 4 2" xfId="27696" xr:uid="{00000000-0005-0000-0000-000024630000}"/>
    <cellStyle name="Normal 5 3 3 3 4 5" xfId="4604" xr:uid="{00000000-0005-0000-0000-000025630000}"/>
    <cellStyle name="Normal 5 3 3 3 4 5 2" xfId="21327" xr:uid="{00000000-0005-0000-0000-000026630000}"/>
    <cellStyle name="Normal 5 3 3 3 4 6" xfId="19729" xr:uid="{00000000-0005-0000-0000-000027630000}"/>
    <cellStyle name="Normal 5 3 3 3 5" xfId="2995" xr:uid="{00000000-0005-0000-0000-000028630000}"/>
    <cellStyle name="Normal 5 3 3 3 5 2" xfId="8610" xr:uid="{00000000-0005-0000-0000-000029630000}"/>
    <cellStyle name="Normal 5 3 3 3 5 2 2" xfId="15873" xr:uid="{00000000-0005-0000-0000-00002A630000}"/>
    <cellStyle name="Normal 5 3 3 3 5 2 2 2" xfId="32188" xr:uid="{00000000-0005-0000-0000-00002B630000}"/>
    <cellStyle name="Normal 5 3 3 3 5 2 3" xfId="25223" xr:uid="{00000000-0005-0000-0000-00002C630000}"/>
    <cellStyle name="Normal 5 3 3 3 5 3" xfId="11952" xr:uid="{00000000-0005-0000-0000-00002D630000}"/>
    <cellStyle name="Normal 5 3 3 3 5 3 2" xfId="28527" xr:uid="{00000000-0005-0000-0000-00002E630000}"/>
    <cellStyle name="Normal 5 3 3 3 5 4" xfId="5259" xr:uid="{00000000-0005-0000-0000-00002F630000}"/>
    <cellStyle name="Normal 5 3 3 3 5 4 2" xfId="21923" xr:uid="{00000000-0005-0000-0000-000030630000}"/>
    <cellStyle name="Normal 5 3 3 3 5 5" xfId="19722" xr:uid="{00000000-0005-0000-0000-000031630000}"/>
    <cellStyle name="Normal 5 3 3 3 6" xfId="6991" xr:uid="{00000000-0005-0000-0000-000032630000}"/>
    <cellStyle name="Normal 5 3 3 3 6 2" xfId="14254" xr:uid="{00000000-0005-0000-0000-000033630000}"/>
    <cellStyle name="Normal 5 3 3 3 6 2 2" xfId="30569" xr:uid="{00000000-0005-0000-0000-000034630000}"/>
    <cellStyle name="Normal 5 3 3 3 6 3" xfId="23604" xr:uid="{00000000-0005-0000-0000-000035630000}"/>
    <cellStyle name="Normal 5 3 3 3 7" xfId="10305" xr:uid="{00000000-0005-0000-0000-000036630000}"/>
    <cellStyle name="Normal 5 3 3 3 7 2" xfId="26904" xr:uid="{00000000-0005-0000-0000-000037630000}"/>
    <cellStyle name="Normal 5 3 3 3 8" xfId="4597" xr:uid="{00000000-0005-0000-0000-000038630000}"/>
    <cellStyle name="Normal 5 3 3 3 8 2" xfId="21320" xr:uid="{00000000-0005-0000-0000-000039630000}"/>
    <cellStyle name="Normal 5 3 3 3 9" xfId="17765" xr:uid="{00000000-0005-0000-0000-00003A630000}"/>
    <cellStyle name="Normal 5 3 3 4" xfId="1217" xr:uid="{00000000-0005-0000-0000-00003B630000}"/>
    <cellStyle name="Normal 5 3 3 4 2" xfId="1738" xr:uid="{00000000-0005-0000-0000-00003C630000}"/>
    <cellStyle name="Normal 5 3 3 4 2 2" xfId="3005" xr:uid="{00000000-0005-0000-0000-00003D630000}"/>
    <cellStyle name="Normal 5 3 3 4 2 2 2" xfId="6632" xr:uid="{00000000-0005-0000-0000-00003E630000}"/>
    <cellStyle name="Normal 5 3 3 4 2 2 2 2" xfId="9983" xr:uid="{00000000-0005-0000-0000-00003F630000}"/>
    <cellStyle name="Normal 5 3 3 4 2 2 2 2 2" xfId="17246" xr:uid="{00000000-0005-0000-0000-000040630000}"/>
    <cellStyle name="Normal 5 3 3 4 2 2 2 2 2 2" xfId="33561" xr:uid="{00000000-0005-0000-0000-000041630000}"/>
    <cellStyle name="Normal 5 3 3 4 2 2 2 2 3" xfId="26596" xr:uid="{00000000-0005-0000-0000-000042630000}"/>
    <cellStyle name="Normal 5 3 3 4 2 2 2 3" xfId="13325" xr:uid="{00000000-0005-0000-0000-000043630000}"/>
    <cellStyle name="Normal 5 3 3 4 2 2 2 3 2" xfId="29900" xr:uid="{00000000-0005-0000-0000-000044630000}"/>
    <cellStyle name="Normal 5 3 3 4 2 2 2 4" xfId="23296" xr:uid="{00000000-0005-0000-0000-000045630000}"/>
    <cellStyle name="Normal 5 3 3 4 2 2 3" xfId="8362" xr:uid="{00000000-0005-0000-0000-000046630000}"/>
    <cellStyle name="Normal 5 3 3 4 2 2 3 2" xfId="15625" xr:uid="{00000000-0005-0000-0000-000047630000}"/>
    <cellStyle name="Normal 5 3 3 4 2 2 3 2 2" xfId="31940" xr:uid="{00000000-0005-0000-0000-000048630000}"/>
    <cellStyle name="Normal 5 3 3 4 2 2 3 3" xfId="24975" xr:uid="{00000000-0005-0000-0000-000049630000}"/>
    <cellStyle name="Normal 5 3 3 4 2 2 4" xfId="11677" xr:uid="{00000000-0005-0000-0000-00004A630000}"/>
    <cellStyle name="Normal 5 3 3 4 2 2 4 2" xfId="28275" xr:uid="{00000000-0005-0000-0000-00004B630000}"/>
    <cellStyle name="Normal 5 3 3 4 2 2 5" xfId="4607" xr:uid="{00000000-0005-0000-0000-00004C630000}"/>
    <cellStyle name="Normal 5 3 3 4 2 2 5 2" xfId="21330" xr:uid="{00000000-0005-0000-0000-00004D630000}"/>
    <cellStyle name="Normal 5 3 3 4 2 2 6" xfId="19732" xr:uid="{00000000-0005-0000-0000-00004E630000}"/>
    <cellStyle name="Normal 5 3 3 4 2 3" xfId="3004" xr:uid="{00000000-0005-0000-0000-00004F630000}"/>
    <cellStyle name="Normal 5 3 3 4 2 3 2" xfId="9207" xr:uid="{00000000-0005-0000-0000-000050630000}"/>
    <cellStyle name="Normal 5 3 3 4 2 3 2 2" xfId="16470" xr:uid="{00000000-0005-0000-0000-000051630000}"/>
    <cellStyle name="Normal 5 3 3 4 2 3 2 2 2" xfId="32785" xr:uid="{00000000-0005-0000-0000-000052630000}"/>
    <cellStyle name="Normal 5 3 3 4 2 3 2 3" xfId="25820" xr:uid="{00000000-0005-0000-0000-000053630000}"/>
    <cellStyle name="Normal 5 3 3 4 2 3 3" xfId="12549" xr:uid="{00000000-0005-0000-0000-000054630000}"/>
    <cellStyle name="Normal 5 3 3 4 2 3 3 2" xfId="29124" xr:uid="{00000000-0005-0000-0000-000055630000}"/>
    <cellStyle name="Normal 5 3 3 4 2 3 4" xfId="5856" xr:uid="{00000000-0005-0000-0000-000056630000}"/>
    <cellStyle name="Normal 5 3 3 4 2 3 4 2" xfId="22520" xr:uid="{00000000-0005-0000-0000-000057630000}"/>
    <cellStyle name="Normal 5 3 3 4 2 3 5" xfId="19731" xr:uid="{00000000-0005-0000-0000-000058630000}"/>
    <cellStyle name="Normal 5 3 3 4 2 4" xfId="7586" xr:uid="{00000000-0005-0000-0000-000059630000}"/>
    <cellStyle name="Normal 5 3 3 4 2 4 2" xfId="14849" xr:uid="{00000000-0005-0000-0000-00005A630000}"/>
    <cellStyle name="Normal 5 3 3 4 2 4 2 2" xfId="31164" xr:uid="{00000000-0005-0000-0000-00005B630000}"/>
    <cellStyle name="Normal 5 3 3 4 2 4 3" xfId="24199" xr:uid="{00000000-0005-0000-0000-00005C630000}"/>
    <cellStyle name="Normal 5 3 3 4 2 5" xfId="10901" xr:uid="{00000000-0005-0000-0000-00005D630000}"/>
    <cellStyle name="Normal 5 3 3 4 2 5 2" xfId="27499" xr:uid="{00000000-0005-0000-0000-00005E630000}"/>
    <cellStyle name="Normal 5 3 3 4 2 6" xfId="4606" xr:uid="{00000000-0005-0000-0000-00005F630000}"/>
    <cellStyle name="Normal 5 3 3 4 2 6 2" xfId="21329" xr:uid="{00000000-0005-0000-0000-000060630000}"/>
    <cellStyle name="Normal 5 3 3 4 2 7" xfId="18473" xr:uid="{00000000-0005-0000-0000-000061630000}"/>
    <cellStyle name="Normal 5 3 3 4 3" xfId="3006" xr:uid="{00000000-0005-0000-0000-000062630000}"/>
    <cellStyle name="Normal 5 3 3 4 3 2" xfId="6262" xr:uid="{00000000-0005-0000-0000-000063630000}"/>
    <cellStyle name="Normal 5 3 3 4 3 2 2" xfId="9613" xr:uid="{00000000-0005-0000-0000-000064630000}"/>
    <cellStyle name="Normal 5 3 3 4 3 2 2 2" xfId="16876" xr:uid="{00000000-0005-0000-0000-000065630000}"/>
    <cellStyle name="Normal 5 3 3 4 3 2 2 2 2" xfId="33191" xr:uid="{00000000-0005-0000-0000-000066630000}"/>
    <cellStyle name="Normal 5 3 3 4 3 2 2 3" xfId="26226" xr:uid="{00000000-0005-0000-0000-000067630000}"/>
    <cellStyle name="Normal 5 3 3 4 3 2 3" xfId="12955" xr:uid="{00000000-0005-0000-0000-000068630000}"/>
    <cellStyle name="Normal 5 3 3 4 3 2 3 2" xfId="29530" xr:uid="{00000000-0005-0000-0000-000069630000}"/>
    <cellStyle name="Normal 5 3 3 4 3 2 4" xfId="22926" xr:uid="{00000000-0005-0000-0000-00006A630000}"/>
    <cellStyle name="Normal 5 3 3 4 3 3" xfId="7992" xr:uid="{00000000-0005-0000-0000-00006B630000}"/>
    <cellStyle name="Normal 5 3 3 4 3 3 2" xfId="15255" xr:uid="{00000000-0005-0000-0000-00006C630000}"/>
    <cellStyle name="Normal 5 3 3 4 3 3 2 2" xfId="31570" xr:uid="{00000000-0005-0000-0000-00006D630000}"/>
    <cellStyle name="Normal 5 3 3 4 3 3 3" xfId="24605" xr:uid="{00000000-0005-0000-0000-00006E630000}"/>
    <cellStyle name="Normal 5 3 3 4 3 4" xfId="11307" xr:uid="{00000000-0005-0000-0000-00006F630000}"/>
    <cellStyle name="Normal 5 3 3 4 3 4 2" xfId="27905" xr:uid="{00000000-0005-0000-0000-000070630000}"/>
    <cellStyle name="Normal 5 3 3 4 3 5" xfId="4608" xr:uid="{00000000-0005-0000-0000-000071630000}"/>
    <cellStyle name="Normal 5 3 3 4 3 5 2" xfId="21331" xr:uid="{00000000-0005-0000-0000-000072630000}"/>
    <cellStyle name="Normal 5 3 3 4 3 6" xfId="19733" xr:uid="{00000000-0005-0000-0000-000073630000}"/>
    <cellStyle name="Normal 5 3 3 4 4" xfId="3003" xr:uid="{00000000-0005-0000-0000-000074630000}"/>
    <cellStyle name="Normal 5 3 3 4 4 2" xfId="8800" xr:uid="{00000000-0005-0000-0000-000075630000}"/>
    <cellStyle name="Normal 5 3 3 4 4 2 2" xfId="16063" xr:uid="{00000000-0005-0000-0000-000076630000}"/>
    <cellStyle name="Normal 5 3 3 4 4 2 2 2" xfId="32378" xr:uid="{00000000-0005-0000-0000-000077630000}"/>
    <cellStyle name="Normal 5 3 3 4 4 2 3" xfId="25413" xr:uid="{00000000-0005-0000-0000-000078630000}"/>
    <cellStyle name="Normal 5 3 3 4 4 3" xfId="12142" xr:uid="{00000000-0005-0000-0000-000079630000}"/>
    <cellStyle name="Normal 5 3 3 4 4 3 2" xfId="28717" xr:uid="{00000000-0005-0000-0000-00007A630000}"/>
    <cellStyle name="Normal 5 3 3 4 4 4" xfId="5449" xr:uid="{00000000-0005-0000-0000-00007B630000}"/>
    <cellStyle name="Normal 5 3 3 4 4 4 2" xfId="22113" xr:uid="{00000000-0005-0000-0000-00007C630000}"/>
    <cellStyle name="Normal 5 3 3 4 4 5" xfId="19730" xr:uid="{00000000-0005-0000-0000-00007D630000}"/>
    <cellStyle name="Normal 5 3 3 4 5" xfId="7180" xr:uid="{00000000-0005-0000-0000-00007E630000}"/>
    <cellStyle name="Normal 5 3 3 4 5 2" xfId="14443" xr:uid="{00000000-0005-0000-0000-00007F630000}"/>
    <cellStyle name="Normal 5 3 3 4 5 2 2" xfId="30758" xr:uid="{00000000-0005-0000-0000-000080630000}"/>
    <cellStyle name="Normal 5 3 3 4 5 3" xfId="23793" xr:uid="{00000000-0005-0000-0000-000081630000}"/>
    <cellStyle name="Normal 5 3 3 4 6" xfId="10495" xr:uid="{00000000-0005-0000-0000-000082630000}"/>
    <cellStyle name="Normal 5 3 3 4 6 2" xfId="27093" xr:uid="{00000000-0005-0000-0000-000083630000}"/>
    <cellStyle name="Normal 5 3 3 4 7" xfId="4605" xr:uid="{00000000-0005-0000-0000-000084630000}"/>
    <cellStyle name="Normal 5 3 3 4 7 2" xfId="21328" xr:uid="{00000000-0005-0000-0000-000085630000}"/>
    <cellStyle name="Normal 5 3 3 4 8" xfId="17954" xr:uid="{00000000-0005-0000-0000-000086630000}"/>
    <cellStyle name="Normal 5 3 3 5" xfId="1443" xr:uid="{00000000-0005-0000-0000-000087630000}"/>
    <cellStyle name="Normal 5 3 3 5 2" xfId="3008" xr:uid="{00000000-0005-0000-0000-000088630000}"/>
    <cellStyle name="Normal 5 3 3 5 2 2" xfId="6456" xr:uid="{00000000-0005-0000-0000-000089630000}"/>
    <cellStyle name="Normal 5 3 3 5 2 2 2" xfId="9807" xr:uid="{00000000-0005-0000-0000-00008A630000}"/>
    <cellStyle name="Normal 5 3 3 5 2 2 2 2" xfId="17070" xr:uid="{00000000-0005-0000-0000-00008B630000}"/>
    <cellStyle name="Normal 5 3 3 5 2 2 2 2 2" xfId="33385" xr:uid="{00000000-0005-0000-0000-00008C630000}"/>
    <cellStyle name="Normal 5 3 3 5 2 2 2 3" xfId="26420" xr:uid="{00000000-0005-0000-0000-00008D630000}"/>
    <cellStyle name="Normal 5 3 3 5 2 2 3" xfId="13149" xr:uid="{00000000-0005-0000-0000-00008E630000}"/>
    <cellStyle name="Normal 5 3 3 5 2 2 3 2" xfId="29724" xr:uid="{00000000-0005-0000-0000-00008F630000}"/>
    <cellStyle name="Normal 5 3 3 5 2 2 4" xfId="23120" xr:uid="{00000000-0005-0000-0000-000090630000}"/>
    <cellStyle name="Normal 5 3 3 5 2 3" xfId="8186" xr:uid="{00000000-0005-0000-0000-000091630000}"/>
    <cellStyle name="Normal 5 3 3 5 2 3 2" xfId="15449" xr:uid="{00000000-0005-0000-0000-000092630000}"/>
    <cellStyle name="Normal 5 3 3 5 2 3 2 2" xfId="31764" xr:uid="{00000000-0005-0000-0000-000093630000}"/>
    <cellStyle name="Normal 5 3 3 5 2 3 3" xfId="24799" xr:uid="{00000000-0005-0000-0000-000094630000}"/>
    <cellStyle name="Normal 5 3 3 5 2 4" xfId="11501" xr:uid="{00000000-0005-0000-0000-000095630000}"/>
    <cellStyle name="Normal 5 3 3 5 2 4 2" xfId="28099" xr:uid="{00000000-0005-0000-0000-000096630000}"/>
    <cellStyle name="Normal 5 3 3 5 2 5" xfId="4610" xr:uid="{00000000-0005-0000-0000-000097630000}"/>
    <cellStyle name="Normal 5 3 3 5 2 5 2" xfId="21333" xr:uid="{00000000-0005-0000-0000-000098630000}"/>
    <cellStyle name="Normal 5 3 3 5 2 6" xfId="19735" xr:uid="{00000000-0005-0000-0000-000099630000}"/>
    <cellStyle name="Normal 5 3 3 5 3" xfId="3007" xr:uid="{00000000-0005-0000-0000-00009A630000}"/>
    <cellStyle name="Normal 5 3 3 5 3 2" xfId="8995" xr:uid="{00000000-0005-0000-0000-00009B630000}"/>
    <cellStyle name="Normal 5 3 3 5 3 2 2" xfId="16258" xr:uid="{00000000-0005-0000-0000-00009C630000}"/>
    <cellStyle name="Normal 5 3 3 5 3 2 2 2" xfId="32573" xr:uid="{00000000-0005-0000-0000-00009D630000}"/>
    <cellStyle name="Normal 5 3 3 5 3 2 3" xfId="25608" xr:uid="{00000000-0005-0000-0000-00009E630000}"/>
    <cellStyle name="Normal 5 3 3 5 3 3" xfId="12337" xr:uid="{00000000-0005-0000-0000-00009F630000}"/>
    <cellStyle name="Normal 5 3 3 5 3 3 2" xfId="28912" xr:uid="{00000000-0005-0000-0000-0000A0630000}"/>
    <cellStyle name="Normal 5 3 3 5 3 4" xfId="5644" xr:uid="{00000000-0005-0000-0000-0000A1630000}"/>
    <cellStyle name="Normal 5 3 3 5 3 4 2" xfId="22308" xr:uid="{00000000-0005-0000-0000-0000A2630000}"/>
    <cellStyle name="Normal 5 3 3 5 3 5" xfId="19734" xr:uid="{00000000-0005-0000-0000-0000A3630000}"/>
    <cellStyle name="Normal 5 3 3 5 4" xfId="7374" xr:uid="{00000000-0005-0000-0000-0000A4630000}"/>
    <cellStyle name="Normal 5 3 3 5 4 2" xfId="14637" xr:uid="{00000000-0005-0000-0000-0000A5630000}"/>
    <cellStyle name="Normal 5 3 3 5 4 2 2" xfId="30952" xr:uid="{00000000-0005-0000-0000-0000A6630000}"/>
    <cellStyle name="Normal 5 3 3 5 4 3" xfId="23987" xr:uid="{00000000-0005-0000-0000-0000A7630000}"/>
    <cellStyle name="Normal 5 3 3 5 5" xfId="10689" xr:uid="{00000000-0005-0000-0000-0000A8630000}"/>
    <cellStyle name="Normal 5 3 3 5 5 2" xfId="27287" xr:uid="{00000000-0005-0000-0000-0000A9630000}"/>
    <cellStyle name="Normal 5 3 3 5 6" xfId="4609" xr:uid="{00000000-0005-0000-0000-0000AA630000}"/>
    <cellStyle name="Normal 5 3 3 5 6 2" xfId="21332" xr:uid="{00000000-0005-0000-0000-0000AB630000}"/>
    <cellStyle name="Normal 5 3 3 5 7" xfId="18178" xr:uid="{00000000-0005-0000-0000-0000AC630000}"/>
    <cellStyle name="Normal 5 3 3 6" xfId="3009" xr:uid="{00000000-0005-0000-0000-0000AD630000}"/>
    <cellStyle name="Normal 5 3 3 6 2" xfId="6050" xr:uid="{00000000-0005-0000-0000-0000AE630000}"/>
    <cellStyle name="Normal 5 3 3 6 2 2" xfId="9401" xr:uid="{00000000-0005-0000-0000-0000AF630000}"/>
    <cellStyle name="Normal 5 3 3 6 2 2 2" xfId="16664" xr:uid="{00000000-0005-0000-0000-0000B0630000}"/>
    <cellStyle name="Normal 5 3 3 6 2 2 2 2" xfId="32979" xr:uid="{00000000-0005-0000-0000-0000B1630000}"/>
    <cellStyle name="Normal 5 3 3 6 2 2 3" xfId="26014" xr:uid="{00000000-0005-0000-0000-0000B2630000}"/>
    <cellStyle name="Normal 5 3 3 6 2 3" xfId="12743" xr:uid="{00000000-0005-0000-0000-0000B3630000}"/>
    <cellStyle name="Normal 5 3 3 6 2 3 2" xfId="29318" xr:uid="{00000000-0005-0000-0000-0000B4630000}"/>
    <cellStyle name="Normal 5 3 3 6 2 4" xfId="22714" xr:uid="{00000000-0005-0000-0000-0000B5630000}"/>
    <cellStyle name="Normal 5 3 3 6 3" xfId="7780" xr:uid="{00000000-0005-0000-0000-0000B6630000}"/>
    <cellStyle name="Normal 5 3 3 6 3 2" xfId="15043" xr:uid="{00000000-0005-0000-0000-0000B7630000}"/>
    <cellStyle name="Normal 5 3 3 6 3 2 2" xfId="31358" xr:uid="{00000000-0005-0000-0000-0000B8630000}"/>
    <cellStyle name="Normal 5 3 3 6 3 3" xfId="24393" xr:uid="{00000000-0005-0000-0000-0000B9630000}"/>
    <cellStyle name="Normal 5 3 3 6 4" xfId="11095" xr:uid="{00000000-0005-0000-0000-0000BA630000}"/>
    <cellStyle name="Normal 5 3 3 6 4 2" xfId="27693" xr:uid="{00000000-0005-0000-0000-0000BB630000}"/>
    <cellStyle name="Normal 5 3 3 6 5" xfId="4611" xr:uid="{00000000-0005-0000-0000-0000BC630000}"/>
    <cellStyle name="Normal 5 3 3 6 5 2" xfId="21334" xr:uid="{00000000-0005-0000-0000-0000BD630000}"/>
    <cellStyle name="Normal 5 3 3 6 6" xfId="19736" xr:uid="{00000000-0005-0000-0000-0000BE630000}"/>
    <cellStyle name="Normal 5 3 3 7" xfId="2978" xr:uid="{00000000-0005-0000-0000-0000BF630000}"/>
    <cellStyle name="Normal 5 3 3 7 2" xfId="8504" xr:uid="{00000000-0005-0000-0000-0000C0630000}"/>
    <cellStyle name="Normal 5 3 3 7 2 2" xfId="15767" xr:uid="{00000000-0005-0000-0000-0000C1630000}"/>
    <cellStyle name="Normal 5 3 3 7 2 2 2" xfId="32082" xr:uid="{00000000-0005-0000-0000-0000C2630000}"/>
    <cellStyle name="Normal 5 3 3 7 2 3" xfId="25117" xr:uid="{00000000-0005-0000-0000-0000C3630000}"/>
    <cellStyle name="Normal 5 3 3 7 3" xfId="11846" xr:uid="{00000000-0005-0000-0000-0000C4630000}"/>
    <cellStyle name="Normal 5 3 3 7 3 2" xfId="28421" xr:uid="{00000000-0005-0000-0000-0000C5630000}"/>
    <cellStyle name="Normal 5 3 3 7 4" xfId="5153" xr:uid="{00000000-0005-0000-0000-0000C6630000}"/>
    <cellStyle name="Normal 5 3 3 7 4 2" xfId="21817" xr:uid="{00000000-0005-0000-0000-0000C7630000}"/>
    <cellStyle name="Normal 5 3 3 7 5" xfId="19705" xr:uid="{00000000-0005-0000-0000-0000C8630000}"/>
    <cellStyle name="Normal 5 3 3 8" xfId="6885" xr:uid="{00000000-0005-0000-0000-0000C9630000}"/>
    <cellStyle name="Normal 5 3 3 8 2" xfId="14148" xr:uid="{00000000-0005-0000-0000-0000CA630000}"/>
    <cellStyle name="Normal 5 3 3 8 2 2" xfId="30463" xr:uid="{00000000-0005-0000-0000-0000CB630000}"/>
    <cellStyle name="Normal 5 3 3 8 3" xfId="23498" xr:uid="{00000000-0005-0000-0000-0000CC630000}"/>
    <cellStyle name="Normal 5 3 3 9" xfId="10199" xr:uid="{00000000-0005-0000-0000-0000CD630000}"/>
    <cellStyle name="Normal 5 3 3 9 2" xfId="26798" xr:uid="{00000000-0005-0000-0000-0000CE630000}"/>
    <cellStyle name="Normal 5 3 4" xfId="3010" xr:uid="{00000000-0005-0000-0000-0000CF630000}"/>
    <cellStyle name="Normal 5 3 4 2" xfId="3011" xr:uid="{00000000-0005-0000-0000-0000D0630000}"/>
    <cellStyle name="Normal 5 3 4 2 2" xfId="3012" xr:uid="{00000000-0005-0000-0000-0000D1630000}"/>
    <cellStyle name="Normal 5 3 4 2 2 2" xfId="6689" xr:uid="{00000000-0005-0000-0000-0000D2630000}"/>
    <cellStyle name="Normal 5 3 4 2 2 2 2" xfId="10040" xr:uid="{00000000-0005-0000-0000-0000D3630000}"/>
    <cellStyle name="Normal 5 3 4 2 2 2 2 2" xfId="17303" xr:uid="{00000000-0005-0000-0000-0000D4630000}"/>
    <cellStyle name="Normal 5 3 4 2 2 2 2 2 2" xfId="33618" xr:uid="{00000000-0005-0000-0000-0000D5630000}"/>
    <cellStyle name="Normal 5 3 4 2 2 2 2 3" xfId="26653" xr:uid="{00000000-0005-0000-0000-0000D6630000}"/>
    <cellStyle name="Normal 5 3 4 2 2 2 3" xfId="13382" xr:uid="{00000000-0005-0000-0000-0000D7630000}"/>
    <cellStyle name="Normal 5 3 4 2 2 2 3 2" xfId="29957" xr:uid="{00000000-0005-0000-0000-0000D8630000}"/>
    <cellStyle name="Normal 5 3 4 2 2 2 4" xfId="23353" xr:uid="{00000000-0005-0000-0000-0000D9630000}"/>
    <cellStyle name="Normal 5 3 4 2 2 3" xfId="8419" xr:uid="{00000000-0005-0000-0000-0000DA630000}"/>
    <cellStyle name="Normal 5 3 4 2 2 3 2" xfId="15682" xr:uid="{00000000-0005-0000-0000-0000DB630000}"/>
    <cellStyle name="Normal 5 3 4 2 2 3 2 2" xfId="31997" xr:uid="{00000000-0005-0000-0000-0000DC630000}"/>
    <cellStyle name="Normal 5 3 4 2 2 3 3" xfId="25032" xr:uid="{00000000-0005-0000-0000-0000DD630000}"/>
    <cellStyle name="Normal 5 3 4 2 2 4" xfId="11734" xr:uid="{00000000-0005-0000-0000-0000DE630000}"/>
    <cellStyle name="Normal 5 3 4 2 2 4 2" xfId="28332" xr:uid="{00000000-0005-0000-0000-0000DF630000}"/>
    <cellStyle name="Normal 5 3 4 2 2 5" xfId="4614" xr:uid="{00000000-0005-0000-0000-0000E0630000}"/>
    <cellStyle name="Normal 5 3 4 2 2 5 2" xfId="21337" xr:uid="{00000000-0005-0000-0000-0000E1630000}"/>
    <cellStyle name="Normal 5 3 4 2 2 6" xfId="19739" xr:uid="{00000000-0005-0000-0000-0000E2630000}"/>
    <cellStyle name="Normal 5 3 4 2 3" xfId="5913" xr:uid="{00000000-0005-0000-0000-0000E3630000}"/>
    <cellStyle name="Normal 5 3 4 2 3 2" xfId="9264" xr:uid="{00000000-0005-0000-0000-0000E4630000}"/>
    <cellStyle name="Normal 5 3 4 2 3 2 2" xfId="16527" xr:uid="{00000000-0005-0000-0000-0000E5630000}"/>
    <cellStyle name="Normal 5 3 4 2 3 2 2 2" xfId="32842" xr:uid="{00000000-0005-0000-0000-0000E6630000}"/>
    <cellStyle name="Normal 5 3 4 2 3 2 3" xfId="25877" xr:uid="{00000000-0005-0000-0000-0000E7630000}"/>
    <cellStyle name="Normal 5 3 4 2 3 3" xfId="12606" xr:uid="{00000000-0005-0000-0000-0000E8630000}"/>
    <cellStyle name="Normal 5 3 4 2 3 3 2" xfId="29181" xr:uid="{00000000-0005-0000-0000-0000E9630000}"/>
    <cellStyle name="Normal 5 3 4 2 3 4" xfId="22577" xr:uid="{00000000-0005-0000-0000-0000EA630000}"/>
    <cellStyle name="Normal 5 3 4 2 4" xfId="7643" xr:uid="{00000000-0005-0000-0000-0000EB630000}"/>
    <cellStyle name="Normal 5 3 4 2 4 2" xfId="14906" xr:uid="{00000000-0005-0000-0000-0000EC630000}"/>
    <cellStyle name="Normal 5 3 4 2 4 2 2" xfId="31221" xr:uid="{00000000-0005-0000-0000-0000ED630000}"/>
    <cellStyle name="Normal 5 3 4 2 4 3" xfId="24256" xr:uid="{00000000-0005-0000-0000-0000EE630000}"/>
    <cellStyle name="Normal 5 3 4 2 5" xfId="10958" xr:uid="{00000000-0005-0000-0000-0000EF630000}"/>
    <cellStyle name="Normal 5 3 4 2 5 2" xfId="27556" xr:uid="{00000000-0005-0000-0000-0000F0630000}"/>
    <cellStyle name="Normal 5 3 4 2 6" xfId="4613" xr:uid="{00000000-0005-0000-0000-0000F1630000}"/>
    <cellStyle name="Normal 5 3 4 2 6 2" xfId="21336" xr:uid="{00000000-0005-0000-0000-0000F2630000}"/>
    <cellStyle name="Normal 5 3 4 2 7" xfId="19738" xr:uid="{00000000-0005-0000-0000-0000F3630000}"/>
    <cellStyle name="Normal 5 3 4 3" xfId="3013" xr:uid="{00000000-0005-0000-0000-0000F4630000}"/>
    <cellStyle name="Normal 5 3 4 3 2" xfId="6319" xr:uid="{00000000-0005-0000-0000-0000F5630000}"/>
    <cellStyle name="Normal 5 3 4 3 2 2" xfId="9670" xr:uid="{00000000-0005-0000-0000-0000F6630000}"/>
    <cellStyle name="Normal 5 3 4 3 2 2 2" xfId="16933" xr:uid="{00000000-0005-0000-0000-0000F7630000}"/>
    <cellStyle name="Normal 5 3 4 3 2 2 2 2" xfId="33248" xr:uid="{00000000-0005-0000-0000-0000F8630000}"/>
    <cellStyle name="Normal 5 3 4 3 2 2 3" xfId="26283" xr:uid="{00000000-0005-0000-0000-0000F9630000}"/>
    <cellStyle name="Normal 5 3 4 3 2 3" xfId="13012" xr:uid="{00000000-0005-0000-0000-0000FA630000}"/>
    <cellStyle name="Normal 5 3 4 3 2 3 2" xfId="29587" xr:uid="{00000000-0005-0000-0000-0000FB630000}"/>
    <cellStyle name="Normal 5 3 4 3 2 4" xfId="22983" xr:uid="{00000000-0005-0000-0000-0000FC630000}"/>
    <cellStyle name="Normal 5 3 4 3 3" xfId="8049" xr:uid="{00000000-0005-0000-0000-0000FD630000}"/>
    <cellStyle name="Normal 5 3 4 3 3 2" xfId="15312" xr:uid="{00000000-0005-0000-0000-0000FE630000}"/>
    <cellStyle name="Normal 5 3 4 3 3 2 2" xfId="31627" xr:uid="{00000000-0005-0000-0000-0000FF630000}"/>
    <cellStyle name="Normal 5 3 4 3 3 3" xfId="24662" xr:uid="{00000000-0005-0000-0000-000000640000}"/>
    <cellStyle name="Normal 5 3 4 3 4" xfId="11364" xr:uid="{00000000-0005-0000-0000-000001640000}"/>
    <cellStyle name="Normal 5 3 4 3 4 2" xfId="27962" xr:uid="{00000000-0005-0000-0000-000002640000}"/>
    <cellStyle name="Normal 5 3 4 3 5" xfId="4615" xr:uid="{00000000-0005-0000-0000-000003640000}"/>
    <cellStyle name="Normal 5 3 4 3 5 2" xfId="21338" xr:uid="{00000000-0005-0000-0000-000004640000}"/>
    <cellStyle name="Normal 5 3 4 3 6" xfId="19740" xr:uid="{00000000-0005-0000-0000-000005640000}"/>
    <cellStyle name="Normal 5 3 4 4" xfId="5506" xr:uid="{00000000-0005-0000-0000-000006640000}"/>
    <cellStyle name="Normal 5 3 4 4 2" xfId="8857" xr:uid="{00000000-0005-0000-0000-000007640000}"/>
    <cellStyle name="Normal 5 3 4 4 2 2" xfId="16120" xr:uid="{00000000-0005-0000-0000-000008640000}"/>
    <cellStyle name="Normal 5 3 4 4 2 2 2" xfId="32435" xr:uid="{00000000-0005-0000-0000-000009640000}"/>
    <cellStyle name="Normal 5 3 4 4 2 3" xfId="25470" xr:uid="{00000000-0005-0000-0000-00000A640000}"/>
    <cellStyle name="Normal 5 3 4 4 3" xfId="12199" xr:uid="{00000000-0005-0000-0000-00000B640000}"/>
    <cellStyle name="Normal 5 3 4 4 3 2" xfId="28774" xr:uid="{00000000-0005-0000-0000-00000C640000}"/>
    <cellStyle name="Normal 5 3 4 4 4" xfId="22170" xr:uid="{00000000-0005-0000-0000-00000D640000}"/>
    <cellStyle name="Normal 5 3 4 5" xfId="7237" xr:uid="{00000000-0005-0000-0000-00000E640000}"/>
    <cellStyle name="Normal 5 3 4 5 2" xfId="14500" xr:uid="{00000000-0005-0000-0000-00000F640000}"/>
    <cellStyle name="Normal 5 3 4 5 2 2" xfId="30815" xr:uid="{00000000-0005-0000-0000-000010640000}"/>
    <cellStyle name="Normal 5 3 4 5 3" xfId="23850" xr:uid="{00000000-0005-0000-0000-000011640000}"/>
    <cellStyle name="Normal 5 3 4 6" xfId="10552" xr:uid="{00000000-0005-0000-0000-000012640000}"/>
    <cellStyle name="Normal 5 3 4 6 2" xfId="27150" xr:uid="{00000000-0005-0000-0000-000013640000}"/>
    <cellStyle name="Normal 5 3 4 7" xfId="4612" xr:uid="{00000000-0005-0000-0000-000014640000}"/>
    <cellStyle name="Normal 5 3 4 7 2" xfId="21335" xr:uid="{00000000-0005-0000-0000-000015640000}"/>
    <cellStyle name="Normal 5 3 4 8" xfId="19737" xr:uid="{00000000-0005-0000-0000-000016640000}"/>
    <cellStyle name="Normal 5 3 5" xfId="5031" xr:uid="{00000000-0005-0000-0000-000017640000}"/>
    <cellStyle name="Normal 5 3 5 2" xfId="6802" xr:uid="{00000000-0005-0000-0000-000018640000}"/>
    <cellStyle name="Normal 5 3 5 2 2" xfId="10115" xr:uid="{00000000-0005-0000-0000-000019640000}"/>
    <cellStyle name="Normal 5 3 5 2 2 2" xfId="17378" xr:uid="{00000000-0005-0000-0000-00001A640000}"/>
    <cellStyle name="Normal 5 3 5 2 2 2 2" xfId="33693" xr:uid="{00000000-0005-0000-0000-00001B640000}"/>
    <cellStyle name="Normal 5 3 5 2 2 3" xfId="26728" xr:uid="{00000000-0005-0000-0000-00001C640000}"/>
    <cellStyle name="Normal 5 3 5 2 3" xfId="13460" xr:uid="{00000000-0005-0000-0000-00001D640000}"/>
    <cellStyle name="Normal 5 3 5 2 3 2" xfId="30032" xr:uid="{00000000-0005-0000-0000-00001E640000}"/>
    <cellStyle name="Normal 5 3 5 2 4" xfId="23428" xr:uid="{00000000-0005-0000-0000-00001F640000}"/>
    <cellStyle name="Normal 5 3 5 3" xfId="8437" xr:uid="{00000000-0005-0000-0000-000020640000}"/>
    <cellStyle name="Normal 5 3 5 3 2" xfId="15700" xr:uid="{00000000-0005-0000-0000-000021640000}"/>
    <cellStyle name="Normal 5 3 5 3 2 2" xfId="32015" xr:uid="{00000000-0005-0000-0000-000022640000}"/>
    <cellStyle name="Normal 5 3 5 3 3" xfId="25050" xr:uid="{00000000-0005-0000-0000-000023640000}"/>
    <cellStyle name="Normal 5 3 5 4" xfId="11752" xr:uid="{00000000-0005-0000-0000-000024640000}"/>
    <cellStyle name="Normal 5 3 5 4 2" xfId="28350" xr:uid="{00000000-0005-0000-0000-000025640000}"/>
    <cellStyle name="Normal 5 3 5 5" xfId="21750" xr:uid="{00000000-0005-0000-0000-000026640000}"/>
    <cellStyle name="Normal 5 4" xfId="362" xr:uid="{00000000-0005-0000-0000-000027640000}"/>
    <cellStyle name="Normal 5 4 2" xfId="549" xr:uid="{00000000-0005-0000-0000-000028640000}"/>
    <cellStyle name="Normal 5 4 2 10" xfId="10166" xr:uid="{00000000-0005-0000-0000-000029640000}"/>
    <cellStyle name="Normal 5 4 2 10 2" xfId="26771" xr:uid="{00000000-0005-0000-0000-00002A640000}"/>
    <cellStyle name="Normal 5 4 2 11" xfId="4616" xr:uid="{00000000-0005-0000-0000-00002B640000}"/>
    <cellStyle name="Normal 5 4 2 11 2" xfId="21339" xr:uid="{00000000-0005-0000-0000-00002C640000}"/>
    <cellStyle name="Normal 5 4 2 12" xfId="17421" xr:uid="{00000000-0005-0000-0000-00002D640000}"/>
    <cellStyle name="Normal 5 4 2 2" xfId="612" xr:uid="{00000000-0005-0000-0000-00002E640000}"/>
    <cellStyle name="Normal 5 4 2 2 10" xfId="4617" xr:uid="{00000000-0005-0000-0000-00002F640000}"/>
    <cellStyle name="Normal 5 4 2 2 10 2" xfId="21340" xr:uid="{00000000-0005-0000-0000-000030640000}"/>
    <cellStyle name="Normal 5 4 2 2 11" xfId="17438" xr:uid="{00000000-0005-0000-0000-000031640000}"/>
    <cellStyle name="Normal 5 4 2 2 2" xfId="694" xr:uid="{00000000-0005-0000-0000-000032640000}"/>
    <cellStyle name="Normal 5 4 2 2 2 10" xfId="17508" xr:uid="{00000000-0005-0000-0000-000033640000}"/>
    <cellStyle name="Normal 5 4 2 2 2 2" xfId="1029" xr:uid="{00000000-0005-0000-0000-000034640000}"/>
    <cellStyle name="Normal 5 4 2 2 2 2 2" xfId="1224" xr:uid="{00000000-0005-0000-0000-000035640000}"/>
    <cellStyle name="Normal 5 4 2 2 2 2 2 2" xfId="1745" xr:uid="{00000000-0005-0000-0000-000036640000}"/>
    <cellStyle name="Normal 5 4 2 2 2 2 2 2 2" xfId="3020" xr:uid="{00000000-0005-0000-0000-000037640000}"/>
    <cellStyle name="Normal 5 4 2 2 2 2 2 2 2 2" xfId="6639" xr:uid="{00000000-0005-0000-0000-000038640000}"/>
    <cellStyle name="Normal 5 4 2 2 2 2 2 2 2 2 2" xfId="9990" xr:uid="{00000000-0005-0000-0000-000039640000}"/>
    <cellStyle name="Normal 5 4 2 2 2 2 2 2 2 2 2 2" xfId="17253" xr:uid="{00000000-0005-0000-0000-00003A640000}"/>
    <cellStyle name="Normal 5 4 2 2 2 2 2 2 2 2 2 2 2" xfId="33568" xr:uid="{00000000-0005-0000-0000-00003B640000}"/>
    <cellStyle name="Normal 5 4 2 2 2 2 2 2 2 2 2 3" xfId="26603" xr:uid="{00000000-0005-0000-0000-00003C640000}"/>
    <cellStyle name="Normal 5 4 2 2 2 2 2 2 2 2 3" xfId="13332" xr:uid="{00000000-0005-0000-0000-00003D640000}"/>
    <cellStyle name="Normal 5 4 2 2 2 2 2 2 2 2 3 2" xfId="29907" xr:uid="{00000000-0005-0000-0000-00003E640000}"/>
    <cellStyle name="Normal 5 4 2 2 2 2 2 2 2 2 4" xfId="23303" xr:uid="{00000000-0005-0000-0000-00003F640000}"/>
    <cellStyle name="Normal 5 4 2 2 2 2 2 2 2 3" xfId="8369" xr:uid="{00000000-0005-0000-0000-000040640000}"/>
    <cellStyle name="Normal 5 4 2 2 2 2 2 2 2 3 2" xfId="15632" xr:uid="{00000000-0005-0000-0000-000041640000}"/>
    <cellStyle name="Normal 5 4 2 2 2 2 2 2 2 3 2 2" xfId="31947" xr:uid="{00000000-0005-0000-0000-000042640000}"/>
    <cellStyle name="Normal 5 4 2 2 2 2 2 2 2 3 3" xfId="24982" xr:uid="{00000000-0005-0000-0000-000043640000}"/>
    <cellStyle name="Normal 5 4 2 2 2 2 2 2 2 4" xfId="11684" xr:uid="{00000000-0005-0000-0000-000044640000}"/>
    <cellStyle name="Normal 5 4 2 2 2 2 2 2 2 4 2" xfId="28282" xr:uid="{00000000-0005-0000-0000-000045640000}"/>
    <cellStyle name="Normal 5 4 2 2 2 2 2 2 2 5" xfId="4622" xr:uid="{00000000-0005-0000-0000-000046640000}"/>
    <cellStyle name="Normal 5 4 2 2 2 2 2 2 2 5 2" xfId="21345" xr:uid="{00000000-0005-0000-0000-000047640000}"/>
    <cellStyle name="Normal 5 4 2 2 2 2 2 2 2 6" xfId="19747" xr:uid="{00000000-0005-0000-0000-000048640000}"/>
    <cellStyle name="Normal 5 4 2 2 2 2 2 2 3" xfId="3019" xr:uid="{00000000-0005-0000-0000-000049640000}"/>
    <cellStyle name="Normal 5 4 2 2 2 2 2 2 3 2" xfId="9214" xr:uid="{00000000-0005-0000-0000-00004A640000}"/>
    <cellStyle name="Normal 5 4 2 2 2 2 2 2 3 2 2" xfId="16477" xr:uid="{00000000-0005-0000-0000-00004B640000}"/>
    <cellStyle name="Normal 5 4 2 2 2 2 2 2 3 2 2 2" xfId="32792" xr:uid="{00000000-0005-0000-0000-00004C640000}"/>
    <cellStyle name="Normal 5 4 2 2 2 2 2 2 3 2 3" xfId="25827" xr:uid="{00000000-0005-0000-0000-00004D640000}"/>
    <cellStyle name="Normal 5 4 2 2 2 2 2 2 3 3" xfId="12556" xr:uid="{00000000-0005-0000-0000-00004E640000}"/>
    <cellStyle name="Normal 5 4 2 2 2 2 2 2 3 3 2" xfId="29131" xr:uid="{00000000-0005-0000-0000-00004F640000}"/>
    <cellStyle name="Normal 5 4 2 2 2 2 2 2 3 4" xfId="5863" xr:uid="{00000000-0005-0000-0000-000050640000}"/>
    <cellStyle name="Normal 5 4 2 2 2 2 2 2 3 4 2" xfId="22527" xr:uid="{00000000-0005-0000-0000-000051640000}"/>
    <cellStyle name="Normal 5 4 2 2 2 2 2 2 3 5" xfId="19746" xr:uid="{00000000-0005-0000-0000-000052640000}"/>
    <cellStyle name="Normal 5 4 2 2 2 2 2 2 4" xfId="7593" xr:uid="{00000000-0005-0000-0000-000053640000}"/>
    <cellStyle name="Normal 5 4 2 2 2 2 2 2 4 2" xfId="14856" xr:uid="{00000000-0005-0000-0000-000054640000}"/>
    <cellStyle name="Normal 5 4 2 2 2 2 2 2 4 2 2" xfId="31171" xr:uid="{00000000-0005-0000-0000-000055640000}"/>
    <cellStyle name="Normal 5 4 2 2 2 2 2 2 4 3" xfId="24206" xr:uid="{00000000-0005-0000-0000-000056640000}"/>
    <cellStyle name="Normal 5 4 2 2 2 2 2 2 5" xfId="10908" xr:uid="{00000000-0005-0000-0000-000057640000}"/>
    <cellStyle name="Normal 5 4 2 2 2 2 2 2 5 2" xfId="27506" xr:uid="{00000000-0005-0000-0000-000058640000}"/>
    <cellStyle name="Normal 5 4 2 2 2 2 2 2 6" xfId="4621" xr:uid="{00000000-0005-0000-0000-000059640000}"/>
    <cellStyle name="Normal 5 4 2 2 2 2 2 2 6 2" xfId="21344" xr:uid="{00000000-0005-0000-0000-00005A640000}"/>
    <cellStyle name="Normal 5 4 2 2 2 2 2 2 7" xfId="18480" xr:uid="{00000000-0005-0000-0000-00005B640000}"/>
    <cellStyle name="Normal 5 4 2 2 2 2 2 3" xfId="3021" xr:uid="{00000000-0005-0000-0000-00005C640000}"/>
    <cellStyle name="Normal 5 4 2 2 2 2 2 3 2" xfId="6269" xr:uid="{00000000-0005-0000-0000-00005D640000}"/>
    <cellStyle name="Normal 5 4 2 2 2 2 2 3 2 2" xfId="9620" xr:uid="{00000000-0005-0000-0000-00005E640000}"/>
    <cellStyle name="Normal 5 4 2 2 2 2 2 3 2 2 2" xfId="16883" xr:uid="{00000000-0005-0000-0000-00005F640000}"/>
    <cellStyle name="Normal 5 4 2 2 2 2 2 3 2 2 2 2" xfId="33198" xr:uid="{00000000-0005-0000-0000-000060640000}"/>
    <cellStyle name="Normal 5 4 2 2 2 2 2 3 2 2 3" xfId="26233" xr:uid="{00000000-0005-0000-0000-000061640000}"/>
    <cellStyle name="Normal 5 4 2 2 2 2 2 3 2 3" xfId="12962" xr:uid="{00000000-0005-0000-0000-000062640000}"/>
    <cellStyle name="Normal 5 4 2 2 2 2 2 3 2 3 2" xfId="29537" xr:uid="{00000000-0005-0000-0000-000063640000}"/>
    <cellStyle name="Normal 5 4 2 2 2 2 2 3 2 4" xfId="22933" xr:uid="{00000000-0005-0000-0000-000064640000}"/>
    <cellStyle name="Normal 5 4 2 2 2 2 2 3 3" xfId="7999" xr:uid="{00000000-0005-0000-0000-000065640000}"/>
    <cellStyle name="Normal 5 4 2 2 2 2 2 3 3 2" xfId="15262" xr:uid="{00000000-0005-0000-0000-000066640000}"/>
    <cellStyle name="Normal 5 4 2 2 2 2 2 3 3 2 2" xfId="31577" xr:uid="{00000000-0005-0000-0000-000067640000}"/>
    <cellStyle name="Normal 5 4 2 2 2 2 2 3 3 3" xfId="24612" xr:uid="{00000000-0005-0000-0000-000068640000}"/>
    <cellStyle name="Normal 5 4 2 2 2 2 2 3 4" xfId="11314" xr:uid="{00000000-0005-0000-0000-000069640000}"/>
    <cellStyle name="Normal 5 4 2 2 2 2 2 3 4 2" xfId="27912" xr:uid="{00000000-0005-0000-0000-00006A640000}"/>
    <cellStyle name="Normal 5 4 2 2 2 2 2 3 5" xfId="4623" xr:uid="{00000000-0005-0000-0000-00006B640000}"/>
    <cellStyle name="Normal 5 4 2 2 2 2 2 3 5 2" xfId="21346" xr:uid="{00000000-0005-0000-0000-00006C640000}"/>
    <cellStyle name="Normal 5 4 2 2 2 2 2 3 6" xfId="19748" xr:uid="{00000000-0005-0000-0000-00006D640000}"/>
    <cellStyle name="Normal 5 4 2 2 2 2 2 4" xfId="3018" xr:uid="{00000000-0005-0000-0000-00006E640000}"/>
    <cellStyle name="Normal 5 4 2 2 2 2 2 4 2" xfId="8807" xr:uid="{00000000-0005-0000-0000-00006F640000}"/>
    <cellStyle name="Normal 5 4 2 2 2 2 2 4 2 2" xfId="16070" xr:uid="{00000000-0005-0000-0000-000070640000}"/>
    <cellStyle name="Normal 5 4 2 2 2 2 2 4 2 2 2" xfId="32385" xr:uid="{00000000-0005-0000-0000-000071640000}"/>
    <cellStyle name="Normal 5 4 2 2 2 2 2 4 2 3" xfId="25420" xr:uid="{00000000-0005-0000-0000-000072640000}"/>
    <cellStyle name="Normal 5 4 2 2 2 2 2 4 3" xfId="12149" xr:uid="{00000000-0005-0000-0000-000073640000}"/>
    <cellStyle name="Normal 5 4 2 2 2 2 2 4 3 2" xfId="28724" xr:uid="{00000000-0005-0000-0000-000074640000}"/>
    <cellStyle name="Normal 5 4 2 2 2 2 2 4 4" xfId="5456" xr:uid="{00000000-0005-0000-0000-000075640000}"/>
    <cellStyle name="Normal 5 4 2 2 2 2 2 4 4 2" xfId="22120" xr:uid="{00000000-0005-0000-0000-000076640000}"/>
    <cellStyle name="Normal 5 4 2 2 2 2 2 4 5" xfId="19745" xr:uid="{00000000-0005-0000-0000-000077640000}"/>
    <cellStyle name="Normal 5 4 2 2 2 2 2 5" xfId="7187" xr:uid="{00000000-0005-0000-0000-000078640000}"/>
    <cellStyle name="Normal 5 4 2 2 2 2 2 5 2" xfId="14450" xr:uid="{00000000-0005-0000-0000-000079640000}"/>
    <cellStyle name="Normal 5 4 2 2 2 2 2 5 2 2" xfId="30765" xr:uid="{00000000-0005-0000-0000-00007A640000}"/>
    <cellStyle name="Normal 5 4 2 2 2 2 2 5 3" xfId="23800" xr:uid="{00000000-0005-0000-0000-00007B640000}"/>
    <cellStyle name="Normal 5 4 2 2 2 2 2 6" xfId="10502" xr:uid="{00000000-0005-0000-0000-00007C640000}"/>
    <cellStyle name="Normal 5 4 2 2 2 2 2 6 2" xfId="27100" xr:uid="{00000000-0005-0000-0000-00007D640000}"/>
    <cellStyle name="Normal 5 4 2 2 2 2 2 7" xfId="4620" xr:uid="{00000000-0005-0000-0000-00007E640000}"/>
    <cellStyle name="Normal 5 4 2 2 2 2 2 7 2" xfId="21343" xr:uid="{00000000-0005-0000-0000-00007F640000}"/>
    <cellStyle name="Normal 5 4 2 2 2 2 2 8" xfId="17961" xr:uid="{00000000-0005-0000-0000-000080640000}"/>
    <cellStyle name="Normal 5 4 2 2 2 2 3" xfId="1590" xr:uid="{00000000-0005-0000-0000-000081640000}"/>
    <cellStyle name="Normal 5 4 2 2 2 2 3 2" xfId="3023" xr:uid="{00000000-0005-0000-0000-000082640000}"/>
    <cellStyle name="Normal 5 4 2 2 2 2 3 2 2" xfId="6463" xr:uid="{00000000-0005-0000-0000-000083640000}"/>
    <cellStyle name="Normal 5 4 2 2 2 2 3 2 2 2" xfId="9814" xr:uid="{00000000-0005-0000-0000-000084640000}"/>
    <cellStyle name="Normal 5 4 2 2 2 2 3 2 2 2 2" xfId="17077" xr:uid="{00000000-0005-0000-0000-000085640000}"/>
    <cellStyle name="Normal 5 4 2 2 2 2 3 2 2 2 2 2" xfId="33392" xr:uid="{00000000-0005-0000-0000-000086640000}"/>
    <cellStyle name="Normal 5 4 2 2 2 2 3 2 2 2 3" xfId="26427" xr:uid="{00000000-0005-0000-0000-000087640000}"/>
    <cellStyle name="Normal 5 4 2 2 2 2 3 2 2 3" xfId="13156" xr:uid="{00000000-0005-0000-0000-000088640000}"/>
    <cellStyle name="Normal 5 4 2 2 2 2 3 2 2 3 2" xfId="29731" xr:uid="{00000000-0005-0000-0000-000089640000}"/>
    <cellStyle name="Normal 5 4 2 2 2 2 3 2 2 4" xfId="23127" xr:uid="{00000000-0005-0000-0000-00008A640000}"/>
    <cellStyle name="Normal 5 4 2 2 2 2 3 2 3" xfId="8193" xr:uid="{00000000-0005-0000-0000-00008B640000}"/>
    <cellStyle name="Normal 5 4 2 2 2 2 3 2 3 2" xfId="15456" xr:uid="{00000000-0005-0000-0000-00008C640000}"/>
    <cellStyle name="Normal 5 4 2 2 2 2 3 2 3 2 2" xfId="31771" xr:uid="{00000000-0005-0000-0000-00008D640000}"/>
    <cellStyle name="Normal 5 4 2 2 2 2 3 2 3 3" xfId="24806" xr:uid="{00000000-0005-0000-0000-00008E640000}"/>
    <cellStyle name="Normal 5 4 2 2 2 2 3 2 4" xfId="11508" xr:uid="{00000000-0005-0000-0000-00008F640000}"/>
    <cellStyle name="Normal 5 4 2 2 2 2 3 2 4 2" xfId="28106" xr:uid="{00000000-0005-0000-0000-000090640000}"/>
    <cellStyle name="Normal 5 4 2 2 2 2 3 2 5" xfId="4625" xr:uid="{00000000-0005-0000-0000-000091640000}"/>
    <cellStyle name="Normal 5 4 2 2 2 2 3 2 5 2" xfId="21348" xr:uid="{00000000-0005-0000-0000-000092640000}"/>
    <cellStyle name="Normal 5 4 2 2 2 2 3 2 6" xfId="19750" xr:uid="{00000000-0005-0000-0000-000093640000}"/>
    <cellStyle name="Normal 5 4 2 2 2 2 3 3" xfId="3022" xr:uid="{00000000-0005-0000-0000-000094640000}"/>
    <cellStyle name="Normal 5 4 2 2 2 2 3 3 2" xfId="9002" xr:uid="{00000000-0005-0000-0000-000095640000}"/>
    <cellStyle name="Normal 5 4 2 2 2 2 3 3 2 2" xfId="16265" xr:uid="{00000000-0005-0000-0000-000096640000}"/>
    <cellStyle name="Normal 5 4 2 2 2 2 3 3 2 2 2" xfId="32580" xr:uid="{00000000-0005-0000-0000-000097640000}"/>
    <cellStyle name="Normal 5 4 2 2 2 2 3 3 2 3" xfId="25615" xr:uid="{00000000-0005-0000-0000-000098640000}"/>
    <cellStyle name="Normal 5 4 2 2 2 2 3 3 3" xfId="12344" xr:uid="{00000000-0005-0000-0000-000099640000}"/>
    <cellStyle name="Normal 5 4 2 2 2 2 3 3 3 2" xfId="28919" xr:uid="{00000000-0005-0000-0000-00009A640000}"/>
    <cellStyle name="Normal 5 4 2 2 2 2 3 3 4" xfId="5651" xr:uid="{00000000-0005-0000-0000-00009B640000}"/>
    <cellStyle name="Normal 5 4 2 2 2 2 3 3 4 2" xfId="22315" xr:uid="{00000000-0005-0000-0000-00009C640000}"/>
    <cellStyle name="Normal 5 4 2 2 2 2 3 3 5" xfId="19749" xr:uid="{00000000-0005-0000-0000-00009D640000}"/>
    <cellStyle name="Normal 5 4 2 2 2 2 3 4" xfId="7381" xr:uid="{00000000-0005-0000-0000-00009E640000}"/>
    <cellStyle name="Normal 5 4 2 2 2 2 3 4 2" xfId="14644" xr:uid="{00000000-0005-0000-0000-00009F640000}"/>
    <cellStyle name="Normal 5 4 2 2 2 2 3 4 2 2" xfId="30959" xr:uid="{00000000-0005-0000-0000-0000A0640000}"/>
    <cellStyle name="Normal 5 4 2 2 2 2 3 4 3" xfId="23994" xr:uid="{00000000-0005-0000-0000-0000A1640000}"/>
    <cellStyle name="Normal 5 4 2 2 2 2 3 5" xfId="10696" xr:uid="{00000000-0005-0000-0000-0000A2640000}"/>
    <cellStyle name="Normal 5 4 2 2 2 2 3 5 2" xfId="27294" xr:uid="{00000000-0005-0000-0000-0000A3640000}"/>
    <cellStyle name="Normal 5 4 2 2 2 2 3 6" xfId="4624" xr:uid="{00000000-0005-0000-0000-0000A4640000}"/>
    <cellStyle name="Normal 5 4 2 2 2 2 3 6 2" xfId="21347" xr:uid="{00000000-0005-0000-0000-0000A5640000}"/>
    <cellStyle name="Normal 5 4 2 2 2 2 3 7" xfId="18325" xr:uid="{00000000-0005-0000-0000-0000A6640000}"/>
    <cellStyle name="Normal 5 4 2 2 2 2 4" xfId="3024" xr:uid="{00000000-0005-0000-0000-0000A7640000}"/>
    <cellStyle name="Normal 5 4 2 2 2 2 4 2" xfId="6057" xr:uid="{00000000-0005-0000-0000-0000A8640000}"/>
    <cellStyle name="Normal 5 4 2 2 2 2 4 2 2" xfId="9408" xr:uid="{00000000-0005-0000-0000-0000A9640000}"/>
    <cellStyle name="Normal 5 4 2 2 2 2 4 2 2 2" xfId="16671" xr:uid="{00000000-0005-0000-0000-0000AA640000}"/>
    <cellStyle name="Normal 5 4 2 2 2 2 4 2 2 2 2" xfId="32986" xr:uid="{00000000-0005-0000-0000-0000AB640000}"/>
    <cellStyle name="Normal 5 4 2 2 2 2 4 2 2 3" xfId="26021" xr:uid="{00000000-0005-0000-0000-0000AC640000}"/>
    <cellStyle name="Normal 5 4 2 2 2 2 4 2 3" xfId="12750" xr:uid="{00000000-0005-0000-0000-0000AD640000}"/>
    <cellStyle name="Normal 5 4 2 2 2 2 4 2 3 2" xfId="29325" xr:uid="{00000000-0005-0000-0000-0000AE640000}"/>
    <cellStyle name="Normal 5 4 2 2 2 2 4 2 4" xfId="22721" xr:uid="{00000000-0005-0000-0000-0000AF640000}"/>
    <cellStyle name="Normal 5 4 2 2 2 2 4 3" xfId="7787" xr:uid="{00000000-0005-0000-0000-0000B0640000}"/>
    <cellStyle name="Normal 5 4 2 2 2 2 4 3 2" xfId="15050" xr:uid="{00000000-0005-0000-0000-0000B1640000}"/>
    <cellStyle name="Normal 5 4 2 2 2 2 4 3 2 2" xfId="31365" xr:uid="{00000000-0005-0000-0000-0000B2640000}"/>
    <cellStyle name="Normal 5 4 2 2 2 2 4 3 3" xfId="24400" xr:uid="{00000000-0005-0000-0000-0000B3640000}"/>
    <cellStyle name="Normal 5 4 2 2 2 2 4 4" xfId="11102" xr:uid="{00000000-0005-0000-0000-0000B4640000}"/>
    <cellStyle name="Normal 5 4 2 2 2 2 4 4 2" xfId="27700" xr:uid="{00000000-0005-0000-0000-0000B5640000}"/>
    <cellStyle name="Normal 5 4 2 2 2 2 4 5" xfId="4626" xr:uid="{00000000-0005-0000-0000-0000B6640000}"/>
    <cellStyle name="Normal 5 4 2 2 2 2 4 5 2" xfId="21349" xr:uid="{00000000-0005-0000-0000-0000B7640000}"/>
    <cellStyle name="Normal 5 4 2 2 2 2 4 6" xfId="19751" xr:uid="{00000000-0005-0000-0000-0000B8640000}"/>
    <cellStyle name="Normal 5 4 2 2 2 2 5" xfId="3017" xr:uid="{00000000-0005-0000-0000-0000B9640000}"/>
    <cellStyle name="Normal 5 4 2 2 2 2 5 2" xfId="8651" xr:uid="{00000000-0005-0000-0000-0000BA640000}"/>
    <cellStyle name="Normal 5 4 2 2 2 2 5 2 2" xfId="15914" xr:uid="{00000000-0005-0000-0000-0000BB640000}"/>
    <cellStyle name="Normal 5 4 2 2 2 2 5 2 2 2" xfId="32229" xr:uid="{00000000-0005-0000-0000-0000BC640000}"/>
    <cellStyle name="Normal 5 4 2 2 2 2 5 2 3" xfId="25264" xr:uid="{00000000-0005-0000-0000-0000BD640000}"/>
    <cellStyle name="Normal 5 4 2 2 2 2 5 3" xfId="11993" xr:uid="{00000000-0005-0000-0000-0000BE640000}"/>
    <cellStyle name="Normal 5 4 2 2 2 2 5 3 2" xfId="28568" xr:uid="{00000000-0005-0000-0000-0000BF640000}"/>
    <cellStyle name="Normal 5 4 2 2 2 2 5 4" xfId="5300" xr:uid="{00000000-0005-0000-0000-0000C0640000}"/>
    <cellStyle name="Normal 5 4 2 2 2 2 5 4 2" xfId="21964" xr:uid="{00000000-0005-0000-0000-0000C1640000}"/>
    <cellStyle name="Normal 5 4 2 2 2 2 5 5" xfId="19744" xr:uid="{00000000-0005-0000-0000-0000C2640000}"/>
    <cellStyle name="Normal 5 4 2 2 2 2 6" xfId="7032" xr:uid="{00000000-0005-0000-0000-0000C3640000}"/>
    <cellStyle name="Normal 5 4 2 2 2 2 6 2" xfId="14295" xr:uid="{00000000-0005-0000-0000-0000C4640000}"/>
    <cellStyle name="Normal 5 4 2 2 2 2 6 2 2" xfId="30610" xr:uid="{00000000-0005-0000-0000-0000C5640000}"/>
    <cellStyle name="Normal 5 4 2 2 2 2 6 3" xfId="23645" xr:uid="{00000000-0005-0000-0000-0000C6640000}"/>
    <cellStyle name="Normal 5 4 2 2 2 2 7" xfId="10346" xr:uid="{00000000-0005-0000-0000-0000C7640000}"/>
    <cellStyle name="Normal 5 4 2 2 2 2 7 2" xfId="26945" xr:uid="{00000000-0005-0000-0000-0000C8640000}"/>
    <cellStyle name="Normal 5 4 2 2 2 2 8" xfId="4619" xr:uid="{00000000-0005-0000-0000-0000C9640000}"/>
    <cellStyle name="Normal 5 4 2 2 2 2 8 2" xfId="21342" xr:uid="{00000000-0005-0000-0000-0000CA640000}"/>
    <cellStyle name="Normal 5 4 2 2 2 2 9" xfId="17806" xr:uid="{00000000-0005-0000-0000-0000CB640000}"/>
    <cellStyle name="Normal 5 4 2 2 2 3" xfId="1223" xr:uid="{00000000-0005-0000-0000-0000CC640000}"/>
    <cellStyle name="Normal 5 4 2 2 2 3 2" xfId="1744" xr:uid="{00000000-0005-0000-0000-0000CD640000}"/>
    <cellStyle name="Normal 5 4 2 2 2 3 2 2" xfId="3027" xr:uid="{00000000-0005-0000-0000-0000CE640000}"/>
    <cellStyle name="Normal 5 4 2 2 2 3 2 2 2" xfId="6638" xr:uid="{00000000-0005-0000-0000-0000CF640000}"/>
    <cellStyle name="Normal 5 4 2 2 2 3 2 2 2 2" xfId="9989" xr:uid="{00000000-0005-0000-0000-0000D0640000}"/>
    <cellStyle name="Normal 5 4 2 2 2 3 2 2 2 2 2" xfId="17252" xr:uid="{00000000-0005-0000-0000-0000D1640000}"/>
    <cellStyle name="Normal 5 4 2 2 2 3 2 2 2 2 2 2" xfId="33567" xr:uid="{00000000-0005-0000-0000-0000D2640000}"/>
    <cellStyle name="Normal 5 4 2 2 2 3 2 2 2 2 3" xfId="26602" xr:uid="{00000000-0005-0000-0000-0000D3640000}"/>
    <cellStyle name="Normal 5 4 2 2 2 3 2 2 2 3" xfId="13331" xr:uid="{00000000-0005-0000-0000-0000D4640000}"/>
    <cellStyle name="Normal 5 4 2 2 2 3 2 2 2 3 2" xfId="29906" xr:uid="{00000000-0005-0000-0000-0000D5640000}"/>
    <cellStyle name="Normal 5 4 2 2 2 3 2 2 2 4" xfId="23302" xr:uid="{00000000-0005-0000-0000-0000D6640000}"/>
    <cellStyle name="Normal 5 4 2 2 2 3 2 2 3" xfId="8368" xr:uid="{00000000-0005-0000-0000-0000D7640000}"/>
    <cellStyle name="Normal 5 4 2 2 2 3 2 2 3 2" xfId="15631" xr:uid="{00000000-0005-0000-0000-0000D8640000}"/>
    <cellStyle name="Normal 5 4 2 2 2 3 2 2 3 2 2" xfId="31946" xr:uid="{00000000-0005-0000-0000-0000D9640000}"/>
    <cellStyle name="Normal 5 4 2 2 2 3 2 2 3 3" xfId="24981" xr:uid="{00000000-0005-0000-0000-0000DA640000}"/>
    <cellStyle name="Normal 5 4 2 2 2 3 2 2 4" xfId="11683" xr:uid="{00000000-0005-0000-0000-0000DB640000}"/>
    <cellStyle name="Normal 5 4 2 2 2 3 2 2 4 2" xfId="28281" xr:uid="{00000000-0005-0000-0000-0000DC640000}"/>
    <cellStyle name="Normal 5 4 2 2 2 3 2 2 5" xfId="4629" xr:uid="{00000000-0005-0000-0000-0000DD640000}"/>
    <cellStyle name="Normal 5 4 2 2 2 3 2 2 5 2" xfId="21352" xr:uid="{00000000-0005-0000-0000-0000DE640000}"/>
    <cellStyle name="Normal 5 4 2 2 2 3 2 2 6" xfId="19754" xr:uid="{00000000-0005-0000-0000-0000DF640000}"/>
    <cellStyle name="Normal 5 4 2 2 2 3 2 3" xfId="3026" xr:uid="{00000000-0005-0000-0000-0000E0640000}"/>
    <cellStyle name="Normal 5 4 2 2 2 3 2 3 2" xfId="9213" xr:uid="{00000000-0005-0000-0000-0000E1640000}"/>
    <cellStyle name="Normal 5 4 2 2 2 3 2 3 2 2" xfId="16476" xr:uid="{00000000-0005-0000-0000-0000E2640000}"/>
    <cellStyle name="Normal 5 4 2 2 2 3 2 3 2 2 2" xfId="32791" xr:uid="{00000000-0005-0000-0000-0000E3640000}"/>
    <cellStyle name="Normal 5 4 2 2 2 3 2 3 2 3" xfId="25826" xr:uid="{00000000-0005-0000-0000-0000E4640000}"/>
    <cellStyle name="Normal 5 4 2 2 2 3 2 3 3" xfId="12555" xr:uid="{00000000-0005-0000-0000-0000E5640000}"/>
    <cellStyle name="Normal 5 4 2 2 2 3 2 3 3 2" xfId="29130" xr:uid="{00000000-0005-0000-0000-0000E6640000}"/>
    <cellStyle name="Normal 5 4 2 2 2 3 2 3 4" xfId="5862" xr:uid="{00000000-0005-0000-0000-0000E7640000}"/>
    <cellStyle name="Normal 5 4 2 2 2 3 2 3 4 2" xfId="22526" xr:uid="{00000000-0005-0000-0000-0000E8640000}"/>
    <cellStyle name="Normal 5 4 2 2 2 3 2 3 5" xfId="19753" xr:uid="{00000000-0005-0000-0000-0000E9640000}"/>
    <cellStyle name="Normal 5 4 2 2 2 3 2 4" xfId="7592" xr:uid="{00000000-0005-0000-0000-0000EA640000}"/>
    <cellStyle name="Normal 5 4 2 2 2 3 2 4 2" xfId="14855" xr:uid="{00000000-0005-0000-0000-0000EB640000}"/>
    <cellStyle name="Normal 5 4 2 2 2 3 2 4 2 2" xfId="31170" xr:uid="{00000000-0005-0000-0000-0000EC640000}"/>
    <cellStyle name="Normal 5 4 2 2 2 3 2 4 3" xfId="24205" xr:uid="{00000000-0005-0000-0000-0000ED640000}"/>
    <cellStyle name="Normal 5 4 2 2 2 3 2 5" xfId="10907" xr:uid="{00000000-0005-0000-0000-0000EE640000}"/>
    <cellStyle name="Normal 5 4 2 2 2 3 2 5 2" xfId="27505" xr:uid="{00000000-0005-0000-0000-0000EF640000}"/>
    <cellStyle name="Normal 5 4 2 2 2 3 2 6" xfId="4628" xr:uid="{00000000-0005-0000-0000-0000F0640000}"/>
    <cellStyle name="Normal 5 4 2 2 2 3 2 6 2" xfId="21351" xr:uid="{00000000-0005-0000-0000-0000F1640000}"/>
    <cellStyle name="Normal 5 4 2 2 2 3 2 7" xfId="18479" xr:uid="{00000000-0005-0000-0000-0000F2640000}"/>
    <cellStyle name="Normal 5 4 2 2 2 3 3" xfId="3028" xr:uid="{00000000-0005-0000-0000-0000F3640000}"/>
    <cellStyle name="Normal 5 4 2 2 2 3 3 2" xfId="6268" xr:uid="{00000000-0005-0000-0000-0000F4640000}"/>
    <cellStyle name="Normal 5 4 2 2 2 3 3 2 2" xfId="9619" xr:uid="{00000000-0005-0000-0000-0000F5640000}"/>
    <cellStyle name="Normal 5 4 2 2 2 3 3 2 2 2" xfId="16882" xr:uid="{00000000-0005-0000-0000-0000F6640000}"/>
    <cellStyle name="Normal 5 4 2 2 2 3 3 2 2 2 2" xfId="33197" xr:uid="{00000000-0005-0000-0000-0000F7640000}"/>
    <cellStyle name="Normal 5 4 2 2 2 3 3 2 2 3" xfId="26232" xr:uid="{00000000-0005-0000-0000-0000F8640000}"/>
    <cellStyle name="Normal 5 4 2 2 2 3 3 2 3" xfId="12961" xr:uid="{00000000-0005-0000-0000-0000F9640000}"/>
    <cellStyle name="Normal 5 4 2 2 2 3 3 2 3 2" xfId="29536" xr:uid="{00000000-0005-0000-0000-0000FA640000}"/>
    <cellStyle name="Normal 5 4 2 2 2 3 3 2 4" xfId="22932" xr:uid="{00000000-0005-0000-0000-0000FB640000}"/>
    <cellStyle name="Normal 5 4 2 2 2 3 3 3" xfId="7998" xr:uid="{00000000-0005-0000-0000-0000FC640000}"/>
    <cellStyle name="Normal 5 4 2 2 2 3 3 3 2" xfId="15261" xr:uid="{00000000-0005-0000-0000-0000FD640000}"/>
    <cellStyle name="Normal 5 4 2 2 2 3 3 3 2 2" xfId="31576" xr:uid="{00000000-0005-0000-0000-0000FE640000}"/>
    <cellStyle name="Normal 5 4 2 2 2 3 3 3 3" xfId="24611" xr:uid="{00000000-0005-0000-0000-0000FF640000}"/>
    <cellStyle name="Normal 5 4 2 2 2 3 3 4" xfId="11313" xr:uid="{00000000-0005-0000-0000-000000650000}"/>
    <cellStyle name="Normal 5 4 2 2 2 3 3 4 2" xfId="27911" xr:uid="{00000000-0005-0000-0000-000001650000}"/>
    <cellStyle name="Normal 5 4 2 2 2 3 3 5" xfId="4630" xr:uid="{00000000-0005-0000-0000-000002650000}"/>
    <cellStyle name="Normal 5 4 2 2 2 3 3 5 2" xfId="21353" xr:uid="{00000000-0005-0000-0000-000003650000}"/>
    <cellStyle name="Normal 5 4 2 2 2 3 3 6" xfId="19755" xr:uid="{00000000-0005-0000-0000-000004650000}"/>
    <cellStyle name="Normal 5 4 2 2 2 3 4" xfId="3025" xr:uid="{00000000-0005-0000-0000-000005650000}"/>
    <cellStyle name="Normal 5 4 2 2 2 3 4 2" xfId="8806" xr:uid="{00000000-0005-0000-0000-000006650000}"/>
    <cellStyle name="Normal 5 4 2 2 2 3 4 2 2" xfId="16069" xr:uid="{00000000-0005-0000-0000-000007650000}"/>
    <cellStyle name="Normal 5 4 2 2 2 3 4 2 2 2" xfId="32384" xr:uid="{00000000-0005-0000-0000-000008650000}"/>
    <cellStyle name="Normal 5 4 2 2 2 3 4 2 3" xfId="25419" xr:uid="{00000000-0005-0000-0000-000009650000}"/>
    <cellStyle name="Normal 5 4 2 2 2 3 4 3" xfId="12148" xr:uid="{00000000-0005-0000-0000-00000A650000}"/>
    <cellStyle name="Normal 5 4 2 2 2 3 4 3 2" xfId="28723" xr:uid="{00000000-0005-0000-0000-00000B650000}"/>
    <cellStyle name="Normal 5 4 2 2 2 3 4 4" xfId="5455" xr:uid="{00000000-0005-0000-0000-00000C650000}"/>
    <cellStyle name="Normal 5 4 2 2 2 3 4 4 2" xfId="22119" xr:uid="{00000000-0005-0000-0000-00000D650000}"/>
    <cellStyle name="Normal 5 4 2 2 2 3 4 5" xfId="19752" xr:uid="{00000000-0005-0000-0000-00000E650000}"/>
    <cellStyle name="Normal 5 4 2 2 2 3 5" xfId="7186" xr:uid="{00000000-0005-0000-0000-00000F650000}"/>
    <cellStyle name="Normal 5 4 2 2 2 3 5 2" xfId="14449" xr:uid="{00000000-0005-0000-0000-000010650000}"/>
    <cellStyle name="Normal 5 4 2 2 2 3 5 2 2" xfId="30764" xr:uid="{00000000-0005-0000-0000-000011650000}"/>
    <cellStyle name="Normal 5 4 2 2 2 3 5 3" xfId="23799" xr:uid="{00000000-0005-0000-0000-000012650000}"/>
    <cellStyle name="Normal 5 4 2 2 2 3 6" xfId="10501" xr:uid="{00000000-0005-0000-0000-000013650000}"/>
    <cellStyle name="Normal 5 4 2 2 2 3 6 2" xfId="27099" xr:uid="{00000000-0005-0000-0000-000014650000}"/>
    <cellStyle name="Normal 5 4 2 2 2 3 7" xfId="4627" xr:uid="{00000000-0005-0000-0000-000015650000}"/>
    <cellStyle name="Normal 5 4 2 2 2 3 7 2" xfId="21350" xr:uid="{00000000-0005-0000-0000-000016650000}"/>
    <cellStyle name="Normal 5 4 2 2 2 3 8" xfId="17960" xr:uid="{00000000-0005-0000-0000-000017650000}"/>
    <cellStyle name="Normal 5 4 2 2 2 4" xfId="922" xr:uid="{00000000-0005-0000-0000-000018650000}"/>
    <cellStyle name="Normal 5 4 2 2 2 4 2" xfId="1484" xr:uid="{00000000-0005-0000-0000-000019650000}"/>
    <cellStyle name="Normal 5 4 2 2 2 4 2 2" xfId="3030" xr:uid="{00000000-0005-0000-0000-00001A650000}"/>
    <cellStyle name="Normal 5 4 2 2 2 4 2 2 2" xfId="9813" xr:uid="{00000000-0005-0000-0000-00001B650000}"/>
    <cellStyle name="Normal 5 4 2 2 2 4 2 2 2 2" xfId="17076" xr:uid="{00000000-0005-0000-0000-00001C650000}"/>
    <cellStyle name="Normal 5 4 2 2 2 4 2 2 2 2 2" xfId="33391" xr:uid="{00000000-0005-0000-0000-00001D650000}"/>
    <cellStyle name="Normal 5 4 2 2 2 4 2 2 2 3" xfId="26426" xr:uid="{00000000-0005-0000-0000-00001E650000}"/>
    <cellStyle name="Normal 5 4 2 2 2 4 2 2 3" xfId="13155" xr:uid="{00000000-0005-0000-0000-00001F650000}"/>
    <cellStyle name="Normal 5 4 2 2 2 4 2 2 3 2" xfId="29730" xr:uid="{00000000-0005-0000-0000-000020650000}"/>
    <cellStyle name="Normal 5 4 2 2 2 4 2 2 4" xfId="6462" xr:uid="{00000000-0005-0000-0000-000021650000}"/>
    <cellStyle name="Normal 5 4 2 2 2 4 2 2 4 2" xfId="23126" xr:uid="{00000000-0005-0000-0000-000022650000}"/>
    <cellStyle name="Normal 5 4 2 2 2 4 2 2 5" xfId="19757" xr:uid="{00000000-0005-0000-0000-000023650000}"/>
    <cellStyle name="Normal 5 4 2 2 2 4 2 3" xfId="8192" xr:uid="{00000000-0005-0000-0000-000024650000}"/>
    <cellStyle name="Normal 5 4 2 2 2 4 2 3 2" xfId="15455" xr:uid="{00000000-0005-0000-0000-000025650000}"/>
    <cellStyle name="Normal 5 4 2 2 2 4 2 3 2 2" xfId="31770" xr:uid="{00000000-0005-0000-0000-000026650000}"/>
    <cellStyle name="Normal 5 4 2 2 2 4 2 3 3" xfId="24805" xr:uid="{00000000-0005-0000-0000-000027650000}"/>
    <cellStyle name="Normal 5 4 2 2 2 4 2 4" xfId="11507" xr:uid="{00000000-0005-0000-0000-000028650000}"/>
    <cellStyle name="Normal 5 4 2 2 2 4 2 4 2" xfId="28105" xr:uid="{00000000-0005-0000-0000-000029650000}"/>
    <cellStyle name="Normal 5 4 2 2 2 4 2 5" xfId="4632" xr:uid="{00000000-0005-0000-0000-00002A650000}"/>
    <cellStyle name="Normal 5 4 2 2 2 4 2 5 2" xfId="21355" xr:uid="{00000000-0005-0000-0000-00002B650000}"/>
    <cellStyle name="Normal 5 4 2 2 2 4 2 6" xfId="18219" xr:uid="{00000000-0005-0000-0000-00002C650000}"/>
    <cellStyle name="Normal 5 4 2 2 2 4 3" xfId="3029" xr:uid="{00000000-0005-0000-0000-00002D650000}"/>
    <cellStyle name="Normal 5 4 2 2 2 4 3 2" xfId="9001" xr:uid="{00000000-0005-0000-0000-00002E650000}"/>
    <cellStyle name="Normal 5 4 2 2 2 4 3 2 2" xfId="16264" xr:uid="{00000000-0005-0000-0000-00002F650000}"/>
    <cellStyle name="Normal 5 4 2 2 2 4 3 2 2 2" xfId="32579" xr:uid="{00000000-0005-0000-0000-000030650000}"/>
    <cellStyle name="Normal 5 4 2 2 2 4 3 2 3" xfId="25614" xr:uid="{00000000-0005-0000-0000-000031650000}"/>
    <cellStyle name="Normal 5 4 2 2 2 4 3 3" xfId="12343" xr:uid="{00000000-0005-0000-0000-000032650000}"/>
    <cellStyle name="Normal 5 4 2 2 2 4 3 3 2" xfId="28918" xr:uid="{00000000-0005-0000-0000-000033650000}"/>
    <cellStyle name="Normal 5 4 2 2 2 4 3 4" xfId="5650" xr:uid="{00000000-0005-0000-0000-000034650000}"/>
    <cellStyle name="Normal 5 4 2 2 2 4 3 4 2" xfId="22314" xr:uid="{00000000-0005-0000-0000-000035650000}"/>
    <cellStyle name="Normal 5 4 2 2 2 4 3 5" xfId="19756" xr:uid="{00000000-0005-0000-0000-000036650000}"/>
    <cellStyle name="Normal 5 4 2 2 2 4 4" xfId="7380" xr:uid="{00000000-0005-0000-0000-000037650000}"/>
    <cellStyle name="Normal 5 4 2 2 2 4 4 2" xfId="14643" xr:uid="{00000000-0005-0000-0000-000038650000}"/>
    <cellStyle name="Normal 5 4 2 2 2 4 4 2 2" xfId="30958" xr:uid="{00000000-0005-0000-0000-000039650000}"/>
    <cellStyle name="Normal 5 4 2 2 2 4 4 3" xfId="23993" xr:uid="{00000000-0005-0000-0000-00003A650000}"/>
    <cellStyle name="Normal 5 4 2 2 2 4 5" xfId="10695" xr:uid="{00000000-0005-0000-0000-00003B650000}"/>
    <cellStyle name="Normal 5 4 2 2 2 4 5 2" xfId="27293" xr:uid="{00000000-0005-0000-0000-00003C650000}"/>
    <cellStyle name="Normal 5 4 2 2 2 4 6" xfId="4631" xr:uid="{00000000-0005-0000-0000-00003D650000}"/>
    <cellStyle name="Normal 5 4 2 2 2 4 6 2" xfId="21354" xr:uid="{00000000-0005-0000-0000-00003E650000}"/>
    <cellStyle name="Normal 5 4 2 2 2 4 7" xfId="17700" xr:uid="{00000000-0005-0000-0000-00003F650000}"/>
    <cellStyle name="Normal 5 4 2 2 2 5" xfId="800" xr:uid="{00000000-0005-0000-0000-000040650000}"/>
    <cellStyle name="Normal 5 4 2 2 2 5 2" xfId="3031" xr:uid="{00000000-0005-0000-0000-000041650000}"/>
    <cellStyle name="Normal 5 4 2 2 2 5 2 2" xfId="9407" xr:uid="{00000000-0005-0000-0000-000042650000}"/>
    <cellStyle name="Normal 5 4 2 2 2 5 2 2 2" xfId="16670" xr:uid="{00000000-0005-0000-0000-000043650000}"/>
    <cellStyle name="Normal 5 4 2 2 2 5 2 2 2 2" xfId="32985" xr:uid="{00000000-0005-0000-0000-000044650000}"/>
    <cellStyle name="Normal 5 4 2 2 2 5 2 2 3" xfId="26020" xr:uid="{00000000-0005-0000-0000-000045650000}"/>
    <cellStyle name="Normal 5 4 2 2 2 5 2 3" xfId="12749" xr:uid="{00000000-0005-0000-0000-000046650000}"/>
    <cellStyle name="Normal 5 4 2 2 2 5 2 3 2" xfId="29324" xr:uid="{00000000-0005-0000-0000-000047650000}"/>
    <cellStyle name="Normal 5 4 2 2 2 5 2 4" xfId="6056" xr:uid="{00000000-0005-0000-0000-000048650000}"/>
    <cellStyle name="Normal 5 4 2 2 2 5 2 4 2" xfId="22720" xr:uid="{00000000-0005-0000-0000-000049650000}"/>
    <cellStyle name="Normal 5 4 2 2 2 5 2 5" xfId="19758" xr:uid="{00000000-0005-0000-0000-00004A650000}"/>
    <cellStyle name="Normal 5 4 2 2 2 5 3" xfId="7786" xr:uid="{00000000-0005-0000-0000-00004B650000}"/>
    <cellStyle name="Normal 5 4 2 2 2 5 3 2" xfId="15049" xr:uid="{00000000-0005-0000-0000-00004C650000}"/>
    <cellStyle name="Normal 5 4 2 2 2 5 3 2 2" xfId="31364" xr:uid="{00000000-0005-0000-0000-00004D650000}"/>
    <cellStyle name="Normal 5 4 2 2 2 5 3 3" xfId="24399" xr:uid="{00000000-0005-0000-0000-00004E650000}"/>
    <cellStyle name="Normal 5 4 2 2 2 5 4" xfId="11101" xr:uid="{00000000-0005-0000-0000-00004F650000}"/>
    <cellStyle name="Normal 5 4 2 2 2 5 4 2" xfId="27699" xr:uid="{00000000-0005-0000-0000-000050650000}"/>
    <cellStyle name="Normal 5 4 2 2 2 5 5" xfId="4633" xr:uid="{00000000-0005-0000-0000-000051650000}"/>
    <cellStyle name="Normal 5 4 2 2 2 5 5 2" xfId="21356" xr:uid="{00000000-0005-0000-0000-000052650000}"/>
    <cellStyle name="Normal 5 4 2 2 2 5 6" xfId="17613" xr:uid="{00000000-0005-0000-0000-000053650000}"/>
    <cellStyle name="Normal 5 4 2 2 2 6" xfId="1397" xr:uid="{00000000-0005-0000-0000-000054650000}"/>
    <cellStyle name="Normal 5 4 2 2 2 6 2" xfId="8545" xr:uid="{00000000-0005-0000-0000-000055650000}"/>
    <cellStyle name="Normal 5 4 2 2 2 6 2 2" xfId="15808" xr:uid="{00000000-0005-0000-0000-000056650000}"/>
    <cellStyle name="Normal 5 4 2 2 2 6 2 2 2" xfId="32123" xr:uid="{00000000-0005-0000-0000-000057650000}"/>
    <cellStyle name="Normal 5 4 2 2 2 6 2 3" xfId="25158" xr:uid="{00000000-0005-0000-0000-000058650000}"/>
    <cellStyle name="Normal 5 4 2 2 2 6 3" xfId="11887" xr:uid="{00000000-0005-0000-0000-000059650000}"/>
    <cellStyle name="Normal 5 4 2 2 2 6 3 2" xfId="28462" xr:uid="{00000000-0005-0000-0000-00005A650000}"/>
    <cellStyle name="Normal 5 4 2 2 2 6 4" xfId="5194" xr:uid="{00000000-0005-0000-0000-00005B650000}"/>
    <cellStyle name="Normal 5 4 2 2 2 6 4 2" xfId="21858" xr:uid="{00000000-0005-0000-0000-00005C650000}"/>
    <cellStyle name="Normal 5 4 2 2 2 6 5" xfId="18132" xr:uid="{00000000-0005-0000-0000-00005D650000}"/>
    <cellStyle name="Normal 5 4 2 2 2 7" xfId="3016" xr:uid="{00000000-0005-0000-0000-00005E650000}"/>
    <cellStyle name="Normal 5 4 2 2 2 7 2" xfId="14189" xr:uid="{00000000-0005-0000-0000-00005F650000}"/>
    <cellStyle name="Normal 5 4 2 2 2 7 2 2" xfId="30504" xr:uid="{00000000-0005-0000-0000-000060650000}"/>
    <cellStyle name="Normal 5 4 2 2 2 7 3" xfId="6926" xr:uid="{00000000-0005-0000-0000-000061650000}"/>
    <cellStyle name="Normal 5 4 2 2 2 7 3 2" xfId="23539" xr:uid="{00000000-0005-0000-0000-000062650000}"/>
    <cellStyle name="Normal 5 4 2 2 2 7 4" xfId="19743" xr:uid="{00000000-0005-0000-0000-000063650000}"/>
    <cellStyle name="Normal 5 4 2 2 2 8" xfId="10240" xr:uid="{00000000-0005-0000-0000-000064650000}"/>
    <cellStyle name="Normal 5 4 2 2 2 8 2" xfId="26839" xr:uid="{00000000-0005-0000-0000-000065650000}"/>
    <cellStyle name="Normal 5 4 2 2 2 9" xfId="4618" xr:uid="{00000000-0005-0000-0000-000066650000}"/>
    <cellStyle name="Normal 5 4 2 2 2 9 2" xfId="21341" xr:uid="{00000000-0005-0000-0000-000067650000}"/>
    <cellStyle name="Normal 5 4 2 2 3" xfId="656" xr:uid="{00000000-0005-0000-0000-000068650000}"/>
    <cellStyle name="Normal 5 4 2 2 3 2" xfId="1225" xr:uid="{00000000-0005-0000-0000-000069650000}"/>
    <cellStyle name="Normal 5 4 2 2 3 2 2" xfId="1746" xr:uid="{00000000-0005-0000-0000-00006A650000}"/>
    <cellStyle name="Normal 5 4 2 2 3 2 2 2" xfId="3035" xr:uid="{00000000-0005-0000-0000-00006B650000}"/>
    <cellStyle name="Normal 5 4 2 2 3 2 2 2 2" xfId="6640" xr:uid="{00000000-0005-0000-0000-00006C650000}"/>
    <cellStyle name="Normal 5 4 2 2 3 2 2 2 2 2" xfId="9991" xr:uid="{00000000-0005-0000-0000-00006D650000}"/>
    <cellStyle name="Normal 5 4 2 2 3 2 2 2 2 2 2" xfId="17254" xr:uid="{00000000-0005-0000-0000-00006E650000}"/>
    <cellStyle name="Normal 5 4 2 2 3 2 2 2 2 2 2 2" xfId="33569" xr:uid="{00000000-0005-0000-0000-00006F650000}"/>
    <cellStyle name="Normal 5 4 2 2 3 2 2 2 2 2 3" xfId="26604" xr:uid="{00000000-0005-0000-0000-000070650000}"/>
    <cellStyle name="Normal 5 4 2 2 3 2 2 2 2 3" xfId="13333" xr:uid="{00000000-0005-0000-0000-000071650000}"/>
    <cellStyle name="Normal 5 4 2 2 3 2 2 2 2 3 2" xfId="29908" xr:uid="{00000000-0005-0000-0000-000072650000}"/>
    <cellStyle name="Normal 5 4 2 2 3 2 2 2 2 4" xfId="23304" xr:uid="{00000000-0005-0000-0000-000073650000}"/>
    <cellStyle name="Normal 5 4 2 2 3 2 2 2 3" xfId="8370" xr:uid="{00000000-0005-0000-0000-000074650000}"/>
    <cellStyle name="Normal 5 4 2 2 3 2 2 2 3 2" xfId="15633" xr:uid="{00000000-0005-0000-0000-000075650000}"/>
    <cellStyle name="Normal 5 4 2 2 3 2 2 2 3 2 2" xfId="31948" xr:uid="{00000000-0005-0000-0000-000076650000}"/>
    <cellStyle name="Normal 5 4 2 2 3 2 2 2 3 3" xfId="24983" xr:uid="{00000000-0005-0000-0000-000077650000}"/>
    <cellStyle name="Normal 5 4 2 2 3 2 2 2 4" xfId="11685" xr:uid="{00000000-0005-0000-0000-000078650000}"/>
    <cellStyle name="Normal 5 4 2 2 3 2 2 2 4 2" xfId="28283" xr:uid="{00000000-0005-0000-0000-000079650000}"/>
    <cellStyle name="Normal 5 4 2 2 3 2 2 2 5" xfId="4637" xr:uid="{00000000-0005-0000-0000-00007A650000}"/>
    <cellStyle name="Normal 5 4 2 2 3 2 2 2 5 2" xfId="21360" xr:uid="{00000000-0005-0000-0000-00007B650000}"/>
    <cellStyle name="Normal 5 4 2 2 3 2 2 2 6" xfId="19762" xr:uid="{00000000-0005-0000-0000-00007C650000}"/>
    <cellStyle name="Normal 5 4 2 2 3 2 2 3" xfId="3034" xr:uid="{00000000-0005-0000-0000-00007D650000}"/>
    <cellStyle name="Normal 5 4 2 2 3 2 2 3 2" xfId="9215" xr:uid="{00000000-0005-0000-0000-00007E650000}"/>
    <cellStyle name="Normal 5 4 2 2 3 2 2 3 2 2" xfId="16478" xr:uid="{00000000-0005-0000-0000-00007F650000}"/>
    <cellStyle name="Normal 5 4 2 2 3 2 2 3 2 2 2" xfId="32793" xr:uid="{00000000-0005-0000-0000-000080650000}"/>
    <cellStyle name="Normal 5 4 2 2 3 2 2 3 2 3" xfId="25828" xr:uid="{00000000-0005-0000-0000-000081650000}"/>
    <cellStyle name="Normal 5 4 2 2 3 2 2 3 3" xfId="12557" xr:uid="{00000000-0005-0000-0000-000082650000}"/>
    <cellStyle name="Normal 5 4 2 2 3 2 2 3 3 2" xfId="29132" xr:uid="{00000000-0005-0000-0000-000083650000}"/>
    <cellStyle name="Normal 5 4 2 2 3 2 2 3 4" xfId="5864" xr:uid="{00000000-0005-0000-0000-000084650000}"/>
    <cellStyle name="Normal 5 4 2 2 3 2 2 3 4 2" xfId="22528" xr:uid="{00000000-0005-0000-0000-000085650000}"/>
    <cellStyle name="Normal 5 4 2 2 3 2 2 3 5" xfId="19761" xr:uid="{00000000-0005-0000-0000-000086650000}"/>
    <cellStyle name="Normal 5 4 2 2 3 2 2 4" xfId="7594" xr:uid="{00000000-0005-0000-0000-000087650000}"/>
    <cellStyle name="Normal 5 4 2 2 3 2 2 4 2" xfId="14857" xr:uid="{00000000-0005-0000-0000-000088650000}"/>
    <cellStyle name="Normal 5 4 2 2 3 2 2 4 2 2" xfId="31172" xr:uid="{00000000-0005-0000-0000-000089650000}"/>
    <cellStyle name="Normal 5 4 2 2 3 2 2 4 3" xfId="24207" xr:uid="{00000000-0005-0000-0000-00008A650000}"/>
    <cellStyle name="Normal 5 4 2 2 3 2 2 5" xfId="10909" xr:uid="{00000000-0005-0000-0000-00008B650000}"/>
    <cellStyle name="Normal 5 4 2 2 3 2 2 5 2" xfId="27507" xr:uid="{00000000-0005-0000-0000-00008C650000}"/>
    <cellStyle name="Normal 5 4 2 2 3 2 2 6" xfId="4636" xr:uid="{00000000-0005-0000-0000-00008D650000}"/>
    <cellStyle name="Normal 5 4 2 2 3 2 2 6 2" xfId="21359" xr:uid="{00000000-0005-0000-0000-00008E650000}"/>
    <cellStyle name="Normal 5 4 2 2 3 2 2 7" xfId="18481" xr:uid="{00000000-0005-0000-0000-00008F650000}"/>
    <cellStyle name="Normal 5 4 2 2 3 2 3" xfId="3036" xr:uid="{00000000-0005-0000-0000-000090650000}"/>
    <cellStyle name="Normal 5 4 2 2 3 2 3 2" xfId="6270" xr:uid="{00000000-0005-0000-0000-000091650000}"/>
    <cellStyle name="Normal 5 4 2 2 3 2 3 2 2" xfId="9621" xr:uid="{00000000-0005-0000-0000-000092650000}"/>
    <cellStyle name="Normal 5 4 2 2 3 2 3 2 2 2" xfId="16884" xr:uid="{00000000-0005-0000-0000-000093650000}"/>
    <cellStyle name="Normal 5 4 2 2 3 2 3 2 2 2 2" xfId="33199" xr:uid="{00000000-0005-0000-0000-000094650000}"/>
    <cellStyle name="Normal 5 4 2 2 3 2 3 2 2 3" xfId="26234" xr:uid="{00000000-0005-0000-0000-000095650000}"/>
    <cellStyle name="Normal 5 4 2 2 3 2 3 2 3" xfId="12963" xr:uid="{00000000-0005-0000-0000-000096650000}"/>
    <cellStyle name="Normal 5 4 2 2 3 2 3 2 3 2" xfId="29538" xr:uid="{00000000-0005-0000-0000-000097650000}"/>
    <cellStyle name="Normal 5 4 2 2 3 2 3 2 4" xfId="22934" xr:uid="{00000000-0005-0000-0000-000098650000}"/>
    <cellStyle name="Normal 5 4 2 2 3 2 3 3" xfId="8000" xr:uid="{00000000-0005-0000-0000-000099650000}"/>
    <cellStyle name="Normal 5 4 2 2 3 2 3 3 2" xfId="15263" xr:uid="{00000000-0005-0000-0000-00009A650000}"/>
    <cellStyle name="Normal 5 4 2 2 3 2 3 3 2 2" xfId="31578" xr:uid="{00000000-0005-0000-0000-00009B650000}"/>
    <cellStyle name="Normal 5 4 2 2 3 2 3 3 3" xfId="24613" xr:uid="{00000000-0005-0000-0000-00009C650000}"/>
    <cellStyle name="Normal 5 4 2 2 3 2 3 4" xfId="11315" xr:uid="{00000000-0005-0000-0000-00009D650000}"/>
    <cellStyle name="Normal 5 4 2 2 3 2 3 4 2" xfId="27913" xr:uid="{00000000-0005-0000-0000-00009E650000}"/>
    <cellStyle name="Normal 5 4 2 2 3 2 3 5" xfId="4638" xr:uid="{00000000-0005-0000-0000-00009F650000}"/>
    <cellStyle name="Normal 5 4 2 2 3 2 3 5 2" xfId="21361" xr:uid="{00000000-0005-0000-0000-0000A0650000}"/>
    <cellStyle name="Normal 5 4 2 2 3 2 3 6" xfId="19763" xr:uid="{00000000-0005-0000-0000-0000A1650000}"/>
    <cellStyle name="Normal 5 4 2 2 3 2 4" xfId="3033" xr:uid="{00000000-0005-0000-0000-0000A2650000}"/>
    <cellStyle name="Normal 5 4 2 2 3 2 4 2" xfId="8808" xr:uid="{00000000-0005-0000-0000-0000A3650000}"/>
    <cellStyle name="Normal 5 4 2 2 3 2 4 2 2" xfId="16071" xr:uid="{00000000-0005-0000-0000-0000A4650000}"/>
    <cellStyle name="Normal 5 4 2 2 3 2 4 2 2 2" xfId="32386" xr:uid="{00000000-0005-0000-0000-0000A5650000}"/>
    <cellStyle name="Normal 5 4 2 2 3 2 4 2 3" xfId="25421" xr:uid="{00000000-0005-0000-0000-0000A6650000}"/>
    <cellStyle name="Normal 5 4 2 2 3 2 4 3" xfId="12150" xr:uid="{00000000-0005-0000-0000-0000A7650000}"/>
    <cellStyle name="Normal 5 4 2 2 3 2 4 3 2" xfId="28725" xr:uid="{00000000-0005-0000-0000-0000A8650000}"/>
    <cellStyle name="Normal 5 4 2 2 3 2 4 4" xfId="5457" xr:uid="{00000000-0005-0000-0000-0000A9650000}"/>
    <cellStyle name="Normal 5 4 2 2 3 2 4 4 2" xfId="22121" xr:uid="{00000000-0005-0000-0000-0000AA650000}"/>
    <cellStyle name="Normal 5 4 2 2 3 2 4 5" xfId="19760" xr:uid="{00000000-0005-0000-0000-0000AB650000}"/>
    <cellStyle name="Normal 5 4 2 2 3 2 5" xfId="7188" xr:uid="{00000000-0005-0000-0000-0000AC650000}"/>
    <cellStyle name="Normal 5 4 2 2 3 2 5 2" xfId="14451" xr:uid="{00000000-0005-0000-0000-0000AD650000}"/>
    <cellStyle name="Normal 5 4 2 2 3 2 5 2 2" xfId="30766" xr:uid="{00000000-0005-0000-0000-0000AE650000}"/>
    <cellStyle name="Normal 5 4 2 2 3 2 5 3" xfId="23801" xr:uid="{00000000-0005-0000-0000-0000AF650000}"/>
    <cellStyle name="Normal 5 4 2 2 3 2 6" xfId="10503" xr:uid="{00000000-0005-0000-0000-0000B0650000}"/>
    <cellStyle name="Normal 5 4 2 2 3 2 6 2" xfId="27101" xr:uid="{00000000-0005-0000-0000-0000B1650000}"/>
    <cellStyle name="Normal 5 4 2 2 3 2 7" xfId="4635" xr:uid="{00000000-0005-0000-0000-0000B2650000}"/>
    <cellStyle name="Normal 5 4 2 2 3 2 7 2" xfId="21358" xr:uid="{00000000-0005-0000-0000-0000B3650000}"/>
    <cellStyle name="Normal 5 4 2 2 3 2 8" xfId="17962" xr:uid="{00000000-0005-0000-0000-0000B4650000}"/>
    <cellStyle name="Normal 5 4 2 2 3 3" xfId="975" xr:uid="{00000000-0005-0000-0000-0000B5650000}"/>
    <cellStyle name="Normal 5 4 2 2 3 3 2" xfId="1537" xr:uid="{00000000-0005-0000-0000-0000B6650000}"/>
    <cellStyle name="Normal 5 4 2 2 3 3 2 2" xfId="3038" xr:uid="{00000000-0005-0000-0000-0000B7650000}"/>
    <cellStyle name="Normal 5 4 2 2 3 3 2 2 2" xfId="9815" xr:uid="{00000000-0005-0000-0000-0000B8650000}"/>
    <cellStyle name="Normal 5 4 2 2 3 3 2 2 2 2" xfId="17078" xr:uid="{00000000-0005-0000-0000-0000B9650000}"/>
    <cellStyle name="Normal 5 4 2 2 3 3 2 2 2 2 2" xfId="33393" xr:uid="{00000000-0005-0000-0000-0000BA650000}"/>
    <cellStyle name="Normal 5 4 2 2 3 3 2 2 2 3" xfId="26428" xr:uid="{00000000-0005-0000-0000-0000BB650000}"/>
    <cellStyle name="Normal 5 4 2 2 3 3 2 2 3" xfId="13157" xr:uid="{00000000-0005-0000-0000-0000BC650000}"/>
    <cellStyle name="Normal 5 4 2 2 3 3 2 2 3 2" xfId="29732" xr:uid="{00000000-0005-0000-0000-0000BD650000}"/>
    <cellStyle name="Normal 5 4 2 2 3 3 2 2 4" xfId="6464" xr:uid="{00000000-0005-0000-0000-0000BE650000}"/>
    <cellStyle name="Normal 5 4 2 2 3 3 2 2 4 2" xfId="23128" xr:uid="{00000000-0005-0000-0000-0000BF650000}"/>
    <cellStyle name="Normal 5 4 2 2 3 3 2 2 5" xfId="19765" xr:uid="{00000000-0005-0000-0000-0000C0650000}"/>
    <cellStyle name="Normal 5 4 2 2 3 3 2 3" xfId="8194" xr:uid="{00000000-0005-0000-0000-0000C1650000}"/>
    <cellStyle name="Normal 5 4 2 2 3 3 2 3 2" xfId="15457" xr:uid="{00000000-0005-0000-0000-0000C2650000}"/>
    <cellStyle name="Normal 5 4 2 2 3 3 2 3 2 2" xfId="31772" xr:uid="{00000000-0005-0000-0000-0000C3650000}"/>
    <cellStyle name="Normal 5 4 2 2 3 3 2 3 3" xfId="24807" xr:uid="{00000000-0005-0000-0000-0000C4650000}"/>
    <cellStyle name="Normal 5 4 2 2 3 3 2 4" xfId="11509" xr:uid="{00000000-0005-0000-0000-0000C5650000}"/>
    <cellStyle name="Normal 5 4 2 2 3 3 2 4 2" xfId="28107" xr:uid="{00000000-0005-0000-0000-0000C6650000}"/>
    <cellStyle name="Normal 5 4 2 2 3 3 2 5" xfId="4640" xr:uid="{00000000-0005-0000-0000-0000C7650000}"/>
    <cellStyle name="Normal 5 4 2 2 3 3 2 5 2" xfId="21363" xr:uid="{00000000-0005-0000-0000-0000C8650000}"/>
    <cellStyle name="Normal 5 4 2 2 3 3 2 6" xfId="18272" xr:uid="{00000000-0005-0000-0000-0000C9650000}"/>
    <cellStyle name="Normal 5 4 2 2 3 3 3" xfId="3037" xr:uid="{00000000-0005-0000-0000-0000CA650000}"/>
    <cellStyle name="Normal 5 4 2 2 3 3 3 2" xfId="9003" xr:uid="{00000000-0005-0000-0000-0000CB650000}"/>
    <cellStyle name="Normal 5 4 2 2 3 3 3 2 2" xfId="16266" xr:uid="{00000000-0005-0000-0000-0000CC650000}"/>
    <cellStyle name="Normal 5 4 2 2 3 3 3 2 2 2" xfId="32581" xr:uid="{00000000-0005-0000-0000-0000CD650000}"/>
    <cellStyle name="Normal 5 4 2 2 3 3 3 2 3" xfId="25616" xr:uid="{00000000-0005-0000-0000-0000CE650000}"/>
    <cellStyle name="Normal 5 4 2 2 3 3 3 3" xfId="12345" xr:uid="{00000000-0005-0000-0000-0000CF650000}"/>
    <cellStyle name="Normal 5 4 2 2 3 3 3 3 2" xfId="28920" xr:uid="{00000000-0005-0000-0000-0000D0650000}"/>
    <cellStyle name="Normal 5 4 2 2 3 3 3 4" xfId="5652" xr:uid="{00000000-0005-0000-0000-0000D1650000}"/>
    <cellStyle name="Normal 5 4 2 2 3 3 3 4 2" xfId="22316" xr:uid="{00000000-0005-0000-0000-0000D2650000}"/>
    <cellStyle name="Normal 5 4 2 2 3 3 3 5" xfId="19764" xr:uid="{00000000-0005-0000-0000-0000D3650000}"/>
    <cellStyle name="Normal 5 4 2 2 3 3 4" xfId="7382" xr:uid="{00000000-0005-0000-0000-0000D4650000}"/>
    <cellStyle name="Normal 5 4 2 2 3 3 4 2" xfId="14645" xr:uid="{00000000-0005-0000-0000-0000D5650000}"/>
    <cellStyle name="Normal 5 4 2 2 3 3 4 2 2" xfId="30960" xr:uid="{00000000-0005-0000-0000-0000D6650000}"/>
    <cellStyle name="Normal 5 4 2 2 3 3 4 3" xfId="23995" xr:uid="{00000000-0005-0000-0000-0000D7650000}"/>
    <cellStyle name="Normal 5 4 2 2 3 3 5" xfId="10697" xr:uid="{00000000-0005-0000-0000-0000D8650000}"/>
    <cellStyle name="Normal 5 4 2 2 3 3 5 2" xfId="27295" xr:uid="{00000000-0005-0000-0000-0000D9650000}"/>
    <cellStyle name="Normal 5 4 2 2 3 3 6" xfId="4639" xr:uid="{00000000-0005-0000-0000-0000DA650000}"/>
    <cellStyle name="Normal 5 4 2 2 3 3 6 2" xfId="21362" xr:uid="{00000000-0005-0000-0000-0000DB650000}"/>
    <cellStyle name="Normal 5 4 2 2 3 3 7" xfId="17753" xr:uid="{00000000-0005-0000-0000-0000DC650000}"/>
    <cellStyle name="Normal 5 4 2 2 3 4" xfId="765" xr:uid="{00000000-0005-0000-0000-0000DD650000}"/>
    <cellStyle name="Normal 5 4 2 2 3 4 2" xfId="3039" xr:uid="{00000000-0005-0000-0000-0000DE650000}"/>
    <cellStyle name="Normal 5 4 2 2 3 4 2 2" xfId="9409" xr:uid="{00000000-0005-0000-0000-0000DF650000}"/>
    <cellStyle name="Normal 5 4 2 2 3 4 2 2 2" xfId="16672" xr:uid="{00000000-0005-0000-0000-0000E0650000}"/>
    <cellStyle name="Normal 5 4 2 2 3 4 2 2 2 2" xfId="32987" xr:uid="{00000000-0005-0000-0000-0000E1650000}"/>
    <cellStyle name="Normal 5 4 2 2 3 4 2 2 3" xfId="26022" xr:uid="{00000000-0005-0000-0000-0000E2650000}"/>
    <cellStyle name="Normal 5 4 2 2 3 4 2 3" xfId="12751" xr:uid="{00000000-0005-0000-0000-0000E3650000}"/>
    <cellStyle name="Normal 5 4 2 2 3 4 2 3 2" xfId="29326" xr:uid="{00000000-0005-0000-0000-0000E4650000}"/>
    <cellStyle name="Normal 5 4 2 2 3 4 2 4" xfId="6058" xr:uid="{00000000-0005-0000-0000-0000E5650000}"/>
    <cellStyle name="Normal 5 4 2 2 3 4 2 4 2" xfId="22722" xr:uid="{00000000-0005-0000-0000-0000E6650000}"/>
    <cellStyle name="Normal 5 4 2 2 3 4 2 5" xfId="19766" xr:uid="{00000000-0005-0000-0000-0000E7650000}"/>
    <cellStyle name="Normal 5 4 2 2 3 4 3" xfId="7788" xr:uid="{00000000-0005-0000-0000-0000E8650000}"/>
    <cellStyle name="Normal 5 4 2 2 3 4 3 2" xfId="15051" xr:uid="{00000000-0005-0000-0000-0000E9650000}"/>
    <cellStyle name="Normal 5 4 2 2 3 4 3 2 2" xfId="31366" xr:uid="{00000000-0005-0000-0000-0000EA650000}"/>
    <cellStyle name="Normal 5 4 2 2 3 4 3 3" xfId="24401" xr:uid="{00000000-0005-0000-0000-0000EB650000}"/>
    <cellStyle name="Normal 5 4 2 2 3 4 4" xfId="11103" xr:uid="{00000000-0005-0000-0000-0000EC650000}"/>
    <cellStyle name="Normal 5 4 2 2 3 4 4 2" xfId="27701" xr:uid="{00000000-0005-0000-0000-0000ED650000}"/>
    <cellStyle name="Normal 5 4 2 2 3 4 5" xfId="4641" xr:uid="{00000000-0005-0000-0000-0000EE650000}"/>
    <cellStyle name="Normal 5 4 2 2 3 4 5 2" xfId="21364" xr:uid="{00000000-0005-0000-0000-0000EF650000}"/>
    <cellStyle name="Normal 5 4 2 2 3 4 6" xfId="17578" xr:uid="{00000000-0005-0000-0000-0000F0650000}"/>
    <cellStyle name="Normal 5 4 2 2 3 5" xfId="1362" xr:uid="{00000000-0005-0000-0000-0000F1650000}"/>
    <cellStyle name="Normal 5 4 2 2 3 5 2" xfId="8598" xr:uid="{00000000-0005-0000-0000-0000F2650000}"/>
    <cellStyle name="Normal 5 4 2 2 3 5 2 2" xfId="15861" xr:uid="{00000000-0005-0000-0000-0000F3650000}"/>
    <cellStyle name="Normal 5 4 2 2 3 5 2 2 2" xfId="32176" xr:uid="{00000000-0005-0000-0000-0000F4650000}"/>
    <cellStyle name="Normal 5 4 2 2 3 5 2 3" xfId="25211" xr:uid="{00000000-0005-0000-0000-0000F5650000}"/>
    <cellStyle name="Normal 5 4 2 2 3 5 3" xfId="11940" xr:uid="{00000000-0005-0000-0000-0000F6650000}"/>
    <cellStyle name="Normal 5 4 2 2 3 5 3 2" xfId="28515" xr:uid="{00000000-0005-0000-0000-0000F7650000}"/>
    <cellStyle name="Normal 5 4 2 2 3 5 4" xfId="5247" xr:uid="{00000000-0005-0000-0000-0000F8650000}"/>
    <cellStyle name="Normal 5 4 2 2 3 5 4 2" xfId="21911" xr:uid="{00000000-0005-0000-0000-0000F9650000}"/>
    <cellStyle name="Normal 5 4 2 2 3 5 5" xfId="18097" xr:uid="{00000000-0005-0000-0000-0000FA650000}"/>
    <cellStyle name="Normal 5 4 2 2 3 6" xfId="3032" xr:uid="{00000000-0005-0000-0000-0000FB650000}"/>
    <cellStyle name="Normal 5 4 2 2 3 6 2" xfId="14242" xr:uid="{00000000-0005-0000-0000-0000FC650000}"/>
    <cellStyle name="Normal 5 4 2 2 3 6 2 2" xfId="30557" xr:uid="{00000000-0005-0000-0000-0000FD650000}"/>
    <cellStyle name="Normal 5 4 2 2 3 6 3" xfId="6979" xr:uid="{00000000-0005-0000-0000-0000FE650000}"/>
    <cellStyle name="Normal 5 4 2 2 3 6 3 2" xfId="23592" xr:uid="{00000000-0005-0000-0000-0000FF650000}"/>
    <cellStyle name="Normal 5 4 2 2 3 6 4" xfId="19759" xr:uid="{00000000-0005-0000-0000-000000660000}"/>
    <cellStyle name="Normal 5 4 2 2 3 7" xfId="10293" xr:uid="{00000000-0005-0000-0000-000001660000}"/>
    <cellStyle name="Normal 5 4 2 2 3 7 2" xfId="26892" xr:uid="{00000000-0005-0000-0000-000002660000}"/>
    <cellStyle name="Normal 5 4 2 2 3 8" xfId="4634" xr:uid="{00000000-0005-0000-0000-000003660000}"/>
    <cellStyle name="Normal 5 4 2 2 3 8 2" xfId="21357" xr:uid="{00000000-0005-0000-0000-000004660000}"/>
    <cellStyle name="Normal 5 4 2 2 3 9" xfId="17473" xr:uid="{00000000-0005-0000-0000-000005660000}"/>
    <cellStyle name="Normal 5 4 2 2 4" xfId="1222" xr:uid="{00000000-0005-0000-0000-000006660000}"/>
    <cellStyle name="Normal 5 4 2 2 4 2" xfId="1743" xr:uid="{00000000-0005-0000-0000-000007660000}"/>
    <cellStyle name="Normal 5 4 2 2 4 2 2" xfId="3042" xr:uid="{00000000-0005-0000-0000-000008660000}"/>
    <cellStyle name="Normal 5 4 2 2 4 2 2 2" xfId="6637" xr:uid="{00000000-0005-0000-0000-000009660000}"/>
    <cellStyle name="Normal 5 4 2 2 4 2 2 2 2" xfId="9988" xr:uid="{00000000-0005-0000-0000-00000A660000}"/>
    <cellStyle name="Normal 5 4 2 2 4 2 2 2 2 2" xfId="17251" xr:uid="{00000000-0005-0000-0000-00000B660000}"/>
    <cellStyle name="Normal 5 4 2 2 4 2 2 2 2 2 2" xfId="33566" xr:uid="{00000000-0005-0000-0000-00000C660000}"/>
    <cellStyle name="Normal 5 4 2 2 4 2 2 2 2 3" xfId="26601" xr:uid="{00000000-0005-0000-0000-00000D660000}"/>
    <cellStyle name="Normal 5 4 2 2 4 2 2 2 3" xfId="13330" xr:uid="{00000000-0005-0000-0000-00000E660000}"/>
    <cellStyle name="Normal 5 4 2 2 4 2 2 2 3 2" xfId="29905" xr:uid="{00000000-0005-0000-0000-00000F660000}"/>
    <cellStyle name="Normal 5 4 2 2 4 2 2 2 4" xfId="23301" xr:uid="{00000000-0005-0000-0000-000010660000}"/>
    <cellStyle name="Normal 5 4 2 2 4 2 2 3" xfId="8367" xr:uid="{00000000-0005-0000-0000-000011660000}"/>
    <cellStyle name="Normal 5 4 2 2 4 2 2 3 2" xfId="15630" xr:uid="{00000000-0005-0000-0000-000012660000}"/>
    <cellStyle name="Normal 5 4 2 2 4 2 2 3 2 2" xfId="31945" xr:uid="{00000000-0005-0000-0000-000013660000}"/>
    <cellStyle name="Normal 5 4 2 2 4 2 2 3 3" xfId="24980" xr:uid="{00000000-0005-0000-0000-000014660000}"/>
    <cellStyle name="Normal 5 4 2 2 4 2 2 4" xfId="11682" xr:uid="{00000000-0005-0000-0000-000015660000}"/>
    <cellStyle name="Normal 5 4 2 2 4 2 2 4 2" xfId="28280" xr:uid="{00000000-0005-0000-0000-000016660000}"/>
    <cellStyle name="Normal 5 4 2 2 4 2 2 5" xfId="4644" xr:uid="{00000000-0005-0000-0000-000017660000}"/>
    <cellStyle name="Normal 5 4 2 2 4 2 2 5 2" xfId="21367" xr:uid="{00000000-0005-0000-0000-000018660000}"/>
    <cellStyle name="Normal 5 4 2 2 4 2 2 6" xfId="19769" xr:uid="{00000000-0005-0000-0000-000019660000}"/>
    <cellStyle name="Normal 5 4 2 2 4 2 3" xfId="3041" xr:uid="{00000000-0005-0000-0000-00001A660000}"/>
    <cellStyle name="Normal 5 4 2 2 4 2 3 2" xfId="9212" xr:uid="{00000000-0005-0000-0000-00001B660000}"/>
    <cellStyle name="Normal 5 4 2 2 4 2 3 2 2" xfId="16475" xr:uid="{00000000-0005-0000-0000-00001C660000}"/>
    <cellStyle name="Normal 5 4 2 2 4 2 3 2 2 2" xfId="32790" xr:uid="{00000000-0005-0000-0000-00001D660000}"/>
    <cellStyle name="Normal 5 4 2 2 4 2 3 2 3" xfId="25825" xr:uid="{00000000-0005-0000-0000-00001E660000}"/>
    <cellStyle name="Normal 5 4 2 2 4 2 3 3" xfId="12554" xr:uid="{00000000-0005-0000-0000-00001F660000}"/>
    <cellStyle name="Normal 5 4 2 2 4 2 3 3 2" xfId="29129" xr:uid="{00000000-0005-0000-0000-000020660000}"/>
    <cellStyle name="Normal 5 4 2 2 4 2 3 4" xfId="5861" xr:uid="{00000000-0005-0000-0000-000021660000}"/>
    <cellStyle name="Normal 5 4 2 2 4 2 3 4 2" xfId="22525" xr:uid="{00000000-0005-0000-0000-000022660000}"/>
    <cellStyle name="Normal 5 4 2 2 4 2 3 5" xfId="19768" xr:uid="{00000000-0005-0000-0000-000023660000}"/>
    <cellStyle name="Normal 5 4 2 2 4 2 4" xfId="7591" xr:uid="{00000000-0005-0000-0000-000024660000}"/>
    <cellStyle name="Normal 5 4 2 2 4 2 4 2" xfId="14854" xr:uid="{00000000-0005-0000-0000-000025660000}"/>
    <cellStyle name="Normal 5 4 2 2 4 2 4 2 2" xfId="31169" xr:uid="{00000000-0005-0000-0000-000026660000}"/>
    <cellStyle name="Normal 5 4 2 2 4 2 4 3" xfId="24204" xr:uid="{00000000-0005-0000-0000-000027660000}"/>
    <cellStyle name="Normal 5 4 2 2 4 2 5" xfId="10906" xr:uid="{00000000-0005-0000-0000-000028660000}"/>
    <cellStyle name="Normal 5 4 2 2 4 2 5 2" xfId="27504" xr:uid="{00000000-0005-0000-0000-000029660000}"/>
    <cellStyle name="Normal 5 4 2 2 4 2 6" xfId="4643" xr:uid="{00000000-0005-0000-0000-00002A660000}"/>
    <cellStyle name="Normal 5 4 2 2 4 2 6 2" xfId="21366" xr:uid="{00000000-0005-0000-0000-00002B660000}"/>
    <cellStyle name="Normal 5 4 2 2 4 2 7" xfId="18478" xr:uid="{00000000-0005-0000-0000-00002C660000}"/>
    <cellStyle name="Normal 5 4 2 2 4 3" xfId="3043" xr:uid="{00000000-0005-0000-0000-00002D660000}"/>
    <cellStyle name="Normal 5 4 2 2 4 3 2" xfId="6267" xr:uid="{00000000-0005-0000-0000-00002E660000}"/>
    <cellStyle name="Normal 5 4 2 2 4 3 2 2" xfId="9618" xr:uid="{00000000-0005-0000-0000-00002F660000}"/>
    <cellStyle name="Normal 5 4 2 2 4 3 2 2 2" xfId="16881" xr:uid="{00000000-0005-0000-0000-000030660000}"/>
    <cellStyle name="Normal 5 4 2 2 4 3 2 2 2 2" xfId="33196" xr:uid="{00000000-0005-0000-0000-000031660000}"/>
    <cellStyle name="Normal 5 4 2 2 4 3 2 2 3" xfId="26231" xr:uid="{00000000-0005-0000-0000-000032660000}"/>
    <cellStyle name="Normal 5 4 2 2 4 3 2 3" xfId="12960" xr:uid="{00000000-0005-0000-0000-000033660000}"/>
    <cellStyle name="Normal 5 4 2 2 4 3 2 3 2" xfId="29535" xr:uid="{00000000-0005-0000-0000-000034660000}"/>
    <cellStyle name="Normal 5 4 2 2 4 3 2 4" xfId="22931" xr:uid="{00000000-0005-0000-0000-000035660000}"/>
    <cellStyle name="Normal 5 4 2 2 4 3 3" xfId="7997" xr:uid="{00000000-0005-0000-0000-000036660000}"/>
    <cellStyle name="Normal 5 4 2 2 4 3 3 2" xfId="15260" xr:uid="{00000000-0005-0000-0000-000037660000}"/>
    <cellStyle name="Normal 5 4 2 2 4 3 3 2 2" xfId="31575" xr:uid="{00000000-0005-0000-0000-000038660000}"/>
    <cellStyle name="Normal 5 4 2 2 4 3 3 3" xfId="24610" xr:uid="{00000000-0005-0000-0000-000039660000}"/>
    <cellStyle name="Normal 5 4 2 2 4 3 4" xfId="11312" xr:uid="{00000000-0005-0000-0000-00003A660000}"/>
    <cellStyle name="Normal 5 4 2 2 4 3 4 2" xfId="27910" xr:uid="{00000000-0005-0000-0000-00003B660000}"/>
    <cellStyle name="Normal 5 4 2 2 4 3 5" xfId="4645" xr:uid="{00000000-0005-0000-0000-00003C660000}"/>
    <cellStyle name="Normal 5 4 2 2 4 3 5 2" xfId="21368" xr:uid="{00000000-0005-0000-0000-00003D660000}"/>
    <cellStyle name="Normal 5 4 2 2 4 3 6" xfId="19770" xr:uid="{00000000-0005-0000-0000-00003E660000}"/>
    <cellStyle name="Normal 5 4 2 2 4 4" xfId="3040" xr:uid="{00000000-0005-0000-0000-00003F660000}"/>
    <cellStyle name="Normal 5 4 2 2 4 4 2" xfId="8805" xr:uid="{00000000-0005-0000-0000-000040660000}"/>
    <cellStyle name="Normal 5 4 2 2 4 4 2 2" xfId="16068" xr:uid="{00000000-0005-0000-0000-000041660000}"/>
    <cellStyle name="Normal 5 4 2 2 4 4 2 2 2" xfId="32383" xr:uid="{00000000-0005-0000-0000-000042660000}"/>
    <cellStyle name="Normal 5 4 2 2 4 4 2 3" xfId="25418" xr:uid="{00000000-0005-0000-0000-000043660000}"/>
    <cellStyle name="Normal 5 4 2 2 4 4 3" xfId="12147" xr:uid="{00000000-0005-0000-0000-000044660000}"/>
    <cellStyle name="Normal 5 4 2 2 4 4 3 2" xfId="28722" xr:uid="{00000000-0005-0000-0000-000045660000}"/>
    <cellStyle name="Normal 5 4 2 2 4 4 4" xfId="5454" xr:uid="{00000000-0005-0000-0000-000046660000}"/>
    <cellStyle name="Normal 5 4 2 2 4 4 4 2" xfId="22118" xr:uid="{00000000-0005-0000-0000-000047660000}"/>
    <cellStyle name="Normal 5 4 2 2 4 4 5" xfId="19767" xr:uid="{00000000-0005-0000-0000-000048660000}"/>
    <cellStyle name="Normal 5 4 2 2 4 5" xfId="7185" xr:uid="{00000000-0005-0000-0000-000049660000}"/>
    <cellStyle name="Normal 5 4 2 2 4 5 2" xfId="14448" xr:uid="{00000000-0005-0000-0000-00004A660000}"/>
    <cellStyle name="Normal 5 4 2 2 4 5 2 2" xfId="30763" xr:uid="{00000000-0005-0000-0000-00004B660000}"/>
    <cellStyle name="Normal 5 4 2 2 4 5 3" xfId="23798" xr:uid="{00000000-0005-0000-0000-00004C660000}"/>
    <cellStyle name="Normal 5 4 2 2 4 6" xfId="10500" xr:uid="{00000000-0005-0000-0000-00004D660000}"/>
    <cellStyle name="Normal 5 4 2 2 4 6 2" xfId="27098" xr:uid="{00000000-0005-0000-0000-00004E660000}"/>
    <cellStyle name="Normal 5 4 2 2 4 7" xfId="4642" xr:uid="{00000000-0005-0000-0000-00004F660000}"/>
    <cellStyle name="Normal 5 4 2 2 4 7 2" xfId="21365" xr:uid="{00000000-0005-0000-0000-000050660000}"/>
    <cellStyle name="Normal 5 4 2 2 4 8" xfId="17959" xr:uid="{00000000-0005-0000-0000-000051660000}"/>
    <cellStyle name="Normal 5 4 2 2 5" xfId="862" xr:uid="{00000000-0005-0000-0000-000052660000}"/>
    <cellStyle name="Normal 5 4 2 2 5 2" xfId="1431" xr:uid="{00000000-0005-0000-0000-000053660000}"/>
    <cellStyle name="Normal 5 4 2 2 5 2 2" xfId="3045" xr:uid="{00000000-0005-0000-0000-000054660000}"/>
    <cellStyle name="Normal 5 4 2 2 5 2 2 2" xfId="9812" xr:uid="{00000000-0005-0000-0000-000055660000}"/>
    <cellStyle name="Normal 5 4 2 2 5 2 2 2 2" xfId="17075" xr:uid="{00000000-0005-0000-0000-000056660000}"/>
    <cellStyle name="Normal 5 4 2 2 5 2 2 2 2 2" xfId="33390" xr:uid="{00000000-0005-0000-0000-000057660000}"/>
    <cellStyle name="Normal 5 4 2 2 5 2 2 2 3" xfId="26425" xr:uid="{00000000-0005-0000-0000-000058660000}"/>
    <cellStyle name="Normal 5 4 2 2 5 2 2 3" xfId="13154" xr:uid="{00000000-0005-0000-0000-000059660000}"/>
    <cellStyle name="Normal 5 4 2 2 5 2 2 3 2" xfId="29729" xr:uid="{00000000-0005-0000-0000-00005A660000}"/>
    <cellStyle name="Normal 5 4 2 2 5 2 2 4" xfId="6461" xr:uid="{00000000-0005-0000-0000-00005B660000}"/>
    <cellStyle name="Normal 5 4 2 2 5 2 2 4 2" xfId="23125" xr:uid="{00000000-0005-0000-0000-00005C660000}"/>
    <cellStyle name="Normal 5 4 2 2 5 2 2 5" xfId="19772" xr:uid="{00000000-0005-0000-0000-00005D660000}"/>
    <cellStyle name="Normal 5 4 2 2 5 2 3" xfId="8191" xr:uid="{00000000-0005-0000-0000-00005E660000}"/>
    <cellStyle name="Normal 5 4 2 2 5 2 3 2" xfId="15454" xr:uid="{00000000-0005-0000-0000-00005F660000}"/>
    <cellStyle name="Normal 5 4 2 2 5 2 3 2 2" xfId="31769" xr:uid="{00000000-0005-0000-0000-000060660000}"/>
    <cellStyle name="Normal 5 4 2 2 5 2 3 3" xfId="24804" xr:uid="{00000000-0005-0000-0000-000061660000}"/>
    <cellStyle name="Normal 5 4 2 2 5 2 4" xfId="11506" xr:uid="{00000000-0005-0000-0000-000062660000}"/>
    <cellStyle name="Normal 5 4 2 2 5 2 4 2" xfId="28104" xr:uid="{00000000-0005-0000-0000-000063660000}"/>
    <cellStyle name="Normal 5 4 2 2 5 2 5" xfId="4647" xr:uid="{00000000-0005-0000-0000-000064660000}"/>
    <cellStyle name="Normal 5 4 2 2 5 2 5 2" xfId="21370" xr:uid="{00000000-0005-0000-0000-000065660000}"/>
    <cellStyle name="Normal 5 4 2 2 5 2 6" xfId="18166" xr:uid="{00000000-0005-0000-0000-000066660000}"/>
    <cellStyle name="Normal 5 4 2 2 5 3" xfId="3044" xr:uid="{00000000-0005-0000-0000-000067660000}"/>
    <cellStyle name="Normal 5 4 2 2 5 3 2" xfId="9000" xr:uid="{00000000-0005-0000-0000-000068660000}"/>
    <cellStyle name="Normal 5 4 2 2 5 3 2 2" xfId="16263" xr:uid="{00000000-0005-0000-0000-000069660000}"/>
    <cellStyle name="Normal 5 4 2 2 5 3 2 2 2" xfId="32578" xr:uid="{00000000-0005-0000-0000-00006A660000}"/>
    <cellStyle name="Normal 5 4 2 2 5 3 2 3" xfId="25613" xr:uid="{00000000-0005-0000-0000-00006B660000}"/>
    <cellStyle name="Normal 5 4 2 2 5 3 3" xfId="12342" xr:uid="{00000000-0005-0000-0000-00006C660000}"/>
    <cellStyle name="Normal 5 4 2 2 5 3 3 2" xfId="28917" xr:uid="{00000000-0005-0000-0000-00006D660000}"/>
    <cellStyle name="Normal 5 4 2 2 5 3 4" xfId="5649" xr:uid="{00000000-0005-0000-0000-00006E660000}"/>
    <cellStyle name="Normal 5 4 2 2 5 3 4 2" xfId="22313" xr:uid="{00000000-0005-0000-0000-00006F660000}"/>
    <cellStyle name="Normal 5 4 2 2 5 3 5" xfId="19771" xr:uid="{00000000-0005-0000-0000-000070660000}"/>
    <cellStyle name="Normal 5 4 2 2 5 4" xfId="7379" xr:uid="{00000000-0005-0000-0000-000071660000}"/>
    <cellStyle name="Normal 5 4 2 2 5 4 2" xfId="14642" xr:uid="{00000000-0005-0000-0000-000072660000}"/>
    <cellStyle name="Normal 5 4 2 2 5 4 2 2" xfId="30957" xr:uid="{00000000-0005-0000-0000-000073660000}"/>
    <cellStyle name="Normal 5 4 2 2 5 4 3" xfId="23992" xr:uid="{00000000-0005-0000-0000-000074660000}"/>
    <cellStyle name="Normal 5 4 2 2 5 5" xfId="10694" xr:uid="{00000000-0005-0000-0000-000075660000}"/>
    <cellStyle name="Normal 5 4 2 2 5 5 2" xfId="27292" xr:uid="{00000000-0005-0000-0000-000076660000}"/>
    <cellStyle name="Normal 5 4 2 2 5 6" xfId="4646" xr:uid="{00000000-0005-0000-0000-000077660000}"/>
    <cellStyle name="Normal 5 4 2 2 5 6 2" xfId="21369" xr:uid="{00000000-0005-0000-0000-000078660000}"/>
    <cellStyle name="Normal 5 4 2 2 5 7" xfId="17647" xr:uid="{00000000-0005-0000-0000-000079660000}"/>
    <cellStyle name="Normal 5 4 2 2 6" xfId="730" xr:uid="{00000000-0005-0000-0000-00007A660000}"/>
    <cellStyle name="Normal 5 4 2 2 6 2" xfId="3046" xr:uid="{00000000-0005-0000-0000-00007B660000}"/>
    <cellStyle name="Normal 5 4 2 2 6 2 2" xfId="9406" xr:uid="{00000000-0005-0000-0000-00007C660000}"/>
    <cellStyle name="Normal 5 4 2 2 6 2 2 2" xfId="16669" xr:uid="{00000000-0005-0000-0000-00007D660000}"/>
    <cellStyle name="Normal 5 4 2 2 6 2 2 2 2" xfId="32984" xr:uid="{00000000-0005-0000-0000-00007E660000}"/>
    <cellStyle name="Normal 5 4 2 2 6 2 2 3" xfId="26019" xr:uid="{00000000-0005-0000-0000-00007F660000}"/>
    <cellStyle name="Normal 5 4 2 2 6 2 3" xfId="12748" xr:uid="{00000000-0005-0000-0000-000080660000}"/>
    <cellStyle name="Normal 5 4 2 2 6 2 3 2" xfId="29323" xr:uid="{00000000-0005-0000-0000-000081660000}"/>
    <cellStyle name="Normal 5 4 2 2 6 2 4" xfId="6055" xr:uid="{00000000-0005-0000-0000-000082660000}"/>
    <cellStyle name="Normal 5 4 2 2 6 2 4 2" xfId="22719" xr:uid="{00000000-0005-0000-0000-000083660000}"/>
    <cellStyle name="Normal 5 4 2 2 6 2 5" xfId="19773" xr:uid="{00000000-0005-0000-0000-000084660000}"/>
    <cellStyle name="Normal 5 4 2 2 6 3" xfId="7785" xr:uid="{00000000-0005-0000-0000-000085660000}"/>
    <cellStyle name="Normal 5 4 2 2 6 3 2" xfId="15048" xr:uid="{00000000-0005-0000-0000-000086660000}"/>
    <cellStyle name="Normal 5 4 2 2 6 3 2 2" xfId="31363" xr:uid="{00000000-0005-0000-0000-000087660000}"/>
    <cellStyle name="Normal 5 4 2 2 6 3 3" xfId="24398" xr:uid="{00000000-0005-0000-0000-000088660000}"/>
    <cellStyle name="Normal 5 4 2 2 6 4" xfId="11100" xr:uid="{00000000-0005-0000-0000-000089660000}"/>
    <cellStyle name="Normal 5 4 2 2 6 4 2" xfId="27698" xr:uid="{00000000-0005-0000-0000-00008A660000}"/>
    <cellStyle name="Normal 5 4 2 2 6 5" xfId="4648" xr:uid="{00000000-0005-0000-0000-00008B660000}"/>
    <cellStyle name="Normal 5 4 2 2 6 5 2" xfId="21371" xr:uid="{00000000-0005-0000-0000-00008C660000}"/>
    <cellStyle name="Normal 5 4 2 2 6 6" xfId="17543" xr:uid="{00000000-0005-0000-0000-00008D660000}"/>
    <cellStyle name="Normal 5 4 2 2 7" xfId="1327" xr:uid="{00000000-0005-0000-0000-00008E660000}"/>
    <cellStyle name="Normal 5 4 2 2 7 2" xfId="8492" xr:uid="{00000000-0005-0000-0000-00008F660000}"/>
    <cellStyle name="Normal 5 4 2 2 7 2 2" xfId="15755" xr:uid="{00000000-0005-0000-0000-000090660000}"/>
    <cellStyle name="Normal 5 4 2 2 7 2 2 2" xfId="32070" xr:uid="{00000000-0005-0000-0000-000091660000}"/>
    <cellStyle name="Normal 5 4 2 2 7 2 3" xfId="25105" xr:uid="{00000000-0005-0000-0000-000092660000}"/>
    <cellStyle name="Normal 5 4 2 2 7 3" xfId="11833" xr:uid="{00000000-0005-0000-0000-000093660000}"/>
    <cellStyle name="Normal 5 4 2 2 7 3 2" xfId="28409" xr:uid="{00000000-0005-0000-0000-000094660000}"/>
    <cellStyle name="Normal 5 4 2 2 7 4" xfId="5139" xr:uid="{00000000-0005-0000-0000-000095660000}"/>
    <cellStyle name="Normal 5 4 2 2 7 4 2" xfId="21805" xr:uid="{00000000-0005-0000-0000-000096660000}"/>
    <cellStyle name="Normal 5 4 2 2 7 5" xfId="18062" xr:uid="{00000000-0005-0000-0000-000097660000}"/>
    <cellStyle name="Normal 5 4 2 2 8" xfId="3015" xr:uid="{00000000-0005-0000-0000-000098660000}"/>
    <cellStyle name="Normal 5 4 2 2 8 2" xfId="14136" xr:uid="{00000000-0005-0000-0000-000099660000}"/>
    <cellStyle name="Normal 5 4 2 2 8 2 2" xfId="30451" xr:uid="{00000000-0005-0000-0000-00009A660000}"/>
    <cellStyle name="Normal 5 4 2 2 8 3" xfId="6873" xr:uid="{00000000-0005-0000-0000-00009B660000}"/>
    <cellStyle name="Normal 5 4 2 2 8 3 2" xfId="23486" xr:uid="{00000000-0005-0000-0000-00009C660000}"/>
    <cellStyle name="Normal 5 4 2 2 8 4" xfId="19742" xr:uid="{00000000-0005-0000-0000-00009D660000}"/>
    <cellStyle name="Normal 5 4 2 2 9" xfId="10186" xr:uid="{00000000-0005-0000-0000-00009E660000}"/>
    <cellStyle name="Normal 5 4 2 2 9 2" xfId="26786" xr:uid="{00000000-0005-0000-0000-00009F660000}"/>
    <cellStyle name="Normal 5 4 2 3" xfId="675" xr:uid="{00000000-0005-0000-0000-0000A0660000}"/>
    <cellStyle name="Normal 5 4 2 3 10" xfId="17491" xr:uid="{00000000-0005-0000-0000-0000A1660000}"/>
    <cellStyle name="Normal 5 4 2 3 2" xfId="1014" xr:uid="{00000000-0005-0000-0000-0000A2660000}"/>
    <cellStyle name="Normal 5 4 2 3 2 2" xfId="1227" xr:uid="{00000000-0005-0000-0000-0000A3660000}"/>
    <cellStyle name="Normal 5 4 2 3 2 2 2" xfId="1748" xr:uid="{00000000-0005-0000-0000-0000A4660000}"/>
    <cellStyle name="Normal 5 4 2 3 2 2 2 2" xfId="3051" xr:uid="{00000000-0005-0000-0000-0000A5660000}"/>
    <cellStyle name="Normal 5 4 2 3 2 2 2 2 2" xfId="6642" xr:uid="{00000000-0005-0000-0000-0000A6660000}"/>
    <cellStyle name="Normal 5 4 2 3 2 2 2 2 2 2" xfId="9993" xr:uid="{00000000-0005-0000-0000-0000A7660000}"/>
    <cellStyle name="Normal 5 4 2 3 2 2 2 2 2 2 2" xfId="17256" xr:uid="{00000000-0005-0000-0000-0000A8660000}"/>
    <cellStyle name="Normal 5 4 2 3 2 2 2 2 2 2 2 2" xfId="33571" xr:uid="{00000000-0005-0000-0000-0000A9660000}"/>
    <cellStyle name="Normal 5 4 2 3 2 2 2 2 2 2 3" xfId="26606" xr:uid="{00000000-0005-0000-0000-0000AA660000}"/>
    <cellStyle name="Normal 5 4 2 3 2 2 2 2 2 3" xfId="13335" xr:uid="{00000000-0005-0000-0000-0000AB660000}"/>
    <cellStyle name="Normal 5 4 2 3 2 2 2 2 2 3 2" xfId="29910" xr:uid="{00000000-0005-0000-0000-0000AC660000}"/>
    <cellStyle name="Normal 5 4 2 3 2 2 2 2 2 4" xfId="23306" xr:uid="{00000000-0005-0000-0000-0000AD660000}"/>
    <cellStyle name="Normal 5 4 2 3 2 2 2 2 3" xfId="8372" xr:uid="{00000000-0005-0000-0000-0000AE660000}"/>
    <cellStyle name="Normal 5 4 2 3 2 2 2 2 3 2" xfId="15635" xr:uid="{00000000-0005-0000-0000-0000AF660000}"/>
    <cellStyle name="Normal 5 4 2 3 2 2 2 2 3 2 2" xfId="31950" xr:uid="{00000000-0005-0000-0000-0000B0660000}"/>
    <cellStyle name="Normal 5 4 2 3 2 2 2 2 3 3" xfId="24985" xr:uid="{00000000-0005-0000-0000-0000B1660000}"/>
    <cellStyle name="Normal 5 4 2 3 2 2 2 2 4" xfId="11687" xr:uid="{00000000-0005-0000-0000-0000B2660000}"/>
    <cellStyle name="Normal 5 4 2 3 2 2 2 2 4 2" xfId="28285" xr:uid="{00000000-0005-0000-0000-0000B3660000}"/>
    <cellStyle name="Normal 5 4 2 3 2 2 2 2 5" xfId="4653" xr:uid="{00000000-0005-0000-0000-0000B4660000}"/>
    <cellStyle name="Normal 5 4 2 3 2 2 2 2 5 2" xfId="21376" xr:uid="{00000000-0005-0000-0000-0000B5660000}"/>
    <cellStyle name="Normal 5 4 2 3 2 2 2 2 6" xfId="19778" xr:uid="{00000000-0005-0000-0000-0000B6660000}"/>
    <cellStyle name="Normal 5 4 2 3 2 2 2 3" xfId="3050" xr:uid="{00000000-0005-0000-0000-0000B7660000}"/>
    <cellStyle name="Normal 5 4 2 3 2 2 2 3 2" xfId="9217" xr:uid="{00000000-0005-0000-0000-0000B8660000}"/>
    <cellStyle name="Normal 5 4 2 3 2 2 2 3 2 2" xfId="16480" xr:uid="{00000000-0005-0000-0000-0000B9660000}"/>
    <cellStyle name="Normal 5 4 2 3 2 2 2 3 2 2 2" xfId="32795" xr:uid="{00000000-0005-0000-0000-0000BA660000}"/>
    <cellStyle name="Normal 5 4 2 3 2 2 2 3 2 3" xfId="25830" xr:uid="{00000000-0005-0000-0000-0000BB660000}"/>
    <cellStyle name="Normal 5 4 2 3 2 2 2 3 3" xfId="12559" xr:uid="{00000000-0005-0000-0000-0000BC660000}"/>
    <cellStyle name="Normal 5 4 2 3 2 2 2 3 3 2" xfId="29134" xr:uid="{00000000-0005-0000-0000-0000BD660000}"/>
    <cellStyle name="Normal 5 4 2 3 2 2 2 3 4" xfId="5866" xr:uid="{00000000-0005-0000-0000-0000BE660000}"/>
    <cellStyle name="Normal 5 4 2 3 2 2 2 3 4 2" xfId="22530" xr:uid="{00000000-0005-0000-0000-0000BF660000}"/>
    <cellStyle name="Normal 5 4 2 3 2 2 2 3 5" xfId="19777" xr:uid="{00000000-0005-0000-0000-0000C0660000}"/>
    <cellStyle name="Normal 5 4 2 3 2 2 2 4" xfId="7596" xr:uid="{00000000-0005-0000-0000-0000C1660000}"/>
    <cellStyle name="Normal 5 4 2 3 2 2 2 4 2" xfId="14859" xr:uid="{00000000-0005-0000-0000-0000C2660000}"/>
    <cellStyle name="Normal 5 4 2 3 2 2 2 4 2 2" xfId="31174" xr:uid="{00000000-0005-0000-0000-0000C3660000}"/>
    <cellStyle name="Normal 5 4 2 3 2 2 2 4 3" xfId="24209" xr:uid="{00000000-0005-0000-0000-0000C4660000}"/>
    <cellStyle name="Normal 5 4 2 3 2 2 2 5" xfId="10911" xr:uid="{00000000-0005-0000-0000-0000C5660000}"/>
    <cellStyle name="Normal 5 4 2 3 2 2 2 5 2" xfId="27509" xr:uid="{00000000-0005-0000-0000-0000C6660000}"/>
    <cellStyle name="Normal 5 4 2 3 2 2 2 6" xfId="4652" xr:uid="{00000000-0005-0000-0000-0000C7660000}"/>
    <cellStyle name="Normal 5 4 2 3 2 2 2 6 2" xfId="21375" xr:uid="{00000000-0005-0000-0000-0000C8660000}"/>
    <cellStyle name="Normal 5 4 2 3 2 2 2 7" xfId="18483" xr:uid="{00000000-0005-0000-0000-0000C9660000}"/>
    <cellStyle name="Normal 5 4 2 3 2 2 3" xfId="3052" xr:uid="{00000000-0005-0000-0000-0000CA660000}"/>
    <cellStyle name="Normal 5 4 2 3 2 2 3 2" xfId="6272" xr:uid="{00000000-0005-0000-0000-0000CB660000}"/>
    <cellStyle name="Normal 5 4 2 3 2 2 3 2 2" xfId="9623" xr:uid="{00000000-0005-0000-0000-0000CC660000}"/>
    <cellStyle name="Normal 5 4 2 3 2 2 3 2 2 2" xfId="16886" xr:uid="{00000000-0005-0000-0000-0000CD660000}"/>
    <cellStyle name="Normal 5 4 2 3 2 2 3 2 2 2 2" xfId="33201" xr:uid="{00000000-0005-0000-0000-0000CE660000}"/>
    <cellStyle name="Normal 5 4 2 3 2 2 3 2 2 3" xfId="26236" xr:uid="{00000000-0005-0000-0000-0000CF660000}"/>
    <cellStyle name="Normal 5 4 2 3 2 2 3 2 3" xfId="12965" xr:uid="{00000000-0005-0000-0000-0000D0660000}"/>
    <cellStyle name="Normal 5 4 2 3 2 2 3 2 3 2" xfId="29540" xr:uid="{00000000-0005-0000-0000-0000D1660000}"/>
    <cellStyle name="Normal 5 4 2 3 2 2 3 2 4" xfId="22936" xr:uid="{00000000-0005-0000-0000-0000D2660000}"/>
    <cellStyle name="Normal 5 4 2 3 2 2 3 3" xfId="8002" xr:uid="{00000000-0005-0000-0000-0000D3660000}"/>
    <cellStyle name="Normal 5 4 2 3 2 2 3 3 2" xfId="15265" xr:uid="{00000000-0005-0000-0000-0000D4660000}"/>
    <cellStyle name="Normal 5 4 2 3 2 2 3 3 2 2" xfId="31580" xr:uid="{00000000-0005-0000-0000-0000D5660000}"/>
    <cellStyle name="Normal 5 4 2 3 2 2 3 3 3" xfId="24615" xr:uid="{00000000-0005-0000-0000-0000D6660000}"/>
    <cellStyle name="Normal 5 4 2 3 2 2 3 4" xfId="11317" xr:uid="{00000000-0005-0000-0000-0000D7660000}"/>
    <cellStyle name="Normal 5 4 2 3 2 2 3 4 2" xfId="27915" xr:uid="{00000000-0005-0000-0000-0000D8660000}"/>
    <cellStyle name="Normal 5 4 2 3 2 2 3 5" xfId="4654" xr:uid="{00000000-0005-0000-0000-0000D9660000}"/>
    <cellStyle name="Normal 5 4 2 3 2 2 3 5 2" xfId="21377" xr:uid="{00000000-0005-0000-0000-0000DA660000}"/>
    <cellStyle name="Normal 5 4 2 3 2 2 3 6" xfId="19779" xr:uid="{00000000-0005-0000-0000-0000DB660000}"/>
    <cellStyle name="Normal 5 4 2 3 2 2 4" xfId="3049" xr:uid="{00000000-0005-0000-0000-0000DC660000}"/>
    <cellStyle name="Normal 5 4 2 3 2 2 4 2" xfId="8810" xr:uid="{00000000-0005-0000-0000-0000DD660000}"/>
    <cellStyle name="Normal 5 4 2 3 2 2 4 2 2" xfId="16073" xr:uid="{00000000-0005-0000-0000-0000DE660000}"/>
    <cellStyle name="Normal 5 4 2 3 2 2 4 2 2 2" xfId="32388" xr:uid="{00000000-0005-0000-0000-0000DF660000}"/>
    <cellStyle name="Normal 5 4 2 3 2 2 4 2 3" xfId="25423" xr:uid="{00000000-0005-0000-0000-0000E0660000}"/>
    <cellStyle name="Normal 5 4 2 3 2 2 4 3" xfId="12152" xr:uid="{00000000-0005-0000-0000-0000E1660000}"/>
    <cellStyle name="Normal 5 4 2 3 2 2 4 3 2" xfId="28727" xr:uid="{00000000-0005-0000-0000-0000E2660000}"/>
    <cellStyle name="Normal 5 4 2 3 2 2 4 4" xfId="5459" xr:uid="{00000000-0005-0000-0000-0000E3660000}"/>
    <cellStyle name="Normal 5 4 2 3 2 2 4 4 2" xfId="22123" xr:uid="{00000000-0005-0000-0000-0000E4660000}"/>
    <cellStyle name="Normal 5 4 2 3 2 2 4 5" xfId="19776" xr:uid="{00000000-0005-0000-0000-0000E5660000}"/>
    <cellStyle name="Normal 5 4 2 3 2 2 5" xfId="7190" xr:uid="{00000000-0005-0000-0000-0000E6660000}"/>
    <cellStyle name="Normal 5 4 2 3 2 2 5 2" xfId="14453" xr:uid="{00000000-0005-0000-0000-0000E7660000}"/>
    <cellStyle name="Normal 5 4 2 3 2 2 5 2 2" xfId="30768" xr:uid="{00000000-0005-0000-0000-0000E8660000}"/>
    <cellStyle name="Normal 5 4 2 3 2 2 5 3" xfId="23803" xr:uid="{00000000-0005-0000-0000-0000E9660000}"/>
    <cellStyle name="Normal 5 4 2 3 2 2 6" xfId="10505" xr:uid="{00000000-0005-0000-0000-0000EA660000}"/>
    <cellStyle name="Normal 5 4 2 3 2 2 6 2" xfId="27103" xr:uid="{00000000-0005-0000-0000-0000EB660000}"/>
    <cellStyle name="Normal 5 4 2 3 2 2 7" xfId="4651" xr:uid="{00000000-0005-0000-0000-0000EC660000}"/>
    <cellStyle name="Normal 5 4 2 3 2 2 7 2" xfId="21374" xr:uid="{00000000-0005-0000-0000-0000ED660000}"/>
    <cellStyle name="Normal 5 4 2 3 2 2 8" xfId="17964" xr:uid="{00000000-0005-0000-0000-0000EE660000}"/>
    <cellStyle name="Normal 5 4 2 3 2 3" xfId="1575" xr:uid="{00000000-0005-0000-0000-0000EF660000}"/>
    <cellStyle name="Normal 5 4 2 3 2 3 2" xfId="3054" xr:uid="{00000000-0005-0000-0000-0000F0660000}"/>
    <cellStyle name="Normal 5 4 2 3 2 3 2 2" xfId="6466" xr:uid="{00000000-0005-0000-0000-0000F1660000}"/>
    <cellStyle name="Normal 5 4 2 3 2 3 2 2 2" xfId="9817" xr:uid="{00000000-0005-0000-0000-0000F2660000}"/>
    <cellStyle name="Normal 5 4 2 3 2 3 2 2 2 2" xfId="17080" xr:uid="{00000000-0005-0000-0000-0000F3660000}"/>
    <cellStyle name="Normal 5 4 2 3 2 3 2 2 2 2 2" xfId="33395" xr:uid="{00000000-0005-0000-0000-0000F4660000}"/>
    <cellStyle name="Normal 5 4 2 3 2 3 2 2 2 3" xfId="26430" xr:uid="{00000000-0005-0000-0000-0000F5660000}"/>
    <cellStyle name="Normal 5 4 2 3 2 3 2 2 3" xfId="13159" xr:uid="{00000000-0005-0000-0000-0000F6660000}"/>
    <cellStyle name="Normal 5 4 2 3 2 3 2 2 3 2" xfId="29734" xr:uid="{00000000-0005-0000-0000-0000F7660000}"/>
    <cellStyle name="Normal 5 4 2 3 2 3 2 2 4" xfId="23130" xr:uid="{00000000-0005-0000-0000-0000F8660000}"/>
    <cellStyle name="Normal 5 4 2 3 2 3 2 3" xfId="8196" xr:uid="{00000000-0005-0000-0000-0000F9660000}"/>
    <cellStyle name="Normal 5 4 2 3 2 3 2 3 2" xfId="15459" xr:uid="{00000000-0005-0000-0000-0000FA660000}"/>
    <cellStyle name="Normal 5 4 2 3 2 3 2 3 2 2" xfId="31774" xr:uid="{00000000-0005-0000-0000-0000FB660000}"/>
    <cellStyle name="Normal 5 4 2 3 2 3 2 3 3" xfId="24809" xr:uid="{00000000-0005-0000-0000-0000FC660000}"/>
    <cellStyle name="Normal 5 4 2 3 2 3 2 4" xfId="11511" xr:uid="{00000000-0005-0000-0000-0000FD660000}"/>
    <cellStyle name="Normal 5 4 2 3 2 3 2 4 2" xfId="28109" xr:uid="{00000000-0005-0000-0000-0000FE660000}"/>
    <cellStyle name="Normal 5 4 2 3 2 3 2 5" xfId="4656" xr:uid="{00000000-0005-0000-0000-0000FF660000}"/>
    <cellStyle name="Normal 5 4 2 3 2 3 2 5 2" xfId="21379" xr:uid="{00000000-0005-0000-0000-000000670000}"/>
    <cellStyle name="Normal 5 4 2 3 2 3 2 6" xfId="19781" xr:uid="{00000000-0005-0000-0000-000001670000}"/>
    <cellStyle name="Normal 5 4 2 3 2 3 3" xfId="3053" xr:uid="{00000000-0005-0000-0000-000002670000}"/>
    <cellStyle name="Normal 5 4 2 3 2 3 3 2" xfId="9005" xr:uid="{00000000-0005-0000-0000-000003670000}"/>
    <cellStyle name="Normal 5 4 2 3 2 3 3 2 2" xfId="16268" xr:uid="{00000000-0005-0000-0000-000004670000}"/>
    <cellStyle name="Normal 5 4 2 3 2 3 3 2 2 2" xfId="32583" xr:uid="{00000000-0005-0000-0000-000005670000}"/>
    <cellStyle name="Normal 5 4 2 3 2 3 3 2 3" xfId="25618" xr:uid="{00000000-0005-0000-0000-000006670000}"/>
    <cellStyle name="Normal 5 4 2 3 2 3 3 3" xfId="12347" xr:uid="{00000000-0005-0000-0000-000007670000}"/>
    <cellStyle name="Normal 5 4 2 3 2 3 3 3 2" xfId="28922" xr:uid="{00000000-0005-0000-0000-000008670000}"/>
    <cellStyle name="Normal 5 4 2 3 2 3 3 4" xfId="5654" xr:uid="{00000000-0005-0000-0000-000009670000}"/>
    <cellStyle name="Normal 5 4 2 3 2 3 3 4 2" xfId="22318" xr:uid="{00000000-0005-0000-0000-00000A670000}"/>
    <cellStyle name="Normal 5 4 2 3 2 3 3 5" xfId="19780" xr:uid="{00000000-0005-0000-0000-00000B670000}"/>
    <cellStyle name="Normal 5 4 2 3 2 3 4" xfId="7384" xr:uid="{00000000-0005-0000-0000-00000C670000}"/>
    <cellStyle name="Normal 5 4 2 3 2 3 4 2" xfId="14647" xr:uid="{00000000-0005-0000-0000-00000D670000}"/>
    <cellStyle name="Normal 5 4 2 3 2 3 4 2 2" xfId="30962" xr:uid="{00000000-0005-0000-0000-00000E670000}"/>
    <cellStyle name="Normal 5 4 2 3 2 3 4 3" xfId="23997" xr:uid="{00000000-0005-0000-0000-00000F670000}"/>
    <cellStyle name="Normal 5 4 2 3 2 3 5" xfId="10699" xr:uid="{00000000-0005-0000-0000-000010670000}"/>
    <cellStyle name="Normal 5 4 2 3 2 3 5 2" xfId="27297" xr:uid="{00000000-0005-0000-0000-000011670000}"/>
    <cellStyle name="Normal 5 4 2 3 2 3 6" xfId="4655" xr:uid="{00000000-0005-0000-0000-000012670000}"/>
    <cellStyle name="Normal 5 4 2 3 2 3 6 2" xfId="21378" xr:uid="{00000000-0005-0000-0000-000013670000}"/>
    <cellStyle name="Normal 5 4 2 3 2 3 7" xfId="18310" xr:uid="{00000000-0005-0000-0000-000014670000}"/>
    <cellStyle name="Normal 5 4 2 3 2 4" xfId="3055" xr:uid="{00000000-0005-0000-0000-000015670000}"/>
    <cellStyle name="Normal 5 4 2 3 2 4 2" xfId="6060" xr:uid="{00000000-0005-0000-0000-000016670000}"/>
    <cellStyle name="Normal 5 4 2 3 2 4 2 2" xfId="9411" xr:uid="{00000000-0005-0000-0000-000017670000}"/>
    <cellStyle name="Normal 5 4 2 3 2 4 2 2 2" xfId="16674" xr:uid="{00000000-0005-0000-0000-000018670000}"/>
    <cellStyle name="Normal 5 4 2 3 2 4 2 2 2 2" xfId="32989" xr:uid="{00000000-0005-0000-0000-000019670000}"/>
    <cellStyle name="Normal 5 4 2 3 2 4 2 2 3" xfId="26024" xr:uid="{00000000-0005-0000-0000-00001A670000}"/>
    <cellStyle name="Normal 5 4 2 3 2 4 2 3" xfId="12753" xr:uid="{00000000-0005-0000-0000-00001B670000}"/>
    <cellStyle name="Normal 5 4 2 3 2 4 2 3 2" xfId="29328" xr:uid="{00000000-0005-0000-0000-00001C670000}"/>
    <cellStyle name="Normal 5 4 2 3 2 4 2 4" xfId="22724" xr:uid="{00000000-0005-0000-0000-00001D670000}"/>
    <cellStyle name="Normal 5 4 2 3 2 4 3" xfId="7790" xr:uid="{00000000-0005-0000-0000-00001E670000}"/>
    <cellStyle name="Normal 5 4 2 3 2 4 3 2" xfId="15053" xr:uid="{00000000-0005-0000-0000-00001F670000}"/>
    <cellStyle name="Normal 5 4 2 3 2 4 3 2 2" xfId="31368" xr:uid="{00000000-0005-0000-0000-000020670000}"/>
    <cellStyle name="Normal 5 4 2 3 2 4 3 3" xfId="24403" xr:uid="{00000000-0005-0000-0000-000021670000}"/>
    <cellStyle name="Normal 5 4 2 3 2 4 4" xfId="11105" xr:uid="{00000000-0005-0000-0000-000022670000}"/>
    <cellStyle name="Normal 5 4 2 3 2 4 4 2" xfId="27703" xr:uid="{00000000-0005-0000-0000-000023670000}"/>
    <cellStyle name="Normal 5 4 2 3 2 4 5" xfId="4657" xr:uid="{00000000-0005-0000-0000-000024670000}"/>
    <cellStyle name="Normal 5 4 2 3 2 4 5 2" xfId="21380" xr:uid="{00000000-0005-0000-0000-000025670000}"/>
    <cellStyle name="Normal 5 4 2 3 2 4 6" xfId="19782" xr:uid="{00000000-0005-0000-0000-000026670000}"/>
    <cellStyle name="Normal 5 4 2 3 2 5" xfId="3048" xr:uid="{00000000-0005-0000-0000-000027670000}"/>
    <cellStyle name="Normal 5 4 2 3 2 5 2" xfId="8636" xr:uid="{00000000-0005-0000-0000-000028670000}"/>
    <cellStyle name="Normal 5 4 2 3 2 5 2 2" xfId="15899" xr:uid="{00000000-0005-0000-0000-000029670000}"/>
    <cellStyle name="Normal 5 4 2 3 2 5 2 2 2" xfId="32214" xr:uid="{00000000-0005-0000-0000-00002A670000}"/>
    <cellStyle name="Normal 5 4 2 3 2 5 2 3" xfId="25249" xr:uid="{00000000-0005-0000-0000-00002B670000}"/>
    <cellStyle name="Normal 5 4 2 3 2 5 3" xfId="11978" xr:uid="{00000000-0005-0000-0000-00002C670000}"/>
    <cellStyle name="Normal 5 4 2 3 2 5 3 2" xfId="28553" xr:uid="{00000000-0005-0000-0000-00002D670000}"/>
    <cellStyle name="Normal 5 4 2 3 2 5 4" xfId="5285" xr:uid="{00000000-0005-0000-0000-00002E670000}"/>
    <cellStyle name="Normal 5 4 2 3 2 5 4 2" xfId="21949" xr:uid="{00000000-0005-0000-0000-00002F670000}"/>
    <cellStyle name="Normal 5 4 2 3 2 5 5" xfId="19775" xr:uid="{00000000-0005-0000-0000-000030670000}"/>
    <cellStyle name="Normal 5 4 2 3 2 6" xfId="7017" xr:uid="{00000000-0005-0000-0000-000031670000}"/>
    <cellStyle name="Normal 5 4 2 3 2 6 2" xfId="14280" xr:uid="{00000000-0005-0000-0000-000032670000}"/>
    <cellStyle name="Normal 5 4 2 3 2 6 2 2" xfId="30595" xr:uid="{00000000-0005-0000-0000-000033670000}"/>
    <cellStyle name="Normal 5 4 2 3 2 6 3" xfId="23630" xr:uid="{00000000-0005-0000-0000-000034670000}"/>
    <cellStyle name="Normal 5 4 2 3 2 7" xfId="10331" xr:uid="{00000000-0005-0000-0000-000035670000}"/>
    <cellStyle name="Normal 5 4 2 3 2 7 2" xfId="26930" xr:uid="{00000000-0005-0000-0000-000036670000}"/>
    <cellStyle name="Normal 5 4 2 3 2 8" xfId="4650" xr:uid="{00000000-0005-0000-0000-000037670000}"/>
    <cellStyle name="Normal 5 4 2 3 2 8 2" xfId="21373" xr:uid="{00000000-0005-0000-0000-000038670000}"/>
    <cellStyle name="Normal 5 4 2 3 2 9" xfId="17791" xr:uid="{00000000-0005-0000-0000-000039670000}"/>
    <cellStyle name="Normal 5 4 2 3 3" xfId="1226" xr:uid="{00000000-0005-0000-0000-00003A670000}"/>
    <cellStyle name="Normal 5 4 2 3 3 2" xfId="1747" xr:uid="{00000000-0005-0000-0000-00003B670000}"/>
    <cellStyle name="Normal 5 4 2 3 3 2 2" xfId="3058" xr:uid="{00000000-0005-0000-0000-00003C670000}"/>
    <cellStyle name="Normal 5 4 2 3 3 2 2 2" xfId="6641" xr:uid="{00000000-0005-0000-0000-00003D670000}"/>
    <cellStyle name="Normal 5 4 2 3 3 2 2 2 2" xfId="9992" xr:uid="{00000000-0005-0000-0000-00003E670000}"/>
    <cellStyle name="Normal 5 4 2 3 3 2 2 2 2 2" xfId="17255" xr:uid="{00000000-0005-0000-0000-00003F670000}"/>
    <cellStyle name="Normal 5 4 2 3 3 2 2 2 2 2 2" xfId="33570" xr:uid="{00000000-0005-0000-0000-000040670000}"/>
    <cellStyle name="Normal 5 4 2 3 3 2 2 2 2 3" xfId="26605" xr:uid="{00000000-0005-0000-0000-000041670000}"/>
    <cellStyle name="Normal 5 4 2 3 3 2 2 2 3" xfId="13334" xr:uid="{00000000-0005-0000-0000-000042670000}"/>
    <cellStyle name="Normal 5 4 2 3 3 2 2 2 3 2" xfId="29909" xr:uid="{00000000-0005-0000-0000-000043670000}"/>
    <cellStyle name="Normal 5 4 2 3 3 2 2 2 4" xfId="23305" xr:uid="{00000000-0005-0000-0000-000044670000}"/>
    <cellStyle name="Normal 5 4 2 3 3 2 2 3" xfId="8371" xr:uid="{00000000-0005-0000-0000-000045670000}"/>
    <cellStyle name="Normal 5 4 2 3 3 2 2 3 2" xfId="15634" xr:uid="{00000000-0005-0000-0000-000046670000}"/>
    <cellStyle name="Normal 5 4 2 3 3 2 2 3 2 2" xfId="31949" xr:uid="{00000000-0005-0000-0000-000047670000}"/>
    <cellStyle name="Normal 5 4 2 3 3 2 2 3 3" xfId="24984" xr:uid="{00000000-0005-0000-0000-000048670000}"/>
    <cellStyle name="Normal 5 4 2 3 3 2 2 4" xfId="11686" xr:uid="{00000000-0005-0000-0000-000049670000}"/>
    <cellStyle name="Normal 5 4 2 3 3 2 2 4 2" xfId="28284" xr:uid="{00000000-0005-0000-0000-00004A670000}"/>
    <cellStyle name="Normal 5 4 2 3 3 2 2 5" xfId="4660" xr:uid="{00000000-0005-0000-0000-00004B670000}"/>
    <cellStyle name="Normal 5 4 2 3 3 2 2 5 2" xfId="21383" xr:uid="{00000000-0005-0000-0000-00004C670000}"/>
    <cellStyle name="Normal 5 4 2 3 3 2 2 6" xfId="19785" xr:uid="{00000000-0005-0000-0000-00004D670000}"/>
    <cellStyle name="Normal 5 4 2 3 3 2 3" xfId="3057" xr:uid="{00000000-0005-0000-0000-00004E670000}"/>
    <cellStyle name="Normal 5 4 2 3 3 2 3 2" xfId="9216" xr:uid="{00000000-0005-0000-0000-00004F670000}"/>
    <cellStyle name="Normal 5 4 2 3 3 2 3 2 2" xfId="16479" xr:uid="{00000000-0005-0000-0000-000050670000}"/>
    <cellStyle name="Normal 5 4 2 3 3 2 3 2 2 2" xfId="32794" xr:uid="{00000000-0005-0000-0000-000051670000}"/>
    <cellStyle name="Normal 5 4 2 3 3 2 3 2 3" xfId="25829" xr:uid="{00000000-0005-0000-0000-000052670000}"/>
    <cellStyle name="Normal 5 4 2 3 3 2 3 3" xfId="12558" xr:uid="{00000000-0005-0000-0000-000053670000}"/>
    <cellStyle name="Normal 5 4 2 3 3 2 3 3 2" xfId="29133" xr:uid="{00000000-0005-0000-0000-000054670000}"/>
    <cellStyle name="Normal 5 4 2 3 3 2 3 4" xfId="5865" xr:uid="{00000000-0005-0000-0000-000055670000}"/>
    <cellStyle name="Normal 5 4 2 3 3 2 3 4 2" xfId="22529" xr:uid="{00000000-0005-0000-0000-000056670000}"/>
    <cellStyle name="Normal 5 4 2 3 3 2 3 5" xfId="19784" xr:uid="{00000000-0005-0000-0000-000057670000}"/>
    <cellStyle name="Normal 5 4 2 3 3 2 4" xfId="7595" xr:uid="{00000000-0005-0000-0000-000058670000}"/>
    <cellStyle name="Normal 5 4 2 3 3 2 4 2" xfId="14858" xr:uid="{00000000-0005-0000-0000-000059670000}"/>
    <cellStyle name="Normal 5 4 2 3 3 2 4 2 2" xfId="31173" xr:uid="{00000000-0005-0000-0000-00005A670000}"/>
    <cellStyle name="Normal 5 4 2 3 3 2 4 3" xfId="24208" xr:uid="{00000000-0005-0000-0000-00005B670000}"/>
    <cellStyle name="Normal 5 4 2 3 3 2 5" xfId="10910" xr:uid="{00000000-0005-0000-0000-00005C670000}"/>
    <cellStyle name="Normal 5 4 2 3 3 2 5 2" xfId="27508" xr:uid="{00000000-0005-0000-0000-00005D670000}"/>
    <cellStyle name="Normal 5 4 2 3 3 2 6" xfId="4659" xr:uid="{00000000-0005-0000-0000-00005E670000}"/>
    <cellStyle name="Normal 5 4 2 3 3 2 6 2" xfId="21382" xr:uid="{00000000-0005-0000-0000-00005F670000}"/>
    <cellStyle name="Normal 5 4 2 3 3 2 7" xfId="18482" xr:uid="{00000000-0005-0000-0000-000060670000}"/>
    <cellStyle name="Normal 5 4 2 3 3 3" xfId="3059" xr:uid="{00000000-0005-0000-0000-000061670000}"/>
    <cellStyle name="Normal 5 4 2 3 3 3 2" xfId="6271" xr:uid="{00000000-0005-0000-0000-000062670000}"/>
    <cellStyle name="Normal 5 4 2 3 3 3 2 2" xfId="9622" xr:uid="{00000000-0005-0000-0000-000063670000}"/>
    <cellStyle name="Normal 5 4 2 3 3 3 2 2 2" xfId="16885" xr:uid="{00000000-0005-0000-0000-000064670000}"/>
    <cellStyle name="Normal 5 4 2 3 3 3 2 2 2 2" xfId="33200" xr:uid="{00000000-0005-0000-0000-000065670000}"/>
    <cellStyle name="Normal 5 4 2 3 3 3 2 2 3" xfId="26235" xr:uid="{00000000-0005-0000-0000-000066670000}"/>
    <cellStyle name="Normal 5 4 2 3 3 3 2 3" xfId="12964" xr:uid="{00000000-0005-0000-0000-000067670000}"/>
    <cellStyle name="Normal 5 4 2 3 3 3 2 3 2" xfId="29539" xr:uid="{00000000-0005-0000-0000-000068670000}"/>
    <cellStyle name="Normal 5 4 2 3 3 3 2 4" xfId="22935" xr:uid="{00000000-0005-0000-0000-000069670000}"/>
    <cellStyle name="Normal 5 4 2 3 3 3 3" xfId="8001" xr:uid="{00000000-0005-0000-0000-00006A670000}"/>
    <cellStyle name="Normal 5 4 2 3 3 3 3 2" xfId="15264" xr:uid="{00000000-0005-0000-0000-00006B670000}"/>
    <cellStyle name="Normal 5 4 2 3 3 3 3 2 2" xfId="31579" xr:uid="{00000000-0005-0000-0000-00006C670000}"/>
    <cellStyle name="Normal 5 4 2 3 3 3 3 3" xfId="24614" xr:uid="{00000000-0005-0000-0000-00006D670000}"/>
    <cellStyle name="Normal 5 4 2 3 3 3 4" xfId="11316" xr:uid="{00000000-0005-0000-0000-00006E670000}"/>
    <cellStyle name="Normal 5 4 2 3 3 3 4 2" xfId="27914" xr:uid="{00000000-0005-0000-0000-00006F670000}"/>
    <cellStyle name="Normal 5 4 2 3 3 3 5" xfId="4661" xr:uid="{00000000-0005-0000-0000-000070670000}"/>
    <cellStyle name="Normal 5 4 2 3 3 3 5 2" xfId="21384" xr:uid="{00000000-0005-0000-0000-000071670000}"/>
    <cellStyle name="Normal 5 4 2 3 3 3 6" xfId="19786" xr:uid="{00000000-0005-0000-0000-000072670000}"/>
    <cellStyle name="Normal 5 4 2 3 3 4" xfId="3056" xr:uid="{00000000-0005-0000-0000-000073670000}"/>
    <cellStyle name="Normal 5 4 2 3 3 4 2" xfId="8809" xr:uid="{00000000-0005-0000-0000-000074670000}"/>
    <cellStyle name="Normal 5 4 2 3 3 4 2 2" xfId="16072" xr:uid="{00000000-0005-0000-0000-000075670000}"/>
    <cellStyle name="Normal 5 4 2 3 3 4 2 2 2" xfId="32387" xr:uid="{00000000-0005-0000-0000-000076670000}"/>
    <cellStyle name="Normal 5 4 2 3 3 4 2 3" xfId="25422" xr:uid="{00000000-0005-0000-0000-000077670000}"/>
    <cellStyle name="Normal 5 4 2 3 3 4 3" xfId="12151" xr:uid="{00000000-0005-0000-0000-000078670000}"/>
    <cellStyle name="Normal 5 4 2 3 3 4 3 2" xfId="28726" xr:uid="{00000000-0005-0000-0000-000079670000}"/>
    <cellStyle name="Normal 5 4 2 3 3 4 4" xfId="5458" xr:uid="{00000000-0005-0000-0000-00007A670000}"/>
    <cellStyle name="Normal 5 4 2 3 3 4 4 2" xfId="22122" xr:uid="{00000000-0005-0000-0000-00007B670000}"/>
    <cellStyle name="Normal 5 4 2 3 3 4 5" xfId="19783" xr:uid="{00000000-0005-0000-0000-00007C670000}"/>
    <cellStyle name="Normal 5 4 2 3 3 5" xfId="7189" xr:uid="{00000000-0005-0000-0000-00007D670000}"/>
    <cellStyle name="Normal 5 4 2 3 3 5 2" xfId="14452" xr:uid="{00000000-0005-0000-0000-00007E670000}"/>
    <cellStyle name="Normal 5 4 2 3 3 5 2 2" xfId="30767" xr:uid="{00000000-0005-0000-0000-00007F670000}"/>
    <cellStyle name="Normal 5 4 2 3 3 5 3" xfId="23802" xr:uid="{00000000-0005-0000-0000-000080670000}"/>
    <cellStyle name="Normal 5 4 2 3 3 6" xfId="10504" xr:uid="{00000000-0005-0000-0000-000081670000}"/>
    <cellStyle name="Normal 5 4 2 3 3 6 2" xfId="27102" xr:uid="{00000000-0005-0000-0000-000082670000}"/>
    <cellStyle name="Normal 5 4 2 3 3 7" xfId="4658" xr:uid="{00000000-0005-0000-0000-000083670000}"/>
    <cellStyle name="Normal 5 4 2 3 3 7 2" xfId="21381" xr:uid="{00000000-0005-0000-0000-000084670000}"/>
    <cellStyle name="Normal 5 4 2 3 3 8" xfId="17963" xr:uid="{00000000-0005-0000-0000-000085670000}"/>
    <cellStyle name="Normal 5 4 2 3 4" xfId="907" xr:uid="{00000000-0005-0000-0000-000086670000}"/>
    <cellStyle name="Normal 5 4 2 3 4 2" xfId="1469" xr:uid="{00000000-0005-0000-0000-000087670000}"/>
    <cellStyle name="Normal 5 4 2 3 4 2 2" xfId="3061" xr:uid="{00000000-0005-0000-0000-000088670000}"/>
    <cellStyle name="Normal 5 4 2 3 4 2 2 2" xfId="9816" xr:uid="{00000000-0005-0000-0000-000089670000}"/>
    <cellStyle name="Normal 5 4 2 3 4 2 2 2 2" xfId="17079" xr:uid="{00000000-0005-0000-0000-00008A670000}"/>
    <cellStyle name="Normal 5 4 2 3 4 2 2 2 2 2" xfId="33394" xr:uid="{00000000-0005-0000-0000-00008B670000}"/>
    <cellStyle name="Normal 5 4 2 3 4 2 2 2 3" xfId="26429" xr:uid="{00000000-0005-0000-0000-00008C670000}"/>
    <cellStyle name="Normal 5 4 2 3 4 2 2 3" xfId="13158" xr:uid="{00000000-0005-0000-0000-00008D670000}"/>
    <cellStyle name="Normal 5 4 2 3 4 2 2 3 2" xfId="29733" xr:uid="{00000000-0005-0000-0000-00008E670000}"/>
    <cellStyle name="Normal 5 4 2 3 4 2 2 4" xfId="6465" xr:uid="{00000000-0005-0000-0000-00008F670000}"/>
    <cellStyle name="Normal 5 4 2 3 4 2 2 4 2" xfId="23129" xr:uid="{00000000-0005-0000-0000-000090670000}"/>
    <cellStyle name="Normal 5 4 2 3 4 2 2 5" xfId="19788" xr:uid="{00000000-0005-0000-0000-000091670000}"/>
    <cellStyle name="Normal 5 4 2 3 4 2 3" xfId="8195" xr:uid="{00000000-0005-0000-0000-000092670000}"/>
    <cellStyle name="Normal 5 4 2 3 4 2 3 2" xfId="15458" xr:uid="{00000000-0005-0000-0000-000093670000}"/>
    <cellStyle name="Normal 5 4 2 3 4 2 3 2 2" xfId="31773" xr:uid="{00000000-0005-0000-0000-000094670000}"/>
    <cellStyle name="Normal 5 4 2 3 4 2 3 3" xfId="24808" xr:uid="{00000000-0005-0000-0000-000095670000}"/>
    <cellStyle name="Normal 5 4 2 3 4 2 4" xfId="11510" xr:uid="{00000000-0005-0000-0000-000096670000}"/>
    <cellStyle name="Normal 5 4 2 3 4 2 4 2" xfId="28108" xr:uid="{00000000-0005-0000-0000-000097670000}"/>
    <cellStyle name="Normal 5 4 2 3 4 2 5" xfId="4663" xr:uid="{00000000-0005-0000-0000-000098670000}"/>
    <cellStyle name="Normal 5 4 2 3 4 2 5 2" xfId="21386" xr:uid="{00000000-0005-0000-0000-000099670000}"/>
    <cellStyle name="Normal 5 4 2 3 4 2 6" xfId="18204" xr:uid="{00000000-0005-0000-0000-00009A670000}"/>
    <cellStyle name="Normal 5 4 2 3 4 3" xfId="3060" xr:uid="{00000000-0005-0000-0000-00009B670000}"/>
    <cellStyle name="Normal 5 4 2 3 4 3 2" xfId="9004" xr:uid="{00000000-0005-0000-0000-00009C670000}"/>
    <cellStyle name="Normal 5 4 2 3 4 3 2 2" xfId="16267" xr:uid="{00000000-0005-0000-0000-00009D670000}"/>
    <cellStyle name="Normal 5 4 2 3 4 3 2 2 2" xfId="32582" xr:uid="{00000000-0005-0000-0000-00009E670000}"/>
    <cellStyle name="Normal 5 4 2 3 4 3 2 3" xfId="25617" xr:uid="{00000000-0005-0000-0000-00009F670000}"/>
    <cellStyle name="Normal 5 4 2 3 4 3 3" xfId="12346" xr:uid="{00000000-0005-0000-0000-0000A0670000}"/>
    <cellStyle name="Normal 5 4 2 3 4 3 3 2" xfId="28921" xr:uid="{00000000-0005-0000-0000-0000A1670000}"/>
    <cellStyle name="Normal 5 4 2 3 4 3 4" xfId="5653" xr:uid="{00000000-0005-0000-0000-0000A2670000}"/>
    <cellStyle name="Normal 5 4 2 3 4 3 4 2" xfId="22317" xr:uid="{00000000-0005-0000-0000-0000A3670000}"/>
    <cellStyle name="Normal 5 4 2 3 4 3 5" xfId="19787" xr:uid="{00000000-0005-0000-0000-0000A4670000}"/>
    <cellStyle name="Normal 5 4 2 3 4 4" xfId="7383" xr:uid="{00000000-0005-0000-0000-0000A5670000}"/>
    <cellStyle name="Normal 5 4 2 3 4 4 2" xfId="14646" xr:uid="{00000000-0005-0000-0000-0000A6670000}"/>
    <cellStyle name="Normal 5 4 2 3 4 4 2 2" xfId="30961" xr:uid="{00000000-0005-0000-0000-0000A7670000}"/>
    <cellStyle name="Normal 5 4 2 3 4 4 3" xfId="23996" xr:uid="{00000000-0005-0000-0000-0000A8670000}"/>
    <cellStyle name="Normal 5 4 2 3 4 5" xfId="10698" xr:uid="{00000000-0005-0000-0000-0000A9670000}"/>
    <cellStyle name="Normal 5 4 2 3 4 5 2" xfId="27296" xr:uid="{00000000-0005-0000-0000-0000AA670000}"/>
    <cellStyle name="Normal 5 4 2 3 4 6" xfId="4662" xr:uid="{00000000-0005-0000-0000-0000AB670000}"/>
    <cellStyle name="Normal 5 4 2 3 4 6 2" xfId="21385" xr:uid="{00000000-0005-0000-0000-0000AC670000}"/>
    <cellStyle name="Normal 5 4 2 3 4 7" xfId="17685" xr:uid="{00000000-0005-0000-0000-0000AD670000}"/>
    <cellStyle name="Normal 5 4 2 3 5" xfId="783" xr:uid="{00000000-0005-0000-0000-0000AE670000}"/>
    <cellStyle name="Normal 5 4 2 3 5 2" xfId="3062" xr:uid="{00000000-0005-0000-0000-0000AF670000}"/>
    <cellStyle name="Normal 5 4 2 3 5 2 2" xfId="9410" xr:uid="{00000000-0005-0000-0000-0000B0670000}"/>
    <cellStyle name="Normal 5 4 2 3 5 2 2 2" xfId="16673" xr:uid="{00000000-0005-0000-0000-0000B1670000}"/>
    <cellStyle name="Normal 5 4 2 3 5 2 2 2 2" xfId="32988" xr:uid="{00000000-0005-0000-0000-0000B2670000}"/>
    <cellStyle name="Normal 5 4 2 3 5 2 2 3" xfId="26023" xr:uid="{00000000-0005-0000-0000-0000B3670000}"/>
    <cellStyle name="Normal 5 4 2 3 5 2 3" xfId="12752" xr:uid="{00000000-0005-0000-0000-0000B4670000}"/>
    <cellStyle name="Normal 5 4 2 3 5 2 3 2" xfId="29327" xr:uid="{00000000-0005-0000-0000-0000B5670000}"/>
    <cellStyle name="Normal 5 4 2 3 5 2 4" xfId="6059" xr:uid="{00000000-0005-0000-0000-0000B6670000}"/>
    <cellStyle name="Normal 5 4 2 3 5 2 4 2" xfId="22723" xr:uid="{00000000-0005-0000-0000-0000B7670000}"/>
    <cellStyle name="Normal 5 4 2 3 5 2 5" xfId="19789" xr:uid="{00000000-0005-0000-0000-0000B8670000}"/>
    <cellStyle name="Normal 5 4 2 3 5 3" xfId="7789" xr:uid="{00000000-0005-0000-0000-0000B9670000}"/>
    <cellStyle name="Normal 5 4 2 3 5 3 2" xfId="15052" xr:uid="{00000000-0005-0000-0000-0000BA670000}"/>
    <cellStyle name="Normal 5 4 2 3 5 3 2 2" xfId="31367" xr:uid="{00000000-0005-0000-0000-0000BB670000}"/>
    <cellStyle name="Normal 5 4 2 3 5 3 3" xfId="24402" xr:uid="{00000000-0005-0000-0000-0000BC670000}"/>
    <cellStyle name="Normal 5 4 2 3 5 4" xfId="11104" xr:uid="{00000000-0005-0000-0000-0000BD670000}"/>
    <cellStyle name="Normal 5 4 2 3 5 4 2" xfId="27702" xr:uid="{00000000-0005-0000-0000-0000BE670000}"/>
    <cellStyle name="Normal 5 4 2 3 5 5" xfId="4664" xr:uid="{00000000-0005-0000-0000-0000BF670000}"/>
    <cellStyle name="Normal 5 4 2 3 5 5 2" xfId="21387" xr:uid="{00000000-0005-0000-0000-0000C0670000}"/>
    <cellStyle name="Normal 5 4 2 3 5 6" xfId="17596" xr:uid="{00000000-0005-0000-0000-0000C1670000}"/>
    <cellStyle name="Normal 5 4 2 3 6" xfId="1380" xr:uid="{00000000-0005-0000-0000-0000C2670000}"/>
    <cellStyle name="Normal 5 4 2 3 6 2" xfId="8530" xr:uid="{00000000-0005-0000-0000-0000C3670000}"/>
    <cellStyle name="Normal 5 4 2 3 6 2 2" xfId="15793" xr:uid="{00000000-0005-0000-0000-0000C4670000}"/>
    <cellStyle name="Normal 5 4 2 3 6 2 2 2" xfId="32108" xr:uid="{00000000-0005-0000-0000-0000C5670000}"/>
    <cellStyle name="Normal 5 4 2 3 6 2 3" xfId="25143" xr:uid="{00000000-0005-0000-0000-0000C6670000}"/>
    <cellStyle name="Normal 5 4 2 3 6 3" xfId="11872" xr:uid="{00000000-0005-0000-0000-0000C7670000}"/>
    <cellStyle name="Normal 5 4 2 3 6 3 2" xfId="28447" xr:uid="{00000000-0005-0000-0000-0000C8670000}"/>
    <cellStyle name="Normal 5 4 2 3 6 4" xfId="5179" xr:uid="{00000000-0005-0000-0000-0000C9670000}"/>
    <cellStyle name="Normal 5 4 2 3 6 4 2" xfId="21843" xr:uid="{00000000-0005-0000-0000-0000CA670000}"/>
    <cellStyle name="Normal 5 4 2 3 6 5" xfId="18115" xr:uid="{00000000-0005-0000-0000-0000CB670000}"/>
    <cellStyle name="Normal 5 4 2 3 7" xfId="3047" xr:uid="{00000000-0005-0000-0000-0000CC670000}"/>
    <cellStyle name="Normal 5 4 2 3 7 2" xfId="14174" xr:uid="{00000000-0005-0000-0000-0000CD670000}"/>
    <cellStyle name="Normal 5 4 2 3 7 2 2" xfId="30489" xr:uid="{00000000-0005-0000-0000-0000CE670000}"/>
    <cellStyle name="Normal 5 4 2 3 7 3" xfId="6911" xr:uid="{00000000-0005-0000-0000-0000CF670000}"/>
    <cellStyle name="Normal 5 4 2 3 7 3 2" xfId="23524" xr:uid="{00000000-0005-0000-0000-0000D0670000}"/>
    <cellStyle name="Normal 5 4 2 3 7 4" xfId="19774" xr:uid="{00000000-0005-0000-0000-0000D1670000}"/>
    <cellStyle name="Normal 5 4 2 3 8" xfId="10225" xr:uid="{00000000-0005-0000-0000-0000D2670000}"/>
    <cellStyle name="Normal 5 4 2 3 8 2" xfId="26824" xr:uid="{00000000-0005-0000-0000-0000D3670000}"/>
    <cellStyle name="Normal 5 4 2 3 9" xfId="4649" xr:uid="{00000000-0005-0000-0000-0000D4670000}"/>
    <cellStyle name="Normal 5 4 2 3 9 2" xfId="21372" xr:uid="{00000000-0005-0000-0000-0000D5670000}"/>
    <cellStyle name="Normal 5 4 2 4" xfId="637" xr:uid="{00000000-0005-0000-0000-0000D6670000}"/>
    <cellStyle name="Normal 5 4 2 4 2" xfId="1228" xr:uid="{00000000-0005-0000-0000-0000D7670000}"/>
    <cellStyle name="Normal 5 4 2 4 2 2" xfId="1749" xr:uid="{00000000-0005-0000-0000-0000D8670000}"/>
    <cellStyle name="Normal 5 4 2 4 2 2 2" xfId="3066" xr:uid="{00000000-0005-0000-0000-0000D9670000}"/>
    <cellStyle name="Normal 5 4 2 4 2 2 2 2" xfId="6643" xr:uid="{00000000-0005-0000-0000-0000DA670000}"/>
    <cellStyle name="Normal 5 4 2 4 2 2 2 2 2" xfId="9994" xr:uid="{00000000-0005-0000-0000-0000DB670000}"/>
    <cellStyle name="Normal 5 4 2 4 2 2 2 2 2 2" xfId="17257" xr:uid="{00000000-0005-0000-0000-0000DC670000}"/>
    <cellStyle name="Normal 5 4 2 4 2 2 2 2 2 2 2" xfId="33572" xr:uid="{00000000-0005-0000-0000-0000DD670000}"/>
    <cellStyle name="Normal 5 4 2 4 2 2 2 2 2 3" xfId="26607" xr:uid="{00000000-0005-0000-0000-0000DE670000}"/>
    <cellStyle name="Normal 5 4 2 4 2 2 2 2 3" xfId="13336" xr:uid="{00000000-0005-0000-0000-0000DF670000}"/>
    <cellStyle name="Normal 5 4 2 4 2 2 2 2 3 2" xfId="29911" xr:uid="{00000000-0005-0000-0000-0000E0670000}"/>
    <cellStyle name="Normal 5 4 2 4 2 2 2 2 4" xfId="23307" xr:uid="{00000000-0005-0000-0000-0000E1670000}"/>
    <cellStyle name="Normal 5 4 2 4 2 2 2 3" xfId="8373" xr:uid="{00000000-0005-0000-0000-0000E2670000}"/>
    <cellStyle name="Normal 5 4 2 4 2 2 2 3 2" xfId="15636" xr:uid="{00000000-0005-0000-0000-0000E3670000}"/>
    <cellStyle name="Normal 5 4 2 4 2 2 2 3 2 2" xfId="31951" xr:uid="{00000000-0005-0000-0000-0000E4670000}"/>
    <cellStyle name="Normal 5 4 2 4 2 2 2 3 3" xfId="24986" xr:uid="{00000000-0005-0000-0000-0000E5670000}"/>
    <cellStyle name="Normal 5 4 2 4 2 2 2 4" xfId="11688" xr:uid="{00000000-0005-0000-0000-0000E6670000}"/>
    <cellStyle name="Normal 5 4 2 4 2 2 2 4 2" xfId="28286" xr:uid="{00000000-0005-0000-0000-0000E7670000}"/>
    <cellStyle name="Normal 5 4 2 4 2 2 2 5" xfId="4668" xr:uid="{00000000-0005-0000-0000-0000E8670000}"/>
    <cellStyle name="Normal 5 4 2 4 2 2 2 5 2" xfId="21391" xr:uid="{00000000-0005-0000-0000-0000E9670000}"/>
    <cellStyle name="Normal 5 4 2 4 2 2 2 6" xfId="19793" xr:uid="{00000000-0005-0000-0000-0000EA670000}"/>
    <cellStyle name="Normal 5 4 2 4 2 2 3" xfId="3065" xr:uid="{00000000-0005-0000-0000-0000EB670000}"/>
    <cellStyle name="Normal 5 4 2 4 2 2 3 2" xfId="9218" xr:uid="{00000000-0005-0000-0000-0000EC670000}"/>
    <cellStyle name="Normal 5 4 2 4 2 2 3 2 2" xfId="16481" xr:uid="{00000000-0005-0000-0000-0000ED670000}"/>
    <cellStyle name="Normal 5 4 2 4 2 2 3 2 2 2" xfId="32796" xr:uid="{00000000-0005-0000-0000-0000EE670000}"/>
    <cellStyle name="Normal 5 4 2 4 2 2 3 2 3" xfId="25831" xr:uid="{00000000-0005-0000-0000-0000EF670000}"/>
    <cellStyle name="Normal 5 4 2 4 2 2 3 3" xfId="12560" xr:uid="{00000000-0005-0000-0000-0000F0670000}"/>
    <cellStyle name="Normal 5 4 2 4 2 2 3 3 2" xfId="29135" xr:uid="{00000000-0005-0000-0000-0000F1670000}"/>
    <cellStyle name="Normal 5 4 2 4 2 2 3 4" xfId="5867" xr:uid="{00000000-0005-0000-0000-0000F2670000}"/>
    <cellStyle name="Normal 5 4 2 4 2 2 3 4 2" xfId="22531" xr:uid="{00000000-0005-0000-0000-0000F3670000}"/>
    <cellStyle name="Normal 5 4 2 4 2 2 3 5" xfId="19792" xr:uid="{00000000-0005-0000-0000-0000F4670000}"/>
    <cellStyle name="Normal 5 4 2 4 2 2 4" xfId="7597" xr:uid="{00000000-0005-0000-0000-0000F5670000}"/>
    <cellStyle name="Normal 5 4 2 4 2 2 4 2" xfId="14860" xr:uid="{00000000-0005-0000-0000-0000F6670000}"/>
    <cellStyle name="Normal 5 4 2 4 2 2 4 2 2" xfId="31175" xr:uid="{00000000-0005-0000-0000-0000F7670000}"/>
    <cellStyle name="Normal 5 4 2 4 2 2 4 3" xfId="24210" xr:uid="{00000000-0005-0000-0000-0000F8670000}"/>
    <cellStyle name="Normal 5 4 2 4 2 2 5" xfId="10912" xr:uid="{00000000-0005-0000-0000-0000F9670000}"/>
    <cellStyle name="Normal 5 4 2 4 2 2 5 2" xfId="27510" xr:uid="{00000000-0005-0000-0000-0000FA670000}"/>
    <cellStyle name="Normal 5 4 2 4 2 2 6" xfId="4667" xr:uid="{00000000-0005-0000-0000-0000FB670000}"/>
    <cellStyle name="Normal 5 4 2 4 2 2 6 2" xfId="21390" xr:uid="{00000000-0005-0000-0000-0000FC670000}"/>
    <cellStyle name="Normal 5 4 2 4 2 2 7" xfId="18484" xr:uid="{00000000-0005-0000-0000-0000FD670000}"/>
    <cellStyle name="Normal 5 4 2 4 2 3" xfId="3067" xr:uid="{00000000-0005-0000-0000-0000FE670000}"/>
    <cellStyle name="Normal 5 4 2 4 2 3 2" xfId="6273" xr:uid="{00000000-0005-0000-0000-0000FF670000}"/>
    <cellStyle name="Normal 5 4 2 4 2 3 2 2" xfId="9624" xr:uid="{00000000-0005-0000-0000-000000680000}"/>
    <cellStyle name="Normal 5 4 2 4 2 3 2 2 2" xfId="16887" xr:uid="{00000000-0005-0000-0000-000001680000}"/>
    <cellStyle name="Normal 5 4 2 4 2 3 2 2 2 2" xfId="33202" xr:uid="{00000000-0005-0000-0000-000002680000}"/>
    <cellStyle name="Normal 5 4 2 4 2 3 2 2 3" xfId="26237" xr:uid="{00000000-0005-0000-0000-000003680000}"/>
    <cellStyle name="Normal 5 4 2 4 2 3 2 3" xfId="12966" xr:uid="{00000000-0005-0000-0000-000004680000}"/>
    <cellStyle name="Normal 5 4 2 4 2 3 2 3 2" xfId="29541" xr:uid="{00000000-0005-0000-0000-000005680000}"/>
    <cellStyle name="Normal 5 4 2 4 2 3 2 4" xfId="22937" xr:uid="{00000000-0005-0000-0000-000006680000}"/>
    <cellStyle name="Normal 5 4 2 4 2 3 3" xfId="8003" xr:uid="{00000000-0005-0000-0000-000007680000}"/>
    <cellStyle name="Normal 5 4 2 4 2 3 3 2" xfId="15266" xr:uid="{00000000-0005-0000-0000-000008680000}"/>
    <cellStyle name="Normal 5 4 2 4 2 3 3 2 2" xfId="31581" xr:uid="{00000000-0005-0000-0000-000009680000}"/>
    <cellStyle name="Normal 5 4 2 4 2 3 3 3" xfId="24616" xr:uid="{00000000-0005-0000-0000-00000A680000}"/>
    <cellStyle name="Normal 5 4 2 4 2 3 4" xfId="11318" xr:uid="{00000000-0005-0000-0000-00000B680000}"/>
    <cellStyle name="Normal 5 4 2 4 2 3 4 2" xfId="27916" xr:uid="{00000000-0005-0000-0000-00000C680000}"/>
    <cellStyle name="Normal 5 4 2 4 2 3 5" xfId="4669" xr:uid="{00000000-0005-0000-0000-00000D680000}"/>
    <cellStyle name="Normal 5 4 2 4 2 3 5 2" xfId="21392" xr:uid="{00000000-0005-0000-0000-00000E680000}"/>
    <cellStyle name="Normal 5 4 2 4 2 3 6" xfId="19794" xr:uid="{00000000-0005-0000-0000-00000F680000}"/>
    <cellStyle name="Normal 5 4 2 4 2 4" xfId="3064" xr:uid="{00000000-0005-0000-0000-000010680000}"/>
    <cellStyle name="Normal 5 4 2 4 2 4 2" xfId="8811" xr:uid="{00000000-0005-0000-0000-000011680000}"/>
    <cellStyle name="Normal 5 4 2 4 2 4 2 2" xfId="16074" xr:uid="{00000000-0005-0000-0000-000012680000}"/>
    <cellStyle name="Normal 5 4 2 4 2 4 2 2 2" xfId="32389" xr:uid="{00000000-0005-0000-0000-000013680000}"/>
    <cellStyle name="Normal 5 4 2 4 2 4 2 3" xfId="25424" xr:uid="{00000000-0005-0000-0000-000014680000}"/>
    <cellStyle name="Normal 5 4 2 4 2 4 3" xfId="12153" xr:uid="{00000000-0005-0000-0000-000015680000}"/>
    <cellStyle name="Normal 5 4 2 4 2 4 3 2" xfId="28728" xr:uid="{00000000-0005-0000-0000-000016680000}"/>
    <cellStyle name="Normal 5 4 2 4 2 4 4" xfId="5460" xr:uid="{00000000-0005-0000-0000-000017680000}"/>
    <cellStyle name="Normal 5 4 2 4 2 4 4 2" xfId="22124" xr:uid="{00000000-0005-0000-0000-000018680000}"/>
    <cellStyle name="Normal 5 4 2 4 2 4 5" xfId="19791" xr:uid="{00000000-0005-0000-0000-000019680000}"/>
    <cellStyle name="Normal 5 4 2 4 2 5" xfId="7191" xr:uid="{00000000-0005-0000-0000-00001A680000}"/>
    <cellStyle name="Normal 5 4 2 4 2 5 2" xfId="14454" xr:uid="{00000000-0005-0000-0000-00001B680000}"/>
    <cellStyle name="Normal 5 4 2 4 2 5 2 2" xfId="30769" xr:uid="{00000000-0005-0000-0000-00001C680000}"/>
    <cellStyle name="Normal 5 4 2 4 2 5 3" xfId="23804" xr:uid="{00000000-0005-0000-0000-00001D680000}"/>
    <cellStyle name="Normal 5 4 2 4 2 6" xfId="10506" xr:uid="{00000000-0005-0000-0000-00001E680000}"/>
    <cellStyle name="Normal 5 4 2 4 2 6 2" xfId="27104" xr:uid="{00000000-0005-0000-0000-00001F680000}"/>
    <cellStyle name="Normal 5 4 2 4 2 7" xfId="4666" xr:uid="{00000000-0005-0000-0000-000020680000}"/>
    <cellStyle name="Normal 5 4 2 4 2 7 2" xfId="21389" xr:uid="{00000000-0005-0000-0000-000021680000}"/>
    <cellStyle name="Normal 5 4 2 4 2 8" xfId="17965" xr:uid="{00000000-0005-0000-0000-000022680000}"/>
    <cellStyle name="Normal 5 4 2 4 3" xfId="960" xr:uid="{00000000-0005-0000-0000-000023680000}"/>
    <cellStyle name="Normal 5 4 2 4 3 2" xfId="1522" xr:uid="{00000000-0005-0000-0000-000024680000}"/>
    <cellStyle name="Normal 5 4 2 4 3 2 2" xfId="3069" xr:uid="{00000000-0005-0000-0000-000025680000}"/>
    <cellStyle name="Normal 5 4 2 4 3 2 2 2" xfId="9818" xr:uid="{00000000-0005-0000-0000-000026680000}"/>
    <cellStyle name="Normal 5 4 2 4 3 2 2 2 2" xfId="17081" xr:uid="{00000000-0005-0000-0000-000027680000}"/>
    <cellStyle name="Normal 5 4 2 4 3 2 2 2 2 2" xfId="33396" xr:uid="{00000000-0005-0000-0000-000028680000}"/>
    <cellStyle name="Normal 5 4 2 4 3 2 2 2 3" xfId="26431" xr:uid="{00000000-0005-0000-0000-000029680000}"/>
    <cellStyle name="Normal 5 4 2 4 3 2 2 3" xfId="13160" xr:uid="{00000000-0005-0000-0000-00002A680000}"/>
    <cellStyle name="Normal 5 4 2 4 3 2 2 3 2" xfId="29735" xr:uid="{00000000-0005-0000-0000-00002B680000}"/>
    <cellStyle name="Normal 5 4 2 4 3 2 2 4" xfId="6467" xr:uid="{00000000-0005-0000-0000-00002C680000}"/>
    <cellStyle name="Normal 5 4 2 4 3 2 2 4 2" xfId="23131" xr:uid="{00000000-0005-0000-0000-00002D680000}"/>
    <cellStyle name="Normal 5 4 2 4 3 2 2 5" xfId="19796" xr:uid="{00000000-0005-0000-0000-00002E680000}"/>
    <cellStyle name="Normal 5 4 2 4 3 2 3" xfId="8197" xr:uid="{00000000-0005-0000-0000-00002F680000}"/>
    <cellStyle name="Normal 5 4 2 4 3 2 3 2" xfId="15460" xr:uid="{00000000-0005-0000-0000-000030680000}"/>
    <cellStyle name="Normal 5 4 2 4 3 2 3 2 2" xfId="31775" xr:uid="{00000000-0005-0000-0000-000031680000}"/>
    <cellStyle name="Normal 5 4 2 4 3 2 3 3" xfId="24810" xr:uid="{00000000-0005-0000-0000-000032680000}"/>
    <cellStyle name="Normal 5 4 2 4 3 2 4" xfId="11512" xr:uid="{00000000-0005-0000-0000-000033680000}"/>
    <cellStyle name="Normal 5 4 2 4 3 2 4 2" xfId="28110" xr:uid="{00000000-0005-0000-0000-000034680000}"/>
    <cellStyle name="Normal 5 4 2 4 3 2 5" xfId="4671" xr:uid="{00000000-0005-0000-0000-000035680000}"/>
    <cellStyle name="Normal 5 4 2 4 3 2 5 2" xfId="21394" xr:uid="{00000000-0005-0000-0000-000036680000}"/>
    <cellStyle name="Normal 5 4 2 4 3 2 6" xfId="18257" xr:uid="{00000000-0005-0000-0000-000037680000}"/>
    <cellStyle name="Normal 5 4 2 4 3 3" xfId="3068" xr:uid="{00000000-0005-0000-0000-000038680000}"/>
    <cellStyle name="Normal 5 4 2 4 3 3 2" xfId="9006" xr:uid="{00000000-0005-0000-0000-000039680000}"/>
    <cellStyle name="Normal 5 4 2 4 3 3 2 2" xfId="16269" xr:uid="{00000000-0005-0000-0000-00003A680000}"/>
    <cellStyle name="Normal 5 4 2 4 3 3 2 2 2" xfId="32584" xr:uid="{00000000-0005-0000-0000-00003B680000}"/>
    <cellStyle name="Normal 5 4 2 4 3 3 2 3" xfId="25619" xr:uid="{00000000-0005-0000-0000-00003C680000}"/>
    <cellStyle name="Normal 5 4 2 4 3 3 3" xfId="12348" xr:uid="{00000000-0005-0000-0000-00003D680000}"/>
    <cellStyle name="Normal 5 4 2 4 3 3 3 2" xfId="28923" xr:uid="{00000000-0005-0000-0000-00003E680000}"/>
    <cellStyle name="Normal 5 4 2 4 3 3 4" xfId="5655" xr:uid="{00000000-0005-0000-0000-00003F680000}"/>
    <cellStyle name="Normal 5 4 2 4 3 3 4 2" xfId="22319" xr:uid="{00000000-0005-0000-0000-000040680000}"/>
    <cellStyle name="Normal 5 4 2 4 3 3 5" xfId="19795" xr:uid="{00000000-0005-0000-0000-000041680000}"/>
    <cellStyle name="Normal 5 4 2 4 3 4" xfId="7385" xr:uid="{00000000-0005-0000-0000-000042680000}"/>
    <cellStyle name="Normal 5 4 2 4 3 4 2" xfId="14648" xr:uid="{00000000-0005-0000-0000-000043680000}"/>
    <cellStyle name="Normal 5 4 2 4 3 4 2 2" xfId="30963" xr:uid="{00000000-0005-0000-0000-000044680000}"/>
    <cellStyle name="Normal 5 4 2 4 3 4 3" xfId="23998" xr:uid="{00000000-0005-0000-0000-000045680000}"/>
    <cellStyle name="Normal 5 4 2 4 3 5" xfId="10700" xr:uid="{00000000-0005-0000-0000-000046680000}"/>
    <cellStyle name="Normal 5 4 2 4 3 5 2" xfId="27298" xr:uid="{00000000-0005-0000-0000-000047680000}"/>
    <cellStyle name="Normal 5 4 2 4 3 6" xfId="4670" xr:uid="{00000000-0005-0000-0000-000048680000}"/>
    <cellStyle name="Normal 5 4 2 4 3 6 2" xfId="21393" xr:uid="{00000000-0005-0000-0000-000049680000}"/>
    <cellStyle name="Normal 5 4 2 4 3 7" xfId="17738" xr:uid="{00000000-0005-0000-0000-00004A680000}"/>
    <cellStyle name="Normal 5 4 2 4 4" xfId="748" xr:uid="{00000000-0005-0000-0000-00004B680000}"/>
    <cellStyle name="Normal 5 4 2 4 4 2" xfId="3070" xr:uid="{00000000-0005-0000-0000-00004C680000}"/>
    <cellStyle name="Normal 5 4 2 4 4 2 2" xfId="9412" xr:uid="{00000000-0005-0000-0000-00004D680000}"/>
    <cellStyle name="Normal 5 4 2 4 4 2 2 2" xfId="16675" xr:uid="{00000000-0005-0000-0000-00004E680000}"/>
    <cellStyle name="Normal 5 4 2 4 4 2 2 2 2" xfId="32990" xr:uid="{00000000-0005-0000-0000-00004F680000}"/>
    <cellStyle name="Normal 5 4 2 4 4 2 2 3" xfId="26025" xr:uid="{00000000-0005-0000-0000-000050680000}"/>
    <cellStyle name="Normal 5 4 2 4 4 2 3" xfId="12754" xr:uid="{00000000-0005-0000-0000-000051680000}"/>
    <cellStyle name="Normal 5 4 2 4 4 2 3 2" xfId="29329" xr:uid="{00000000-0005-0000-0000-000052680000}"/>
    <cellStyle name="Normal 5 4 2 4 4 2 4" xfId="6061" xr:uid="{00000000-0005-0000-0000-000053680000}"/>
    <cellStyle name="Normal 5 4 2 4 4 2 4 2" xfId="22725" xr:uid="{00000000-0005-0000-0000-000054680000}"/>
    <cellStyle name="Normal 5 4 2 4 4 2 5" xfId="19797" xr:uid="{00000000-0005-0000-0000-000055680000}"/>
    <cellStyle name="Normal 5 4 2 4 4 3" xfId="7791" xr:uid="{00000000-0005-0000-0000-000056680000}"/>
    <cellStyle name="Normal 5 4 2 4 4 3 2" xfId="15054" xr:uid="{00000000-0005-0000-0000-000057680000}"/>
    <cellStyle name="Normal 5 4 2 4 4 3 2 2" xfId="31369" xr:uid="{00000000-0005-0000-0000-000058680000}"/>
    <cellStyle name="Normal 5 4 2 4 4 3 3" xfId="24404" xr:uid="{00000000-0005-0000-0000-000059680000}"/>
    <cellStyle name="Normal 5 4 2 4 4 4" xfId="11106" xr:uid="{00000000-0005-0000-0000-00005A680000}"/>
    <cellStyle name="Normal 5 4 2 4 4 4 2" xfId="27704" xr:uid="{00000000-0005-0000-0000-00005B680000}"/>
    <cellStyle name="Normal 5 4 2 4 4 5" xfId="4672" xr:uid="{00000000-0005-0000-0000-00005C680000}"/>
    <cellStyle name="Normal 5 4 2 4 4 5 2" xfId="21395" xr:uid="{00000000-0005-0000-0000-00005D680000}"/>
    <cellStyle name="Normal 5 4 2 4 4 6" xfId="17561" xr:uid="{00000000-0005-0000-0000-00005E680000}"/>
    <cellStyle name="Normal 5 4 2 4 5" xfId="1345" xr:uid="{00000000-0005-0000-0000-00005F680000}"/>
    <cellStyle name="Normal 5 4 2 4 5 2" xfId="8583" xr:uid="{00000000-0005-0000-0000-000060680000}"/>
    <cellStyle name="Normal 5 4 2 4 5 2 2" xfId="15846" xr:uid="{00000000-0005-0000-0000-000061680000}"/>
    <cellStyle name="Normal 5 4 2 4 5 2 2 2" xfId="32161" xr:uid="{00000000-0005-0000-0000-000062680000}"/>
    <cellStyle name="Normal 5 4 2 4 5 2 3" xfId="25196" xr:uid="{00000000-0005-0000-0000-000063680000}"/>
    <cellStyle name="Normal 5 4 2 4 5 3" xfId="11925" xr:uid="{00000000-0005-0000-0000-000064680000}"/>
    <cellStyle name="Normal 5 4 2 4 5 3 2" xfId="28500" xr:uid="{00000000-0005-0000-0000-000065680000}"/>
    <cellStyle name="Normal 5 4 2 4 5 4" xfId="5232" xr:uid="{00000000-0005-0000-0000-000066680000}"/>
    <cellStyle name="Normal 5 4 2 4 5 4 2" xfId="21896" xr:uid="{00000000-0005-0000-0000-000067680000}"/>
    <cellStyle name="Normal 5 4 2 4 5 5" xfId="18080" xr:uid="{00000000-0005-0000-0000-000068680000}"/>
    <cellStyle name="Normal 5 4 2 4 6" xfId="3063" xr:uid="{00000000-0005-0000-0000-000069680000}"/>
    <cellStyle name="Normal 5 4 2 4 6 2" xfId="14227" xr:uid="{00000000-0005-0000-0000-00006A680000}"/>
    <cellStyle name="Normal 5 4 2 4 6 2 2" xfId="30542" xr:uid="{00000000-0005-0000-0000-00006B680000}"/>
    <cellStyle name="Normal 5 4 2 4 6 3" xfId="6964" xr:uid="{00000000-0005-0000-0000-00006C680000}"/>
    <cellStyle name="Normal 5 4 2 4 6 3 2" xfId="23577" xr:uid="{00000000-0005-0000-0000-00006D680000}"/>
    <cellStyle name="Normal 5 4 2 4 6 4" xfId="19790" xr:uid="{00000000-0005-0000-0000-00006E680000}"/>
    <cellStyle name="Normal 5 4 2 4 7" xfId="10278" xr:uid="{00000000-0005-0000-0000-00006F680000}"/>
    <cellStyle name="Normal 5 4 2 4 7 2" xfId="26877" xr:uid="{00000000-0005-0000-0000-000070680000}"/>
    <cellStyle name="Normal 5 4 2 4 8" xfId="4665" xr:uid="{00000000-0005-0000-0000-000071680000}"/>
    <cellStyle name="Normal 5 4 2 4 8 2" xfId="21388" xr:uid="{00000000-0005-0000-0000-000072680000}"/>
    <cellStyle name="Normal 5 4 2 4 9" xfId="17456" xr:uid="{00000000-0005-0000-0000-000073680000}"/>
    <cellStyle name="Normal 5 4 2 5" xfId="1221" xr:uid="{00000000-0005-0000-0000-000074680000}"/>
    <cellStyle name="Normal 5 4 2 5 2" xfId="1742" xr:uid="{00000000-0005-0000-0000-000075680000}"/>
    <cellStyle name="Normal 5 4 2 5 2 2" xfId="3073" xr:uid="{00000000-0005-0000-0000-000076680000}"/>
    <cellStyle name="Normal 5 4 2 5 2 2 2" xfId="6636" xr:uid="{00000000-0005-0000-0000-000077680000}"/>
    <cellStyle name="Normal 5 4 2 5 2 2 2 2" xfId="9987" xr:uid="{00000000-0005-0000-0000-000078680000}"/>
    <cellStyle name="Normal 5 4 2 5 2 2 2 2 2" xfId="17250" xr:uid="{00000000-0005-0000-0000-000079680000}"/>
    <cellStyle name="Normal 5 4 2 5 2 2 2 2 2 2" xfId="33565" xr:uid="{00000000-0005-0000-0000-00007A680000}"/>
    <cellStyle name="Normal 5 4 2 5 2 2 2 2 3" xfId="26600" xr:uid="{00000000-0005-0000-0000-00007B680000}"/>
    <cellStyle name="Normal 5 4 2 5 2 2 2 3" xfId="13329" xr:uid="{00000000-0005-0000-0000-00007C680000}"/>
    <cellStyle name="Normal 5 4 2 5 2 2 2 3 2" xfId="29904" xr:uid="{00000000-0005-0000-0000-00007D680000}"/>
    <cellStyle name="Normal 5 4 2 5 2 2 2 4" xfId="23300" xr:uid="{00000000-0005-0000-0000-00007E680000}"/>
    <cellStyle name="Normal 5 4 2 5 2 2 3" xfId="8366" xr:uid="{00000000-0005-0000-0000-00007F680000}"/>
    <cellStyle name="Normal 5 4 2 5 2 2 3 2" xfId="15629" xr:uid="{00000000-0005-0000-0000-000080680000}"/>
    <cellStyle name="Normal 5 4 2 5 2 2 3 2 2" xfId="31944" xr:uid="{00000000-0005-0000-0000-000081680000}"/>
    <cellStyle name="Normal 5 4 2 5 2 2 3 3" xfId="24979" xr:uid="{00000000-0005-0000-0000-000082680000}"/>
    <cellStyle name="Normal 5 4 2 5 2 2 4" xfId="11681" xr:uid="{00000000-0005-0000-0000-000083680000}"/>
    <cellStyle name="Normal 5 4 2 5 2 2 4 2" xfId="28279" xr:uid="{00000000-0005-0000-0000-000084680000}"/>
    <cellStyle name="Normal 5 4 2 5 2 2 5" xfId="4675" xr:uid="{00000000-0005-0000-0000-000085680000}"/>
    <cellStyle name="Normal 5 4 2 5 2 2 5 2" xfId="21398" xr:uid="{00000000-0005-0000-0000-000086680000}"/>
    <cellStyle name="Normal 5 4 2 5 2 2 6" xfId="19800" xr:uid="{00000000-0005-0000-0000-000087680000}"/>
    <cellStyle name="Normal 5 4 2 5 2 3" xfId="3072" xr:uid="{00000000-0005-0000-0000-000088680000}"/>
    <cellStyle name="Normal 5 4 2 5 2 3 2" xfId="9211" xr:uid="{00000000-0005-0000-0000-000089680000}"/>
    <cellStyle name="Normal 5 4 2 5 2 3 2 2" xfId="16474" xr:uid="{00000000-0005-0000-0000-00008A680000}"/>
    <cellStyle name="Normal 5 4 2 5 2 3 2 2 2" xfId="32789" xr:uid="{00000000-0005-0000-0000-00008B680000}"/>
    <cellStyle name="Normal 5 4 2 5 2 3 2 3" xfId="25824" xr:uid="{00000000-0005-0000-0000-00008C680000}"/>
    <cellStyle name="Normal 5 4 2 5 2 3 3" xfId="12553" xr:uid="{00000000-0005-0000-0000-00008D680000}"/>
    <cellStyle name="Normal 5 4 2 5 2 3 3 2" xfId="29128" xr:uid="{00000000-0005-0000-0000-00008E680000}"/>
    <cellStyle name="Normal 5 4 2 5 2 3 4" xfId="5860" xr:uid="{00000000-0005-0000-0000-00008F680000}"/>
    <cellStyle name="Normal 5 4 2 5 2 3 4 2" xfId="22524" xr:uid="{00000000-0005-0000-0000-000090680000}"/>
    <cellStyle name="Normal 5 4 2 5 2 3 5" xfId="19799" xr:uid="{00000000-0005-0000-0000-000091680000}"/>
    <cellStyle name="Normal 5 4 2 5 2 4" xfId="7590" xr:uid="{00000000-0005-0000-0000-000092680000}"/>
    <cellStyle name="Normal 5 4 2 5 2 4 2" xfId="14853" xr:uid="{00000000-0005-0000-0000-000093680000}"/>
    <cellStyle name="Normal 5 4 2 5 2 4 2 2" xfId="31168" xr:uid="{00000000-0005-0000-0000-000094680000}"/>
    <cellStyle name="Normal 5 4 2 5 2 4 3" xfId="24203" xr:uid="{00000000-0005-0000-0000-000095680000}"/>
    <cellStyle name="Normal 5 4 2 5 2 5" xfId="10905" xr:uid="{00000000-0005-0000-0000-000096680000}"/>
    <cellStyle name="Normal 5 4 2 5 2 5 2" xfId="27503" xr:uid="{00000000-0005-0000-0000-000097680000}"/>
    <cellStyle name="Normal 5 4 2 5 2 6" xfId="4674" xr:uid="{00000000-0005-0000-0000-000098680000}"/>
    <cellStyle name="Normal 5 4 2 5 2 6 2" xfId="21397" xr:uid="{00000000-0005-0000-0000-000099680000}"/>
    <cellStyle name="Normal 5 4 2 5 2 7" xfId="18477" xr:uid="{00000000-0005-0000-0000-00009A680000}"/>
    <cellStyle name="Normal 5 4 2 5 3" xfId="3074" xr:uid="{00000000-0005-0000-0000-00009B680000}"/>
    <cellStyle name="Normal 5 4 2 5 3 2" xfId="6266" xr:uid="{00000000-0005-0000-0000-00009C680000}"/>
    <cellStyle name="Normal 5 4 2 5 3 2 2" xfId="9617" xr:uid="{00000000-0005-0000-0000-00009D680000}"/>
    <cellStyle name="Normal 5 4 2 5 3 2 2 2" xfId="16880" xr:uid="{00000000-0005-0000-0000-00009E680000}"/>
    <cellStyle name="Normal 5 4 2 5 3 2 2 2 2" xfId="33195" xr:uid="{00000000-0005-0000-0000-00009F680000}"/>
    <cellStyle name="Normal 5 4 2 5 3 2 2 3" xfId="26230" xr:uid="{00000000-0005-0000-0000-0000A0680000}"/>
    <cellStyle name="Normal 5 4 2 5 3 2 3" xfId="12959" xr:uid="{00000000-0005-0000-0000-0000A1680000}"/>
    <cellStyle name="Normal 5 4 2 5 3 2 3 2" xfId="29534" xr:uid="{00000000-0005-0000-0000-0000A2680000}"/>
    <cellStyle name="Normal 5 4 2 5 3 2 4" xfId="22930" xr:uid="{00000000-0005-0000-0000-0000A3680000}"/>
    <cellStyle name="Normal 5 4 2 5 3 3" xfId="7996" xr:uid="{00000000-0005-0000-0000-0000A4680000}"/>
    <cellStyle name="Normal 5 4 2 5 3 3 2" xfId="15259" xr:uid="{00000000-0005-0000-0000-0000A5680000}"/>
    <cellStyle name="Normal 5 4 2 5 3 3 2 2" xfId="31574" xr:uid="{00000000-0005-0000-0000-0000A6680000}"/>
    <cellStyle name="Normal 5 4 2 5 3 3 3" xfId="24609" xr:uid="{00000000-0005-0000-0000-0000A7680000}"/>
    <cellStyle name="Normal 5 4 2 5 3 4" xfId="11311" xr:uid="{00000000-0005-0000-0000-0000A8680000}"/>
    <cellStyle name="Normal 5 4 2 5 3 4 2" xfId="27909" xr:uid="{00000000-0005-0000-0000-0000A9680000}"/>
    <cellStyle name="Normal 5 4 2 5 3 5" xfId="4676" xr:uid="{00000000-0005-0000-0000-0000AA680000}"/>
    <cellStyle name="Normal 5 4 2 5 3 5 2" xfId="21399" xr:uid="{00000000-0005-0000-0000-0000AB680000}"/>
    <cellStyle name="Normal 5 4 2 5 3 6" xfId="19801" xr:uid="{00000000-0005-0000-0000-0000AC680000}"/>
    <cellStyle name="Normal 5 4 2 5 4" xfId="3071" xr:uid="{00000000-0005-0000-0000-0000AD680000}"/>
    <cellStyle name="Normal 5 4 2 5 4 2" xfId="8804" xr:uid="{00000000-0005-0000-0000-0000AE680000}"/>
    <cellStyle name="Normal 5 4 2 5 4 2 2" xfId="16067" xr:uid="{00000000-0005-0000-0000-0000AF680000}"/>
    <cellStyle name="Normal 5 4 2 5 4 2 2 2" xfId="32382" xr:uid="{00000000-0005-0000-0000-0000B0680000}"/>
    <cellStyle name="Normal 5 4 2 5 4 2 3" xfId="25417" xr:uid="{00000000-0005-0000-0000-0000B1680000}"/>
    <cellStyle name="Normal 5 4 2 5 4 3" xfId="12146" xr:uid="{00000000-0005-0000-0000-0000B2680000}"/>
    <cellStyle name="Normal 5 4 2 5 4 3 2" xfId="28721" xr:uid="{00000000-0005-0000-0000-0000B3680000}"/>
    <cellStyle name="Normal 5 4 2 5 4 4" xfId="5453" xr:uid="{00000000-0005-0000-0000-0000B4680000}"/>
    <cellStyle name="Normal 5 4 2 5 4 4 2" xfId="22117" xr:uid="{00000000-0005-0000-0000-0000B5680000}"/>
    <cellStyle name="Normal 5 4 2 5 4 5" xfId="19798" xr:uid="{00000000-0005-0000-0000-0000B6680000}"/>
    <cellStyle name="Normal 5 4 2 5 5" xfId="7184" xr:uid="{00000000-0005-0000-0000-0000B7680000}"/>
    <cellStyle name="Normal 5 4 2 5 5 2" xfId="14447" xr:uid="{00000000-0005-0000-0000-0000B8680000}"/>
    <cellStyle name="Normal 5 4 2 5 5 2 2" xfId="30762" xr:uid="{00000000-0005-0000-0000-0000B9680000}"/>
    <cellStyle name="Normal 5 4 2 5 5 3" xfId="23797" xr:uid="{00000000-0005-0000-0000-0000BA680000}"/>
    <cellStyle name="Normal 5 4 2 5 6" xfId="10499" xr:uid="{00000000-0005-0000-0000-0000BB680000}"/>
    <cellStyle name="Normal 5 4 2 5 6 2" xfId="27097" xr:uid="{00000000-0005-0000-0000-0000BC680000}"/>
    <cellStyle name="Normal 5 4 2 5 7" xfId="4673" xr:uid="{00000000-0005-0000-0000-0000BD680000}"/>
    <cellStyle name="Normal 5 4 2 5 7 2" xfId="21396" xr:uid="{00000000-0005-0000-0000-0000BE680000}"/>
    <cellStyle name="Normal 5 4 2 5 8" xfId="17958" xr:uid="{00000000-0005-0000-0000-0000BF680000}"/>
    <cellStyle name="Normal 5 4 2 6" xfId="861" xr:uid="{00000000-0005-0000-0000-0000C0680000}"/>
    <cellStyle name="Normal 5 4 2 6 2" xfId="1430" xr:uid="{00000000-0005-0000-0000-0000C1680000}"/>
    <cellStyle name="Normal 5 4 2 6 2 2" xfId="3076" xr:uid="{00000000-0005-0000-0000-0000C2680000}"/>
    <cellStyle name="Normal 5 4 2 6 2 2 2" xfId="9811" xr:uid="{00000000-0005-0000-0000-0000C3680000}"/>
    <cellStyle name="Normal 5 4 2 6 2 2 2 2" xfId="17074" xr:uid="{00000000-0005-0000-0000-0000C4680000}"/>
    <cellStyle name="Normal 5 4 2 6 2 2 2 2 2" xfId="33389" xr:uid="{00000000-0005-0000-0000-0000C5680000}"/>
    <cellStyle name="Normal 5 4 2 6 2 2 2 3" xfId="26424" xr:uid="{00000000-0005-0000-0000-0000C6680000}"/>
    <cellStyle name="Normal 5 4 2 6 2 2 3" xfId="13153" xr:uid="{00000000-0005-0000-0000-0000C7680000}"/>
    <cellStyle name="Normal 5 4 2 6 2 2 3 2" xfId="29728" xr:uid="{00000000-0005-0000-0000-0000C8680000}"/>
    <cellStyle name="Normal 5 4 2 6 2 2 4" xfId="6460" xr:uid="{00000000-0005-0000-0000-0000C9680000}"/>
    <cellStyle name="Normal 5 4 2 6 2 2 4 2" xfId="23124" xr:uid="{00000000-0005-0000-0000-0000CA680000}"/>
    <cellStyle name="Normal 5 4 2 6 2 2 5" xfId="19803" xr:uid="{00000000-0005-0000-0000-0000CB680000}"/>
    <cellStyle name="Normal 5 4 2 6 2 3" xfId="8190" xr:uid="{00000000-0005-0000-0000-0000CC680000}"/>
    <cellStyle name="Normal 5 4 2 6 2 3 2" xfId="15453" xr:uid="{00000000-0005-0000-0000-0000CD680000}"/>
    <cellStyle name="Normal 5 4 2 6 2 3 2 2" xfId="31768" xr:uid="{00000000-0005-0000-0000-0000CE680000}"/>
    <cellStyle name="Normal 5 4 2 6 2 3 3" xfId="24803" xr:uid="{00000000-0005-0000-0000-0000CF680000}"/>
    <cellStyle name="Normal 5 4 2 6 2 4" xfId="11505" xr:uid="{00000000-0005-0000-0000-0000D0680000}"/>
    <cellStyle name="Normal 5 4 2 6 2 4 2" xfId="28103" xr:uid="{00000000-0005-0000-0000-0000D1680000}"/>
    <cellStyle name="Normal 5 4 2 6 2 5" xfId="4678" xr:uid="{00000000-0005-0000-0000-0000D2680000}"/>
    <cellStyle name="Normal 5 4 2 6 2 5 2" xfId="21401" xr:uid="{00000000-0005-0000-0000-0000D3680000}"/>
    <cellStyle name="Normal 5 4 2 6 2 6" xfId="18165" xr:uid="{00000000-0005-0000-0000-0000D4680000}"/>
    <cellStyle name="Normal 5 4 2 6 3" xfId="3075" xr:uid="{00000000-0005-0000-0000-0000D5680000}"/>
    <cellStyle name="Normal 5 4 2 6 3 2" xfId="8999" xr:uid="{00000000-0005-0000-0000-0000D6680000}"/>
    <cellStyle name="Normal 5 4 2 6 3 2 2" xfId="16262" xr:uid="{00000000-0005-0000-0000-0000D7680000}"/>
    <cellStyle name="Normal 5 4 2 6 3 2 2 2" xfId="32577" xr:uid="{00000000-0005-0000-0000-0000D8680000}"/>
    <cellStyle name="Normal 5 4 2 6 3 2 3" xfId="25612" xr:uid="{00000000-0005-0000-0000-0000D9680000}"/>
    <cellStyle name="Normal 5 4 2 6 3 3" xfId="12341" xr:uid="{00000000-0005-0000-0000-0000DA680000}"/>
    <cellStyle name="Normal 5 4 2 6 3 3 2" xfId="28916" xr:uid="{00000000-0005-0000-0000-0000DB680000}"/>
    <cellStyle name="Normal 5 4 2 6 3 4" xfId="5648" xr:uid="{00000000-0005-0000-0000-0000DC680000}"/>
    <cellStyle name="Normal 5 4 2 6 3 4 2" xfId="22312" xr:uid="{00000000-0005-0000-0000-0000DD680000}"/>
    <cellStyle name="Normal 5 4 2 6 3 5" xfId="19802" xr:uid="{00000000-0005-0000-0000-0000DE680000}"/>
    <cellStyle name="Normal 5 4 2 6 4" xfId="7378" xr:uid="{00000000-0005-0000-0000-0000DF680000}"/>
    <cellStyle name="Normal 5 4 2 6 4 2" xfId="14641" xr:uid="{00000000-0005-0000-0000-0000E0680000}"/>
    <cellStyle name="Normal 5 4 2 6 4 2 2" xfId="30956" xr:uid="{00000000-0005-0000-0000-0000E1680000}"/>
    <cellStyle name="Normal 5 4 2 6 4 3" xfId="23991" xr:uid="{00000000-0005-0000-0000-0000E2680000}"/>
    <cellStyle name="Normal 5 4 2 6 5" xfId="10693" xr:uid="{00000000-0005-0000-0000-0000E3680000}"/>
    <cellStyle name="Normal 5 4 2 6 5 2" xfId="27291" xr:uid="{00000000-0005-0000-0000-0000E4680000}"/>
    <cellStyle name="Normal 5 4 2 6 6" xfId="4677" xr:uid="{00000000-0005-0000-0000-0000E5680000}"/>
    <cellStyle name="Normal 5 4 2 6 6 2" xfId="21400" xr:uid="{00000000-0005-0000-0000-0000E6680000}"/>
    <cellStyle name="Normal 5 4 2 6 7" xfId="17646" xr:uid="{00000000-0005-0000-0000-0000E7680000}"/>
    <cellStyle name="Normal 5 4 2 7" xfId="713" xr:uid="{00000000-0005-0000-0000-0000E8680000}"/>
    <cellStyle name="Normal 5 4 2 7 2" xfId="3077" xr:uid="{00000000-0005-0000-0000-0000E9680000}"/>
    <cellStyle name="Normal 5 4 2 7 2 2" xfId="9405" xr:uid="{00000000-0005-0000-0000-0000EA680000}"/>
    <cellStyle name="Normal 5 4 2 7 2 2 2" xfId="16668" xr:uid="{00000000-0005-0000-0000-0000EB680000}"/>
    <cellStyle name="Normal 5 4 2 7 2 2 2 2" xfId="32983" xr:uid="{00000000-0005-0000-0000-0000EC680000}"/>
    <cellStyle name="Normal 5 4 2 7 2 2 3" xfId="26018" xr:uid="{00000000-0005-0000-0000-0000ED680000}"/>
    <cellStyle name="Normal 5 4 2 7 2 3" xfId="12747" xr:uid="{00000000-0005-0000-0000-0000EE680000}"/>
    <cellStyle name="Normal 5 4 2 7 2 3 2" xfId="29322" xr:uid="{00000000-0005-0000-0000-0000EF680000}"/>
    <cellStyle name="Normal 5 4 2 7 2 4" xfId="6054" xr:uid="{00000000-0005-0000-0000-0000F0680000}"/>
    <cellStyle name="Normal 5 4 2 7 2 4 2" xfId="22718" xr:uid="{00000000-0005-0000-0000-0000F1680000}"/>
    <cellStyle name="Normal 5 4 2 7 2 5" xfId="19804" xr:uid="{00000000-0005-0000-0000-0000F2680000}"/>
    <cellStyle name="Normal 5 4 2 7 3" xfId="7784" xr:uid="{00000000-0005-0000-0000-0000F3680000}"/>
    <cellStyle name="Normal 5 4 2 7 3 2" xfId="15047" xr:uid="{00000000-0005-0000-0000-0000F4680000}"/>
    <cellStyle name="Normal 5 4 2 7 3 2 2" xfId="31362" xr:uid="{00000000-0005-0000-0000-0000F5680000}"/>
    <cellStyle name="Normal 5 4 2 7 3 3" xfId="24397" xr:uid="{00000000-0005-0000-0000-0000F6680000}"/>
    <cellStyle name="Normal 5 4 2 7 4" xfId="11099" xr:uid="{00000000-0005-0000-0000-0000F7680000}"/>
    <cellStyle name="Normal 5 4 2 7 4 2" xfId="27697" xr:uid="{00000000-0005-0000-0000-0000F8680000}"/>
    <cellStyle name="Normal 5 4 2 7 5" xfId="4679" xr:uid="{00000000-0005-0000-0000-0000F9680000}"/>
    <cellStyle name="Normal 5 4 2 7 5 2" xfId="21402" xr:uid="{00000000-0005-0000-0000-0000FA680000}"/>
    <cellStyle name="Normal 5 4 2 7 6" xfId="17526" xr:uid="{00000000-0005-0000-0000-0000FB680000}"/>
    <cellStyle name="Normal 5 4 2 8" xfId="1310" xr:uid="{00000000-0005-0000-0000-0000FC680000}"/>
    <cellStyle name="Normal 5 4 2 8 2" xfId="8473" xr:uid="{00000000-0005-0000-0000-0000FD680000}"/>
    <cellStyle name="Normal 5 4 2 8 2 2" xfId="15736" xr:uid="{00000000-0005-0000-0000-0000FE680000}"/>
    <cellStyle name="Normal 5 4 2 8 2 2 2" xfId="32051" xr:uid="{00000000-0005-0000-0000-0000FF680000}"/>
    <cellStyle name="Normal 5 4 2 8 2 3" xfId="25086" xr:uid="{00000000-0005-0000-0000-000000690000}"/>
    <cellStyle name="Normal 5 4 2 8 3" xfId="11814" xr:uid="{00000000-0005-0000-0000-000001690000}"/>
    <cellStyle name="Normal 5 4 2 8 3 2" xfId="28390" xr:uid="{00000000-0005-0000-0000-000002690000}"/>
    <cellStyle name="Normal 5 4 2 8 4" xfId="5120" xr:uid="{00000000-0005-0000-0000-000003690000}"/>
    <cellStyle name="Normal 5 4 2 8 4 2" xfId="21786" xr:uid="{00000000-0005-0000-0000-000004690000}"/>
    <cellStyle name="Normal 5 4 2 8 5" xfId="18045" xr:uid="{00000000-0005-0000-0000-000005690000}"/>
    <cellStyle name="Normal 5 4 2 9" xfId="3014" xr:uid="{00000000-0005-0000-0000-000006690000}"/>
    <cellStyle name="Normal 5 4 2 9 2" xfId="14121" xr:uid="{00000000-0005-0000-0000-000007690000}"/>
    <cellStyle name="Normal 5 4 2 9 2 2" xfId="30436" xr:uid="{00000000-0005-0000-0000-000008690000}"/>
    <cellStyle name="Normal 5 4 2 9 3" xfId="6858" xr:uid="{00000000-0005-0000-0000-000009690000}"/>
    <cellStyle name="Normal 5 4 2 9 3 2" xfId="23471" xr:uid="{00000000-0005-0000-0000-00000A690000}"/>
    <cellStyle name="Normal 5 4 2 9 4" xfId="19741" xr:uid="{00000000-0005-0000-0000-00000B690000}"/>
    <cellStyle name="Normal 5 4 3" xfId="886" xr:uid="{00000000-0005-0000-0000-00000C690000}"/>
    <cellStyle name="Normal 5 4 3 10" xfId="4680" xr:uid="{00000000-0005-0000-0000-00000D690000}"/>
    <cellStyle name="Normal 5 4 3 10 2" xfId="21403" xr:uid="{00000000-0005-0000-0000-00000E690000}"/>
    <cellStyle name="Normal 5 4 3 11" xfId="17664" xr:uid="{00000000-0005-0000-0000-00000F690000}"/>
    <cellStyle name="Normal 5 4 3 2" xfId="939" xr:uid="{00000000-0005-0000-0000-000010690000}"/>
    <cellStyle name="Normal 5 4 3 2 10" xfId="17717" xr:uid="{00000000-0005-0000-0000-000011690000}"/>
    <cellStyle name="Normal 5 4 3 2 2" xfId="1046" xr:uid="{00000000-0005-0000-0000-000012690000}"/>
    <cellStyle name="Normal 5 4 3 2 2 2" xfId="1231" xr:uid="{00000000-0005-0000-0000-000013690000}"/>
    <cellStyle name="Normal 5 4 3 2 2 2 2" xfId="1752" xr:uid="{00000000-0005-0000-0000-000014690000}"/>
    <cellStyle name="Normal 5 4 3 2 2 2 2 2" xfId="3083" xr:uid="{00000000-0005-0000-0000-000015690000}"/>
    <cellStyle name="Normal 5 4 3 2 2 2 2 2 2" xfId="6646" xr:uid="{00000000-0005-0000-0000-000016690000}"/>
    <cellStyle name="Normal 5 4 3 2 2 2 2 2 2 2" xfId="9997" xr:uid="{00000000-0005-0000-0000-000017690000}"/>
    <cellStyle name="Normal 5 4 3 2 2 2 2 2 2 2 2" xfId="17260" xr:uid="{00000000-0005-0000-0000-000018690000}"/>
    <cellStyle name="Normal 5 4 3 2 2 2 2 2 2 2 2 2" xfId="33575" xr:uid="{00000000-0005-0000-0000-000019690000}"/>
    <cellStyle name="Normal 5 4 3 2 2 2 2 2 2 2 3" xfId="26610" xr:uid="{00000000-0005-0000-0000-00001A690000}"/>
    <cellStyle name="Normal 5 4 3 2 2 2 2 2 2 3" xfId="13339" xr:uid="{00000000-0005-0000-0000-00001B690000}"/>
    <cellStyle name="Normal 5 4 3 2 2 2 2 2 2 3 2" xfId="29914" xr:uid="{00000000-0005-0000-0000-00001C690000}"/>
    <cellStyle name="Normal 5 4 3 2 2 2 2 2 2 4" xfId="23310" xr:uid="{00000000-0005-0000-0000-00001D690000}"/>
    <cellStyle name="Normal 5 4 3 2 2 2 2 2 3" xfId="8376" xr:uid="{00000000-0005-0000-0000-00001E690000}"/>
    <cellStyle name="Normal 5 4 3 2 2 2 2 2 3 2" xfId="15639" xr:uid="{00000000-0005-0000-0000-00001F690000}"/>
    <cellStyle name="Normal 5 4 3 2 2 2 2 2 3 2 2" xfId="31954" xr:uid="{00000000-0005-0000-0000-000020690000}"/>
    <cellStyle name="Normal 5 4 3 2 2 2 2 2 3 3" xfId="24989" xr:uid="{00000000-0005-0000-0000-000021690000}"/>
    <cellStyle name="Normal 5 4 3 2 2 2 2 2 4" xfId="11691" xr:uid="{00000000-0005-0000-0000-000022690000}"/>
    <cellStyle name="Normal 5 4 3 2 2 2 2 2 4 2" xfId="28289" xr:uid="{00000000-0005-0000-0000-000023690000}"/>
    <cellStyle name="Normal 5 4 3 2 2 2 2 2 5" xfId="4685" xr:uid="{00000000-0005-0000-0000-000024690000}"/>
    <cellStyle name="Normal 5 4 3 2 2 2 2 2 5 2" xfId="21408" xr:uid="{00000000-0005-0000-0000-000025690000}"/>
    <cellStyle name="Normal 5 4 3 2 2 2 2 2 6" xfId="19810" xr:uid="{00000000-0005-0000-0000-000026690000}"/>
    <cellStyle name="Normal 5 4 3 2 2 2 2 3" xfId="3082" xr:uid="{00000000-0005-0000-0000-000027690000}"/>
    <cellStyle name="Normal 5 4 3 2 2 2 2 3 2" xfId="9221" xr:uid="{00000000-0005-0000-0000-000028690000}"/>
    <cellStyle name="Normal 5 4 3 2 2 2 2 3 2 2" xfId="16484" xr:uid="{00000000-0005-0000-0000-000029690000}"/>
    <cellStyle name="Normal 5 4 3 2 2 2 2 3 2 2 2" xfId="32799" xr:uid="{00000000-0005-0000-0000-00002A690000}"/>
    <cellStyle name="Normal 5 4 3 2 2 2 2 3 2 3" xfId="25834" xr:uid="{00000000-0005-0000-0000-00002B690000}"/>
    <cellStyle name="Normal 5 4 3 2 2 2 2 3 3" xfId="12563" xr:uid="{00000000-0005-0000-0000-00002C690000}"/>
    <cellStyle name="Normal 5 4 3 2 2 2 2 3 3 2" xfId="29138" xr:uid="{00000000-0005-0000-0000-00002D690000}"/>
    <cellStyle name="Normal 5 4 3 2 2 2 2 3 4" xfId="5870" xr:uid="{00000000-0005-0000-0000-00002E690000}"/>
    <cellStyle name="Normal 5 4 3 2 2 2 2 3 4 2" xfId="22534" xr:uid="{00000000-0005-0000-0000-00002F690000}"/>
    <cellStyle name="Normal 5 4 3 2 2 2 2 3 5" xfId="19809" xr:uid="{00000000-0005-0000-0000-000030690000}"/>
    <cellStyle name="Normal 5 4 3 2 2 2 2 4" xfId="7600" xr:uid="{00000000-0005-0000-0000-000031690000}"/>
    <cellStyle name="Normal 5 4 3 2 2 2 2 4 2" xfId="14863" xr:uid="{00000000-0005-0000-0000-000032690000}"/>
    <cellStyle name="Normal 5 4 3 2 2 2 2 4 2 2" xfId="31178" xr:uid="{00000000-0005-0000-0000-000033690000}"/>
    <cellStyle name="Normal 5 4 3 2 2 2 2 4 3" xfId="24213" xr:uid="{00000000-0005-0000-0000-000034690000}"/>
    <cellStyle name="Normal 5 4 3 2 2 2 2 5" xfId="10915" xr:uid="{00000000-0005-0000-0000-000035690000}"/>
    <cellStyle name="Normal 5 4 3 2 2 2 2 5 2" xfId="27513" xr:uid="{00000000-0005-0000-0000-000036690000}"/>
    <cellStyle name="Normal 5 4 3 2 2 2 2 6" xfId="4684" xr:uid="{00000000-0005-0000-0000-000037690000}"/>
    <cellStyle name="Normal 5 4 3 2 2 2 2 6 2" xfId="21407" xr:uid="{00000000-0005-0000-0000-000038690000}"/>
    <cellStyle name="Normal 5 4 3 2 2 2 2 7" xfId="18487" xr:uid="{00000000-0005-0000-0000-000039690000}"/>
    <cellStyle name="Normal 5 4 3 2 2 2 3" xfId="3084" xr:uid="{00000000-0005-0000-0000-00003A690000}"/>
    <cellStyle name="Normal 5 4 3 2 2 2 3 2" xfId="6276" xr:uid="{00000000-0005-0000-0000-00003B690000}"/>
    <cellStyle name="Normal 5 4 3 2 2 2 3 2 2" xfId="9627" xr:uid="{00000000-0005-0000-0000-00003C690000}"/>
    <cellStyle name="Normal 5 4 3 2 2 2 3 2 2 2" xfId="16890" xr:uid="{00000000-0005-0000-0000-00003D690000}"/>
    <cellStyle name="Normal 5 4 3 2 2 2 3 2 2 2 2" xfId="33205" xr:uid="{00000000-0005-0000-0000-00003E690000}"/>
    <cellStyle name="Normal 5 4 3 2 2 2 3 2 2 3" xfId="26240" xr:uid="{00000000-0005-0000-0000-00003F690000}"/>
    <cellStyle name="Normal 5 4 3 2 2 2 3 2 3" xfId="12969" xr:uid="{00000000-0005-0000-0000-000040690000}"/>
    <cellStyle name="Normal 5 4 3 2 2 2 3 2 3 2" xfId="29544" xr:uid="{00000000-0005-0000-0000-000041690000}"/>
    <cellStyle name="Normal 5 4 3 2 2 2 3 2 4" xfId="22940" xr:uid="{00000000-0005-0000-0000-000042690000}"/>
    <cellStyle name="Normal 5 4 3 2 2 2 3 3" xfId="8006" xr:uid="{00000000-0005-0000-0000-000043690000}"/>
    <cellStyle name="Normal 5 4 3 2 2 2 3 3 2" xfId="15269" xr:uid="{00000000-0005-0000-0000-000044690000}"/>
    <cellStyle name="Normal 5 4 3 2 2 2 3 3 2 2" xfId="31584" xr:uid="{00000000-0005-0000-0000-000045690000}"/>
    <cellStyle name="Normal 5 4 3 2 2 2 3 3 3" xfId="24619" xr:uid="{00000000-0005-0000-0000-000046690000}"/>
    <cellStyle name="Normal 5 4 3 2 2 2 3 4" xfId="11321" xr:uid="{00000000-0005-0000-0000-000047690000}"/>
    <cellStyle name="Normal 5 4 3 2 2 2 3 4 2" xfId="27919" xr:uid="{00000000-0005-0000-0000-000048690000}"/>
    <cellStyle name="Normal 5 4 3 2 2 2 3 5" xfId="4686" xr:uid="{00000000-0005-0000-0000-000049690000}"/>
    <cellStyle name="Normal 5 4 3 2 2 2 3 5 2" xfId="21409" xr:uid="{00000000-0005-0000-0000-00004A690000}"/>
    <cellStyle name="Normal 5 4 3 2 2 2 3 6" xfId="19811" xr:uid="{00000000-0005-0000-0000-00004B690000}"/>
    <cellStyle name="Normal 5 4 3 2 2 2 4" xfId="3081" xr:uid="{00000000-0005-0000-0000-00004C690000}"/>
    <cellStyle name="Normal 5 4 3 2 2 2 4 2" xfId="8814" xr:uid="{00000000-0005-0000-0000-00004D690000}"/>
    <cellStyle name="Normal 5 4 3 2 2 2 4 2 2" xfId="16077" xr:uid="{00000000-0005-0000-0000-00004E690000}"/>
    <cellStyle name="Normal 5 4 3 2 2 2 4 2 2 2" xfId="32392" xr:uid="{00000000-0005-0000-0000-00004F690000}"/>
    <cellStyle name="Normal 5 4 3 2 2 2 4 2 3" xfId="25427" xr:uid="{00000000-0005-0000-0000-000050690000}"/>
    <cellStyle name="Normal 5 4 3 2 2 2 4 3" xfId="12156" xr:uid="{00000000-0005-0000-0000-000051690000}"/>
    <cellStyle name="Normal 5 4 3 2 2 2 4 3 2" xfId="28731" xr:uid="{00000000-0005-0000-0000-000052690000}"/>
    <cellStyle name="Normal 5 4 3 2 2 2 4 4" xfId="5463" xr:uid="{00000000-0005-0000-0000-000053690000}"/>
    <cellStyle name="Normal 5 4 3 2 2 2 4 4 2" xfId="22127" xr:uid="{00000000-0005-0000-0000-000054690000}"/>
    <cellStyle name="Normal 5 4 3 2 2 2 4 5" xfId="19808" xr:uid="{00000000-0005-0000-0000-000055690000}"/>
    <cellStyle name="Normal 5 4 3 2 2 2 5" xfId="7194" xr:uid="{00000000-0005-0000-0000-000056690000}"/>
    <cellStyle name="Normal 5 4 3 2 2 2 5 2" xfId="14457" xr:uid="{00000000-0005-0000-0000-000057690000}"/>
    <cellStyle name="Normal 5 4 3 2 2 2 5 2 2" xfId="30772" xr:uid="{00000000-0005-0000-0000-000058690000}"/>
    <cellStyle name="Normal 5 4 3 2 2 2 5 3" xfId="23807" xr:uid="{00000000-0005-0000-0000-000059690000}"/>
    <cellStyle name="Normal 5 4 3 2 2 2 6" xfId="10509" xr:uid="{00000000-0005-0000-0000-00005A690000}"/>
    <cellStyle name="Normal 5 4 3 2 2 2 6 2" xfId="27107" xr:uid="{00000000-0005-0000-0000-00005B690000}"/>
    <cellStyle name="Normal 5 4 3 2 2 2 7" xfId="4683" xr:uid="{00000000-0005-0000-0000-00005C690000}"/>
    <cellStyle name="Normal 5 4 3 2 2 2 7 2" xfId="21406" xr:uid="{00000000-0005-0000-0000-00005D690000}"/>
    <cellStyle name="Normal 5 4 3 2 2 2 8" xfId="17968" xr:uid="{00000000-0005-0000-0000-00005E690000}"/>
    <cellStyle name="Normal 5 4 3 2 2 3" xfId="1607" xr:uid="{00000000-0005-0000-0000-00005F690000}"/>
    <cellStyle name="Normal 5 4 3 2 2 3 2" xfId="3086" xr:uid="{00000000-0005-0000-0000-000060690000}"/>
    <cellStyle name="Normal 5 4 3 2 2 3 2 2" xfId="6470" xr:uid="{00000000-0005-0000-0000-000061690000}"/>
    <cellStyle name="Normal 5 4 3 2 2 3 2 2 2" xfId="9821" xr:uid="{00000000-0005-0000-0000-000062690000}"/>
    <cellStyle name="Normal 5 4 3 2 2 3 2 2 2 2" xfId="17084" xr:uid="{00000000-0005-0000-0000-000063690000}"/>
    <cellStyle name="Normal 5 4 3 2 2 3 2 2 2 2 2" xfId="33399" xr:uid="{00000000-0005-0000-0000-000064690000}"/>
    <cellStyle name="Normal 5 4 3 2 2 3 2 2 2 3" xfId="26434" xr:uid="{00000000-0005-0000-0000-000065690000}"/>
    <cellStyle name="Normal 5 4 3 2 2 3 2 2 3" xfId="13163" xr:uid="{00000000-0005-0000-0000-000066690000}"/>
    <cellStyle name="Normal 5 4 3 2 2 3 2 2 3 2" xfId="29738" xr:uid="{00000000-0005-0000-0000-000067690000}"/>
    <cellStyle name="Normal 5 4 3 2 2 3 2 2 4" xfId="23134" xr:uid="{00000000-0005-0000-0000-000068690000}"/>
    <cellStyle name="Normal 5 4 3 2 2 3 2 3" xfId="8200" xr:uid="{00000000-0005-0000-0000-000069690000}"/>
    <cellStyle name="Normal 5 4 3 2 2 3 2 3 2" xfId="15463" xr:uid="{00000000-0005-0000-0000-00006A690000}"/>
    <cellStyle name="Normal 5 4 3 2 2 3 2 3 2 2" xfId="31778" xr:uid="{00000000-0005-0000-0000-00006B690000}"/>
    <cellStyle name="Normal 5 4 3 2 2 3 2 3 3" xfId="24813" xr:uid="{00000000-0005-0000-0000-00006C690000}"/>
    <cellStyle name="Normal 5 4 3 2 2 3 2 4" xfId="11515" xr:uid="{00000000-0005-0000-0000-00006D690000}"/>
    <cellStyle name="Normal 5 4 3 2 2 3 2 4 2" xfId="28113" xr:uid="{00000000-0005-0000-0000-00006E690000}"/>
    <cellStyle name="Normal 5 4 3 2 2 3 2 5" xfId="4688" xr:uid="{00000000-0005-0000-0000-00006F690000}"/>
    <cellStyle name="Normal 5 4 3 2 2 3 2 5 2" xfId="21411" xr:uid="{00000000-0005-0000-0000-000070690000}"/>
    <cellStyle name="Normal 5 4 3 2 2 3 2 6" xfId="19813" xr:uid="{00000000-0005-0000-0000-000071690000}"/>
    <cellStyle name="Normal 5 4 3 2 2 3 3" xfId="3085" xr:uid="{00000000-0005-0000-0000-000072690000}"/>
    <cellStyle name="Normal 5 4 3 2 2 3 3 2" xfId="9009" xr:uid="{00000000-0005-0000-0000-000073690000}"/>
    <cellStyle name="Normal 5 4 3 2 2 3 3 2 2" xfId="16272" xr:uid="{00000000-0005-0000-0000-000074690000}"/>
    <cellStyle name="Normal 5 4 3 2 2 3 3 2 2 2" xfId="32587" xr:uid="{00000000-0005-0000-0000-000075690000}"/>
    <cellStyle name="Normal 5 4 3 2 2 3 3 2 3" xfId="25622" xr:uid="{00000000-0005-0000-0000-000076690000}"/>
    <cellStyle name="Normal 5 4 3 2 2 3 3 3" xfId="12351" xr:uid="{00000000-0005-0000-0000-000077690000}"/>
    <cellStyle name="Normal 5 4 3 2 2 3 3 3 2" xfId="28926" xr:uid="{00000000-0005-0000-0000-000078690000}"/>
    <cellStyle name="Normal 5 4 3 2 2 3 3 4" xfId="5658" xr:uid="{00000000-0005-0000-0000-000079690000}"/>
    <cellStyle name="Normal 5 4 3 2 2 3 3 4 2" xfId="22322" xr:uid="{00000000-0005-0000-0000-00007A690000}"/>
    <cellStyle name="Normal 5 4 3 2 2 3 3 5" xfId="19812" xr:uid="{00000000-0005-0000-0000-00007B690000}"/>
    <cellStyle name="Normal 5 4 3 2 2 3 4" xfId="7388" xr:uid="{00000000-0005-0000-0000-00007C690000}"/>
    <cellStyle name="Normal 5 4 3 2 2 3 4 2" xfId="14651" xr:uid="{00000000-0005-0000-0000-00007D690000}"/>
    <cellStyle name="Normal 5 4 3 2 2 3 4 2 2" xfId="30966" xr:uid="{00000000-0005-0000-0000-00007E690000}"/>
    <cellStyle name="Normal 5 4 3 2 2 3 4 3" xfId="24001" xr:uid="{00000000-0005-0000-0000-00007F690000}"/>
    <cellStyle name="Normal 5 4 3 2 2 3 5" xfId="10703" xr:uid="{00000000-0005-0000-0000-000080690000}"/>
    <cellStyle name="Normal 5 4 3 2 2 3 5 2" xfId="27301" xr:uid="{00000000-0005-0000-0000-000081690000}"/>
    <cellStyle name="Normal 5 4 3 2 2 3 6" xfId="4687" xr:uid="{00000000-0005-0000-0000-000082690000}"/>
    <cellStyle name="Normal 5 4 3 2 2 3 6 2" xfId="21410" xr:uid="{00000000-0005-0000-0000-000083690000}"/>
    <cellStyle name="Normal 5 4 3 2 2 3 7" xfId="18342" xr:uid="{00000000-0005-0000-0000-000084690000}"/>
    <cellStyle name="Normal 5 4 3 2 2 4" xfId="3087" xr:uid="{00000000-0005-0000-0000-000085690000}"/>
    <cellStyle name="Normal 5 4 3 2 2 4 2" xfId="6064" xr:uid="{00000000-0005-0000-0000-000086690000}"/>
    <cellStyle name="Normal 5 4 3 2 2 4 2 2" xfId="9415" xr:uid="{00000000-0005-0000-0000-000087690000}"/>
    <cellStyle name="Normal 5 4 3 2 2 4 2 2 2" xfId="16678" xr:uid="{00000000-0005-0000-0000-000088690000}"/>
    <cellStyle name="Normal 5 4 3 2 2 4 2 2 2 2" xfId="32993" xr:uid="{00000000-0005-0000-0000-000089690000}"/>
    <cellStyle name="Normal 5 4 3 2 2 4 2 2 3" xfId="26028" xr:uid="{00000000-0005-0000-0000-00008A690000}"/>
    <cellStyle name="Normal 5 4 3 2 2 4 2 3" xfId="12757" xr:uid="{00000000-0005-0000-0000-00008B690000}"/>
    <cellStyle name="Normal 5 4 3 2 2 4 2 3 2" xfId="29332" xr:uid="{00000000-0005-0000-0000-00008C690000}"/>
    <cellStyle name="Normal 5 4 3 2 2 4 2 4" xfId="22728" xr:uid="{00000000-0005-0000-0000-00008D690000}"/>
    <cellStyle name="Normal 5 4 3 2 2 4 3" xfId="7794" xr:uid="{00000000-0005-0000-0000-00008E690000}"/>
    <cellStyle name="Normal 5 4 3 2 2 4 3 2" xfId="15057" xr:uid="{00000000-0005-0000-0000-00008F690000}"/>
    <cellStyle name="Normal 5 4 3 2 2 4 3 2 2" xfId="31372" xr:uid="{00000000-0005-0000-0000-000090690000}"/>
    <cellStyle name="Normal 5 4 3 2 2 4 3 3" xfId="24407" xr:uid="{00000000-0005-0000-0000-000091690000}"/>
    <cellStyle name="Normal 5 4 3 2 2 4 4" xfId="11109" xr:uid="{00000000-0005-0000-0000-000092690000}"/>
    <cellStyle name="Normal 5 4 3 2 2 4 4 2" xfId="27707" xr:uid="{00000000-0005-0000-0000-000093690000}"/>
    <cellStyle name="Normal 5 4 3 2 2 4 5" xfId="4689" xr:uid="{00000000-0005-0000-0000-000094690000}"/>
    <cellStyle name="Normal 5 4 3 2 2 4 5 2" xfId="21412" xr:uid="{00000000-0005-0000-0000-000095690000}"/>
    <cellStyle name="Normal 5 4 3 2 2 4 6" xfId="19814" xr:uid="{00000000-0005-0000-0000-000096690000}"/>
    <cellStyle name="Normal 5 4 3 2 2 5" xfId="3080" xr:uid="{00000000-0005-0000-0000-000097690000}"/>
    <cellStyle name="Normal 5 4 3 2 2 5 2" xfId="8668" xr:uid="{00000000-0005-0000-0000-000098690000}"/>
    <cellStyle name="Normal 5 4 3 2 2 5 2 2" xfId="15931" xr:uid="{00000000-0005-0000-0000-000099690000}"/>
    <cellStyle name="Normal 5 4 3 2 2 5 2 2 2" xfId="32246" xr:uid="{00000000-0005-0000-0000-00009A690000}"/>
    <cellStyle name="Normal 5 4 3 2 2 5 2 3" xfId="25281" xr:uid="{00000000-0005-0000-0000-00009B690000}"/>
    <cellStyle name="Normal 5 4 3 2 2 5 3" xfId="12010" xr:uid="{00000000-0005-0000-0000-00009C690000}"/>
    <cellStyle name="Normal 5 4 3 2 2 5 3 2" xfId="28585" xr:uid="{00000000-0005-0000-0000-00009D690000}"/>
    <cellStyle name="Normal 5 4 3 2 2 5 4" xfId="5317" xr:uid="{00000000-0005-0000-0000-00009E690000}"/>
    <cellStyle name="Normal 5 4 3 2 2 5 4 2" xfId="21981" xr:uid="{00000000-0005-0000-0000-00009F690000}"/>
    <cellStyle name="Normal 5 4 3 2 2 5 5" xfId="19807" xr:uid="{00000000-0005-0000-0000-0000A0690000}"/>
    <cellStyle name="Normal 5 4 3 2 2 6" xfId="7049" xr:uid="{00000000-0005-0000-0000-0000A1690000}"/>
    <cellStyle name="Normal 5 4 3 2 2 6 2" xfId="14312" xr:uid="{00000000-0005-0000-0000-0000A2690000}"/>
    <cellStyle name="Normal 5 4 3 2 2 6 2 2" xfId="30627" xr:uid="{00000000-0005-0000-0000-0000A3690000}"/>
    <cellStyle name="Normal 5 4 3 2 2 6 3" xfId="23662" xr:uid="{00000000-0005-0000-0000-0000A4690000}"/>
    <cellStyle name="Normal 5 4 3 2 2 7" xfId="10363" xr:uid="{00000000-0005-0000-0000-0000A5690000}"/>
    <cellStyle name="Normal 5 4 3 2 2 7 2" xfId="26962" xr:uid="{00000000-0005-0000-0000-0000A6690000}"/>
    <cellStyle name="Normal 5 4 3 2 2 8" xfId="4682" xr:uid="{00000000-0005-0000-0000-0000A7690000}"/>
    <cellStyle name="Normal 5 4 3 2 2 8 2" xfId="21405" xr:uid="{00000000-0005-0000-0000-0000A8690000}"/>
    <cellStyle name="Normal 5 4 3 2 2 9" xfId="17823" xr:uid="{00000000-0005-0000-0000-0000A9690000}"/>
    <cellStyle name="Normal 5 4 3 2 3" xfId="1230" xr:uid="{00000000-0005-0000-0000-0000AA690000}"/>
    <cellStyle name="Normal 5 4 3 2 3 2" xfId="1751" xr:uid="{00000000-0005-0000-0000-0000AB690000}"/>
    <cellStyle name="Normal 5 4 3 2 3 2 2" xfId="3090" xr:uid="{00000000-0005-0000-0000-0000AC690000}"/>
    <cellStyle name="Normal 5 4 3 2 3 2 2 2" xfId="6645" xr:uid="{00000000-0005-0000-0000-0000AD690000}"/>
    <cellStyle name="Normal 5 4 3 2 3 2 2 2 2" xfId="9996" xr:uid="{00000000-0005-0000-0000-0000AE690000}"/>
    <cellStyle name="Normal 5 4 3 2 3 2 2 2 2 2" xfId="17259" xr:uid="{00000000-0005-0000-0000-0000AF690000}"/>
    <cellStyle name="Normal 5 4 3 2 3 2 2 2 2 2 2" xfId="33574" xr:uid="{00000000-0005-0000-0000-0000B0690000}"/>
    <cellStyle name="Normal 5 4 3 2 3 2 2 2 2 3" xfId="26609" xr:uid="{00000000-0005-0000-0000-0000B1690000}"/>
    <cellStyle name="Normal 5 4 3 2 3 2 2 2 3" xfId="13338" xr:uid="{00000000-0005-0000-0000-0000B2690000}"/>
    <cellStyle name="Normal 5 4 3 2 3 2 2 2 3 2" xfId="29913" xr:uid="{00000000-0005-0000-0000-0000B3690000}"/>
    <cellStyle name="Normal 5 4 3 2 3 2 2 2 4" xfId="23309" xr:uid="{00000000-0005-0000-0000-0000B4690000}"/>
    <cellStyle name="Normal 5 4 3 2 3 2 2 3" xfId="8375" xr:uid="{00000000-0005-0000-0000-0000B5690000}"/>
    <cellStyle name="Normal 5 4 3 2 3 2 2 3 2" xfId="15638" xr:uid="{00000000-0005-0000-0000-0000B6690000}"/>
    <cellStyle name="Normal 5 4 3 2 3 2 2 3 2 2" xfId="31953" xr:uid="{00000000-0005-0000-0000-0000B7690000}"/>
    <cellStyle name="Normal 5 4 3 2 3 2 2 3 3" xfId="24988" xr:uid="{00000000-0005-0000-0000-0000B8690000}"/>
    <cellStyle name="Normal 5 4 3 2 3 2 2 4" xfId="11690" xr:uid="{00000000-0005-0000-0000-0000B9690000}"/>
    <cellStyle name="Normal 5 4 3 2 3 2 2 4 2" xfId="28288" xr:uid="{00000000-0005-0000-0000-0000BA690000}"/>
    <cellStyle name="Normal 5 4 3 2 3 2 2 5" xfId="4692" xr:uid="{00000000-0005-0000-0000-0000BB690000}"/>
    <cellStyle name="Normal 5 4 3 2 3 2 2 5 2" xfId="21415" xr:uid="{00000000-0005-0000-0000-0000BC690000}"/>
    <cellStyle name="Normal 5 4 3 2 3 2 2 6" xfId="19817" xr:uid="{00000000-0005-0000-0000-0000BD690000}"/>
    <cellStyle name="Normal 5 4 3 2 3 2 3" xfId="3089" xr:uid="{00000000-0005-0000-0000-0000BE690000}"/>
    <cellStyle name="Normal 5 4 3 2 3 2 3 2" xfId="9220" xr:uid="{00000000-0005-0000-0000-0000BF690000}"/>
    <cellStyle name="Normal 5 4 3 2 3 2 3 2 2" xfId="16483" xr:uid="{00000000-0005-0000-0000-0000C0690000}"/>
    <cellStyle name="Normal 5 4 3 2 3 2 3 2 2 2" xfId="32798" xr:uid="{00000000-0005-0000-0000-0000C1690000}"/>
    <cellStyle name="Normal 5 4 3 2 3 2 3 2 3" xfId="25833" xr:uid="{00000000-0005-0000-0000-0000C2690000}"/>
    <cellStyle name="Normal 5 4 3 2 3 2 3 3" xfId="12562" xr:uid="{00000000-0005-0000-0000-0000C3690000}"/>
    <cellStyle name="Normal 5 4 3 2 3 2 3 3 2" xfId="29137" xr:uid="{00000000-0005-0000-0000-0000C4690000}"/>
    <cellStyle name="Normal 5 4 3 2 3 2 3 4" xfId="5869" xr:uid="{00000000-0005-0000-0000-0000C5690000}"/>
    <cellStyle name="Normal 5 4 3 2 3 2 3 4 2" xfId="22533" xr:uid="{00000000-0005-0000-0000-0000C6690000}"/>
    <cellStyle name="Normal 5 4 3 2 3 2 3 5" xfId="19816" xr:uid="{00000000-0005-0000-0000-0000C7690000}"/>
    <cellStyle name="Normal 5 4 3 2 3 2 4" xfId="7599" xr:uid="{00000000-0005-0000-0000-0000C8690000}"/>
    <cellStyle name="Normal 5 4 3 2 3 2 4 2" xfId="14862" xr:uid="{00000000-0005-0000-0000-0000C9690000}"/>
    <cellStyle name="Normal 5 4 3 2 3 2 4 2 2" xfId="31177" xr:uid="{00000000-0005-0000-0000-0000CA690000}"/>
    <cellStyle name="Normal 5 4 3 2 3 2 4 3" xfId="24212" xr:uid="{00000000-0005-0000-0000-0000CB690000}"/>
    <cellStyle name="Normal 5 4 3 2 3 2 5" xfId="10914" xr:uid="{00000000-0005-0000-0000-0000CC690000}"/>
    <cellStyle name="Normal 5 4 3 2 3 2 5 2" xfId="27512" xr:uid="{00000000-0005-0000-0000-0000CD690000}"/>
    <cellStyle name="Normal 5 4 3 2 3 2 6" xfId="4691" xr:uid="{00000000-0005-0000-0000-0000CE690000}"/>
    <cellStyle name="Normal 5 4 3 2 3 2 6 2" xfId="21414" xr:uid="{00000000-0005-0000-0000-0000CF690000}"/>
    <cellStyle name="Normal 5 4 3 2 3 2 7" xfId="18486" xr:uid="{00000000-0005-0000-0000-0000D0690000}"/>
    <cellStyle name="Normal 5 4 3 2 3 3" xfId="3091" xr:uid="{00000000-0005-0000-0000-0000D1690000}"/>
    <cellStyle name="Normal 5 4 3 2 3 3 2" xfId="6275" xr:uid="{00000000-0005-0000-0000-0000D2690000}"/>
    <cellStyle name="Normal 5 4 3 2 3 3 2 2" xfId="9626" xr:uid="{00000000-0005-0000-0000-0000D3690000}"/>
    <cellStyle name="Normal 5 4 3 2 3 3 2 2 2" xfId="16889" xr:uid="{00000000-0005-0000-0000-0000D4690000}"/>
    <cellStyle name="Normal 5 4 3 2 3 3 2 2 2 2" xfId="33204" xr:uid="{00000000-0005-0000-0000-0000D5690000}"/>
    <cellStyle name="Normal 5 4 3 2 3 3 2 2 3" xfId="26239" xr:uid="{00000000-0005-0000-0000-0000D6690000}"/>
    <cellStyle name="Normal 5 4 3 2 3 3 2 3" xfId="12968" xr:uid="{00000000-0005-0000-0000-0000D7690000}"/>
    <cellStyle name="Normal 5 4 3 2 3 3 2 3 2" xfId="29543" xr:uid="{00000000-0005-0000-0000-0000D8690000}"/>
    <cellStyle name="Normal 5 4 3 2 3 3 2 4" xfId="22939" xr:uid="{00000000-0005-0000-0000-0000D9690000}"/>
    <cellStyle name="Normal 5 4 3 2 3 3 3" xfId="8005" xr:uid="{00000000-0005-0000-0000-0000DA690000}"/>
    <cellStyle name="Normal 5 4 3 2 3 3 3 2" xfId="15268" xr:uid="{00000000-0005-0000-0000-0000DB690000}"/>
    <cellStyle name="Normal 5 4 3 2 3 3 3 2 2" xfId="31583" xr:uid="{00000000-0005-0000-0000-0000DC690000}"/>
    <cellStyle name="Normal 5 4 3 2 3 3 3 3" xfId="24618" xr:uid="{00000000-0005-0000-0000-0000DD690000}"/>
    <cellStyle name="Normal 5 4 3 2 3 3 4" xfId="11320" xr:uid="{00000000-0005-0000-0000-0000DE690000}"/>
    <cellStyle name="Normal 5 4 3 2 3 3 4 2" xfId="27918" xr:uid="{00000000-0005-0000-0000-0000DF690000}"/>
    <cellStyle name="Normal 5 4 3 2 3 3 5" xfId="4693" xr:uid="{00000000-0005-0000-0000-0000E0690000}"/>
    <cellStyle name="Normal 5 4 3 2 3 3 5 2" xfId="21416" xr:uid="{00000000-0005-0000-0000-0000E1690000}"/>
    <cellStyle name="Normal 5 4 3 2 3 3 6" xfId="19818" xr:uid="{00000000-0005-0000-0000-0000E2690000}"/>
    <cellStyle name="Normal 5 4 3 2 3 4" xfId="3088" xr:uid="{00000000-0005-0000-0000-0000E3690000}"/>
    <cellStyle name="Normal 5 4 3 2 3 4 2" xfId="8813" xr:uid="{00000000-0005-0000-0000-0000E4690000}"/>
    <cellStyle name="Normal 5 4 3 2 3 4 2 2" xfId="16076" xr:uid="{00000000-0005-0000-0000-0000E5690000}"/>
    <cellStyle name="Normal 5 4 3 2 3 4 2 2 2" xfId="32391" xr:uid="{00000000-0005-0000-0000-0000E6690000}"/>
    <cellStyle name="Normal 5 4 3 2 3 4 2 3" xfId="25426" xr:uid="{00000000-0005-0000-0000-0000E7690000}"/>
    <cellStyle name="Normal 5 4 3 2 3 4 3" xfId="12155" xr:uid="{00000000-0005-0000-0000-0000E8690000}"/>
    <cellStyle name="Normal 5 4 3 2 3 4 3 2" xfId="28730" xr:uid="{00000000-0005-0000-0000-0000E9690000}"/>
    <cellStyle name="Normal 5 4 3 2 3 4 4" xfId="5462" xr:uid="{00000000-0005-0000-0000-0000EA690000}"/>
    <cellStyle name="Normal 5 4 3 2 3 4 4 2" xfId="22126" xr:uid="{00000000-0005-0000-0000-0000EB690000}"/>
    <cellStyle name="Normal 5 4 3 2 3 4 5" xfId="19815" xr:uid="{00000000-0005-0000-0000-0000EC690000}"/>
    <cellStyle name="Normal 5 4 3 2 3 5" xfId="7193" xr:uid="{00000000-0005-0000-0000-0000ED690000}"/>
    <cellStyle name="Normal 5 4 3 2 3 5 2" xfId="14456" xr:uid="{00000000-0005-0000-0000-0000EE690000}"/>
    <cellStyle name="Normal 5 4 3 2 3 5 2 2" xfId="30771" xr:uid="{00000000-0005-0000-0000-0000EF690000}"/>
    <cellStyle name="Normal 5 4 3 2 3 5 3" xfId="23806" xr:uid="{00000000-0005-0000-0000-0000F0690000}"/>
    <cellStyle name="Normal 5 4 3 2 3 6" xfId="10508" xr:uid="{00000000-0005-0000-0000-0000F1690000}"/>
    <cellStyle name="Normal 5 4 3 2 3 6 2" xfId="27106" xr:uid="{00000000-0005-0000-0000-0000F2690000}"/>
    <cellStyle name="Normal 5 4 3 2 3 7" xfId="4690" xr:uid="{00000000-0005-0000-0000-0000F3690000}"/>
    <cellStyle name="Normal 5 4 3 2 3 7 2" xfId="21413" xr:uid="{00000000-0005-0000-0000-0000F4690000}"/>
    <cellStyle name="Normal 5 4 3 2 3 8" xfId="17967" xr:uid="{00000000-0005-0000-0000-0000F5690000}"/>
    <cellStyle name="Normal 5 4 3 2 4" xfId="1501" xr:uid="{00000000-0005-0000-0000-0000F6690000}"/>
    <cellStyle name="Normal 5 4 3 2 4 2" xfId="3093" xr:uid="{00000000-0005-0000-0000-0000F7690000}"/>
    <cellStyle name="Normal 5 4 3 2 4 2 2" xfId="6469" xr:uid="{00000000-0005-0000-0000-0000F8690000}"/>
    <cellStyle name="Normal 5 4 3 2 4 2 2 2" xfId="9820" xr:uid="{00000000-0005-0000-0000-0000F9690000}"/>
    <cellStyle name="Normal 5 4 3 2 4 2 2 2 2" xfId="17083" xr:uid="{00000000-0005-0000-0000-0000FA690000}"/>
    <cellStyle name="Normal 5 4 3 2 4 2 2 2 2 2" xfId="33398" xr:uid="{00000000-0005-0000-0000-0000FB690000}"/>
    <cellStyle name="Normal 5 4 3 2 4 2 2 2 3" xfId="26433" xr:uid="{00000000-0005-0000-0000-0000FC690000}"/>
    <cellStyle name="Normal 5 4 3 2 4 2 2 3" xfId="13162" xr:uid="{00000000-0005-0000-0000-0000FD690000}"/>
    <cellStyle name="Normal 5 4 3 2 4 2 2 3 2" xfId="29737" xr:uid="{00000000-0005-0000-0000-0000FE690000}"/>
    <cellStyle name="Normal 5 4 3 2 4 2 2 4" xfId="23133" xr:uid="{00000000-0005-0000-0000-0000FF690000}"/>
    <cellStyle name="Normal 5 4 3 2 4 2 3" xfId="8199" xr:uid="{00000000-0005-0000-0000-0000006A0000}"/>
    <cellStyle name="Normal 5 4 3 2 4 2 3 2" xfId="15462" xr:uid="{00000000-0005-0000-0000-0000016A0000}"/>
    <cellStyle name="Normal 5 4 3 2 4 2 3 2 2" xfId="31777" xr:uid="{00000000-0005-0000-0000-0000026A0000}"/>
    <cellStyle name="Normal 5 4 3 2 4 2 3 3" xfId="24812" xr:uid="{00000000-0005-0000-0000-0000036A0000}"/>
    <cellStyle name="Normal 5 4 3 2 4 2 4" xfId="11514" xr:uid="{00000000-0005-0000-0000-0000046A0000}"/>
    <cellStyle name="Normal 5 4 3 2 4 2 4 2" xfId="28112" xr:uid="{00000000-0005-0000-0000-0000056A0000}"/>
    <cellStyle name="Normal 5 4 3 2 4 2 5" xfId="4695" xr:uid="{00000000-0005-0000-0000-0000066A0000}"/>
    <cellStyle name="Normal 5 4 3 2 4 2 5 2" xfId="21418" xr:uid="{00000000-0005-0000-0000-0000076A0000}"/>
    <cellStyle name="Normal 5 4 3 2 4 2 6" xfId="19820" xr:uid="{00000000-0005-0000-0000-0000086A0000}"/>
    <cellStyle name="Normal 5 4 3 2 4 3" xfId="3092" xr:uid="{00000000-0005-0000-0000-0000096A0000}"/>
    <cellStyle name="Normal 5 4 3 2 4 3 2" xfId="9008" xr:uid="{00000000-0005-0000-0000-00000A6A0000}"/>
    <cellStyle name="Normal 5 4 3 2 4 3 2 2" xfId="16271" xr:uid="{00000000-0005-0000-0000-00000B6A0000}"/>
    <cellStyle name="Normal 5 4 3 2 4 3 2 2 2" xfId="32586" xr:uid="{00000000-0005-0000-0000-00000C6A0000}"/>
    <cellStyle name="Normal 5 4 3 2 4 3 2 3" xfId="25621" xr:uid="{00000000-0005-0000-0000-00000D6A0000}"/>
    <cellStyle name="Normal 5 4 3 2 4 3 3" xfId="12350" xr:uid="{00000000-0005-0000-0000-00000E6A0000}"/>
    <cellStyle name="Normal 5 4 3 2 4 3 3 2" xfId="28925" xr:uid="{00000000-0005-0000-0000-00000F6A0000}"/>
    <cellStyle name="Normal 5 4 3 2 4 3 4" xfId="5657" xr:uid="{00000000-0005-0000-0000-0000106A0000}"/>
    <cellStyle name="Normal 5 4 3 2 4 3 4 2" xfId="22321" xr:uid="{00000000-0005-0000-0000-0000116A0000}"/>
    <cellStyle name="Normal 5 4 3 2 4 3 5" xfId="19819" xr:uid="{00000000-0005-0000-0000-0000126A0000}"/>
    <cellStyle name="Normal 5 4 3 2 4 4" xfId="7387" xr:uid="{00000000-0005-0000-0000-0000136A0000}"/>
    <cellStyle name="Normal 5 4 3 2 4 4 2" xfId="14650" xr:uid="{00000000-0005-0000-0000-0000146A0000}"/>
    <cellStyle name="Normal 5 4 3 2 4 4 2 2" xfId="30965" xr:uid="{00000000-0005-0000-0000-0000156A0000}"/>
    <cellStyle name="Normal 5 4 3 2 4 4 3" xfId="24000" xr:uid="{00000000-0005-0000-0000-0000166A0000}"/>
    <cellStyle name="Normal 5 4 3 2 4 5" xfId="10702" xr:uid="{00000000-0005-0000-0000-0000176A0000}"/>
    <cellStyle name="Normal 5 4 3 2 4 5 2" xfId="27300" xr:uid="{00000000-0005-0000-0000-0000186A0000}"/>
    <cellStyle name="Normal 5 4 3 2 4 6" xfId="4694" xr:uid="{00000000-0005-0000-0000-0000196A0000}"/>
    <cellStyle name="Normal 5 4 3 2 4 6 2" xfId="21417" xr:uid="{00000000-0005-0000-0000-00001A6A0000}"/>
    <cellStyle name="Normal 5 4 3 2 4 7" xfId="18236" xr:uid="{00000000-0005-0000-0000-00001B6A0000}"/>
    <cellStyle name="Normal 5 4 3 2 5" xfId="3094" xr:uid="{00000000-0005-0000-0000-00001C6A0000}"/>
    <cellStyle name="Normal 5 4 3 2 5 2" xfId="6063" xr:uid="{00000000-0005-0000-0000-00001D6A0000}"/>
    <cellStyle name="Normal 5 4 3 2 5 2 2" xfId="9414" xr:uid="{00000000-0005-0000-0000-00001E6A0000}"/>
    <cellStyle name="Normal 5 4 3 2 5 2 2 2" xfId="16677" xr:uid="{00000000-0005-0000-0000-00001F6A0000}"/>
    <cellStyle name="Normal 5 4 3 2 5 2 2 2 2" xfId="32992" xr:uid="{00000000-0005-0000-0000-0000206A0000}"/>
    <cellStyle name="Normal 5 4 3 2 5 2 2 3" xfId="26027" xr:uid="{00000000-0005-0000-0000-0000216A0000}"/>
    <cellStyle name="Normal 5 4 3 2 5 2 3" xfId="12756" xr:uid="{00000000-0005-0000-0000-0000226A0000}"/>
    <cellStyle name="Normal 5 4 3 2 5 2 3 2" xfId="29331" xr:uid="{00000000-0005-0000-0000-0000236A0000}"/>
    <cellStyle name="Normal 5 4 3 2 5 2 4" xfId="22727" xr:uid="{00000000-0005-0000-0000-0000246A0000}"/>
    <cellStyle name="Normal 5 4 3 2 5 3" xfId="7793" xr:uid="{00000000-0005-0000-0000-0000256A0000}"/>
    <cellStyle name="Normal 5 4 3 2 5 3 2" xfId="15056" xr:uid="{00000000-0005-0000-0000-0000266A0000}"/>
    <cellStyle name="Normal 5 4 3 2 5 3 2 2" xfId="31371" xr:uid="{00000000-0005-0000-0000-0000276A0000}"/>
    <cellStyle name="Normal 5 4 3 2 5 3 3" xfId="24406" xr:uid="{00000000-0005-0000-0000-0000286A0000}"/>
    <cellStyle name="Normal 5 4 3 2 5 4" xfId="11108" xr:uid="{00000000-0005-0000-0000-0000296A0000}"/>
    <cellStyle name="Normal 5 4 3 2 5 4 2" xfId="27706" xr:uid="{00000000-0005-0000-0000-00002A6A0000}"/>
    <cellStyle name="Normal 5 4 3 2 5 5" xfId="4696" xr:uid="{00000000-0005-0000-0000-00002B6A0000}"/>
    <cellStyle name="Normal 5 4 3 2 5 5 2" xfId="21419" xr:uid="{00000000-0005-0000-0000-00002C6A0000}"/>
    <cellStyle name="Normal 5 4 3 2 5 6" xfId="19821" xr:uid="{00000000-0005-0000-0000-00002D6A0000}"/>
    <cellStyle name="Normal 5 4 3 2 6" xfId="3079" xr:uid="{00000000-0005-0000-0000-00002E6A0000}"/>
    <cellStyle name="Normal 5 4 3 2 6 2" xfId="8562" xr:uid="{00000000-0005-0000-0000-00002F6A0000}"/>
    <cellStyle name="Normal 5 4 3 2 6 2 2" xfId="15825" xr:uid="{00000000-0005-0000-0000-0000306A0000}"/>
    <cellStyle name="Normal 5 4 3 2 6 2 2 2" xfId="32140" xr:uid="{00000000-0005-0000-0000-0000316A0000}"/>
    <cellStyle name="Normal 5 4 3 2 6 2 3" xfId="25175" xr:uid="{00000000-0005-0000-0000-0000326A0000}"/>
    <cellStyle name="Normal 5 4 3 2 6 3" xfId="11904" xr:uid="{00000000-0005-0000-0000-0000336A0000}"/>
    <cellStyle name="Normal 5 4 3 2 6 3 2" xfId="28479" xr:uid="{00000000-0005-0000-0000-0000346A0000}"/>
    <cellStyle name="Normal 5 4 3 2 6 4" xfId="5211" xr:uid="{00000000-0005-0000-0000-0000356A0000}"/>
    <cellStyle name="Normal 5 4 3 2 6 4 2" xfId="21875" xr:uid="{00000000-0005-0000-0000-0000366A0000}"/>
    <cellStyle name="Normal 5 4 3 2 6 5" xfId="19806" xr:uid="{00000000-0005-0000-0000-0000376A0000}"/>
    <cellStyle name="Normal 5 4 3 2 7" xfId="6943" xr:uid="{00000000-0005-0000-0000-0000386A0000}"/>
    <cellStyle name="Normal 5 4 3 2 7 2" xfId="14206" xr:uid="{00000000-0005-0000-0000-0000396A0000}"/>
    <cellStyle name="Normal 5 4 3 2 7 2 2" xfId="30521" xr:uid="{00000000-0005-0000-0000-00003A6A0000}"/>
    <cellStyle name="Normal 5 4 3 2 7 3" xfId="23556" xr:uid="{00000000-0005-0000-0000-00003B6A0000}"/>
    <cellStyle name="Normal 5 4 3 2 8" xfId="10257" xr:uid="{00000000-0005-0000-0000-00003C6A0000}"/>
    <cellStyle name="Normal 5 4 3 2 8 2" xfId="26856" xr:uid="{00000000-0005-0000-0000-00003D6A0000}"/>
    <cellStyle name="Normal 5 4 3 2 9" xfId="4681" xr:uid="{00000000-0005-0000-0000-00003E6A0000}"/>
    <cellStyle name="Normal 5 4 3 2 9 2" xfId="21404" xr:uid="{00000000-0005-0000-0000-00003F6A0000}"/>
    <cellStyle name="Normal 5 4 3 3" xfId="993" xr:uid="{00000000-0005-0000-0000-0000406A0000}"/>
    <cellStyle name="Normal 5 4 3 3 2" xfId="1232" xr:uid="{00000000-0005-0000-0000-0000416A0000}"/>
    <cellStyle name="Normal 5 4 3 3 2 2" xfId="1753" xr:uid="{00000000-0005-0000-0000-0000426A0000}"/>
    <cellStyle name="Normal 5 4 3 3 2 2 2" xfId="3098" xr:uid="{00000000-0005-0000-0000-0000436A0000}"/>
    <cellStyle name="Normal 5 4 3 3 2 2 2 2" xfId="6647" xr:uid="{00000000-0005-0000-0000-0000446A0000}"/>
    <cellStyle name="Normal 5 4 3 3 2 2 2 2 2" xfId="9998" xr:uid="{00000000-0005-0000-0000-0000456A0000}"/>
    <cellStyle name="Normal 5 4 3 3 2 2 2 2 2 2" xfId="17261" xr:uid="{00000000-0005-0000-0000-0000466A0000}"/>
    <cellStyle name="Normal 5 4 3 3 2 2 2 2 2 2 2" xfId="33576" xr:uid="{00000000-0005-0000-0000-0000476A0000}"/>
    <cellStyle name="Normal 5 4 3 3 2 2 2 2 2 3" xfId="26611" xr:uid="{00000000-0005-0000-0000-0000486A0000}"/>
    <cellStyle name="Normal 5 4 3 3 2 2 2 2 3" xfId="13340" xr:uid="{00000000-0005-0000-0000-0000496A0000}"/>
    <cellStyle name="Normal 5 4 3 3 2 2 2 2 3 2" xfId="29915" xr:uid="{00000000-0005-0000-0000-00004A6A0000}"/>
    <cellStyle name="Normal 5 4 3 3 2 2 2 2 4" xfId="23311" xr:uid="{00000000-0005-0000-0000-00004B6A0000}"/>
    <cellStyle name="Normal 5 4 3 3 2 2 2 3" xfId="8377" xr:uid="{00000000-0005-0000-0000-00004C6A0000}"/>
    <cellStyle name="Normal 5 4 3 3 2 2 2 3 2" xfId="15640" xr:uid="{00000000-0005-0000-0000-00004D6A0000}"/>
    <cellStyle name="Normal 5 4 3 3 2 2 2 3 2 2" xfId="31955" xr:uid="{00000000-0005-0000-0000-00004E6A0000}"/>
    <cellStyle name="Normal 5 4 3 3 2 2 2 3 3" xfId="24990" xr:uid="{00000000-0005-0000-0000-00004F6A0000}"/>
    <cellStyle name="Normal 5 4 3 3 2 2 2 4" xfId="11692" xr:uid="{00000000-0005-0000-0000-0000506A0000}"/>
    <cellStyle name="Normal 5 4 3 3 2 2 2 4 2" xfId="28290" xr:uid="{00000000-0005-0000-0000-0000516A0000}"/>
    <cellStyle name="Normal 5 4 3 3 2 2 2 5" xfId="4700" xr:uid="{00000000-0005-0000-0000-0000526A0000}"/>
    <cellStyle name="Normal 5 4 3 3 2 2 2 5 2" xfId="21423" xr:uid="{00000000-0005-0000-0000-0000536A0000}"/>
    <cellStyle name="Normal 5 4 3 3 2 2 2 6" xfId="19825" xr:uid="{00000000-0005-0000-0000-0000546A0000}"/>
    <cellStyle name="Normal 5 4 3 3 2 2 3" xfId="3097" xr:uid="{00000000-0005-0000-0000-0000556A0000}"/>
    <cellStyle name="Normal 5 4 3 3 2 2 3 2" xfId="9222" xr:uid="{00000000-0005-0000-0000-0000566A0000}"/>
    <cellStyle name="Normal 5 4 3 3 2 2 3 2 2" xfId="16485" xr:uid="{00000000-0005-0000-0000-0000576A0000}"/>
    <cellStyle name="Normal 5 4 3 3 2 2 3 2 2 2" xfId="32800" xr:uid="{00000000-0005-0000-0000-0000586A0000}"/>
    <cellStyle name="Normal 5 4 3 3 2 2 3 2 3" xfId="25835" xr:uid="{00000000-0005-0000-0000-0000596A0000}"/>
    <cellStyle name="Normal 5 4 3 3 2 2 3 3" xfId="12564" xr:uid="{00000000-0005-0000-0000-00005A6A0000}"/>
    <cellStyle name="Normal 5 4 3 3 2 2 3 3 2" xfId="29139" xr:uid="{00000000-0005-0000-0000-00005B6A0000}"/>
    <cellStyle name="Normal 5 4 3 3 2 2 3 4" xfId="5871" xr:uid="{00000000-0005-0000-0000-00005C6A0000}"/>
    <cellStyle name="Normal 5 4 3 3 2 2 3 4 2" xfId="22535" xr:uid="{00000000-0005-0000-0000-00005D6A0000}"/>
    <cellStyle name="Normal 5 4 3 3 2 2 3 5" xfId="19824" xr:uid="{00000000-0005-0000-0000-00005E6A0000}"/>
    <cellStyle name="Normal 5 4 3 3 2 2 4" xfId="7601" xr:uid="{00000000-0005-0000-0000-00005F6A0000}"/>
    <cellStyle name="Normal 5 4 3 3 2 2 4 2" xfId="14864" xr:uid="{00000000-0005-0000-0000-0000606A0000}"/>
    <cellStyle name="Normal 5 4 3 3 2 2 4 2 2" xfId="31179" xr:uid="{00000000-0005-0000-0000-0000616A0000}"/>
    <cellStyle name="Normal 5 4 3 3 2 2 4 3" xfId="24214" xr:uid="{00000000-0005-0000-0000-0000626A0000}"/>
    <cellStyle name="Normal 5 4 3 3 2 2 5" xfId="10916" xr:uid="{00000000-0005-0000-0000-0000636A0000}"/>
    <cellStyle name="Normal 5 4 3 3 2 2 5 2" xfId="27514" xr:uid="{00000000-0005-0000-0000-0000646A0000}"/>
    <cellStyle name="Normal 5 4 3 3 2 2 6" xfId="4699" xr:uid="{00000000-0005-0000-0000-0000656A0000}"/>
    <cellStyle name="Normal 5 4 3 3 2 2 6 2" xfId="21422" xr:uid="{00000000-0005-0000-0000-0000666A0000}"/>
    <cellStyle name="Normal 5 4 3 3 2 2 7" xfId="18488" xr:uid="{00000000-0005-0000-0000-0000676A0000}"/>
    <cellStyle name="Normal 5 4 3 3 2 3" xfId="3099" xr:uid="{00000000-0005-0000-0000-0000686A0000}"/>
    <cellStyle name="Normal 5 4 3 3 2 3 2" xfId="6277" xr:uid="{00000000-0005-0000-0000-0000696A0000}"/>
    <cellStyle name="Normal 5 4 3 3 2 3 2 2" xfId="9628" xr:uid="{00000000-0005-0000-0000-00006A6A0000}"/>
    <cellStyle name="Normal 5 4 3 3 2 3 2 2 2" xfId="16891" xr:uid="{00000000-0005-0000-0000-00006B6A0000}"/>
    <cellStyle name="Normal 5 4 3 3 2 3 2 2 2 2" xfId="33206" xr:uid="{00000000-0005-0000-0000-00006C6A0000}"/>
    <cellStyle name="Normal 5 4 3 3 2 3 2 2 3" xfId="26241" xr:uid="{00000000-0005-0000-0000-00006D6A0000}"/>
    <cellStyle name="Normal 5 4 3 3 2 3 2 3" xfId="12970" xr:uid="{00000000-0005-0000-0000-00006E6A0000}"/>
    <cellStyle name="Normal 5 4 3 3 2 3 2 3 2" xfId="29545" xr:uid="{00000000-0005-0000-0000-00006F6A0000}"/>
    <cellStyle name="Normal 5 4 3 3 2 3 2 4" xfId="22941" xr:uid="{00000000-0005-0000-0000-0000706A0000}"/>
    <cellStyle name="Normal 5 4 3 3 2 3 3" xfId="8007" xr:uid="{00000000-0005-0000-0000-0000716A0000}"/>
    <cellStyle name="Normal 5 4 3 3 2 3 3 2" xfId="15270" xr:uid="{00000000-0005-0000-0000-0000726A0000}"/>
    <cellStyle name="Normal 5 4 3 3 2 3 3 2 2" xfId="31585" xr:uid="{00000000-0005-0000-0000-0000736A0000}"/>
    <cellStyle name="Normal 5 4 3 3 2 3 3 3" xfId="24620" xr:uid="{00000000-0005-0000-0000-0000746A0000}"/>
    <cellStyle name="Normal 5 4 3 3 2 3 4" xfId="11322" xr:uid="{00000000-0005-0000-0000-0000756A0000}"/>
    <cellStyle name="Normal 5 4 3 3 2 3 4 2" xfId="27920" xr:uid="{00000000-0005-0000-0000-0000766A0000}"/>
    <cellStyle name="Normal 5 4 3 3 2 3 5" xfId="4701" xr:uid="{00000000-0005-0000-0000-0000776A0000}"/>
    <cellStyle name="Normal 5 4 3 3 2 3 5 2" xfId="21424" xr:uid="{00000000-0005-0000-0000-0000786A0000}"/>
    <cellStyle name="Normal 5 4 3 3 2 3 6" xfId="19826" xr:uid="{00000000-0005-0000-0000-0000796A0000}"/>
    <cellStyle name="Normal 5 4 3 3 2 4" xfId="3096" xr:uid="{00000000-0005-0000-0000-00007A6A0000}"/>
    <cellStyle name="Normal 5 4 3 3 2 4 2" xfId="8815" xr:uid="{00000000-0005-0000-0000-00007B6A0000}"/>
    <cellStyle name="Normal 5 4 3 3 2 4 2 2" xfId="16078" xr:uid="{00000000-0005-0000-0000-00007C6A0000}"/>
    <cellStyle name="Normal 5 4 3 3 2 4 2 2 2" xfId="32393" xr:uid="{00000000-0005-0000-0000-00007D6A0000}"/>
    <cellStyle name="Normal 5 4 3 3 2 4 2 3" xfId="25428" xr:uid="{00000000-0005-0000-0000-00007E6A0000}"/>
    <cellStyle name="Normal 5 4 3 3 2 4 3" xfId="12157" xr:uid="{00000000-0005-0000-0000-00007F6A0000}"/>
    <cellStyle name="Normal 5 4 3 3 2 4 3 2" xfId="28732" xr:uid="{00000000-0005-0000-0000-0000806A0000}"/>
    <cellStyle name="Normal 5 4 3 3 2 4 4" xfId="5464" xr:uid="{00000000-0005-0000-0000-0000816A0000}"/>
    <cellStyle name="Normal 5 4 3 3 2 4 4 2" xfId="22128" xr:uid="{00000000-0005-0000-0000-0000826A0000}"/>
    <cellStyle name="Normal 5 4 3 3 2 4 5" xfId="19823" xr:uid="{00000000-0005-0000-0000-0000836A0000}"/>
    <cellStyle name="Normal 5 4 3 3 2 5" xfId="7195" xr:uid="{00000000-0005-0000-0000-0000846A0000}"/>
    <cellStyle name="Normal 5 4 3 3 2 5 2" xfId="14458" xr:uid="{00000000-0005-0000-0000-0000856A0000}"/>
    <cellStyle name="Normal 5 4 3 3 2 5 2 2" xfId="30773" xr:uid="{00000000-0005-0000-0000-0000866A0000}"/>
    <cellStyle name="Normal 5 4 3 3 2 5 3" xfId="23808" xr:uid="{00000000-0005-0000-0000-0000876A0000}"/>
    <cellStyle name="Normal 5 4 3 3 2 6" xfId="10510" xr:uid="{00000000-0005-0000-0000-0000886A0000}"/>
    <cellStyle name="Normal 5 4 3 3 2 6 2" xfId="27108" xr:uid="{00000000-0005-0000-0000-0000896A0000}"/>
    <cellStyle name="Normal 5 4 3 3 2 7" xfId="4698" xr:uid="{00000000-0005-0000-0000-00008A6A0000}"/>
    <cellStyle name="Normal 5 4 3 3 2 7 2" xfId="21421" xr:uid="{00000000-0005-0000-0000-00008B6A0000}"/>
    <cellStyle name="Normal 5 4 3 3 2 8" xfId="17969" xr:uid="{00000000-0005-0000-0000-00008C6A0000}"/>
    <cellStyle name="Normal 5 4 3 3 3" xfId="1554" xr:uid="{00000000-0005-0000-0000-00008D6A0000}"/>
    <cellStyle name="Normal 5 4 3 3 3 2" xfId="3101" xr:uid="{00000000-0005-0000-0000-00008E6A0000}"/>
    <cellStyle name="Normal 5 4 3 3 3 2 2" xfId="6471" xr:uid="{00000000-0005-0000-0000-00008F6A0000}"/>
    <cellStyle name="Normal 5 4 3 3 3 2 2 2" xfId="9822" xr:uid="{00000000-0005-0000-0000-0000906A0000}"/>
    <cellStyle name="Normal 5 4 3 3 3 2 2 2 2" xfId="17085" xr:uid="{00000000-0005-0000-0000-0000916A0000}"/>
    <cellStyle name="Normal 5 4 3 3 3 2 2 2 2 2" xfId="33400" xr:uid="{00000000-0005-0000-0000-0000926A0000}"/>
    <cellStyle name="Normal 5 4 3 3 3 2 2 2 3" xfId="26435" xr:uid="{00000000-0005-0000-0000-0000936A0000}"/>
    <cellStyle name="Normal 5 4 3 3 3 2 2 3" xfId="13164" xr:uid="{00000000-0005-0000-0000-0000946A0000}"/>
    <cellStyle name="Normal 5 4 3 3 3 2 2 3 2" xfId="29739" xr:uid="{00000000-0005-0000-0000-0000956A0000}"/>
    <cellStyle name="Normal 5 4 3 3 3 2 2 4" xfId="23135" xr:uid="{00000000-0005-0000-0000-0000966A0000}"/>
    <cellStyle name="Normal 5 4 3 3 3 2 3" xfId="8201" xr:uid="{00000000-0005-0000-0000-0000976A0000}"/>
    <cellStyle name="Normal 5 4 3 3 3 2 3 2" xfId="15464" xr:uid="{00000000-0005-0000-0000-0000986A0000}"/>
    <cellStyle name="Normal 5 4 3 3 3 2 3 2 2" xfId="31779" xr:uid="{00000000-0005-0000-0000-0000996A0000}"/>
    <cellStyle name="Normal 5 4 3 3 3 2 3 3" xfId="24814" xr:uid="{00000000-0005-0000-0000-00009A6A0000}"/>
    <cellStyle name="Normal 5 4 3 3 3 2 4" xfId="11516" xr:uid="{00000000-0005-0000-0000-00009B6A0000}"/>
    <cellStyle name="Normal 5 4 3 3 3 2 4 2" xfId="28114" xr:uid="{00000000-0005-0000-0000-00009C6A0000}"/>
    <cellStyle name="Normal 5 4 3 3 3 2 5" xfId="4703" xr:uid="{00000000-0005-0000-0000-00009D6A0000}"/>
    <cellStyle name="Normal 5 4 3 3 3 2 5 2" xfId="21426" xr:uid="{00000000-0005-0000-0000-00009E6A0000}"/>
    <cellStyle name="Normal 5 4 3 3 3 2 6" xfId="19828" xr:uid="{00000000-0005-0000-0000-00009F6A0000}"/>
    <cellStyle name="Normal 5 4 3 3 3 3" xfId="3100" xr:uid="{00000000-0005-0000-0000-0000A06A0000}"/>
    <cellStyle name="Normal 5 4 3 3 3 3 2" xfId="9010" xr:uid="{00000000-0005-0000-0000-0000A16A0000}"/>
    <cellStyle name="Normal 5 4 3 3 3 3 2 2" xfId="16273" xr:uid="{00000000-0005-0000-0000-0000A26A0000}"/>
    <cellStyle name="Normal 5 4 3 3 3 3 2 2 2" xfId="32588" xr:uid="{00000000-0005-0000-0000-0000A36A0000}"/>
    <cellStyle name="Normal 5 4 3 3 3 3 2 3" xfId="25623" xr:uid="{00000000-0005-0000-0000-0000A46A0000}"/>
    <cellStyle name="Normal 5 4 3 3 3 3 3" xfId="12352" xr:uid="{00000000-0005-0000-0000-0000A56A0000}"/>
    <cellStyle name="Normal 5 4 3 3 3 3 3 2" xfId="28927" xr:uid="{00000000-0005-0000-0000-0000A66A0000}"/>
    <cellStyle name="Normal 5 4 3 3 3 3 4" xfId="5659" xr:uid="{00000000-0005-0000-0000-0000A76A0000}"/>
    <cellStyle name="Normal 5 4 3 3 3 3 4 2" xfId="22323" xr:uid="{00000000-0005-0000-0000-0000A86A0000}"/>
    <cellStyle name="Normal 5 4 3 3 3 3 5" xfId="19827" xr:uid="{00000000-0005-0000-0000-0000A96A0000}"/>
    <cellStyle name="Normal 5 4 3 3 3 4" xfId="7389" xr:uid="{00000000-0005-0000-0000-0000AA6A0000}"/>
    <cellStyle name="Normal 5 4 3 3 3 4 2" xfId="14652" xr:uid="{00000000-0005-0000-0000-0000AB6A0000}"/>
    <cellStyle name="Normal 5 4 3 3 3 4 2 2" xfId="30967" xr:uid="{00000000-0005-0000-0000-0000AC6A0000}"/>
    <cellStyle name="Normal 5 4 3 3 3 4 3" xfId="24002" xr:uid="{00000000-0005-0000-0000-0000AD6A0000}"/>
    <cellStyle name="Normal 5 4 3 3 3 5" xfId="10704" xr:uid="{00000000-0005-0000-0000-0000AE6A0000}"/>
    <cellStyle name="Normal 5 4 3 3 3 5 2" xfId="27302" xr:uid="{00000000-0005-0000-0000-0000AF6A0000}"/>
    <cellStyle name="Normal 5 4 3 3 3 6" xfId="4702" xr:uid="{00000000-0005-0000-0000-0000B06A0000}"/>
    <cellStyle name="Normal 5 4 3 3 3 6 2" xfId="21425" xr:uid="{00000000-0005-0000-0000-0000B16A0000}"/>
    <cellStyle name="Normal 5 4 3 3 3 7" xfId="18289" xr:uid="{00000000-0005-0000-0000-0000B26A0000}"/>
    <cellStyle name="Normal 5 4 3 3 4" xfId="3102" xr:uid="{00000000-0005-0000-0000-0000B36A0000}"/>
    <cellStyle name="Normal 5 4 3 3 4 2" xfId="6065" xr:uid="{00000000-0005-0000-0000-0000B46A0000}"/>
    <cellStyle name="Normal 5 4 3 3 4 2 2" xfId="9416" xr:uid="{00000000-0005-0000-0000-0000B56A0000}"/>
    <cellStyle name="Normal 5 4 3 3 4 2 2 2" xfId="16679" xr:uid="{00000000-0005-0000-0000-0000B66A0000}"/>
    <cellStyle name="Normal 5 4 3 3 4 2 2 2 2" xfId="32994" xr:uid="{00000000-0005-0000-0000-0000B76A0000}"/>
    <cellStyle name="Normal 5 4 3 3 4 2 2 3" xfId="26029" xr:uid="{00000000-0005-0000-0000-0000B86A0000}"/>
    <cellStyle name="Normal 5 4 3 3 4 2 3" xfId="12758" xr:uid="{00000000-0005-0000-0000-0000B96A0000}"/>
    <cellStyle name="Normal 5 4 3 3 4 2 3 2" xfId="29333" xr:uid="{00000000-0005-0000-0000-0000BA6A0000}"/>
    <cellStyle name="Normal 5 4 3 3 4 2 4" xfId="22729" xr:uid="{00000000-0005-0000-0000-0000BB6A0000}"/>
    <cellStyle name="Normal 5 4 3 3 4 3" xfId="7795" xr:uid="{00000000-0005-0000-0000-0000BC6A0000}"/>
    <cellStyle name="Normal 5 4 3 3 4 3 2" xfId="15058" xr:uid="{00000000-0005-0000-0000-0000BD6A0000}"/>
    <cellStyle name="Normal 5 4 3 3 4 3 2 2" xfId="31373" xr:uid="{00000000-0005-0000-0000-0000BE6A0000}"/>
    <cellStyle name="Normal 5 4 3 3 4 3 3" xfId="24408" xr:uid="{00000000-0005-0000-0000-0000BF6A0000}"/>
    <cellStyle name="Normal 5 4 3 3 4 4" xfId="11110" xr:uid="{00000000-0005-0000-0000-0000C06A0000}"/>
    <cellStyle name="Normal 5 4 3 3 4 4 2" xfId="27708" xr:uid="{00000000-0005-0000-0000-0000C16A0000}"/>
    <cellStyle name="Normal 5 4 3 3 4 5" xfId="4704" xr:uid="{00000000-0005-0000-0000-0000C26A0000}"/>
    <cellStyle name="Normal 5 4 3 3 4 5 2" xfId="21427" xr:uid="{00000000-0005-0000-0000-0000C36A0000}"/>
    <cellStyle name="Normal 5 4 3 3 4 6" xfId="19829" xr:uid="{00000000-0005-0000-0000-0000C46A0000}"/>
    <cellStyle name="Normal 5 4 3 3 5" xfId="3095" xr:uid="{00000000-0005-0000-0000-0000C56A0000}"/>
    <cellStyle name="Normal 5 4 3 3 5 2" xfId="8615" xr:uid="{00000000-0005-0000-0000-0000C66A0000}"/>
    <cellStyle name="Normal 5 4 3 3 5 2 2" xfId="15878" xr:uid="{00000000-0005-0000-0000-0000C76A0000}"/>
    <cellStyle name="Normal 5 4 3 3 5 2 2 2" xfId="32193" xr:uid="{00000000-0005-0000-0000-0000C86A0000}"/>
    <cellStyle name="Normal 5 4 3 3 5 2 3" xfId="25228" xr:uid="{00000000-0005-0000-0000-0000C96A0000}"/>
    <cellStyle name="Normal 5 4 3 3 5 3" xfId="11957" xr:uid="{00000000-0005-0000-0000-0000CA6A0000}"/>
    <cellStyle name="Normal 5 4 3 3 5 3 2" xfId="28532" xr:uid="{00000000-0005-0000-0000-0000CB6A0000}"/>
    <cellStyle name="Normal 5 4 3 3 5 4" xfId="5264" xr:uid="{00000000-0005-0000-0000-0000CC6A0000}"/>
    <cellStyle name="Normal 5 4 3 3 5 4 2" xfId="21928" xr:uid="{00000000-0005-0000-0000-0000CD6A0000}"/>
    <cellStyle name="Normal 5 4 3 3 5 5" xfId="19822" xr:uid="{00000000-0005-0000-0000-0000CE6A0000}"/>
    <cellStyle name="Normal 5 4 3 3 6" xfId="6996" xr:uid="{00000000-0005-0000-0000-0000CF6A0000}"/>
    <cellStyle name="Normal 5 4 3 3 6 2" xfId="14259" xr:uid="{00000000-0005-0000-0000-0000D06A0000}"/>
    <cellStyle name="Normal 5 4 3 3 6 2 2" xfId="30574" xr:uid="{00000000-0005-0000-0000-0000D16A0000}"/>
    <cellStyle name="Normal 5 4 3 3 6 3" xfId="23609" xr:uid="{00000000-0005-0000-0000-0000D26A0000}"/>
    <cellStyle name="Normal 5 4 3 3 7" xfId="10310" xr:uid="{00000000-0005-0000-0000-0000D36A0000}"/>
    <cellStyle name="Normal 5 4 3 3 7 2" xfId="26909" xr:uid="{00000000-0005-0000-0000-0000D46A0000}"/>
    <cellStyle name="Normal 5 4 3 3 8" xfId="4697" xr:uid="{00000000-0005-0000-0000-0000D56A0000}"/>
    <cellStyle name="Normal 5 4 3 3 8 2" xfId="21420" xr:uid="{00000000-0005-0000-0000-0000D66A0000}"/>
    <cellStyle name="Normal 5 4 3 3 9" xfId="17770" xr:uid="{00000000-0005-0000-0000-0000D76A0000}"/>
    <cellStyle name="Normal 5 4 3 4" xfId="1229" xr:uid="{00000000-0005-0000-0000-0000D86A0000}"/>
    <cellStyle name="Normal 5 4 3 4 2" xfId="1750" xr:uid="{00000000-0005-0000-0000-0000D96A0000}"/>
    <cellStyle name="Normal 5 4 3 4 2 2" xfId="3105" xr:uid="{00000000-0005-0000-0000-0000DA6A0000}"/>
    <cellStyle name="Normal 5 4 3 4 2 2 2" xfId="6644" xr:uid="{00000000-0005-0000-0000-0000DB6A0000}"/>
    <cellStyle name="Normal 5 4 3 4 2 2 2 2" xfId="9995" xr:uid="{00000000-0005-0000-0000-0000DC6A0000}"/>
    <cellStyle name="Normal 5 4 3 4 2 2 2 2 2" xfId="17258" xr:uid="{00000000-0005-0000-0000-0000DD6A0000}"/>
    <cellStyle name="Normal 5 4 3 4 2 2 2 2 2 2" xfId="33573" xr:uid="{00000000-0005-0000-0000-0000DE6A0000}"/>
    <cellStyle name="Normal 5 4 3 4 2 2 2 2 3" xfId="26608" xr:uid="{00000000-0005-0000-0000-0000DF6A0000}"/>
    <cellStyle name="Normal 5 4 3 4 2 2 2 3" xfId="13337" xr:uid="{00000000-0005-0000-0000-0000E06A0000}"/>
    <cellStyle name="Normal 5 4 3 4 2 2 2 3 2" xfId="29912" xr:uid="{00000000-0005-0000-0000-0000E16A0000}"/>
    <cellStyle name="Normal 5 4 3 4 2 2 2 4" xfId="23308" xr:uid="{00000000-0005-0000-0000-0000E26A0000}"/>
    <cellStyle name="Normal 5 4 3 4 2 2 3" xfId="8374" xr:uid="{00000000-0005-0000-0000-0000E36A0000}"/>
    <cellStyle name="Normal 5 4 3 4 2 2 3 2" xfId="15637" xr:uid="{00000000-0005-0000-0000-0000E46A0000}"/>
    <cellStyle name="Normal 5 4 3 4 2 2 3 2 2" xfId="31952" xr:uid="{00000000-0005-0000-0000-0000E56A0000}"/>
    <cellStyle name="Normal 5 4 3 4 2 2 3 3" xfId="24987" xr:uid="{00000000-0005-0000-0000-0000E66A0000}"/>
    <cellStyle name="Normal 5 4 3 4 2 2 4" xfId="11689" xr:uid="{00000000-0005-0000-0000-0000E76A0000}"/>
    <cellStyle name="Normal 5 4 3 4 2 2 4 2" xfId="28287" xr:uid="{00000000-0005-0000-0000-0000E86A0000}"/>
    <cellStyle name="Normal 5 4 3 4 2 2 5" xfId="4707" xr:uid="{00000000-0005-0000-0000-0000E96A0000}"/>
    <cellStyle name="Normal 5 4 3 4 2 2 5 2" xfId="21430" xr:uid="{00000000-0005-0000-0000-0000EA6A0000}"/>
    <cellStyle name="Normal 5 4 3 4 2 2 6" xfId="19832" xr:uid="{00000000-0005-0000-0000-0000EB6A0000}"/>
    <cellStyle name="Normal 5 4 3 4 2 3" xfId="3104" xr:uid="{00000000-0005-0000-0000-0000EC6A0000}"/>
    <cellStyle name="Normal 5 4 3 4 2 3 2" xfId="9219" xr:uid="{00000000-0005-0000-0000-0000ED6A0000}"/>
    <cellStyle name="Normal 5 4 3 4 2 3 2 2" xfId="16482" xr:uid="{00000000-0005-0000-0000-0000EE6A0000}"/>
    <cellStyle name="Normal 5 4 3 4 2 3 2 2 2" xfId="32797" xr:uid="{00000000-0005-0000-0000-0000EF6A0000}"/>
    <cellStyle name="Normal 5 4 3 4 2 3 2 3" xfId="25832" xr:uid="{00000000-0005-0000-0000-0000F06A0000}"/>
    <cellStyle name="Normal 5 4 3 4 2 3 3" xfId="12561" xr:uid="{00000000-0005-0000-0000-0000F16A0000}"/>
    <cellStyle name="Normal 5 4 3 4 2 3 3 2" xfId="29136" xr:uid="{00000000-0005-0000-0000-0000F26A0000}"/>
    <cellStyle name="Normal 5 4 3 4 2 3 4" xfId="5868" xr:uid="{00000000-0005-0000-0000-0000F36A0000}"/>
    <cellStyle name="Normal 5 4 3 4 2 3 4 2" xfId="22532" xr:uid="{00000000-0005-0000-0000-0000F46A0000}"/>
    <cellStyle name="Normal 5 4 3 4 2 3 5" xfId="19831" xr:uid="{00000000-0005-0000-0000-0000F56A0000}"/>
    <cellStyle name="Normal 5 4 3 4 2 4" xfId="7598" xr:uid="{00000000-0005-0000-0000-0000F66A0000}"/>
    <cellStyle name="Normal 5 4 3 4 2 4 2" xfId="14861" xr:uid="{00000000-0005-0000-0000-0000F76A0000}"/>
    <cellStyle name="Normal 5 4 3 4 2 4 2 2" xfId="31176" xr:uid="{00000000-0005-0000-0000-0000F86A0000}"/>
    <cellStyle name="Normal 5 4 3 4 2 4 3" xfId="24211" xr:uid="{00000000-0005-0000-0000-0000F96A0000}"/>
    <cellStyle name="Normal 5 4 3 4 2 5" xfId="10913" xr:uid="{00000000-0005-0000-0000-0000FA6A0000}"/>
    <cellStyle name="Normal 5 4 3 4 2 5 2" xfId="27511" xr:uid="{00000000-0005-0000-0000-0000FB6A0000}"/>
    <cellStyle name="Normal 5 4 3 4 2 6" xfId="4706" xr:uid="{00000000-0005-0000-0000-0000FC6A0000}"/>
    <cellStyle name="Normal 5 4 3 4 2 6 2" xfId="21429" xr:uid="{00000000-0005-0000-0000-0000FD6A0000}"/>
    <cellStyle name="Normal 5 4 3 4 2 7" xfId="18485" xr:uid="{00000000-0005-0000-0000-0000FE6A0000}"/>
    <cellStyle name="Normal 5 4 3 4 3" xfId="3106" xr:uid="{00000000-0005-0000-0000-0000FF6A0000}"/>
    <cellStyle name="Normal 5 4 3 4 3 2" xfId="6274" xr:uid="{00000000-0005-0000-0000-0000006B0000}"/>
    <cellStyle name="Normal 5 4 3 4 3 2 2" xfId="9625" xr:uid="{00000000-0005-0000-0000-0000016B0000}"/>
    <cellStyle name="Normal 5 4 3 4 3 2 2 2" xfId="16888" xr:uid="{00000000-0005-0000-0000-0000026B0000}"/>
    <cellStyle name="Normal 5 4 3 4 3 2 2 2 2" xfId="33203" xr:uid="{00000000-0005-0000-0000-0000036B0000}"/>
    <cellStyle name="Normal 5 4 3 4 3 2 2 3" xfId="26238" xr:uid="{00000000-0005-0000-0000-0000046B0000}"/>
    <cellStyle name="Normal 5 4 3 4 3 2 3" xfId="12967" xr:uid="{00000000-0005-0000-0000-0000056B0000}"/>
    <cellStyle name="Normal 5 4 3 4 3 2 3 2" xfId="29542" xr:uid="{00000000-0005-0000-0000-0000066B0000}"/>
    <cellStyle name="Normal 5 4 3 4 3 2 4" xfId="22938" xr:uid="{00000000-0005-0000-0000-0000076B0000}"/>
    <cellStyle name="Normal 5 4 3 4 3 3" xfId="8004" xr:uid="{00000000-0005-0000-0000-0000086B0000}"/>
    <cellStyle name="Normal 5 4 3 4 3 3 2" xfId="15267" xr:uid="{00000000-0005-0000-0000-0000096B0000}"/>
    <cellStyle name="Normal 5 4 3 4 3 3 2 2" xfId="31582" xr:uid="{00000000-0005-0000-0000-00000A6B0000}"/>
    <cellStyle name="Normal 5 4 3 4 3 3 3" xfId="24617" xr:uid="{00000000-0005-0000-0000-00000B6B0000}"/>
    <cellStyle name="Normal 5 4 3 4 3 4" xfId="11319" xr:uid="{00000000-0005-0000-0000-00000C6B0000}"/>
    <cellStyle name="Normal 5 4 3 4 3 4 2" xfId="27917" xr:uid="{00000000-0005-0000-0000-00000D6B0000}"/>
    <cellStyle name="Normal 5 4 3 4 3 5" xfId="4708" xr:uid="{00000000-0005-0000-0000-00000E6B0000}"/>
    <cellStyle name="Normal 5 4 3 4 3 5 2" xfId="21431" xr:uid="{00000000-0005-0000-0000-00000F6B0000}"/>
    <cellStyle name="Normal 5 4 3 4 3 6" xfId="19833" xr:uid="{00000000-0005-0000-0000-0000106B0000}"/>
    <cellStyle name="Normal 5 4 3 4 4" xfId="3103" xr:uid="{00000000-0005-0000-0000-0000116B0000}"/>
    <cellStyle name="Normal 5 4 3 4 4 2" xfId="8812" xr:uid="{00000000-0005-0000-0000-0000126B0000}"/>
    <cellStyle name="Normal 5 4 3 4 4 2 2" xfId="16075" xr:uid="{00000000-0005-0000-0000-0000136B0000}"/>
    <cellStyle name="Normal 5 4 3 4 4 2 2 2" xfId="32390" xr:uid="{00000000-0005-0000-0000-0000146B0000}"/>
    <cellStyle name="Normal 5 4 3 4 4 2 3" xfId="25425" xr:uid="{00000000-0005-0000-0000-0000156B0000}"/>
    <cellStyle name="Normal 5 4 3 4 4 3" xfId="12154" xr:uid="{00000000-0005-0000-0000-0000166B0000}"/>
    <cellStyle name="Normal 5 4 3 4 4 3 2" xfId="28729" xr:uid="{00000000-0005-0000-0000-0000176B0000}"/>
    <cellStyle name="Normal 5 4 3 4 4 4" xfId="5461" xr:uid="{00000000-0005-0000-0000-0000186B0000}"/>
    <cellStyle name="Normal 5 4 3 4 4 4 2" xfId="22125" xr:uid="{00000000-0005-0000-0000-0000196B0000}"/>
    <cellStyle name="Normal 5 4 3 4 4 5" xfId="19830" xr:uid="{00000000-0005-0000-0000-00001A6B0000}"/>
    <cellStyle name="Normal 5 4 3 4 5" xfId="7192" xr:uid="{00000000-0005-0000-0000-00001B6B0000}"/>
    <cellStyle name="Normal 5 4 3 4 5 2" xfId="14455" xr:uid="{00000000-0005-0000-0000-00001C6B0000}"/>
    <cellStyle name="Normal 5 4 3 4 5 2 2" xfId="30770" xr:uid="{00000000-0005-0000-0000-00001D6B0000}"/>
    <cellStyle name="Normal 5 4 3 4 5 3" xfId="23805" xr:uid="{00000000-0005-0000-0000-00001E6B0000}"/>
    <cellStyle name="Normal 5 4 3 4 6" xfId="10507" xr:uid="{00000000-0005-0000-0000-00001F6B0000}"/>
    <cellStyle name="Normal 5 4 3 4 6 2" xfId="27105" xr:uid="{00000000-0005-0000-0000-0000206B0000}"/>
    <cellStyle name="Normal 5 4 3 4 7" xfId="4705" xr:uid="{00000000-0005-0000-0000-0000216B0000}"/>
    <cellStyle name="Normal 5 4 3 4 7 2" xfId="21428" xr:uid="{00000000-0005-0000-0000-0000226B0000}"/>
    <cellStyle name="Normal 5 4 3 4 8" xfId="17966" xr:uid="{00000000-0005-0000-0000-0000236B0000}"/>
    <cellStyle name="Normal 5 4 3 5" xfId="1448" xr:uid="{00000000-0005-0000-0000-0000246B0000}"/>
    <cellStyle name="Normal 5 4 3 5 2" xfId="3108" xr:uid="{00000000-0005-0000-0000-0000256B0000}"/>
    <cellStyle name="Normal 5 4 3 5 2 2" xfId="6468" xr:uid="{00000000-0005-0000-0000-0000266B0000}"/>
    <cellStyle name="Normal 5 4 3 5 2 2 2" xfId="9819" xr:uid="{00000000-0005-0000-0000-0000276B0000}"/>
    <cellStyle name="Normal 5 4 3 5 2 2 2 2" xfId="17082" xr:uid="{00000000-0005-0000-0000-0000286B0000}"/>
    <cellStyle name="Normal 5 4 3 5 2 2 2 2 2" xfId="33397" xr:uid="{00000000-0005-0000-0000-0000296B0000}"/>
    <cellStyle name="Normal 5 4 3 5 2 2 2 3" xfId="26432" xr:uid="{00000000-0005-0000-0000-00002A6B0000}"/>
    <cellStyle name="Normal 5 4 3 5 2 2 3" xfId="13161" xr:uid="{00000000-0005-0000-0000-00002B6B0000}"/>
    <cellStyle name="Normal 5 4 3 5 2 2 3 2" xfId="29736" xr:uid="{00000000-0005-0000-0000-00002C6B0000}"/>
    <cellStyle name="Normal 5 4 3 5 2 2 4" xfId="23132" xr:uid="{00000000-0005-0000-0000-00002D6B0000}"/>
    <cellStyle name="Normal 5 4 3 5 2 3" xfId="8198" xr:uid="{00000000-0005-0000-0000-00002E6B0000}"/>
    <cellStyle name="Normal 5 4 3 5 2 3 2" xfId="15461" xr:uid="{00000000-0005-0000-0000-00002F6B0000}"/>
    <cellStyle name="Normal 5 4 3 5 2 3 2 2" xfId="31776" xr:uid="{00000000-0005-0000-0000-0000306B0000}"/>
    <cellStyle name="Normal 5 4 3 5 2 3 3" xfId="24811" xr:uid="{00000000-0005-0000-0000-0000316B0000}"/>
    <cellStyle name="Normal 5 4 3 5 2 4" xfId="11513" xr:uid="{00000000-0005-0000-0000-0000326B0000}"/>
    <cellStyle name="Normal 5 4 3 5 2 4 2" xfId="28111" xr:uid="{00000000-0005-0000-0000-0000336B0000}"/>
    <cellStyle name="Normal 5 4 3 5 2 5" xfId="4710" xr:uid="{00000000-0005-0000-0000-0000346B0000}"/>
    <cellStyle name="Normal 5 4 3 5 2 5 2" xfId="21433" xr:uid="{00000000-0005-0000-0000-0000356B0000}"/>
    <cellStyle name="Normal 5 4 3 5 2 6" xfId="19835" xr:uid="{00000000-0005-0000-0000-0000366B0000}"/>
    <cellStyle name="Normal 5 4 3 5 3" xfId="3107" xr:uid="{00000000-0005-0000-0000-0000376B0000}"/>
    <cellStyle name="Normal 5 4 3 5 3 2" xfId="9007" xr:uid="{00000000-0005-0000-0000-0000386B0000}"/>
    <cellStyle name="Normal 5 4 3 5 3 2 2" xfId="16270" xr:uid="{00000000-0005-0000-0000-0000396B0000}"/>
    <cellStyle name="Normal 5 4 3 5 3 2 2 2" xfId="32585" xr:uid="{00000000-0005-0000-0000-00003A6B0000}"/>
    <cellStyle name="Normal 5 4 3 5 3 2 3" xfId="25620" xr:uid="{00000000-0005-0000-0000-00003B6B0000}"/>
    <cellStyle name="Normal 5 4 3 5 3 3" xfId="12349" xr:uid="{00000000-0005-0000-0000-00003C6B0000}"/>
    <cellStyle name="Normal 5 4 3 5 3 3 2" xfId="28924" xr:uid="{00000000-0005-0000-0000-00003D6B0000}"/>
    <cellStyle name="Normal 5 4 3 5 3 4" xfId="5656" xr:uid="{00000000-0005-0000-0000-00003E6B0000}"/>
    <cellStyle name="Normal 5 4 3 5 3 4 2" xfId="22320" xr:uid="{00000000-0005-0000-0000-00003F6B0000}"/>
    <cellStyle name="Normal 5 4 3 5 3 5" xfId="19834" xr:uid="{00000000-0005-0000-0000-0000406B0000}"/>
    <cellStyle name="Normal 5 4 3 5 4" xfId="7386" xr:uid="{00000000-0005-0000-0000-0000416B0000}"/>
    <cellStyle name="Normal 5 4 3 5 4 2" xfId="14649" xr:uid="{00000000-0005-0000-0000-0000426B0000}"/>
    <cellStyle name="Normal 5 4 3 5 4 2 2" xfId="30964" xr:uid="{00000000-0005-0000-0000-0000436B0000}"/>
    <cellStyle name="Normal 5 4 3 5 4 3" xfId="23999" xr:uid="{00000000-0005-0000-0000-0000446B0000}"/>
    <cellStyle name="Normal 5 4 3 5 5" xfId="10701" xr:uid="{00000000-0005-0000-0000-0000456B0000}"/>
    <cellStyle name="Normal 5 4 3 5 5 2" xfId="27299" xr:uid="{00000000-0005-0000-0000-0000466B0000}"/>
    <cellStyle name="Normal 5 4 3 5 6" xfId="4709" xr:uid="{00000000-0005-0000-0000-0000476B0000}"/>
    <cellStyle name="Normal 5 4 3 5 6 2" xfId="21432" xr:uid="{00000000-0005-0000-0000-0000486B0000}"/>
    <cellStyle name="Normal 5 4 3 5 7" xfId="18183" xr:uid="{00000000-0005-0000-0000-0000496B0000}"/>
    <cellStyle name="Normal 5 4 3 6" xfId="3109" xr:uid="{00000000-0005-0000-0000-00004A6B0000}"/>
    <cellStyle name="Normal 5 4 3 6 2" xfId="6062" xr:uid="{00000000-0005-0000-0000-00004B6B0000}"/>
    <cellStyle name="Normal 5 4 3 6 2 2" xfId="9413" xr:uid="{00000000-0005-0000-0000-00004C6B0000}"/>
    <cellStyle name="Normal 5 4 3 6 2 2 2" xfId="16676" xr:uid="{00000000-0005-0000-0000-00004D6B0000}"/>
    <cellStyle name="Normal 5 4 3 6 2 2 2 2" xfId="32991" xr:uid="{00000000-0005-0000-0000-00004E6B0000}"/>
    <cellStyle name="Normal 5 4 3 6 2 2 3" xfId="26026" xr:uid="{00000000-0005-0000-0000-00004F6B0000}"/>
    <cellStyle name="Normal 5 4 3 6 2 3" xfId="12755" xr:uid="{00000000-0005-0000-0000-0000506B0000}"/>
    <cellStyle name="Normal 5 4 3 6 2 3 2" xfId="29330" xr:uid="{00000000-0005-0000-0000-0000516B0000}"/>
    <cellStyle name="Normal 5 4 3 6 2 4" xfId="22726" xr:uid="{00000000-0005-0000-0000-0000526B0000}"/>
    <cellStyle name="Normal 5 4 3 6 3" xfId="7792" xr:uid="{00000000-0005-0000-0000-0000536B0000}"/>
    <cellStyle name="Normal 5 4 3 6 3 2" xfId="15055" xr:uid="{00000000-0005-0000-0000-0000546B0000}"/>
    <cellStyle name="Normal 5 4 3 6 3 2 2" xfId="31370" xr:uid="{00000000-0005-0000-0000-0000556B0000}"/>
    <cellStyle name="Normal 5 4 3 6 3 3" xfId="24405" xr:uid="{00000000-0005-0000-0000-0000566B0000}"/>
    <cellStyle name="Normal 5 4 3 6 4" xfId="11107" xr:uid="{00000000-0005-0000-0000-0000576B0000}"/>
    <cellStyle name="Normal 5 4 3 6 4 2" xfId="27705" xr:uid="{00000000-0005-0000-0000-0000586B0000}"/>
    <cellStyle name="Normal 5 4 3 6 5" xfId="4711" xr:uid="{00000000-0005-0000-0000-0000596B0000}"/>
    <cellStyle name="Normal 5 4 3 6 5 2" xfId="21434" xr:uid="{00000000-0005-0000-0000-00005A6B0000}"/>
    <cellStyle name="Normal 5 4 3 6 6" xfId="19836" xr:uid="{00000000-0005-0000-0000-00005B6B0000}"/>
    <cellStyle name="Normal 5 4 3 7" xfId="3078" xr:uid="{00000000-0005-0000-0000-00005C6B0000}"/>
    <cellStyle name="Normal 5 4 3 7 2" xfId="8509" xr:uid="{00000000-0005-0000-0000-00005D6B0000}"/>
    <cellStyle name="Normal 5 4 3 7 2 2" xfId="15772" xr:uid="{00000000-0005-0000-0000-00005E6B0000}"/>
    <cellStyle name="Normal 5 4 3 7 2 2 2" xfId="32087" xr:uid="{00000000-0005-0000-0000-00005F6B0000}"/>
    <cellStyle name="Normal 5 4 3 7 2 3" xfId="25122" xr:uid="{00000000-0005-0000-0000-0000606B0000}"/>
    <cellStyle name="Normal 5 4 3 7 3" xfId="11851" xr:uid="{00000000-0005-0000-0000-0000616B0000}"/>
    <cellStyle name="Normal 5 4 3 7 3 2" xfId="28426" xr:uid="{00000000-0005-0000-0000-0000626B0000}"/>
    <cellStyle name="Normal 5 4 3 7 4" xfId="5158" xr:uid="{00000000-0005-0000-0000-0000636B0000}"/>
    <cellStyle name="Normal 5 4 3 7 4 2" xfId="21822" xr:uid="{00000000-0005-0000-0000-0000646B0000}"/>
    <cellStyle name="Normal 5 4 3 7 5" xfId="19805" xr:uid="{00000000-0005-0000-0000-0000656B0000}"/>
    <cellStyle name="Normal 5 4 3 8" xfId="6890" xr:uid="{00000000-0005-0000-0000-0000666B0000}"/>
    <cellStyle name="Normal 5 4 3 8 2" xfId="14153" xr:uid="{00000000-0005-0000-0000-0000676B0000}"/>
    <cellStyle name="Normal 5 4 3 8 2 2" xfId="30468" xr:uid="{00000000-0005-0000-0000-0000686B0000}"/>
    <cellStyle name="Normal 5 4 3 8 3" xfId="23503" xr:uid="{00000000-0005-0000-0000-0000696B0000}"/>
    <cellStyle name="Normal 5 4 3 9" xfId="10204" xr:uid="{00000000-0005-0000-0000-00006A6B0000}"/>
    <cellStyle name="Normal 5 4 3 9 2" xfId="26803" xr:uid="{00000000-0005-0000-0000-00006B6B0000}"/>
    <cellStyle name="Normal 5 4 4" xfId="3110" xr:uid="{00000000-0005-0000-0000-00006C6B0000}"/>
    <cellStyle name="Normal 5 4 4 2" xfId="3111" xr:uid="{00000000-0005-0000-0000-00006D6B0000}"/>
    <cellStyle name="Normal 5 4 4 2 2" xfId="3112" xr:uid="{00000000-0005-0000-0000-00006E6B0000}"/>
    <cellStyle name="Normal 5 4 4 2 2 2" xfId="6694" xr:uid="{00000000-0005-0000-0000-00006F6B0000}"/>
    <cellStyle name="Normal 5 4 4 2 2 2 2" xfId="10045" xr:uid="{00000000-0005-0000-0000-0000706B0000}"/>
    <cellStyle name="Normal 5 4 4 2 2 2 2 2" xfId="17308" xr:uid="{00000000-0005-0000-0000-0000716B0000}"/>
    <cellStyle name="Normal 5 4 4 2 2 2 2 2 2" xfId="33623" xr:uid="{00000000-0005-0000-0000-0000726B0000}"/>
    <cellStyle name="Normal 5 4 4 2 2 2 2 3" xfId="26658" xr:uid="{00000000-0005-0000-0000-0000736B0000}"/>
    <cellStyle name="Normal 5 4 4 2 2 2 3" xfId="13387" xr:uid="{00000000-0005-0000-0000-0000746B0000}"/>
    <cellStyle name="Normal 5 4 4 2 2 2 3 2" xfId="29962" xr:uid="{00000000-0005-0000-0000-0000756B0000}"/>
    <cellStyle name="Normal 5 4 4 2 2 2 4" xfId="23358" xr:uid="{00000000-0005-0000-0000-0000766B0000}"/>
    <cellStyle name="Normal 5 4 4 2 2 3" xfId="8424" xr:uid="{00000000-0005-0000-0000-0000776B0000}"/>
    <cellStyle name="Normal 5 4 4 2 2 3 2" xfId="15687" xr:uid="{00000000-0005-0000-0000-0000786B0000}"/>
    <cellStyle name="Normal 5 4 4 2 2 3 2 2" xfId="32002" xr:uid="{00000000-0005-0000-0000-0000796B0000}"/>
    <cellStyle name="Normal 5 4 4 2 2 3 3" xfId="25037" xr:uid="{00000000-0005-0000-0000-00007A6B0000}"/>
    <cellStyle name="Normal 5 4 4 2 2 4" xfId="11739" xr:uid="{00000000-0005-0000-0000-00007B6B0000}"/>
    <cellStyle name="Normal 5 4 4 2 2 4 2" xfId="28337" xr:uid="{00000000-0005-0000-0000-00007C6B0000}"/>
    <cellStyle name="Normal 5 4 4 2 2 5" xfId="4714" xr:uid="{00000000-0005-0000-0000-00007D6B0000}"/>
    <cellStyle name="Normal 5 4 4 2 2 5 2" xfId="21437" xr:uid="{00000000-0005-0000-0000-00007E6B0000}"/>
    <cellStyle name="Normal 5 4 4 2 2 6" xfId="19839" xr:uid="{00000000-0005-0000-0000-00007F6B0000}"/>
    <cellStyle name="Normal 5 4 4 2 3" xfId="5918" xr:uid="{00000000-0005-0000-0000-0000806B0000}"/>
    <cellStyle name="Normal 5 4 4 2 3 2" xfId="9269" xr:uid="{00000000-0005-0000-0000-0000816B0000}"/>
    <cellStyle name="Normal 5 4 4 2 3 2 2" xfId="16532" xr:uid="{00000000-0005-0000-0000-0000826B0000}"/>
    <cellStyle name="Normal 5 4 4 2 3 2 2 2" xfId="32847" xr:uid="{00000000-0005-0000-0000-0000836B0000}"/>
    <cellStyle name="Normal 5 4 4 2 3 2 3" xfId="25882" xr:uid="{00000000-0005-0000-0000-0000846B0000}"/>
    <cellStyle name="Normal 5 4 4 2 3 3" xfId="12611" xr:uid="{00000000-0005-0000-0000-0000856B0000}"/>
    <cellStyle name="Normal 5 4 4 2 3 3 2" xfId="29186" xr:uid="{00000000-0005-0000-0000-0000866B0000}"/>
    <cellStyle name="Normal 5 4 4 2 3 4" xfId="22582" xr:uid="{00000000-0005-0000-0000-0000876B0000}"/>
    <cellStyle name="Normal 5 4 4 2 4" xfId="7648" xr:uid="{00000000-0005-0000-0000-0000886B0000}"/>
    <cellStyle name="Normal 5 4 4 2 4 2" xfId="14911" xr:uid="{00000000-0005-0000-0000-0000896B0000}"/>
    <cellStyle name="Normal 5 4 4 2 4 2 2" xfId="31226" xr:uid="{00000000-0005-0000-0000-00008A6B0000}"/>
    <cellStyle name="Normal 5 4 4 2 4 3" xfId="24261" xr:uid="{00000000-0005-0000-0000-00008B6B0000}"/>
    <cellStyle name="Normal 5 4 4 2 5" xfId="10963" xr:uid="{00000000-0005-0000-0000-00008C6B0000}"/>
    <cellStyle name="Normal 5 4 4 2 5 2" xfId="27561" xr:uid="{00000000-0005-0000-0000-00008D6B0000}"/>
    <cellStyle name="Normal 5 4 4 2 6" xfId="4713" xr:uid="{00000000-0005-0000-0000-00008E6B0000}"/>
    <cellStyle name="Normal 5 4 4 2 6 2" xfId="21436" xr:uid="{00000000-0005-0000-0000-00008F6B0000}"/>
    <cellStyle name="Normal 5 4 4 2 7" xfId="19838" xr:uid="{00000000-0005-0000-0000-0000906B0000}"/>
    <cellStyle name="Normal 5 4 4 3" xfId="3113" xr:uid="{00000000-0005-0000-0000-0000916B0000}"/>
    <cellStyle name="Normal 5 4 4 3 2" xfId="6324" xr:uid="{00000000-0005-0000-0000-0000926B0000}"/>
    <cellStyle name="Normal 5 4 4 3 2 2" xfId="9675" xr:uid="{00000000-0005-0000-0000-0000936B0000}"/>
    <cellStyle name="Normal 5 4 4 3 2 2 2" xfId="16938" xr:uid="{00000000-0005-0000-0000-0000946B0000}"/>
    <cellStyle name="Normal 5 4 4 3 2 2 2 2" xfId="33253" xr:uid="{00000000-0005-0000-0000-0000956B0000}"/>
    <cellStyle name="Normal 5 4 4 3 2 2 3" xfId="26288" xr:uid="{00000000-0005-0000-0000-0000966B0000}"/>
    <cellStyle name="Normal 5 4 4 3 2 3" xfId="13017" xr:uid="{00000000-0005-0000-0000-0000976B0000}"/>
    <cellStyle name="Normal 5 4 4 3 2 3 2" xfId="29592" xr:uid="{00000000-0005-0000-0000-0000986B0000}"/>
    <cellStyle name="Normal 5 4 4 3 2 4" xfId="22988" xr:uid="{00000000-0005-0000-0000-0000996B0000}"/>
    <cellStyle name="Normal 5 4 4 3 3" xfId="8054" xr:uid="{00000000-0005-0000-0000-00009A6B0000}"/>
    <cellStyle name="Normal 5 4 4 3 3 2" xfId="15317" xr:uid="{00000000-0005-0000-0000-00009B6B0000}"/>
    <cellStyle name="Normal 5 4 4 3 3 2 2" xfId="31632" xr:uid="{00000000-0005-0000-0000-00009C6B0000}"/>
    <cellStyle name="Normal 5 4 4 3 3 3" xfId="24667" xr:uid="{00000000-0005-0000-0000-00009D6B0000}"/>
    <cellStyle name="Normal 5 4 4 3 4" xfId="11369" xr:uid="{00000000-0005-0000-0000-00009E6B0000}"/>
    <cellStyle name="Normal 5 4 4 3 4 2" xfId="27967" xr:uid="{00000000-0005-0000-0000-00009F6B0000}"/>
    <cellStyle name="Normal 5 4 4 3 5" xfId="4715" xr:uid="{00000000-0005-0000-0000-0000A06B0000}"/>
    <cellStyle name="Normal 5 4 4 3 5 2" xfId="21438" xr:uid="{00000000-0005-0000-0000-0000A16B0000}"/>
    <cellStyle name="Normal 5 4 4 3 6" xfId="19840" xr:uid="{00000000-0005-0000-0000-0000A26B0000}"/>
    <cellStyle name="Normal 5 4 4 4" xfId="5511" xr:uid="{00000000-0005-0000-0000-0000A36B0000}"/>
    <cellStyle name="Normal 5 4 4 4 2" xfId="8862" xr:uid="{00000000-0005-0000-0000-0000A46B0000}"/>
    <cellStyle name="Normal 5 4 4 4 2 2" xfId="16125" xr:uid="{00000000-0005-0000-0000-0000A56B0000}"/>
    <cellStyle name="Normal 5 4 4 4 2 2 2" xfId="32440" xr:uid="{00000000-0005-0000-0000-0000A66B0000}"/>
    <cellStyle name="Normal 5 4 4 4 2 3" xfId="25475" xr:uid="{00000000-0005-0000-0000-0000A76B0000}"/>
    <cellStyle name="Normal 5 4 4 4 3" xfId="12204" xr:uid="{00000000-0005-0000-0000-0000A86B0000}"/>
    <cellStyle name="Normal 5 4 4 4 3 2" xfId="28779" xr:uid="{00000000-0005-0000-0000-0000A96B0000}"/>
    <cellStyle name="Normal 5 4 4 4 4" xfId="22175" xr:uid="{00000000-0005-0000-0000-0000AA6B0000}"/>
    <cellStyle name="Normal 5 4 4 5" xfId="7242" xr:uid="{00000000-0005-0000-0000-0000AB6B0000}"/>
    <cellStyle name="Normal 5 4 4 5 2" xfId="14505" xr:uid="{00000000-0005-0000-0000-0000AC6B0000}"/>
    <cellStyle name="Normal 5 4 4 5 2 2" xfId="30820" xr:uid="{00000000-0005-0000-0000-0000AD6B0000}"/>
    <cellStyle name="Normal 5 4 4 5 3" xfId="23855" xr:uid="{00000000-0005-0000-0000-0000AE6B0000}"/>
    <cellStyle name="Normal 5 4 4 6" xfId="10557" xr:uid="{00000000-0005-0000-0000-0000AF6B0000}"/>
    <cellStyle name="Normal 5 4 4 6 2" xfId="27155" xr:uid="{00000000-0005-0000-0000-0000B06B0000}"/>
    <cellStyle name="Normal 5 4 4 7" xfId="4712" xr:uid="{00000000-0005-0000-0000-0000B16B0000}"/>
    <cellStyle name="Normal 5 4 4 7 2" xfId="21435" xr:uid="{00000000-0005-0000-0000-0000B26B0000}"/>
    <cellStyle name="Normal 5 4 4 8" xfId="19837" xr:uid="{00000000-0005-0000-0000-0000B36B0000}"/>
    <cellStyle name="Normal 5 4 5" xfId="5036" xr:uid="{00000000-0005-0000-0000-0000B46B0000}"/>
    <cellStyle name="Normal 5 4 5 2" xfId="6807" xr:uid="{00000000-0005-0000-0000-0000B56B0000}"/>
    <cellStyle name="Normal 5 4 5 2 2" xfId="10120" xr:uid="{00000000-0005-0000-0000-0000B66B0000}"/>
    <cellStyle name="Normal 5 4 5 2 2 2" xfId="17383" xr:uid="{00000000-0005-0000-0000-0000B76B0000}"/>
    <cellStyle name="Normal 5 4 5 2 2 2 2" xfId="33698" xr:uid="{00000000-0005-0000-0000-0000B86B0000}"/>
    <cellStyle name="Normal 5 4 5 2 2 3" xfId="26733" xr:uid="{00000000-0005-0000-0000-0000B96B0000}"/>
    <cellStyle name="Normal 5 4 5 2 3" xfId="13465" xr:uid="{00000000-0005-0000-0000-0000BA6B0000}"/>
    <cellStyle name="Normal 5 4 5 2 3 2" xfId="30037" xr:uid="{00000000-0005-0000-0000-0000BB6B0000}"/>
    <cellStyle name="Normal 5 4 5 2 4" xfId="23433" xr:uid="{00000000-0005-0000-0000-0000BC6B0000}"/>
    <cellStyle name="Normal 5 4 5 3" xfId="8442" xr:uid="{00000000-0005-0000-0000-0000BD6B0000}"/>
    <cellStyle name="Normal 5 4 5 3 2" xfId="15705" xr:uid="{00000000-0005-0000-0000-0000BE6B0000}"/>
    <cellStyle name="Normal 5 4 5 3 2 2" xfId="32020" xr:uid="{00000000-0005-0000-0000-0000BF6B0000}"/>
    <cellStyle name="Normal 5 4 5 3 3" xfId="25055" xr:uid="{00000000-0005-0000-0000-0000C06B0000}"/>
    <cellStyle name="Normal 5 4 5 4" xfId="11757" xr:uid="{00000000-0005-0000-0000-0000C16B0000}"/>
    <cellStyle name="Normal 5 4 5 4 2" xfId="28355" xr:uid="{00000000-0005-0000-0000-0000C26B0000}"/>
    <cellStyle name="Normal 5 4 5 5" xfId="21755" xr:uid="{00000000-0005-0000-0000-0000C36B0000}"/>
    <cellStyle name="Normal 5 5" xfId="363" xr:uid="{00000000-0005-0000-0000-0000C46B0000}"/>
    <cellStyle name="Normal 5 5 2" xfId="550" xr:uid="{00000000-0005-0000-0000-0000C56B0000}"/>
    <cellStyle name="Normal 5 5 2 10" xfId="10167" xr:uid="{00000000-0005-0000-0000-0000C66B0000}"/>
    <cellStyle name="Normal 5 5 2 10 2" xfId="26772" xr:uid="{00000000-0005-0000-0000-0000C76B0000}"/>
    <cellStyle name="Normal 5 5 2 11" xfId="4716" xr:uid="{00000000-0005-0000-0000-0000C86B0000}"/>
    <cellStyle name="Normal 5 5 2 11 2" xfId="21439" xr:uid="{00000000-0005-0000-0000-0000C96B0000}"/>
    <cellStyle name="Normal 5 5 2 12" xfId="17422" xr:uid="{00000000-0005-0000-0000-0000CA6B0000}"/>
    <cellStyle name="Normal 5 5 2 2" xfId="613" xr:uid="{00000000-0005-0000-0000-0000CB6B0000}"/>
    <cellStyle name="Normal 5 5 2 2 10" xfId="4717" xr:uid="{00000000-0005-0000-0000-0000CC6B0000}"/>
    <cellStyle name="Normal 5 5 2 2 10 2" xfId="21440" xr:uid="{00000000-0005-0000-0000-0000CD6B0000}"/>
    <cellStyle name="Normal 5 5 2 2 11" xfId="17439" xr:uid="{00000000-0005-0000-0000-0000CE6B0000}"/>
    <cellStyle name="Normal 5 5 2 2 2" xfId="695" xr:uid="{00000000-0005-0000-0000-0000CF6B0000}"/>
    <cellStyle name="Normal 5 5 2 2 2 10" xfId="17509" xr:uid="{00000000-0005-0000-0000-0000D06B0000}"/>
    <cellStyle name="Normal 5 5 2 2 2 2" xfId="1030" xr:uid="{00000000-0005-0000-0000-0000D16B0000}"/>
    <cellStyle name="Normal 5 5 2 2 2 2 2" xfId="1236" xr:uid="{00000000-0005-0000-0000-0000D26B0000}"/>
    <cellStyle name="Normal 5 5 2 2 2 2 2 2" xfId="1757" xr:uid="{00000000-0005-0000-0000-0000D36B0000}"/>
    <cellStyle name="Normal 5 5 2 2 2 2 2 2 2" xfId="3120" xr:uid="{00000000-0005-0000-0000-0000D46B0000}"/>
    <cellStyle name="Normal 5 5 2 2 2 2 2 2 2 2" xfId="6651" xr:uid="{00000000-0005-0000-0000-0000D56B0000}"/>
    <cellStyle name="Normal 5 5 2 2 2 2 2 2 2 2 2" xfId="10002" xr:uid="{00000000-0005-0000-0000-0000D66B0000}"/>
    <cellStyle name="Normal 5 5 2 2 2 2 2 2 2 2 2 2" xfId="17265" xr:uid="{00000000-0005-0000-0000-0000D76B0000}"/>
    <cellStyle name="Normal 5 5 2 2 2 2 2 2 2 2 2 2 2" xfId="33580" xr:uid="{00000000-0005-0000-0000-0000D86B0000}"/>
    <cellStyle name="Normal 5 5 2 2 2 2 2 2 2 2 2 3" xfId="26615" xr:uid="{00000000-0005-0000-0000-0000D96B0000}"/>
    <cellStyle name="Normal 5 5 2 2 2 2 2 2 2 2 3" xfId="13344" xr:uid="{00000000-0005-0000-0000-0000DA6B0000}"/>
    <cellStyle name="Normal 5 5 2 2 2 2 2 2 2 2 3 2" xfId="29919" xr:uid="{00000000-0005-0000-0000-0000DB6B0000}"/>
    <cellStyle name="Normal 5 5 2 2 2 2 2 2 2 2 4" xfId="23315" xr:uid="{00000000-0005-0000-0000-0000DC6B0000}"/>
    <cellStyle name="Normal 5 5 2 2 2 2 2 2 2 3" xfId="8381" xr:uid="{00000000-0005-0000-0000-0000DD6B0000}"/>
    <cellStyle name="Normal 5 5 2 2 2 2 2 2 2 3 2" xfId="15644" xr:uid="{00000000-0005-0000-0000-0000DE6B0000}"/>
    <cellStyle name="Normal 5 5 2 2 2 2 2 2 2 3 2 2" xfId="31959" xr:uid="{00000000-0005-0000-0000-0000DF6B0000}"/>
    <cellStyle name="Normal 5 5 2 2 2 2 2 2 2 3 3" xfId="24994" xr:uid="{00000000-0005-0000-0000-0000E06B0000}"/>
    <cellStyle name="Normal 5 5 2 2 2 2 2 2 2 4" xfId="11696" xr:uid="{00000000-0005-0000-0000-0000E16B0000}"/>
    <cellStyle name="Normal 5 5 2 2 2 2 2 2 2 4 2" xfId="28294" xr:uid="{00000000-0005-0000-0000-0000E26B0000}"/>
    <cellStyle name="Normal 5 5 2 2 2 2 2 2 2 5" xfId="4722" xr:uid="{00000000-0005-0000-0000-0000E36B0000}"/>
    <cellStyle name="Normal 5 5 2 2 2 2 2 2 2 5 2" xfId="21445" xr:uid="{00000000-0005-0000-0000-0000E46B0000}"/>
    <cellStyle name="Normal 5 5 2 2 2 2 2 2 2 6" xfId="19847" xr:uid="{00000000-0005-0000-0000-0000E56B0000}"/>
    <cellStyle name="Normal 5 5 2 2 2 2 2 2 3" xfId="3119" xr:uid="{00000000-0005-0000-0000-0000E66B0000}"/>
    <cellStyle name="Normal 5 5 2 2 2 2 2 2 3 2" xfId="9226" xr:uid="{00000000-0005-0000-0000-0000E76B0000}"/>
    <cellStyle name="Normal 5 5 2 2 2 2 2 2 3 2 2" xfId="16489" xr:uid="{00000000-0005-0000-0000-0000E86B0000}"/>
    <cellStyle name="Normal 5 5 2 2 2 2 2 2 3 2 2 2" xfId="32804" xr:uid="{00000000-0005-0000-0000-0000E96B0000}"/>
    <cellStyle name="Normal 5 5 2 2 2 2 2 2 3 2 3" xfId="25839" xr:uid="{00000000-0005-0000-0000-0000EA6B0000}"/>
    <cellStyle name="Normal 5 5 2 2 2 2 2 2 3 3" xfId="12568" xr:uid="{00000000-0005-0000-0000-0000EB6B0000}"/>
    <cellStyle name="Normal 5 5 2 2 2 2 2 2 3 3 2" xfId="29143" xr:uid="{00000000-0005-0000-0000-0000EC6B0000}"/>
    <cellStyle name="Normal 5 5 2 2 2 2 2 2 3 4" xfId="5875" xr:uid="{00000000-0005-0000-0000-0000ED6B0000}"/>
    <cellStyle name="Normal 5 5 2 2 2 2 2 2 3 4 2" xfId="22539" xr:uid="{00000000-0005-0000-0000-0000EE6B0000}"/>
    <cellStyle name="Normal 5 5 2 2 2 2 2 2 3 5" xfId="19846" xr:uid="{00000000-0005-0000-0000-0000EF6B0000}"/>
    <cellStyle name="Normal 5 5 2 2 2 2 2 2 4" xfId="7605" xr:uid="{00000000-0005-0000-0000-0000F06B0000}"/>
    <cellStyle name="Normal 5 5 2 2 2 2 2 2 4 2" xfId="14868" xr:uid="{00000000-0005-0000-0000-0000F16B0000}"/>
    <cellStyle name="Normal 5 5 2 2 2 2 2 2 4 2 2" xfId="31183" xr:uid="{00000000-0005-0000-0000-0000F26B0000}"/>
    <cellStyle name="Normal 5 5 2 2 2 2 2 2 4 3" xfId="24218" xr:uid="{00000000-0005-0000-0000-0000F36B0000}"/>
    <cellStyle name="Normal 5 5 2 2 2 2 2 2 5" xfId="10920" xr:uid="{00000000-0005-0000-0000-0000F46B0000}"/>
    <cellStyle name="Normal 5 5 2 2 2 2 2 2 5 2" xfId="27518" xr:uid="{00000000-0005-0000-0000-0000F56B0000}"/>
    <cellStyle name="Normal 5 5 2 2 2 2 2 2 6" xfId="4721" xr:uid="{00000000-0005-0000-0000-0000F66B0000}"/>
    <cellStyle name="Normal 5 5 2 2 2 2 2 2 6 2" xfId="21444" xr:uid="{00000000-0005-0000-0000-0000F76B0000}"/>
    <cellStyle name="Normal 5 5 2 2 2 2 2 2 7" xfId="18492" xr:uid="{00000000-0005-0000-0000-0000F86B0000}"/>
    <cellStyle name="Normal 5 5 2 2 2 2 2 3" xfId="3121" xr:uid="{00000000-0005-0000-0000-0000F96B0000}"/>
    <cellStyle name="Normal 5 5 2 2 2 2 2 3 2" xfId="6281" xr:uid="{00000000-0005-0000-0000-0000FA6B0000}"/>
    <cellStyle name="Normal 5 5 2 2 2 2 2 3 2 2" xfId="9632" xr:uid="{00000000-0005-0000-0000-0000FB6B0000}"/>
    <cellStyle name="Normal 5 5 2 2 2 2 2 3 2 2 2" xfId="16895" xr:uid="{00000000-0005-0000-0000-0000FC6B0000}"/>
    <cellStyle name="Normal 5 5 2 2 2 2 2 3 2 2 2 2" xfId="33210" xr:uid="{00000000-0005-0000-0000-0000FD6B0000}"/>
    <cellStyle name="Normal 5 5 2 2 2 2 2 3 2 2 3" xfId="26245" xr:uid="{00000000-0005-0000-0000-0000FE6B0000}"/>
    <cellStyle name="Normal 5 5 2 2 2 2 2 3 2 3" xfId="12974" xr:uid="{00000000-0005-0000-0000-0000FF6B0000}"/>
    <cellStyle name="Normal 5 5 2 2 2 2 2 3 2 3 2" xfId="29549" xr:uid="{00000000-0005-0000-0000-0000006C0000}"/>
    <cellStyle name="Normal 5 5 2 2 2 2 2 3 2 4" xfId="22945" xr:uid="{00000000-0005-0000-0000-0000016C0000}"/>
    <cellStyle name="Normal 5 5 2 2 2 2 2 3 3" xfId="8011" xr:uid="{00000000-0005-0000-0000-0000026C0000}"/>
    <cellStyle name="Normal 5 5 2 2 2 2 2 3 3 2" xfId="15274" xr:uid="{00000000-0005-0000-0000-0000036C0000}"/>
    <cellStyle name="Normal 5 5 2 2 2 2 2 3 3 2 2" xfId="31589" xr:uid="{00000000-0005-0000-0000-0000046C0000}"/>
    <cellStyle name="Normal 5 5 2 2 2 2 2 3 3 3" xfId="24624" xr:uid="{00000000-0005-0000-0000-0000056C0000}"/>
    <cellStyle name="Normal 5 5 2 2 2 2 2 3 4" xfId="11326" xr:uid="{00000000-0005-0000-0000-0000066C0000}"/>
    <cellStyle name="Normal 5 5 2 2 2 2 2 3 4 2" xfId="27924" xr:uid="{00000000-0005-0000-0000-0000076C0000}"/>
    <cellStyle name="Normal 5 5 2 2 2 2 2 3 5" xfId="4723" xr:uid="{00000000-0005-0000-0000-0000086C0000}"/>
    <cellStyle name="Normal 5 5 2 2 2 2 2 3 5 2" xfId="21446" xr:uid="{00000000-0005-0000-0000-0000096C0000}"/>
    <cellStyle name="Normal 5 5 2 2 2 2 2 3 6" xfId="19848" xr:uid="{00000000-0005-0000-0000-00000A6C0000}"/>
    <cellStyle name="Normal 5 5 2 2 2 2 2 4" xfId="3118" xr:uid="{00000000-0005-0000-0000-00000B6C0000}"/>
    <cellStyle name="Normal 5 5 2 2 2 2 2 4 2" xfId="8819" xr:uid="{00000000-0005-0000-0000-00000C6C0000}"/>
    <cellStyle name="Normal 5 5 2 2 2 2 2 4 2 2" xfId="16082" xr:uid="{00000000-0005-0000-0000-00000D6C0000}"/>
    <cellStyle name="Normal 5 5 2 2 2 2 2 4 2 2 2" xfId="32397" xr:uid="{00000000-0005-0000-0000-00000E6C0000}"/>
    <cellStyle name="Normal 5 5 2 2 2 2 2 4 2 3" xfId="25432" xr:uid="{00000000-0005-0000-0000-00000F6C0000}"/>
    <cellStyle name="Normal 5 5 2 2 2 2 2 4 3" xfId="12161" xr:uid="{00000000-0005-0000-0000-0000106C0000}"/>
    <cellStyle name="Normal 5 5 2 2 2 2 2 4 3 2" xfId="28736" xr:uid="{00000000-0005-0000-0000-0000116C0000}"/>
    <cellStyle name="Normal 5 5 2 2 2 2 2 4 4" xfId="5468" xr:uid="{00000000-0005-0000-0000-0000126C0000}"/>
    <cellStyle name="Normal 5 5 2 2 2 2 2 4 4 2" xfId="22132" xr:uid="{00000000-0005-0000-0000-0000136C0000}"/>
    <cellStyle name="Normal 5 5 2 2 2 2 2 4 5" xfId="19845" xr:uid="{00000000-0005-0000-0000-0000146C0000}"/>
    <cellStyle name="Normal 5 5 2 2 2 2 2 5" xfId="7199" xr:uid="{00000000-0005-0000-0000-0000156C0000}"/>
    <cellStyle name="Normal 5 5 2 2 2 2 2 5 2" xfId="14462" xr:uid="{00000000-0005-0000-0000-0000166C0000}"/>
    <cellStyle name="Normal 5 5 2 2 2 2 2 5 2 2" xfId="30777" xr:uid="{00000000-0005-0000-0000-0000176C0000}"/>
    <cellStyle name="Normal 5 5 2 2 2 2 2 5 3" xfId="23812" xr:uid="{00000000-0005-0000-0000-0000186C0000}"/>
    <cellStyle name="Normal 5 5 2 2 2 2 2 6" xfId="10514" xr:uid="{00000000-0005-0000-0000-0000196C0000}"/>
    <cellStyle name="Normal 5 5 2 2 2 2 2 6 2" xfId="27112" xr:uid="{00000000-0005-0000-0000-00001A6C0000}"/>
    <cellStyle name="Normal 5 5 2 2 2 2 2 7" xfId="4720" xr:uid="{00000000-0005-0000-0000-00001B6C0000}"/>
    <cellStyle name="Normal 5 5 2 2 2 2 2 7 2" xfId="21443" xr:uid="{00000000-0005-0000-0000-00001C6C0000}"/>
    <cellStyle name="Normal 5 5 2 2 2 2 2 8" xfId="17973" xr:uid="{00000000-0005-0000-0000-00001D6C0000}"/>
    <cellStyle name="Normal 5 5 2 2 2 2 3" xfId="1591" xr:uid="{00000000-0005-0000-0000-00001E6C0000}"/>
    <cellStyle name="Normal 5 5 2 2 2 2 3 2" xfId="3123" xr:uid="{00000000-0005-0000-0000-00001F6C0000}"/>
    <cellStyle name="Normal 5 5 2 2 2 2 3 2 2" xfId="6475" xr:uid="{00000000-0005-0000-0000-0000206C0000}"/>
    <cellStyle name="Normal 5 5 2 2 2 2 3 2 2 2" xfId="9826" xr:uid="{00000000-0005-0000-0000-0000216C0000}"/>
    <cellStyle name="Normal 5 5 2 2 2 2 3 2 2 2 2" xfId="17089" xr:uid="{00000000-0005-0000-0000-0000226C0000}"/>
    <cellStyle name="Normal 5 5 2 2 2 2 3 2 2 2 2 2" xfId="33404" xr:uid="{00000000-0005-0000-0000-0000236C0000}"/>
    <cellStyle name="Normal 5 5 2 2 2 2 3 2 2 2 3" xfId="26439" xr:uid="{00000000-0005-0000-0000-0000246C0000}"/>
    <cellStyle name="Normal 5 5 2 2 2 2 3 2 2 3" xfId="13168" xr:uid="{00000000-0005-0000-0000-0000256C0000}"/>
    <cellStyle name="Normal 5 5 2 2 2 2 3 2 2 3 2" xfId="29743" xr:uid="{00000000-0005-0000-0000-0000266C0000}"/>
    <cellStyle name="Normal 5 5 2 2 2 2 3 2 2 4" xfId="23139" xr:uid="{00000000-0005-0000-0000-0000276C0000}"/>
    <cellStyle name="Normal 5 5 2 2 2 2 3 2 3" xfId="8205" xr:uid="{00000000-0005-0000-0000-0000286C0000}"/>
    <cellStyle name="Normal 5 5 2 2 2 2 3 2 3 2" xfId="15468" xr:uid="{00000000-0005-0000-0000-0000296C0000}"/>
    <cellStyle name="Normal 5 5 2 2 2 2 3 2 3 2 2" xfId="31783" xr:uid="{00000000-0005-0000-0000-00002A6C0000}"/>
    <cellStyle name="Normal 5 5 2 2 2 2 3 2 3 3" xfId="24818" xr:uid="{00000000-0005-0000-0000-00002B6C0000}"/>
    <cellStyle name="Normal 5 5 2 2 2 2 3 2 4" xfId="11520" xr:uid="{00000000-0005-0000-0000-00002C6C0000}"/>
    <cellStyle name="Normal 5 5 2 2 2 2 3 2 4 2" xfId="28118" xr:uid="{00000000-0005-0000-0000-00002D6C0000}"/>
    <cellStyle name="Normal 5 5 2 2 2 2 3 2 5" xfId="4725" xr:uid="{00000000-0005-0000-0000-00002E6C0000}"/>
    <cellStyle name="Normal 5 5 2 2 2 2 3 2 5 2" xfId="21448" xr:uid="{00000000-0005-0000-0000-00002F6C0000}"/>
    <cellStyle name="Normal 5 5 2 2 2 2 3 2 6" xfId="19850" xr:uid="{00000000-0005-0000-0000-0000306C0000}"/>
    <cellStyle name="Normal 5 5 2 2 2 2 3 3" xfId="3122" xr:uid="{00000000-0005-0000-0000-0000316C0000}"/>
    <cellStyle name="Normal 5 5 2 2 2 2 3 3 2" xfId="9014" xr:uid="{00000000-0005-0000-0000-0000326C0000}"/>
    <cellStyle name="Normal 5 5 2 2 2 2 3 3 2 2" xfId="16277" xr:uid="{00000000-0005-0000-0000-0000336C0000}"/>
    <cellStyle name="Normal 5 5 2 2 2 2 3 3 2 2 2" xfId="32592" xr:uid="{00000000-0005-0000-0000-0000346C0000}"/>
    <cellStyle name="Normal 5 5 2 2 2 2 3 3 2 3" xfId="25627" xr:uid="{00000000-0005-0000-0000-0000356C0000}"/>
    <cellStyle name="Normal 5 5 2 2 2 2 3 3 3" xfId="12356" xr:uid="{00000000-0005-0000-0000-0000366C0000}"/>
    <cellStyle name="Normal 5 5 2 2 2 2 3 3 3 2" xfId="28931" xr:uid="{00000000-0005-0000-0000-0000376C0000}"/>
    <cellStyle name="Normal 5 5 2 2 2 2 3 3 4" xfId="5663" xr:uid="{00000000-0005-0000-0000-0000386C0000}"/>
    <cellStyle name="Normal 5 5 2 2 2 2 3 3 4 2" xfId="22327" xr:uid="{00000000-0005-0000-0000-0000396C0000}"/>
    <cellStyle name="Normal 5 5 2 2 2 2 3 3 5" xfId="19849" xr:uid="{00000000-0005-0000-0000-00003A6C0000}"/>
    <cellStyle name="Normal 5 5 2 2 2 2 3 4" xfId="7393" xr:uid="{00000000-0005-0000-0000-00003B6C0000}"/>
    <cellStyle name="Normal 5 5 2 2 2 2 3 4 2" xfId="14656" xr:uid="{00000000-0005-0000-0000-00003C6C0000}"/>
    <cellStyle name="Normal 5 5 2 2 2 2 3 4 2 2" xfId="30971" xr:uid="{00000000-0005-0000-0000-00003D6C0000}"/>
    <cellStyle name="Normal 5 5 2 2 2 2 3 4 3" xfId="24006" xr:uid="{00000000-0005-0000-0000-00003E6C0000}"/>
    <cellStyle name="Normal 5 5 2 2 2 2 3 5" xfId="10708" xr:uid="{00000000-0005-0000-0000-00003F6C0000}"/>
    <cellStyle name="Normal 5 5 2 2 2 2 3 5 2" xfId="27306" xr:uid="{00000000-0005-0000-0000-0000406C0000}"/>
    <cellStyle name="Normal 5 5 2 2 2 2 3 6" xfId="4724" xr:uid="{00000000-0005-0000-0000-0000416C0000}"/>
    <cellStyle name="Normal 5 5 2 2 2 2 3 6 2" xfId="21447" xr:uid="{00000000-0005-0000-0000-0000426C0000}"/>
    <cellStyle name="Normal 5 5 2 2 2 2 3 7" xfId="18326" xr:uid="{00000000-0005-0000-0000-0000436C0000}"/>
    <cellStyle name="Normal 5 5 2 2 2 2 4" xfId="3124" xr:uid="{00000000-0005-0000-0000-0000446C0000}"/>
    <cellStyle name="Normal 5 5 2 2 2 2 4 2" xfId="6069" xr:uid="{00000000-0005-0000-0000-0000456C0000}"/>
    <cellStyle name="Normal 5 5 2 2 2 2 4 2 2" xfId="9420" xr:uid="{00000000-0005-0000-0000-0000466C0000}"/>
    <cellStyle name="Normal 5 5 2 2 2 2 4 2 2 2" xfId="16683" xr:uid="{00000000-0005-0000-0000-0000476C0000}"/>
    <cellStyle name="Normal 5 5 2 2 2 2 4 2 2 2 2" xfId="32998" xr:uid="{00000000-0005-0000-0000-0000486C0000}"/>
    <cellStyle name="Normal 5 5 2 2 2 2 4 2 2 3" xfId="26033" xr:uid="{00000000-0005-0000-0000-0000496C0000}"/>
    <cellStyle name="Normal 5 5 2 2 2 2 4 2 3" xfId="12762" xr:uid="{00000000-0005-0000-0000-00004A6C0000}"/>
    <cellStyle name="Normal 5 5 2 2 2 2 4 2 3 2" xfId="29337" xr:uid="{00000000-0005-0000-0000-00004B6C0000}"/>
    <cellStyle name="Normal 5 5 2 2 2 2 4 2 4" xfId="22733" xr:uid="{00000000-0005-0000-0000-00004C6C0000}"/>
    <cellStyle name="Normal 5 5 2 2 2 2 4 3" xfId="7799" xr:uid="{00000000-0005-0000-0000-00004D6C0000}"/>
    <cellStyle name="Normal 5 5 2 2 2 2 4 3 2" xfId="15062" xr:uid="{00000000-0005-0000-0000-00004E6C0000}"/>
    <cellStyle name="Normal 5 5 2 2 2 2 4 3 2 2" xfId="31377" xr:uid="{00000000-0005-0000-0000-00004F6C0000}"/>
    <cellStyle name="Normal 5 5 2 2 2 2 4 3 3" xfId="24412" xr:uid="{00000000-0005-0000-0000-0000506C0000}"/>
    <cellStyle name="Normal 5 5 2 2 2 2 4 4" xfId="11114" xr:uid="{00000000-0005-0000-0000-0000516C0000}"/>
    <cellStyle name="Normal 5 5 2 2 2 2 4 4 2" xfId="27712" xr:uid="{00000000-0005-0000-0000-0000526C0000}"/>
    <cellStyle name="Normal 5 5 2 2 2 2 4 5" xfId="4726" xr:uid="{00000000-0005-0000-0000-0000536C0000}"/>
    <cellStyle name="Normal 5 5 2 2 2 2 4 5 2" xfId="21449" xr:uid="{00000000-0005-0000-0000-0000546C0000}"/>
    <cellStyle name="Normal 5 5 2 2 2 2 4 6" xfId="19851" xr:uid="{00000000-0005-0000-0000-0000556C0000}"/>
    <cellStyle name="Normal 5 5 2 2 2 2 5" xfId="3117" xr:uid="{00000000-0005-0000-0000-0000566C0000}"/>
    <cellStyle name="Normal 5 5 2 2 2 2 5 2" xfId="8652" xr:uid="{00000000-0005-0000-0000-0000576C0000}"/>
    <cellStyle name="Normal 5 5 2 2 2 2 5 2 2" xfId="15915" xr:uid="{00000000-0005-0000-0000-0000586C0000}"/>
    <cellStyle name="Normal 5 5 2 2 2 2 5 2 2 2" xfId="32230" xr:uid="{00000000-0005-0000-0000-0000596C0000}"/>
    <cellStyle name="Normal 5 5 2 2 2 2 5 2 3" xfId="25265" xr:uid="{00000000-0005-0000-0000-00005A6C0000}"/>
    <cellStyle name="Normal 5 5 2 2 2 2 5 3" xfId="11994" xr:uid="{00000000-0005-0000-0000-00005B6C0000}"/>
    <cellStyle name="Normal 5 5 2 2 2 2 5 3 2" xfId="28569" xr:uid="{00000000-0005-0000-0000-00005C6C0000}"/>
    <cellStyle name="Normal 5 5 2 2 2 2 5 4" xfId="5301" xr:uid="{00000000-0005-0000-0000-00005D6C0000}"/>
    <cellStyle name="Normal 5 5 2 2 2 2 5 4 2" xfId="21965" xr:uid="{00000000-0005-0000-0000-00005E6C0000}"/>
    <cellStyle name="Normal 5 5 2 2 2 2 5 5" xfId="19844" xr:uid="{00000000-0005-0000-0000-00005F6C0000}"/>
    <cellStyle name="Normal 5 5 2 2 2 2 6" xfId="7033" xr:uid="{00000000-0005-0000-0000-0000606C0000}"/>
    <cellStyle name="Normal 5 5 2 2 2 2 6 2" xfId="14296" xr:uid="{00000000-0005-0000-0000-0000616C0000}"/>
    <cellStyle name="Normal 5 5 2 2 2 2 6 2 2" xfId="30611" xr:uid="{00000000-0005-0000-0000-0000626C0000}"/>
    <cellStyle name="Normal 5 5 2 2 2 2 6 3" xfId="23646" xr:uid="{00000000-0005-0000-0000-0000636C0000}"/>
    <cellStyle name="Normal 5 5 2 2 2 2 7" xfId="10347" xr:uid="{00000000-0005-0000-0000-0000646C0000}"/>
    <cellStyle name="Normal 5 5 2 2 2 2 7 2" xfId="26946" xr:uid="{00000000-0005-0000-0000-0000656C0000}"/>
    <cellStyle name="Normal 5 5 2 2 2 2 8" xfId="4719" xr:uid="{00000000-0005-0000-0000-0000666C0000}"/>
    <cellStyle name="Normal 5 5 2 2 2 2 8 2" xfId="21442" xr:uid="{00000000-0005-0000-0000-0000676C0000}"/>
    <cellStyle name="Normal 5 5 2 2 2 2 9" xfId="17807" xr:uid="{00000000-0005-0000-0000-0000686C0000}"/>
    <cellStyle name="Normal 5 5 2 2 2 3" xfId="1235" xr:uid="{00000000-0005-0000-0000-0000696C0000}"/>
    <cellStyle name="Normal 5 5 2 2 2 3 2" xfId="1756" xr:uid="{00000000-0005-0000-0000-00006A6C0000}"/>
    <cellStyle name="Normal 5 5 2 2 2 3 2 2" xfId="3127" xr:uid="{00000000-0005-0000-0000-00006B6C0000}"/>
    <cellStyle name="Normal 5 5 2 2 2 3 2 2 2" xfId="6650" xr:uid="{00000000-0005-0000-0000-00006C6C0000}"/>
    <cellStyle name="Normal 5 5 2 2 2 3 2 2 2 2" xfId="10001" xr:uid="{00000000-0005-0000-0000-00006D6C0000}"/>
    <cellStyle name="Normal 5 5 2 2 2 3 2 2 2 2 2" xfId="17264" xr:uid="{00000000-0005-0000-0000-00006E6C0000}"/>
    <cellStyle name="Normal 5 5 2 2 2 3 2 2 2 2 2 2" xfId="33579" xr:uid="{00000000-0005-0000-0000-00006F6C0000}"/>
    <cellStyle name="Normal 5 5 2 2 2 3 2 2 2 2 3" xfId="26614" xr:uid="{00000000-0005-0000-0000-0000706C0000}"/>
    <cellStyle name="Normal 5 5 2 2 2 3 2 2 2 3" xfId="13343" xr:uid="{00000000-0005-0000-0000-0000716C0000}"/>
    <cellStyle name="Normal 5 5 2 2 2 3 2 2 2 3 2" xfId="29918" xr:uid="{00000000-0005-0000-0000-0000726C0000}"/>
    <cellStyle name="Normal 5 5 2 2 2 3 2 2 2 4" xfId="23314" xr:uid="{00000000-0005-0000-0000-0000736C0000}"/>
    <cellStyle name="Normal 5 5 2 2 2 3 2 2 3" xfId="8380" xr:uid="{00000000-0005-0000-0000-0000746C0000}"/>
    <cellStyle name="Normal 5 5 2 2 2 3 2 2 3 2" xfId="15643" xr:uid="{00000000-0005-0000-0000-0000756C0000}"/>
    <cellStyle name="Normal 5 5 2 2 2 3 2 2 3 2 2" xfId="31958" xr:uid="{00000000-0005-0000-0000-0000766C0000}"/>
    <cellStyle name="Normal 5 5 2 2 2 3 2 2 3 3" xfId="24993" xr:uid="{00000000-0005-0000-0000-0000776C0000}"/>
    <cellStyle name="Normal 5 5 2 2 2 3 2 2 4" xfId="11695" xr:uid="{00000000-0005-0000-0000-0000786C0000}"/>
    <cellStyle name="Normal 5 5 2 2 2 3 2 2 4 2" xfId="28293" xr:uid="{00000000-0005-0000-0000-0000796C0000}"/>
    <cellStyle name="Normal 5 5 2 2 2 3 2 2 5" xfId="4729" xr:uid="{00000000-0005-0000-0000-00007A6C0000}"/>
    <cellStyle name="Normal 5 5 2 2 2 3 2 2 5 2" xfId="21452" xr:uid="{00000000-0005-0000-0000-00007B6C0000}"/>
    <cellStyle name="Normal 5 5 2 2 2 3 2 2 6" xfId="19854" xr:uid="{00000000-0005-0000-0000-00007C6C0000}"/>
    <cellStyle name="Normal 5 5 2 2 2 3 2 3" xfId="3126" xr:uid="{00000000-0005-0000-0000-00007D6C0000}"/>
    <cellStyle name="Normal 5 5 2 2 2 3 2 3 2" xfId="9225" xr:uid="{00000000-0005-0000-0000-00007E6C0000}"/>
    <cellStyle name="Normal 5 5 2 2 2 3 2 3 2 2" xfId="16488" xr:uid="{00000000-0005-0000-0000-00007F6C0000}"/>
    <cellStyle name="Normal 5 5 2 2 2 3 2 3 2 2 2" xfId="32803" xr:uid="{00000000-0005-0000-0000-0000806C0000}"/>
    <cellStyle name="Normal 5 5 2 2 2 3 2 3 2 3" xfId="25838" xr:uid="{00000000-0005-0000-0000-0000816C0000}"/>
    <cellStyle name="Normal 5 5 2 2 2 3 2 3 3" xfId="12567" xr:uid="{00000000-0005-0000-0000-0000826C0000}"/>
    <cellStyle name="Normal 5 5 2 2 2 3 2 3 3 2" xfId="29142" xr:uid="{00000000-0005-0000-0000-0000836C0000}"/>
    <cellStyle name="Normal 5 5 2 2 2 3 2 3 4" xfId="5874" xr:uid="{00000000-0005-0000-0000-0000846C0000}"/>
    <cellStyle name="Normal 5 5 2 2 2 3 2 3 4 2" xfId="22538" xr:uid="{00000000-0005-0000-0000-0000856C0000}"/>
    <cellStyle name="Normal 5 5 2 2 2 3 2 3 5" xfId="19853" xr:uid="{00000000-0005-0000-0000-0000866C0000}"/>
    <cellStyle name="Normal 5 5 2 2 2 3 2 4" xfId="7604" xr:uid="{00000000-0005-0000-0000-0000876C0000}"/>
    <cellStyle name="Normal 5 5 2 2 2 3 2 4 2" xfId="14867" xr:uid="{00000000-0005-0000-0000-0000886C0000}"/>
    <cellStyle name="Normal 5 5 2 2 2 3 2 4 2 2" xfId="31182" xr:uid="{00000000-0005-0000-0000-0000896C0000}"/>
    <cellStyle name="Normal 5 5 2 2 2 3 2 4 3" xfId="24217" xr:uid="{00000000-0005-0000-0000-00008A6C0000}"/>
    <cellStyle name="Normal 5 5 2 2 2 3 2 5" xfId="10919" xr:uid="{00000000-0005-0000-0000-00008B6C0000}"/>
    <cellStyle name="Normal 5 5 2 2 2 3 2 5 2" xfId="27517" xr:uid="{00000000-0005-0000-0000-00008C6C0000}"/>
    <cellStyle name="Normal 5 5 2 2 2 3 2 6" xfId="4728" xr:uid="{00000000-0005-0000-0000-00008D6C0000}"/>
    <cellStyle name="Normal 5 5 2 2 2 3 2 6 2" xfId="21451" xr:uid="{00000000-0005-0000-0000-00008E6C0000}"/>
    <cellStyle name="Normal 5 5 2 2 2 3 2 7" xfId="18491" xr:uid="{00000000-0005-0000-0000-00008F6C0000}"/>
    <cellStyle name="Normal 5 5 2 2 2 3 3" xfId="3128" xr:uid="{00000000-0005-0000-0000-0000906C0000}"/>
    <cellStyle name="Normal 5 5 2 2 2 3 3 2" xfId="6280" xr:uid="{00000000-0005-0000-0000-0000916C0000}"/>
    <cellStyle name="Normal 5 5 2 2 2 3 3 2 2" xfId="9631" xr:uid="{00000000-0005-0000-0000-0000926C0000}"/>
    <cellStyle name="Normal 5 5 2 2 2 3 3 2 2 2" xfId="16894" xr:uid="{00000000-0005-0000-0000-0000936C0000}"/>
    <cellStyle name="Normal 5 5 2 2 2 3 3 2 2 2 2" xfId="33209" xr:uid="{00000000-0005-0000-0000-0000946C0000}"/>
    <cellStyle name="Normal 5 5 2 2 2 3 3 2 2 3" xfId="26244" xr:uid="{00000000-0005-0000-0000-0000956C0000}"/>
    <cellStyle name="Normal 5 5 2 2 2 3 3 2 3" xfId="12973" xr:uid="{00000000-0005-0000-0000-0000966C0000}"/>
    <cellStyle name="Normal 5 5 2 2 2 3 3 2 3 2" xfId="29548" xr:uid="{00000000-0005-0000-0000-0000976C0000}"/>
    <cellStyle name="Normal 5 5 2 2 2 3 3 2 4" xfId="22944" xr:uid="{00000000-0005-0000-0000-0000986C0000}"/>
    <cellStyle name="Normal 5 5 2 2 2 3 3 3" xfId="8010" xr:uid="{00000000-0005-0000-0000-0000996C0000}"/>
    <cellStyle name="Normal 5 5 2 2 2 3 3 3 2" xfId="15273" xr:uid="{00000000-0005-0000-0000-00009A6C0000}"/>
    <cellStyle name="Normal 5 5 2 2 2 3 3 3 2 2" xfId="31588" xr:uid="{00000000-0005-0000-0000-00009B6C0000}"/>
    <cellStyle name="Normal 5 5 2 2 2 3 3 3 3" xfId="24623" xr:uid="{00000000-0005-0000-0000-00009C6C0000}"/>
    <cellStyle name="Normal 5 5 2 2 2 3 3 4" xfId="11325" xr:uid="{00000000-0005-0000-0000-00009D6C0000}"/>
    <cellStyle name="Normal 5 5 2 2 2 3 3 4 2" xfId="27923" xr:uid="{00000000-0005-0000-0000-00009E6C0000}"/>
    <cellStyle name="Normal 5 5 2 2 2 3 3 5" xfId="4730" xr:uid="{00000000-0005-0000-0000-00009F6C0000}"/>
    <cellStyle name="Normal 5 5 2 2 2 3 3 5 2" xfId="21453" xr:uid="{00000000-0005-0000-0000-0000A06C0000}"/>
    <cellStyle name="Normal 5 5 2 2 2 3 3 6" xfId="19855" xr:uid="{00000000-0005-0000-0000-0000A16C0000}"/>
    <cellStyle name="Normal 5 5 2 2 2 3 4" xfId="3125" xr:uid="{00000000-0005-0000-0000-0000A26C0000}"/>
    <cellStyle name="Normal 5 5 2 2 2 3 4 2" xfId="8818" xr:uid="{00000000-0005-0000-0000-0000A36C0000}"/>
    <cellStyle name="Normal 5 5 2 2 2 3 4 2 2" xfId="16081" xr:uid="{00000000-0005-0000-0000-0000A46C0000}"/>
    <cellStyle name="Normal 5 5 2 2 2 3 4 2 2 2" xfId="32396" xr:uid="{00000000-0005-0000-0000-0000A56C0000}"/>
    <cellStyle name="Normal 5 5 2 2 2 3 4 2 3" xfId="25431" xr:uid="{00000000-0005-0000-0000-0000A66C0000}"/>
    <cellStyle name="Normal 5 5 2 2 2 3 4 3" xfId="12160" xr:uid="{00000000-0005-0000-0000-0000A76C0000}"/>
    <cellStyle name="Normal 5 5 2 2 2 3 4 3 2" xfId="28735" xr:uid="{00000000-0005-0000-0000-0000A86C0000}"/>
    <cellStyle name="Normal 5 5 2 2 2 3 4 4" xfId="5467" xr:uid="{00000000-0005-0000-0000-0000A96C0000}"/>
    <cellStyle name="Normal 5 5 2 2 2 3 4 4 2" xfId="22131" xr:uid="{00000000-0005-0000-0000-0000AA6C0000}"/>
    <cellStyle name="Normal 5 5 2 2 2 3 4 5" xfId="19852" xr:uid="{00000000-0005-0000-0000-0000AB6C0000}"/>
    <cellStyle name="Normal 5 5 2 2 2 3 5" xfId="7198" xr:uid="{00000000-0005-0000-0000-0000AC6C0000}"/>
    <cellStyle name="Normal 5 5 2 2 2 3 5 2" xfId="14461" xr:uid="{00000000-0005-0000-0000-0000AD6C0000}"/>
    <cellStyle name="Normal 5 5 2 2 2 3 5 2 2" xfId="30776" xr:uid="{00000000-0005-0000-0000-0000AE6C0000}"/>
    <cellStyle name="Normal 5 5 2 2 2 3 5 3" xfId="23811" xr:uid="{00000000-0005-0000-0000-0000AF6C0000}"/>
    <cellStyle name="Normal 5 5 2 2 2 3 6" xfId="10513" xr:uid="{00000000-0005-0000-0000-0000B06C0000}"/>
    <cellStyle name="Normal 5 5 2 2 2 3 6 2" xfId="27111" xr:uid="{00000000-0005-0000-0000-0000B16C0000}"/>
    <cellStyle name="Normal 5 5 2 2 2 3 7" xfId="4727" xr:uid="{00000000-0005-0000-0000-0000B26C0000}"/>
    <cellStyle name="Normal 5 5 2 2 2 3 7 2" xfId="21450" xr:uid="{00000000-0005-0000-0000-0000B36C0000}"/>
    <cellStyle name="Normal 5 5 2 2 2 3 8" xfId="17972" xr:uid="{00000000-0005-0000-0000-0000B46C0000}"/>
    <cellStyle name="Normal 5 5 2 2 2 4" xfId="923" xr:uid="{00000000-0005-0000-0000-0000B56C0000}"/>
    <cellStyle name="Normal 5 5 2 2 2 4 2" xfId="1485" xr:uid="{00000000-0005-0000-0000-0000B66C0000}"/>
    <cellStyle name="Normal 5 5 2 2 2 4 2 2" xfId="3130" xr:uid="{00000000-0005-0000-0000-0000B76C0000}"/>
    <cellStyle name="Normal 5 5 2 2 2 4 2 2 2" xfId="9825" xr:uid="{00000000-0005-0000-0000-0000B86C0000}"/>
    <cellStyle name="Normal 5 5 2 2 2 4 2 2 2 2" xfId="17088" xr:uid="{00000000-0005-0000-0000-0000B96C0000}"/>
    <cellStyle name="Normal 5 5 2 2 2 4 2 2 2 2 2" xfId="33403" xr:uid="{00000000-0005-0000-0000-0000BA6C0000}"/>
    <cellStyle name="Normal 5 5 2 2 2 4 2 2 2 3" xfId="26438" xr:uid="{00000000-0005-0000-0000-0000BB6C0000}"/>
    <cellStyle name="Normal 5 5 2 2 2 4 2 2 3" xfId="13167" xr:uid="{00000000-0005-0000-0000-0000BC6C0000}"/>
    <cellStyle name="Normal 5 5 2 2 2 4 2 2 3 2" xfId="29742" xr:uid="{00000000-0005-0000-0000-0000BD6C0000}"/>
    <cellStyle name="Normal 5 5 2 2 2 4 2 2 4" xfId="6474" xr:uid="{00000000-0005-0000-0000-0000BE6C0000}"/>
    <cellStyle name="Normal 5 5 2 2 2 4 2 2 4 2" xfId="23138" xr:uid="{00000000-0005-0000-0000-0000BF6C0000}"/>
    <cellStyle name="Normal 5 5 2 2 2 4 2 2 5" xfId="19857" xr:uid="{00000000-0005-0000-0000-0000C06C0000}"/>
    <cellStyle name="Normal 5 5 2 2 2 4 2 3" xfId="8204" xr:uid="{00000000-0005-0000-0000-0000C16C0000}"/>
    <cellStyle name="Normal 5 5 2 2 2 4 2 3 2" xfId="15467" xr:uid="{00000000-0005-0000-0000-0000C26C0000}"/>
    <cellStyle name="Normal 5 5 2 2 2 4 2 3 2 2" xfId="31782" xr:uid="{00000000-0005-0000-0000-0000C36C0000}"/>
    <cellStyle name="Normal 5 5 2 2 2 4 2 3 3" xfId="24817" xr:uid="{00000000-0005-0000-0000-0000C46C0000}"/>
    <cellStyle name="Normal 5 5 2 2 2 4 2 4" xfId="11519" xr:uid="{00000000-0005-0000-0000-0000C56C0000}"/>
    <cellStyle name="Normal 5 5 2 2 2 4 2 4 2" xfId="28117" xr:uid="{00000000-0005-0000-0000-0000C66C0000}"/>
    <cellStyle name="Normal 5 5 2 2 2 4 2 5" xfId="4732" xr:uid="{00000000-0005-0000-0000-0000C76C0000}"/>
    <cellStyle name="Normal 5 5 2 2 2 4 2 5 2" xfId="21455" xr:uid="{00000000-0005-0000-0000-0000C86C0000}"/>
    <cellStyle name="Normal 5 5 2 2 2 4 2 6" xfId="18220" xr:uid="{00000000-0005-0000-0000-0000C96C0000}"/>
    <cellStyle name="Normal 5 5 2 2 2 4 3" xfId="3129" xr:uid="{00000000-0005-0000-0000-0000CA6C0000}"/>
    <cellStyle name="Normal 5 5 2 2 2 4 3 2" xfId="9013" xr:uid="{00000000-0005-0000-0000-0000CB6C0000}"/>
    <cellStyle name="Normal 5 5 2 2 2 4 3 2 2" xfId="16276" xr:uid="{00000000-0005-0000-0000-0000CC6C0000}"/>
    <cellStyle name="Normal 5 5 2 2 2 4 3 2 2 2" xfId="32591" xr:uid="{00000000-0005-0000-0000-0000CD6C0000}"/>
    <cellStyle name="Normal 5 5 2 2 2 4 3 2 3" xfId="25626" xr:uid="{00000000-0005-0000-0000-0000CE6C0000}"/>
    <cellStyle name="Normal 5 5 2 2 2 4 3 3" xfId="12355" xr:uid="{00000000-0005-0000-0000-0000CF6C0000}"/>
    <cellStyle name="Normal 5 5 2 2 2 4 3 3 2" xfId="28930" xr:uid="{00000000-0005-0000-0000-0000D06C0000}"/>
    <cellStyle name="Normal 5 5 2 2 2 4 3 4" xfId="5662" xr:uid="{00000000-0005-0000-0000-0000D16C0000}"/>
    <cellStyle name="Normal 5 5 2 2 2 4 3 4 2" xfId="22326" xr:uid="{00000000-0005-0000-0000-0000D26C0000}"/>
    <cellStyle name="Normal 5 5 2 2 2 4 3 5" xfId="19856" xr:uid="{00000000-0005-0000-0000-0000D36C0000}"/>
    <cellStyle name="Normal 5 5 2 2 2 4 4" xfId="7392" xr:uid="{00000000-0005-0000-0000-0000D46C0000}"/>
    <cellStyle name="Normal 5 5 2 2 2 4 4 2" xfId="14655" xr:uid="{00000000-0005-0000-0000-0000D56C0000}"/>
    <cellStyle name="Normal 5 5 2 2 2 4 4 2 2" xfId="30970" xr:uid="{00000000-0005-0000-0000-0000D66C0000}"/>
    <cellStyle name="Normal 5 5 2 2 2 4 4 3" xfId="24005" xr:uid="{00000000-0005-0000-0000-0000D76C0000}"/>
    <cellStyle name="Normal 5 5 2 2 2 4 5" xfId="10707" xr:uid="{00000000-0005-0000-0000-0000D86C0000}"/>
    <cellStyle name="Normal 5 5 2 2 2 4 5 2" xfId="27305" xr:uid="{00000000-0005-0000-0000-0000D96C0000}"/>
    <cellStyle name="Normal 5 5 2 2 2 4 6" xfId="4731" xr:uid="{00000000-0005-0000-0000-0000DA6C0000}"/>
    <cellStyle name="Normal 5 5 2 2 2 4 6 2" xfId="21454" xr:uid="{00000000-0005-0000-0000-0000DB6C0000}"/>
    <cellStyle name="Normal 5 5 2 2 2 4 7" xfId="17701" xr:uid="{00000000-0005-0000-0000-0000DC6C0000}"/>
    <cellStyle name="Normal 5 5 2 2 2 5" xfId="801" xr:uid="{00000000-0005-0000-0000-0000DD6C0000}"/>
    <cellStyle name="Normal 5 5 2 2 2 5 2" xfId="3131" xr:uid="{00000000-0005-0000-0000-0000DE6C0000}"/>
    <cellStyle name="Normal 5 5 2 2 2 5 2 2" xfId="9419" xr:uid="{00000000-0005-0000-0000-0000DF6C0000}"/>
    <cellStyle name="Normal 5 5 2 2 2 5 2 2 2" xfId="16682" xr:uid="{00000000-0005-0000-0000-0000E06C0000}"/>
    <cellStyle name="Normal 5 5 2 2 2 5 2 2 2 2" xfId="32997" xr:uid="{00000000-0005-0000-0000-0000E16C0000}"/>
    <cellStyle name="Normal 5 5 2 2 2 5 2 2 3" xfId="26032" xr:uid="{00000000-0005-0000-0000-0000E26C0000}"/>
    <cellStyle name="Normal 5 5 2 2 2 5 2 3" xfId="12761" xr:uid="{00000000-0005-0000-0000-0000E36C0000}"/>
    <cellStyle name="Normal 5 5 2 2 2 5 2 3 2" xfId="29336" xr:uid="{00000000-0005-0000-0000-0000E46C0000}"/>
    <cellStyle name="Normal 5 5 2 2 2 5 2 4" xfId="6068" xr:uid="{00000000-0005-0000-0000-0000E56C0000}"/>
    <cellStyle name="Normal 5 5 2 2 2 5 2 4 2" xfId="22732" xr:uid="{00000000-0005-0000-0000-0000E66C0000}"/>
    <cellStyle name="Normal 5 5 2 2 2 5 2 5" xfId="19858" xr:uid="{00000000-0005-0000-0000-0000E76C0000}"/>
    <cellStyle name="Normal 5 5 2 2 2 5 3" xfId="7798" xr:uid="{00000000-0005-0000-0000-0000E86C0000}"/>
    <cellStyle name="Normal 5 5 2 2 2 5 3 2" xfId="15061" xr:uid="{00000000-0005-0000-0000-0000E96C0000}"/>
    <cellStyle name="Normal 5 5 2 2 2 5 3 2 2" xfId="31376" xr:uid="{00000000-0005-0000-0000-0000EA6C0000}"/>
    <cellStyle name="Normal 5 5 2 2 2 5 3 3" xfId="24411" xr:uid="{00000000-0005-0000-0000-0000EB6C0000}"/>
    <cellStyle name="Normal 5 5 2 2 2 5 4" xfId="11113" xr:uid="{00000000-0005-0000-0000-0000EC6C0000}"/>
    <cellStyle name="Normal 5 5 2 2 2 5 4 2" xfId="27711" xr:uid="{00000000-0005-0000-0000-0000ED6C0000}"/>
    <cellStyle name="Normal 5 5 2 2 2 5 5" xfId="4733" xr:uid="{00000000-0005-0000-0000-0000EE6C0000}"/>
    <cellStyle name="Normal 5 5 2 2 2 5 5 2" xfId="21456" xr:uid="{00000000-0005-0000-0000-0000EF6C0000}"/>
    <cellStyle name="Normal 5 5 2 2 2 5 6" xfId="17614" xr:uid="{00000000-0005-0000-0000-0000F06C0000}"/>
    <cellStyle name="Normal 5 5 2 2 2 6" xfId="1398" xr:uid="{00000000-0005-0000-0000-0000F16C0000}"/>
    <cellStyle name="Normal 5 5 2 2 2 6 2" xfId="8546" xr:uid="{00000000-0005-0000-0000-0000F26C0000}"/>
    <cellStyle name="Normal 5 5 2 2 2 6 2 2" xfId="15809" xr:uid="{00000000-0005-0000-0000-0000F36C0000}"/>
    <cellStyle name="Normal 5 5 2 2 2 6 2 2 2" xfId="32124" xr:uid="{00000000-0005-0000-0000-0000F46C0000}"/>
    <cellStyle name="Normal 5 5 2 2 2 6 2 3" xfId="25159" xr:uid="{00000000-0005-0000-0000-0000F56C0000}"/>
    <cellStyle name="Normal 5 5 2 2 2 6 3" xfId="11888" xr:uid="{00000000-0005-0000-0000-0000F66C0000}"/>
    <cellStyle name="Normal 5 5 2 2 2 6 3 2" xfId="28463" xr:uid="{00000000-0005-0000-0000-0000F76C0000}"/>
    <cellStyle name="Normal 5 5 2 2 2 6 4" xfId="5195" xr:uid="{00000000-0005-0000-0000-0000F86C0000}"/>
    <cellStyle name="Normal 5 5 2 2 2 6 4 2" xfId="21859" xr:uid="{00000000-0005-0000-0000-0000F96C0000}"/>
    <cellStyle name="Normal 5 5 2 2 2 6 5" xfId="18133" xr:uid="{00000000-0005-0000-0000-0000FA6C0000}"/>
    <cellStyle name="Normal 5 5 2 2 2 7" xfId="3116" xr:uid="{00000000-0005-0000-0000-0000FB6C0000}"/>
    <cellStyle name="Normal 5 5 2 2 2 7 2" xfId="14190" xr:uid="{00000000-0005-0000-0000-0000FC6C0000}"/>
    <cellStyle name="Normal 5 5 2 2 2 7 2 2" xfId="30505" xr:uid="{00000000-0005-0000-0000-0000FD6C0000}"/>
    <cellStyle name="Normal 5 5 2 2 2 7 3" xfId="6927" xr:uid="{00000000-0005-0000-0000-0000FE6C0000}"/>
    <cellStyle name="Normal 5 5 2 2 2 7 3 2" xfId="23540" xr:uid="{00000000-0005-0000-0000-0000FF6C0000}"/>
    <cellStyle name="Normal 5 5 2 2 2 7 4" xfId="19843" xr:uid="{00000000-0005-0000-0000-0000006D0000}"/>
    <cellStyle name="Normal 5 5 2 2 2 8" xfId="10241" xr:uid="{00000000-0005-0000-0000-0000016D0000}"/>
    <cellStyle name="Normal 5 5 2 2 2 8 2" xfId="26840" xr:uid="{00000000-0005-0000-0000-0000026D0000}"/>
    <cellStyle name="Normal 5 5 2 2 2 9" xfId="4718" xr:uid="{00000000-0005-0000-0000-0000036D0000}"/>
    <cellStyle name="Normal 5 5 2 2 2 9 2" xfId="21441" xr:uid="{00000000-0005-0000-0000-0000046D0000}"/>
    <cellStyle name="Normal 5 5 2 2 3" xfId="657" xr:uid="{00000000-0005-0000-0000-0000056D0000}"/>
    <cellStyle name="Normal 5 5 2 2 3 2" xfId="1237" xr:uid="{00000000-0005-0000-0000-0000066D0000}"/>
    <cellStyle name="Normal 5 5 2 2 3 2 2" xfId="1758" xr:uid="{00000000-0005-0000-0000-0000076D0000}"/>
    <cellStyle name="Normal 5 5 2 2 3 2 2 2" xfId="3135" xr:uid="{00000000-0005-0000-0000-0000086D0000}"/>
    <cellStyle name="Normal 5 5 2 2 3 2 2 2 2" xfId="6652" xr:uid="{00000000-0005-0000-0000-0000096D0000}"/>
    <cellStyle name="Normal 5 5 2 2 3 2 2 2 2 2" xfId="10003" xr:uid="{00000000-0005-0000-0000-00000A6D0000}"/>
    <cellStyle name="Normal 5 5 2 2 3 2 2 2 2 2 2" xfId="17266" xr:uid="{00000000-0005-0000-0000-00000B6D0000}"/>
    <cellStyle name="Normal 5 5 2 2 3 2 2 2 2 2 2 2" xfId="33581" xr:uid="{00000000-0005-0000-0000-00000C6D0000}"/>
    <cellStyle name="Normal 5 5 2 2 3 2 2 2 2 2 3" xfId="26616" xr:uid="{00000000-0005-0000-0000-00000D6D0000}"/>
    <cellStyle name="Normal 5 5 2 2 3 2 2 2 2 3" xfId="13345" xr:uid="{00000000-0005-0000-0000-00000E6D0000}"/>
    <cellStyle name="Normal 5 5 2 2 3 2 2 2 2 3 2" xfId="29920" xr:uid="{00000000-0005-0000-0000-00000F6D0000}"/>
    <cellStyle name="Normal 5 5 2 2 3 2 2 2 2 4" xfId="23316" xr:uid="{00000000-0005-0000-0000-0000106D0000}"/>
    <cellStyle name="Normal 5 5 2 2 3 2 2 2 3" xfId="8382" xr:uid="{00000000-0005-0000-0000-0000116D0000}"/>
    <cellStyle name="Normal 5 5 2 2 3 2 2 2 3 2" xfId="15645" xr:uid="{00000000-0005-0000-0000-0000126D0000}"/>
    <cellStyle name="Normal 5 5 2 2 3 2 2 2 3 2 2" xfId="31960" xr:uid="{00000000-0005-0000-0000-0000136D0000}"/>
    <cellStyle name="Normal 5 5 2 2 3 2 2 2 3 3" xfId="24995" xr:uid="{00000000-0005-0000-0000-0000146D0000}"/>
    <cellStyle name="Normal 5 5 2 2 3 2 2 2 4" xfId="11697" xr:uid="{00000000-0005-0000-0000-0000156D0000}"/>
    <cellStyle name="Normal 5 5 2 2 3 2 2 2 4 2" xfId="28295" xr:uid="{00000000-0005-0000-0000-0000166D0000}"/>
    <cellStyle name="Normal 5 5 2 2 3 2 2 2 5" xfId="4737" xr:uid="{00000000-0005-0000-0000-0000176D0000}"/>
    <cellStyle name="Normal 5 5 2 2 3 2 2 2 5 2" xfId="21460" xr:uid="{00000000-0005-0000-0000-0000186D0000}"/>
    <cellStyle name="Normal 5 5 2 2 3 2 2 2 6" xfId="19862" xr:uid="{00000000-0005-0000-0000-0000196D0000}"/>
    <cellStyle name="Normal 5 5 2 2 3 2 2 3" xfId="3134" xr:uid="{00000000-0005-0000-0000-00001A6D0000}"/>
    <cellStyle name="Normal 5 5 2 2 3 2 2 3 2" xfId="9227" xr:uid="{00000000-0005-0000-0000-00001B6D0000}"/>
    <cellStyle name="Normal 5 5 2 2 3 2 2 3 2 2" xfId="16490" xr:uid="{00000000-0005-0000-0000-00001C6D0000}"/>
    <cellStyle name="Normal 5 5 2 2 3 2 2 3 2 2 2" xfId="32805" xr:uid="{00000000-0005-0000-0000-00001D6D0000}"/>
    <cellStyle name="Normal 5 5 2 2 3 2 2 3 2 3" xfId="25840" xr:uid="{00000000-0005-0000-0000-00001E6D0000}"/>
    <cellStyle name="Normal 5 5 2 2 3 2 2 3 3" xfId="12569" xr:uid="{00000000-0005-0000-0000-00001F6D0000}"/>
    <cellStyle name="Normal 5 5 2 2 3 2 2 3 3 2" xfId="29144" xr:uid="{00000000-0005-0000-0000-0000206D0000}"/>
    <cellStyle name="Normal 5 5 2 2 3 2 2 3 4" xfId="5876" xr:uid="{00000000-0005-0000-0000-0000216D0000}"/>
    <cellStyle name="Normal 5 5 2 2 3 2 2 3 4 2" xfId="22540" xr:uid="{00000000-0005-0000-0000-0000226D0000}"/>
    <cellStyle name="Normal 5 5 2 2 3 2 2 3 5" xfId="19861" xr:uid="{00000000-0005-0000-0000-0000236D0000}"/>
    <cellStyle name="Normal 5 5 2 2 3 2 2 4" xfId="7606" xr:uid="{00000000-0005-0000-0000-0000246D0000}"/>
    <cellStyle name="Normal 5 5 2 2 3 2 2 4 2" xfId="14869" xr:uid="{00000000-0005-0000-0000-0000256D0000}"/>
    <cellStyle name="Normal 5 5 2 2 3 2 2 4 2 2" xfId="31184" xr:uid="{00000000-0005-0000-0000-0000266D0000}"/>
    <cellStyle name="Normal 5 5 2 2 3 2 2 4 3" xfId="24219" xr:uid="{00000000-0005-0000-0000-0000276D0000}"/>
    <cellStyle name="Normal 5 5 2 2 3 2 2 5" xfId="10921" xr:uid="{00000000-0005-0000-0000-0000286D0000}"/>
    <cellStyle name="Normal 5 5 2 2 3 2 2 5 2" xfId="27519" xr:uid="{00000000-0005-0000-0000-0000296D0000}"/>
    <cellStyle name="Normal 5 5 2 2 3 2 2 6" xfId="4736" xr:uid="{00000000-0005-0000-0000-00002A6D0000}"/>
    <cellStyle name="Normal 5 5 2 2 3 2 2 6 2" xfId="21459" xr:uid="{00000000-0005-0000-0000-00002B6D0000}"/>
    <cellStyle name="Normal 5 5 2 2 3 2 2 7" xfId="18493" xr:uid="{00000000-0005-0000-0000-00002C6D0000}"/>
    <cellStyle name="Normal 5 5 2 2 3 2 3" xfId="3136" xr:uid="{00000000-0005-0000-0000-00002D6D0000}"/>
    <cellStyle name="Normal 5 5 2 2 3 2 3 2" xfId="6282" xr:uid="{00000000-0005-0000-0000-00002E6D0000}"/>
    <cellStyle name="Normal 5 5 2 2 3 2 3 2 2" xfId="9633" xr:uid="{00000000-0005-0000-0000-00002F6D0000}"/>
    <cellStyle name="Normal 5 5 2 2 3 2 3 2 2 2" xfId="16896" xr:uid="{00000000-0005-0000-0000-0000306D0000}"/>
    <cellStyle name="Normal 5 5 2 2 3 2 3 2 2 2 2" xfId="33211" xr:uid="{00000000-0005-0000-0000-0000316D0000}"/>
    <cellStyle name="Normal 5 5 2 2 3 2 3 2 2 3" xfId="26246" xr:uid="{00000000-0005-0000-0000-0000326D0000}"/>
    <cellStyle name="Normal 5 5 2 2 3 2 3 2 3" xfId="12975" xr:uid="{00000000-0005-0000-0000-0000336D0000}"/>
    <cellStyle name="Normal 5 5 2 2 3 2 3 2 3 2" xfId="29550" xr:uid="{00000000-0005-0000-0000-0000346D0000}"/>
    <cellStyle name="Normal 5 5 2 2 3 2 3 2 4" xfId="22946" xr:uid="{00000000-0005-0000-0000-0000356D0000}"/>
    <cellStyle name="Normal 5 5 2 2 3 2 3 3" xfId="8012" xr:uid="{00000000-0005-0000-0000-0000366D0000}"/>
    <cellStyle name="Normal 5 5 2 2 3 2 3 3 2" xfId="15275" xr:uid="{00000000-0005-0000-0000-0000376D0000}"/>
    <cellStyle name="Normal 5 5 2 2 3 2 3 3 2 2" xfId="31590" xr:uid="{00000000-0005-0000-0000-0000386D0000}"/>
    <cellStyle name="Normal 5 5 2 2 3 2 3 3 3" xfId="24625" xr:uid="{00000000-0005-0000-0000-0000396D0000}"/>
    <cellStyle name="Normal 5 5 2 2 3 2 3 4" xfId="11327" xr:uid="{00000000-0005-0000-0000-00003A6D0000}"/>
    <cellStyle name="Normal 5 5 2 2 3 2 3 4 2" xfId="27925" xr:uid="{00000000-0005-0000-0000-00003B6D0000}"/>
    <cellStyle name="Normal 5 5 2 2 3 2 3 5" xfId="4738" xr:uid="{00000000-0005-0000-0000-00003C6D0000}"/>
    <cellStyle name="Normal 5 5 2 2 3 2 3 5 2" xfId="21461" xr:uid="{00000000-0005-0000-0000-00003D6D0000}"/>
    <cellStyle name="Normal 5 5 2 2 3 2 3 6" xfId="19863" xr:uid="{00000000-0005-0000-0000-00003E6D0000}"/>
    <cellStyle name="Normal 5 5 2 2 3 2 4" xfId="3133" xr:uid="{00000000-0005-0000-0000-00003F6D0000}"/>
    <cellStyle name="Normal 5 5 2 2 3 2 4 2" xfId="8820" xr:uid="{00000000-0005-0000-0000-0000406D0000}"/>
    <cellStyle name="Normal 5 5 2 2 3 2 4 2 2" xfId="16083" xr:uid="{00000000-0005-0000-0000-0000416D0000}"/>
    <cellStyle name="Normal 5 5 2 2 3 2 4 2 2 2" xfId="32398" xr:uid="{00000000-0005-0000-0000-0000426D0000}"/>
    <cellStyle name="Normal 5 5 2 2 3 2 4 2 3" xfId="25433" xr:uid="{00000000-0005-0000-0000-0000436D0000}"/>
    <cellStyle name="Normal 5 5 2 2 3 2 4 3" xfId="12162" xr:uid="{00000000-0005-0000-0000-0000446D0000}"/>
    <cellStyle name="Normal 5 5 2 2 3 2 4 3 2" xfId="28737" xr:uid="{00000000-0005-0000-0000-0000456D0000}"/>
    <cellStyle name="Normal 5 5 2 2 3 2 4 4" xfId="5469" xr:uid="{00000000-0005-0000-0000-0000466D0000}"/>
    <cellStyle name="Normal 5 5 2 2 3 2 4 4 2" xfId="22133" xr:uid="{00000000-0005-0000-0000-0000476D0000}"/>
    <cellStyle name="Normal 5 5 2 2 3 2 4 5" xfId="19860" xr:uid="{00000000-0005-0000-0000-0000486D0000}"/>
    <cellStyle name="Normal 5 5 2 2 3 2 5" xfId="7200" xr:uid="{00000000-0005-0000-0000-0000496D0000}"/>
    <cellStyle name="Normal 5 5 2 2 3 2 5 2" xfId="14463" xr:uid="{00000000-0005-0000-0000-00004A6D0000}"/>
    <cellStyle name="Normal 5 5 2 2 3 2 5 2 2" xfId="30778" xr:uid="{00000000-0005-0000-0000-00004B6D0000}"/>
    <cellStyle name="Normal 5 5 2 2 3 2 5 3" xfId="23813" xr:uid="{00000000-0005-0000-0000-00004C6D0000}"/>
    <cellStyle name="Normal 5 5 2 2 3 2 6" xfId="10515" xr:uid="{00000000-0005-0000-0000-00004D6D0000}"/>
    <cellStyle name="Normal 5 5 2 2 3 2 6 2" xfId="27113" xr:uid="{00000000-0005-0000-0000-00004E6D0000}"/>
    <cellStyle name="Normal 5 5 2 2 3 2 7" xfId="4735" xr:uid="{00000000-0005-0000-0000-00004F6D0000}"/>
    <cellStyle name="Normal 5 5 2 2 3 2 7 2" xfId="21458" xr:uid="{00000000-0005-0000-0000-0000506D0000}"/>
    <cellStyle name="Normal 5 5 2 2 3 2 8" xfId="17974" xr:uid="{00000000-0005-0000-0000-0000516D0000}"/>
    <cellStyle name="Normal 5 5 2 2 3 3" xfId="976" xr:uid="{00000000-0005-0000-0000-0000526D0000}"/>
    <cellStyle name="Normal 5 5 2 2 3 3 2" xfId="1538" xr:uid="{00000000-0005-0000-0000-0000536D0000}"/>
    <cellStyle name="Normal 5 5 2 2 3 3 2 2" xfId="3138" xr:uid="{00000000-0005-0000-0000-0000546D0000}"/>
    <cellStyle name="Normal 5 5 2 2 3 3 2 2 2" xfId="9827" xr:uid="{00000000-0005-0000-0000-0000556D0000}"/>
    <cellStyle name="Normal 5 5 2 2 3 3 2 2 2 2" xfId="17090" xr:uid="{00000000-0005-0000-0000-0000566D0000}"/>
    <cellStyle name="Normal 5 5 2 2 3 3 2 2 2 2 2" xfId="33405" xr:uid="{00000000-0005-0000-0000-0000576D0000}"/>
    <cellStyle name="Normal 5 5 2 2 3 3 2 2 2 3" xfId="26440" xr:uid="{00000000-0005-0000-0000-0000586D0000}"/>
    <cellStyle name="Normal 5 5 2 2 3 3 2 2 3" xfId="13169" xr:uid="{00000000-0005-0000-0000-0000596D0000}"/>
    <cellStyle name="Normal 5 5 2 2 3 3 2 2 3 2" xfId="29744" xr:uid="{00000000-0005-0000-0000-00005A6D0000}"/>
    <cellStyle name="Normal 5 5 2 2 3 3 2 2 4" xfId="6476" xr:uid="{00000000-0005-0000-0000-00005B6D0000}"/>
    <cellStyle name="Normal 5 5 2 2 3 3 2 2 4 2" xfId="23140" xr:uid="{00000000-0005-0000-0000-00005C6D0000}"/>
    <cellStyle name="Normal 5 5 2 2 3 3 2 2 5" xfId="19865" xr:uid="{00000000-0005-0000-0000-00005D6D0000}"/>
    <cellStyle name="Normal 5 5 2 2 3 3 2 3" xfId="8206" xr:uid="{00000000-0005-0000-0000-00005E6D0000}"/>
    <cellStyle name="Normal 5 5 2 2 3 3 2 3 2" xfId="15469" xr:uid="{00000000-0005-0000-0000-00005F6D0000}"/>
    <cellStyle name="Normal 5 5 2 2 3 3 2 3 2 2" xfId="31784" xr:uid="{00000000-0005-0000-0000-0000606D0000}"/>
    <cellStyle name="Normal 5 5 2 2 3 3 2 3 3" xfId="24819" xr:uid="{00000000-0005-0000-0000-0000616D0000}"/>
    <cellStyle name="Normal 5 5 2 2 3 3 2 4" xfId="11521" xr:uid="{00000000-0005-0000-0000-0000626D0000}"/>
    <cellStyle name="Normal 5 5 2 2 3 3 2 4 2" xfId="28119" xr:uid="{00000000-0005-0000-0000-0000636D0000}"/>
    <cellStyle name="Normal 5 5 2 2 3 3 2 5" xfId="4740" xr:uid="{00000000-0005-0000-0000-0000646D0000}"/>
    <cellStyle name="Normal 5 5 2 2 3 3 2 5 2" xfId="21463" xr:uid="{00000000-0005-0000-0000-0000656D0000}"/>
    <cellStyle name="Normal 5 5 2 2 3 3 2 6" xfId="18273" xr:uid="{00000000-0005-0000-0000-0000666D0000}"/>
    <cellStyle name="Normal 5 5 2 2 3 3 3" xfId="3137" xr:uid="{00000000-0005-0000-0000-0000676D0000}"/>
    <cellStyle name="Normal 5 5 2 2 3 3 3 2" xfId="9015" xr:uid="{00000000-0005-0000-0000-0000686D0000}"/>
    <cellStyle name="Normal 5 5 2 2 3 3 3 2 2" xfId="16278" xr:uid="{00000000-0005-0000-0000-0000696D0000}"/>
    <cellStyle name="Normal 5 5 2 2 3 3 3 2 2 2" xfId="32593" xr:uid="{00000000-0005-0000-0000-00006A6D0000}"/>
    <cellStyle name="Normal 5 5 2 2 3 3 3 2 3" xfId="25628" xr:uid="{00000000-0005-0000-0000-00006B6D0000}"/>
    <cellStyle name="Normal 5 5 2 2 3 3 3 3" xfId="12357" xr:uid="{00000000-0005-0000-0000-00006C6D0000}"/>
    <cellStyle name="Normal 5 5 2 2 3 3 3 3 2" xfId="28932" xr:uid="{00000000-0005-0000-0000-00006D6D0000}"/>
    <cellStyle name="Normal 5 5 2 2 3 3 3 4" xfId="5664" xr:uid="{00000000-0005-0000-0000-00006E6D0000}"/>
    <cellStyle name="Normal 5 5 2 2 3 3 3 4 2" xfId="22328" xr:uid="{00000000-0005-0000-0000-00006F6D0000}"/>
    <cellStyle name="Normal 5 5 2 2 3 3 3 5" xfId="19864" xr:uid="{00000000-0005-0000-0000-0000706D0000}"/>
    <cellStyle name="Normal 5 5 2 2 3 3 4" xfId="7394" xr:uid="{00000000-0005-0000-0000-0000716D0000}"/>
    <cellStyle name="Normal 5 5 2 2 3 3 4 2" xfId="14657" xr:uid="{00000000-0005-0000-0000-0000726D0000}"/>
    <cellStyle name="Normal 5 5 2 2 3 3 4 2 2" xfId="30972" xr:uid="{00000000-0005-0000-0000-0000736D0000}"/>
    <cellStyle name="Normal 5 5 2 2 3 3 4 3" xfId="24007" xr:uid="{00000000-0005-0000-0000-0000746D0000}"/>
    <cellStyle name="Normal 5 5 2 2 3 3 5" xfId="10709" xr:uid="{00000000-0005-0000-0000-0000756D0000}"/>
    <cellStyle name="Normal 5 5 2 2 3 3 5 2" xfId="27307" xr:uid="{00000000-0005-0000-0000-0000766D0000}"/>
    <cellStyle name="Normal 5 5 2 2 3 3 6" xfId="4739" xr:uid="{00000000-0005-0000-0000-0000776D0000}"/>
    <cellStyle name="Normal 5 5 2 2 3 3 6 2" xfId="21462" xr:uid="{00000000-0005-0000-0000-0000786D0000}"/>
    <cellStyle name="Normal 5 5 2 2 3 3 7" xfId="17754" xr:uid="{00000000-0005-0000-0000-0000796D0000}"/>
    <cellStyle name="Normal 5 5 2 2 3 4" xfId="766" xr:uid="{00000000-0005-0000-0000-00007A6D0000}"/>
    <cellStyle name="Normal 5 5 2 2 3 4 2" xfId="3139" xr:uid="{00000000-0005-0000-0000-00007B6D0000}"/>
    <cellStyle name="Normal 5 5 2 2 3 4 2 2" xfId="9421" xr:uid="{00000000-0005-0000-0000-00007C6D0000}"/>
    <cellStyle name="Normal 5 5 2 2 3 4 2 2 2" xfId="16684" xr:uid="{00000000-0005-0000-0000-00007D6D0000}"/>
    <cellStyle name="Normal 5 5 2 2 3 4 2 2 2 2" xfId="32999" xr:uid="{00000000-0005-0000-0000-00007E6D0000}"/>
    <cellStyle name="Normal 5 5 2 2 3 4 2 2 3" xfId="26034" xr:uid="{00000000-0005-0000-0000-00007F6D0000}"/>
    <cellStyle name="Normal 5 5 2 2 3 4 2 3" xfId="12763" xr:uid="{00000000-0005-0000-0000-0000806D0000}"/>
    <cellStyle name="Normal 5 5 2 2 3 4 2 3 2" xfId="29338" xr:uid="{00000000-0005-0000-0000-0000816D0000}"/>
    <cellStyle name="Normal 5 5 2 2 3 4 2 4" xfId="6070" xr:uid="{00000000-0005-0000-0000-0000826D0000}"/>
    <cellStyle name="Normal 5 5 2 2 3 4 2 4 2" xfId="22734" xr:uid="{00000000-0005-0000-0000-0000836D0000}"/>
    <cellStyle name="Normal 5 5 2 2 3 4 2 5" xfId="19866" xr:uid="{00000000-0005-0000-0000-0000846D0000}"/>
    <cellStyle name="Normal 5 5 2 2 3 4 3" xfId="7800" xr:uid="{00000000-0005-0000-0000-0000856D0000}"/>
    <cellStyle name="Normal 5 5 2 2 3 4 3 2" xfId="15063" xr:uid="{00000000-0005-0000-0000-0000866D0000}"/>
    <cellStyle name="Normal 5 5 2 2 3 4 3 2 2" xfId="31378" xr:uid="{00000000-0005-0000-0000-0000876D0000}"/>
    <cellStyle name="Normal 5 5 2 2 3 4 3 3" xfId="24413" xr:uid="{00000000-0005-0000-0000-0000886D0000}"/>
    <cellStyle name="Normal 5 5 2 2 3 4 4" xfId="11115" xr:uid="{00000000-0005-0000-0000-0000896D0000}"/>
    <cellStyle name="Normal 5 5 2 2 3 4 4 2" xfId="27713" xr:uid="{00000000-0005-0000-0000-00008A6D0000}"/>
    <cellStyle name="Normal 5 5 2 2 3 4 5" xfId="4741" xr:uid="{00000000-0005-0000-0000-00008B6D0000}"/>
    <cellStyle name="Normal 5 5 2 2 3 4 5 2" xfId="21464" xr:uid="{00000000-0005-0000-0000-00008C6D0000}"/>
    <cellStyle name="Normal 5 5 2 2 3 4 6" xfId="17579" xr:uid="{00000000-0005-0000-0000-00008D6D0000}"/>
    <cellStyle name="Normal 5 5 2 2 3 5" xfId="1363" xr:uid="{00000000-0005-0000-0000-00008E6D0000}"/>
    <cellStyle name="Normal 5 5 2 2 3 5 2" xfId="8599" xr:uid="{00000000-0005-0000-0000-00008F6D0000}"/>
    <cellStyle name="Normal 5 5 2 2 3 5 2 2" xfId="15862" xr:uid="{00000000-0005-0000-0000-0000906D0000}"/>
    <cellStyle name="Normal 5 5 2 2 3 5 2 2 2" xfId="32177" xr:uid="{00000000-0005-0000-0000-0000916D0000}"/>
    <cellStyle name="Normal 5 5 2 2 3 5 2 3" xfId="25212" xr:uid="{00000000-0005-0000-0000-0000926D0000}"/>
    <cellStyle name="Normal 5 5 2 2 3 5 3" xfId="11941" xr:uid="{00000000-0005-0000-0000-0000936D0000}"/>
    <cellStyle name="Normal 5 5 2 2 3 5 3 2" xfId="28516" xr:uid="{00000000-0005-0000-0000-0000946D0000}"/>
    <cellStyle name="Normal 5 5 2 2 3 5 4" xfId="5248" xr:uid="{00000000-0005-0000-0000-0000956D0000}"/>
    <cellStyle name="Normal 5 5 2 2 3 5 4 2" xfId="21912" xr:uid="{00000000-0005-0000-0000-0000966D0000}"/>
    <cellStyle name="Normal 5 5 2 2 3 5 5" xfId="18098" xr:uid="{00000000-0005-0000-0000-0000976D0000}"/>
    <cellStyle name="Normal 5 5 2 2 3 6" xfId="3132" xr:uid="{00000000-0005-0000-0000-0000986D0000}"/>
    <cellStyle name="Normal 5 5 2 2 3 6 2" xfId="14243" xr:uid="{00000000-0005-0000-0000-0000996D0000}"/>
    <cellStyle name="Normal 5 5 2 2 3 6 2 2" xfId="30558" xr:uid="{00000000-0005-0000-0000-00009A6D0000}"/>
    <cellStyle name="Normal 5 5 2 2 3 6 3" xfId="6980" xr:uid="{00000000-0005-0000-0000-00009B6D0000}"/>
    <cellStyle name="Normal 5 5 2 2 3 6 3 2" xfId="23593" xr:uid="{00000000-0005-0000-0000-00009C6D0000}"/>
    <cellStyle name="Normal 5 5 2 2 3 6 4" xfId="19859" xr:uid="{00000000-0005-0000-0000-00009D6D0000}"/>
    <cellStyle name="Normal 5 5 2 2 3 7" xfId="10294" xr:uid="{00000000-0005-0000-0000-00009E6D0000}"/>
    <cellStyle name="Normal 5 5 2 2 3 7 2" xfId="26893" xr:uid="{00000000-0005-0000-0000-00009F6D0000}"/>
    <cellStyle name="Normal 5 5 2 2 3 8" xfId="4734" xr:uid="{00000000-0005-0000-0000-0000A06D0000}"/>
    <cellStyle name="Normal 5 5 2 2 3 8 2" xfId="21457" xr:uid="{00000000-0005-0000-0000-0000A16D0000}"/>
    <cellStyle name="Normal 5 5 2 2 3 9" xfId="17474" xr:uid="{00000000-0005-0000-0000-0000A26D0000}"/>
    <cellStyle name="Normal 5 5 2 2 4" xfId="1234" xr:uid="{00000000-0005-0000-0000-0000A36D0000}"/>
    <cellStyle name="Normal 5 5 2 2 4 2" xfId="1755" xr:uid="{00000000-0005-0000-0000-0000A46D0000}"/>
    <cellStyle name="Normal 5 5 2 2 4 2 2" xfId="3142" xr:uid="{00000000-0005-0000-0000-0000A56D0000}"/>
    <cellStyle name="Normal 5 5 2 2 4 2 2 2" xfId="6649" xr:uid="{00000000-0005-0000-0000-0000A66D0000}"/>
    <cellStyle name="Normal 5 5 2 2 4 2 2 2 2" xfId="10000" xr:uid="{00000000-0005-0000-0000-0000A76D0000}"/>
    <cellStyle name="Normal 5 5 2 2 4 2 2 2 2 2" xfId="17263" xr:uid="{00000000-0005-0000-0000-0000A86D0000}"/>
    <cellStyle name="Normal 5 5 2 2 4 2 2 2 2 2 2" xfId="33578" xr:uid="{00000000-0005-0000-0000-0000A96D0000}"/>
    <cellStyle name="Normal 5 5 2 2 4 2 2 2 2 3" xfId="26613" xr:uid="{00000000-0005-0000-0000-0000AA6D0000}"/>
    <cellStyle name="Normal 5 5 2 2 4 2 2 2 3" xfId="13342" xr:uid="{00000000-0005-0000-0000-0000AB6D0000}"/>
    <cellStyle name="Normal 5 5 2 2 4 2 2 2 3 2" xfId="29917" xr:uid="{00000000-0005-0000-0000-0000AC6D0000}"/>
    <cellStyle name="Normal 5 5 2 2 4 2 2 2 4" xfId="23313" xr:uid="{00000000-0005-0000-0000-0000AD6D0000}"/>
    <cellStyle name="Normal 5 5 2 2 4 2 2 3" xfId="8379" xr:uid="{00000000-0005-0000-0000-0000AE6D0000}"/>
    <cellStyle name="Normal 5 5 2 2 4 2 2 3 2" xfId="15642" xr:uid="{00000000-0005-0000-0000-0000AF6D0000}"/>
    <cellStyle name="Normal 5 5 2 2 4 2 2 3 2 2" xfId="31957" xr:uid="{00000000-0005-0000-0000-0000B06D0000}"/>
    <cellStyle name="Normal 5 5 2 2 4 2 2 3 3" xfId="24992" xr:uid="{00000000-0005-0000-0000-0000B16D0000}"/>
    <cellStyle name="Normal 5 5 2 2 4 2 2 4" xfId="11694" xr:uid="{00000000-0005-0000-0000-0000B26D0000}"/>
    <cellStyle name="Normal 5 5 2 2 4 2 2 4 2" xfId="28292" xr:uid="{00000000-0005-0000-0000-0000B36D0000}"/>
    <cellStyle name="Normal 5 5 2 2 4 2 2 5" xfId="4744" xr:uid="{00000000-0005-0000-0000-0000B46D0000}"/>
    <cellStyle name="Normal 5 5 2 2 4 2 2 5 2" xfId="21467" xr:uid="{00000000-0005-0000-0000-0000B56D0000}"/>
    <cellStyle name="Normal 5 5 2 2 4 2 2 6" xfId="19869" xr:uid="{00000000-0005-0000-0000-0000B66D0000}"/>
    <cellStyle name="Normal 5 5 2 2 4 2 3" xfId="3141" xr:uid="{00000000-0005-0000-0000-0000B76D0000}"/>
    <cellStyle name="Normal 5 5 2 2 4 2 3 2" xfId="9224" xr:uid="{00000000-0005-0000-0000-0000B86D0000}"/>
    <cellStyle name="Normal 5 5 2 2 4 2 3 2 2" xfId="16487" xr:uid="{00000000-0005-0000-0000-0000B96D0000}"/>
    <cellStyle name="Normal 5 5 2 2 4 2 3 2 2 2" xfId="32802" xr:uid="{00000000-0005-0000-0000-0000BA6D0000}"/>
    <cellStyle name="Normal 5 5 2 2 4 2 3 2 3" xfId="25837" xr:uid="{00000000-0005-0000-0000-0000BB6D0000}"/>
    <cellStyle name="Normal 5 5 2 2 4 2 3 3" xfId="12566" xr:uid="{00000000-0005-0000-0000-0000BC6D0000}"/>
    <cellStyle name="Normal 5 5 2 2 4 2 3 3 2" xfId="29141" xr:uid="{00000000-0005-0000-0000-0000BD6D0000}"/>
    <cellStyle name="Normal 5 5 2 2 4 2 3 4" xfId="5873" xr:uid="{00000000-0005-0000-0000-0000BE6D0000}"/>
    <cellStyle name="Normal 5 5 2 2 4 2 3 4 2" xfId="22537" xr:uid="{00000000-0005-0000-0000-0000BF6D0000}"/>
    <cellStyle name="Normal 5 5 2 2 4 2 3 5" xfId="19868" xr:uid="{00000000-0005-0000-0000-0000C06D0000}"/>
    <cellStyle name="Normal 5 5 2 2 4 2 4" xfId="7603" xr:uid="{00000000-0005-0000-0000-0000C16D0000}"/>
    <cellStyle name="Normal 5 5 2 2 4 2 4 2" xfId="14866" xr:uid="{00000000-0005-0000-0000-0000C26D0000}"/>
    <cellStyle name="Normal 5 5 2 2 4 2 4 2 2" xfId="31181" xr:uid="{00000000-0005-0000-0000-0000C36D0000}"/>
    <cellStyle name="Normal 5 5 2 2 4 2 4 3" xfId="24216" xr:uid="{00000000-0005-0000-0000-0000C46D0000}"/>
    <cellStyle name="Normal 5 5 2 2 4 2 5" xfId="10918" xr:uid="{00000000-0005-0000-0000-0000C56D0000}"/>
    <cellStyle name="Normal 5 5 2 2 4 2 5 2" xfId="27516" xr:uid="{00000000-0005-0000-0000-0000C66D0000}"/>
    <cellStyle name="Normal 5 5 2 2 4 2 6" xfId="4743" xr:uid="{00000000-0005-0000-0000-0000C76D0000}"/>
    <cellStyle name="Normal 5 5 2 2 4 2 6 2" xfId="21466" xr:uid="{00000000-0005-0000-0000-0000C86D0000}"/>
    <cellStyle name="Normal 5 5 2 2 4 2 7" xfId="18490" xr:uid="{00000000-0005-0000-0000-0000C96D0000}"/>
    <cellStyle name="Normal 5 5 2 2 4 3" xfId="3143" xr:uid="{00000000-0005-0000-0000-0000CA6D0000}"/>
    <cellStyle name="Normal 5 5 2 2 4 3 2" xfId="6279" xr:uid="{00000000-0005-0000-0000-0000CB6D0000}"/>
    <cellStyle name="Normal 5 5 2 2 4 3 2 2" xfId="9630" xr:uid="{00000000-0005-0000-0000-0000CC6D0000}"/>
    <cellStyle name="Normal 5 5 2 2 4 3 2 2 2" xfId="16893" xr:uid="{00000000-0005-0000-0000-0000CD6D0000}"/>
    <cellStyle name="Normal 5 5 2 2 4 3 2 2 2 2" xfId="33208" xr:uid="{00000000-0005-0000-0000-0000CE6D0000}"/>
    <cellStyle name="Normal 5 5 2 2 4 3 2 2 3" xfId="26243" xr:uid="{00000000-0005-0000-0000-0000CF6D0000}"/>
    <cellStyle name="Normal 5 5 2 2 4 3 2 3" xfId="12972" xr:uid="{00000000-0005-0000-0000-0000D06D0000}"/>
    <cellStyle name="Normal 5 5 2 2 4 3 2 3 2" xfId="29547" xr:uid="{00000000-0005-0000-0000-0000D16D0000}"/>
    <cellStyle name="Normal 5 5 2 2 4 3 2 4" xfId="22943" xr:uid="{00000000-0005-0000-0000-0000D26D0000}"/>
    <cellStyle name="Normal 5 5 2 2 4 3 3" xfId="8009" xr:uid="{00000000-0005-0000-0000-0000D36D0000}"/>
    <cellStyle name="Normal 5 5 2 2 4 3 3 2" xfId="15272" xr:uid="{00000000-0005-0000-0000-0000D46D0000}"/>
    <cellStyle name="Normal 5 5 2 2 4 3 3 2 2" xfId="31587" xr:uid="{00000000-0005-0000-0000-0000D56D0000}"/>
    <cellStyle name="Normal 5 5 2 2 4 3 3 3" xfId="24622" xr:uid="{00000000-0005-0000-0000-0000D66D0000}"/>
    <cellStyle name="Normal 5 5 2 2 4 3 4" xfId="11324" xr:uid="{00000000-0005-0000-0000-0000D76D0000}"/>
    <cellStyle name="Normal 5 5 2 2 4 3 4 2" xfId="27922" xr:uid="{00000000-0005-0000-0000-0000D86D0000}"/>
    <cellStyle name="Normal 5 5 2 2 4 3 5" xfId="4745" xr:uid="{00000000-0005-0000-0000-0000D96D0000}"/>
    <cellStyle name="Normal 5 5 2 2 4 3 5 2" xfId="21468" xr:uid="{00000000-0005-0000-0000-0000DA6D0000}"/>
    <cellStyle name="Normal 5 5 2 2 4 3 6" xfId="19870" xr:uid="{00000000-0005-0000-0000-0000DB6D0000}"/>
    <cellStyle name="Normal 5 5 2 2 4 4" xfId="3140" xr:uid="{00000000-0005-0000-0000-0000DC6D0000}"/>
    <cellStyle name="Normal 5 5 2 2 4 4 2" xfId="8817" xr:uid="{00000000-0005-0000-0000-0000DD6D0000}"/>
    <cellStyle name="Normal 5 5 2 2 4 4 2 2" xfId="16080" xr:uid="{00000000-0005-0000-0000-0000DE6D0000}"/>
    <cellStyle name="Normal 5 5 2 2 4 4 2 2 2" xfId="32395" xr:uid="{00000000-0005-0000-0000-0000DF6D0000}"/>
    <cellStyle name="Normal 5 5 2 2 4 4 2 3" xfId="25430" xr:uid="{00000000-0005-0000-0000-0000E06D0000}"/>
    <cellStyle name="Normal 5 5 2 2 4 4 3" xfId="12159" xr:uid="{00000000-0005-0000-0000-0000E16D0000}"/>
    <cellStyle name="Normal 5 5 2 2 4 4 3 2" xfId="28734" xr:uid="{00000000-0005-0000-0000-0000E26D0000}"/>
    <cellStyle name="Normal 5 5 2 2 4 4 4" xfId="5466" xr:uid="{00000000-0005-0000-0000-0000E36D0000}"/>
    <cellStyle name="Normal 5 5 2 2 4 4 4 2" xfId="22130" xr:uid="{00000000-0005-0000-0000-0000E46D0000}"/>
    <cellStyle name="Normal 5 5 2 2 4 4 5" xfId="19867" xr:uid="{00000000-0005-0000-0000-0000E56D0000}"/>
    <cellStyle name="Normal 5 5 2 2 4 5" xfId="7197" xr:uid="{00000000-0005-0000-0000-0000E66D0000}"/>
    <cellStyle name="Normal 5 5 2 2 4 5 2" xfId="14460" xr:uid="{00000000-0005-0000-0000-0000E76D0000}"/>
    <cellStyle name="Normal 5 5 2 2 4 5 2 2" xfId="30775" xr:uid="{00000000-0005-0000-0000-0000E86D0000}"/>
    <cellStyle name="Normal 5 5 2 2 4 5 3" xfId="23810" xr:uid="{00000000-0005-0000-0000-0000E96D0000}"/>
    <cellStyle name="Normal 5 5 2 2 4 6" xfId="10512" xr:uid="{00000000-0005-0000-0000-0000EA6D0000}"/>
    <cellStyle name="Normal 5 5 2 2 4 6 2" xfId="27110" xr:uid="{00000000-0005-0000-0000-0000EB6D0000}"/>
    <cellStyle name="Normal 5 5 2 2 4 7" xfId="4742" xr:uid="{00000000-0005-0000-0000-0000EC6D0000}"/>
    <cellStyle name="Normal 5 5 2 2 4 7 2" xfId="21465" xr:uid="{00000000-0005-0000-0000-0000ED6D0000}"/>
    <cellStyle name="Normal 5 5 2 2 4 8" xfId="17971" xr:uid="{00000000-0005-0000-0000-0000EE6D0000}"/>
    <cellStyle name="Normal 5 5 2 2 5" xfId="864" xr:uid="{00000000-0005-0000-0000-0000EF6D0000}"/>
    <cellStyle name="Normal 5 5 2 2 5 2" xfId="1433" xr:uid="{00000000-0005-0000-0000-0000F06D0000}"/>
    <cellStyle name="Normal 5 5 2 2 5 2 2" xfId="3145" xr:uid="{00000000-0005-0000-0000-0000F16D0000}"/>
    <cellStyle name="Normal 5 5 2 2 5 2 2 2" xfId="9824" xr:uid="{00000000-0005-0000-0000-0000F26D0000}"/>
    <cellStyle name="Normal 5 5 2 2 5 2 2 2 2" xfId="17087" xr:uid="{00000000-0005-0000-0000-0000F36D0000}"/>
    <cellStyle name="Normal 5 5 2 2 5 2 2 2 2 2" xfId="33402" xr:uid="{00000000-0005-0000-0000-0000F46D0000}"/>
    <cellStyle name="Normal 5 5 2 2 5 2 2 2 3" xfId="26437" xr:uid="{00000000-0005-0000-0000-0000F56D0000}"/>
    <cellStyle name="Normal 5 5 2 2 5 2 2 3" xfId="13166" xr:uid="{00000000-0005-0000-0000-0000F66D0000}"/>
    <cellStyle name="Normal 5 5 2 2 5 2 2 3 2" xfId="29741" xr:uid="{00000000-0005-0000-0000-0000F76D0000}"/>
    <cellStyle name="Normal 5 5 2 2 5 2 2 4" xfId="6473" xr:uid="{00000000-0005-0000-0000-0000F86D0000}"/>
    <cellStyle name="Normal 5 5 2 2 5 2 2 4 2" xfId="23137" xr:uid="{00000000-0005-0000-0000-0000F96D0000}"/>
    <cellStyle name="Normal 5 5 2 2 5 2 2 5" xfId="19872" xr:uid="{00000000-0005-0000-0000-0000FA6D0000}"/>
    <cellStyle name="Normal 5 5 2 2 5 2 3" xfId="8203" xr:uid="{00000000-0005-0000-0000-0000FB6D0000}"/>
    <cellStyle name="Normal 5 5 2 2 5 2 3 2" xfId="15466" xr:uid="{00000000-0005-0000-0000-0000FC6D0000}"/>
    <cellStyle name="Normal 5 5 2 2 5 2 3 2 2" xfId="31781" xr:uid="{00000000-0005-0000-0000-0000FD6D0000}"/>
    <cellStyle name="Normal 5 5 2 2 5 2 3 3" xfId="24816" xr:uid="{00000000-0005-0000-0000-0000FE6D0000}"/>
    <cellStyle name="Normal 5 5 2 2 5 2 4" xfId="11518" xr:uid="{00000000-0005-0000-0000-0000FF6D0000}"/>
    <cellStyle name="Normal 5 5 2 2 5 2 4 2" xfId="28116" xr:uid="{00000000-0005-0000-0000-0000006E0000}"/>
    <cellStyle name="Normal 5 5 2 2 5 2 5" xfId="4747" xr:uid="{00000000-0005-0000-0000-0000016E0000}"/>
    <cellStyle name="Normal 5 5 2 2 5 2 5 2" xfId="21470" xr:uid="{00000000-0005-0000-0000-0000026E0000}"/>
    <cellStyle name="Normal 5 5 2 2 5 2 6" xfId="18168" xr:uid="{00000000-0005-0000-0000-0000036E0000}"/>
    <cellStyle name="Normal 5 5 2 2 5 3" xfId="3144" xr:uid="{00000000-0005-0000-0000-0000046E0000}"/>
    <cellStyle name="Normal 5 5 2 2 5 3 2" xfId="9012" xr:uid="{00000000-0005-0000-0000-0000056E0000}"/>
    <cellStyle name="Normal 5 5 2 2 5 3 2 2" xfId="16275" xr:uid="{00000000-0005-0000-0000-0000066E0000}"/>
    <cellStyle name="Normal 5 5 2 2 5 3 2 2 2" xfId="32590" xr:uid="{00000000-0005-0000-0000-0000076E0000}"/>
    <cellStyle name="Normal 5 5 2 2 5 3 2 3" xfId="25625" xr:uid="{00000000-0005-0000-0000-0000086E0000}"/>
    <cellStyle name="Normal 5 5 2 2 5 3 3" xfId="12354" xr:uid="{00000000-0005-0000-0000-0000096E0000}"/>
    <cellStyle name="Normal 5 5 2 2 5 3 3 2" xfId="28929" xr:uid="{00000000-0005-0000-0000-00000A6E0000}"/>
    <cellStyle name="Normal 5 5 2 2 5 3 4" xfId="5661" xr:uid="{00000000-0005-0000-0000-00000B6E0000}"/>
    <cellStyle name="Normal 5 5 2 2 5 3 4 2" xfId="22325" xr:uid="{00000000-0005-0000-0000-00000C6E0000}"/>
    <cellStyle name="Normal 5 5 2 2 5 3 5" xfId="19871" xr:uid="{00000000-0005-0000-0000-00000D6E0000}"/>
    <cellStyle name="Normal 5 5 2 2 5 4" xfId="7391" xr:uid="{00000000-0005-0000-0000-00000E6E0000}"/>
    <cellStyle name="Normal 5 5 2 2 5 4 2" xfId="14654" xr:uid="{00000000-0005-0000-0000-00000F6E0000}"/>
    <cellStyle name="Normal 5 5 2 2 5 4 2 2" xfId="30969" xr:uid="{00000000-0005-0000-0000-0000106E0000}"/>
    <cellStyle name="Normal 5 5 2 2 5 4 3" xfId="24004" xr:uid="{00000000-0005-0000-0000-0000116E0000}"/>
    <cellStyle name="Normal 5 5 2 2 5 5" xfId="10706" xr:uid="{00000000-0005-0000-0000-0000126E0000}"/>
    <cellStyle name="Normal 5 5 2 2 5 5 2" xfId="27304" xr:uid="{00000000-0005-0000-0000-0000136E0000}"/>
    <cellStyle name="Normal 5 5 2 2 5 6" xfId="4746" xr:uid="{00000000-0005-0000-0000-0000146E0000}"/>
    <cellStyle name="Normal 5 5 2 2 5 6 2" xfId="21469" xr:uid="{00000000-0005-0000-0000-0000156E0000}"/>
    <cellStyle name="Normal 5 5 2 2 5 7" xfId="17649" xr:uid="{00000000-0005-0000-0000-0000166E0000}"/>
    <cellStyle name="Normal 5 5 2 2 6" xfId="731" xr:uid="{00000000-0005-0000-0000-0000176E0000}"/>
    <cellStyle name="Normal 5 5 2 2 6 2" xfId="3146" xr:uid="{00000000-0005-0000-0000-0000186E0000}"/>
    <cellStyle name="Normal 5 5 2 2 6 2 2" xfId="9418" xr:uid="{00000000-0005-0000-0000-0000196E0000}"/>
    <cellStyle name="Normal 5 5 2 2 6 2 2 2" xfId="16681" xr:uid="{00000000-0005-0000-0000-00001A6E0000}"/>
    <cellStyle name="Normal 5 5 2 2 6 2 2 2 2" xfId="32996" xr:uid="{00000000-0005-0000-0000-00001B6E0000}"/>
    <cellStyle name="Normal 5 5 2 2 6 2 2 3" xfId="26031" xr:uid="{00000000-0005-0000-0000-00001C6E0000}"/>
    <cellStyle name="Normal 5 5 2 2 6 2 3" xfId="12760" xr:uid="{00000000-0005-0000-0000-00001D6E0000}"/>
    <cellStyle name="Normal 5 5 2 2 6 2 3 2" xfId="29335" xr:uid="{00000000-0005-0000-0000-00001E6E0000}"/>
    <cellStyle name="Normal 5 5 2 2 6 2 4" xfId="6067" xr:uid="{00000000-0005-0000-0000-00001F6E0000}"/>
    <cellStyle name="Normal 5 5 2 2 6 2 4 2" xfId="22731" xr:uid="{00000000-0005-0000-0000-0000206E0000}"/>
    <cellStyle name="Normal 5 5 2 2 6 2 5" xfId="19873" xr:uid="{00000000-0005-0000-0000-0000216E0000}"/>
    <cellStyle name="Normal 5 5 2 2 6 3" xfId="7797" xr:uid="{00000000-0005-0000-0000-0000226E0000}"/>
    <cellStyle name="Normal 5 5 2 2 6 3 2" xfId="15060" xr:uid="{00000000-0005-0000-0000-0000236E0000}"/>
    <cellStyle name="Normal 5 5 2 2 6 3 2 2" xfId="31375" xr:uid="{00000000-0005-0000-0000-0000246E0000}"/>
    <cellStyle name="Normal 5 5 2 2 6 3 3" xfId="24410" xr:uid="{00000000-0005-0000-0000-0000256E0000}"/>
    <cellStyle name="Normal 5 5 2 2 6 4" xfId="11112" xr:uid="{00000000-0005-0000-0000-0000266E0000}"/>
    <cellStyle name="Normal 5 5 2 2 6 4 2" xfId="27710" xr:uid="{00000000-0005-0000-0000-0000276E0000}"/>
    <cellStyle name="Normal 5 5 2 2 6 5" xfId="4748" xr:uid="{00000000-0005-0000-0000-0000286E0000}"/>
    <cellStyle name="Normal 5 5 2 2 6 5 2" xfId="21471" xr:uid="{00000000-0005-0000-0000-0000296E0000}"/>
    <cellStyle name="Normal 5 5 2 2 6 6" xfId="17544" xr:uid="{00000000-0005-0000-0000-00002A6E0000}"/>
    <cellStyle name="Normal 5 5 2 2 7" xfId="1328" xr:uid="{00000000-0005-0000-0000-00002B6E0000}"/>
    <cellStyle name="Normal 5 5 2 2 7 2" xfId="8493" xr:uid="{00000000-0005-0000-0000-00002C6E0000}"/>
    <cellStyle name="Normal 5 5 2 2 7 2 2" xfId="15756" xr:uid="{00000000-0005-0000-0000-00002D6E0000}"/>
    <cellStyle name="Normal 5 5 2 2 7 2 2 2" xfId="32071" xr:uid="{00000000-0005-0000-0000-00002E6E0000}"/>
    <cellStyle name="Normal 5 5 2 2 7 2 3" xfId="25106" xr:uid="{00000000-0005-0000-0000-00002F6E0000}"/>
    <cellStyle name="Normal 5 5 2 2 7 3" xfId="11834" xr:uid="{00000000-0005-0000-0000-0000306E0000}"/>
    <cellStyle name="Normal 5 5 2 2 7 3 2" xfId="28410" xr:uid="{00000000-0005-0000-0000-0000316E0000}"/>
    <cellStyle name="Normal 5 5 2 2 7 4" xfId="5140" xr:uid="{00000000-0005-0000-0000-0000326E0000}"/>
    <cellStyle name="Normal 5 5 2 2 7 4 2" xfId="21806" xr:uid="{00000000-0005-0000-0000-0000336E0000}"/>
    <cellStyle name="Normal 5 5 2 2 7 5" xfId="18063" xr:uid="{00000000-0005-0000-0000-0000346E0000}"/>
    <cellStyle name="Normal 5 5 2 2 8" xfId="3115" xr:uid="{00000000-0005-0000-0000-0000356E0000}"/>
    <cellStyle name="Normal 5 5 2 2 8 2" xfId="14137" xr:uid="{00000000-0005-0000-0000-0000366E0000}"/>
    <cellStyle name="Normal 5 5 2 2 8 2 2" xfId="30452" xr:uid="{00000000-0005-0000-0000-0000376E0000}"/>
    <cellStyle name="Normal 5 5 2 2 8 3" xfId="6874" xr:uid="{00000000-0005-0000-0000-0000386E0000}"/>
    <cellStyle name="Normal 5 5 2 2 8 3 2" xfId="23487" xr:uid="{00000000-0005-0000-0000-0000396E0000}"/>
    <cellStyle name="Normal 5 5 2 2 8 4" xfId="19842" xr:uid="{00000000-0005-0000-0000-00003A6E0000}"/>
    <cellStyle name="Normal 5 5 2 2 9" xfId="10187" xr:uid="{00000000-0005-0000-0000-00003B6E0000}"/>
    <cellStyle name="Normal 5 5 2 2 9 2" xfId="26787" xr:uid="{00000000-0005-0000-0000-00003C6E0000}"/>
    <cellStyle name="Normal 5 5 2 3" xfId="676" xr:uid="{00000000-0005-0000-0000-00003D6E0000}"/>
    <cellStyle name="Normal 5 5 2 3 10" xfId="17492" xr:uid="{00000000-0005-0000-0000-00003E6E0000}"/>
    <cellStyle name="Normal 5 5 2 3 2" xfId="1015" xr:uid="{00000000-0005-0000-0000-00003F6E0000}"/>
    <cellStyle name="Normal 5 5 2 3 2 2" xfId="1239" xr:uid="{00000000-0005-0000-0000-0000406E0000}"/>
    <cellStyle name="Normal 5 5 2 3 2 2 2" xfId="1760" xr:uid="{00000000-0005-0000-0000-0000416E0000}"/>
    <cellStyle name="Normal 5 5 2 3 2 2 2 2" xfId="3151" xr:uid="{00000000-0005-0000-0000-0000426E0000}"/>
    <cellStyle name="Normal 5 5 2 3 2 2 2 2 2" xfId="6654" xr:uid="{00000000-0005-0000-0000-0000436E0000}"/>
    <cellStyle name="Normal 5 5 2 3 2 2 2 2 2 2" xfId="10005" xr:uid="{00000000-0005-0000-0000-0000446E0000}"/>
    <cellStyle name="Normal 5 5 2 3 2 2 2 2 2 2 2" xfId="17268" xr:uid="{00000000-0005-0000-0000-0000456E0000}"/>
    <cellStyle name="Normal 5 5 2 3 2 2 2 2 2 2 2 2" xfId="33583" xr:uid="{00000000-0005-0000-0000-0000466E0000}"/>
    <cellStyle name="Normal 5 5 2 3 2 2 2 2 2 2 3" xfId="26618" xr:uid="{00000000-0005-0000-0000-0000476E0000}"/>
    <cellStyle name="Normal 5 5 2 3 2 2 2 2 2 3" xfId="13347" xr:uid="{00000000-0005-0000-0000-0000486E0000}"/>
    <cellStyle name="Normal 5 5 2 3 2 2 2 2 2 3 2" xfId="29922" xr:uid="{00000000-0005-0000-0000-0000496E0000}"/>
    <cellStyle name="Normal 5 5 2 3 2 2 2 2 2 4" xfId="23318" xr:uid="{00000000-0005-0000-0000-00004A6E0000}"/>
    <cellStyle name="Normal 5 5 2 3 2 2 2 2 3" xfId="8384" xr:uid="{00000000-0005-0000-0000-00004B6E0000}"/>
    <cellStyle name="Normal 5 5 2 3 2 2 2 2 3 2" xfId="15647" xr:uid="{00000000-0005-0000-0000-00004C6E0000}"/>
    <cellStyle name="Normal 5 5 2 3 2 2 2 2 3 2 2" xfId="31962" xr:uid="{00000000-0005-0000-0000-00004D6E0000}"/>
    <cellStyle name="Normal 5 5 2 3 2 2 2 2 3 3" xfId="24997" xr:uid="{00000000-0005-0000-0000-00004E6E0000}"/>
    <cellStyle name="Normal 5 5 2 3 2 2 2 2 4" xfId="11699" xr:uid="{00000000-0005-0000-0000-00004F6E0000}"/>
    <cellStyle name="Normal 5 5 2 3 2 2 2 2 4 2" xfId="28297" xr:uid="{00000000-0005-0000-0000-0000506E0000}"/>
    <cellStyle name="Normal 5 5 2 3 2 2 2 2 5" xfId="4753" xr:uid="{00000000-0005-0000-0000-0000516E0000}"/>
    <cellStyle name="Normal 5 5 2 3 2 2 2 2 5 2" xfId="21476" xr:uid="{00000000-0005-0000-0000-0000526E0000}"/>
    <cellStyle name="Normal 5 5 2 3 2 2 2 2 6" xfId="19878" xr:uid="{00000000-0005-0000-0000-0000536E0000}"/>
    <cellStyle name="Normal 5 5 2 3 2 2 2 3" xfId="3150" xr:uid="{00000000-0005-0000-0000-0000546E0000}"/>
    <cellStyle name="Normal 5 5 2 3 2 2 2 3 2" xfId="9229" xr:uid="{00000000-0005-0000-0000-0000556E0000}"/>
    <cellStyle name="Normal 5 5 2 3 2 2 2 3 2 2" xfId="16492" xr:uid="{00000000-0005-0000-0000-0000566E0000}"/>
    <cellStyle name="Normal 5 5 2 3 2 2 2 3 2 2 2" xfId="32807" xr:uid="{00000000-0005-0000-0000-0000576E0000}"/>
    <cellStyle name="Normal 5 5 2 3 2 2 2 3 2 3" xfId="25842" xr:uid="{00000000-0005-0000-0000-0000586E0000}"/>
    <cellStyle name="Normal 5 5 2 3 2 2 2 3 3" xfId="12571" xr:uid="{00000000-0005-0000-0000-0000596E0000}"/>
    <cellStyle name="Normal 5 5 2 3 2 2 2 3 3 2" xfId="29146" xr:uid="{00000000-0005-0000-0000-00005A6E0000}"/>
    <cellStyle name="Normal 5 5 2 3 2 2 2 3 4" xfId="5878" xr:uid="{00000000-0005-0000-0000-00005B6E0000}"/>
    <cellStyle name="Normal 5 5 2 3 2 2 2 3 4 2" xfId="22542" xr:uid="{00000000-0005-0000-0000-00005C6E0000}"/>
    <cellStyle name="Normal 5 5 2 3 2 2 2 3 5" xfId="19877" xr:uid="{00000000-0005-0000-0000-00005D6E0000}"/>
    <cellStyle name="Normal 5 5 2 3 2 2 2 4" xfId="7608" xr:uid="{00000000-0005-0000-0000-00005E6E0000}"/>
    <cellStyle name="Normal 5 5 2 3 2 2 2 4 2" xfId="14871" xr:uid="{00000000-0005-0000-0000-00005F6E0000}"/>
    <cellStyle name="Normal 5 5 2 3 2 2 2 4 2 2" xfId="31186" xr:uid="{00000000-0005-0000-0000-0000606E0000}"/>
    <cellStyle name="Normal 5 5 2 3 2 2 2 4 3" xfId="24221" xr:uid="{00000000-0005-0000-0000-0000616E0000}"/>
    <cellStyle name="Normal 5 5 2 3 2 2 2 5" xfId="10923" xr:uid="{00000000-0005-0000-0000-0000626E0000}"/>
    <cellStyle name="Normal 5 5 2 3 2 2 2 5 2" xfId="27521" xr:uid="{00000000-0005-0000-0000-0000636E0000}"/>
    <cellStyle name="Normal 5 5 2 3 2 2 2 6" xfId="4752" xr:uid="{00000000-0005-0000-0000-0000646E0000}"/>
    <cellStyle name="Normal 5 5 2 3 2 2 2 6 2" xfId="21475" xr:uid="{00000000-0005-0000-0000-0000656E0000}"/>
    <cellStyle name="Normal 5 5 2 3 2 2 2 7" xfId="18495" xr:uid="{00000000-0005-0000-0000-0000666E0000}"/>
    <cellStyle name="Normal 5 5 2 3 2 2 3" xfId="3152" xr:uid="{00000000-0005-0000-0000-0000676E0000}"/>
    <cellStyle name="Normal 5 5 2 3 2 2 3 2" xfId="6284" xr:uid="{00000000-0005-0000-0000-0000686E0000}"/>
    <cellStyle name="Normal 5 5 2 3 2 2 3 2 2" xfId="9635" xr:uid="{00000000-0005-0000-0000-0000696E0000}"/>
    <cellStyle name="Normal 5 5 2 3 2 2 3 2 2 2" xfId="16898" xr:uid="{00000000-0005-0000-0000-00006A6E0000}"/>
    <cellStyle name="Normal 5 5 2 3 2 2 3 2 2 2 2" xfId="33213" xr:uid="{00000000-0005-0000-0000-00006B6E0000}"/>
    <cellStyle name="Normal 5 5 2 3 2 2 3 2 2 3" xfId="26248" xr:uid="{00000000-0005-0000-0000-00006C6E0000}"/>
    <cellStyle name="Normal 5 5 2 3 2 2 3 2 3" xfId="12977" xr:uid="{00000000-0005-0000-0000-00006D6E0000}"/>
    <cellStyle name="Normal 5 5 2 3 2 2 3 2 3 2" xfId="29552" xr:uid="{00000000-0005-0000-0000-00006E6E0000}"/>
    <cellStyle name="Normal 5 5 2 3 2 2 3 2 4" xfId="22948" xr:uid="{00000000-0005-0000-0000-00006F6E0000}"/>
    <cellStyle name="Normal 5 5 2 3 2 2 3 3" xfId="8014" xr:uid="{00000000-0005-0000-0000-0000706E0000}"/>
    <cellStyle name="Normal 5 5 2 3 2 2 3 3 2" xfId="15277" xr:uid="{00000000-0005-0000-0000-0000716E0000}"/>
    <cellStyle name="Normal 5 5 2 3 2 2 3 3 2 2" xfId="31592" xr:uid="{00000000-0005-0000-0000-0000726E0000}"/>
    <cellStyle name="Normal 5 5 2 3 2 2 3 3 3" xfId="24627" xr:uid="{00000000-0005-0000-0000-0000736E0000}"/>
    <cellStyle name="Normal 5 5 2 3 2 2 3 4" xfId="11329" xr:uid="{00000000-0005-0000-0000-0000746E0000}"/>
    <cellStyle name="Normal 5 5 2 3 2 2 3 4 2" xfId="27927" xr:uid="{00000000-0005-0000-0000-0000756E0000}"/>
    <cellStyle name="Normal 5 5 2 3 2 2 3 5" xfId="4754" xr:uid="{00000000-0005-0000-0000-0000766E0000}"/>
    <cellStyle name="Normal 5 5 2 3 2 2 3 5 2" xfId="21477" xr:uid="{00000000-0005-0000-0000-0000776E0000}"/>
    <cellStyle name="Normal 5 5 2 3 2 2 3 6" xfId="19879" xr:uid="{00000000-0005-0000-0000-0000786E0000}"/>
    <cellStyle name="Normal 5 5 2 3 2 2 4" xfId="3149" xr:uid="{00000000-0005-0000-0000-0000796E0000}"/>
    <cellStyle name="Normal 5 5 2 3 2 2 4 2" xfId="8822" xr:uid="{00000000-0005-0000-0000-00007A6E0000}"/>
    <cellStyle name="Normal 5 5 2 3 2 2 4 2 2" xfId="16085" xr:uid="{00000000-0005-0000-0000-00007B6E0000}"/>
    <cellStyle name="Normal 5 5 2 3 2 2 4 2 2 2" xfId="32400" xr:uid="{00000000-0005-0000-0000-00007C6E0000}"/>
    <cellStyle name="Normal 5 5 2 3 2 2 4 2 3" xfId="25435" xr:uid="{00000000-0005-0000-0000-00007D6E0000}"/>
    <cellStyle name="Normal 5 5 2 3 2 2 4 3" xfId="12164" xr:uid="{00000000-0005-0000-0000-00007E6E0000}"/>
    <cellStyle name="Normal 5 5 2 3 2 2 4 3 2" xfId="28739" xr:uid="{00000000-0005-0000-0000-00007F6E0000}"/>
    <cellStyle name="Normal 5 5 2 3 2 2 4 4" xfId="5471" xr:uid="{00000000-0005-0000-0000-0000806E0000}"/>
    <cellStyle name="Normal 5 5 2 3 2 2 4 4 2" xfId="22135" xr:uid="{00000000-0005-0000-0000-0000816E0000}"/>
    <cellStyle name="Normal 5 5 2 3 2 2 4 5" xfId="19876" xr:uid="{00000000-0005-0000-0000-0000826E0000}"/>
    <cellStyle name="Normal 5 5 2 3 2 2 5" xfId="7202" xr:uid="{00000000-0005-0000-0000-0000836E0000}"/>
    <cellStyle name="Normal 5 5 2 3 2 2 5 2" xfId="14465" xr:uid="{00000000-0005-0000-0000-0000846E0000}"/>
    <cellStyle name="Normal 5 5 2 3 2 2 5 2 2" xfId="30780" xr:uid="{00000000-0005-0000-0000-0000856E0000}"/>
    <cellStyle name="Normal 5 5 2 3 2 2 5 3" xfId="23815" xr:uid="{00000000-0005-0000-0000-0000866E0000}"/>
    <cellStyle name="Normal 5 5 2 3 2 2 6" xfId="10517" xr:uid="{00000000-0005-0000-0000-0000876E0000}"/>
    <cellStyle name="Normal 5 5 2 3 2 2 6 2" xfId="27115" xr:uid="{00000000-0005-0000-0000-0000886E0000}"/>
    <cellStyle name="Normal 5 5 2 3 2 2 7" xfId="4751" xr:uid="{00000000-0005-0000-0000-0000896E0000}"/>
    <cellStyle name="Normal 5 5 2 3 2 2 7 2" xfId="21474" xr:uid="{00000000-0005-0000-0000-00008A6E0000}"/>
    <cellStyle name="Normal 5 5 2 3 2 2 8" xfId="17976" xr:uid="{00000000-0005-0000-0000-00008B6E0000}"/>
    <cellStyle name="Normal 5 5 2 3 2 3" xfId="1576" xr:uid="{00000000-0005-0000-0000-00008C6E0000}"/>
    <cellStyle name="Normal 5 5 2 3 2 3 2" xfId="3154" xr:uid="{00000000-0005-0000-0000-00008D6E0000}"/>
    <cellStyle name="Normal 5 5 2 3 2 3 2 2" xfId="6478" xr:uid="{00000000-0005-0000-0000-00008E6E0000}"/>
    <cellStyle name="Normal 5 5 2 3 2 3 2 2 2" xfId="9829" xr:uid="{00000000-0005-0000-0000-00008F6E0000}"/>
    <cellStyle name="Normal 5 5 2 3 2 3 2 2 2 2" xfId="17092" xr:uid="{00000000-0005-0000-0000-0000906E0000}"/>
    <cellStyle name="Normal 5 5 2 3 2 3 2 2 2 2 2" xfId="33407" xr:uid="{00000000-0005-0000-0000-0000916E0000}"/>
    <cellStyle name="Normal 5 5 2 3 2 3 2 2 2 3" xfId="26442" xr:uid="{00000000-0005-0000-0000-0000926E0000}"/>
    <cellStyle name="Normal 5 5 2 3 2 3 2 2 3" xfId="13171" xr:uid="{00000000-0005-0000-0000-0000936E0000}"/>
    <cellStyle name="Normal 5 5 2 3 2 3 2 2 3 2" xfId="29746" xr:uid="{00000000-0005-0000-0000-0000946E0000}"/>
    <cellStyle name="Normal 5 5 2 3 2 3 2 2 4" xfId="23142" xr:uid="{00000000-0005-0000-0000-0000956E0000}"/>
    <cellStyle name="Normal 5 5 2 3 2 3 2 3" xfId="8208" xr:uid="{00000000-0005-0000-0000-0000966E0000}"/>
    <cellStyle name="Normal 5 5 2 3 2 3 2 3 2" xfId="15471" xr:uid="{00000000-0005-0000-0000-0000976E0000}"/>
    <cellStyle name="Normal 5 5 2 3 2 3 2 3 2 2" xfId="31786" xr:uid="{00000000-0005-0000-0000-0000986E0000}"/>
    <cellStyle name="Normal 5 5 2 3 2 3 2 3 3" xfId="24821" xr:uid="{00000000-0005-0000-0000-0000996E0000}"/>
    <cellStyle name="Normal 5 5 2 3 2 3 2 4" xfId="11523" xr:uid="{00000000-0005-0000-0000-00009A6E0000}"/>
    <cellStyle name="Normal 5 5 2 3 2 3 2 4 2" xfId="28121" xr:uid="{00000000-0005-0000-0000-00009B6E0000}"/>
    <cellStyle name="Normal 5 5 2 3 2 3 2 5" xfId="4756" xr:uid="{00000000-0005-0000-0000-00009C6E0000}"/>
    <cellStyle name="Normal 5 5 2 3 2 3 2 5 2" xfId="21479" xr:uid="{00000000-0005-0000-0000-00009D6E0000}"/>
    <cellStyle name="Normal 5 5 2 3 2 3 2 6" xfId="19881" xr:uid="{00000000-0005-0000-0000-00009E6E0000}"/>
    <cellStyle name="Normal 5 5 2 3 2 3 3" xfId="3153" xr:uid="{00000000-0005-0000-0000-00009F6E0000}"/>
    <cellStyle name="Normal 5 5 2 3 2 3 3 2" xfId="9017" xr:uid="{00000000-0005-0000-0000-0000A06E0000}"/>
    <cellStyle name="Normal 5 5 2 3 2 3 3 2 2" xfId="16280" xr:uid="{00000000-0005-0000-0000-0000A16E0000}"/>
    <cellStyle name="Normal 5 5 2 3 2 3 3 2 2 2" xfId="32595" xr:uid="{00000000-0005-0000-0000-0000A26E0000}"/>
    <cellStyle name="Normal 5 5 2 3 2 3 3 2 3" xfId="25630" xr:uid="{00000000-0005-0000-0000-0000A36E0000}"/>
    <cellStyle name="Normal 5 5 2 3 2 3 3 3" xfId="12359" xr:uid="{00000000-0005-0000-0000-0000A46E0000}"/>
    <cellStyle name="Normal 5 5 2 3 2 3 3 3 2" xfId="28934" xr:uid="{00000000-0005-0000-0000-0000A56E0000}"/>
    <cellStyle name="Normal 5 5 2 3 2 3 3 4" xfId="5666" xr:uid="{00000000-0005-0000-0000-0000A66E0000}"/>
    <cellStyle name="Normal 5 5 2 3 2 3 3 4 2" xfId="22330" xr:uid="{00000000-0005-0000-0000-0000A76E0000}"/>
    <cellStyle name="Normal 5 5 2 3 2 3 3 5" xfId="19880" xr:uid="{00000000-0005-0000-0000-0000A86E0000}"/>
    <cellStyle name="Normal 5 5 2 3 2 3 4" xfId="7396" xr:uid="{00000000-0005-0000-0000-0000A96E0000}"/>
    <cellStyle name="Normal 5 5 2 3 2 3 4 2" xfId="14659" xr:uid="{00000000-0005-0000-0000-0000AA6E0000}"/>
    <cellStyle name="Normal 5 5 2 3 2 3 4 2 2" xfId="30974" xr:uid="{00000000-0005-0000-0000-0000AB6E0000}"/>
    <cellStyle name="Normal 5 5 2 3 2 3 4 3" xfId="24009" xr:uid="{00000000-0005-0000-0000-0000AC6E0000}"/>
    <cellStyle name="Normal 5 5 2 3 2 3 5" xfId="10711" xr:uid="{00000000-0005-0000-0000-0000AD6E0000}"/>
    <cellStyle name="Normal 5 5 2 3 2 3 5 2" xfId="27309" xr:uid="{00000000-0005-0000-0000-0000AE6E0000}"/>
    <cellStyle name="Normal 5 5 2 3 2 3 6" xfId="4755" xr:uid="{00000000-0005-0000-0000-0000AF6E0000}"/>
    <cellStyle name="Normal 5 5 2 3 2 3 6 2" xfId="21478" xr:uid="{00000000-0005-0000-0000-0000B06E0000}"/>
    <cellStyle name="Normal 5 5 2 3 2 3 7" xfId="18311" xr:uid="{00000000-0005-0000-0000-0000B16E0000}"/>
    <cellStyle name="Normal 5 5 2 3 2 4" xfId="3155" xr:uid="{00000000-0005-0000-0000-0000B26E0000}"/>
    <cellStyle name="Normal 5 5 2 3 2 4 2" xfId="6072" xr:uid="{00000000-0005-0000-0000-0000B36E0000}"/>
    <cellStyle name="Normal 5 5 2 3 2 4 2 2" xfId="9423" xr:uid="{00000000-0005-0000-0000-0000B46E0000}"/>
    <cellStyle name="Normal 5 5 2 3 2 4 2 2 2" xfId="16686" xr:uid="{00000000-0005-0000-0000-0000B56E0000}"/>
    <cellStyle name="Normal 5 5 2 3 2 4 2 2 2 2" xfId="33001" xr:uid="{00000000-0005-0000-0000-0000B66E0000}"/>
    <cellStyle name="Normal 5 5 2 3 2 4 2 2 3" xfId="26036" xr:uid="{00000000-0005-0000-0000-0000B76E0000}"/>
    <cellStyle name="Normal 5 5 2 3 2 4 2 3" xfId="12765" xr:uid="{00000000-0005-0000-0000-0000B86E0000}"/>
    <cellStyle name="Normal 5 5 2 3 2 4 2 3 2" xfId="29340" xr:uid="{00000000-0005-0000-0000-0000B96E0000}"/>
    <cellStyle name="Normal 5 5 2 3 2 4 2 4" xfId="22736" xr:uid="{00000000-0005-0000-0000-0000BA6E0000}"/>
    <cellStyle name="Normal 5 5 2 3 2 4 3" xfId="7802" xr:uid="{00000000-0005-0000-0000-0000BB6E0000}"/>
    <cellStyle name="Normal 5 5 2 3 2 4 3 2" xfId="15065" xr:uid="{00000000-0005-0000-0000-0000BC6E0000}"/>
    <cellStyle name="Normal 5 5 2 3 2 4 3 2 2" xfId="31380" xr:uid="{00000000-0005-0000-0000-0000BD6E0000}"/>
    <cellStyle name="Normal 5 5 2 3 2 4 3 3" xfId="24415" xr:uid="{00000000-0005-0000-0000-0000BE6E0000}"/>
    <cellStyle name="Normal 5 5 2 3 2 4 4" xfId="11117" xr:uid="{00000000-0005-0000-0000-0000BF6E0000}"/>
    <cellStyle name="Normal 5 5 2 3 2 4 4 2" xfId="27715" xr:uid="{00000000-0005-0000-0000-0000C06E0000}"/>
    <cellStyle name="Normal 5 5 2 3 2 4 5" xfId="4757" xr:uid="{00000000-0005-0000-0000-0000C16E0000}"/>
    <cellStyle name="Normal 5 5 2 3 2 4 5 2" xfId="21480" xr:uid="{00000000-0005-0000-0000-0000C26E0000}"/>
    <cellStyle name="Normal 5 5 2 3 2 4 6" xfId="19882" xr:uid="{00000000-0005-0000-0000-0000C36E0000}"/>
    <cellStyle name="Normal 5 5 2 3 2 5" xfId="3148" xr:uid="{00000000-0005-0000-0000-0000C46E0000}"/>
    <cellStyle name="Normal 5 5 2 3 2 5 2" xfId="8637" xr:uid="{00000000-0005-0000-0000-0000C56E0000}"/>
    <cellStyle name="Normal 5 5 2 3 2 5 2 2" xfId="15900" xr:uid="{00000000-0005-0000-0000-0000C66E0000}"/>
    <cellStyle name="Normal 5 5 2 3 2 5 2 2 2" xfId="32215" xr:uid="{00000000-0005-0000-0000-0000C76E0000}"/>
    <cellStyle name="Normal 5 5 2 3 2 5 2 3" xfId="25250" xr:uid="{00000000-0005-0000-0000-0000C86E0000}"/>
    <cellStyle name="Normal 5 5 2 3 2 5 3" xfId="11979" xr:uid="{00000000-0005-0000-0000-0000C96E0000}"/>
    <cellStyle name="Normal 5 5 2 3 2 5 3 2" xfId="28554" xr:uid="{00000000-0005-0000-0000-0000CA6E0000}"/>
    <cellStyle name="Normal 5 5 2 3 2 5 4" xfId="5286" xr:uid="{00000000-0005-0000-0000-0000CB6E0000}"/>
    <cellStyle name="Normal 5 5 2 3 2 5 4 2" xfId="21950" xr:uid="{00000000-0005-0000-0000-0000CC6E0000}"/>
    <cellStyle name="Normal 5 5 2 3 2 5 5" xfId="19875" xr:uid="{00000000-0005-0000-0000-0000CD6E0000}"/>
    <cellStyle name="Normal 5 5 2 3 2 6" xfId="7018" xr:uid="{00000000-0005-0000-0000-0000CE6E0000}"/>
    <cellStyle name="Normal 5 5 2 3 2 6 2" xfId="14281" xr:uid="{00000000-0005-0000-0000-0000CF6E0000}"/>
    <cellStyle name="Normal 5 5 2 3 2 6 2 2" xfId="30596" xr:uid="{00000000-0005-0000-0000-0000D06E0000}"/>
    <cellStyle name="Normal 5 5 2 3 2 6 3" xfId="23631" xr:uid="{00000000-0005-0000-0000-0000D16E0000}"/>
    <cellStyle name="Normal 5 5 2 3 2 7" xfId="10332" xr:uid="{00000000-0005-0000-0000-0000D26E0000}"/>
    <cellStyle name="Normal 5 5 2 3 2 7 2" xfId="26931" xr:uid="{00000000-0005-0000-0000-0000D36E0000}"/>
    <cellStyle name="Normal 5 5 2 3 2 8" xfId="4750" xr:uid="{00000000-0005-0000-0000-0000D46E0000}"/>
    <cellStyle name="Normal 5 5 2 3 2 8 2" xfId="21473" xr:uid="{00000000-0005-0000-0000-0000D56E0000}"/>
    <cellStyle name="Normal 5 5 2 3 2 9" xfId="17792" xr:uid="{00000000-0005-0000-0000-0000D66E0000}"/>
    <cellStyle name="Normal 5 5 2 3 3" xfId="1238" xr:uid="{00000000-0005-0000-0000-0000D76E0000}"/>
    <cellStyle name="Normal 5 5 2 3 3 2" xfId="1759" xr:uid="{00000000-0005-0000-0000-0000D86E0000}"/>
    <cellStyle name="Normal 5 5 2 3 3 2 2" xfId="3158" xr:uid="{00000000-0005-0000-0000-0000D96E0000}"/>
    <cellStyle name="Normal 5 5 2 3 3 2 2 2" xfId="6653" xr:uid="{00000000-0005-0000-0000-0000DA6E0000}"/>
    <cellStyle name="Normal 5 5 2 3 3 2 2 2 2" xfId="10004" xr:uid="{00000000-0005-0000-0000-0000DB6E0000}"/>
    <cellStyle name="Normal 5 5 2 3 3 2 2 2 2 2" xfId="17267" xr:uid="{00000000-0005-0000-0000-0000DC6E0000}"/>
    <cellStyle name="Normal 5 5 2 3 3 2 2 2 2 2 2" xfId="33582" xr:uid="{00000000-0005-0000-0000-0000DD6E0000}"/>
    <cellStyle name="Normal 5 5 2 3 3 2 2 2 2 3" xfId="26617" xr:uid="{00000000-0005-0000-0000-0000DE6E0000}"/>
    <cellStyle name="Normal 5 5 2 3 3 2 2 2 3" xfId="13346" xr:uid="{00000000-0005-0000-0000-0000DF6E0000}"/>
    <cellStyle name="Normal 5 5 2 3 3 2 2 2 3 2" xfId="29921" xr:uid="{00000000-0005-0000-0000-0000E06E0000}"/>
    <cellStyle name="Normal 5 5 2 3 3 2 2 2 4" xfId="23317" xr:uid="{00000000-0005-0000-0000-0000E16E0000}"/>
    <cellStyle name="Normal 5 5 2 3 3 2 2 3" xfId="8383" xr:uid="{00000000-0005-0000-0000-0000E26E0000}"/>
    <cellStyle name="Normal 5 5 2 3 3 2 2 3 2" xfId="15646" xr:uid="{00000000-0005-0000-0000-0000E36E0000}"/>
    <cellStyle name="Normal 5 5 2 3 3 2 2 3 2 2" xfId="31961" xr:uid="{00000000-0005-0000-0000-0000E46E0000}"/>
    <cellStyle name="Normal 5 5 2 3 3 2 2 3 3" xfId="24996" xr:uid="{00000000-0005-0000-0000-0000E56E0000}"/>
    <cellStyle name="Normal 5 5 2 3 3 2 2 4" xfId="11698" xr:uid="{00000000-0005-0000-0000-0000E66E0000}"/>
    <cellStyle name="Normal 5 5 2 3 3 2 2 4 2" xfId="28296" xr:uid="{00000000-0005-0000-0000-0000E76E0000}"/>
    <cellStyle name="Normal 5 5 2 3 3 2 2 5" xfId="4760" xr:uid="{00000000-0005-0000-0000-0000E86E0000}"/>
    <cellStyle name="Normal 5 5 2 3 3 2 2 5 2" xfId="21483" xr:uid="{00000000-0005-0000-0000-0000E96E0000}"/>
    <cellStyle name="Normal 5 5 2 3 3 2 2 6" xfId="19885" xr:uid="{00000000-0005-0000-0000-0000EA6E0000}"/>
    <cellStyle name="Normal 5 5 2 3 3 2 3" xfId="3157" xr:uid="{00000000-0005-0000-0000-0000EB6E0000}"/>
    <cellStyle name="Normal 5 5 2 3 3 2 3 2" xfId="9228" xr:uid="{00000000-0005-0000-0000-0000EC6E0000}"/>
    <cellStyle name="Normal 5 5 2 3 3 2 3 2 2" xfId="16491" xr:uid="{00000000-0005-0000-0000-0000ED6E0000}"/>
    <cellStyle name="Normal 5 5 2 3 3 2 3 2 2 2" xfId="32806" xr:uid="{00000000-0005-0000-0000-0000EE6E0000}"/>
    <cellStyle name="Normal 5 5 2 3 3 2 3 2 3" xfId="25841" xr:uid="{00000000-0005-0000-0000-0000EF6E0000}"/>
    <cellStyle name="Normal 5 5 2 3 3 2 3 3" xfId="12570" xr:uid="{00000000-0005-0000-0000-0000F06E0000}"/>
    <cellStyle name="Normal 5 5 2 3 3 2 3 3 2" xfId="29145" xr:uid="{00000000-0005-0000-0000-0000F16E0000}"/>
    <cellStyle name="Normal 5 5 2 3 3 2 3 4" xfId="5877" xr:uid="{00000000-0005-0000-0000-0000F26E0000}"/>
    <cellStyle name="Normal 5 5 2 3 3 2 3 4 2" xfId="22541" xr:uid="{00000000-0005-0000-0000-0000F36E0000}"/>
    <cellStyle name="Normal 5 5 2 3 3 2 3 5" xfId="19884" xr:uid="{00000000-0005-0000-0000-0000F46E0000}"/>
    <cellStyle name="Normal 5 5 2 3 3 2 4" xfId="7607" xr:uid="{00000000-0005-0000-0000-0000F56E0000}"/>
    <cellStyle name="Normal 5 5 2 3 3 2 4 2" xfId="14870" xr:uid="{00000000-0005-0000-0000-0000F66E0000}"/>
    <cellStyle name="Normal 5 5 2 3 3 2 4 2 2" xfId="31185" xr:uid="{00000000-0005-0000-0000-0000F76E0000}"/>
    <cellStyle name="Normal 5 5 2 3 3 2 4 3" xfId="24220" xr:uid="{00000000-0005-0000-0000-0000F86E0000}"/>
    <cellStyle name="Normal 5 5 2 3 3 2 5" xfId="10922" xr:uid="{00000000-0005-0000-0000-0000F96E0000}"/>
    <cellStyle name="Normal 5 5 2 3 3 2 5 2" xfId="27520" xr:uid="{00000000-0005-0000-0000-0000FA6E0000}"/>
    <cellStyle name="Normal 5 5 2 3 3 2 6" xfId="4759" xr:uid="{00000000-0005-0000-0000-0000FB6E0000}"/>
    <cellStyle name="Normal 5 5 2 3 3 2 6 2" xfId="21482" xr:uid="{00000000-0005-0000-0000-0000FC6E0000}"/>
    <cellStyle name="Normal 5 5 2 3 3 2 7" xfId="18494" xr:uid="{00000000-0005-0000-0000-0000FD6E0000}"/>
    <cellStyle name="Normal 5 5 2 3 3 3" xfId="3159" xr:uid="{00000000-0005-0000-0000-0000FE6E0000}"/>
    <cellStyle name="Normal 5 5 2 3 3 3 2" xfId="6283" xr:uid="{00000000-0005-0000-0000-0000FF6E0000}"/>
    <cellStyle name="Normal 5 5 2 3 3 3 2 2" xfId="9634" xr:uid="{00000000-0005-0000-0000-0000006F0000}"/>
    <cellStyle name="Normal 5 5 2 3 3 3 2 2 2" xfId="16897" xr:uid="{00000000-0005-0000-0000-0000016F0000}"/>
    <cellStyle name="Normal 5 5 2 3 3 3 2 2 2 2" xfId="33212" xr:uid="{00000000-0005-0000-0000-0000026F0000}"/>
    <cellStyle name="Normal 5 5 2 3 3 3 2 2 3" xfId="26247" xr:uid="{00000000-0005-0000-0000-0000036F0000}"/>
    <cellStyle name="Normal 5 5 2 3 3 3 2 3" xfId="12976" xr:uid="{00000000-0005-0000-0000-0000046F0000}"/>
    <cellStyle name="Normal 5 5 2 3 3 3 2 3 2" xfId="29551" xr:uid="{00000000-0005-0000-0000-0000056F0000}"/>
    <cellStyle name="Normal 5 5 2 3 3 3 2 4" xfId="22947" xr:uid="{00000000-0005-0000-0000-0000066F0000}"/>
    <cellStyle name="Normal 5 5 2 3 3 3 3" xfId="8013" xr:uid="{00000000-0005-0000-0000-0000076F0000}"/>
    <cellStyle name="Normal 5 5 2 3 3 3 3 2" xfId="15276" xr:uid="{00000000-0005-0000-0000-0000086F0000}"/>
    <cellStyle name="Normal 5 5 2 3 3 3 3 2 2" xfId="31591" xr:uid="{00000000-0005-0000-0000-0000096F0000}"/>
    <cellStyle name="Normal 5 5 2 3 3 3 3 3" xfId="24626" xr:uid="{00000000-0005-0000-0000-00000A6F0000}"/>
    <cellStyle name="Normal 5 5 2 3 3 3 4" xfId="11328" xr:uid="{00000000-0005-0000-0000-00000B6F0000}"/>
    <cellStyle name="Normal 5 5 2 3 3 3 4 2" xfId="27926" xr:uid="{00000000-0005-0000-0000-00000C6F0000}"/>
    <cellStyle name="Normal 5 5 2 3 3 3 5" xfId="4761" xr:uid="{00000000-0005-0000-0000-00000D6F0000}"/>
    <cellStyle name="Normal 5 5 2 3 3 3 5 2" xfId="21484" xr:uid="{00000000-0005-0000-0000-00000E6F0000}"/>
    <cellStyle name="Normal 5 5 2 3 3 3 6" xfId="19886" xr:uid="{00000000-0005-0000-0000-00000F6F0000}"/>
    <cellStyle name="Normal 5 5 2 3 3 4" xfId="3156" xr:uid="{00000000-0005-0000-0000-0000106F0000}"/>
    <cellStyle name="Normal 5 5 2 3 3 4 2" xfId="8821" xr:uid="{00000000-0005-0000-0000-0000116F0000}"/>
    <cellStyle name="Normal 5 5 2 3 3 4 2 2" xfId="16084" xr:uid="{00000000-0005-0000-0000-0000126F0000}"/>
    <cellStyle name="Normal 5 5 2 3 3 4 2 2 2" xfId="32399" xr:uid="{00000000-0005-0000-0000-0000136F0000}"/>
    <cellStyle name="Normal 5 5 2 3 3 4 2 3" xfId="25434" xr:uid="{00000000-0005-0000-0000-0000146F0000}"/>
    <cellStyle name="Normal 5 5 2 3 3 4 3" xfId="12163" xr:uid="{00000000-0005-0000-0000-0000156F0000}"/>
    <cellStyle name="Normal 5 5 2 3 3 4 3 2" xfId="28738" xr:uid="{00000000-0005-0000-0000-0000166F0000}"/>
    <cellStyle name="Normal 5 5 2 3 3 4 4" xfId="5470" xr:uid="{00000000-0005-0000-0000-0000176F0000}"/>
    <cellStyle name="Normal 5 5 2 3 3 4 4 2" xfId="22134" xr:uid="{00000000-0005-0000-0000-0000186F0000}"/>
    <cellStyle name="Normal 5 5 2 3 3 4 5" xfId="19883" xr:uid="{00000000-0005-0000-0000-0000196F0000}"/>
    <cellStyle name="Normal 5 5 2 3 3 5" xfId="7201" xr:uid="{00000000-0005-0000-0000-00001A6F0000}"/>
    <cellStyle name="Normal 5 5 2 3 3 5 2" xfId="14464" xr:uid="{00000000-0005-0000-0000-00001B6F0000}"/>
    <cellStyle name="Normal 5 5 2 3 3 5 2 2" xfId="30779" xr:uid="{00000000-0005-0000-0000-00001C6F0000}"/>
    <cellStyle name="Normal 5 5 2 3 3 5 3" xfId="23814" xr:uid="{00000000-0005-0000-0000-00001D6F0000}"/>
    <cellStyle name="Normal 5 5 2 3 3 6" xfId="10516" xr:uid="{00000000-0005-0000-0000-00001E6F0000}"/>
    <cellStyle name="Normal 5 5 2 3 3 6 2" xfId="27114" xr:uid="{00000000-0005-0000-0000-00001F6F0000}"/>
    <cellStyle name="Normal 5 5 2 3 3 7" xfId="4758" xr:uid="{00000000-0005-0000-0000-0000206F0000}"/>
    <cellStyle name="Normal 5 5 2 3 3 7 2" xfId="21481" xr:uid="{00000000-0005-0000-0000-0000216F0000}"/>
    <cellStyle name="Normal 5 5 2 3 3 8" xfId="17975" xr:uid="{00000000-0005-0000-0000-0000226F0000}"/>
    <cellStyle name="Normal 5 5 2 3 4" xfId="908" xr:uid="{00000000-0005-0000-0000-0000236F0000}"/>
    <cellStyle name="Normal 5 5 2 3 4 2" xfId="1470" xr:uid="{00000000-0005-0000-0000-0000246F0000}"/>
    <cellStyle name="Normal 5 5 2 3 4 2 2" xfId="3161" xr:uid="{00000000-0005-0000-0000-0000256F0000}"/>
    <cellStyle name="Normal 5 5 2 3 4 2 2 2" xfId="9828" xr:uid="{00000000-0005-0000-0000-0000266F0000}"/>
    <cellStyle name="Normal 5 5 2 3 4 2 2 2 2" xfId="17091" xr:uid="{00000000-0005-0000-0000-0000276F0000}"/>
    <cellStyle name="Normal 5 5 2 3 4 2 2 2 2 2" xfId="33406" xr:uid="{00000000-0005-0000-0000-0000286F0000}"/>
    <cellStyle name="Normal 5 5 2 3 4 2 2 2 3" xfId="26441" xr:uid="{00000000-0005-0000-0000-0000296F0000}"/>
    <cellStyle name="Normal 5 5 2 3 4 2 2 3" xfId="13170" xr:uid="{00000000-0005-0000-0000-00002A6F0000}"/>
    <cellStyle name="Normal 5 5 2 3 4 2 2 3 2" xfId="29745" xr:uid="{00000000-0005-0000-0000-00002B6F0000}"/>
    <cellStyle name="Normal 5 5 2 3 4 2 2 4" xfId="6477" xr:uid="{00000000-0005-0000-0000-00002C6F0000}"/>
    <cellStyle name="Normal 5 5 2 3 4 2 2 4 2" xfId="23141" xr:uid="{00000000-0005-0000-0000-00002D6F0000}"/>
    <cellStyle name="Normal 5 5 2 3 4 2 2 5" xfId="19888" xr:uid="{00000000-0005-0000-0000-00002E6F0000}"/>
    <cellStyle name="Normal 5 5 2 3 4 2 3" xfId="8207" xr:uid="{00000000-0005-0000-0000-00002F6F0000}"/>
    <cellStyle name="Normal 5 5 2 3 4 2 3 2" xfId="15470" xr:uid="{00000000-0005-0000-0000-0000306F0000}"/>
    <cellStyle name="Normal 5 5 2 3 4 2 3 2 2" xfId="31785" xr:uid="{00000000-0005-0000-0000-0000316F0000}"/>
    <cellStyle name="Normal 5 5 2 3 4 2 3 3" xfId="24820" xr:uid="{00000000-0005-0000-0000-0000326F0000}"/>
    <cellStyle name="Normal 5 5 2 3 4 2 4" xfId="11522" xr:uid="{00000000-0005-0000-0000-0000336F0000}"/>
    <cellStyle name="Normal 5 5 2 3 4 2 4 2" xfId="28120" xr:uid="{00000000-0005-0000-0000-0000346F0000}"/>
    <cellStyle name="Normal 5 5 2 3 4 2 5" xfId="4763" xr:uid="{00000000-0005-0000-0000-0000356F0000}"/>
    <cellStyle name="Normal 5 5 2 3 4 2 5 2" xfId="21486" xr:uid="{00000000-0005-0000-0000-0000366F0000}"/>
    <cellStyle name="Normal 5 5 2 3 4 2 6" xfId="18205" xr:uid="{00000000-0005-0000-0000-0000376F0000}"/>
    <cellStyle name="Normal 5 5 2 3 4 3" xfId="3160" xr:uid="{00000000-0005-0000-0000-0000386F0000}"/>
    <cellStyle name="Normal 5 5 2 3 4 3 2" xfId="9016" xr:uid="{00000000-0005-0000-0000-0000396F0000}"/>
    <cellStyle name="Normal 5 5 2 3 4 3 2 2" xfId="16279" xr:uid="{00000000-0005-0000-0000-00003A6F0000}"/>
    <cellStyle name="Normal 5 5 2 3 4 3 2 2 2" xfId="32594" xr:uid="{00000000-0005-0000-0000-00003B6F0000}"/>
    <cellStyle name="Normal 5 5 2 3 4 3 2 3" xfId="25629" xr:uid="{00000000-0005-0000-0000-00003C6F0000}"/>
    <cellStyle name="Normal 5 5 2 3 4 3 3" xfId="12358" xr:uid="{00000000-0005-0000-0000-00003D6F0000}"/>
    <cellStyle name="Normal 5 5 2 3 4 3 3 2" xfId="28933" xr:uid="{00000000-0005-0000-0000-00003E6F0000}"/>
    <cellStyle name="Normal 5 5 2 3 4 3 4" xfId="5665" xr:uid="{00000000-0005-0000-0000-00003F6F0000}"/>
    <cellStyle name="Normal 5 5 2 3 4 3 4 2" xfId="22329" xr:uid="{00000000-0005-0000-0000-0000406F0000}"/>
    <cellStyle name="Normal 5 5 2 3 4 3 5" xfId="19887" xr:uid="{00000000-0005-0000-0000-0000416F0000}"/>
    <cellStyle name="Normal 5 5 2 3 4 4" xfId="7395" xr:uid="{00000000-0005-0000-0000-0000426F0000}"/>
    <cellStyle name="Normal 5 5 2 3 4 4 2" xfId="14658" xr:uid="{00000000-0005-0000-0000-0000436F0000}"/>
    <cellStyle name="Normal 5 5 2 3 4 4 2 2" xfId="30973" xr:uid="{00000000-0005-0000-0000-0000446F0000}"/>
    <cellStyle name="Normal 5 5 2 3 4 4 3" xfId="24008" xr:uid="{00000000-0005-0000-0000-0000456F0000}"/>
    <cellStyle name="Normal 5 5 2 3 4 5" xfId="10710" xr:uid="{00000000-0005-0000-0000-0000466F0000}"/>
    <cellStyle name="Normal 5 5 2 3 4 5 2" xfId="27308" xr:uid="{00000000-0005-0000-0000-0000476F0000}"/>
    <cellStyle name="Normal 5 5 2 3 4 6" xfId="4762" xr:uid="{00000000-0005-0000-0000-0000486F0000}"/>
    <cellStyle name="Normal 5 5 2 3 4 6 2" xfId="21485" xr:uid="{00000000-0005-0000-0000-0000496F0000}"/>
    <cellStyle name="Normal 5 5 2 3 4 7" xfId="17686" xr:uid="{00000000-0005-0000-0000-00004A6F0000}"/>
    <cellStyle name="Normal 5 5 2 3 5" xfId="784" xr:uid="{00000000-0005-0000-0000-00004B6F0000}"/>
    <cellStyle name="Normal 5 5 2 3 5 2" xfId="3162" xr:uid="{00000000-0005-0000-0000-00004C6F0000}"/>
    <cellStyle name="Normal 5 5 2 3 5 2 2" xfId="9422" xr:uid="{00000000-0005-0000-0000-00004D6F0000}"/>
    <cellStyle name="Normal 5 5 2 3 5 2 2 2" xfId="16685" xr:uid="{00000000-0005-0000-0000-00004E6F0000}"/>
    <cellStyle name="Normal 5 5 2 3 5 2 2 2 2" xfId="33000" xr:uid="{00000000-0005-0000-0000-00004F6F0000}"/>
    <cellStyle name="Normal 5 5 2 3 5 2 2 3" xfId="26035" xr:uid="{00000000-0005-0000-0000-0000506F0000}"/>
    <cellStyle name="Normal 5 5 2 3 5 2 3" xfId="12764" xr:uid="{00000000-0005-0000-0000-0000516F0000}"/>
    <cellStyle name="Normal 5 5 2 3 5 2 3 2" xfId="29339" xr:uid="{00000000-0005-0000-0000-0000526F0000}"/>
    <cellStyle name="Normal 5 5 2 3 5 2 4" xfId="6071" xr:uid="{00000000-0005-0000-0000-0000536F0000}"/>
    <cellStyle name="Normal 5 5 2 3 5 2 4 2" xfId="22735" xr:uid="{00000000-0005-0000-0000-0000546F0000}"/>
    <cellStyle name="Normal 5 5 2 3 5 2 5" xfId="19889" xr:uid="{00000000-0005-0000-0000-0000556F0000}"/>
    <cellStyle name="Normal 5 5 2 3 5 3" xfId="7801" xr:uid="{00000000-0005-0000-0000-0000566F0000}"/>
    <cellStyle name="Normal 5 5 2 3 5 3 2" xfId="15064" xr:uid="{00000000-0005-0000-0000-0000576F0000}"/>
    <cellStyle name="Normal 5 5 2 3 5 3 2 2" xfId="31379" xr:uid="{00000000-0005-0000-0000-0000586F0000}"/>
    <cellStyle name="Normal 5 5 2 3 5 3 3" xfId="24414" xr:uid="{00000000-0005-0000-0000-0000596F0000}"/>
    <cellStyle name="Normal 5 5 2 3 5 4" xfId="11116" xr:uid="{00000000-0005-0000-0000-00005A6F0000}"/>
    <cellStyle name="Normal 5 5 2 3 5 4 2" xfId="27714" xr:uid="{00000000-0005-0000-0000-00005B6F0000}"/>
    <cellStyle name="Normal 5 5 2 3 5 5" xfId="4764" xr:uid="{00000000-0005-0000-0000-00005C6F0000}"/>
    <cellStyle name="Normal 5 5 2 3 5 5 2" xfId="21487" xr:uid="{00000000-0005-0000-0000-00005D6F0000}"/>
    <cellStyle name="Normal 5 5 2 3 5 6" xfId="17597" xr:uid="{00000000-0005-0000-0000-00005E6F0000}"/>
    <cellStyle name="Normal 5 5 2 3 6" xfId="1381" xr:uid="{00000000-0005-0000-0000-00005F6F0000}"/>
    <cellStyle name="Normal 5 5 2 3 6 2" xfId="8531" xr:uid="{00000000-0005-0000-0000-0000606F0000}"/>
    <cellStyle name="Normal 5 5 2 3 6 2 2" xfId="15794" xr:uid="{00000000-0005-0000-0000-0000616F0000}"/>
    <cellStyle name="Normal 5 5 2 3 6 2 2 2" xfId="32109" xr:uid="{00000000-0005-0000-0000-0000626F0000}"/>
    <cellStyle name="Normal 5 5 2 3 6 2 3" xfId="25144" xr:uid="{00000000-0005-0000-0000-0000636F0000}"/>
    <cellStyle name="Normal 5 5 2 3 6 3" xfId="11873" xr:uid="{00000000-0005-0000-0000-0000646F0000}"/>
    <cellStyle name="Normal 5 5 2 3 6 3 2" xfId="28448" xr:uid="{00000000-0005-0000-0000-0000656F0000}"/>
    <cellStyle name="Normal 5 5 2 3 6 4" xfId="5180" xr:uid="{00000000-0005-0000-0000-0000666F0000}"/>
    <cellStyle name="Normal 5 5 2 3 6 4 2" xfId="21844" xr:uid="{00000000-0005-0000-0000-0000676F0000}"/>
    <cellStyle name="Normal 5 5 2 3 6 5" xfId="18116" xr:uid="{00000000-0005-0000-0000-0000686F0000}"/>
    <cellStyle name="Normal 5 5 2 3 7" xfId="3147" xr:uid="{00000000-0005-0000-0000-0000696F0000}"/>
    <cellStyle name="Normal 5 5 2 3 7 2" xfId="14175" xr:uid="{00000000-0005-0000-0000-00006A6F0000}"/>
    <cellStyle name="Normal 5 5 2 3 7 2 2" xfId="30490" xr:uid="{00000000-0005-0000-0000-00006B6F0000}"/>
    <cellStyle name="Normal 5 5 2 3 7 3" xfId="6912" xr:uid="{00000000-0005-0000-0000-00006C6F0000}"/>
    <cellStyle name="Normal 5 5 2 3 7 3 2" xfId="23525" xr:uid="{00000000-0005-0000-0000-00006D6F0000}"/>
    <cellStyle name="Normal 5 5 2 3 7 4" xfId="19874" xr:uid="{00000000-0005-0000-0000-00006E6F0000}"/>
    <cellStyle name="Normal 5 5 2 3 8" xfId="10226" xr:uid="{00000000-0005-0000-0000-00006F6F0000}"/>
    <cellStyle name="Normal 5 5 2 3 8 2" xfId="26825" xr:uid="{00000000-0005-0000-0000-0000706F0000}"/>
    <cellStyle name="Normal 5 5 2 3 9" xfId="4749" xr:uid="{00000000-0005-0000-0000-0000716F0000}"/>
    <cellStyle name="Normal 5 5 2 3 9 2" xfId="21472" xr:uid="{00000000-0005-0000-0000-0000726F0000}"/>
    <cellStyle name="Normal 5 5 2 4" xfId="638" xr:uid="{00000000-0005-0000-0000-0000736F0000}"/>
    <cellStyle name="Normal 5 5 2 4 2" xfId="1240" xr:uid="{00000000-0005-0000-0000-0000746F0000}"/>
    <cellStyle name="Normal 5 5 2 4 2 2" xfId="1761" xr:uid="{00000000-0005-0000-0000-0000756F0000}"/>
    <cellStyle name="Normal 5 5 2 4 2 2 2" xfId="3166" xr:uid="{00000000-0005-0000-0000-0000766F0000}"/>
    <cellStyle name="Normal 5 5 2 4 2 2 2 2" xfId="6655" xr:uid="{00000000-0005-0000-0000-0000776F0000}"/>
    <cellStyle name="Normal 5 5 2 4 2 2 2 2 2" xfId="10006" xr:uid="{00000000-0005-0000-0000-0000786F0000}"/>
    <cellStyle name="Normal 5 5 2 4 2 2 2 2 2 2" xfId="17269" xr:uid="{00000000-0005-0000-0000-0000796F0000}"/>
    <cellStyle name="Normal 5 5 2 4 2 2 2 2 2 2 2" xfId="33584" xr:uid="{00000000-0005-0000-0000-00007A6F0000}"/>
    <cellStyle name="Normal 5 5 2 4 2 2 2 2 2 3" xfId="26619" xr:uid="{00000000-0005-0000-0000-00007B6F0000}"/>
    <cellStyle name="Normal 5 5 2 4 2 2 2 2 3" xfId="13348" xr:uid="{00000000-0005-0000-0000-00007C6F0000}"/>
    <cellStyle name="Normal 5 5 2 4 2 2 2 2 3 2" xfId="29923" xr:uid="{00000000-0005-0000-0000-00007D6F0000}"/>
    <cellStyle name="Normal 5 5 2 4 2 2 2 2 4" xfId="23319" xr:uid="{00000000-0005-0000-0000-00007E6F0000}"/>
    <cellStyle name="Normal 5 5 2 4 2 2 2 3" xfId="8385" xr:uid="{00000000-0005-0000-0000-00007F6F0000}"/>
    <cellStyle name="Normal 5 5 2 4 2 2 2 3 2" xfId="15648" xr:uid="{00000000-0005-0000-0000-0000806F0000}"/>
    <cellStyle name="Normal 5 5 2 4 2 2 2 3 2 2" xfId="31963" xr:uid="{00000000-0005-0000-0000-0000816F0000}"/>
    <cellStyle name="Normal 5 5 2 4 2 2 2 3 3" xfId="24998" xr:uid="{00000000-0005-0000-0000-0000826F0000}"/>
    <cellStyle name="Normal 5 5 2 4 2 2 2 4" xfId="11700" xr:uid="{00000000-0005-0000-0000-0000836F0000}"/>
    <cellStyle name="Normal 5 5 2 4 2 2 2 4 2" xfId="28298" xr:uid="{00000000-0005-0000-0000-0000846F0000}"/>
    <cellStyle name="Normal 5 5 2 4 2 2 2 5" xfId="4768" xr:uid="{00000000-0005-0000-0000-0000856F0000}"/>
    <cellStyle name="Normal 5 5 2 4 2 2 2 5 2" xfId="21491" xr:uid="{00000000-0005-0000-0000-0000866F0000}"/>
    <cellStyle name="Normal 5 5 2 4 2 2 2 6" xfId="19893" xr:uid="{00000000-0005-0000-0000-0000876F0000}"/>
    <cellStyle name="Normal 5 5 2 4 2 2 3" xfId="3165" xr:uid="{00000000-0005-0000-0000-0000886F0000}"/>
    <cellStyle name="Normal 5 5 2 4 2 2 3 2" xfId="9230" xr:uid="{00000000-0005-0000-0000-0000896F0000}"/>
    <cellStyle name="Normal 5 5 2 4 2 2 3 2 2" xfId="16493" xr:uid="{00000000-0005-0000-0000-00008A6F0000}"/>
    <cellStyle name="Normal 5 5 2 4 2 2 3 2 2 2" xfId="32808" xr:uid="{00000000-0005-0000-0000-00008B6F0000}"/>
    <cellStyle name="Normal 5 5 2 4 2 2 3 2 3" xfId="25843" xr:uid="{00000000-0005-0000-0000-00008C6F0000}"/>
    <cellStyle name="Normal 5 5 2 4 2 2 3 3" xfId="12572" xr:uid="{00000000-0005-0000-0000-00008D6F0000}"/>
    <cellStyle name="Normal 5 5 2 4 2 2 3 3 2" xfId="29147" xr:uid="{00000000-0005-0000-0000-00008E6F0000}"/>
    <cellStyle name="Normal 5 5 2 4 2 2 3 4" xfId="5879" xr:uid="{00000000-0005-0000-0000-00008F6F0000}"/>
    <cellStyle name="Normal 5 5 2 4 2 2 3 4 2" xfId="22543" xr:uid="{00000000-0005-0000-0000-0000906F0000}"/>
    <cellStyle name="Normal 5 5 2 4 2 2 3 5" xfId="19892" xr:uid="{00000000-0005-0000-0000-0000916F0000}"/>
    <cellStyle name="Normal 5 5 2 4 2 2 4" xfId="7609" xr:uid="{00000000-0005-0000-0000-0000926F0000}"/>
    <cellStyle name="Normal 5 5 2 4 2 2 4 2" xfId="14872" xr:uid="{00000000-0005-0000-0000-0000936F0000}"/>
    <cellStyle name="Normal 5 5 2 4 2 2 4 2 2" xfId="31187" xr:uid="{00000000-0005-0000-0000-0000946F0000}"/>
    <cellStyle name="Normal 5 5 2 4 2 2 4 3" xfId="24222" xr:uid="{00000000-0005-0000-0000-0000956F0000}"/>
    <cellStyle name="Normal 5 5 2 4 2 2 5" xfId="10924" xr:uid="{00000000-0005-0000-0000-0000966F0000}"/>
    <cellStyle name="Normal 5 5 2 4 2 2 5 2" xfId="27522" xr:uid="{00000000-0005-0000-0000-0000976F0000}"/>
    <cellStyle name="Normal 5 5 2 4 2 2 6" xfId="4767" xr:uid="{00000000-0005-0000-0000-0000986F0000}"/>
    <cellStyle name="Normal 5 5 2 4 2 2 6 2" xfId="21490" xr:uid="{00000000-0005-0000-0000-0000996F0000}"/>
    <cellStyle name="Normal 5 5 2 4 2 2 7" xfId="18496" xr:uid="{00000000-0005-0000-0000-00009A6F0000}"/>
    <cellStyle name="Normal 5 5 2 4 2 3" xfId="3167" xr:uid="{00000000-0005-0000-0000-00009B6F0000}"/>
    <cellStyle name="Normal 5 5 2 4 2 3 2" xfId="6285" xr:uid="{00000000-0005-0000-0000-00009C6F0000}"/>
    <cellStyle name="Normal 5 5 2 4 2 3 2 2" xfId="9636" xr:uid="{00000000-0005-0000-0000-00009D6F0000}"/>
    <cellStyle name="Normal 5 5 2 4 2 3 2 2 2" xfId="16899" xr:uid="{00000000-0005-0000-0000-00009E6F0000}"/>
    <cellStyle name="Normal 5 5 2 4 2 3 2 2 2 2" xfId="33214" xr:uid="{00000000-0005-0000-0000-00009F6F0000}"/>
    <cellStyle name="Normal 5 5 2 4 2 3 2 2 3" xfId="26249" xr:uid="{00000000-0005-0000-0000-0000A06F0000}"/>
    <cellStyle name="Normal 5 5 2 4 2 3 2 3" xfId="12978" xr:uid="{00000000-0005-0000-0000-0000A16F0000}"/>
    <cellStyle name="Normal 5 5 2 4 2 3 2 3 2" xfId="29553" xr:uid="{00000000-0005-0000-0000-0000A26F0000}"/>
    <cellStyle name="Normal 5 5 2 4 2 3 2 4" xfId="22949" xr:uid="{00000000-0005-0000-0000-0000A36F0000}"/>
    <cellStyle name="Normal 5 5 2 4 2 3 3" xfId="8015" xr:uid="{00000000-0005-0000-0000-0000A46F0000}"/>
    <cellStyle name="Normal 5 5 2 4 2 3 3 2" xfId="15278" xr:uid="{00000000-0005-0000-0000-0000A56F0000}"/>
    <cellStyle name="Normal 5 5 2 4 2 3 3 2 2" xfId="31593" xr:uid="{00000000-0005-0000-0000-0000A66F0000}"/>
    <cellStyle name="Normal 5 5 2 4 2 3 3 3" xfId="24628" xr:uid="{00000000-0005-0000-0000-0000A76F0000}"/>
    <cellStyle name="Normal 5 5 2 4 2 3 4" xfId="11330" xr:uid="{00000000-0005-0000-0000-0000A86F0000}"/>
    <cellStyle name="Normal 5 5 2 4 2 3 4 2" xfId="27928" xr:uid="{00000000-0005-0000-0000-0000A96F0000}"/>
    <cellStyle name="Normal 5 5 2 4 2 3 5" xfId="4769" xr:uid="{00000000-0005-0000-0000-0000AA6F0000}"/>
    <cellStyle name="Normal 5 5 2 4 2 3 5 2" xfId="21492" xr:uid="{00000000-0005-0000-0000-0000AB6F0000}"/>
    <cellStyle name="Normal 5 5 2 4 2 3 6" xfId="19894" xr:uid="{00000000-0005-0000-0000-0000AC6F0000}"/>
    <cellStyle name="Normal 5 5 2 4 2 4" xfId="3164" xr:uid="{00000000-0005-0000-0000-0000AD6F0000}"/>
    <cellStyle name="Normal 5 5 2 4 2 4 2" xfId="8823" xr:uid="{00000000-0005-0000-0000-0000AE6F0000}"/>
    <cellStyle name="Normal 5 5 2 4 2 4 2 2" xfId="16086" xr:uid="{00000000-0005-0000-0000-0000AF6F0000}"/>
    <cellStyle name="Normal 5 5 2 4 2 4 2 2 2" xfId="32401" xr:uid="{00000000-0005-0000-0000-0000B06F0000}"/>
    <cellStyle name="Normal 5 5 2 4 2 4 2 3" xfId="25436" xr:uid="{00000000-0005-0000-0000-0000B16F0000}"/>
    <cellStyle name="Normal 5 5 2 4 2 4 3" xfId="12165" xr:uid="{00000000-0005-0000-0000-0000B26F0000}"/>
    <cellStyle name="Normal 5 5 2 4 2 4 3 2" xfId="28740" xr:uid="{00000000-0005-0000-0000-0000B36F0000}"/>
    <cellStyle name="Normal 5 5 2 4 2 4 4" xfId="5472" xr:uid="{00000000-0005-0000-0000-0000B46F0000}"/>
    <cellStyle name="Normal 5 5 2 4 2 4 4 2" xfId="22136" xr:uid="{00000000-0005-0000-0000-0000B56F0000}"/>
    <cellStyle name="Normal 5 5 2 4 2 4 5" xfId="19891" xr:uid="{00000000-0005-0000-0000-0000B66F0000}"/>
    <cellStyle name="Normal 5 5 2 4 2 5" xfId="7203" xr:uid="{00000000-0005-0000-0000-0000B76F0000}"/>
    <cellStyle name="Normal 5 5 2 4 2 5 2" xfId="14466" xr:uid="{00000000-0005-0000-0000-0000B86F0000}"/>
    <cellStyle name="Normal 5 5 2 4 2 5 2 2" xfId="30781" xr:uid="{00000000-0005-0000-0000-0000B96F0000}"/>
    <cellStyle name="Normal 5 5 2 4 2 5 3" xfId="23816" xr:uid="{00000000-0005-0000-0000-0000BA6F0000}"/>
    <cellStyle name="Normal 5 5 2 4 2 6" xfId="10518" xr:uid="{00000000-0005-0000-0000-0000BB6F0000}"/>
    <cellStyle name="Normal 5 5 2 4 2 6 2" xfId="27116" xr:uid="{00000000-0005-0000-0000-0000BC6F0000}"/>
    <cellStyle name="Normal 5 5 2 4 2 7" xfId="4766" xr:uid="{00000000-0005-0000-0000-0000BD6F0000}"/>
    <cellStyle name="Normal 5 5 2 4 2 7 2" xfId="21489" xr:uid="{00000000-0005-0000-0000-0000BE6F0000}"/>
    <cellStyle name="Normal 5 5 2 4 2 8" xfId="17977" xr:uid="{00000000-0005-0000-0000-0000BF6F0000}"/>
    <cellStyle name="Normal 5 5 2 4 3" xfId="961" xr:uid="{00000000-0005-0000-0000-0000C06F0000}"/>
    <cellStyle name="Normal 5 5 2 4 3 2" xfId="1523" xr:uid="{00000000-0005-0000-0000-0000C16F0000}"/>
    <cellStyle name="Normal 5 5 2 4 3 2 2" xfId="3169" xr:uid="{00000000-0005-0000-0000-0000C26F0000}"/>
    <cellStyle name="Normal 5 5 2 4 3 2 2 2" xfId="9830" xr:uid="{00000000-0005-0000-0000-0000C36F0000}"/>
    <cellStyle name="Normal 5 5 2 4 3 2 2 2 2" xfId="17093" xr:uid="{00000000-0005-0000-0000-0000C46F0000}"/>
    <cellStyle name="Normal 5 5 2 4 3 2 2 2 2 2" xfId="33408" xr:uid="{00000000-0005-0000-0000-0000C56F0000}"/>
    <cellStyle name="Normal 5 5 2 4 3 2 2 2 3" xfId="26443" xr:uid="{00000000-0005-0000-0000-0000C66F0000}"/>
    <cellStyle name="Normal 5 5 2 4 3 2 2 3" xfId="13172" xr:uid="{00000000-0005-0000-0000-0000C76F0000}"/>
    <cellStyle name="Normal 5 5 2 4 3 2 2 3 2" xfId="29747" xr:uid="{00000000-0005-0000-0000-0000C86F0000}"/>
    <cellStyle name="Normal 5 5 2 4 3 2 2 4" xfId="6479" xr:uid="{00000000-0005-0000-0000-0000C96F0000}"/>
    <cellStyle name="Normal 5 5 2 4 3 2 2 4 2" xfId="23143" xr:uid="{00000000-0005-0000-0000-0000CA6F0000}"/>
    <cellStyle name="Normal 5 5 2 4 3 2 2 5" xfId="19896" xr:uid="{00000000-0005-0000-0000-0000CB6F0000}"/>
    <cellStyle name="Normal 5 5 2 4 3 2 3" xfId="8209" xr:uid="{00000000-0005-0000-0000-0000CC6F0000}"/>
    <cellStyle name="Normal 5 5 2 4 3 2 3 2" xfId="15472" xr:uid="{00000000-0005-0000-0000-0000CD6F0000}"/>
    <cellStyle name="Normal 5 5 2 4 3 2 3 2 2" xfId="31787" xr:uid="{00000000-0005-0000-0000-0000CE6F0000}"/>
    <cellStyle name="Normal 5 5 2 4 3 2 3 3" xfId="24822" xr:uid="{00000000-0005-0000-0000-0000CF6F0000}"/>
    <cellStyle name="Normal 5 5 2 4 3 2 4" xfId="11524" xr:uid="{00000000-0005-0000-0000-0000D06F0000}"/>
    <cellStyle name="Normal 5 5 2 4 3 2 4 2" xfId="28122" xr:uid="{00000000-0005-0000-0000-0000D16F0000}"/>
    <cellStyle name="Normal 5 5 2 4 3 2 5" xfId="4771" xr:uid="{00000000-0005-0000-0000-0000D26F0000}"/>
    <cellStyle name="Normal 5 5 2 4 3 2 5 2" xfId="21494" xr:uid="{00000000-0005-0000-0000-0000D36F0000}"/>
    <cellStyle name="Normal 5 5 2 4 3 2 6" xfId="18258" xr:uid="{00000000-0005-0000-0000-0000D46F0000}"/>
    <cellStyle name="Normal 5 5 2 4 3 3" xfId="3168" xr:uid="{00000000-0005-0000-0000-0000D56F0000}"/>
    <cellStyle name="Normal 5 5 2 4 3 3 2" xfId="9018" xr:uid="{00000000-0005-0000-0000-0000D66F0000}"/>
    <cellStyle name="Normal 5 5 2 4 3 3 2 2" xfId="16281" xr:uid="{00000000-0005-0000-0000-0000D76F0000}"/>
    <cellStyle name="Normal 5 5 2 4 3 3 2 2 2" xfId="32596" xr:uid="{00000000-0005-0000-0000-0000D86F0000}"/>
    <cellStyle name="Normal 5 5 2 4 3 3 2 3" xfId="25631" xr:uid="{00000000-0005-0000-0000-0000D96F0000}"/>
    <cellStyle name="Normal 5 5 2 4 3 3 3" xfId="12360" xr:uid="{00000000-0005-0000-0000-0000DA6F0000}"/>
    <cellStyle name="Normal 5 5 2 4 3 3 3 2" xfId="28935" xr:uid="{00000000-0005-0000-0000-0000DB6F0000}"/>
    <cellStyle name="Normal 5 5 2 4 3 3 4" xfId="5667" xr:uid="{00000000-0005-0000-0000-0000DC6F0000}"/>
    <cellStyle name="Normal 5 5 2 4 3 3 4 2" xfId="22331" xr:uid="{00000000-0005-0000-0000-0000DD6F0000}"/>
    <cellStyle name="Normal 5 5 2 4 3 3 5" xfId="19895" xr:uid="{00000000-0005-0000-0000-0000DE6F0000}"/>
    <cellStyle name="Normal 5 5 2 4 3 4" xfId="7397" xr:uid="{00000000-0005-0000-0000-0000DF6F0000}"/>
    <cellStyle name="Normal 5 5 2 4 3 4 2" xfId="14660" xr:uid="{00000000-0005-0000-0000-0000E06F0000}"/>
    <cellStyle name="Normal 5 5 2 4 3 4 2 2" xfId="30975" xr:uid="{00000000-0005-0000-0000-0000E16F0000}"/>
    <cellStyle name="Normal 5 5 2 4 3 4 3" xfId="24010" xr:uid="{00000000-0005-0000-0000-0000E26F0000}"/>
    <cellStyle name="Normal 5 5 2 4 3 5" xfId="10712" xr:uid="{00000000-0005-0000-0000-0000E36F0000}"/>
    <cellStyle name="Normal 5 5 2 4 3 5 2" xfId="27310" xr:uid="{00000000-0005-0000-0000-0000E46F0000}"/>
    <cellStyle name="Normal 5 5 2 4 3 6" xfId="4770" xr:uid="{00000000-0005-0000-0000-0000E56F0000}"/>
    <cellStyle name="Normal 5 5 2 4 3 6 2" xfId="21493" xr:uid="{00000000-0005-0000-0000-0000E66F0000}"/>
    <cellStyle name="Normal 5 5 2 4 3 7" xfId="17739" xr:uid="{00000000-0005-0000-0000-0000E76F0000}"/>
    <cellStyle name="Normal 5 5 2 4 4" xfId="749" xr:uid="{00000000-0005-0000-0000-0000E86F0000}"/>
    <cellStyle name="Normal 5 5 2 4 4 2" xfId="3170" xr:uid="{00000000-0005-0000-0000-0000E96F0000}"/>
    <cellStyle name="Normal 5 5 2 4 4 2 2" xfId="9424" xr:uid="{00000000-0005-0000-0000-0000EA6F0000}"/>
    <cellStyle name="Normal 5 5 2 4 4 2 2 2" xfId="16687" xr:uid="{00000000-0005-0000-0000-0000EB6F0000}"/>
    <cellStyle name="Normal 5 5 2 4 4 2 2 2 2" xfId="33002" xr:uid="{00000000-0005-0000-0000-0000EC6F0000}"/>
    <cellStyle name="Normal 5 5 2 4 4 2 2 3" xfId="26037" xr:uid="{00000000-0005-0000-0000-0000ED6F0000}"/>
    <cellStyle name="Normal 5 5 2 4 4 2 3" xfId="12766" xr:uid="{00000000-0005-0000-0000-0000EE6F0000}"/>
    <cellStyle name="Normal 5 5 2 4 4 2 3 2" xfId="29341" xr:uid="{00000000-0005-0000-0000-0000EF6F0000}"/>
    <cellStyle name="Normal 5 5 2 4 4 2 4" xfId="6073" xr:uid="{00000000-0005-0000-0000-0000F06F0000}"/>
    <cellStyle name="Normal 5 5 2 4 4 2 4 2" xfId="22737" xr:uid="{00000000-0005-0000-0000-0000F16F0000}"/>
    <cellStyle name="Normal 5 5 2 4 4 2 5" xfId="19897" xr:uid="{00000000-0005-0000-0000-0000F26F0000}"/>
    <cellStyle name="Normal 5 5 2 4 4 3" xfId="7803" xr:uid="{00000000-0005-0000-0000-0000F36F0000}"/>
    <cellStyle name="Normal 5 5 2 4 4 3 2" xfId="15066" xr:uid="{00000000-0005-0000-0000-0000F46F0000}"/>
    <cellStyle name="Normal 5 5 2 4 4 3 2 2" xfId="31381" xr:uid="{00000000-0005-0000-0000-0000F56F0000}"/>
    <cellStyle name="Normal 5 5 2 4 4 3 3" xfId="24416" xr:uid="{00000000-0005-0000-0000-0000F66F0000}"/>
    <cellStyle name="Normal 5 5 2 4 4 4" xfId="11118" xr:uid="{00000000-0005-0000-0000-0000F76F0000}"/>
    <cellStyle name="Normal 5 5 2 4 4 4 2" xfId="27716" xr:uid="{00000000-0005-0000-0000-0000F86F0000}"/>
    <cellStyle name="Normal 5 5 2 4 4 5" xfId="4772" xr:uid="{00000000-0005-0000-0000-0000F96F0000}"/>
    <cellStyle name="Normal 5 5 2 4 4 5 2" xfId="21495" xr:uid="{00000000-0005-0000-0000-0000FA6F0000}"/>
    <cellStyle name="Normal 5 5 2 4 4 6" xfId="17562" xr:uid="{00000000-0005-0000-0000-0000FB6F0000}"/>
    <cellStyle name="Normal 5 5 2 4 5" xfId="1346" xr:uid="{00000000-0005-0000-0000-0000FC6F0000}"/>
    <cellStyle name="Normal 5 5 2 4 5 2" xfId="8584" xr:uid="{00000000-0005-0000-0000-0000FD6F0000}"/>
    <cellStyle name="Normal 5 5 2 4 5 2 2" xfId="15847" xr:uid="{00000000-0005-0000-0000-0000FE6F0000}"/>
    <cellStyle name="Normal 5 5 2 4 5 2 2 2" xfId="32162" xr:uid="{00000000-0005-0000-0000-0000FF6F0000}"/>
    <cellStyle name="Normal 5 5 2 4 5 2 3" xfId="25197" xr:uid="{00000000-0005-0000-0000-000000700000}"/>
    <cellStyle name="Normal 5 5 2 4 5 3" xfId="11926" xr:uid="{00000000-0005-0000-0000-000001700000}"/>
    <cellStyle name="Normal 5 5 2 4 5 3 2" xfId="28501" xr:uid="{00000000-0005-0000-0000-000002700000}"/>
    <cellStyle name="Normal 5 5 2 4 5 4" xfId="5233" xr:uid="{00000000-0005-0000-0000-000003700000}"/>
    <cellStyle name="Normal 5 5 2 4 5 4 2" xfId="21897" xr:uid="{00000000-0005-0000-0000-000004700000}"/>
    <cellStyle name="Normal 5 5 2 4 5 5" xfId="18081" xr:uid="{00000000-0005-0000-0000-000005700000}"/>
    <cellStyle name="Normal 5 5 2 4 6" xfId="3163" xr:uid="{00000000-0005-0000-0000-000006700000}"/>
    <cellStyle name="Normal 5 5 2 4 6 2" xfId="14228" xr:uid="{00000000-0005-0000-0000-000007700000}"/>
    <cellStyle name="Normal 5 5 2 4 6 2 2" xfId="30543" xr:uid="{00000000-0005-0000-0000-000008700000}"/>
    <cellStyle name="Normal 5 5 2 4 6 3" xfId="6965" xr:uid="{00000000-0005-0000-0000-000009700000}"/>
    <cellStyle name="Normal 5 5 2 4 6 3 2" xfId="23578" xr:uid="{00000000-0005-0000-0000-00000A700000}"/>
    <cellStyle name="Normal 5 5 2 4 6 4" xfId="19890" xr:uid="{00000000-0005-0000-0000-00000B700000}"/>
    <cellStyle name="Normal 5 5 2 4 7" xfId="10279" xr:uid="{00000000-0005-0000-0000-00000C700000}"/>
    <cellStyle name="Normal 5 5 2 4 7 2" xfId="26878" xr:uid="{00000000-0005-0000-0000-00000D700000}"/>
    <cellStyle name="Normal 5 5 2 4 8" xfId="4765" xr:uid="{00000000-0005-0000-0000-00000E700000}"/>
    <cellStyle name="Normal 5 5 2 4 8 2" xfId="21488" xr:uid="{00000000-0005-0000-0000-00000F700000}"/>
    <cellStyle name="Normal 5 5 2 4 9" xfId="17457" xr:uid="{00000000-0005-0000-0000-000010700000}"/>
    <cellStyle name="Normal 5 5 2 5" xfId="1233" xr:uid="{00000000-0005-0000-0000-000011700000}"/>
    <cellStyle name="Normal 5 5 2 5 2" xfId="1754" xr:uid="{00000000-0005-0000-0000-000012700000}"/>
    <cellStyle name="Normal 5 5 2 5 2 2" xfId="3173" xr:uid="{00000000-0005-0000-0000-000013700000}"/>
    <cellStyle name="Normal 5 5 2 5 2 2 2" xfId="6648" xr:uid="{00000000-0005-0000-0000-000014700000}"/>
    <cellStyle name="Normal 5 5 2 5 2 2 2 2" xfId="9999" xr:uid="{00000000-0005-0000-0000-000015700000}"/>
    <cellStyle name="Normal 5 5 2 5 2 2 2 2 2" xfId="17262" xr:uid="{00000000-0005-0000-0000-000016700000}"/>
    <cellStyle name="Normal 5 5 2 5 2 2 2 2 2 2" xfId="33577" xr:uid="{00000000-0005-0000-0000-000017700000}"/>
    <cellStyle name="Normal 5 5 2 5 2 2 2 2 3" xfId="26612" xr:uid="{00000000-0005-0000-0000-000018700000}"/>
    <cellStyle name="Normal 5 5 2 5 2 2 2 3" xfId="13341" xr:uid="{00000000-0005-0000-0000-000019700000}"/>
    <cellStyle name="Normal 5 5 2 5 2 2 2 3 2" xfId="29916" xr:uid="{00000000-0005-0000-0000-00001A700000}"/>
    <cellStyle name="Normal 5 5 2 5 2 2 2 4" xfId="23312" xr:uid="{00000000-0005-0000-0000-00001B700000}"/>
    <cellStyle name="Normal 5 5 2 5 2 2 3" xfId="8378" xr:uid="{00000000-0005-0000-0000-00001C700000}"/>
    <cellStyle name="Normal 5 5 2 5 2 2 3 2" xfId="15641" xr:uid="{00000000-0005-0000-0000-00001D700000}"/>
    <cellStyle name="Normal 5 5 2 5 2 2 3 2 2" xfId="31956" xr:uid="{00000000-0005-0000-0000-00001E700000}"/>
    <cellStyle name="Normal 5 5 2 5 2 2 3 3" xfId="24991" xr:uid="{00000000-0005-0000-0000-00001F700000}"/>
    <cellStyle name="Normal 5 5 2 5 2 2 4" xfId="11693" xr:uid="{00000000-0005-0000-0000-000020700000}"/>
    <cellStyle name="Normal 5 5 2 5 2 2 4 2" xfId="28291" xr:uid="{00000000-0005-0000-0000-000021700000}"/>
    <cellStyle name="Normal 5 5 2 5 2 2 5" xfId="4775" xr:uid="{00000000-0005-0000-0000-000022700000}"/>
    <cellStyle name="Normal 5 5 2 5 2 2 5 2" xfId="21498" xr:uid="{00000000-0005-0000-0000-000023700000}"/>
    <cellStyle name="Normal 5 5 2 5 2 2 6" xfId="19900" xr:uid="{00000000-0005-0000-0000-000024700000}"/>
    <cellStyle name="Normal 5 5 2 5 2 3" xfId="3172" xr:uid="{00000000-0005-0000-0000-000025700000}"/>
    <cellStyle name="Normal 5 5 2 5 2 3 2" xfId="9223" xr:uid="{00000000-0005-0000-0000-000026700000}"/>
    <cellStyle name="Normal 5 5 2 5 2 3 2 2" xfId="16486" xr:uid="{00000000-0005-0000-0000-000027700000}"/>
    <cellStyle name="Normal 5 5 2 5 2 3 2 2 2" xfId="32801" xr:uid="{00000000-0005-0000-0000-000028700000}"/>
    <cellStyle name="Normal 5 5 2 5 2 3 2 3" xfId="25836" xr:uid="{00000000-0005-0000-0000-000029700000}"/>
    <cellStyle name="Normal 5 5 2 5 2 3 3" xfId="12565" xr:uid="{00000000-0005-0000-0000-00002A700000}"/>
    <cellStyle name="Normal 5 5 2 5 2 3 3 2" xfId="29140" xr:uid="{00000000-0005-0000-0000-00002B700000}"/>
    <cellStyle name="Normal 5 5 2 5 2 3 4" xfId="5872" xr:uid="{00000000-0005-0000-0000-00002C700000}"/>
    <cellStyle name="Normal 5 5 2 5 2 3 4 2" xfId="22536" xr:uid="{00000000-0005-0000-0000-00002D700000}"/>
    <cellStyle name="Normal 5 5 2 5 2 3 5" xfId="19899" xr:uid="{00000000-0005-0000-0000-00002E700000}"/>
    <cellStyle name="Normal 5 5 2 5 2 4" xfId="7602" xr:uid="{00000000-0005-0000-0000-00002F700000}"/>
    <cellStyle name="Normal 5 5 2 5 2 4 2" xfId="14865" xr:uid="{00000000-0005-0000-0000-000030700000}"/>
    <cellStyle name="Normal 5 5 2 5 2 4 2 2" xfId="31180" xr:uid="{00000000-0005-0000-0000-000031700000}"/>
    <cellStyle name="Normal 5 5 2 5 2 4 3" xfId="24215" xr:uid="{00000000-0005-0000-0000-000032700000}"/>
    <cellStyle name="Normal 5 5 2 5 2 5" xfId="10917" xr:uid="{00000000-0005-0000-0000-000033700000}"/>
    <cellStyle name="Normal 5 5 2 5 2 5 2" xfId="27515" xr:uid="{00000000-0005-0000-0000-000034700000}"/>
    <cellStyle name="Normal 5 5 2 5 2 6" xfId="4774" xr:uid="{00000000-0005-0000-0000-000035700000}"/>
    <cellStyle name="Normal 5 5 2 5 2 6 2" xfId="21497" xr:uid="{00000000-0005-0000-0000-000036700000}"/>
    <cellStyle name="Normal 5 5 2 5 2 7" xfId="18489" xr:uid="{00000000-0005-0000-0000-000037700000}"/>
    <cellStyle name="Normal 5 5 2 5 3" xfId="3174" xr:uid="{00000000-0005-0000-0000-000038700000}"/>
    <cellStyle name="Normal 5 5 2 5 3 2" xfId="6278" xr:uid="{00000000-0005-0000-0000-000039700000}"/>
    <cellStyle name="Normal 5 5 2 5 3 2 2" xfId="9629" xr:uid="{00000000-0005-0000-0000-00003A700000}"/>
    <cellStyle name="Normal 5 5 2 5 3 2 2 2" xfId="16892" xr:uid="{00000000-0005-0000-0000-00003B700000}"/>
    <cellStyle name="Normal 5 5 2 5 3 2 2 2 2" xfId="33207" xr:uid="{00000000-0005-0000-0000-00003C700000}"/>
    <cellStyle name="Normal 5 5 2 5 3 2 2 3" xfId="26242" xr:uid="{00000000-0005-0000-0000-00003D700000}"/>
    <cellStyle name="Normal 5 5 2 5 3 2 3" xfId="12971" xr:uid="{00000000-0005-0000-0000-00003E700000}"/>
    <cellStyle name="Normal 5 5 2 5 3 2 3 2" xfId="29546" xr:uid="{00000000-0005-0000-0000-00003F700000}"/>
    <cellStyle name="Normal 5 5 2 5 3 2 4" xfId="22942" xr:uid="{00000000-0005-0000-0000-000040700000}"/>
    <cellStyle name="Normal 5 5 2 5 3 3" xfId="8008" xr:uid="{00000000-0005-0000-0000-000041700000}"/>
    <cellStyle name="Normal 5 5 2 5 3 3 2" xfId="15271" xr:uid="{00000000-0005-0000-0000-000042700000}"/>
    <cellStyle name="Normal 5 5 2 5 3 3 2 2" xfId="31586" xr:uid="{00000000-0005-0000-0000-000043700000}"/>
    <cellStyle name="Normal 5 5 2 5 3 3 3" xfId="24621" xr:uid="{00000000-0005-0000-0000-000044700000}"/>
    <cellStyle name="Normal 5 5 2 5 3 4" xfId="11323" xr:uid="{00000000-0005-0000-0000-000045700000}"/>
    <cellStyle name="Normal 5 5 2 5 3 4 2" xfId="27921" xr:uid="{00000000-0005-0000-0000-000046700000}"/>
    <cellStyle name="Normal 5 5 2 5 3 5" xfId="4776" xr:uid="{00000000-0005-0000-0000-000047700000}"/>
    <cellStyle name="Normal 5 5 2 5 3 5 2" xfId="21499" xr:uid="{00000000-0005-0000-0000-000048700000}"/>
    <cellStyle name="Normal 5 5 2 5 3 6" xfId="19901" xr:uid="{00000000-0005-0000-0000-000049700000}"/>
    <cellStyle name="Normal 5 5 2 5 4" xfId="3171" xr:uid="{00000000-0005-0000-0000-00004A700000}"/>
    <cellStyle name="Normal 5 5 2 5 4 2" xfId="8816" xr:uid="{00000000-0005-0000-0000-00004B700000}"/>
    <cellStyle name="Normal 5 5 2 5 4 2 2" xfId="16079" xr:uid="{00000000-0005-0000-0000-00004C700000}"/>
    <cellStyle name="Normal 5 5 2 5 4 2 2 2" xfId="32394" xr:uid="{00000000-0005-0000-0000-00004D700000}"/>
    <cellStyle name="Normal 5 5 2 5 4 2 3" xfId="25429" xr:uid="{00000000-0005-0000-0000-00004E700000}"/>
    <cellStyle name="Normal 5 5 2 5 4 3" xfId="12158" xr:uid="{00000000-0005-0000-0000-00004F700000}"/>
    <cellStyle name="Normal 5 5 2 5 4 3 2" xfId="28733" xr:uid="{00000000-0005-0000-0000-000050700000}"/>
    <cellStyle name="Normal 5 5 2 5 4 4" xfId="5465" xr:uid="{00000000-0005-0000-0000-000051700000}"/>
    <cellStyle name="Normal 5 5 2 5 4 4 2" xfId="22129" xr:uid="{00000000-0005-0000-0000-000052700000}"/>
    <cellStyle name="Normal 5 5 2 5 4 5" xfId="19898" xr:uid="{00000000-0005-0000-0000-000053700000}"/>
    <cellStyle name="Normal 5 5 2 5 5" xfId="7196" xr:uid="{00000000-0005-0000-0000-000054700000}"/>
    <cellStyle name="Normal 5 5 2 5 5 2" xfId="14459" xr:uid="{00000000-0005-0000-0000-000055700000}"/>
    <cellStyle name="Normal 5 5 2 5 5 2 2" xfId="30774" xr:uid="{00000000-0005-0000-0000-000056700000}"/>
    <cellStyle name="Normal 5 5 2 5 5 3" xfId="23809" xr:uid="{00000000-0005-0000-0000-000057700000}"/>
    <cellStyle name="Normal 5 5 2 5 6" xfId="10511" xr:uid="{00000000-0005-0000-0000-000058700000}"/>
    <cellStyle name="Normal 5 5 2 5 6 2" xfId="27109" xr:uid="{00000000-0005-0000-0000-000059700000}"/>
    <cellStyle name="Normal 5 5 2 5 7" xfId="4773" xr:uid="{00000000-0005-0000-0000-00005A700000}"/>
    <cellStyle name="Normal 5 5 2 5 7 2" xfId="21496" xr:uid="{00000000-0005-0000-0000-00005B700000}"/>
    <cellStyle name="Normal 5 5 2 5 8" xfId="17970" xr:uid="{00000000-0005-0000-0000-00005C700000}"/>
    <cellStyle name="Normal 5 5 2 6" xfId="863" xr:uid="{00000000-0005-0000-0000-00005D700000}"/>
    <cellStyle name="Normal 5 5 2 6 2" xfId="1432" xr:uid="{00000000-0005-0000-0000-00005E700000}"/>
    <cellStyle name="Normal 5 5 2 6 2 2" xfId="3176" xr:uid="{00000000-0005-0000-0000-00005F700000}"/>
    <cellStyle name="Normal 5 5 2 6 2 2 2" xfId="9823" xr:uid="{00000000-0005-0000-0000-000060700000}"/>
    <cellStyle name="Normal 5 5 2 6 2 2 2 2" xfId="17086" xr:uid="{00000000-0005-0000-0000-000061700000}"/>
    <cellStyle name="Normal 5 5 2 6 2 2 2 2 2" xfId="33401" xr:uid="{00000000-0005-0000-0000-000062700000}"/>
    <cellStyle name="Normal 5 5 2 6 2 2 2 3" xfId="26436" xr:uid="{00000000-0005-0000-0000-000063700000}"/>
    <cellStyle name="Normal 5 5 2 6 2 2 3" xfId="13165" xr:uid="{00000000-0005-0000-0000-000064700000}"/>
    <cellStyle name="Normal 5 5 2 6 2 2 3 2" xfId="29740" xr:uid="{00000000-0005-0000-0000-000065700000}"/>
    <cellStyle name="Normal 5 5 2 6 2 2 4" xfId="6472" xr:uid="{00000000-0005-0000-0000-000066700000}"/>
    <cellStyle name="Normal 5 5 2 6 2 2 4 2" xfId="23136" xr:uid="{00000000-0005-0000-0000-000067700000}"/>
    <cellStyle name="Normal 5 5 2 6 2 2 5" xfId="19903" xr:uid="{00000000-0005-0000-0000-000068700000}"/>
    <cellStyle name="Normal 5 5 2 6 2 3" xfId="8202" xr:uid="{00000000-0005-0000-0000-000069700000}"/>
    <cellStyle name="Normal 5 5 2 6 2 3 2" xfId="15465" xr:uid="{00000000-0005-0000-0000-00006A700000}"/>
    <cellStyle name="Normal 5 5 2 6 2 3 2 2" xfId="31780" xr:uid="{00000000-0005-0000-0000-00006B700000}"/>
    <cellStyle name="Normal 5 5 2 6 2 3 3" xfId="24815" xr:uid="{00000000-0005-0000-0000-00006C700000}"/>
    <cellStyle name="Normal 5 5 2 6 2 4" xfId="11517" xr:uid="{00000000-0005-0000-0000-00006D700000}"/>
    <cellStyle name="Normal 5 5 2 6 2 4 2" xfId="28115" xr:uid="{00000000-0005-0000-0000-00006E700000}"/>
    <cellStyle name="Normal 5 5 2 6 2 5" xfId="4778" xr:uid="{00000000-0005-0000-0000-00006F700000}"/>
    <cellStyle name="Normal 5 5 2 6 2 5 2" xfId="21501" xr:uid="{00000000-0005-0000-0000-000070700000}"/>
    <cellStyle name="Normal 5 5 2 6 2 6" xfId="18167" xr:uid="{00000000-0005-0000-0000-000071700000}"/>
    <cellStyle name="Normal 5 5 2 6 3" xfId="3175" xr:uid="{00000000-0005-0000-0000-000072700000}"/>
    <cellStyle name="Normal 5 5 2 6 3 2" xfId="9011" xr:uid="{00000000-0005-0000-0000-000073700000}"/>
    <cellStyle name="Normal 5 5 2 6 3 2 2" xfId="16274" xr:uid="{00000000-0005-0000-0000-000074700000}"/>
    <cellStyle name="Normal 5 5 2 6 3 2 2 2" xfId="32589" xr:uid="{00000000-0005-0000-0000-000075700000}"/>
    <cellStyle name="Normal 5 5 2 6 3 2 3" xfId="25624" xr:uid="{00000000-0005-0000-0000-000076700000}"/>
    <cellStyle name="Normal 5 5 2 6 3 3" xfId="12353" xr:uid="{00000000-0005-0000-0000-000077700000}"/>
    <cellStyle name="Normal 5 5 2 6 3 3 2" xfId="28928" xr:uid="{00000000-0005-0000-0000-000078700000}"/>
    <cellStyle name="Normal 5 5 2 6 3 4" xfId="5660" xr:uid="{00000000-0005-0000-0000-000079700000}"/>
    <cellStyle name="Normal 5 5 2 6 3 4 2" xfId="22324" xr:uid="{00000000-0005-0000-0000-00007A700000}"/>
    <cellStyle name="Normal 5 5 2 6 3 5" xfId="19902" xr:uid="{00000000-0005-0000-0000-00007B700000}"/>
    <cellStyle name="Normal 5 5 2 6 4" xfId="7390" xr:uid="{00000000-0005-0000-0000-00007C700000}"/>
    <cellStyle name="Normal 5 5 2 6 4 2" xfId="14653" xr:uid="{00000000-0005-0000-0000-00007D700000}"/>
    <cellStyle name="Normal 5 5 2 6 4 2 2" xfId="30968" xr:uid="{00000000-0005-0000-0000-00007E700000}"/>
    <cellStyle name="Normal 5 5 2 6 4 3" xfId="24003" xr:uid="{00000000-0005-0000-0000-00007F700000}"/>
    <cellStyle name="Normal 5 5 2 6 5" xfId="10705" xr:uid="{00000000-0005-0000-0000-000080700000}"/>
    <cellStyle name="Normal 5 5 2 6 5 2" xfId="27303" xr:uid="{00000000-0005-0000-0000-000081700000}"/>
    <cellStyle name="Normal 5 5 2 6 6" xfId="4777" xr:uid="{00000000-0005-0000-0000-000082700000}"/>
    <cellStyle name="Normal 5 5 2 6 6 2" xfId="21500" xr:uid="{00000000-0005-0000-0000-000083700000}"/>
    <cellStyle name="Normal 5 5 2 6 7" xfId="17648" xr:uid="{00000000-0005-0000-0000-000084700000}"/>
    <cellStyle name="Normal 5 5 2 7" xfId="714" xr:uid="{00000000-0005-0000-0000-000085700000}"/>
    <cellStyle name="Normal 5 5 2 7 2" xfId="3177" xr:uid="{00000000-0005-0000-0000-000086700000}"/>
    <cellStyle name="Normal 5 5 2 7 2 2" xfId="9417" xr:uid="{00000000-0005-0000-0000-000087700000}"/>
    <cellStyle name="Normal 5 5 2 7 2 2 2" xfId="16680" xr:uid="{00000000-0005-0000-0000-000088700000}"/>
    <cellStyle name="Normal 5 5 2 7 2 2 2 2" xfId="32995" xr:uid="{00000000-0005-0000-0000-000089700000}"/>
    <cellStyle name="Normal 5 5 2 7 2 2 3" xfId="26030" xr:uid="{00000000-0005-0000-0000-00008A700000}"/>
    <cellStyle name="Normal 5 5 2 7 2 3" xfId="12759" xr:uid="{00000000-0005-0000-0000-00008B700000}"/>
    <cellStyle name="Normal 5 5 2 7 2 3 2" xfId="29334" xr:uid="{00000000-0005-0000-0000-00008C700000}"/>
    <cellStyle name="Normal 5 5 2 7 2 4" xfId="6066" xr:uid="{00000000-0005-0000-0000-00008D700000}"/>
    <cellStyle name="Normal 5 5 2 7 2 4 2" xfId="22730" xr:uid="{00000000-0005-0000-0000-00008E700000}"/>
    <cellStyle name="Normal 5 5 2 7 2 5" xfId="19904" xr:uid="{00000000-0005-0000-0000-00008F700000}"/>
    <cellStyle name="Normal 5 5 2 7 3" xfId="7796" xr:uid="{00000000-0005-0000-0000-000090700000}"/>
    <cellStyle name="Normal 5 5 2 7 3 2" xfId="15059" xr:uid="{00000000-0005-0000-0000-000091700000}"/>
    <cellStyle name="Normal 5 5 2 7 3 2 2" xfId="31374" xr:uid="{00000000-0005-0000-0000-000092700000}"/>
    <cellStyle name="Normal 5 5 2 7 3 3" xfId="24409" xr:uid="{00000000-0005-0000-0000-000093700000}"/>
    <cellStyle name="Normal 5 5 2 7 4" xfId="11111" xr:uid="{00000000-0005-0000-0000-000094700000}"/>
    <cellStyle name="Normal 5 5 2 7 4 2" xfId="27709" xr:uid="{00000000-0005-0000-0000-000095700000}"/>
    <cellStyle name="Normal 5 5 2 7 5" xfId="4779" xr:uid="{00000000-0005-0000-0000-000096700000}"/>
    <cellStyle name="Normal 5 5 2 7 5 2" xfId="21502" xr:uid="{00000000-0005-0000-0000-000097700000}"/>
    <cellStyle name="Normal 5 5 2 7 6" xfId="17527" xr:uid="{00000000-0005-0000-0000-000098700000}"/>
    <cellStyle name="Normal 5 5 2 8" xfId="1311" xr:uid="{00000000-0005-0000-0000-000099700000}"/>
    <cellStyle name="Normal 5 5 2 8 2" xfId="8474" xr:uid="{00000000-0005-0000-0000-00009A700000}"/>
    <cellStyle name="Normal 5 5 2 8 2 2" xfId="15737" xr:uid="{00000000-0005-0000-0000-00009B700000}"/>
    <cellStyle name="Normal 5 5 2 8 2 2 2" xfId="32052" xr:uid="{00000000-0005-0000-0000-00009C700000}"/>
    <cellStyle name="Normal 5 5 2 8 2 3" xfId="25087" xr:uid="{00000000-0005-0000-0000-00009D700000}"/>
    <cellStyle name="Normal 5 5 2 8 3" xfId="11815" xr:uid="{00000000-0005-0000-0000-00009E700000}"/>
    <cellStyle name="Normal 5 5 2 8 3 2" xfId="28391" xr:uid="{00000000-0005-0000-0000-00009F700000}"/>
    <cellStyle name="Normal 5 5 2 8 4" xfId="5121" xr:uid="{00000000-0005-0000-0000-0000A0700000}"/>
    <cellStyle name="Normal 5 5 2 8 4 2" xfId="21787" xr:uid="{00000000-0005-0000-0000-0000A1700000}"/>
    <cellStyle name="Normal 5 5 2 8 5" xfId="18046" xr:uid="{00000000-0005-0000-0000-0000A2700000}"/>
    <cellStyle name="Normal 5 5 2 9" xfId="3114" xr:uid="{00000000-0005-0000-0000-0000A3700000}"/>
    <cellStyle name="Normal 5 5 2 9 2" xfId="14122" xr:uid="{00000000-0005-0000-0000-0000A4700000}"/>
    <cellStyle name="Normal 5 5 2 9 2 2" xfId="30437" xr:uid="{00000000-0005-0000-0000-0000A5700000}"/>
    <cellStyle name="Normal 5 5 2 9 3" xfId="6859" xr:uid="{00000000-0005-0000-0000-0000A6700000}"/>
    <cellStyle name="Normal 5 5 2 9 3 2" xfId="23472" xr:uid="{00000000-0005-0000-0000-0000A7700000}"/>
    <cellStyle name="Normal 5 5 2 9 4" xfId="19841" xr:uid="{00000000-0005-0000-0000-0000A8700000}"/>
    <cellStyle name="Normal 5 5 3" xfId="890" xr:uid="{00000000-0005-0000-0000-0000A9700000}"/>
    <cellStyle name="Normal 5 5 3 10" xfId="4780" xr:uid="{00000000-0005-0000-0000-0000AA700000}"/>
    <cellStyle name="Normal 5 5 3 10 2" xfId="21503" xr:uid="{00000000-0005-0000-0000-0000AB700000}"/>
    <cellStyle name="Normal 5 5 3 11" xfId="17668" xr:uid="{00000000-0005-0000-0000-0000AC700000}"/>
    <cellStyle name="Normal 5 5 3 2" xfId="943" xr:uid="{00000000-0005-0000-0000-0000AD700000}"/>
    <cellStyle name="Normal 5 5 3 2 10" xfId="17721" xr:uid="{00000000-0005-0000-0000-0000AE700000}"/>
    <cellStyle name="Normal 5 5 3 2 2" xfId="1050" xr:uid="{00000000-0005-0000-0000-0000AF700000}"/>
    <cellStyle name="Normal 5 5 3 2 2 2" xfId="1243" xr:uid="{00000000-0005-0000-0000-0000B0700000}"/>
    <cellStyle name="Normal 5 5 3 2 2 2 2" xfId="1764" xr:uid="{00000000-0005-0000-0000-0000B1700000}"/>
    <cellStyle name="Normal 5 5 3 2 2 2 2 2" xfId="3183" xr:uid="{00000000-0005-0000-0000-0000B2700000}"/>
    <cellStyle name="Normal 5 5 3 2 2 2 2 2 2" xfId="6658" xr:uid="{00000000-0005-0000-0000-0000B3700000}"/>
    <cellStyle name="Normal 5 5 3 2 2 2 2 2 2 2" xfId="10009" xr:uid="{00000000-0005-0000-0000-0000B4700000}"/>
    <cellStyle name="Normal 5 5 3 2 2 2 2 2 2 2 2" xfId="17272" xr:uid="{00000000-0005-0000-0000-0000B5700000}"/>
    <cellStyle name="Normal 5 5 3 2 2 2 2 2 2 2 2 2" xfId="33587" xr:uid="{00000000-0005-0000-0000-0000B6700000}"/>
    <cellStyle name="Normal 5 5 3 2 2 2 2 2 2 2 3" xfId="26622" xr:uid="{00000000-0005-0000-0000-0000B7700000}"/>
    <cellStyle name="Normal 5 5 3 2 2 2 2 2 2 3" xfId="13351" xr:uid="{00000000-0005-0000-0000-0000B8700000}"/>
    <cellStyle name="Normal 5 5 3 2 2 2 2 2 2 3 2" xfId="29926" xr:uid="{00000000-0005-0000-0000-0000B9700000}"/>
    <cellStyle name="Normal 5 5 3 2 2 2 2 2 2 4" xfId="23322" xr:uid="{00000000-0005-0000-0000-0000BA700000}"/>
    <cellStyle name="Normal 5 5 3 2 2 2 2 2 3" xfId="8388" xr:uid="{00000000-0005-0000-0000-0000BB700000}"/>
    <cellStyle name="Normal 5 5 3 2 2 2 2 2 3 2" xfId="15651" xr:uid="{00000000-0005-0000-0000-0000BC700000}"/>
    <cellStyle name="Normal 5 5 3 2 2 2 2 2 3 2 2" xfId="31966" xr:uid="{00000000-0005-0000-0000-0000BD700000}"/>
    <cellStyle name="Normal 5 5 3 2 2 2 2 2 3 3" xfId="25001" xr:uid="{00000000-0005-0000-0000-0000BE700000}"/>
    <cellStyle name="Normal 5 5 3 2 2 2 2 2 4" xfId="11703" xr:uid="{00000000-0005-0000-0000-0000BF700000}"/>
    <cellStyle name="Normal 5 5 3 2 2 2 2 2 4 2" xfId="28301" xr:uid="{00000000-0005-0000-0000-0000C0700000}"/>
    <cellStyle name="Normal 5 5 3 2 2 2 2 2 5" xfId="4785" xr:uid="{00000000-0005-0000-0000-0000C1700000}"/>
    <cellStyle name="Normal 5 5 3 2 2 2 2 2 5 2" xfId="21508" xr:uid="{00000000-0005-0000-0000-0000C2700000}"/>
    <cellStyle name="Normal 5 5 3 2 2 2 2 2 6" xfId="19910" xr:uid="{00000000-0005-0000-0000-0000C3700000}"/>
    <cellStyle name="Normal 5 5 3 2 2 2 2 3" xfId="3182" xr:uid="{00000000-0005-0000-0000-0000C4700000}"/>
    <cellStyle name="Normal 5 5 3 2 2 2 2 3 2" xfId="9233" xr:uid="{00000000-0005-0000-0000-0000C5700000}"/>
    <cellStyle name="Normal 5 5 3 2 2 2 2 3 2 2" xfId="16496" xr:uid="{00000000-0005-0000-0000-0000C6700000}"/>
    <cellStyle name="Normal 5 5 3 2 2 2 2 3 2 2 2" xfId="32811" xr:uid="{00000000-0005-0000-0000-0000C7700000}"/>
    <cellStyle name="Normal 5 5 3 2 2 2 2 3 2 3" xfId="25846" xr:uid="{00000000-0005-0000-0000-0000C8700000}"/>
    <cellStyle name="Normal 5 5 3 2 2 2 2 3 3" xfId="12575" xr:uid="{00000000-0005-0000-0000-0000C9700000}"/>
    <cellStyle name="Normal 5 5 3 2 2 2 2 3 3 2" xfId="29150" xr:uid="{00000000-0005-0000-0000-0000CA700000}"/>
    <cellStyle name="Normal 5 5 3 2 2 2 2 3 4" xfId="5882" xr:uid="{00000000-0005-0000-0000-0000CB700000}"/>
    <cellStyle name="Normal 5 5 3 2 2 2 2 3 4 2" xfId="22546" xr:uid="{00000000-0005-0000-0000-0000CC700000}"/>
    <cellStyle name="Normal 5 5 3 2 2 2 2 3 5" xfId="19909" xr:uid="{00000000-0005-0000-0000-0000CD700000}"/>
    <cellStyle name="Normal 5 5 3 2 2 2 2 4" xfId="7612" xr:uid="{00000000-0005-0000-0000-0000CE700000}"/>
    <cellStyle name="Normal 5 5 3 2 2 2 2 4 2" xfId="14875" xr:uid="{00000000-0005-0000-0000-0000CF700000}"/>
    <cellStyle name="Normal 5 5 3 2 2 2 2 4 2 2" xfId="31190" xr:uid="{00000000-0005-0000-0000-0000D0700000}"/>
    <cellStyle name="Normal 5 5 3 2 2 2 2 4 3" xfId="24225" xr:uid="{00000000-0005-0000-0000-0000D1700000}"/>
    <cellStyle name="Normal 5 5 3 2 2 2 2 5" xfId="10927" xr:uid="{00000000-0005-0000-0000-0000D2700000}"/>
    <cellStyle name="Normal 5 5 3 2 2 2 2 5 2" xfId="27525" xr:uid="{00000000-0005-0000-0000-0000D3700000}"/>
    <cellStyle name="Normal 5 5 3 2 2 2 2 6" xfId="4784" xr:uid="{00000000-0005-0000-0000-0000D4700000}"/>
    <cellStyle name="Normal 5 5 3 2 2 2 2 6 2" xfId="21507" xr:uid="{00000000-0005-0000-0000-0000D5700000}"/>
    <cellStyle name="Normal 5 5 3 2 2 2 2 7" xfId="18499" xr:uid="{00000000-0005-0000-0000-0000D6700000}"/>
    <cellStyle name="Normal 5 5 3 2 2 2 3" xfId="3184" xr:uid="{00000000-0005-0000-0000-0000D7700000}"/>
    <cellStyle name="Normal 5 5 3 2 2 2 3 2" xfId="6288" xr:uid="{00000000-0005-0000-0000-0000D8700000}"/>
    <cellStyle name="Normal 5 5 3 2 2 2 3 2 2" xfId="9639" xr:uid="{00000000-0005-0000-0000-0000D9700000}"/>
    <cellStyle name="Normal 5 5 3 2 2 2 3 2 2 2" xfId="16902" xr:uid="{00000000-0005-0000-0000-0000DA700000}"/>
    <cellStyle name="Normal 5 5 3 2 2 2 3 2 2 2 2" xfId="33217" xr:uid="{00000000-0005-0000-0000-0000DB700000}"/>
    <cellStyle name="Normal 5 5 3 2 2 2 3 2 2 3" xfId="26252" xr:uid="{00000000-0005-0000-0000-0000DC700000}"/>
    <cellStyle name="Normal 5 5 3 2 2 2 3 2 3" xfId="12981" xr:uid="{00000000-0005-0000-0000-0000DD700000}"/>
    <cellStyle name="Normal 5 5 3 2 2 2 3 2 3 2" xfId="29556" xr:uid="{00000000-0005-0000-0000-0000DE700000}"/>
    <cellStyle name="Normal 5 5 3 2 2 2 3 2 4" xfId="22952" xr:uid="{00000000-0005-0000-0000-0000DF700000}"/>
    <cellStyle name="Normal 5 5 3 2 2 2 3 3" xfId="8018" xr:uid="{00000000-0005-0000-0000-0000E0700000}"/>
    <cellStyle name="Normal 5 5 3 2 2 2 3 3 2" xfId="15281" xr:uid="{00000000-0005-0000-0000-0000E1700000}"/>
    <cellStyle name="Normal 5 5 3 2 2 2 3 3 2 2" xfId="31596" xr:uid="{00000000-0005-0000-0000-0000E2700000}"/>
    <cellStyle name="Normal 5 5 3 2 2 2 3 3 3" xfId="24631" xr:uid="{00000000-0005-0000-0000-0000E3700000}"/>
    <cellStyle name="Normal 5 5 3 2 2 2 3 4" xfId="11333" xr:uid="{00000000-0005-0000-0000-0000E4700000}"/>
    <cellStyle name="Normal 5 5 3 2 2 2 3 4 2" xfId="27931" xr:uid="{00000000-0005-0000-0000-0000E5700000}"/>
    <cellStyle name="Normal 5 5 3 2 2 2 3 5" xfId="4786" xr:uid="{00000000-0005-0000-0000-0000E6700000}"/>
    <cellStyle name="Normal 5 5 3 2 2 2 3 5 2" xfId="21509" xr:uid="{00000000-0005-0000-0000-0000E7700000}"/>
    <cellStyle name="Normal 5 5 3 2 2 2 3 6" xfId="19911" xr:uid="{00000000-0005-0000-0000-0000E8700000}"/>
    <cellStyle name="Normal 5 5 3 2 2 2 4" xfId="3181" xr:uid="{00000000-0005-0000-0000-0000E9700000}"/>
    <cellStyle name="Normal 5 5 3 2 2 2 4 2" xfId="8826" xr:uid="{00000000-0005-0000-0000-0000EA700000}"/>
    <cellStyle name="Normal 5 5 3 2 2 2 4 2 2" xfId="16089" xr:uid="{00000000-0005-0000-0000-0000EB700000}"/>
    <cellStyle name="Normal 5 5 3 2 2 2 4 2 2 2" xfId="32404" xr:uid="{00000000-0005-0000-0000-0000EC700000}"/>
    <cellStyle name="Normal 5 5 3 2 2 2 4 2 3" xfId="25439" xr:uid="{00000000-0005-0000-0000-0000ED700000}"/>
    <cellStyle name="Normal 5 5 3 2 2 2 4 3" xfId="12168" xr:uid="{00000000-0005-0000-0000-0000EE700000}"/>
    <cellStyle name="Normal 5 5 3 2 2 2 4 3 2" xfId="28743" xr:uid="{00000000-0005-0000-0000-0000EF700000}"/>
    <cellStyle name="Normal 5 5 3 2 2 2 4 4" xfId="5475" xr:uid="{00000000-0005-0000-0000-0000F0700000}"/>
    <cellStyle name="Normal 5 5 3 2 2 2 4 4 2" xfId="22139" xr:uid="{00000000-0005-0000-0000-0000F1700000}"/>
    <cellStyle name="Normal 5 5 3 2 2 2 4 5" xfId="19908" xr:uid="{00000000-0005-0000-0000-0000F2700000}"/>
    <cellStyle name="Normal 5 5 3 2 2 2 5" xfId="7206" xr:uid="{00000000-0005-0000-0000-0000F3700000}"/>
    <cellStyle name="Normal 5 5 3 2 2 2 5 2" xfId="14469" xr:uid="{00000000-0005-0000-0000-0000F4700000}"/>
    <cellStyle name="Normal 5 5 3 2 2 2 5 2 2" xfId="30784" xr:uid="{00000000-0005-0000-0000-0000F5700000}"/>
    <cellStyle name="Normal 5 5 3 2 2 2 5 3" xfId="23819" xr:uid="{00000000-0005-0000-0000-0000F6700000}"/>
    <cellStyle name="Normal 5 5 3 2 2 2 6" xfId="10521" xr:uid="{00000000-0005-0000-0000-0000F7700000}"/>
    <cellStyle name="Normal 5 5 3 2 2 2 6 2" xfId="27119" xr:uid="{00000000-0005-0000-0000-0000F8700000}"/>
    <cellStyle name="Normal 5 5 3 2 2 2 7" xfId="4783" xr:uid="{00000000-0005-0000-0000-0000F9700000}"/>
    <cellStyle name="Normal 5 5 3 2 2 2 7 2" xfId="21506" xr:uid="{00000000-0005-0000-0000-0000FA700000}"/>
    <cellStyle name="Normal 5 5 3 2 2 2 8" xfId="17980" xr:uid="{00000000-0005-0000-0000-0000FB700000}"/>
    <cellStyle name="Normal 5 5 3 2 2 3" xfId="1611" xr:uid="{00000000-0005-0000-0000-0000FC700000}"/>
    <cellStyle name="Normal 5 5 3 2 2 3 2" xfId="3186" xr:uid="{00000000-0005-0000-0000-0000FD700000}"/>
    <cellStyle name="Normal 5 5 3 2 2 3 2 2" xfId="6482" xr:uid="{00000000-0005-0000-0000-0000FE700000}"/>
    <cellStyle name="Normal 5 5 3 2 2 3 2 2 2" xfId="9833" xr:uid="{00000000-0005-0000-0000-0000FF700000}"/>
    <cellStyle name="Normal 5 5 3 2 2 3 2 2 2 2" xfId="17096" xr:uid="{00000000-0005-0000-0000-000000710000}"/>
    <cellStyle name="Normal 5 5 3 2 2 3 2 2 2 2 2" xfId="33411" xr:uid="{00000000-0005-0000-0000-000001710000}"/>
    <cellStyle name="Normal 5 5 3 2 2 3 2 2 2 3" xfId="26446" xr:uid="{00000000-0005-0000-0000-000002710000}"/>
    <cellStyle name="Normal 5 5 3 2 2 3 2 2 3" xfId="13175" xr:uid="{00000000-0005-0000-0000-000003710000}"/>
    <cellStyle name="Normal 5 5 3 2 2 3 2 2 3 2" xfId="29750" xr:uid="{00000000-0005-0000-0000-000004710000}"/>
    <cellStyle name="Normal 5 5 3 2 2 3 2 2 4" xfId="23146" xr:uid="{00000000-0005-0000-0000-000005710000}"/>
    <cellStyle name="Normal 5 5 3 2 2 3 2 3" xfId="8212" xr:uid="{00000000-0005-0000-0000-000006710000}"/>
    <cellStyle name="Normal 5 5 3 2 2 3 2 3 2" xfId="15475" xr:uid="{00000000-0005-0000-0000-000007710000}"/>
    <cellStyle name="Normal 5 5 3 2 2 3 2 3 2 2" xfId="31790" xr:uid="{00000000-0005-0000-0000-000008710000}"/>
    <cellStyle name="Normal 5 5 3 2 2 3 2 3 3" xfId="24825" xr:uid="{00000000-0005-0000-0000-000009710000}"/>
    <cellStyle name="Normal 5 5 3 2 2 3 2 4" xfId="11527" xr:uid="{00000000-0005-0000-0000-00000A710000}"/>
    <cellStyle name="Normal 5 5 3 2 2 3 2 4 2" xfId="28125" xr:uid="{00000000-0005-0000-0000-00000B710000}"/>
    <cellStyle name="Normal 5 5 3 2 2 3 2 5" xfId="4788" xr:uid="{00000000-0005-0000-0000-00000C710000}"/>
    <cellStyle name="Normal 5 5 3 2 2 3 2 5 2" xfId="21511" xr:uid="{00000000-0005-0000-0000-00000D710000}"/>
    <cellStyle name="Normal 5 5 3 2 2 3 2 6" xfId="19913" xr:uid="{00000000-0005-0000-0000-00000E710000}"/>
    <cellStyle name="Normal 5 5 3 2 2 3 3" xfId="3185" xr:uid="{00000000-0005-0000-0000-00000F710000}"/>
    <cellStyle name="Normal 5 5 3 2 2 3 3 2" xfId="9021" xr:uid="{00000000-0005-0000-0000-000010710000}"/>
    <cellStyle name="Normal 5 5 3 2 2 3 3 2 2" xfId="16284" xr:uid="{00000000-0005-0000-0000-000011710000}"/>
    <cellStyle name="Normal 5 5 3 2 2 3 3 2 2 2" xfId="32599" xr:uid="{00000000-0005-0000-0000-000012710000}"/>
    <cellStyle name="Normal 5 5 3 2 2 3 3 2 3" xfId="25634" xr:uid="{00000000-0005-0000-0000-000013710000}"/>
    <cellStyle name="Normal 5 5 3 2 2 3 3 3" xfId="12363" xr:uid="{00000000-0005-0000-0000-000014710000}"/>
    <cellStyle name="Normal 5 5 3 2 2 3 3 3 2" xfId="28938" xr:uid="{00000000-0005-0000-0000-000015710000}"/>
    <cellStyle name="Normal 5 5 3 2 2 3 3 4" xfId="5670" xr:uid="{00000000-0005-0000-0000-000016710000}"/>
    <cellStyle name="Normal 5 5 3 2 2 3 3 4 2" xfId="22334" xr:uid="{00000000-0005-0000-0000-000017710000}"/>
    <cellStyle name="Normal 5 5 3 2 2 3 3 5" xfId="19912" xr:uid="{00000000-0005-0000-0000-000018710000}"/>
    <cellStyle name="Normal 5 5 3 2 2 3 4" xfId="7400" xr:uid="{00000000-0005-0000-0000-000019710000}"/>
    <cellStyle name="Normal 5 5 3 2 2 3 4 2" xfId="14663" xr:uid="{00000000-0005-0000-0000-00001A710000}"/>
    <cellStyle name="Normal 5 5 3 2 2 3 4 2 2" xfId="30978" xr:uid="{00000000-0005-0000-0000-00001B710000}"/>
    <cellStyle name="Normal 5 5 3 2 2 3 4 3" xfId="24013" xr:uid="{00000000-0005-0000-0000-00001C710000}"/>
    <cellStyle name="Normal 5 5 3 2 2 3 5" xfId="10715" xr:uid="{00000000-0005-0000-0000-00001D710000}"/>
    <cellStyle name="Normal 5 5 3 2 2 3 5 2" xfId="27313" xr:uid="{00000000-0005-0000-0000-00001E710000}"/>
    <cellStyle name="Normal 5 5 3 2 2 3 6" xfId="4787" xr:uid="{00000000-0005-0000-0000-00001F710000}"/>
    <cellStyle name="Normal 5 5 3 2 2 3 6 2" xfId="21510" xr:uid="{00000000-0005-0000-0000-000020710000}"/>
    <cellStyle name="Normal 5 5 3 2 2 3 7" xfId="18346" xr:uid="{00000000-0005-0000-0000-000021710000}"/>
    <cellStyle name="Normal 5 5 3 2 2 4" xfId="3187" xr:uid="{00000000-0005-0000-0000-000022710000}"/>
    <cellStyle name="Normal 5 5 3 2 2 4 2" xfId="6076" xr:uid="{00000000-0005-0000-0000-000023710000}"/>
    <cellStyle name="Normal 5 5 3 2 2 4 2 2" xfId="9427" xr:uid="{00000000-0005-0000-0000-000024710000}"/>
    <cellStyle name="Normal 5 5 3 2 2 4 2 2 2" xfId="16690" xr:uid="{00000000-0005-0000-0000-000025710000}"/>
    <cellStyle name="Normal 5 5 3 2 2 4 2 2 2 2" xfId="33005" xr:uid="{00000000-0005-0000-0000-000026710000}"/>
    <cellStyle name="Normal 5 5 3 2 2 4 2 2 3" xfId="26040" xr:uid="{00000000-0005-0000-0000-000027710000}"/>
    <cellStyle name="Normal 5 5 3 2 2 4 2 3" xfId="12769" xr:uid="{00000000-0005-0000-0000-000028710000}"/>
    <cellStyle name="Normal 5 5 3 2 2 4 2 3 2" xfId="29344" xr:uid="{00000000-0005-0000-0000-000029710000}"/>
    <cellStyle name="Normal 5 5 3 2 2 4 2 4" xfId="22740" xr:uid="{00000000-0005-0000-0000-00002A710000}"/>
    <cellStyle name="Normal 5 5 3 2 2 4 3" xfId="7806" xr:uid="{00000000-0005-0000-0000-00002B710000}"/>
    <cellStyle name="Normal 5 5 3 2 2 4 3 2" xfId="15069" xr:uid="{00000000-0005-0000-0000-00002C710000}"/>
    <cellStyle name="Normal 5 5 3 2 2 4 3 2 2" xfId="31384" xr:uid="{00000000-0005-0000-0000-00002D710000}"/>
    <cellStyle name="Normal 5 5 3 2 2 4 3 3" xfId="24419" xr:uid="{00000000-0005-0000-0000-00002E710000}"/>
    <cellStyle name="Normal 5 5 3 2 2 4 4" xfId="11121" xr:uid="{00000000-0005-0000-0000-00002F710000}"/>
    <cellStyle name="Normal 5 5 3 2 2 4 4 2" xfId="27719" xr:uid="{00000000-0005-0000-0000-000030710000}"/>
    <cellStyle name="Normal 5 5 3 2 2 4 5" xfId="4789" xr:uid="{00000000-0005-0000-0000-000031710000}"/>
    <cellStyle name="Normal 5 5 3 2 2 4 5 2" xfId="21512" xr:uid="{00000000-0005-0000-0000-000032710000}"/>
    <cellStyle name="Normal 5 5 3 2 2 4 6" xfId="19914" xr:uid="{00000000-0005-0000-0000-000033710000}"/>
    <cellStyle name="Normal 5 5 3 2 2 5" xfId="3180" xr:uid="{00000000-0005-0000-0000-000034710000}"/>
    <cellStyle name="Normal 5 5 3 2 2 5 2" xfId="8672" xr:uid="{00000000-0005-0000-0000-000035710000}"/>
    <cellStyle name="Normal 5 5 3 2 2 5 2 2" xfId="15935" xr:uid="{00000000-0005-0000-0000-000036710000}"/>
    <cellStyle name="Normal 5 5 3 2 2 5 2 2 2" xfId="32250" xr:uid="{00000000-0005-0000-0000-000037710000}"/>
    <cellStyle name="Normal 5 5 3 2 2 5 2 3" xfId="25285" xr:uid="{00000000-0005-0000-0000-000038710000}"/>
    <cellStyle name="Normal 5 5 3 2 2 5 3" xfId="12014" xr:uid="{00000000-0005-0000-0000-000039710000}"/>
    <cellStyle name="Normal 5 5 3 2 2 5 3 2" xfId="28589" xr:uid="{00000000-0005-0000-0000-00003A710000}"/>
    <cellStyle name="Normal 5 5 3 2 2 5 4" xfId="5321" xr:uid="{00000000-0005-0000-0000-00003B710000}"/>
    <cellStyle name="Normal 5 5 3 2 2 5 4 2" xfId="21985" xr:uid="{00000000-0005-0000-0000-00003C710000}"/>
    <cellStyle name="Normal 5 5 3 2 2 5 5" xfId="19907" xr:uid="{00000000-0005-0000-0000-00003D710000}"/>
    <cellStyle name="Normal 5 5 3 2 2 6" xfId="7053" xr:uid="{00000000-0005-0000-0000-00003E710000}"/>
    <cellStyle name="Normal 5 5 3 2 2 6 2" xfId="14316" xr:uid="{00000000-0005-0000-0000-00003F710000}"/>
    <cellStyle name="Normal 5 5 3 2 2 6 2 2" xfId="30631" xr:uid="{00000000-0005-0000-0000-000040710000}"/>
    <cellStyle name="Normal 5 5 3 2 2 6 3" xfId="23666" xr:uid="{00000000-0005-0000-0000-000041710000}"/>
    <cellStyle name="Normal 5 5 3 2 2 7" xfId="10367" xr:uid="{00000000-0005-0000-0000-000042710000}"/>
    <cellStyle name="Normal 5 5 3 2 2 7 2" xfId="26966" xr:uid="{00000000-0005-0000-0000-000043710000}"/>
    <cellStyle name="Normal 5 5 3 2 2 8" xfId="4782" xr:uid="{00000000-0005-0000-0000-000044710000}"/>
    <cellStyle name="Normal 5 5 3 2 2 8 2" xfId="21505" xr:uid="{00000000-0005-0000-0000-000045710000}"/>
    <cellStyle name="Normal 5 5 3 2 2 9" xfId="17827" xr:uid="{00000000-0005-0000-0000-000046710000}"/>
    <cellStyle name="Normal 5 5 3 2 3" xfId="1242" xr:uid="{00000000-0005-0000-0000-000047710000}"/>
    <cellStyle name="Normal 5 5 3 2 3 2" xfId="1763" xr:uid="{00000000-0005-0000-0000-000048710000}"/>
    <cellStyle name="Normal 5 5 3 2 3 2 2" xfId="3190" xr:uid="{00000000-0005-0000-0000-000049710000}"/>
    <cellStyle name="Normal 5 5 3 2 3 2 2 2" xfId="6657" xr:uid="{00000000-0005-0000-0000-00004A710000}"/>
    <cellStyle name="Normal 5 5 3 2 3 2 2 2 2" xfId="10008" xr:uid="{00000000-0005-0000-0000-00004B710000}"/>
    <cellStyle name="Normal 5 5 3 2 3 2 2 2 2 2" xfId="17271" xr:uid="{00000000-0005-0000-0000-00004C710000}"/>
    <cellStyle name="Normal 5 5 3 2 3 2 2 2 2 2 2" xfId="33586" xr:uid="{00000000-0005-0000-0000-00004D710000}"/>
    <cellStyle name="Normal 5 5 3 2 3 2 2 2 2 3" xfId="26621" xr:uid="{00000000-0005-0000-0000-00004E710000}"/>
    <cellStyle name="Normal 5 5 3 2 3 2 2 2 3" xfId="13350" xr:uid="{00000000-0005-0000-0000-00004F710000}"/>
    <cellStyle name="Normal 5 5 3 2 3 2 2 2 3 2" xfId="29925" xr:uid="{00000000-0005-0000-0000-000050710000}"/>
    <cellStyle name="Normal 5 5 3 2 3 2 2 2 4" xfId="23321" xr:uid="{00000000-0005-0000-0000-000051710000}"/>
    <cellStyle name="Normal 5 5 3 2 3 2 2 3" xfId="8387" xr:uid="{00000000-0005-0000-0000-000052710000}"/>
    <cellStyle name="Normal 5 5 3 2 3 2 2 3 2" xfId="15650" xr:uid="{00000000-0005-0000-0000-000053710000}"/>
    <cellStyle name="Normal 5 5 3 2 3 2 2 3 2 2" xfId="31965" xr:uid="{00000000-0005-0000-0000-000054710000}"/>
    <cellStyle name="Normal 5 5 3 2 3 2 2 3 3" xfId="25000" xr:uid="{00000000-0005-0000-0000-000055710000}"/>
    <cellStyle name="Normal 5 5 3 2 3 2 2 4" xfId="11702" xr:uid="{00000000-0005-0000-0000-000056710000}"/>
    <cellStyle name="Normal 5 5 3 2 3 2 2 4 2" xfId="28300" xr:uid="{00000000-0005-0000-0000-000057710000}"/>
    <cellStyle name="Normal 5 5 3 2 3 2 2 5" xfId="4792" xr:uid="{00000000-0005-0000-0000-000058710000}"/>
    <cellStyle name="Normal 5 5 3 2 3 2 2 5 2" xfId="21515" xr:uid="{00000000-0005-0000-0000-000059710000}"/>
    <cellStyle name="Normal 5 5 3 2 3 2 2 6" xfId="19917" xr:uid="{00000000-0005-0000-0000-00005A710000}"/>
    <cellStyle name="Normal 5 5 3 2 3 2 3" xfId="3189" xr:uid="{00000000-0005-0000-0000-00005B710000}"/>
    <cellStyle name="Normal 5 5 3 2 3 2 3 2" xfId="9232" xr:uid="{00000000-0005-0000-0000-00005C710000}"/>
    <cellStyle name="Normal 5 5 3 2 3 2 3 2 2" xfId="16495" xr:uid="{00000000-0005-0000-0000-00005D710000}"/>
    <cellStyle name="Normal 5 5 3 2 3 2 3 2 2 2" xfId="32810" xr:uid="{00000000-0005-0000-0000-00005E710000}"/>
    <cellStyle name="Normal 5 5 3 2 3 2 3 2 3" xfId="25845" xr:uid="{00000000-0005-0000-0000-00005F710000}"/>
    <cellStyle name="Normal 5 5 3 2 3 2 3 3" xfId="12574" xr:uid="{00000000-0005-0000-0000-000060710000}"/>
    <cellStyle name="Normal 5 5 3 2 3 2 3 3 2" xfId="29149" xr:uid="{00000000-0005-0000-0000-000061710000}"/>
    <cellStyle name="Normal 5 5 3 2 3 2 3 4" xfId="5881" xr:uid="{00000000-0005-0000-0000-000062710000}"/>
    <cellStyle name="Normal 5 5 3 2 3 2 3 4 2" xfId="22545" xr:uid="{00000000-0005-0000-0000-000063710000}"/>
    <cellStyle name="Normal 5 5 3 2 3 2 3 5" xfId="19916" xr:uid="{00000000-0005-0000-0000-000064710000}"/>
    <cellStyle name="Normal 5 5 3 2 3 2 4" xfId="7611" xr:uid="{00000000-0005-0000-0000-000065710000}"/>
    <cellStyle name="Normal 5 5 3 2 3 2 4 2" xfId="14874" xr:uid="{00000000-0005-0000-0000-000066710000}"/>
    <cellStyle name="Normal 5 5 3 2 3 2 4 2 2" xfId="31189" xr:uid="{00000000-0005-0000-0000-000067710000}"/>
    <cellStyle name="Normal 5 5 3 2 3 2 4 3" xfId="24224" xr:uid="{00000000-0005-0000-0000-000068710000}"/>
    <cellStyle name="Normal 5 5 3 2 3 2 5" xfId="10926" xr:uid="{00000000-0005-0000-0000-000069710000}"/>
    <cellStyle name="Normal 5 5 3 2 3 2 5 2" xfId="27524" xr:uid="{00000000-0005-0000-0000-00006A710000}"/>
    <cellStyle name="Normal 5 5 3 2 3 2 6" xfId="4791" xr:uid="{00000000-0005-0000-0000-00006B710000}"/>
    <cellStyle name="Normal 5 5 3 2 3 2 6 2" xfId="21514" xr:uid="{00000000-0005-0000-0000-00006C710000}"/>
    <cellStyle name="Normal 5 5 3 2 3 2 7" xfId="18498" xr:uid="{00000000-0005-0000-0000-00006D710000}"/>
    <cellStyle name="Normal 5 5 3 2 3 3" xfId="3191" xr:uid="{00000000-0005-0000-0000-00006E710000}"/>
    <cellStyle name="Normal 5 5 3 2 3 3 2" xfId="6287" xr:uid="{00000000-0005-0000-0000-00006F710000}"/>
    <cellStyle name="Normal 5 5 3 2 3 3 2 2" xfId="9638" xr:uid="{00000000-0005-0000-0000-000070710000}"/>
    <cellStyle name="Normal 5 5 3 2 3 3 2 2 2" xfId="16901" xr:uid="{00000000-0005-0000-0000-000071710000}"/>
    <cellStyle name="Normal 5 5 3 2 3 3 2 2 2 2" xfId="33216" xr:uid="{00000000-0005-0000-0000-000072710000}"/>
    <cellStyle name="Normal 5 5 3 2 3 3 2 2 3" xfId="26251" xr:uid="{00000000-0005-0000-0000-000073710000}"/>
    <cellStyle name="Normal 5 5 3 2 3 3 2 3" xfId="12980" xr:uid="{00000000-0005-0000-0000-000074710000}"/>
    <cellStyle name="Normal 5 5 3 2 3 3 2 3 2" xfId="29555" xr:uid="{00000000-0005-0000-0000-000075710000}"/>
    <cellStyle name="Normal 5 5 3 2 3 3 2 4" xfId="22951" xr:uid="{00000000-0005-0000-0000-000076710000}"/>
    <cellStyle name="Normal 5 5 3 2 3 3 3" xfId="8017" xr:uid="{00000000-0005-0000-0000-000077710000}"/>
    <cellStyle name="Normal 5 5 3 2 3 3 3 2" xfId="15280" xr:uid="{00000000-0005-0000-0000-000078710000}"/>
    <cellStyle name="Normal 5 5 3 2 3 3 3 2 2" xfId="31595" xr:uid="{00000000-0005-0000-0000-000079710000}"/>
    <cellStyle name="Normal 5 5 3 2 3 3 3 3" xfId="24630" xr:uid="{00000000-0005-0000-0000-00007A710000}"/>
    <cellStyle name="Normal 5 5 3 2 3 3 4" xfId="11332" xr:uid="{00000000-0005-0000-0000-00007B710000}"/>
    <cellStyle name="Normal 5 5 3 2 3 3 4 2" xfId="27930" xr:uid="{00000000-0005-0000-0000-00007C710000}"/>
    <cellStyle name="Normal 5 5 3 2 3 3 5" xfId="4793" xr:uid="{00000000-0005-0000-0000-00007D710000}"/>
    <cellStyle name="Normal 5 5 3 2 3 3 5 2" xfId="21516" xr:uid="{00000000-0005-0000-0000-00007E710000}"/>
    <cellStyle name="Normal 5 5 3 2 3 3 6" xfId="19918" xr:uid="{00000000-0005-0000-0000-00007F710000}"/>
    <cellStyle name="Normal 5 5 3 2 3 4" xfId="3188" xr:uid="{00000000-0005-0000-0000-000080710000}"/>
    <cellStyle name="Normal 5 5 3 2 3 4 2" xfId="8825" xr:uid="{00000000-0005-0000-0000-000081710000}"/>
    <cellStyle name="Normal 5 5 3 2 3 4 2 2" xfId="16088" xr:uid="{00000000-0005-0000-0000-000082710000}"/>
    <cellStyle name="Normal 5 5 3 2 3 4 2 2 2" xfId="32403" xr:uid="{00000000-0005-0000-0000-000083710000}"/>
    <cellStyle name="Normal 5 5 3 2 3 4 2 3" xfId="25438" xr:uid="{00000000-0005-0000-0000-000084710000}"/>
    <cellStyle name="Normal 5 5 3 2 3 4 3" xfId="12167" xr:uid="{00000000-0005-0000-0000-000085710000}"/>
    <cellStyle name="Normal 5 5 3 2 3 4 3 2" xfId="28742" xr:uid="{00000000-0005-0000-0000-000086710000}"/>
    <cellStyle name="Normal 5 5 3 2 3 4 4" xfId="5474" xr:uid="{00000000-0005-0000-0000-000087710000}"/>
    <cellStyle name="Normal 5 5 3 2 3 4 4 2" xfId="22138" xr:uid="{00000000-0005-0000-0000-000088710000}"/>
    <cellStyle name="Normal 5 5 3 2 3 4 5" xfId="19915" xr:uid="{00000000-0005-0000-0000-000089710000}"/>
    <cellStyle name="Normal 5 5 3 2 3 5" xfId="7205" xr:uid="{00000000-0005-0000-0000-00008A710000}"/>
    <cellStyle name="Normal 5 5 3 2 3 5 2" xfId="14468" xr:uid="{00000000-0005-0000-0000-00008B710000}"/>
    <cellStyle name="Normal 5 5 3 2 3 5 2 2" xfId="30783" xr:uid="{00000000-0005-0000-0000-00008C710000}"/>
    <cellStyle name="Normal 5 5 3 2 3 5 3" xfId="23818" xr:uid="{00000000-0005-0000-0000-00008D710000}"/>
    <cellStyle name="Normal 5 5 3 2 3 6" xfId="10520" xr:uid="{00000000-0005-0000-0000-00008E710000}"/>
    <cellStyle name="Normal 5 5 3 2 3 6 2" xfId="27118" xr:uid="{00000000-0005-0000-0000-00008F710000}"/>
    <cellStyle name="Normal 5 5 3 2 3 7" xfId="4790" xr:uid="{00000000-0005-0000-0000-000090710000}"/>
    <cellStyle name="Normal 5 5 3 2 3 7 2" xfId="21513" xr:uid="{00000000-0005-0000-0000-000091710000}"/>
    <cellStyle name="Normal 5 5 3 2 3 8" xfId="17979" xr:uid="{00000000-0005-0000-0000-000092710000}"/>
    <cellStyle name="Normal 5 5 3 2 4" xfId="1505" xr:uid="{00000000-0005-0000-0000-000093710000}"/>
    <cellStyle name="Normal 5 5 3 2 4 2" xfId="3193" xr:uid="{00000000-0005-0000-0000-000094710000}"/>
    <cellStyle name="Normal 5 5 3 2 4 2 2" xfId="6481" xr:uid="{00000000-0005-0000-0000-000095710000}"/>
    <cellStyle name="Normal 5 5 3 2 4 2 2 2" xfId="9832" xr:uid="{00000000-0005-0000-0000-000096710000}"/>
    <cellStyle name="Normal 5 5 3 2 4 2 2 2 2" xfId="17095" xr:uid="{00000000-0005-0000-0000-000097710000}"/>
    <cellStyle name="Normal 5 5 3 2 4 2 2 2 2 2" xfId="33410" xr:uid="{00000000-0005-0000-0000-000098710000}"/>
    <cellStyle name="Normal 5 5 3 2 4 2 2 2 3" xfId="26445" xr:uid="{00000000-0005-0000-0000-000099710000}"/>
    <cellStyle name="Normal 5 5 3 2 4 2 2 3" xfId="13174" xr:uid="{00000000-0005-0000-0000-00009A710000}"/>
    <cellStyle name="Normal 5 5 3 2 4 2 2 3 2" xfId="29749" xr:uid="{00000000-0005-0000-0000-00009B710000}"/>
    <cellStyle name="Normal 5 5 3 2 4 2 2 4" xfId="23145" xr:uid="{00000000-0005-0000-0000-00009C710000}"/>
    <cellStyle name="Normal 5 5 3 2 4 2 3" xfId="8211" xr:uid="{00000000-0005-0000-0000-00009D710000}"/>
    <cellStyle name="Normal 5 5 3 2 4 2 3 2" xfId="15474" xr:uid="{00000000-0005-0000-0000-00009E710000}"/>
    <cellStyle name="Normal 5 5 3 2 4 2 3 2 2" xfId="31789" xr:uid="{00000000-0005-0000-0000-00009F710000}"/>
    <cellStyle name="Normal 5 5 3 2 4 2 3 3" xfId="24824" xr:uid="{00000000-0005-0000-0000-0000A0710000}"/>
    <cellStyle name="Normal 5 5 3 2 4 2 4" xfId="11526" xr:uid="{00000000-0005-0000-0000-0000A1710000}"/>
    <cellStyle name="Normal 5 5 3 2 4 2 4 2" xfId="28124" xr:uid="{00000000-0005-0000-0000-0000A2710000}"/>
    <cellStyle name="Normal 5 5 3 2 4 2 5" xfId="4795" xr:uid="{00000000-0005-0000-0000-0000A3710000}"/>
    <cellStyle name="Normal 5 5 3 2 4 2 5 2" xfId="21518" xr:uid="{00000000-0005-0000-0000-0000A4710000}"/>
    <cellStyle name="Normal 5 5 3 2 4 2 6" xfId="19920" xr:uid="{00000000-0005-0000-0000-0000A5710000}"/>
    <cellStyle name="Normal 5 5 3 2 4 3" xfId="3192" xr:uid="{00000000-0005-0000-0000-0000A6710000}"/>
    <cellStyle name="Normal 5 5 3 2 4 3 2" xfId="9020" xr:uid="{00000000-0005-0000-0000-0000A7710000}"/>
    <cellStyle name="Normal 5 5 3 2 4 3 2 2" xfId="16283" xr:uid="{00000000-0005-0000-0000-0000A8710000}"/>
    <cellStyle name="Normal 5 5 3 2 4 3 2 2 2" xfId="32598" xr:uid="{00000000-0005-0000-0000-0000A9710000}"/>
    <cellStyle name="Normal 5 5 3 2 4 3 2 3" xfId="25633" xr:uid="{00000000-0005-0000-0000-0000AA710000}"/>
    <cellStyle name="Normal 5 5 3 2 4 3 3" xfId="12362" xr:uid="{00000000-0005-0000-0000-0000AB710000}"/>
    <cellStyle name="Normal 5 5 3 2 4 3 3 2" xfId="28937" xr:uid="{00000000-0005-0000-0000-0000AC710000}"/>
    <cellStyle name="Normal 5 5 3 2 4 3 4" xfId="5669" xr:uid="{00000000-0005-0000-0000-0000AD710000}"/>
    <cellStyle name="Normal 5 5 3 2 4 3 4 2" xfId="22333" xr:uid="{00000000-0005-0000-0000-0000AE710000}"/>
    <cellStyle name="Normal 5 5 3 2 4 3 5" xfId="19919" xr:uid="{00000000-0005-0000-0000-0000AF710000}"/>
    <cellStyle name="Normal 5 5 3 2 4 4" xfId="7399" xr:uid="{00000000-0005-0000-0000-0000B0710000}"/>
    <cellStyle name="Normal 5 5 3 2 4 4 2" xfId="14662" xr:uid="{00000000-0005-0000-0000-0000B1710000}"/>
    <cellStyle name="Normal 5 5 3 2 4 4 2 2" xfId="30977" xr:uid="{00000000-0005-0000-0000-0000B2710000}"/>
    <cellStyle name="Normal 5 5 3 2 4 4 3" xfId="24012" xr:uid="{00000000-0005-0000-0000-0000B3710000}"/>
    <cellStyle name="Normal 5 5 3 2 4 5" xfId="10714" xr:uid="{00000000-0005-0000-0000-0000B4710000}"/>
    <cellStyle name="Normal 5 5 3 2 4 5 2" xfId="27312" xr:uid="{00000000-0005-0000-0000-0000B5710000}"/>
    <cellStyle name="Normal 5 5 3 2 4 6" xfId="4794" xr:uid="{00000000-0005-0000-0000-0000B6710000}"/>
    <cellStyle name="Normal 5 5 3 2 4 6 2" xfId="21517" xr:uid="{00000000-0005-0000-0000-0000B7710000}"/>
    <cellStyle name="Normal 5 5 3 2 4 7" xfId="18240" xr:uid="{00000000-0005-0000-0000-0000B8710000}"/>
    <cellStyle name="Normal 5 5 3 2 5" xfId="3194" xr:uid="{00000000-0005-0000-0000-0000B9710000}"/>
    <cellStyle name="Normal 5 5 3 2 5 2" xfId="6075" xr:uid="{00000000-0005-0000-0000-0000BA710000}"/>
    <cellStyle name="Normal 5 5 3 2 5 2 2" xfId="9426" xr:uid="{00000000-0005-0000-0000-0000BB710000}"/>
    <cellStyle name="Normal 5 5 3 2 5 2 2 2" xfId="16689" xr:uid="{00000000-0005-0000-0000-0000BC710000}"/>
    <cellStyle name="Normal 5 5 3 2 5 2 2 2 2" xfId="33004" xr:uid="{00000000-0005-0000-0000-0000BD710000}"/>
    <cellStyle name="Normal 5 5 3 2 5 2 2 3" xfId="26039" xr:uid="{00000000-0005-0000-0000-0000BE710000}"/>
    <cellStyle name="Normal 5 5 3 2 5 2 3" xfId="12768" xr:uid="{00000000-0005-0000-0000-0000BF710000}"/>
    <cellStyle name="Normal 5 5 3 2 5 2 3 2" xfId="29343" xr:uid="{00000000-0005-0000-0000-0000C0710000}"/>
    <cellStyle name="Normal 5 5 3 2 5 2 4" xfId="22739" xr:uid="{00000000-0005-0000-0000-0000C1710000}"/>
    <cellStyle name="Normal 5 5 3 2 5 3" xfId="7805" xr:uid="{00000000-0005-0000-0000-0000C2710000}"/>
    <cellStyle name="Normal 5 5 3 2 5 3 2" xfId="15068" xr:uid="{00000000-0005-0000-0000-0000C3710000}"/>
    <cellStyle name="Normal 5 5 3 2 5 3 2 2" xfId="31383" xr:uid="{00000000-0005-0000-0000-0000C4710000}"/>
    <cellStyle name="Normal 5 5 3 2 5 3 3" xfId="24418" xr:uid="{00000000-0005-0000-0000-0000C5710000}"/>
    <cellStyle name="Normal 5 5 3 2 5 4" xfId="11120" xr:uid="{00000000-0005-0000-0000-0000C6710000}"/>
    <cellStyle name="Normal 5 5 3 2 5 4 2" xfId="27718" xr:uid="{00000000-0005-0000-0000-0000C7710000}"/>
    <cellStyle name="Normal 5 5 3 2 5 5" xfId="4796" xr:uid="{00000000-0005-0000-0000-0000C8710000}"/>
    <cellStyle name="Normal 5 5 3 2 5 5 2" xfId="21519" xr:uid="{00000000-0005-0000-0000-0000C9710000}"/>
    <cellStyle name="Normal 5 5 3 2 5 6" xfId="19921" xr:uid="{00000000-0005-0000-0000-0000CA710000}"/>
    <cellStyle name="Normal 5 5 3 2 6" xfId="3179" xr:uid="{00000000-0005-0000-0000-0000CB710000}"/>
    <cellStyle name="Normal 5 5 3 2 6 2" xfId="8566" xr:uid="{00000000-0005-0000-0000-0000CC710000}"/>
    <cellStyle name="Normal 5 5 3 2 6 2 2" xfId="15829" xr:uid="{00000000-0005-0000-0000-0000CD710000}"/>
    <cellStyle name="Normal 5 5 3 2 6 2 2 2" xfId="32144" xr:uid="{00000000-0005-0000-0000-0000CE710000}"/>
    <cellStyle name="Normal 5 5 3 2 6 2 3" xfId="25179" xr:uid="{00000000-0005-0000-0000-0000CF710000}"/>
    <cellStyle name="Normal 5 5 3 2 6 3" xfId="11908" xr:uid="{00000000-0005-0000-0000-0000D0710000}"/>
    <cellStyle name="Normal 5 5 3 2 6 3 2" xfId="28483" xr:uid="{00000000-0005-0000-0000-0000D1710000}"/>
    <cellStyle name="Normal 5 5 3 2 6 4" xfId="5215" xr:uid="{00000000-0005-0000-0000-0000D2710000}"/>
    <cellStyle name="Normal 5 5 3 2 6 4 2" xfId="21879" xr:uid="{00000000-0005-0000-0000-0000D3710000}"/>
    <cellStyle name="Normal 5 5 3 2 6 5" xfId="19906" xr:uid="{00000000-0005-0000-0000-0000D4710000}"/>
    <cellStyle name="Normal 5 5 3 2 7" xfId="6947" xr:uid="{00000000-0005-0000-0000-0000D5710000}"/>
    <cellStyle name="Normal 5 5 3 2 7 2" xfId="14210" xr:uid="{00000000-0005-0000-0000-0000D6710000}"/>
    <cellStyle name="Normal 5 5 3 2 7 2 2" xfId="30525" xr:uid="{00000000-0005-0000-0000-0000D7710000}"/>
    <cellStyle name="Normal 5 5 3 2 7 3" xfId="23560" xr:uid="{00000000-0005-0000-0000-0000D8710000}"/>
    <cellStyle name="Normal 5 5 3 2 8" xfId="10261" xr:uid="{00000000-0005-0000-0000-0000D9710000}"/>
    <cellStyle name="Normal 5 5 3 2 8 2" xfId="26860" xr:uid="{00000000-0005-0000-0000-0000DA710000}"/>
    <cellStyle name="Normal 5 5 3 2 9" xfId="4781" xr:uid="{00000000-0005-0000-0000-0000DB710000}"/>
    <cellStyle name="Normal 5 5 3 2 9 2" xfId="21504" xr:uid="{00000000-0005-0000-0000-0000DC710000}"/>
    <cellStyle name="Normal 5 5 3 3" xfId="997" xr:uid="{00000000-0005-0000-0000-0000DD710000}"/>
    <cellStyle name="Normal 5 5 3 3 2" xfId="1244" xr:uid="{00000000-0005-0000-0000-0000DE710000}"/>
    <cellStyle name="Normal 5 5 3 3 2 2" xfId="1765" xr:uid="{00000000-0005-0000-0000-0000DF710000}"/>
    <cellStyle name="Normal 5 5 3 3 2 2 2" xfId="3198" xr:uid="{00000000-0005-0000-0000-0000E0710000}"/>
    <cellStyle name="Normal 5 5 3 3 2 2 2 2" xfId="6659" xr:uid="{00000000-0005-0000-0000-0000E1710000}"/>
    <cellStyle name="Normal 5 5 3 3 2 2 2 2 2" xfId="10010" xr:uid="{00000000-0005-0000-0000-0000E2710000}"/>
    <cellStyle name="Normal 5 5 3 3 2 2 2 2 2 2" xfId="17273" xr:uid="{00000000-0005-0000-0000-0000E3710000}"/>
    <cellStyle name="Normal 5 5 3 3 2 2 2 2 2 2 2" xfId="33588" xr:uid="{00000000-0005-0000-0000-0000E4710000}"/>
    <cellStyle name="Normal 5 5 3 3 2 2 2 2 2 3" xfId="26623" xr:uid="{00000000-0005-0000-0000-0000E5710000}"/>
    <cellStyle name="Normal 5 5 3 3 2 2 2 2 3" xfId="13352" xr:uid="{00000000-0005-0000-0000-0000E6710000}"/>
    <cellStyle name="Normal 5 5 3 3 2 2 2 2 3 2" xfId="29927" xr:uid="{00000000-0005-0000-0000-0000E7710000}"/>
    <cellStyle name="Normal 5 5 3 3 2 2 2 2 4" xfId="23323" xr:uid="{00000000-0005-0000-0000-0000E8710000}"/>
    <cellStyle name="Normal 5 5 3 3 2 2 2 3" xfId="8389" xr:uid="{00000000-0005-0000-0000-0000E9710000}"/>
    <cellStyle name="Normal 5 5 3 3 2 2 2 3 2" xfId="15652" xr:uid="{00000000-0005-0000-0000-0000EA710000}"/>
    <cellStyle name="Normal 5 5 3 3 2 2 2 3 2 2" xfId="31967" xr:uid="{00000000-0005-0000-0000-0000EB710000}"/>
    <cellStyle name="Normal 5 5 3 3 2 2 2 3 3" xfId="25002" xr:uid="{00000000-0005-0000-0000-0000EC710000}"/>
    <cellStyle name="Normal 5 5 3 3 2 2 2 4" xfId="11704" xr:uid="{00000000-0005-0000-0000-0000ED710000}"/>
    <cellStyle name="Normal 5 5 3 3 2 2 2 4 2" xfId="28302" xr:uid="{00000000-0005-0000-0000-0000EE710000}"/>
    <cellStyle name="Normal 5 5 3 3 2 2 2 5" xfId="4800" xr:uid="{00000000-0005-0000-0000-0000EF710000}"/>
    <cellStyle name="Normal 5 5 3 3 2 2 2 5 2" xfId="21523" xr:uid="{00000000-0005-0000-0000-0000F0710000}"/>
    <cellStyle name="Normal 5 5 3 3 2 2 2 6" xfId="19925" xr:uid="{00000000-0005-0000-0000-0000F1710000}"/>
    <cellStyle name="Normal 5 5 3 3 2 2 3" xfId="3197" xr:uid="{00000000-0005-0000-0000-0000F2710000}"/>
    <cellStyle name="Normal 5 5 3 3 2 2 3 2" xfId="9234" xr:uid="{00000000-0005-0000-0000-0000F3710000}"/>
    <cellStyle name="Normal 5 5 3 3 2 2 3 2 2" xfId="16497" xr:uid="{00000000-0005-0000-0000-0000F4710000}"/>
    <cellStyle name="Normal 5 5 3 3 2 2 3 2 2 2" xfId="32812" xr:uid="{00000000-0005-0000-0000-0000F5710000}"/>
    <cellStyle name="Normal 5 5 3 3 2 2 3 2 3" xfId="25847" xr:uid="{00000000-0005-0000-0000-0000F6710000}"/>
    <cellStyle name="Normal 5 5 3 3 2 2 3 3" xfId="12576" xr:uid="{00000000-0005-0000-0000-0000F7710000}"/>
    <cellStyle name="Normal 5 5 3 3 2 2 3 3 2" xfId="29151" xr:uid="{00000000-0005-0000-0000-0000F8710000}"/>
    <cellStyle name="Normal 5 5 3 3 2 2 3 4" xfId="5883" xr:uid="{00000000-0005-0000-0000-0000F9710000}"/>
    <cellStyle name="Normal 5 5 3 3 2 2 3 4 2" xfId="22547" xr:uid="{00000000-0005-0000-0000-0000FA710000}"/>
    <cellStyle name="Normal 5 5 3 3 2 2 3 5" xfId="19924" xr:uid="{00000000-0005-0000-0000-0000FB710000}"/>
    <cellStyle name="Normal 5 5 3 3 2 2 4" xfId="7613" xr:uid="{00000000-0005-0000-0000-0000FC710000}"/>
    <cellStyle name="Normal 5 5 3 3 2 2 4 2" xfId="14876" xr:uid="{00000000-0005-0000-0000-0000FD710000}"/>
    <cellStyle name="Normal 5 5 3 3 2 2 4 2 2" xfId="31191" xr:uid="{00000000-0005-0000-0000-0000FE710000}"/>
    <cellStyle name="Normal 5 5 3 3 2 2 4 3" xfId="24226" xr:uid="{00000000-0005-0000-0000-0000FF710000}"/>
    <cellStyle name="Normal 5 5 3 3 2 2 5" xfId="10928" xr:uid="{00000000-0005-0000-0000-000000720000}"/>
    <cellStyle name="Normal 5 5 3 3 2 2 5 2" xfId="27526" xr:uid="{00000000-0005-0000-0000-000001720000}"/>
    <cellStyle name="Normal 5 5 3 3 2 2 6" xfId="4799" xr:uid="{00000000-0005-0000-0000-000002720000}"/>
    <cellStyle name="Normal 5 5 3 3 2 2 6 2" xfId="21522" xr:uid="{00000000-0005-0000-0000-000003720000}"/>
    <cellStyle name="Normal 5 5 3 3 2 2 7" xfId="18500" xr:uid="{00000000-0005-0000-0000-000004720000}"/>
    <cellStyle name="Normal 5 5 3 3 2 3" xfId="3199" xr:uid="{00000000-0005-0000-0000-000005720000}"/>
    <cellStyle name="Normal 5 5 3 3 2 3 2" xfId="6289" xr:uid="{00000000-0005-0000-0000-000006720000}"/>
    <cellStyle name="Normal 5 5 3 3 2 3 2 2" xfId="9640" xr:uid="{00000000-0005-0000-0000-000007720000}"/>
    <cellStyle name="Normal 5 5 3 3 2 3 2 2 2" xfId="16903" xr:uid="{00000000-0005-0000-0000-000008720000}"/>
    <cellStyle name="Normal 5 5 3 3 2 3 2 2 2 2" xfId="33218" xr:uid="{00000000-0005-0000-0000-000009720000}"/>
    <cellStyle name="Normal 5 5 3 3 2 3 2 2 3" xfId="26253" xr:uid="{00000000-0005-0000-0000-00000A720000}"/>
    <cellStyle name="Normal 5 5 3 3 2 3 2 3" xfId="12982" xr:uid="{00000000-0005-0000-0000-00000B720000}"/>
    <cellStyle name="Normal 5 5 3 3 2 3 2 3 2" xfId="29557" xr:uid="{00000000-0005-0000-0000-00000C720000}"/>
    <cellStyle name="Normal 5 5 3 3 2 3 2 4" xfId="22953" xr:uid="{00000000-0005-0000-0000-00000D720000}"/>
    <cellStyle name="Normal 5 5 3 3 2 3 3" xfId="8019" xr:uid="{00000000-0005-0000-0000-00000E720000}"/>
    <cellStyle name="Normal 5 5 3 3 2 3 3 2" xfId="15282" xr:uid="{00000000-0005-0000-0000-00000F720000}"/>
    <cellStyle name="Normal 5 5 3 3 2 3 3 2 2" xfId="31597" xr:uid="{00000000-0005-0000-0000-000010720000}"/>
    <cellStyle name="Normal 5 5 3 3 2 3 3 3" xfId="24632" xr:uid="{00000000-0005-0000-0000-000011720000}"/>
    <cellStyle name="Normal 5 5 3 3 2 3 4" xfId="11334" xr:uid="{00000000-0005-0000-0000-000012720000}"/>
    <cellStyle name="Normal 5 5 3 3 2 3 4 2" xfId="27932" xr:uid="{00000000-0005-0000-0000-000013720000}"/>
    <cellStyle name="Normal 5 5 3 3 2 3 5" xfId="4801" xr:uid="{00000000-0005-0000-0000-000014720000}"/>
    <cellStyle name="Normal 5 5 3 3 2 3 5 2" xfId="21524" xr:uid="{00000000-0005-0000-0000-000015720000}"/>
    <cellStyle name="Normal 5 5 3 3 2 3 6" xfId="19926" xr:uid="{00000000-0005-0000-0000-000016720000}"/>
    <cellStyle name="Normal 5 5 3 3 2 4" xfId="3196" xr:uid="{00000000-0005-0000-0000-000017720000}"/>
    <cellStyle name="Normal 5 5 3 3 2 4 2" xfId="8827" xr:uid="{00000000-0005-0000-0000-000018720000}"/>
    <cellStyle name="Normal 5 5 3 3 2 4 2 2" xfId="16090" xr:uid="{00000000-0005-0000-0000-000019720000}"/>
    <cellStyle name="Normal 5 5 3 3 2 4 2 2 2" xfId="32405" xr:uid="{00000000-0005-0000-0000-00001A720000}"/>
    <cellStyle name="Normal 5 5 3 3 2 4 2 3" xfId="25440" xr:uid="{00000000-0005-0000-0000-00001B720000}"/>
    <cellStyle name="Normal 5 5 3 3 2 4 3" xfId="12169" xr:uid="{00000000-0005-0000-0000-00001C720000}"/>
    <cellStyle name="Normal 5 5 3 3 2 4 3 2" xfId="28744" xr:uid="{00000000-0005-0000-0000-00001D720000}"/>
    <cellStyle name="Normal 5 5 3 3 2 4 4" xfId="5476" xr:uid="{00000000-0005-0000-0000-00001E720000}"/>
    <cellStyle name="Normal 5 5 3 3 2 4 4 2" xfId="22140" xr:uid="{00000000-0005-0000-0000-00001F720000}"/>
    <cellStyle name="Normal 5 5 3 3 2 4 5" xfId="19923" xr:uid="{00000000-0005-0000-0000-000020720000}"/>
    <cellStyle name="Normal 5 5 3 3 2 5" xfId="7207" xr:uid="{00000000-0005-0000-0000-000021720000}"/>
    <cellStyle name="Normal 5 5 3 3 2 5 2" xfId="14470" xr:uid="{00000000-0005-0000-0000-000022720000}"/>
    <cellStyle name="Normal 5 5 3 3 2 5 2 2" xfId="30785" xr:uid="{00000000-0005-0000-0000-000023720000}"/>
    <cellStyle name="Normal 5 5 3 3 2 5 3" xfId="23820" xr:uid="{00000000-0005-0000-0000-000024720000}"/>
    <cellStyle name="Normal 5 5 3 3 2 6" xfId="10522" xr:uid="{00000000-0005-0000-0000-000025720000}"/>
    <cellStyle name="Normal 5 5 3 3 2 6 2" xfId="27120" xr:uid="{00000000-0005-0000-0000-000026720000}"/>
    <cellStyle name="Normal 5 5 3 3 2 7" xfId="4798" xr:uid="{00000000-0005-0000-0000-000027720000}"/>
    <cellStyle name="Normal 5 5 3 3 2 7 2" xfId="21521" xr:uid="{00000000-0005-0000-0000-000028720000}"/>
    <cellStyle name="Normal 5 5 3 3 2 8" xfId="17981" xr:uid="{00000000-0005-0000-0000-000029720000}"/>
    <cellStyle name="Normal 5 5 3 3 3" xfId="1558" xr:uid="{00000000-0005-0000-0000-00002A720000}"/>
    <cellStyle name="Normal 5 5 3 3 3 2" xfId="3201" xr:uid="{00000000-0005-0000-0000-00002B720000}"/>
    <cellStyle name="Normal 5 5 3 3 3 2 2" xfId="6483" xr:uid="{00000000-0005-0000-0000-00002C720000}"/>
    <cellStyle name="Normal 5 5 3 3 3 2 2 2" xfId="9834" xr:uid="{00000000-0005-0000-0000-00002D720000}"/>
    <cellStyle name="Normal 5 5 3 3 3 2 2 2 2" xfId="17097" xr:uid="{00000000-0005-0000-0000-00002E720000}"/>
    <cellStyle name="Normal 5 5 3 3 3 2 2 2 2 2" xfId="33412" xr:uid="{00000000-0005-0000-0000-00002F720000}"/>
    <cellStyle name="Normal 5 5 3 3 3 2 2 2 3" xfId="26447" xr:uid="{00000000-0005-0000-0000-000030720000}"/>
    <cellStyle name="Normal 5 5 3 3 3 2 2 3" xfId="13176" xr:uid="{00000000-0005-0000-0000-000031720000}"/>
    <cellStyle name="Normal 5 5 3 3 3 2 2 3 2" xfId="29751" xr:uid="{00000000-0005-0000-0000-000032720000}"/>
    <cellStyle name="Normal 5 5 3 3 3 2 2 4" xfId="23147" xr:uid="{00000000-0005-0000-0000-000033720000}"/>
    <cellStyle name="Normal 5 5 3 3 3 2 3" xfId="8213" xr:uid="{00000000-0005-0000-0000-000034720000}"/>
    <cellStyle name="Normal 5 5 3 3 3 2 3 2" xfId="15476" xr:uid="{00000000-0005-0000-0000-000035720000}"/>
    <cellStyle name="Normal 5 5 3 3 3 2 3 2 2" xfId="31791" xr:uid="{00000000-0005-0000-0000-000036720000}"/>
    <cellStyle name="Normal 5 5 3 3 3 2 3 3" xfId="24826" xr:uid="{00000000-0005-0000-0000-000037720000}"/>
    <cellStyle name="Normal 5 5 3 3 3 2 4" xfId="11528" xr:uid="{00000000-0005-0000-0000-000038720000}"/>
    <cellStyle name="Normal 5 5 3 3 3 2 4 2" xfId="28126" xr:uid="{00000000-0005-0000-0000-000039720000}"/>
    <cellStyle name="Normal 5 5 3 3 3 2 5" xfId="4803" xr:uid="{00000000-0005-0000-0000-00003A720000}"/>
    <cellStyle name="Normal 5 5 3 3 3 2 5 2" xfId="21526" xr:uid="{00000000-0005-0000-0000-00003B720000}"/>
    <cellStyle name="Normal 5 5 3 3 3 2 6" xfId="19928" xr:uid="{00000000-0005-0000-0000-00003C720000}"/>
    <cellStyle name="Normal 5 5 3 3 3 3" xfId="3200" xr:uid="{00000000-0005-0000-0000-00003D720000}"/>
    <cellStyle name="Normal 5 5 3 3 3 3 2" xfId="9022" xr:uid="{00000000-0005-0000-0000-00003E720000}"/>
    <cellStyle name="Normal 5 5 3 3 3 3 2 2" xfId="16285" xr:uid="{00000000-0005-0000-0000-00003F720000}"/>
    <cellStyle name="Normal 5 5 3 3 3 3 2 2 2" xfId="32600" xr:uid="{00000000-0005-0000-0000-000040720000}"/>
    <cellStyle name="Normal 5 5 3 3 3 3 2 3" xfId="25635" xr:uid="{00000000-0005-0000-0000-000041720000}"/>
    <cellStyle name="Normal 5 5 3 3 3 3 3" xfId="12364" xr:uid="{00000000-0005-0000-0000-000042720000}"/>
    <cellStyle name="Normal 5 5 3 3 3 3 3 2" xfId="28939" xr:uid="{00000000-0005-0000-0000-000043720000}"/>
    <cellStyle name="Normal 5 5 3 3 3 3 4" xfId="5671" xr:uid="{00000000-0005-0000-0000-000044720000}"/>
    <cellStyle name="Normal 5 5 3 3 3 3 4 2" xfId="22335" xr:uid="{00000000-0005-0000-0000-000045720000}"/>
    <cellStyle name="Normal 5 5 3 3 3 3 5" xfId="19927" xr:uid="{00000000-0005-0000-0000-000046720000}"/>
    <cellStyle name="Normal 5 5 3 3 3 4" xfId="7401" xr:uid="{00000000-0005-0000-0000-000047720000}"/>
    <cellStyle name="Normal 5 5 3 3 3 4 2" xfId="14664" xr:uid="{00000000-0005-0000-0000-000048720000}"/>
    <cellStyle name="Normal 5 5 3 3 3 4 2 2" xfId="30979" xr:uid="{00000000-0005-0000-0000-000049720000}"/>
    <cellStyle name="Normal 5 5 3 3 3 4 3" xfId="24014" xr:uid="{00000000-0005-0000-0000-00004A720000}"/>
    <cellStyle name="Normal 5 5 3 3 3 5" xfId="10716" xr:uid="{00000000-0005-0000-0000-00004B720000}"/>
    <cellStyle name="Normal 5 5 3 3 3 5 2" xfId="27314" xr:uid="{00000000-0005-0000-0000-00004C720000}"/>
    <cellStyle name="Normal 5 5 3 3 3 6" xfId="4802" xr:uid="{00000000-0005-0000-0000-00004D720000}"/>
    <cellStyle name="Normal 5 5 3 3 3 6 2" xfId="21525" xr:uid="{00000000-0005-0000-0000-00004E720000}"/>
    <cellStyle name="Normal 5 5 3 3 3 7" xfId="18293" xr:uid="{00000000-0005-0000-0000-00004F720000}"/>
    <cellStyle name="Normal 5 5 3 3 4" xfId="3202" xr:uid="{00000000-0005-0000-0000-000050720000}"/>
    <cellStyle name="Normal 5 5 3 3 4 2" xfId="6077" xr:uid="{00000000-0005-0000-0000-000051720000}"/>
    <cellStyle name="Normal 5 5 3 3 4 2 2" xfId="9428" xr:uid="{00000000-0005-0000-0000-000052720000}"/>
    <cellStyle name="Normal 5 5 3 3 4 2 2 2" xfId="16691" xr:uid="{00000000-0005-0000-0000-000053720000}"/>
    <cellStyle name="Normal 5 5 3 3 4 2 2 2 2" xfId="33006" xr:uid="{00000000-0005-0000-0000-000054720000}"/>
    <cellStyle name="Normal 5 5 3 3 4 2 2 3" xfId="26041" xr:uid="{00000000-0005-0000-0000-000055720000}"/>
    <cellStyle name="Normal 5 5 3 3 4 2 3" xfId="12770" xr:uid="{00000000-0005-0000-0000-000056720000}"/>
    <cellStyle name="Normal 5 5 3 3 4 2 3 2" xfId="29345" xr:uid="{00000000-0005-0000-0000-000057720000}"/>
    <cellStyle name="Normal 5 5 3 3 4 2 4" xfId="22741" xr:uid="{00000000-0005-0000-0000-000058720000}"/>
    <cellStyle name="Normal 5 5 3 3 4 3" xfId="7807" xr:uid="{00000000-0005-0000-0000-000059720000}"/>
    <cellStyle name="Normal 5 5 3 3 4 3 2" xfId="15070" xr:uid="{00000000-0005-0000-0000-00005A720000}"/>
    <cellStyle name="Normal 5 5 3 3 4 3 2 2" xfId="31385" xr:uid="{00000000-0005-0000-0000-00005B720000}"/>
    <cellStyle name="Normal 5 5 3 3 4 3 3" xfId="24420" xr:uid="{00000000-0005-0000-0000-00005C720000}"/>
    <cellStyle name="Normal 5 5 3 3 4 4" xfId="11122" xr:uid="{00000000-0005-0000-0000-00005D720000}"/>
    <cellStyle name="Normal 5 5 3 3 4 4 2" xfId="27720" xr:uid="{00000000-0005-0000-0000-00005E720000}"/>
    <cellStyle name="Normal 5 5 3 3 4 5" xfId="4804" xr:uid="{00000000-0005-0000-0000-00005F720000}"/>
    <cellStyle name="Normal 5 5 3 3 4 5 2" xfId="21527" xr:uid="{00000000-0005-0000-0000-000060720000}"/>
    <cellStyle name="Normal 5 5 3 3 4 6" xfId="19929" xr:uid="{00000000-0005-0000-0000-000061720000}"/>
    <cellStyle name="Normal 5 5 3 3 5" xfId="3195" xr:uid="{00000000-0005-0000-0000-000062720000}"/>
    <cellStyle name="Normal 5 5 3 3 5 2" xfId="8619" xr:uid="{00000000-0005-0000-0000-000063720000}"/>
    <cellStyle name="Normal 5 5 3 3 5 2 2" xfId="15882" xr:uid="{00000000-0005-0000-0000-000064720000}"/>
    <cellStyle name="Normal 5 5 3 3 5 2 2 2" xfId="32197" xr:uid="{00000000-0005-0000-0000-000065720000}"/>
    <cellStyle name="Normal 5 5 3 3 5 2 3" xfId="25232" xr:uid="{00000000-0005-0000-0000-000066720000}"/>
    <cellStyle name="Normal 5 5 3 3 5 3" xfId="11961" xr:uid="{00000000-0005-0000-0000-000067720000}"/>
    <cellStyle name="Normal 5 5 3 3 5 3 2" xfId="28536" xr:uid="{00000000-0005-0000-0000-000068720000}"/>
    <cellStyle name="Normal 5 5 3 3 5 4" xfId="5268" xr:uid="{00000000-0005-0000-0000-000069720000}"/>
    <cellStyle name="Normal 5 5 3 3 5 4 2" xfId="21932" xr:uid="{00000000-0005-0000-0000-00006A720000}"/>
    <cellStyle name="Normal 5 5 3 3 5 5" xfId="19922" xr:uid="{00000000-0005-0000-0000-00006B720000}"/>
    <cellStyle name="Normal 5 5 3 3 6" xfId="7000" xr:uid="{00000000-0005-0000-0000-00006C720000}"/>
    <cellStyle name="Normal 5 5 3 3 6 2" xfId="14263" xr:uid="{00000000-0005-0000-0000-00006D720000}"/>
    <cellStyle name="Normal 5 5 3 3 6 2 2" xfId="30578" xr:uid="{00000000-0005-0000-0000-00006E720000}"/>
    <cellStyle name="Normal 5 5 3 3 6 3" xfId="23613" xr:uid="{00000000-0005-0000-0000-00006F720000}"/>
    <cellStyle name="Normal 5 5 3 3 7" xfId="10314" xr:uid="{00000000-0005-0000-0000-000070720000}"/>
    <cellStyle name="Normal 5 5 3 3 7 2" xfId="26913" xr:uid="{00000000-0005-0000-0000-000071720000}"/>
    <cellStyle name="Normal 5 5 3 3 8" xfId="4797" xr:uid="{00000000-0005-0000-0000-000072720000}"/>
    <cellStyle name="Normal 5 5 3 3 8 2" xfId="21520" xr:uid="{00000000-0005-0000-0000-000073720000}"/>
    <cellStyle name="Normal 5 5 3 3 9" xfId="17774" xr:uid="{00000000-0005-0000-0000-000074720000}"/>
    <cellStyle name="Normal 5 5 3 4" xfId="1241" xr:uid="{00000000-0005-0000-0000-000075720000}"/>
    <cellStyle name="Normal 5 5 3 4 2" xfId="1762" xr:uid="{00000000-0005-0000-0000-000076720000}"/>
    <cellStyle name="Normal 5 5 3 4 2 2" xfId="3205" xr:uid="{00000000-0005-0000-0000-000077720000}"/>
    <cellStyle name="Normal 5 5 3 4 2 2 2" xfId="6656" xr:uid="{00000000-0005-0000-0000-000078720000}"/>
    <cellStyle name="Normal 5 5 3 4 2 2 2 2" xfId="10007" xr:uid="{00000000-0005-0000-0000-000079720000}"/>
    <cellStyle name="Normal 5 5 3 4 2 2 2 2 2" xfId="17270" xr:uid="{00000000-0005-0000-0000-00007A720000}"/>
    <cellStyle name="Normal 5 5 3 4 2 2 2 2 2 2" xfId="33585" xr:uid="{00000000-0005-0000-0000-00007B720000}"/>
    <cellStyle name="Normal 5 5 3 4 2 2 2 2 3" xfId="26620" xr:uid="{00000000-0005-0000-0000-00007C720000}"/>
    <cellStyle name="Normal 5 5 3 4 2 2 2 3" xfId="13349" xr:uid="{00000000-0005-0000-0000-00007D720000}"/>
    <cellStyle name="Normal 5 5 3 4 2 2 2 3 2" xfId="29924" xr:uid="{00000000-0005-0000-0000-00007E720000}"/>
    <cellStyle name="Normal 5 5 3 4 2 2 2 4" xfId="23320" xr:uid="{00000000-0005-0000-0000-00007F720000}"/>
    <cellStyle name="Normal 5 5 3 4 2 2 3" xfId="8386" xr:uid="{00000000-0005-0000-0000-000080720000}"/>
    <cellStyle name="Normal 5 5 3 4 2 2 3 2" xfId="15649" xr:uid="{00000000-0005-0000-0000-000081720000}"/>
    <cellStyle name="Normal 5 5 3 4 2 2 3 2 2" xfId="31964" xr:uid="{00000000-0005-0000-0000-000082720000}"/>
    <cellStyle name="Normal 5 5 3 4 2 2 3 3" xfId="24999" xr:uid="{00000000-0005-0000-0000-000083720000}"/>
    <cellStyle name="Normal 5 5 3 4 2 2 4" xfId="11701" xr:uid="{00000000-0005-0000-0000-000084720000}"/>
    <cellStyle name="Normal 5 5 3 4 2 2 4 2" xfId="28299" xr:uid="{00000000-0005-0000-0000-000085720000}"/>
    <cellStyle name="Normal 5 5 3 4 2 2 5" xfId="4807" xr:uid="{00000000-0005-0000-0000-000086720000}"/>
    <cellStyle name="Normal 5 5 3 4 2 2 5 2" xfId="21530" xr:uid="{00000000-0005-0000-0000-000087720000}"/>
    <cellStyle name="Normal 5 5 3 4 2 2 6" xfId="19932" xr:uid="{00000000-0005-0000-0000-000088720000}"/>
    <cellStyle name="Normal 5 5 3 4 2 3" xfId="3204" xr:uid="{00000000-0005-0000-0000-000089720000}"/>
    <cellStyle name="Normal 5 5 3 4 2 3 2" xfId="9231" xr:uid="{00000000-0005-0000-0000-00008A720000}"/>
    <cellStyle name="Normal 5 5 3 4 2 3 2 2" xfId="16494" xr:uid="{00000000-0005-0000-0000-00008B720000}"/>
    <cellStyle name="Normal 5 5 3 4 2 3 2 2 2" xfId="32809" xr:uid="{00000000-0005-0000-0000-00008C720000}"/>
    <cellStyle name="Normal 5 5 3 4 2 3 2 3" xfId="25844" xr:uid="{00000000-0005-0000-0000-00008D720000}"/>
    <cellStyle name="Normal 5 5 3 4 2 3 3" xfId="12573" xr:uid="{00000000-0005-0000-0000-00008E720000}"/>
    <cellStyle name="Normal 5 5 3 4 2 3 3 2" xfId="29148" xr:uid="{00000000-0005-0000-0000-00008F720000}"/>
    <cellStyle name="Normal 5 5 3 4 2 3 4" xfId="5880" xr:uid="{00000000-0005-0000-0000-000090720000}"/>
    <cellStyle name="Normal 5 5 3 4 2 3 4 2" xfId="22544" xr:uid="{00000000-0005-0000-0000-000091720000}"/>
    <cellStyle name="Normal 5 5 3 4 2 3 5" xfId="19931" xr:uid="{00000000-0005-0000-0000-000092720000}"/>
    <cellStyle name="Normal 5 5 3 4 2 4" xfId="7610" xr:uid="{00000000-0005-0000-0000-000093720000}"/>
    <cellStyle name="Normal 5 5 3 4 2 4 2" xfId="14873" xr:uid="{00000000-0005-0000-0000-000094720000}"/>
    <cellStyle name="Normal 5 5 3 4 2 4 2 2" xfId="31188" xr:uid="{00000000-0005-0000-0000-000095720000}"/>
    <cellStyle name="Normal 5 5 3 4 2 4 3" xfId="24223" xr:uid="{00000000-0005-0000-0000-000096720000}"/>
    <cellStyle name="Normal 5 5 3 4 2 5" xfId="10925" xr:uid="{00000000-0005-0000-0000-000097720000}"/>
    <cellStyle name="Normal 5 5 3 4 2 5 2" xfId="27523" xr:uid="{00000000-0005-0000-0000-000098720000}"/>
    <cellStyle name="Normal 5 5 3 4 2 6" xfId="4806" xr:uid="{00000000-0005-0000-0000-000099720000}"/>
    <cellStyle name="Normal 5 5 3 4 2 6 2" xfId="21529" xr:uid="{00000000-0005-0000-0000-00009A720000}"/>
    <cellStyle name="Normal 5 5 3 4 2 7" xfId="18497" xr:uid="{00000000-0005-0000-0000-00009B720000}"/>
    <cellStyle name="Normal 5 5 3 4 3" xfId="3206" xr:uid="{00000000-0005-0000-0000-00009C720000}"/>
    <cellStyle name="Normal 5 5 3 4 3 2" xfId="6286" xr:uid="{00000000-0005-0000-0000-00009D720000}"/>
    <cellStyle name="Normal 5 5 3 4 3 2 2" xfId="9637" xr:uid="{00000000-0005-0000-0000-00009E720000}"/>
    <cellStyle name="Normal 5 5 3 4 3 2 2 2" xfId="16900" xr:uid="{00000000-0005-0000-0000-00009F720000}"/>
    <cellStyle name="Normal 5 5 3 4 3 2 2 2 2" xfId="33215" xr:uid="{00000000-0005-0000-0000-0000A0720000}"/>
    <cellStyle name="Normal 5 5 3 4 3 2 2 3" xfId="26250" xr:uid="{00000000-0005-0000-0000-0000A1720000}"/>
    <cellStyle name="Normal 5 5 3 4 3 2 3" xfId="12979" xr:uid="{00000000-0005-0000-0000-0000A2720000}"/>
    <cellStyle name="Normal 5 5 3 4 3 2 3 2" xfId="29554" xr:uid="{00000000-0005-0000-0000-0000A3720000}"/>
    <cellStyle name="Normal 5 5 3 4 3 2 4" xfId="22950" xr:uid="{00000000-0005-0000-0000-0000A4720000}"/>
    <cellStyle name="Normal 5 5 3 4 3 3" xfId="8016" xr:uid="{00000000-0005-0000-0000-0000A5720000}"/>
    <cellStyle name="Normal 5 5 3 4 3 3 2" xfId="15279" xr:uid="{00000000-0005-0000-0000-0000A6720000}"/>
    <cellStyle name="Normal 5 5 3 4 3 3 2 2" xfId="31594" xr:uid="{00000000-0005-0000-0000-0000A7720000}"/>
    <cellStyle name="Normal 5 5 3 4 3 3 3" xfId="24629" xr:uid="{00000000-0005-0000-0000-0000A8720000}"/>
    <cellStyle name="Normal 5 5 3 4 3 4" xfId="11331" xr:uid="{00000000-0005-0000-0000-0000A9720000}"/>
    <cellStyle name="Normal 5 5 3 4 3 4 2" xfId="27929" xr:uid="{00000000-0005-0000-0000-0000AA720000}"/>
    <cellStyle name="Normal 5 5 3 4 3 5" xfId="4808" xr:uid="{00000000-0005-0000-0000-0000AB720000}"/>
    <cellStyle name="Normal 5 5 3 4 3 5 2" xfId="21531" xr:uid="{00000000-0005-0000-0000-0000AC720000}"/>
    <cellStyle name="Normal 5 5 3 4 3 6" xfId="19933" xr:uid="{00000000-0005-0000-0000-0000AD720000}"/>
    <cellStyle name="Normal 5 5 3 4 4" xfId="3203" xr:uid="{00000000-0005-0000-0000-0000AE720000}"/>
    <cellStyle name="Normal 5 5 3 4 4 2" xfId="8824" xr:uid="{00000000-0005-0000-0000-0000AF720000}"/>
    <cellStyle name="Normal 5 5 3 4 4 2 2" xfId="16087" xr:uid="{00000000-0005-0000-0000-0000B0720000}"/>
    <cellStyle name="Normal 5 5 3 4 4 2 2 2" xfId="32402" xr:uid="{00000000-0005-0000-0000-0000B1720000}"/>
    <cellStyle name="Normal 5 5 3 4 4 2 3" xfId="25437" xr:uid="{00000000-0005-0000-0000-0000B2720000}"/>
    <cellStyle name="Normal 5 5 3 4 4 3" xfId="12166" xr:uid="{00000000-0005-0000-0000-0000B3720000}"/>
    <cellStyle name="Normal 5 5 3 4 4 3 2" xfId="28741" xr:uid="{00000000-0005-0000-0000-0000B4720000}"/>
    <cellStyle name="Normal 5 5 3 4 4 4" xfId="5473" xr:uid="{00000000-0005-0000-0000-0000B5720000}"/>
    <cellStyle name="Normal 5 5 3 4 4 4 2" xfId="22137" xr:uid="{00000000-0005-0000-0000-0000B6720000}"/>
    <cellStyle name="Normal 5 5 3 4 4 5" xfId="19930" xr:uid="{00000000-0005-0000-0000-0000B7720000}"/>
    <cellStyle name="Normal 5 5 3 4 5" xfId="7204" xr:uid="{00000000-0005-0000-0000-0000B8720000}"/>
    <cellStyle name="Normal 5 5 3 4 5 2" xfId="14467" xr:uid="{00000000-0005-0000-0000-0000B9720000}"/>
    <cellStyle name="Normal 5 5 3 4 5 2 2" xfId="30782" xr:uid="{00000000-0005-0000-0000-0000BA720000}"/>
    <cellStyle name="Normal 5 5 3 4 5 3" xfId="23817" xr:uid="{00000000-0005-0000-0000-0000BB720000}"/>
    <cellStyle name="Normal 5 5 3 4 6" xfId="10519" xr:uid="{00000000-0005-0000-0000-0000BC720000}"/>
    <cellStyle name="Normal 5 5 3 4 6 2" xfId="27117" xr:uid="{00000000-0005-0000-0000-0000BD720000}"/>
    <cellStyle name="Normal 5 5 3 4 7" xfId="4805" xr:uid="{00000000-0005-0000-0000-0000BE720000}"/>
    <cellStyle name="Normal 5 5 3 4 7 2" xfId="21528" xr:uid="{00000000-0005-0000-0000-0000BF720000}"/>
    <cellStyle name="Normal 5 5 3 4 8" xfId="17978" xr:uid="{00000000-0005-0000-0000-0000C0720000}"/>
    <cellStyle name="Normal 5 5 3 5" xfId="1452" xr:uid="{00000000-0005-0000-0000-0000C1720000}"/>
    <cellStyle name="Normal 5 5 3 5 2" xfId="3208" xr:uid="{00000000-0005-0000-0000-0000C2720000}"/>
    <cellStyle name="Normal 5 5 3 5 2 2" xfId="6480" xr:uid="{00000000-0005-0000-0000-0000C3720000}"/>
    <cellStyle name="Normal 5 5 3 5 2 2 2" xfId="9831" xr:uid="{00000000-0005-0000-0000-0000C4720000}"/>
    <cellStyle name="Normal 5 5 3 5 2 2 2 2" xfId="17094" xr:uid="{00000000-0005-0000-0000-0000C5720000}"/>
    <cellStyle name="Normal 5 5 3 5 2 2 2 2 2" xfId="33409" xr:uid="{00000000-0005-0000-0000-0000C6720000}"/>
    <cellStyle name="Normal 5 5 3 5 2 2 2 3" xfId="26444" xr:uid="{00000000-0005-0000-0000-0000C7720000}"/>
    <cellStyle name="Normal 5 5 3 5 2 2 3" xfId="13173" xr:uid="{00000000-0005-0000-0000-0000C8720000}"/>
    <cellStyle name="Normal 5 5 3 5 2 2 3 2" xfId="29748" xr:uid="{00000000-0005-0000-0000-0000C9720000}"/>
    <cellStyle name="Normal 5 5 3 5 2 2 4" xfId="23144" xr:uid="{00000000-0005-0000-0000-0000CA720000}"/>
    <cellStyle name="Normal 5 5 3 5 2 3" xfId="8210" xr:uid="{00000000-0005-0000-0000-0000CB720000}"/>
    <cellStyle name="Normal 5 5 3 5 2 3 2" xfId="15473" xr:uid="{00000000-0005-0000-0000-0000CC720000}"/>
    <cellStyle name="Normal 5 5 3 5 2 3 2 2" xfId="31788" xr:uid="{00000000-0005-0000-0000-0000CD720000}"/>
    <cellStyle name="Normal 5 5 3 5 2 3 3" xfId="24823" xr:uid="{00000000-0005-0000-0000-0000CE720000}"/>
    <cellStyle name="Normal 5 5 3 5 2 4" xfId="11525" xr:uid="{00000000-0005-0000-0000-0000CF720000}"/>
    <cellStyle name="Normal 5 5 3 5 2 4 2" xfId="28123" xr:uid="{00000000-0005-0000-0000-0000D0720000}"/>
    <cellStyle name="Normal 5 5 3 5 2 5" xfId="4810" xr:uid="{00000000-0005-0000-0000-0000D1720000}"/>
    <cellStyle name="Normal 5 5 3 5 2 5 2" xfId="21533" xr:uid="{00000000-0005-0000-0000-0000D2720000}"/>
    <cellStyle name="Normal 5 5 3 5 2 6" xfId="19935" xr:uid="{00000000-0005-0000-0000-0000D3720000}"/>
    <cellStyle name="Normal 5 5 3 5 3" xfId="3207" xr:uid="{00000000-0005-0000-0000-0000D4720000}"/>
    <cellStyle name="Normal 5 5 3 5 3 2" xfId="9019" xr:uid="{00000000-0005-0000-0000-0000D5720000}"/>
    <cellStyle name="Normal 5 5 3 5 3 2 2" xfId="16282" xr:uid="{00000000-0005-0000-0000-0000D6720000}"/>
    <cellStyle name="Normal 5 5 3 5 3 2 2 2" xfId="32597" xr:uid="{00000000-0005-0000-0000-0000D7720000}"/>
    <cellStyle name="Normal 5 5 3 5 3 2 3" xfId="25632" xr:uid="{00000000-0005-0000-0000-0000D8720000}"/>
    <cellStyle name="Normal 5 5 3 5 3 3" xfId="12361" xr:uid="{00000000-0005-0000-0000-0000D9720000}"/>
    <cellStyle name="Normal 5 5 3 5 3 3 2" xfId="28936" xr:uid="{00000000-0005-0000-0000-0000DA720000}"/>
    <cellStyle name="Normal 5 5 3 5 3 4" xfId="5668" xr:uid="{00000000-0005-0000-0000-0000DB720000}"/>
    <cellStyle name="Normal 5 5 3 5 3 4 2" xfId="22332" xr:uid="{00000000-0005-0000-0000-0000DC720000}"/>
    <cellStyle name="Normal 5 5 3 5 3 5" xfId="19934" xr:uid="{00000000-0005-0000-0000-0000DD720000}"/>
    <cellStyle name="Normal 5 5 3 5 4" xfId="7398" xr:uid="{00000000-0005-0000-0000-0000DE720000}"/>
    <cellStyle name="Normal 5 5 3 5 4 2" xfId="14661" xr:uid="{00000000-0005-0000-0000-0000DF720000}"/>
    <cellStyle name="Normal 5 5 3 5 4 2 2" xfId="30976" xr:uid="{00000000-0005-0000-0000-0000E0720000}"/>
    <cellStyle name="Normal 5 5 3 5 4 3" xfId="24011" xr:uid="{00000000-0005-0000-0000-0000E1720000}"/>
    <cellStyle name="Normal 5 5 3 5 5" xfId="10713" xr:uid="{00000000-0005-0000-0000-0000E2720000}"/>
    <cellStyle name="Normal 5 5 3 5 5 2" xfId="27311" xr:uid="{00000000-0005-0000-0000-0000E3720000}"/>
    <cellStyle name="Normal 5 5 3 5 6" xfId="4809" xr:uid="{00000000-0005-0000-0000-0000E4720000}"/>
    <cellStyle name="Normal 5 5 3 5 6 2" xfId="21532" xr:uid="{00000000-0005-0000-0000-0000E5720000}"/>
    <cellStyle name="Normal 5 5 3 5 7" xfId="18187" xr:uid="{00000000-0005-0000-0000-0000E6720000}"/>
    <cellStyle name="Normal 5 5 3 6" xfId="3209" xr:uid="{00000000-0005-0000-0000-0000E7720000}"/>
    <cellStyle name="Normal 5 5 3 6 2" xfId="6074" xr:uid="{00000000-0005-0000-0000-0000E8720000}"/>
    <cellStyle name="Normal 5 5 3 6 2 2" xfId="9425" xr:uid="{00000000-0005-0000-0000-0000E9720000}"/>
    <cellStyle name="Normal 5 5 3 6 2 2 2" xfId="16688" xr:uid="{00000000-0005-0000-0000-0000EA720000}"/>
    <cellStyle name="Normal 5 5 3 6 2 2 2 2" xfId="33003" xr:uid="{00000000-0005-0000-0000-0000EB720000}"/>
    <cellStyle name="Normal 5 5 3 6 2 2 3" xfId="26038" xr:uid="{00000000-0005-0000-0000-0000EC720000}"/>
    <cellStyle name="Normal 5 5 3 6 2 3" xfId="12767" xr:uid="{00000000-0005-0000-0000-0000ED720000}"/>
    <cellStyle name="Normal 5 5 3 6 2 3 2" xfId="29342" xr:uid="{00000000-0005-0000-0000-0000EE720000}"/>
    <cellStyle name="Normal 5 5 3 6 2 4" xfId="22738" xr:uid="{00000000-0005-0000-0000-0000EF720000}"/>
    <cellStyle name="Normal 5 5 3 6 3" xfId="7804" xr:uid="{00000000-0005-0000-0000-0000F0720000}"/>
    <cellStyle name="Normal 5 5 3 6 3 2" xfId="15067" xr:uid="{00000000-0005-0000-0000-0000F1720000}"/>
    <cellStyle name="Normal 5 5 3 6 3 2 2" xfId="31382" xr:uid="{00000000-0005-0000-0000-0000F2720000}"/>
    <cellStyle name="Normal 5 5 3 6 3 3" xfId="24417" xr:uid="{00000000-0005-0000-0000-0000F3720000}"/>
    <cellStyle name="Normal 5 5 3 6 4" xfId="11119" xr:uid="{00000000-0005-0000-0000-0000F4720000}"/>
    <cellStyle name="Normal 5 5 3 6 4 2" xfId="27717" xr:uid="{00000000-0005-0000-0000-0000F5720000}"/>
    <cellStyle name="Normal 5 5 3 6 5" xfId="4811" xr:uid="{00000000-0005-0000-0000-0000F6720000}"/>
    <cellStyle name="Normal 5 5 3 6 5 2" xfId="21534" xr:uid="{00000000-0005-0000-0000-0000F7720000}"/>
    <cellStyle name="Normal 5 5 3 6 6" xfId="19936" xr:uid="{00000000-0005-0000-0000-0000F8720000}"/>
    <cellStyle name="Normal 5 5 3 7" xfId="3178" xr:uid="{00000000-0005-0000-0000-0000F9720000}"/>
    <cellStyle name="Normal 5 5 3 7 2" xfId="8513" xr:uid="{00000000-0005-0000-0000-0000FA720000}"/>
    <cellStyle name="Normal 5 5 3 7 2 2" xfId="15776" xr:uid="{00000000-0005-0000-0000-0000FB720000}"/>
    <cellStyle name="Normal 5 5 3 7 2 2 2" xfId="32091" xr:uid="{00000000-0005-0000-0000-0000FC720000}"/>
    <cellStyle name="Normal 5 5 3 7 2 3" xfId="25126" xr:uid="{00000000-0005-0000-0000-0000FD720000}"/>
    <cellStyle name="Normal 5 5 3 7 3" xfId="11855" xr:uid="{00000000-0005-0000-0000-0000FE720000}"/>
    <cellStyle name="Normal 5 5 3 7 3 2" xfId="28430" xr:uid="{00000000-0005-0000-0000-0000FF720000}"/>
    <cellStyle name="Normal 5 5 3 7 4" xfId="5162" xr:uid="{00000000-0005-0000-0000-000000730000}"/>
    <cellStyle name="Normal 5 5 3 7 4 2" xfId="21826" xr:uid="{00000000-0005-0000-0000-000001730000}"/>
    <cellStyle name="Normal 5 5 3 7 5" xfId="19905" xr:uid="{00000000-0005-0000-0000-000002730000}"/>
    <cellStyle name="Normal 5 5 3 8" xfId="6894" xr:uid="{00000000-0005-0000-0000-000003730000}"/>
    <cellStyle name="Normal 5 5 3 8 2" xfId="14157" xr:uid="{00000000-0005-0000-0000-000004730000}"/>
    <cellStyle name="Normal 5 5 3 8 2 2" xfId="30472" xr:uid="{00000000-0005-0000-0000-000005730000}"/>
    <cellStyle name="Normal 5 5 3 8 3" xfId="23507" xr:uid="{00000000-0005-0000-0000-000006730000}"/>
    <cellStyle name="Normal 5 5 3 9" xfId="10208" xr:uid="{00000000-0005-0000-0000-000007730000}"/>
    <cellStyle name="Normal 5 5 3 9 2" xfId="26807" xr:uid="{00000000-0005-0000-0000-000008730000}"/>
    <cellStyle name="Normal 5 5 4" xfId="3210" xr:uid="{00000000-0005-0000-0000-000009730000}"/>
    <cellStyle name="Normal 5 5 4 2" xfId="3211" xr:uid="{00000000-0005-0000-0000-00000A730000}"/>
    <cellStyle name="Normal 5 5 4 2 2" xfId="3212" xr:uid="{00000000-0005-0000-0000-00000B730000}"/>
    <cellStyle name="Normal 5 5 4 2 2 2" xfId="6698" xr:uid="{00000000-0005-0000-0000-00000C730000}"/>
    <cellStyle name="Normal 5 5 4 2 2 2 2" xfId="10049" xr:uid="{00000000-0005-0000-0000-00000D730000}"/>
    <cellStyle name="Normal 5 5 4 2 2 2 2 2" xfId="17312" xr:uid="{00000000-0005-0000-0000-00000E730000}"/>
    <cellStyle name="Normal 5 5 4 2 2 2 2 2 2" xfId="33627" xr:uid="{00000000-0005-0000-0000-00000F730000}"/>
    <cellStyle name="Normal 5 5 4 2 2 2 2 3" xfId="26662" xr:uid="{00000000-0005-0000-0000-000010730000}"/>
    <cellStyle name="Normal 5 5 4 2 2 2 3" xfId="13391" xr:uid="{00000000-0005-0000-0000-000011730000}"/>
    <cellStyle name="Normal 5 5 4 2 2 2 3 2" xfId="29966" xr:uid="{00000000-0005-0000-0000-000012730000}"/>
    <cellStyle name="Normal 5 5 4 2 2 2 4" xfId="23362" xr:uid="{00000000-0005-0000-0000-000013730000}"/>
    <cellStyle name="Normal 5 5 4 2 2 3" xfId="8428" xr:uid="{00000000-0005-0000-0000-000014730000}"/>
    <cellStyle name="Normal 5 5 4 2 2 3 2" xfId="15691" xr:uid="{00000000-0005-0000-0000-000015730000}"/>
    <cellStyle name="Normal 5 5 4 2 2 3 2 2" xfId="32006" xr:uid="{00000000-0005-0000-0000-000016730000}"/>
    <cellStyle name="Normal 5 5 4 2 2 3 3" xfId="25041" xr:uid="{00000000-0005-0000-0000-000017730000}"/>
    <cellStyle name="Normal 5 5 4 2 2 4" xfId="11743" xr:uid="{00000000-0005-0000-0000-000018730000}"/>
    <cellStyle name="Normal 5 5 4 2 2 4 2" xfId="28341" xr:uid="{00000000-0005-0000-0000-000019730000}"/>
    <cellStyle name="Normal 5 5 4 2 2 5" xfId="4814" xr:uid="{00000000-0005-0000-0000-00001A730000}"/>
    <cellStyle name="Normal 5 5 4 2 2 5 2" xfId="21537" xr:uid="{00000000-0005-0000-0000-00001B730000}"/>
    <cellStyle name="Normal 5 5 4 2 2 6" xfId="19939" xr:uid="{00000000-0005-0000-0000-00001C730000}"/>
    <cellStyle name="Normal 5 5 4 2 3" xfId="5922" xr:uid="{00000000-0005-0000-0000-00001D730000}"/>
    <cellStyle name="Normal 5 5 4 2 3 2" xfId="9273" xr:uid="{00000000-0005-0000-0000-00001E730000}"/>
    <cellStyle name="Normal 5 5 4 2 3 2 2" xfId="16536" xr:uid="{00000000-0005-0000-0000-00001F730000}"/>
    <cellStyle name="Normal 5 5 4 2 3 2 2 2" xfId="32851" xr:uid="{00000000-0005-0000-0000-000020730000}"/>
    <cellStyle name="Normal 5 5 4 2 3 2 3" xfId="25886" xr:uid="{00000000-0005-0000-0000-000021730000}"/>
    <cellStyle name="Normal 5 5 4 2 3 3" xfId="12615" xr:uid="{00000000-0005-0000-0000-000022730000}"/>
    <cellStyle name="Normal 5 5 4 2 3 3 2" xfId="29190" xr:uid="{00000000-0005-0000-0000-000023730000}"/>
    <cellStyle name="Normal 5 5 4 2 3 4" xfId="22586" xr:uid="{00000000-0005-0000-0000-000024730000}"/>
    <cellStyle name="Normal 5 5 4 2 4" xfId="7652" xr:uid="{00000000-0005-0000-0000-000025730000}"/>
    <cellStyle name="Normal 5 5 4 2 4 2" xfId="14915" xr:uid="{00000000-0005-0000-0000-000026730000}"/>
    <cellStyle name="Normal 5 5 4 2 4 2 2" xfId="31230" xr:uid="{00000000-0005-0000-0000-000027730000}"/>
    <cellStyle name="Normal 5 5 4 2 4 3" xfId="24265" xr:uid="{00000000-0005-0000-0000-000028730000}"/>
    <cellStyle name="Normal 5 5 4 2 5" xfId="10967" xr:uid="{00000000-0005-0000-0000-000029730000}"/>
    <cellStyle name="Normal 5 5 4 2 5 2" xfId="27565" xr:uid="{00000000-0005-0000-0000-00002A730000}"/>
    <cellStyle name="Normal 5 5 4 2 6" xfId="4813" xr:uid="{00000000-0005-0000-0000-00002B730000}"/>
    <cellStyle name="Normal 5 5 4 2 6 2" xfId="21536" xr:uid="{00000000-0005-0000-0000-00002C730000}"/>
    <cellStyle name="Normal 5 5 4 2 7" xfId="19938" xr:uid="{00000000-0005-0000-0000-00002D730000}"/>
    <cellStyle name="Normal 5 5 4 3" xfId="3213" xr:uid="{00000000-0005-0000-0000-00002E730000}"/>
    <cellStyle name="Normal 5 5 4 3 2" xfId="6328" xr:uid="{00000000-0005-0000-0000-00002F730000}"/>
    <cellStyle name="Normal 5 5 4 3 2 2" xfId="9679" xr:uid="{00000000-0005-0000-0000-000030730000}"/>
    <cellStyle name="Normal 5 5 4 3 2 2 2" xfId="16942" xr:uid="{00000000-0005-0000-0000-000031730000}"/>
    <cellStyle name="Normal 5 5 4 3 2 2 2 2" xfId="33257" xr:uid="{00000000-0005-0000-0000-000032730000}"/>
    <cellStyle name="Normal 5 5 4 3 2 2 3" xfId="26292" xr:uid="{00000000-0005-0000-0000-000033730000}"/>
    <cellStyle name="Normal 5 5 4 3 2 3" xfId="13021" xr:uid="{00000000-0005-0000-0000-000034730000}"/>
    <cellStyle name="Normal 5 5 4 3 2 3 2" xfId="29596" xr:uid="{00000000-0005-0000-0000-000035730000}"/>
    <cellStyle name="Normal 5 5 4 3 2 4" xfId="22992" xr:uid="{00000000-0005-0000-0000-000036730000}"/>
    <cellStyle name="Normal 5 5 4 3 3" xfId="8058" xr:uid="{00000000-0005-0000-0000-000037730000}"/>
    <cellStyle name="Normal 5 5 4 3 3 2" xfId="15321" xr:uid="{00000000-0005-0000-0000-000038730000}"/>
    <cellStyle name="Normal 5 5 4 3 3 2 2" xfId="31636" xr:uid="{00000000-0005-0000-0000-000039730000}"/>
    <cellStyle name="Normal 5 5 4 3 3 3" xfId="24671" xr:uid="{00000000-0005-0000-0000-00003A730000}"/>
    <cellStyle name="Normal 5 5 4 3 4" xfId="11373" xr:uid="{00000000-0005-0000-0000-00003B730000}"/>
    <cellStyle name="Normal 5 5 4 3 4 2" xfId="27971" xr:uid="{00000000-0005-0000-0000-00003C730000}"/>
    <cellStyle name="Normal 5 5 4 3 5" xfId="4815" xr:uid="{00000000-0005-0000-0000-00003D730000}"/>
    <cellStyle name="Normal 5 5 4 3 5 2" xfId="21538" xr:uid="{00000000-0005-0000-0000-00003E730000}"/>
    <cellStyle name="Normal 5 5 4 3 6" xfId="19940" xr:uid="{00000000-0005-0000-0000-00003F730000}"/>
    <cellStyle name="Normal 5 5 4 4" xfId="5515" xr:uid="{00000000-0005-0000-0000-000040730000}"/>
    <cellStyle name="Normal 5 5 4 4 2" xfId="8866" xr:uid="{00000000-0005-0000-0000-000041730000}"/>
    <cellStyle name="Normal 5 5 4 4 2 2" xfId="16129" xr:uid="{00000000-0005-0000-0000-000042730000}"/>
    <cellStyle name="Normal 5 5 4 4 2 2 2" xfId="32444" xr:uid="{00000000-0005-0000-0000-000043730000}"/>
    <cellStyle name="Normal 5 5 4 4 2 3" xfId="25479" xr:uid="{00000000-0005-0000-0000-000044730000}"/>
    <cellStyle name="Normal 5 5 4 4 3" xfId="12208" xr:uid="{00000000-0005-0000-0000-000045730000}"/>
    <cellStyle name="Normal 5 5 4 4 3 2" xfId="28783" xr:uid="{00000000-0005-0000-0000-000046730000}"/>
    <cellStyle name="Normal 5 5 4 4 4" xfId="22179" xr:uid="{00000000-0005-0000-0000-000047730000}"/>
    <cellStyle name="Normal 5 5 4 5" xfId="7246" xr:uid="{00000000-0005-0000-0000-000048730000}"/>
    <cellStyle name="Normal 5 5 4 5 2" xfId="14509" xr:uid="{00000000-0005-0000-0000-000049730000}"/>
    <cellStyle name="Normal 5 5 4 5 2 2" xfId="30824" xr:uid="{00000000-0005-0000-0000-00004A730000}"/>
    <cellStyle name="Normal 5 5 4 5 3" xfId="23859" xr:uid="{00000000-0005-0000-0000-00004B730000}"/>
    <cellStyle name="Normal 5 5 4 6" xfId="10561" xr:uid="{00000000-0005-0000-0000-00004C730000}"/>
    <cellStyle name="Normal 5 5 4 6 2" xfId="27159" xr:uid="{00000000-0005-0000-0000-00004D730000}"/>
    <cellStyle name="Normal 5 5 4 7" xfId="4812" xr:uid="{00000000-0005-0000-0000-00004E730000}"/>
    <cellStyle name="Normal 5 5 4 7 2" xfId="21535" xr:uid="{00000000-0005-0000-0000-00004F730000}"/>
    <cellStyle name="Normal 5 5 4 8" xfId="19937" xr:uid="{00000000-0005-0000-0000-000050730000}"/>
    <cellStyle name="Normal 5 5 5" xfId="5040" xr:uid="{00000000-0005-0000-0000-000051730000}"/>
    <cellStyle name="Normal 5 5 5 2" xfId="6811" xr:uid="{00000000-0005-0000-0000-000052730000}"/>
    <cellStyle name="Normal 5 5 5 2 2" xfId="10124" xr:uid="{00000000-0005-0000-0000-000053730000}"/>
    <cellStyle name="Normal 5 5 5 2 2 2" xfId="17387" xr:uid="{00000000-0005-0000-0000-000054730000}"/>
    <cellStyle name="Normal 5 5 5 2 2 2 2" xfId="33702" xr:uid="{00000000-0005-0000-0000-000055730000}"/>
    <cellStyle name="Normal 5 5 5 2 2 3" xfId="26737" xr:uid="{00000000-0005-0000-0000-000056730000}"/>
    <cellStyle name="Normal 5 5 5 2 3" xfId="13469" xr:uid="{00000000-0005-0000-0000-000057730000}"/>
    <cellStyle name="Normal 5 5 5 2 3 2" xfId="30041" xr:uid="{00000000-0005-0000-0000-000058730000}"/>
    <cellStyle name="Normal 5 5 5 2 4" xfId="23437" xr:uid="{00000000-0005-0000-0000-000059730000}"/>
    <cellStyle name="Normal 5 5 5 3" xfId="8446" xr:uid="{00000000-0005-0000-0000-00005A730000}"/>
    <cellStyle name="Normal 5 5 5 3 2" xfId="15709" xr:uid="{00000000-0005-0000-0000-00005B730000}"/>
    <cellStyle name="Normal 5 5 5 3 2 2" xfId="32024" xr:uid="{00000000-0005-0000-0000-00005C730000}"/>
    <cellStyle name="Normal 5 5 5 3 3" xfId="25059" xr:uid="{00000000-0005-0000-0000-00005D730000}"/>
    <cellStyle name="Normal 5 5 5 4" xfId="11761" xr:uid="{00000000-0005-0000-0000-00005E730000}"/>
    <cellStyle name="Normal 5 5 5 4 2" xfId="28359" xr:uid="{00000000-0005-0000-0000-00005F730000}"/>
    <cellStyle name="Normal 5 5 5 5" xfId="21759" xr:uid="{00000000-0005-0000-0000-000060730000}"/>
    <cellStyle name="Normal 5 6" xfId="364" xr:uid="{00000000-0005-0000-0000-000061730000}"/>
    <cellStyle name="Normal 5 6 2" xfId="614" xr:uid="{00000000-0005-0000-0000-000062730000}"/>
    <cellStyle name="Normal 5 6 2 10" xfId="10168" xr:uid="{00000000-0005-0000-0000-000063730000}"/>
    <cellStyle name="Normal 5 6 2 10 2" xfId="26773" xr:uid="{00000000-0005-0000-0000-000064730000}"/>
    <cellStyle name="Normal 5 6 2 11" xfId="4816" xr:uid="{00000000-0005-0000-0000-000065730000}"/>
    <cellStyle name="Normal 5 6 2 11 2" xfId="21539" xr:uid="{00000000-0005-0000-0000-000066730000}"/>
    <cellStyle name="Normal 5 6 2 12" xfId="17440" xr:uid="{00000000-0005-0000-0000-000067730000}"/>
    <cellStyle name="Normal 5 6 2 2" xfId="696" xr:uid="{00000000-0005-0000-0000-000068730000}"/>
    <cellStyle name="Normal 5 6 2 2 10" xfId="4817" xr:uid="{00000000-0005-0000-0000-000069730000}"/>
    <cellStyle name="Normal 5 6 2 2 10 2" xfId="21540" xr:uid="{00000000-0005-0000-0000-00006A730000}"/>
    <cellStyle name="Normal 5 6 2 2 11" xfId="17510" xr:uid="{00000000-0005-0000-0000-00006B730000}"/>
    <cellStyle name="Normal 5 6 2 2 2" xfId="924" xr:uid="{00000000-0005-0000-0000-00006C730000}"/>
    <cellStyle name="Normal 5 6 2 2 2 10" xfId="17702" xr:uid="{00000000-0005-0000-0000-00006D730000}"/>
    <cellStyle name="Normal 5 6 2 2 2 2" xfId="1031" xr:uid="{00000000-0005-0000-0000-00006E730000}"/>
    <cellStyle name="Normal 5 6 2 2 2 2 2" xfId="1248" xr:uid="{00000000-0005-0000-0000-00006F730000}"/>
    <cellStyle name="Normal 5 6 2 2 2 2 2 2" xfId="1769" xr:uid="{00000000-0005-0000-0000-000070730000}"/>
    <cellStyle name="Normal 5 6 2 2 2 2 2 2 2" xfId="3220" xr:uid="{00000000-0005-0000-0000-000071730000}"/>
    <cellStyle name="Normal 5 6 2 2 2 2 2 2 2 2" xfId="6663" xr:uid="{00000000-0005-0000-0000-000072730000}"/>
    <cellStyle name="Normal 5 6 2 2 2 2 2 2 2 2 2" xfId="10014" xr:uid="{00000000-0005-0000-0000-000073730000}"/>
    <cellStyle name="Normal 5 6 2 2 2 2 2 2 2 2 2 2" xfId="17277" xr:uid="{00000000-0005-0000-0000-000074730000}"/>
    <cellStyle name="Normal 5 6 2 2 2 2 2 2 2 2 2 2 2" xfId="33592" xr:uid="{00000000-0005-0000-0000-000075730000}"/>
    <cellStyle name="Normal 5 6 2 2 2 2 2 2 2 2 2 3" xfId="26627" xr:uid="{00000000-0005-0000-0000-000076730000}"/>
    <cellStyle name="Normal 5 6 2 2 2 2 2 2 2 2 3" xfId="13356" xr:uid="{00000000-0005-0000-0000-000077730000}"/>
    <cellStyle name="Normal 5 6 2 2 2 2 2 2 2 2 3 2" xfId="29931" xr:uid="{00000000-0005-0000-0000-000078730000}"/>
    <cellStyle name="Normal 5 6 2 2 2 2 2 2 2 2 4" xfId="23327" xr:uid="{00000000-0005-0000-0000-000079730000}"/>
    <cellStyle name="Normal 5 6 2 2 2 2 2 2 2 3" xfId="8393" xr:uid="{00000000-0005-0000-0000-00007A730000}"/>
    <cellStyle name="Normal 5 6 2 2 2 2 2 2 2 3 2" xfId="15656" xr:uid="{00000000-0005-0000-0000-00007B730000}"/>
    <cellStyle name="Normal 5 6 2 2 2 2 2 2 2 3 2 2" xfId="31971" xr:uid="{00000000-0005-0000-0000-00007C730000}"/>
    <cellStyle name="Normal 5 6 2 2 2 2 2 2 2 3 3" xfId="25006" xr:uid="{00000000-0005-0000-0000-00007D730000}"/>
    <cellStyle name="Normal 5 6 2 2 2 2 2 2 2 4" xfId="11708" xr:uid="{00000000-0005-0000-0000-00007E730000}"/>
    <cellStyle name="Normal 5 6 2 2 2 2 2 2 2 4 2" xfId="28306" xr:uid="{00000000-0005-0000-0000-00007F730000}"/>
    <cellStyle name="Normal 5 6 2 2 2 2 2 2 2 5" xfId="4822" xr:uid="{00000000-0005-0000-0000-000080730000}"/>
    <cellStyle name="Normal 5 6 2 2 2 2 2 2 2 5 2" xfId="21545" xr:uid="{00000000-0005-0000-0000-000081730000}"/>
    <cellStyle name="Normal 5 6 2 2 2 2 2 2 2 6" xfId="19947" xr:uid="{00000000-0005-0000-0000-000082730000}"/>
    <cellStyle name="Normal 5 6 2 2 2 2 2 2 3" xfId="3219" xr:uid="{00000000-0005-0000-0000-000083730000}"/>
    <cellStyle name="Normal 5 6 2 2 2 2 2 2 3 2" xfId="9238" xr:uid="{00000000-0005-0000-0000-000084730000}"/>
    <cellStyle name="Normal 5 6 2 2 2 2 2 2 3 2 2" xfId="16501" xr:uid="{00000000-0005-0000-0000-000085730000}"/>
    <cellStyle name="Normal 5 6 2 2 2 2 2 2 3 2 2 2" xfId="32816" xr:uid="{00000000-0005-0000-0000-000086730000}"/>
    <cellStyle name="Normal 5 6 2 2 2 2 2 2 3 2 3" xfId="25851" xr:uid="{00000000-0005-0000-0000-000087730000}"/>
    <cellStyle name="Normal 5 6 2 2 2 2 2 2 3 3" xfId="12580" xr:uid="{00000000-0005-0000-0000-000088730000}"/>
    <cellStyle name="Normal 5 6 2 2 2 2 2 2 3 3 2" xfId="29155" xr:uid="{00000000-0005-0000-0000-000089730000}"/>
    <cellStyle name="Normal 5 6 2 2 2 2 2 2 3 4" xfId="5887" xr:uid="{00000000-0005-0000-0000-00008A730000}"/>
    <cellStyle name="Normal 5 6 2 2 2 2 2 2 3 4 2" xfId="22551" xr:uid="{00000000-0005-0000-0000-00008B730000}"/>
    <cellStyle name="Normal 5 6 2 2 2 2 2 2 3 5" xfId="19946" xr:uid="{00000000-0005-0000-0000-00008C730000}"/>
    <cellStyle name="Normal 5 6 2 2 2 2 2 2 4" xfId="7617" xr:uid="{00000000-0005-0000-0000-00008D730000}"/>
    <cellStyle name="Normal 5 6 2 2 2 2 2 2 4 2" xfId="14880" xr:uid="{00000000-0005-0000-0000-00008E730000}"/>
    <cellStyle name="Normal 5 6 2 2 2 2 2 2 4 2 2" xfId="31195" xr:uid="{00000000-0005-0000-0000-00008F730000}"/>
    <cellStyle name="Normal 5 6 2 2 2 2 2 2 4 3" xfId="24230" xr:uid="{00000000-0005-0000-0000-000090730000}"/>
    <cellStyle name="Normal 5 6 2 2 2 2 2 2 5" xfId="10932" xr:uid="{00000000-0005-0000-0000-000091730000}"/>
    <cellStyle name="Normal 5 6 2 2 2 2 2 2 5 2" xfId="27530" xr:uid="{00000000-0005-0000-0000-000092730000}"/>
    <cellStyle name="Normal 5 6 2 2 2 2 2 2 6" xfId="4821" xr:uid="{00000000-0005-0000-0000-000093730000}"/>
    <cellStyle name="Normal 5 6 2 2 2 2 2 2 6 2" xfId="21544" xr:uid="{00000000-0005-0000-0000-000094730000}"/>
    <cellStyle name="Normal 5 6 2 2 2 2 2 2 7" xfId="18504" xr:uid="{00000000-0005-0000-0000-000095730000}"/>
    <cellStyle name="Normal 5 6 2 2 2 2 2 3" xfId="3221" xr:uid="{00000000-0005-0000-0000-000096730000}"/>
    <cellStyle name="Normal 5 6 2 2 2 2 2 3 2" xfId="6293" xr:uid="{00000000-0005-0000-0000-000097730000}"/>
    <cellStyle name="Normal 5 6 2 2 2 2 2 3 2 2" xfId="9644" xr:uid="{00000000-0005-0000-0000-000098730000}"/>
    <cellStyle name="Normal 5 6 2 2 2 2 2 3 2 2 2" xfId="16907" xr:uid="{00000000-0005-0000-0000-000099730000}"/>
    <cellStyle name="Normal 5 6 2 2 2 2 2 3 2 2 2 2" xfId="33222" xr:uid="{00000000-0005-0000-0000-00009A730000}"/>
    <cellStyle name="Normal 5 6 2 2 2 2 2 3 2 2 3" xfId="26257" xr:uid="{00000000-0005-0000-0000-00009B730000}"/>
    <cellStyle name="Normal 5 6 2 2 2 2 2 3 2 3" xfId="12986" xr:uid="{00000000-0005-0000-0000-00009C730000}"/>
    <cellStyle name="Normal 5 6 2 2 2 2 2 3 2 3 2" xfId="29561" xr:uid="{00000000-0005-0000-0000-00009D730000}"/>
    <cellStyle name="Normal 5 6 2 2 2 2 2 3 2 4" xfId="22957" xr:uid="{00000000-0005-0000-0000-00009E730000}"/>
    <cellStyle name="Normal 5 6 2 2 2 2 2 3 3" xfId="8023" xr:uid="{00000000-0005-0000-0000-00009F730000}"/>
    <cellStyle name="Normal 5 6 2 2 2 2 2 3 3 2" xfId="15286" xr:uid="{00000000-0005-0000-0000-0000A0730000}"/>
    <cellStyle name="Normal 5 6 2 2 2 2 2 3 3 2 2" xfId="31601" xr:uid="{00000000-0005-0000-0000-0000A1730000}"/>
    <cellStyle name="Normal 5 6 2 2 2 2 2 3 3 3" xfId="24636" xr:uid="{00000000-0005-0000-0000-0000A2730000}"/>
    <cellStyle name="Normal 5 6 2 2 2 2 2 3 4" xfId="11338" xr:uid="{00000000-0005-0000-0000-0000A3730000}"/>
    <cellStyle name="Normal 5 6 2 2 2 2 2 3 4 2" xfId="27936" xr:uid="{00000000-0005-0000-0000-0000A4730000}"/>
    <cellStyle name="Normal 5 6 2 2 2 2 2 3 5" xfId="4823" xr:uid="{00000000-0005-0000-0000-0000A5730000}"/>
    <cellStyle name="Normal 5 6 2 2 2 2 2 3 5 2" xfId="21546" xr:uid="{00000000-0005-0000-0000-0000A6730000}"/>
    <cellStyle name="Normal 5 6 2 2 2 2 2 3 6" xfId="19948" xr:uid="{00000000-0005-0000-0000-0000A7730000}"/>
    <cellStyle name="Normal 5 6 2 2 2 2 2 4" xfId="3218" xr:uid="{00000000-0005-0000-0000-0000A8730000}"/>
    <cellStyle name="Normal 5 6 2 2 2 2 2 4 2" xfId="8831" xr:uid="{00000000-0005-0000-0000-0000A9730000}"/>
    <cellStyle name="Normal 5 6 2 2 2 2 2 4 2 2" xfId="16094" xr:uid="{00000000-0005-0000-0000-0000AA730000}"/>
    <cellStyle name="Normal 5 6 2 2 2 2 2 4 2 2 2" xfId="32409" xr:uid="{00000000-0005-0000-0000-0000AB730000}"/>
    <cellStyle name="Normal 5 6 2 2 2 2 2 4 2 3" xfId="25444" xr:uid="{00000000-0005-0000-0000-0000AC730000}"/>
    <cellStyle name="Normal 5 6 2 2 2 2 2 4 3" xfId="12173" xr:uid="{00000000-0005-0000-0000-0000AD730000}"/>
    <cellStyle name="Normal 5 6 2 2 2 2 2 4 3 2" xfId="28748" xr:uid="{00000000-0005-0000-0000-0000AE730000}"/>
    <cellStyle name="Normal 5 6 2 2 2 2 2 4 4" xfId="5480" xr:uid="{00000000-0005-0000-0000-0000AF730000}"/>
    <cellStyle name="Normal 5 6 2 2 2 2 2 4 4 2" xfId="22144" xr:uid="{00000000-0005-0000-0000-0000B0730000}"/>
    <cellStyle name="Normal 5 6 2 2 2 2 2 4 5" xfId="19945" xr:uid="{00000000-0005-0000-0000-0000B1730000}"/>
    <cellStyle name="Normal 5 6 2 2 2 2 2 5" xfId="7211" xr:uid="{00000000-0005-0000-0000-0000B2730000}"/>
    <cellStyle name="Normal 5 6 2 2 2 2 2 5 2" xfId="14474" xr:uid="{00000000-0005-0000-0000-0000B3730000}"/>
    <cellStyle name="Normal 5 6 2 2 2 2 2 5 2 2" xfId="30789" xr:uid="{00000000-0005-0000-0000-0000B4730000}"/>
    <cellStyle name="Normal 5 6 2 2 2 2 2 5 3" xfId="23824" xr:uid="{00000000-0005-0000-0000-0000B5730000}"/>
    <cellStyle name="Normal 5 6 2 2 2 2 2 6" xfId="10526" xr:uid="{00000000-0005-0000-0000-0000B6730000}"/>
    <cellStyle name="Normal 5 6 2 2 2 2 2 6 2" xfId="27124" xr:uid="{00000000-0005-0000-0000-0000B7730000}"/>
    <cellStyle name="Normal 5 6 2 2 2 2 2 7" xfId="4820" xr:uid="{00000000-0005-0000-0000-0000B8730000}"/>
    <cellStyle name="Normal 5 6 2 2 2 2 2 7 2" xfId="21543" xr:uid="{00000000-0005-0000-0000-0000B9730000}"/>
    <cellStyle name="Normal 5 6 2 2 2 2 2 8" xfId="17985" xr:uid="{00000000-0005-0000-0000-0000BA730000}"/>
    <cellStyle name="Normal 5 6 2 2 2 2 3" xfId="1592" xr:uid="{00000000-0005-0000-0000-0000BB730000}"/>
    <cellStyle name="Normal 5 6 2 2 2 2 3 2" xfId="3223" xr:uid="{00000000-0005-0000-0000-0000BC730000}"/>
    <cellStyle name="Normal 5 6 2 2 2 2 3 2 2" xfId="6487" xr:uid="{00000000-0005-0000-0000-0000BD730000}"/>
    <cellStyle name="Normal 5 6 2 2 2 2 3 2 2 2" xfId="9838" xr:uid="{00000000-0005-0000-0000-0000BE730000}"/>
    <cellStyle name="Normal 5 6 2 2 2 2 3 2 2 2 2" xfId="17101" xr:uid="{00000000-0005-0000-0000-0000BF730000}"/>
    <cellStyle name="Normal 5 6 2 2 2 2 3 2 2 2 2 2" xfId="33416" xr:uid="{00000000-0005-0000-0000-0000C0730000}"/>
    <cellStyle name="Normal 5 6 2 2 2 2 3 2 2 2 3" xfId="26451" xr:uid="{00000000-0005-0000-0000-0000C1730000}"/>
    <cellStyle name="Normal 5 6 2 2 2 2 3 2 2 3" xfId="13180" xr:uid="{00000000-0005-0000-0000-0000C2730000}"/>
    <cellStyle name="Normal 5 6 2 2 2 2 3 2 2 3 2" xfId="29755" xr:uid="{00000000-0005-0000-0000-0000C3730000}"/>
    <cellStyle name="Normal 5 6 2 2 2 2 3 2 2 4" xfId="23151" xr:uid="{00000000-0005-0000-0000-0000C4730000}"/>
    <cellStyle name="Normal 5 6 2 2 2 2 3 2 3" xfId="8217" xr:uid="{00000000-0005-0000-0000-0000C5730000}"/>
    <cellStyle name="Normal 5 6 2 2 2 2 3 2 3 2" xfId="15480" xr:uid="{00000000-0005-0000-0000-0000C6730000}"/>
    <cellStyle name="Normal 5 6 2 2 2 2 3 2 3 2 2" xfId="31795" xr:uid="{00000000-0005-0000-0000-0000C7730000}"/>
    <cellStyle name="Normal 5 6 2 2 2 2 3 2 3 3" xfId="24830" xr:uid="{00000000-0005-0000-0000-0000C8730000}"/>
    <cellStyle name="Normal 5 6 2 2 2 2 3 2 4" xfId="11532" xr:uid="{00000000-0005-0000-0000-0000C9730000}"/>
    <cellStyle name="Normal 5 6 2 2 2 2 3 2 4 2" xfId="28130" xr:uid="{00000000-0005-0000-0000-0000CA730000}"/>
    <cellStyle name="Normal 5 6 2 2 2 2 3 2 5" xfId="4825" xr:uid="{00000000-0005-0000-0000-0000CB730000}"/>
    <cellStyle name="Normal 5 6 2 2 2 2 3 2 5 2" xfId="21548" xr:uid="{00000000-0005-0000-0000-0000CC730000}"/>
    <cellStyle name="Normal 5 6 2 2 2 2 3 2 6" xfId="19950" xr:uid="{00000000-0005-0000-0000-0000CD730000}"/>
    <cellStyle name="Normal 5 6 2 2 2 2 3 3" xfId="3222" xr:uid="{00000000-0005-0000-0000-0000CE730000}"/>
    <cellStyle name="Normal 5 6 2 2 2 2 3 3 2" xfId="9026" xr:uid="{00000000-0005-0000-0000-0000CF730000}"/>
    <cellStyle name="Normal 5 6 2 2 2 2 3 3 2 2" xfId="16289" xr:uid="{00000000-0005-0000-0000-0000D0730000}"/>
    <cellStyle name="Normal 5 6 2 2 2 2 3 3 2 2 2" xfId="32604" xr:uid="{00000000-0005-0000-0000-0000D1730000}"/>
    <cellStyle name="Normal 5 6 2 2 2 2 3 3 2 3" xfId="25639" xr:uid="{00000000-0005-0000-0000-0000D2730000}"/>
    <cellStyle name="Normal 5 6 2 2 2 2 3 3 3" xfId="12368" xr:uid="{00000000-0005-0000-0000-0000D3730000}"/>
    <cellStyle name="Normal 5 6 2 2 2 2 3 3 3 2" xfId="28943" xr:uid="{00000000-0005-0000-0000-0000D4730000}"/>
    <cellStyle name="Normal 5 6 2 2 2 2 3 3 4" xfId="5675" xr:uid="{00000000-0005-0000-0000-0000D5730000}"/>
    <cellStyle name="Normal 5 6 2 2 2 2 3 3 4 2" xfId="22339" xr:uid="{00000000-0005-0000-0000-0000D6730000}"/>
    <cellStyle name="Normal 5 6 2 2 2 2 3 3 5" xfId="19949" xr:uid="{00000000-0005-0000-0000-0000D7730000}"/>
    <cellStyle name="Normal 5 6 2 2 2 2 3 4" xfId="7405" xr:uid="{00000000-0005-0000-0000-0000D8730000}"/>
    <cellStyle name="Normal 5 6 2 2 2 2 3 4 2" xfId="14668" xr:uid="{00000000-0005-0000-0000-0000D9730000}"/>
    <cellStyle name="Normal 5 6 2 2 2 2 3 4 2 2" xfId="30983" xr:uid="{00000000-0005-0000-0000-0000DA730000}"/>
    <cellStyle name="Normal 5 6 2 2 2 2 3 4 3" xfId="24018" xr:uid="{00000000-0005-0000-0000-0000DB730000}"/>
    <cellStyle name="Normal 5 6 2 2 2 2 3 5" xfId="10720" xr:uid="{00000000-0005-0000-0000-0000DC730000}"/>
    <cellStyle name="Normal 5 6 2 2 2 2 3 5 2" xfId="27318" xr:uid="{00000000-0005-0000-0000-0000DD730000}"/>
    <cellStyle name="Normal 5 6 2 2 2 2 3 6" xfId="4824" xr:uid="{00000000-0005-0000-0000-0000DE730000}"/>
    <cellStyle name="Normal 5 6 2 2 2 2 3 6 2" xfId="21547" xr:uid="{00000000-0005-0000-0000-0000DF730000}"/>
    <cellStyle name="Normal 5 6 2 2 2 2 3 7" xfId="18327" xr:uid="{00000000-0005-0000-0000-0000E0730000}"/>
    <cellStyle name="Normal 5 6 2 2 2 2 4" xfId="3224" xr:uid="{00000000-0005-0000-0000-0000E1730000}"/>
    <cellStyle name="Normal 5 6 2 2 2 2 4 2" xfId="6081" xr:uid="{00000000-0005-0000-0000-0000E2730000}"/>
    <cellStyle name="Normal 5 6 2 2 2 2 4 2 2" xfId="9432" xr:uid="{00000000-0005-0000-0000-0000E3730000}"/>
    <cellStyle name="Normal 5 6 2 2 2 2 4 2 2 2" xfId="16695" xr:uid="{00000000-0005-0000-0000-0000E4730000}"/>
    <cellStyle name="Normal 5 6 2 2 2 2 4 2 2 2 2" xfId="33010" xr:uid="{00000000-0005-0000-0000-0000E5730000}"/>
    <cellStyle name="Normal 5 6 2 2 2 2 4 2 2 3" xfId="26045" xr:uid="{00000000-0005-0000-0000-0000E6730000}"/>
    <cellStyle name="Normal 5 6 2 2 2 2 4 2 3" xfId="12774" xr:uid="{00000000-0005-0000-0000-0000E7730000}"/>
    <cellStyle name="Normal 5 6 2 2 2 2 4 2 3 2" xfId="29349" xr:uid="{00000000-0005-0000-0000-0000E8730000}"/>
    <cellStyle name="Normal 5 6 2 2 2 2 4 2 4" xfId="22745" xr:uid="{00000000-0005-0000-0000-0000E9730000}"/>
    <cellStyle name="Normal 5 6 2 2 2 2 4 3" xfId="7811" xr:uid="{00000000-0005-0000-0000-0000EA730000}"/>
    <cellStyle name="Normal 5 6 2 2 2 2 4 3 2" xfId="15074" xr:uid="{00000000-0005-0000-0000-0000EB730000}"/>
    <cellStyle name="Normal 5 6 2 2 2 2 4 3 2 2" xfId="31389" xr:uid="{00000000-0005-0000-0000-0000EC730000}"/>
    <cellStyle name="Normal 5 6 2 2 2 2 4 3 3" xfId="24424" xr:uid="{00000000-0005-0000-0000-0000ED730000}"/>
    <cellStyle name="Normal 5 6 2 2 2 2 4 4" xfId="11126" xr:uid="{00000000-0005-0000-0000-0000EE730000}"/>
    <cellStyle name="Normal 5 6 2 2 2 2 4 4 2" xfId="27724" xr:uid="{00000000-0005-0000-0000-0000EF730000}"/>
    <cellStyle name="Normal 5 6 2 2 2 2 4 5" xfId="4826" xr:uid="{00000000-0005-0000-0000-0000F0730000}"/>
    <cellStyle name="Normal 5 6 2 2 2 2 4 5 2" xfId="21549" xr:uid="{00000000-0005-0000-0000-0000F1730000}"/>
    <cellStyle name="Normal 5 6 2 2 2 2 4 6" xfId="19951" xr:uid="{00000000-0005-0000-0000-0000F2730000}"/>
    <cellStyle name="Normal 5 6 2 2 2 2 5" xfId="3217" xr:uid="{00000000-0005-0000-0000-0000F3730000}"/>
    <cellStyle name="Normal 5 6 2 2 2 2 5 2" xfId="8653" xr:uid="{00000000-0005-0000-0000-0000F4730000}"/>
    <cellStyle name="Normal 5 6 2 2 2 2 5 2 2" xfId="15916" xr:uid="{00000000-0005-0000-0000-0000F5730000}"/>
    <cellStyle name="Normal 5 6 2 2 2 2 5 2 2 2" xfId="32231" xr:uid="{00000000-0005-0000-0000-0000F6730000}"/>
    <cellStyle name="Normal 5 6 2 2 2 2 5 2 3" xfId="25266" xr:uid="{00000000-0005-0000-0000-0000F7730000}"/>
    <cellStyle name="Normal 5 6 2 2 2 2 5 3" xfId="11995" xr:uid="{00000000-0005-0000-0000-0000F8730000}"/>
    <cellStyle name="Normal 5 6 2 2 2 2 5 3 2" xfId="28570" xr:uid="{00000000-0005-0000-0000-0000F9730000}"/>
    <cellStyle name="Normal 5 6 2 2 2 2 5 4" xfId="5302" xr:uid="{00000000-0005-0000-0000-0000FA730000}"/>
    <cellStyle name="Normal 5 6 2 2 2 2 5 4 2" xfId="21966" xr:uid="{00000000-0005-0000-0000-0000FB730000}"/>
    <cellStyle name="Normal 5 6 2 2 2 2 5 5" xfId="19944" xr:uid="{00000000-0005-0000-0000-0000FC730000}"/>
    <cellStyle name="Normal 5 6 2 2 2 2 6" xfId="7034" xr:uid="{00000000-0005-0000-0000-0000FD730000}"/>
    <cellStyle name="Normal 5 6 2 2 2 2 6 2" xfId="14297" xr:uid="{00000000-0005-0000-0000-0000FE730000}"/>
    <cellStyle name="Normal 5 6 2 2 2 2 6 2 2" xfId="30612" xr:uid="{00000000-0005-0000-0000-0000FF730000}"/>
    <cellStyle name="Normal 5 6 2 2 2 2 6 3" xfId="23647" xr:uid="{00000000-0005-0000-0000-000000740000}"/>
    <cellStyle name="Normal 5 6 2 2 2 2 7" xfId="10348" xr:uid="{00000000-0005-0000-0000-000001740000}"/>
    <cellStyle name="Normal 5 6 2 2 2 2 7 2" xfId="26947" xr:uid="{00000000-0005-0000-0000-000002740000}"/>
    <cellStyle name="Normal 5 6 2 2 2 2 8" xfId="4819" xr:uid="{00000000-0005-0000-0000-000003740000}"/>
    <cellStyle name="Normal 5 6 2 2 2 2 8 2" xfId="21542" xr:uid="{00000000-0005-0000-0000-000004740000}"/>
    <cellStyle name="Normal 5 6 2 2 2 2 9" xfId="17808" xr:uid="{00000000-0005-0000-0000-000005740000}"/>
    <cellStyle name="Normal 5 6 2 2 2 3" xfId="1247" xr:uid="{00000000-0005-0000-0000-000006740000}"/>
    <cellStyle name="Normal 5 6 2 2 2 3 2" xfId="1768" xr:uid="{00000000-0005-0000-0000-000007740000}"/>
    <cellStyle name="Normal 5 6 2 2 2 3 2 2" xfId="3227" xr:uid="{00000000-0005-0000-0000-000008740000}"/>
    <cellStyle name="Normal 5 6 2 2 2 3 2 2 2" xfId="6662" xr:uid="{00000000-0005-0000-0000-000009740000}"/>
    <cellStyle name="Normal 5 6 2 2 2 3 2 2 2 2" xfId="10013" xr:uid="{00000000-0005-0000-0000-00000A740000}"/>
    <cellStyle name="Normal 5 6 2 2 2 3 2 2 2 2 2" xfId="17276" xr:uid="{00000000-0005-0000-0000-00000B740000}"/>
    <cellStyle name="Normal 5 6 2 2 2 3 2 2 2 2 2 2" xfId="33591" xr:uid="{00000000-0005-0000-0000-00000C740000}"/>
    <cellStyle name="Normal 5 6 2 2 2 3 2 2 2 2 3" xfId="26626" xr:uid="{00000000-0005-0000-0000-00000D740000}"/>
    <cellStyle name="Normal 5 6 2 2 2 3 2 2 2 3" xfId="13355" xr:uid="{00000000-0005-0000-0000-00000E740000}"/>
    <cellStyle name="Normal 5 6 2 2 2 3 2 2 2 3 2" xfId="29930" xr:uid="{00000000-0005-0000-0000-00000F740000}"/>
    <cellStyle name="Normal 5 6 2 2 2 3 2 2 2 4" xfId="23326" xr:uid="{00000000-0005-0000-0000-000010740000}"/>
    <cellStyle name="Normal 5 6 2 2 2 3 2 2 3" xfId="8392" xr:uid="{00000000-0005-0000-0000-000011740000}"/>
    <cellStyle name="Normal 5 6 2 2 2 3 2 2 3 2" xfId="15655" xr:uid="{00000000-0005-0000-0000-000012740000}"/>
    <cellStyle name="Normal 5 6 2 2 2 3 2 2 3 2 2" xfId="31970" xr:uid="{00000000-0005-0000-0000-000013740000}"/>
    <cellStyle name="Normal 5 6 2 2 2 3 2 2 3 3" xfId="25005" xr:uid="{00000000-0005-0000-0000-000014740000}"/>
    <cellStyle name="Normal 5 6 2 2 2 3 2 2 4" xfId="11707" xr:uid="{00000000-0005-0000-0000-000015740000}"/>
    <cellStyle name="Normal 5 6 2 2 2 3 2 2 4 2" xfId="28305" xr:uid="{00000000-0005-0000-0000-000016740000}"/>
    <cellStyle name="Normal 5 6 2 2 2 3 2 2 5" xfId="4829" xr:uid="{00000000-0005-0000-0000-000017740000}"/>
    <cellStyle name="Normal 5 6 2 2 2 3 2 2 5 2" xfId="21552" xr:uid="{00000000-0005-0000-0000-000018740000}"/>
    <cellStyle name="Normal 5 6 2 2 2 3 2 2 6" xfId="19954" xr:uid="{00000000-0005-0000-0000-000019740000}"/>
    <cellStyle name="Normal 5 6 2 2 2 3 2 3" xfId="3226" xr:uid="{00000000-0005-0000-0000-00001A740000}"/>
    <cellStyle name="Normal 5 6 2 2 2 3 2 3 2" xfId="9237" xr:uid="{00000000-0005-0000-0000-00001B740000}"/>
    <cellStyle name="Normal 5 6 2 2 2 3 2 3 2 2" xfId="16500" xr:uid="{00000000-0005-0000-0000-00001C740000}"/>
    <cellStyle name="Normal 5 6 2 2 2 3 2 3 2 2 2" xfId="32815" xr:uid="{00000000-0005-0000-0000-00001D740000}"/>
    <cellStyle name="Normal 5 6 2 2 2 3 2 3 2 3" xfId="25850" xr:uid="{00000000-0005-0000-0000-00001E740000}"/>
    <cellStyle name="Normal 5 6 2 2 2 3 2 3 3" xfId="12579" xr:uid="{00000000-0005-0000-0000-00001F740000}"/>
    <cellStyle name="Normal 5 6 2 2 2 3 2 3 3 2" xfId="29154" xr:uid="{00000000-0005-0000-0000-000020740000}"/>
    <cellStyle name="Normal 5 6 2 2 2 3 2 3 4" xfId="5886" xr:uid="{00000000-0005-0000-0000-000021740000}"/>
    <cellStyle name="Normal 5 6 2 2 2 3 2 3 4 2" xfId="22550" xr:uid="{00000000-0005-0000-0000-000022740000}"/>
    <cellStyle name="Normal 5 6 2 2 2 3 2 3 5" xfId="19953" xr:uid="{00000000-0005-0000-0000-000023740000}"/>
    <cellStyle name="Normal 5 6 2 2 2 3 2 4" xfId="7616" xr:uid="{00000000-0005-0000-0000-000024740000}"/>
    <cellStyle name="Normal 5 6 2 2 2 3 2 4 2" xfId="14879" xr:uid="{00000000-0005-0000-0000-000025740000}"/>
    <cellStyle name="Normal 5 6 2 2 2 3 2 4 2 2" xfId="31194" xr:uid="{00000000-0005-0000-0000-000026740000}"/>
    <cellStyle name="Normal 5 6 2 2 2 3 2 4 3" xfId="24229" xr:uid="{00000000-0005-0000-0000-000027740000}"/>
    <cellStyle name="Normal 5 6 2 2 2 3 2 5" xfId="10931" xr:uid="{00000000-0005-0000-0000-000028740000}"/>
    <cellStyle name="Normal 5 6 2 2 2 3 2 5 2" xfId="27529" xr:uid="{00000000-0005-0000-0000-000029740000}"/>
    <cellStyle name="Normal 5 6 2 2 2 3 2 6" xfId="4828" xr:uid="{00000000-0005-0000-0000-00002A740000}"/>
    <cellStyle name="Normal 5 6 2 2 2 3 2 6 2" xfId="21551" xr:uid="{00000000-0005-0000-0000-00002B740000}"/>
    <cellStyle name="Normal 5 6 2 2 2 3 2 7" xfId="18503" xr:uid="{00000000-0005-0000-0000-00002C740000}"/>
    <cellStyle name="Normal 5 6 2 2 2 3 3" xfId="3228" xr:uid="{00000000-0005-0000-0000-00002D740000}"/>
    <cellStyle name="Normal 5 6 2 2 2 3 3 2" xfId="6292" xr:uid="{00000000-0005-0000-0000-00002E740000}"/>
    <cellStyle name="Normal 5 6 2 2 2 3 3 2 2" xfId="9643" xr:uid="{00000000-0005-0000-0000-00002F740000}"/>
    <cellStyle name="Normal 5 6 2 2 2 3 3 2 2 2" xfId="16906" xr:uid="{00000000-0005-0000-0000-000030740000}"/>
    <cellStyle name="Normal 5 6 2 2 2 3 3 2 2 2 2" xfId="33221" xr:uid="{00000000-0005-0000-0000-000031740000}"/>
    <cellStyle name="Normal 5 6 2 2 2 3 3 2 2 3" xfId="26256" xr:uid="{00000000-0005-0000-0000-000032740000}"/>
    <cellStyle name="Normal 5 6 2 2 2 3 3 2 3" xfId="12985" xr:uid="{00000000-0005-0000-0000-000033740000}"/>
    <cellStyle name="Normal 5 6 2 2 2 3 3 2 3 2" xfId="29560" xr:uid="{00000000-0005-0000-0000-000034740000}"/>
    <cellStyle name="Normal 5 6 2 2 2 3 3 2 4" xfId="22956" xr:uid="{00000000-0005-0000-0000-000035740000}"/>
    <cellStyle name="Normal 5 6 2 2 2 3 3 3" xfId="8022" xr:uid="{00000000-0005-0000-0000-000036740000}"/>
    <cellStyle name="Normal 5 6 2 2 2 3 3 3 2" xfId="15285" xr:uid="{00000000-0005-0000-0000-000037740000}"/>
    <cellStyle name="Normal 5 6 2 2 2 3 3 3 2 2" xfId="31600" xr:uid="{00000000-0005-0000-0000-000038740000}"/>
    <cellStyle name="Normal 5 6 2 2 2 3 3 3 3" xfId="24635" xr:uid="{00000000-0005-0000-0000-000039740000}"/>
    <cellStyle name="Normal 5 6 2 2 2 3 3 4" xfId="11337" xr:uid="{00000000-0005-0000-0000-00003A740000}"/>
    <cellStyle name="Normal 5 6 2 2 2 3 3 4 2" xfId="27935" xr:uid="{00000000-0005-0000-0000-00003B740000}"/>
    <cellStyle name="Normal 5 6 2 2 2 3 3 5" xfId="4830" xr:uid="{00000000-0005-0000-0000-00003C740000}"/>
    <cellStyle name="Normal 5 6 2 2 2 3 3 5 2" xfId="21553" xr:uid="{00000000-0005-0000-0000-00003D740000}"/>
    <cellStyle name="Normal 5 6 2 2 2 3 3 6" xfId="19955" xr:uid="{00000000-0005-0000-0000-00003E740000}"/>
    <cellStyle name="Normal 5 6 2 2 2 3 4" xfId="3225" xr:uid="{00000000-0005-0000-0000-00003F740000}"/>
    <cellStyle name="Normal 5 6 2 2 2 3 4 2" xfId="8830" xr:uid="{00000000-0005-0000-0000-000040740000}"/>
    <cellStyle name="Normal 5 6 2 2 2 3 4 2 2" xfId="16093" xr:uid="{00000000-0005-0000-0000-000041740000}"/>
    <cellStyle name="Normal 5 6 2 2 2 3 4 2 2 2" xfId="32408" xr:uid="{00000000-0005-0000-0000-000042740000}"/>
    <cellStyle name="Normal 5 6 2 2 2 3 4 2 3" xfId="25443" xr:uid="{00000000-0005-0000-0000-000043740000}"/>
    <cellStyle name="Normal 5 6 2 2 2 3 4 3" xfId="12172" xr:uid="{00000000-0005-0000-0000-000044740000}"/>
    <cellStyle name="Normal 5 6 2 2 2 3 4 3 2" xfId="28747" xr:uid="{00000000-0005-0000-0000-000045740000}"/>
    <cellStyle name="Normal 5 6 2 2 2 3 4 4" xfId="5479" xr:uid="{00000000-0005-0000-0000-000046740000}"/>
    <cellStyle name="Normal 5 6 2 2 2 3 4 4 2" xfId="22143" xr:uid="{00000000-0005-0000-0000-000047740000}"/>
    <cellStyle name="Normal 5 6 2 2 2 3 4 5" xfId="19952" xr:uid="{00000000-0005-0000-0000-000048740000}"/>
    <cellStyle name="Normal 5 6 2 2 2 3 5" xfId="7210" xr:uid="{00000000-0005-0000-0000-000049740000}"/>
    <cellStyle name="Normal 5 6 2 2 2 3 5 2" xfId="14473" xr:uid="{00000000-0005-0000-0000-00004A740000}"/>
    <cellStyle name="Normal 5 6 2 2 2 3 5 2 2" xfId="30788" xr:uid="{00000000-0005-0000-0000-00004B740000}"/>
    <cellStyle name="Normal 5 6 2 2 2 3 5 3" xfId="23823" xr:uid="{00000000-0005-0000-0000-00004C740000}"/>
    <cellStyle name="Normal 5 6 2 2 2 3 6" xfId="10525" xr:uid="{00000000-0005-0000-0000-00004D740000}"/>
    <cellStyle name="Normal 5 6 2 2 2 3 6 2" xfId="27123" xr:uid="{00000000-0005-0000-0000-00004E740000}"/>
    <cellStyle name="Normal 5 6 2 2 2 3 7" xfId="4827" xr:uid="{00000000-0005-0000-0000-00004F740000}"/>
    <cellStyle name="Normal 5 6 2 2 2 3 7 2" xfId="21550" xr:uid="{00000000-0005-0000-0000-000050740000}"/>
    <cellStyle name="Normal 5 6 2 2 2 3 8" xfId="17984" xr:uid="{00000000-0005-0000-0000-000051740000}"/>
    <cellStyle name="Normal 5 6 2 2 2 4" xfId="1486" xr:uid="{00000000-0005-0000-0000-000052740000}"/>
    <cellStyle name="Normal 5 6 2 2 2 4 2" xfId="3230" xr:uid="{00000000-0005-0000-0000-000053740000}"/>
    <cellStyle name="Normal 5 6 2 2 2 4 2 2" xfId="6486" xr:uid="{00000000-0005-0000-0000-000054740000}"/>
    <cellStyle name="Normal 5 6 2 2 2 4 2 2 2" xfId="9837" xr:uid="{00000000-0005-0000-0000-000055740000}"/>
    <cellStyle name="Normal 5 6 2 2 2 4 2 2 2 2" xfId="17100" xr:uid="{00000000-0005-0000-0000-000056740000}"/>
    <cellStyle name="Normal 5 6 2 2 2 4 2 2 2 2 2" xfId="33415" xr:uid="{00000000-0005-0000-0000-000057740000}"/>
    <cellStyle name="Normal 5 6 2 2 2 4 2 2 2 3" xfId="26450" xr:uid="{00000000-0005-0000-0000-000058740000}"/>
    <cellStyle name="Normal 5 6 2 2 2 4 2 2 3" xfId="13179" xr:uid="{00000000-0005-0000-0000-000059740000}"/>
    <cellStyle name="Normal 5 6 2 2 2 4 2 2 3 2" xfId="29754" xr:uid="{00000000-0005-0000-0000-00005A740000}"/>
    <cellStyle name="Normal 5 6 2 2 2 4 2 2 4" xfId="23150" xr:uid="{00000000-0005-0000-0000-00005B740000}"/>
    <cellStyle name="Normal 5 6 2 2 2 4 2 3" xfId="8216" xr:uid="{00000000-0005-0000-0000-00005C740000}"/>
    <cellStyle name="Normal 5 6 2 2 2 4 2 3 2" xfId="15479" xr:uid="{00000000-0005-0000-0000-00005D740000}"/>
    <cellStyle name="Normal 5 6 2 2 2 4 2 3 2 2" xfId="31794" xr:uid="{00000000-0005-0000-0000-00005E740000}"/>
    <cellStyle name="Normal 5 6 2 2 2 4 2 3 3" xfId="24829" xr:uid="{00000000-0005-0000-0000-00005F740000}"/>
    <cellStyle name="Normal 5 6 2 2 2 4 2 4" xfId="11531" xr:uid="{00000000-0005-0000-0000-000060740000}"/>
    <cellStyle name="Normal 5 6 2 2 2 4 2 4 2" xfId="28129" xr:uid="{00000000-0005-0000-0000-000061740000}"/>
    <cellStyle name="Normal 5 6 2 2 2 4 2 5" xfId="4832" xr:uid="{00000000-0005-0000-0000-000062740000}"/>
    <cellStyle name="Normal 5 6 2 2 2 4 2 5 2" xfId="21555" xr:uid="{00000000-0005-0000-0000-000063740000}"/>
    <cellStyle name="Normal 5 6 2 2 2 4 2 6" xfId="19957" xr:uid="{00000000-0005-0000-0000-000064740000}"/>
    <cellStyle name="Normal 5 6 2 2 2 4 3" xfId="3229" xr:uid="{00000000-0005-0000-0000-000065740000}"/>
    <cellStyle name="Normal 5 6 2 2 2 4 3 2" xfId="9025" xr:uid="{00000000-0005-0000-0000-000066740000}"/>
    <cellStyle name="Normal 5 6 2 2 2 4 3 2 2" xfId="16288" xr:uid="{00000000-0005-0000-0000-000067740000}"/>
    <cellStyle name="Normal 5 6 2 2 2 4 3 2 2 2" xfId="32603" xr:uid="{00000000-0005-0000-0000-000068740000}"/>
    <cellStyle name="Normal 5 6 2 2 2 4 3 2 3" xfId="25638" xr:uid="{00000000-0005-0000-0000-000069740000}"/>
    <cellStyle name="Normal 5 6 2 2 2 4 3 3" xfId="12367" xr:uid="{00000000-0005-0000-0000-00006A740000}"/>
    <cellStyle name="Normal 5 6 2 2 2 4 3 3 2" xfId="28942" xr:uid="{00000000-0005-0000-0000-00006B740000}"/>
    <cellStyle name="Normal 5 6 2 2 2 4 3 4" xfId="5674" xr:uid="{00000000-0005-0000-0000-00006C740000}"/>
    <cellStyle name="Normal 5 6 2 2 2 4 3 4 2" xfId="22338" xr:uid="{00000000-0005-0000-0000-00006D740000}"/>
    <cellStyle name="Normal 5 6 2 2 2 4 3 5" xfId="19956" xr:uid="{00000000-0005-0000-0000-00006E740000}"/>
    <cellStyle name="Normal 5 6 2 2 2 4 4" xfId="7404" xr:uid="{00000000-0005-0000-0000-00006F740000}"/>
    <cellStyle name="Normal 5 6 2 2 2 4 4 2" xfId="14667" xr:uid="{00000000-0005-0000-0000-000070740000}"/>
    <cellStyle name="Normal 5 6 2 2 2 4 4 2 2" xfId="30982" xr:uid="{00000000-0005-0000-0000-000071740000}"/>
    <cellStyle name="Normal 5 6 2 2 2 4 4 3" xfId="24017" xr:uid="{00000000-0005-0000-0000-000072740000}"/>
    <cellStyle name="Normal 5 6 2 2 2 4 5" xfId="10719" xr:uid="{00000000-0005-0000-0000-000073740000}"/>
    <cellStyle name="Normal 5 6 2 2 2 4 5 2" xfId="27317" xr:uid="{00000000-0005-0000-0000-000074740000}"/>
    <cellStyle name="Normal 5 6 2 2 2 4 6" xfId="4831" xr:uid="{00000000-0005-0000-0000-000075740000}"/>
    <cellStyle name="Normal 5 6 2 2 2 4 6 2" xfId="21554" xr:uid="{00000000-0005-0000-0000-000076740000}"/>
    <cellStyle name="Normal 5 6 2 2 2 4 7" xfId="18221" xr:uid="{00000000-0005-0000-0000-000077740000}"/>
    <cellStyle name="Normal 5 6 2 2 2 5" xfId="3231" xr:uid="{00000000-0005-0000-0000-000078740000}"/>
    <cellStyle name="Normal 5 6 2 2 2 5 2" xfId="6080" xr:uid="{00000000-0005-0000-0000-000079740000}"/>
    <cellStyle name="Normal 5 6 2 2 2 5 2 2" xfId="9431" xr:uid="{00000000-0005-0000-0000-00007A740000}"/>
    <cellStyle name="Normal 5 6 2 2 2 5 2 2 2" xfId="16694" xr:uid="{00000000-0005-0000-0000-00007B740000}"/>
    <cellStyle name="Normal 5 6 2 2 2 5 2 2 2 2" xfId="33009" xr:uid="{00000000-0005-0000-0000-00007C740000}"/>
    <cellStyle name="Normal 5 6 2 2 2 5 2 2 3" xfId="26044" xr:uid="{00000000-0005-0000-0000-00007D740000}"/>
    <cellStyle name="Normal 5 6 2 2 2 5 2 3" xfId="12773" xr:uid="{00000000-0005-0000-0000-00007E740000}"/>
    <cellStyle name="Normal 5 6 2 2 2 5 2 3 2" xfId="29348" xr:uid="{00000000-0005-0000-0000-00007F740000}"/>
    <cellStyle name="Normal 5 6 2 2 2 5 2 4" xfId="22744" xr:uid="{00000000-0005-0000-0000-000080740000}"/>
    <cellStyle name="Normal 5 6 2 2 2 5 3" xfId="7810" xr:uid="{00000000-0005-0000-0000-000081740000}"/>
    <cellStyle name="Normal 5 6 2 2 2 5 3 2" xfId="15073" xr:uid="{00000000-0005-0000-0000-000082740000}"/>
    <cellStyle name="Normal 5 6 2 2 2 5 3 2 2" xfId="31388" xr:uid="{00000000-0005-0000-0000-000083740000}"/>
    <cellStyle name="Normal 5 6 2 2 2 5 3 3" xfId="24423" xr:uid="{00000000-0005-0000-0000-000084740000}"/>
    <cellStyle name="Normal 5 6 2 2 2 5 4" xfId="11125" xr:uid="{00000000-0005-0000-0000-000085740000}"/>
    <cellStyle name="Normal 5 6 2 2 2 5 4 2" xfId="27723" xr:uid="{00000000-0005-0000-0000-000086740000}"/>
    <cellStyle name="Normal 5 6 2 2 2 5 5" xfId="4833" xr:uid="{00000000-0005-0000-0000-000087740000}"/>
    <cellStyle name="Normal 5 6 2 2 2 5 5 2" xfId="21556" xr:uid="{00000000-0005-0000-0000-000088740000}"/>
    <cellStyle name="Normal 5 6 2 2 2 5 6" xfId="19958" xr:uid="{00000000-0005-0000-0000-000089740000}"/>
    <cellStyle name="Normal 5 6 2 2 2 6" xfId="3216" xr:uid="{00000000-0005-0000-0000-00008A740000}"/>
    <cellStyle name="Normal 5 6 2 2 2 6 2" xfId="8547" xr:uid="{00000000-0005-0000-0000-00008B740000}"/>
    <cellStyle name="Normal 5 6 2 2 2 6 2 2" xfId="15810" xr:uid="{00000000-0005-0000-0000-00008C740000}"/>
    <cellStyle name="Normal 5 6 2 2 2 6 2 2 2" xfId="32125" xr:uid="{00000000-0005-0000-0000-00008D740000}"/>
    <cellStyle name="Normal 5 6 2 2 2 6 2 3" xfId="25160" xr:uid="{00000000-0005-0000-0000-00008E740000}"/>
    <cellStyle name="Normal 5 6 2 2 2 6 3" xfId="11889" xr:uid="{00000000-0005-0000-0000-00008F740000}"/>
    <cellStyle name="Normal 5 6 2 2 2 6 3 2" xfId="28464" xr:uid="{00000000-0005-0000-0000-000090740000}"/>
    <cellStyle name="Normal 5 6 2 2 2 6 4" xfId="5196" xr:uid="{00000000-0005-0000-0000-000091740000}"/>
    <cellStyle name="Normal 5 6 2 2 2 6 4 2" xfId="21860" xr:uid="{00000000-0005-0000-0000-000092740000}"/>
    <cellStyle name="Normal 5 6 2 2 2 6 5" xfId="19943" xr:uid="{00000000-0005-0000-0000-000093740000}"/>
    <cellStyle name="Normal 5 6 2 2 2 7" xfId="6928" xr:uid="{00000000-0005-0000-0000-000094740000}"/>
    <cellStyle name="Normal 5 6 2 2 2 7 2" xfId="14191" xr:uid="{00000000-0005-0000-0000-000095740000}"/>
    <cellStyle name="Normal 5 6 2 2 2 7 2 2" xfId="30506" xr:uid="{00000000-0005-0000-0000-000096740000}"/>
    <cellStyle name="Normal 5 6 2 2 2 7 3" xfId="23541" xr:uid="{00000000-0005-0000-0000-000097740000}"/>
    <cellStyle name="Normal 5 6 2 2 2 8" xfId="10242" xr:uid="{00000000-0005-0000-0000-000098740000}"/>
    <cellStyle name="Normal 5 6 2 2 2 8 2" xfId="26841" xr:uid="{00000000-0005-0000-0000-000099740000}"/>
    <cellStyle name="Normal 5 6 2 2 2 9" xfId="4818" xr:uid="{00000000-0005-0000-0000-00009A740000}"/>
    <cellStyle name="Normal 5 6 2 2 2 9 2" xfId="21541" xr:uid="{00000000-0005-0000-0000-00009B740000}"/>
    <cellStyle name="Normal 5 6 2 2 3" xfId="977" xr:uid="{00000000-0005-0000-0000-00009C740000}"/>
    <cellStyle name="Normal 5 6 2 2 3 2" xfId="1249" xr:uid="{00000000-0005-0000-0000-00009D740000}"/>
    <cellStyle name="Normal 5 6 2 2 3 2 2" xfId="1770" xr:uid="{00000000-0005-0000-0000-00009E740000}"/>
    <cellStyle name="Normal 5 6 2 2 3 2 2 2" xfId="3235" xr:uid="{00000000-0005-0000-0000-00009F740000}"/>
    <cellStyle name="Normal 5 6 2 2 3 2 2 2 2" xfId="6664" xr:uid="{00000000-0005-0000-0000-0000A0740000}"/>
    <cellStyle name="Normal 5 6 2 2 3 2 2 2 2 2" xfId="10015" xr:uid="{00000000-0005-0000-0000-0000A1740000}"/>
    <cellStyle name="Normal 5 6 2 2 3 2 2 2 2 2 2" xfId="17278" xr:uid="{00000000-0005-0000-0000-0000A2740000}"/>
    <cellStyle name="Normal 5 6 2 2 3 2 2 2 2 2 2 2" xfId="33593" xr:uid="{00000000-0005-0000-0000-0000A3740000}"/>
    <cellStyle name="Normal 5 6 2 2 3 2 2 2 2 2 3" xfId="26628" xr:uid="{00000000-0005-0000-0000-0000A4740000}"/>
    <cellStyle name="Normal 5 6 2 2 3 2 2 2 2 3" xfId="13357" xr:uid="{00000000-0005-0000-0000-0000A5740000}"/>
    <cellStyle name="Normal 5 6 2 2 3 2 2 2 2 3 2" xfId="29932" xr:uid="{00000000-0005-0000-0000-0000A6740000}"/>
    <cellStyle name="Normal 5 6 2 2 3 2 2 2 2 4" xfId="23328" xr:uid="{00000000-0005-0000-0000-0000A7740000}"/>
    <cellStyle name="Normal 5 6 2 2 3 2 2 2 3" xfId="8394" xr:uid="{00000000-0005-0000-0000-0000A8740000}"/>
    <cellStyle name="Normal 5 6 2 2 3 2 2 2 3 2" xfId="15657" xr:uid="{00000000-0005-0000-0000-0000A9740000}"/>
    <cellStyle name="Normal 5 6 2 2 3 2 2 2 3 2 2" xfId="31972" xr:uid="{00000000-0005-0000-0000-0000AA740000}"/>
    <cellStyle name="Normal 5 6 2 2 3 2 2 2 3 3" xfId="25007" xr:uid="{00000000-0005-0000-0000-0000AB740000}"/>
    <cellStyle name="Normal 5 6 2 2 3 2 2 2 4" xfId="11709" xr:uid="{00000000-0005-0000-0000-0000AC740000}"/>
    <cellStyle name="Normal 5 6 2 2 3 2 2 2 4 2" xfId="28307" xr:uid="{00000000-0005-0000-0000-0000AD740000}"/>
    <cellStyle name="Normal 5 6 2 2 3 2 2 2 5" xfId="4837" xr:uid="{00000000-0005-0000-0000-0000AE740000}"/>
    <cellStyle name="Normal 5 6 2 2 3 2 2 2 5 2" xfId="21560" xr:uid="{00000000-0005-0000-0000-0000AF740000}"/>
    <cellStyle name="Normal 5 6 2 2 3 2 2 2 6" xfId="19962" xr:uid="{00000000-0005-0000-0000-0000B0740000}"/>
    <cellStyle name="Normal 5 6 2 2 3 2 2 3" xfId="3234" xr:uid="{00000000-0005-0000-0000-0000B1740000}"/>
    <cellStyle name="Normal 5 6 2 2 3 2 2 3 2" xfId="9239" xr:uid="{00000000-0005-0000-0000-0000B2740000}"/>
    <cellStyle name="Normal 5 6 2 2 3 2 2 3 2 2" xfId="16502" xr:uid="{00000000-0005-0000-0000-0000B3740000}"/>
    <cellStyle name="Normal 5 6 2 2 3 2 2 3 2 2 2" xfId="32817" xr:uid="{00000000-0005-0000-0000-0000B4740000}"/>
    <cellStyle name="Normal 5 6 2 2 3 2 2 3 2 3" xfId="25852" xr:uid="{00000000-0005-0000-0000-0000B5740000}"/>
    <cellStyle name="Normal 5 6 2 2 3 2 2 3 3" xfId="12581" xr:uid="{00000000-0005-0000-0000-0000B6740000}"/>
    <cellStyle name="Normal 5 6 2 2 3 2 2 3 3 2" xfId="29156" xr:uid="{00000000-0005-0000-0000-0000B7740000}"/>
    <cellStyle name="Normal 5 6 2 2 3 2 2 3 4" xfId="5888" xr:uid="{00000000-0005-0000-0000-0000B8740000}"/>
    <cellStyle name="Normal 5 6 2 2 3 2 2 3 4 2" xfId="22552" xr:uid="{00000000-0005-0000-0000-0000B9740000}"/>
    <cellStyle name="Normal 5 6 2 2 3 2 2 3 5" xfId="19961" xr:uid="{00000000-0005-0000-0000-0000BA740000}"/>
    <cellStyle name="Normal 5 6 2 2 3 2 2 4" xfId="7618" xr:uid="{00000000-0005-0000-0000-0000BB740000}"/>
    <cellStyle name="Normal 5 6 2 2 3 2 2 4 2" xfId="14881" xr:uid="{00000000-0005-0000-0000-0000BC740000}"/>
    <cellStyle name="Normal 5 6 2 2 3 2 2 4 2 2" xfId="31196" xr:uid="{00000000-0005-0000-0000-0000BD740000}"/>
    <cellStyle name="Normal 5 6 2 2 3 2 2 4 3" xfId="24231" xr:uid="{00000000-0005-0000-0000-0000BE740000}"/>
    <cellStyle name="Normal 5 6 2 2 3 2 2 5" xfId="10933" xr:uid="{00000000-0005-0000-0000-0000BF740000}"/>
    <cellStyle name="Normal 5 6 2 2 3 2 2 5 2" xfId="27531" xr:uid="{00000000-0005-0000-0000-0000C0740000}"/>
    <cellStyle name="Normal 5 6 2 2 3 2 2 6" xfId="4836" xr:uid="{00000000-0005-0000-0000-0000C1740000}"/>
    <cellStyle name="Normal 5 6 2 2 3 2 2 6 2" xfId="21559" xr:uid="{00000000-0005-0000-0000-0000C2740000}"/>
    <cellStyle name="Normal 5 6 2 2 3 2 2 7" xfId="18505" xr:uid="{00000000-0005-0000-0000-0000C3740000}"/>
    <cellStyle name="Normal 5 6 2 2 3 2 3" xfId="3236" xr:uid="{00000000-0005-0000-0000-0000C4740000}"/>
    <cellStyle name="Normal 5 6 2 2 3 2 3 2" xfId="6294" xr:uid="{00000000-0005-0000-0000-0000C5740000}"/>
    <cellStyle name="Normal 5 6 2 2 3 2 3 2 2" xfId="9645" xr:uid="{00000000-0005-0000-0000-0000C6740000}"/>
    <cellStyle name="Normal 5 6 2 2 3 2 3 2 2 2" xfId="16908" xr:uid="{00000000-0005-0000-0000-0000C7740000}"/>
    <cellStyle name="Normal 5 6 2 2 3 2 3 2 2 2 2" xfId="33223" xr:uid="{00000000-0005-0000-0000-0000C8740000}"/>
    <cellStyle name="Normal 5 6 2 2 3 2 3 2 2 3" xfId="26258" xr:uid="{00000000-0005-0000-0000-0000C9740000}"/>
    <cellStyle name="Normal 5 6 2 2 3 2 3 2 3" xfId="12987" xr:uid="{00000000-0005-0000-0000-0000CA740000}"/>
    <cellStyle name="Normal 5 6 2 2 3 2 3 2 3 2" xfId="29562" xr:uid="{00000000-0005-0000-0000-0000CB740000}"/>
    <cellStyle name="Normal 5 6 2 2 3 2 3 2 4" xfId="22958" xr:uid="{00000000-0005-0000-0000-0000CC740000}"/>
    <cellStyle name="Normal 5 6 2 2 3 2 3 3" xfId="8024" xr:uid="{00000000-0005-0000-0000-0000CD740000}"/>
    <cellStyle name="Normal 5 6 2 2 3 2 3 3 2" xfId="15287" xr:uid="{00000000-0005-0000-0000-0000CE740000}"/>
    <cellStyle name="Normal 5 6 2 2 3 2 3 3 2 2" xfId="31602" xr:uid="{00000000-0005-0000-0000-0000CF740000}"/>
    <cellStyle name="Normal 5 6 2 2 3 2 3 3 3" xfId="24637" xr:uid="{00000000-0005-0000-0000-0000D0740000}"/>
    <cellStyle name="Normal 5 6 2 2 3 2 3 4" xfId="11339" xr:uid="{00000000-0005-0000-0000-0000D1740000}"/>
    <cellStyle name="Normal 5 6 2 2 3 2 3 4 2" xfId="27937" xr:uid="{00000000-0005-0000-0000-0000D2740000}"/>
    <cellStyle name="Normal 5 6 2 2 3 2 3 5" xfId="4838" xr:uid="{00000000-0005-0000-0000-0000D3740000}"/>
    <cellStyle name="Normal 5 6 2 2 3 2 3 5 2" xfId="21561" xr:uid="{00000000-0005-0000-0000-0000D4740000}"/>
    <cellStyle name="Normal 5 6 2 2 3 2 3 6" xfId="19963" xr:uid="{00000000-0005-0000-0000-0000D5740000}"/>
    <cellStyle name="Normal 5 6 2 2 3 2 4" xfId="3233" xr:uid="{00000000-0005-0000-0000-0000D6740000}"/>
    <cellStyle name="Normal 5 6 2 2 3 2 4 2" xfId="8832" xr:uid="{00000000-0005-0000-0000-0000D7740000}"/>
    <cellStyle name="Normal 5 6 2 2 3 2 4 2 2" xfId="16095" xr:uid="{00000000-0005-0000-0000-0000D8740000}"/>
    <cellStyle name="Normal 5 6 2 2 3 2 4 2 2 2" xfId="32410" xr:uid="{00000000-0005-0000-0000-0000D9740000}"/>
    <cellStyle name="Normal 5 6 2 2 3 2 4 2 3" xfId="25445" xr:uid="{00000000-0005-0000-0000-0000DA740000}"/>
    <cellStyle name="Normal 5 6 2 2 3 2 4 3" xfId="12174" xr:uid="{00000000-0005-0000-0000-0000DB740000}"/>
    <cellStyle name="Normal 5 6 2 2 3 2 4 3 2" xfId="28749" xr:uid="{00000000-0005-0000-0000-0000DC740000}"/>
    <cellStyle name="Normal 5 6 2 2 3 2 4 4" xfId="5481" xr:uid="{00000000-0005-0000-0000-0000DD740000}"/>
    <cellStyle name="Normal 5 6 2 2 3 2 4 4 2" xfId="22145" xr:uid="{00000000-0005-0000-0000-0000DE740000}"/>
    <cellStyle name="Normal 5 6 2 2 3 2 4 5" xfId="19960" xr:uid="{00000000-0005-0000-0000-0000DF740000}"/>
    <cellStyle name="Normal 5 6 2 2 3 2 5" xfId="7212" xr:uid="{00000000-0005-0000-0000-0000E0740000}"/>
    <cellStyle name="Normal 5 6 2 2 3 2 5 2" xfId="14475" xr:uid="{00000000-0005-0000-0000-0000E1740000}"/>
    <cellStyle name="Normal 5 6 2 2 3 2 5 2 2" xfId="30790" xr:uid="{00000000-0005-0000-0000-0000E2740000}"/>
    <cellStyle name="Normal 5 6 2 2 3 2 5 3" xfId="23825" xr:uid="{00000000-0005-0000-0000-0000E3740000}"/>
    <cellStyle name="Normal 5 6 2 2 3 2 6" xfId="10527" xr:uid="{00000000-0005-0000-0000-0000E4740000}"/>
    <cellStyle name="Normal 5 6 2 2 3 2 6 2" xfId="27125" xr:uid="{00000000-0005-0000-0000-0000E5740000}"/>
    <cellStyle name="Normal 5 6 2 2 3 2 7" xfId="4835" xr:uid="{00000000-0005-0000-0000-0000E6740000}"/>
    <cellStyle name="Normal 5 6 2 2 3 2 7 2" xfId="21558" xr:uid="{00000000-0005-0000-0000-0000E7740000}"/>
    <cellStyle name="Normal 5 6 2 2 3 2 8" xfId="17986" xr:uid="{00000000-0005-0000-0000-0000E8740000}"/>
    <cellStyle name="Normal 5 6 2 2 3 3" xfId="1539" xr:uid="{00000000-0005-0000-0000-0000E9740000}"/>
    <cellStyle name="Normal 5 6 2 2 3 3 2" xfId="3238" xr:uid="{00000000-0005-0000-0000-0000EA740000}"/>
    <cellStyle name="Normal 5 6 2 2 3 3 2 2" xfId="6488" xr:uid="{00000000-0005-0000-0000-0000EB740000}"/>
    <cellStyle name="Normal 5 6 2 2 3 3 2 2 2" xfId="9839" xr:uid="{00000000-0005-0000-0000-0000EC740000}"/>
    <cellStyle name="Normal 5 6 2 2 3 3 2 2 2 2" xfId="17102" xr:uid="{00000000-0005-0000-0000-0000ED740000}"/>
    <cellStyle name="Normal 5 6 2 2 3 3 2 2 2 2 2" xfId="33417" xr:uid="{00000000-0005-0000-0000-0000EE740000}"/>
    <cellStyle name="Normal 5 6 2 2 3 3 2 2 2 3" xfId="26452" xr:uid="{00000000-0005-0000-0000-0000EF740000}"/>
    <cellStyle name="Normal 5 6 2 2 3 3 2 2 3" xfId="13181" xr:uid="{00000000-0005-0000-0000-0000F0740000}"/>
    <cellStyle name="Normal 5 6 2 2 3 3 2 2 3 2" xfId="29756" xr:uid="{00000000-0005-0000-0000-0000F1740000}"/>
    <cellStyle name="Normal 5 6 2 2 3 3 2 2 4" xfId="23152" xr:uid="{00000000-0005-0000-0000-0000F2740000}"/>
    <cellStyle name="Normal 5 6 2 2 3 3 2 3" xfId="8218" xr:uid="{00000000-0005-0000-0000-0000F3740000}"/>
    <cellStyle name="Normal 5 6 2 2 3 3 2 3 2" xfId="15481" xr:uid="{00000000-0005-0000-0000-0000F4740000}"/>
    <cellStyle name="Normal 5 6 2 2 3 3 2 3 2 2" xfId="31796" xr:uid="{00000000-0005-0000-0000-0000F5740000}"/>
    <cellStyle name="Normal 5 6 2 2 3 3 2 3 3" xfId="24831" xr:uid="{00000000-0005-0000-0000-0000F6740000}"/>
    <cellStyle name="Normal 5 6 2 2 3 3 2 4" xfId="11533" xr:uid="{00000000-0005-0000-0000-0000F7740000}"/>
    <cellStyle name="Normal 5 6 2 2 3 3 2 4 2" xfId="28131" xr:uid="{00000000-0005-0000-0000-0000F8740000}"/>
    <cellStyle name="Normal 5 6 2 2 3 3 2 5" xfId="4840" xr:uid="{00000000-0005-0000-0000-0000F9740000}"/>
    <cellStyle name="Normal 5 6 2 2 3 3 2 5 2" xfId="21563" xr:uid="{00000000-0005-0000-0000-0000FA740000}"/>
    <cellStyle name="Normal 5 6 2 2 3 3 2 6" xfId="19965" xr:uid="{00000000-0005-0000-0000-0000FB740000}"/>
    <cellStyle name="Normal 5 6 2 2 3 3 3" xfId="3237" xr:uid="{00000000-0005-0000-0000-0000FC740000}"/>
    <cellStyle name="Normal 5 6 2 2 3 3 3 2" xfId="9027" xr:uid="{00000000-0005-0000-0000-0000FD740000}"/>
    <cellStyle name="Normal 5 6 2 2 3 3 3 2 2" xfId="16290" xr:uid="{00000000-0005-0000-0000-0000FE740000}"/>
    <cellStyle name="Normal 5 6 2 2 3 3 3 2 2 2" xfId="32605" xr:uid="{00000000-0005-0000-0000-0000FF740000}"/>
    <cellStyle name="Normal 5 6 2 2 3 3 3 2 3" xfId="25640" xr:uid="{00000000-0005-0000-0000-000000750000}"/>
    <cellStyle name="Normal 5 6 2 2 3 3 3 3" xfId="12369" xr:uid="{00000000-0005-0000-0000-000001750000}"/>
    <cellStyle name="Normal 5 6 2 2 3 3 3 3 2" xfId="28944" xr:uid="{00000000-0005-0000-0000-000002750000}"/>
    <cellStyle name="Normal 5 6 2 2 3 3 3 4" xfId="5676" xr:uid="{00000000-0005-0000-0000-000003750000}"/>
    <cellStyle name="Normal 5 6 2 2 3 3 3 4 2" xfId="22340" xr:uid="{00000000-0005-0000-0000-000004750000}"/>
    <cellStyle name="Normal 5 6 2 2 3 3 3 5" xfId="19964" xr:uid="{00000000-0005-0000-0000-000005750000}"/>
    <cellStyle name="Normal 5 6 2 2 3 3 4" xfId="7406" xr:uid="{00000000-0005-0000-0000-000006750000}"/>
    <cellStyle name="Normal 5 6 2 2 3 3 4 2" xfId="14669" xr:uid="{00000000-0005-0000-0000-000007750000}"/>
    <cellStyle name="Normal 5 6 2 2 3 3 4 2 2" xfId="30984" xr:uid="{00000000-0005-0000-0000-000008750000}"/>
    <cellStyle name="Normal 5 6 2 2 3 3 4 3" xfId="24019" xr:uid="{00000000-0005-0000-0000-000009750000}"/>
    <cellStyle name="Normal 5 6 2 2 3 3 5" xfId="10721" xr:uid="{00000000-0005-0000-0000-00000A750000}"/>
    <cellStyle name="Normal 5 6 2 2 3 3 5 2" xfId="27319" xr:uid="{00000000-0005-0000-0000-00000B750000}"/>
    <cellStyle name="Normal 5 6 2 2 3 3 6" xfId="4839" xr:uid="{00000000-0005-0000-0000-00000C750000}"/>
    <cellStyle name="Normal 5 6 2 2 3 3 6 2" xfId="21562" xr:uid="{00000000-0005-0000-0000-00000D750000}"/>
    <cellStyle name="Normal 5 6 2 2 3 3 7" xfId="18274" xr:uid="{00000000-0005-0000-0000-00000E750000}"/>
    <cellStyle name="Normal 5 6 2 2 3 4" xfId="3239" xr:uid="{00000000-0005-0000-0000-00000F750000}"/>
    <cellStyle name="Normal 5 6 2 2 3 4 2" xfId="6082" xr:uid="{00000000-0005-0000-0000-000010750000}"/>
    <cellStyle name="Normal 5 6 2 2 3 4 2 2" xfId="9433" xr:uid="{00000000-0005-0000-0000-000011750000}"/>
    <cellStyle name="Normal 5 6 2 2 3 4 2 2 2" xfId="16696" xr:uid="{00000000-0005-0000-0000-000012750000}"/>
    <cellStyle name="Normal 5 6 2 2 3 4 2 2 2 2" xfId="33011" xr:uid="{00000000-0005-0000-0000-000013750000}"/>
    <cellStyle name="Normal 5 6 2 2 3 4 2 2 3" xfId="26046" xr:uid="{00000000-0005-0000-0000-000014750000}"/>
    <cellStyle name="Normal 5 6 2 2 3 4 2 3" xfId="12775" xr:uid="{00000000-0005-0000-0000-000015750000}"/>
    <cellStyle name="Normal 5 6 2 2 3 4 2 3 2" xfId="29350" xr:uid="{00000000-0005-0000-0000-000016750000}"/>
    <cellStyle name="Normal 5 6 2 2 3 4 2 4" xfId="22746" xr:uid="{00000000-0005-0000-0000-000017750000}"/>
    <cellStyle name="Normal 5 6 2 2 3 4 3" xfId="7812" xr:uid="{00000000-0005-0000-0000-000018750000}"/>
    <cellStyle name="Normal 5 6 2 2 3 4 3 2" xfId="15075" xr:uid="{00000000-0005-0000-0000-000019750000}"/>
    <cellStyle name="Normal 5 6 2 2 3 4 3 2 2" xfId="31390" xr:uid="{00000000-0005-0000-0000-00001A750000}"/>
    <cellStyle name="Normal 5 6 2 2 3 4 3 3" xfId="24425" xr:uid="{00000000-0005-0000-0000-00001B750000}"/>
    <cellStyle name="Normal 5 6 2 2 3 4 4" xfId="11127" xr:uid="{00000000-0005-0000-0000-00001C750000}"/>
    <cellStyle name="Normal 5 6 2 2 3 4 4 2" xfId="27725" xr:uid="{00000000-0005-0000-0000-00001D750000}"/>
    <cellStyle name="Normal 5 6 2 2 3 4 5" xfId="4841" xr:uid="{00000000-0005-0000-0000-00001E750000}"/>
    <cellStyle name="Normal 5 6 2 2 3 4 5 2" xfId="21564" xr:uid="{00000000-0005-0000-0000-00001F750000}"/>
    <cellStyle name="Normal 5 6 2 2 3 4 6" xfId="19966" xr:uid="{00000000-0005-0000-0000-000020750000}"/>
    <cellStyle name="Normal 5 6 2 2 3 5" xfId="3232" xr:uid="{00000000-0005-0000-0000-000021750000}"/>
    <cellStyle name="Normal 5 6 2 2 3 5 2" xfId="8600" xr:uid="{00000000-0005-0000-0000-000022750000}"/>
    <cellStyle name="Normal 5 6 2 2 3 5 2 2" xfId="15863" xr:uid="{00000000-0005-0000-0000-000023750000}"/>
    <cellStyle name="Normal 5 6 2 2 3 5 2 2 2" xfId="32178" xr:uid="{00000000-0005-0000-0000-000024750000}"/>
    <cellStyle name="Normal 5 6 2 2 3 5 2 3" xfId="25213" xr:uid="{00000000-0005-0000-0000-000025750000}"/>
    <cellStyle name="Normal 5 6 2 2 3 5 3" xfId="11942" xr:uid="{00000000-0005-0000-0000-000026750000}"/>
    <cellStyle name="Normal 5 6 2 2 3 5 3 2" xfId="28517" xr:uid="{00000000-0005-0000-0000-000027750000}"/>
    <cellStyle name="Normal 5 6 2 2 3 5 4" xfId="5249" xr:uid="{00000000-0005-0000-0000-000028750000}"/>
    <cellStyle name="Normal 5 6 2 2 3 5 4 2" xfId="21913" xr:uid="{00000000-0005-0000-0000-000029750000}"/>
    <cellStyle name="Normal 5 6 2 2 3 5 5" xfId="19959" xr:uid="{00000000-0005-0000-0000-00002A750000}"/>
    <cellStyle name="Normal 5 6 2 2 3 6" xfId="6981" xr:uid="{00000000-0005-0000-0000-00002B750000}"/>
    <cellStyle name="Normal 5 6 2 2 3 6 2" xfId="14244" xr:uid="{00000000-0005-0000-0000-00002C750000}"/>
    <cellStyle name="Normal 5 6 2 2 3 6 2 2" xfId="30559" xr:uid="{00000000-0005-0000-0000-00002D750000}"/>
    <cellStyle name="Normal 5 6 2 2 3 6 3" xfId="23594" xr:uid="{00000000-0005-0000-0000-00002E750000}"/>
    <cellStyle name="Normal 5 6 2 2 3 7" xfId="10295" xr:uid="{00000000-0005-0000-0000-00002F750000}"/>
    <cellStyle name="Normal 5 6 2 2 3 7 2" xfId="26894" xr:uid="{00000000-0005-0000-0000-000030750000}"/>
    <cellStyle name="Normal 5 6 2 2 3 8" xfId="4834" xr:uid="{00000000-0005-0000-0000-000031750000}"/>
    <cellStyle name="Normal 5 6 2 2 3 8 2" xfId="21557" xr:uid="{00000000-0005-0000-0000-000032750000}"/>
    <cellStyle name="Normal 5 6 2 2 3 9" xfId="17755" xr:uid="{00000000-0005-0000-0000-000033750000}"/>
    <cellStyle name="Normal 5 6 2 2 4" xfId="1246" xr:uid="{00000000-0005-0000-0000-000034750000}"/>
    <cellStyle name="Normal 5 6 2 2 4 2" xfId="1767" xr:uid="{00000000-0005-0000-0000-000035750000}"/>
    <cellStyle name="Normal 5 6 2 2 4 2 2" xfId="3242" xr:uid="{00000000-0005-0000-0000-000036750000}"/>
    <cellStyle name="Normal 5 6 2 2 4 2 2 2" xfId="6661" xr:uid="{00000000-0005-0000-0000-000037750000}"/>
    <cellStyle name="Normal 5 6 2 2 4 2 2 2 2" xfId="10012" xr:uid="{00000000-0005-0000-0000-000038750000}"/>
    <cellStyle name="Normal 5 6 2 2 4 2 2 2 2 2" xfId="17275" xr:uid="{00000000-0005-0000-0000-000039750000}"/>
    <cellStyle name="Normal 5 6 2 2 4 2 2 2 2 2 2" xfId="33590" xr:uid="{00000000-0005-0000-0000-00003A750000}"/>
    <cellStyle name="Normal 5 6 2 2 4 2 2 2 2 3" xfId="26625" xr:uid="{00000000-0005-0000-0000-00003B750000}"/>
    <cellStyle name="Normal 5 6 2 2 4 2 2 2 3" xfId="13354" xr:uid="{00000000-0005-0000-0000-00003C750000}"/>
    <cellStyle name="Normal 5 6 2 2 4 2 2 2 3 2" xfId="29929" xr:uid="{00000000-0005-0000-0000-00003D750000}"/>
    <cellStyle name="Normal 5 6 2 2 4 2 2 2 4" xfId="23325" xr:uid="{00000000-0005-0000-0000-00003E750000}"/>
    <cellStyle name="Normal 5 6 2 2 4 2 2 3" xfId="8391" xr:uid="{00000000-0005-0000-0000-00003F750000}"/>
    <cellStyle name="Normal 5 6 2 2 4 2 2 3 2" xfId="15654" xr:uid="{00000000-0005-0000-0000-000040750000}"/>
    <cellStyle name="Normal 5 6 2 2 4 2 2 3 2 2" xfId="31969" xr:uid="{00000000-0005-0000-0000-000041750000}"/>
    <cellStyle name="Normal 5 6 2 2 4 2 2 3 3" xfId="25004" xr:uid="{00000000-0005-0000-0000-000042750000}"/>
    <cellStyle name="Normal 5 6 2 2 4 2 2 4" xfId="11706" xr:uid="{00000000-0005-0000-0000-000043750000}"/>
    <cellStyle name="Normal 5 6 2 2 4 2 2 4 2" xfId="28304" xr:uid="{00000000-0005-0000-0000-000044750000}"/>
    <cellStyle name="Normal 5 6 2 2 4 2 2 5" xfId="4844" xr:uid="{00000000-0005-0000-0000-000045750000}"/>
    <cellStyle name="Normal 5 6 2 2 4 2 2 5 2" xfId="21567" xr:uid="{00000000-0005-0000-0000-000046750000}"/>
    <cellStyle name="Normal 5 6 2 2 4 2 2 6" xfId="19969" xr:uid="{00000000-0005-0000-0000-000047750000}"/>
    <cellStyle name="Normal 5 6 2 2 4 2 3" xfId="3241" xr:uid="{00000000-0005-0000-0000-000048750000}"/>
    <cellStyle name="Normal 5 6 2 2 4 2 3 2" xfId="9236" xr:uid="{00000000-0005-0000-0000-000049750000}"/>
    <cellStyle name="Normal 5 6 2 2 4 2 3 2 2" xfId="16499" xr:uid="{00000000-0005-0000-0000-00004A750000}"/>
    <cellStyle name="Normal 5 6 2 2 4 2 3 2 2 2" xfId="32814" xr:uid="{00000000-0005-0000-0000-00004B750000}"/>
    <cellStyle name="Normal 5 6 2 2 4 2 3 2 3" xfId="25849" xr:uid="{00000000-0005-0000-0000-00004C750000}"/>
    <cellStyle name="Normal 5 6 2 2 4 2 3 3" xfId="12578" xr:uid="{00000000-0005-0000-0000-00004D750000}"/>
    <cellStyle name="Normal 5 6 2 2 4 2 3 3 2" xfId="29153" xr:uid="{00000000-0005-0000-0000-00004E750000}"/>
    <cellStyle name="Normal 5 6 2 2 4 2 3 4" xfId="5885" xr:uid="{00000000-0005-0000-0000-00004F750000}"/>
    <cellStyle name="Normal 5 6 2 2 4 2 3 4 2" xfId="22549" xr:uid="{00000000-0005-0000-0000-000050750000}"/>
    <cellStyle name="Normal 5 6 2 2 4 2 3 5" xfId="19968" xr:uid="{00000000-0005-0000-0000-000051750000}"/>
    <cellStyle name="Normal 5 6 2 2 4 2 4" xfId="7615" xr:uid="{00000000-0005-0000-0000-000052750000}"/>
    <cellStyle name="Normal 5 6 2 2 4 2 4 2" xfId="14878" xr:uid="{00000000-0005-0000-0000-000053750000}"/>
    <cellStyle name="Normal 5 6 2 2 4 2 4 2 2" xfId="31193" xr:uid="{00000000-0005-0000-0000-000054750000}"/>
    <cellStyle name="Normal 5 6 2 2 4 2 4 3" xfId="24228" xr:uid="{00000000-0005-0000-0000-000055750000}"/>
    <cellStyle name="Normal 5 6 2 2 4 2 5" xfId="10930" xr:uid="{00000000-0005-0000-0000-000056750000}"/>
    <cellStyle name="Normal 5 6 2 2 4 2 5 2" xfId="27528" xr:uid="{00000000-0005-0000-0000-000057750000}"/>
    <cellStyle name="Normal 5 6 2 2 4 2 6" xfId="4843" xr:uid="{00000000-0005-0000-0000-000058750000}"/>
    <cellStyle name="Normal 5 6 2 2 4 2 6 2" xfId="21566" xr:uid="{00000000-0005-0000-0000-000059750000}"/>
    <cellStyle name="Normal 5 6 2 2 4 2 7" xfId="18502" xr:uid="{00000000-0005-0000-0000-00005A750000}"/>
    <cellStyle name="Normal 5 6 2 2 4 3" xfId="3243" xr:uid="{00000000-0005-0000-0000-00005B750000}"/>
    <cellStyle name="Normal 5 6 2 2 4 3 2" xfId="6291" xr:uid="{00000000-0005-0000-0000-00005C750000}"/>
    <cellStyle name="Normal 5 6 2 2 4 3 2 2" xfId="9642" xr:uid="{00000000-0005-0000-0000-00005D750000}"/>
    <cellStyle name="Normal 5 6 2 2 4 3 2 2 2" xfId="16905" xr:uid="{00000000-0005-0000-0000-00005E750000}"/>
    <cellStyle name="Normal 5 6 2 2 4 3 2 2 2 2" xfId="33220" xr:uid="{00000000-0005-0000-0000-00005F750000}"/>
    <cellStyle name="Normal 5 6 2 2 4 3 2 2 3" xfId="26255" xr:uid="{00000000-0005-0000-0000-000060750000}"/>
    <cellStyle name="Normal 5 6 2 2 4 3 2 3" xfId="12984" xr:uid="{00000000-0005-0000-0000-000061750000}"/>
    <cellStyle name="Normal 5 6 2 2 4 3 2 3 2" xfId="29559" xr:uid="{00000000-0005-0000-0000-000062750000}"/>
    <cellStyle name="Normal 5 6 2 2 4 3 2 4" xfId="22955" xr:uid="{00000000-0005-0000-0000-000063750000}"/>
    <cellStyle name="Normal 5 6 2 2 4 3 3" xfId="8021" xr:uid="{00000000-0005-0000-0000-000064750000}"/>
    <cellStyle name="Normal 5 6 2 2 4 3 3 2" xfId="15284" xr:uid="{00000000-0005-0000-0000-000065750000}"/>
    <cellStyle name="Normal 5 6 2 2 4 3 3 2 2" xfId="31599" xr:uid="{00000000-0005-0000-0000-000066750000}"/>
    <cellStyle name="Normal 5 6 2 2 4 3 3 3" xfId="24634" xr:uid="{00000000-0005-0000-0000-000067750000}"/>
    <cellStyle name="Normal 5 6 2 2 4 3 4" xfId="11336" xr:uid="{00000000-0005-0000-0000-000068750000}"/>
    <cellStyle name="Normal 5 6 2 2 4 3 4 2" xfId="27934" xr:uid="{00000000-0005-0000-0000-000069750000}"/>
    <cellStyle name="Normal 5 6 2 2 4 3 5" xfId="4845" xr:uid="{00000000-0005-0000-0000-00006A750000}"/>
    <cellStyle name="Normal 5 6 2 2 4 3 5 2" xfId="21568" xr:uid="{00000000-0005-0000-0000-00006B750000}"/>
    <cellStyle name="Normal 5 6 2 2 4 3 6" xfId="19970" xr:uid="{00000000-0005-0000-0000-00006C750000}"/>
    <cellStyle name="Normal 5 6 2 2 4 4" xfId="3240" xr:uid="{00000000-0005-0000-0000-00006D750000}"/>
    <cellStyle name="Normal 5 6 2 2 4 4 2" xfId="8829" xr:uid="{00000000-0005-0000-0000-00006E750000}"/>
    <cellStyle name="Normal 5 6 2 2 4 4 2 2" xfId="16092" xr:uid="{00000000-0005-0000-0000-00006F750000}"/>
    <cellStyle name="Normal 5 6 2 2 4 4 2 2 2" xfId="32407" xr:uid="{00000000-0005-0000-0000-000070750000}"/>
    <cellStyle name="Normal 5 6 2 2 4 4 2 3" xfId="25442" xr:uid="{00000000-0005-0000-0000-000071750000}"/>
    <cellStyle name="Normal 5 6 2 2 4 4 3" xfId="12171" xr:uid="{00000000-0005-0000-0000-000072750000}"/>
    <cellStyle name="Normal 5 6 2 2 4 4 3 2" xfId="28746" xr:uid="{00000000-0005-0000-0000-000073750000}"/>
    <cellStyle name="Normal 5 6 2 2 4 4 4" xfId="5478" xr:uid="{00000000-0005-0000-0000-000074750000}"/>
    <cellStyle name="Normal 5 6 2 2 4 4 4 2" xfId="22142" xr:uid="{00000000-0005-0000-0000-000075750000}"/>
    <cellStyle name="Normal 5 6 2 2 4 4 5" xfId="19967" xr:uid="{00000000-0005-0000-0000-000076750000}"/>
    <cellStyle name="Normal 5 6 2 2 4 5" xfId="7209" xr:uid="{00000000-0005-0000-0000-000077750000}"/>
    <cellStyle name="Normal 5 6 2 2 4 5 2" xfId="14472" xr:uid="{00000000-0005-0000-0000-000078750000}"/>
    <cellStyle name="Normal 5 6 2 2 4 5 2 2" xfId="30787" xr:uid="{00000000-0005-0000-0000-000079750000}"/>
    <cellStyle name="Normal 5 6 2 2 4 5 3" xfId="23822" xr:uid="{00000000-0005-0000-0000-00007A750000}"/>
    <cellStyle name="Normal 5 6 2 2 4 6" xfId="10524" xr:uid="{00000000-0005-0000-0000-00007B750000}"/>
    <cellStyle name="Normal 5 6 2 2 4 6 2" xfId="27122" xr:uid="{00000000-0005-0000-0000-00007C750000}"/>
    <cellStyle name="Normal 5 6 2 2 4 7" xfId="4842" xr:uid="{00000000-0005-0000-0000-00007D750000}"/>
    <cellStyle name="Normal 5 6 2 2 4 7 2" xfId="21565" xr:uid="{00000000-0005-0000-0000-00007E750000}"/>
    <cellStyle name="Normal 5 6 2 2 4 8" xfId="17983" xr:uid="{00000000-0005-0000-0000-00007F750000}"/>
    <cellStyle name="Normal 5 6 2 2 5" xfId="866" xr:uid="{00000000-0005-0000-0000-000080750000}"/>
    <cellStyle name="Normal 5 6 2 2 5 2" xfId="1435" xr:uid="{00000000-0005-0000-0000-000081750000}"/>
    <cellStyle name="Normal 5 6 2 2 5 2 2" xfId="3245" xr:uid="{00000000-0005-0000-0000-000082750000}"/>
    <cellStyle name="Normal 5 6 2 2 5 2 2 2" xfId="9836" xr:uid="{00000000-0005-0000-0000-000083750000}"/>
    <cellStyle name="Normal 5 6 2 2 5 2 2 2 2" xfId="17099" xr:uid="{00000000-0005-0000-0000-000084750000}"/>
    <cellStyle name="Normal 5 6 2 2 5 2 2 2 2 2" xfId="33414" xr:uid="{00000000-0005-0000-0000-000085750000}"/>
    <cellStyle name="Normal 5 6 2 2 5 2 2 2 3" xfId="26449" xr:uid="{00000000-0005-0000-0000-000086750000}"/>
    <cellStyle name="Normal 5 6 2 2 5 2 2 3" xfId="13178" xr:uid="{00000000-0005-0000-0000-000087750000}"/>
    <cellStyle name="Normal 5 6 2 2 5 2 2 3 2" xfId="29753" xr:uid="{00000000-0005-0000-0000-000088750000}"/>
    <cellStyle name="Normal 5 6 2 2 5 2 2 4" xfId="6485" xr:uid="{00000000-0005-0000-0000-000089750000}"/>
    <cellStyle name="Normal 5 6 2 2 5 2 2 4 2" xfId="23149" xr:uid="{00000000-0005-0000-0000-00008A750000}"/>
    <cellStyle name="Normal 5 6 2 2 5 2 2 5" xfId="19972" xr:uid="{00000000-0005-0000-0000-00008B750000}"/>
    <cellStyle name="Normal 5 6 2 2 5 2 3" xfId="8215" xr:uid="{00000000-0005-0000-0000-00008C750000}"/>
    <cellStyle name="Normal 5 6 2 2 5 2 3 2" xfId="15478" xr:uid="{00000000-0005-0000-0000-00008D750000}"/>
    <cellStyle name="Normal 5 6 2 2 5 2 3 2 2" xfId="31793" xr:uid="{00000000-0005-0000-0000-00008E750000}"/>
    <cellStyle name="Normal 5 6 2 2 5 2 3 3" xfId="24828" xr:uid="{00000000-0005-0000-0000-00008F750000}"/>
    <cellStyle name="Normal 5 6 2 2 5 2 4" xfId="11530" xr:uid="{00000000-0005-0000-0000-000090750000}"/>
    <cellStyle name="Normal 5 6 2 2 5 2 4 2" xfId="28128" xr:uid="{00000000-0005-0000-0000-000091750000}"/>
    <cellStyle name="Normal 5 6 2 2 5 2 5" xfId="4847" xr:uid="{00000000-0005-0000-0000-000092750000}"/>
    <cellStyle name="Normal 5 6 2 2 5 2 5 2" xfId="21570" xr:uid="{00000000-0005-0000-0000-000093750000}"/>
    <cellStyle name="Normal 5 6 2 2 5 2 6" xfId="18170" xr:uid="{00000000-0005-0000-0000-000094750000}"/>
    <cellStyle name="Normal 5 6 2 2 5 3" xfId="3244" xr:uid="{00000000-0005-0000-0000-000095750000}"/>
    <cellStyle name="Normal 5 6 2 2 5 3 2" xfId="9024" xr:uid="{00000000-0005-0000-0000-000096750000}"/>
    <cellStyle name="Normal 5 6 2 2 5 3 2 2" xfId="16287" xr:uid="{00000000-0005-0000-0000-000097750000}"/>
    <cellStyle name="Normal 5 6 2 2 5 3 2 2 2" xfId="32602" xr:uid="{00000000-0005-0000-0000-000098750000}"/>
    <cellStyle name="Normal 5 6 2 2 5 3 2 3" xfId="25637" xr:uid="{00000000-0005-0000-0000-000099750000}"/>
    <cellStyle name="Normal 5 6 2 2 5 3 3" xfId="12366" xr:uid="{00000000-0005-0000-0000-00009A750000}"/>
    <cellStyle name="Normal 5 6 2 2 5 3 3 2" xfId="28941" xr:uid="{00000000-0005-0000-0000-00009B750000}"/>
    <cellStyle name="Normal 5 6 2 2 5 3 4" xfId="5673" xr:uid="{00000000-0005-0000-0000-00009C750000}"/>
    <cellStyle name="Normal 5 6 2 2 5 3 4 2" xfId="22337" xr:uid="{00000000-0005-0000-0000-00009D750000}"/>
    <cellStyle name="Normal 5 6 2 2 5 3 5" xfId="19971" xr:uid="{00000000-0005-0000-0000-00009E750000}"/>
    <cellStyle name="Normal 5 6 2 2 5 4" xfId="7403" xr:uid="{00000000-0005-0000-0000-00009F750000}"/>
    <cellStyle name="Normal 5 6 2 2 5 4 2" xfId="14666" xr:uid="{00000000-0005-0000-0000-0000A0750000}"/>
    <cellStyle name="Normal 5 6 2 2 5 4 2 2" xfId="30981" xr:uid="{00000000-0005-0000-0000-0000A1750000}"/>
    <cellStyle name="Normal 5 6 2 2 5 4 3" xfId="24016" xr:uid="{00000000-0005-0000-0000-0000A2750000}"/>
    <cellStyle name="Normal 5 6 2 2 5 5" xfId="10718" xr:uid="{00000000-0005-0000-0000-0000A3750000}"/>
    <cellStyle name="Normal 5 6 2 2 5 5 2" xfId="27316" xr:uid="{00000000-0005-0000-0000-0000A4750000}"/>
    <cellStyle name="Normal 5 6 2 2 5 6" xfId="4846" xr:uid="{00000000-0005-0000-0000-0000A5750000}"/>
    <cellStyle name="Normal 5 6 2 2 5 6 2" xfId="21569" xr:uid="{00000000-0005-0000-0000-0000A6750000}"/>
    <cellStyle name="Normal 5 6 2 2 5 7" xfId="17651" xr:uid="{00000000-0005-0000-0000-0000A7750000}"/>
    <cellStyle name="Normal 5 6 2 2 6" xfId="802" xr:uid="{00000000-0005-0000-0000-0000A8750000}"/>
    <cellStyle name="Normal 5 6 2 2 6 2" xfId="3246" xr:uid="{00000000-0005-0000-0000-0000A9750000}"/>
    <cellStyle name="Normal 5 6 2 2 6 2 2" xfId="9430" xr:uid="{00000000-0005-0000-0000-0000AA750000}"/>
    <cellStyle name="Normal 5 6 2 2 6 2 2 2" xfId="16693" xr:uid="{00000000-0005-0000-0000-0000AB750000}"/>
    <cellStyle name="Normal 5 6 2 2 6 2 2 2 2" xfId="33008" xr:uid="{00000000-0005-0000-0000-0000AC750000}"/>
    <cellStyle name="Normal 5 6 2 2 6 2 2 3" xfId="26043" xr:uid="{00000000-0005-0000-0000-0000AD750000}"/>
    <cellStyle name="Normal 5 6 2 2 6 2 3" xfId="12772" xr:uid="{00000000-0005-0000-0000-0000AE750000}"/>
    <cellStyle name="Normal 5 6 2 2 6 2 3 2" xfId="29347" xr:uid="{00000000-0005-0000-0000-0000AF750000}"/>
    <cellStyle name="Normal 5 6 2 2 6 2 4" xfId="6079" xr:uid="{00000000-0005-0000-0000-0000B0750000}"/>
    <cellStyle name="Normal 5 6 2 2 6 2 4 2" xfId="22743" xr:uid="{00000000-0005-0000-0000-0000B1750000}"/>
    <cellStyle name="Normal 5 6 2 2 6 2 5" xfId="19973" xr:uid="{00000000-0005-0000-0000-0000B2750000}"/>
    <cellStyle name="Normal 5 6 2 2 6 3" xfId="7809" xr:uid="{00000000-0005-0000-0000-0000B3750000}"/>
    <cellStyle name="Normal 5 6 2 2 6 3 2" xfId="15072" xr:uid="{00000000-0005-0000-0000-0000B4750000}"/>
    <cellStyle name="Normal 5 6 2 2 6 3 2 2" xfId="31387" xr:uid="{00000000-0005-0000-0000-0000B5750000}"/>
    <cellStyle name="Normal 5 6 2 2 6 3 3" xfId="24422" xr:uid="{00000000-0005-0000-0000-0000B6750000}"/>
    <cellStyle name="Normal 5 6 2 2 6 4" xfId="11124" xr:uid="{00000000-0005-0000-0000-0000B7750000}"/>
    <cellStyle name="Normal 5 6 2 2 6 4 2" xfId="27722" xr:uid="{00000000-0005-0000-0000-0000B8750000}"/>
    <cellStyle name="Normal 5 6 2 2 6 5" xfId="4848" xr:uid="{00000000-0005-0000-0000-0000B9750000}"/>
    <cellStyle name="Normal 5 6 2 2 6 5 2" xfId="21571" xr:uid="{00000000-0005-0000-0000-0000BA750000}"/>
    <cellStyle name="Normal 5 6 2 2 6 6" xfId="17615" xr:uid="{00000000-0005-0000-0000-0000BB750000}"/>
    <cellStyle name="Normal 5 6 2 2 7" xfId="1399" xr:uid="{00000000-0005-0000-0000-0000BC750000}"/>
    <cellStyle name="Normal 5 6 2 2 7 2" xfId="8494" xr:uid="{00000000-0005-0000-0000-0000BD750000}"/>
    <cellStyle name="Normal 5 6 2 2 7 2 2" xfId="15757" xr:uid="{00000000-0005-0000-0000-0000BE750000}"/>
    <cellStyle name="Normal 5 6 2 2 7 2 2 2" xfId="32072" xr:uid="{00000000-0005-0000-0000-0000BF750000}"/>
    <cellStyle name="Normal 5 6 2 2 7 2 3" xfId="25107" xr:uid="{00000000-0005-0000-0000-0000C0750000}"/>
    <cellStyle name="Normal 5 6 2 2 7 3" xfId="11835" xr:uid="{00000000-0005-0000-0000-0000C1750000}"/>
    <cellStyle name="Normal 5 6 2 2 7 3 2" xfId="28411" xr:uid="{00000000-0005-0000-0000-0000C2750000}"/>
    <cellStyle name="Normal 5 6 2 2 7 4" xfId="5141" xr:uid="{00000000-0005-0000-0000-0000C3750000}"/>
    <cellStyle name="Normal 5 6 2 2 7 4 2" xfId="21807" xr:uid="{00000000-0005-0000-0000-0000C4750000}"/>
    <cellStyle name="Normal 5 6 2 2 7 5" xfId="18134" xr:uid="{00000000-0005-0000-0000-0000C5750000}"/>
    <cellStyle name="Normal 5 6 2 2 8" xfId="3215" xr:uid="{00000000-0005-0000-0000-0000C6750000}"/>
    <cellStyle name="Normal 5 6 2 2 8 2" xfId="14138" xr:uid="{00000000-0005-0000-0000-0000C7750000}"/>
    <cellStyle name="Normal 5 6 2 2 8 2 2" xfId="30453" xr:uid="{00000000-0005-0000-0000-0000C8750000}"/>
    <cellStyle name="Normal 5 6 2 2 8 3" xfId="6875" xr:uid="{00000000-0005-0000-0000-0000C9750000}"/>
    <cellStyle name="Normal 5 6 2 2 8 3 2" xfId="23488" xr:uid="{00000000-0005-0000-0000-0000CA750000}"/>
    <cellStyle name="Normal 5 6 2 2 8 4" xfId="19942" xr:uid="{00000000-0005-0000-0000-0000CB750000}"/>
    <cellStyle name="Normal 5 6 2 2 9" xfId="10188" xr:uid="{00000000-0005-0000-0000-0000CC750000}"/>
    <cellStyle name="Normal 5 6 2 2 9 2" xfId="26788" xr:uid="{00000000-0005-0000-0000-0000CD750000}"/>
    <cellStyle name="Normal 5 6 2 3" xfId="658" xr:uid="{00000000-0005-0000-0000-0000CE750000}"/>
    <cellStyle name="Normal 5 6 2 3 10" xfId="17475" xr:uid="{00000000-0005-0000-0000-0000CF750000}"/>
    <cellStyle name="Normal 5 6 2 3 2" xfId="1016" xr:uid="{00000000-0005-0000-0000-0000D0750000}"/>
    <cellStyle name="Normal 5 6 2 3 2 2" xfId="1251" xr:uid="{00000000-0005-0000-0000-0000D1750000}"/>
    <cellStyle name="Normal 5 6 2 3 2 2 2" xfId="1772" xr:uid="{00000000-0005-0000-0000-0000D2750000}"/>
    <cellStyle name="Normal 5 6 2 3 2 2 2 2" xfId="3251" xr:uid="{00000000-0005-0000-0000-0000D3750000}"/>
    <cellStyle name="Normal 5 6 2 3 2 2 2 2 2" xfId="6666" xr:uid="{00000000-0005-0000-0000-0000D4750000}"/>
    <cellStyle name="Normal 5 6 2 3 2 2 2 2 2 2" xfId="10017" xr:uid="{00000000-0005-0000-0000-0000D5750000}"/>
    <cellStyle name="Normal 5 6 2 3 2 2 2 2 2 2 2" xfId="17280" xr:uid="{00000000-0005-0000-0000-0000D6750000}"/>
    <cellStyle name="Normal 5 6 2 3 2 2 2 2 2 2 2 2" xfId="33595" xr:uid="{00000000-0005-0000-0000-0000D7750000}"/>
    <cellStyle name="Normal 5 6 2 3 2 2 2 2 2 2 3" xfId="26630" xr:uid="{00000000-0005-0000-0000-0000D8750000}"/>
    <cellStyle name="Normal 5 6 2 3 2 2 2 2 2 3" xfId="13359" xr:uid="{00000000-0005-0000-0000-0000D9750000}"/>
    <cellStyle name="Normal 5 6 2 3 2 2 2 2 2 3 2" xfId="29934" xr:uid="{00000000-0005-0000-0000-0000DA750000}"/>
    <cellStyle name="Normal 5 6 2 3 2 2 2 2 2 4" xfId="23330" xr:uid="{00000000-0005-0000-0000-0000DB750000}"/>
    <cellStyle name="Normal 5 6 2 3 2 2 2 2 3" xfId="8396" xr:uid="{00000000-0005-0000-0000-0000DC750000}"/>
    <cellStyle name="Normal 5 6 2 3 2 2 2 2 3 2" xfId="15659" xr:uid="{00000000-0005-0000-0000-0000DD750000}"/>
    <cellStyle name="Normal 5 6 2 3 2 2 2 2 3 2 2" xfId="31974" xr:uid="{00000000-0005-0000-0000-0000DE750000}"/>
    <cellStyle name="Normal 5 6 2 3 2 2 2 2 3 3" xfId="25009" xr:uid="{00000000-0005-0000-0000-0000DF750000}"/>
    <cellStyle name="Normal 5 6 2 3 2 2 2 2 4" xfId="11711" xr:uid="{00000000-0005-0000-0000-0000E0750000}"/>
    <cellStyle name="Normal 5 6 2 3 2 2 2 2 4 2" xfId="28309" xr:uid="{00000000-0005-0000-0000-0000E1750000}"/>
    <cellStyle name="Normal 5 6 2 3 2 2 2 2 5" xfId="4853" xr:uid="{00000000-0005-0000-0000-0000E2750000}"/>
    <cellStyle name="Normal 5 6 2 3 2 2 2 2 5 2" xfId="21576" xr:uid="{00000000-0005-0000-0000-0000E3750000}"/>
    <cellStyle name="Normal 5 6 2 3 2 2 2 2 6" xfId="19978" xr:uid="{00000000-0005-0000-0000-0000E4750000}"/>
    <cellStyle name="Normal 5 6 2 3 2 2 2 3" xfId="3250" xr:uid="{00000000-0005-0000-0000-0000E5750000}"/>
    <cellStyle name="Normal 5 6 2 3 2 2 2 3 2" xfId="9241" xr:uid="{00000000-0005-0000-0000-0000E6750000}"/>
    <cellStyle name="Normal 5 6 2 3 2 2 2 3 2 2" xfId="16504" xr:uid="{00000000-0005-0000-0000-0000E7750000}"/>
    <cellStyle name="Normal 5 6 2 3 2 2 2 3 2 2 2" xfId="32819" xr:uid="{00000000-0005-0000-0000-0000E8750000}"/>
    <cellStyle name="Normal 5 6 2 3 2 2 2 3 2 3" xfId="25854" xr:uid="{00000000-0005-0000-0000-0000E9750000}"/>
    <cellStyle name="Normal 5 6 2 3 2 2 2 3 3" xfId="12583" xr:uid="{00000000-0005-0000-0000-0000EA750000}"/>
    <cellStyle name="Normal 5 6 2 3 2 2 2 3 3 2" xfId="29158" xr:uid="{00000000-0005-0000-0000-0000EB750000}"/>
    <cellStyle name="Normal 5 6 2 3 2 2 2 3 4" xfId="5890" xr:uid="{00000000-0005-0000-0000-0000EC750000}"/>
    <cellStyle name="Normal 5 6 2 3 2 2 2 3 4 2" xfId="22554" xr:uid="{00000000-0005-0000-0000-0000ED750000}"/>
    <cellStyle name="Normal 5 6 2 3 2 2 2 3 5" xfId="19977" xr:uid="{00000000-0005-0000-0000-0000EE750000}"/>
    <cellStyle name="Normal 5 6 2 3 2 2 2 4" xfId="7620" xr:uid="{00000000-0005-0000-0000-0000EF750000}"/>
    <cellStyle name="Normal 5 6 2 3 2 2 2 4 2" xfId="14883" xr:uid="{00000000-0005-0000-0000-0000F0750000}"/>
    <cellStyle name="Normal 5 6 2 3 2 2 2 4 2 2" xfId="31198" xr:uid="{00000000-0005-0000-0000-0000F1750000}"/>
    <cellStyle name="Normal 5 6 2 3 2 2 2 4 3" xfId="24233" xr:uid="{00000000-0005-0000-0000-0000F2750000}"/>
    <cellStyle name="Normal 5 6 2 3 2 2 2 5" xfId="10935" xr:uid="{00000000-0005-0000-0000-0000F3750000}"/>
    <cellStyle name="Normal 5 6 2 3 2 2 2 5 2" xfId="27533" xr:uid="{00000000-0005-0000-0000-0000F4750000}"/>
    <cellStyle name="Normal 5 6 2 3 2 2 2 6" xfId="4852" xr:uid="{00000000-0005-0000-0000-0000F5750000}"/>
    <cellStyle name="Normal 5 6 2 3 2 2 2 6 2" xfId="21575" xr:uid="{00000000-0005-0000-0000-0000F6750000}"/>
    <cellStyle name="Normal 5 6 2 3 2 2 2 7" xfId="18507" xr:uid="{00000000-0005-0000-0000-0000F7750000}"/>
    <cellStyle name="Normal 5 6 2 3 2 2 3" xfId="3252" xr:uid="{00000000-0005-0000-0000-0000F8750000}"/>
    <cellStyle name="Normal 5 6 2 3 2 2 3 2" xfId="6296" xr:uid="{00000000-0005-0000-0000-0000F9750000}"/>
    <cellStyle name="Normal 5 6 2 3 2 2 3 2 2" xfId="9647" xr:uid="{00000000-0005-0000-0000-0000FA750000}"/>
    <cellStyle name="Normal 5 6 2 3 2 2 3 2 2 2" xfId="16910" xr:uid="{00000000-0005-0000-0000-0000FB750000}"/>
    <cellStyle name="Normal 5 6 2 3 2 2 3 2 2 2 2" xfId="33225" xr:uid="{00000000-0005-0000-0000-0000FC750000}"/>
    <cellStyle name="Normal 5 6 2 3 2 2 3 2 2 3" xfId="26260" xr:uid="{00000000-0005-0000-0000-0000FD750000}"/>
    <cellStyle name="Normal 5 6 2 3 2 2 3 2 3" xfId="12989" xr:uid="{00000000-0005-0000-0000-0000FE750000}"/>
    <cellStyle name="Normal 5 6 2 3 2 2 3 2 3 2" xfId="29564" xr:uid="{00000000-0005-0000-0000-0000FF750000}"/>
    <cellStyle name="Normal 5 6 2 3 2 2 3 2 4" xfId="22960" xr:uid="{00000000-0005-0000-0000-000000760000}"/>
    <cellStyle name="Normal 5 6 2 3 2 2 3 3" xfId="8026" xr:uid="{00000000-0005-0000-0000-000001760000}"/>
    <cellStyle name="Normal 5 6 2 3 2 2 3 3 2" xfId="15289" xr:uid="{00000000-0005-0000-0000-000002760000}"/>
    <cellStyle name="Normal 5 6 2 3 2 2 3 3 2 2" xfId="31604" xr:uid="{00000000-0005-0000-0000-000003760000}"/>
    <cellStyle name="Normal 5 6 2 3 2 2 3 3 3" xfId="24639" xr:uid="{00000000-0005-0000-0000-000004760000}"/>
    <cellStyle name="Normal 5 6 2 3 2 2 3 4" xfId="11341" xr:uid="{00000000-0005-0000-0000-000005760000}"/>
    <cellStyle name="Normal 5 6 2 3 2 2 3 4 2" xfId="27939" xr:uid="{00000000-0005-0000-0000-000006760000}"/>
    <cellStyle name="Normal 5 6 2 3 2 2 3 5" xfId="4854" xr:uid="{00000000-0005-0000-0000-000007760000}"/>
    <cellStyle name="Normal 5 6 2 3 2 2 3 5 2" xfId="21577" xr:uid="{00000000-0005-0000-0000-000008760000}"/>
    <cellStyle name="Normal 5 6 2 3 2 2 3 6" xfId="19979" xr:uid="{00000000-0005-0000-0000-000009760000}"/>
    <cellStyle name="Normal 5 6 2 3 2 2 4" xfId="3249" xr:uid="{00000000-0005-0000-0000-00000A760000}"/>
    <cellStyle name="Normal 5 6 2 3 2 2 4 2" xfId="8834" xr:uid="{00000000-0005-0000-0000-00000B760000}"/>
    <cellStyle name="Normal 5 6 2 3 2 2 4 2 2" xfId="16097" xr:uid="{00000000-0005-0000-0000-00000C760000}"/>
    <cellStyle name="Normal 5 6 2 3 2 2 4 2 2 2" xfId="32412" xr:uid="{00000000-0005-0000-0000-00000D760000}"/>
    <cellStyle name="Normal 5 6 2 3 2 2 4 2 3" xfId="25447" xr:uid="{00000000-0005-0000-0000-00000E760000}"/>
    <cellStyle name="Normal 5 6 2 3 2 2 4 3" xfId="12176" xr:uid="{00000000-0005-0000-0000-00000F760000}"/>
    <cellStyle name="Normal 5 6 2 3 2 2 4 3 2" xfId="28751" xr:uid="{00000000-0005-0000-0000-000010760000}"/>
    <cellStyle name="Normal 5 6 2 3 2 2 4 4" xfId="5483" xr:uid="{00000000-0005-0000-0000-000011760000}"/>
    <cellStyle name="Normal 5 6 2 3 2 2 4 4 2" xfId="22147" xr:uid="{00000000-0005-0000-0000-000012760000}"/>
    <cellStyle name="Normal 5 6 2 3 2 2 4 5" xfId="19976" xr:uid="{00000000-0005-0000-0000-000013760000}"/>
    <cellStyle name="Normal 5 6 2 3 2 2 5" xfId="7214" xr:uid="{00000000-0005-0000-0000-000014760000}"/>
    <cellStyle name="Normal 5 6 2 3 2 2 5 2" xfId="14477" xr:uid="{00000000-0005-0000-0000-000015760000}"/>
    <cellStyle name="Normal 5 6 2 3 2 2 5 2 2" xfId="30792" xr:uid="{00000000-0005-0000-0000-000016760000}"/>
    <cellStyle name="Normal 5 6 2 3 2 2 5 3" xfId="23827" xr:uid="{00000000-0005-0000-0000-000017760000}"/>
    <cellStyle name="Normal 5 6 2 3 2 2 6" xfId="10529" xr:uid="{00000000-0005-0000-0000-000018760000}"/>
    <cellStyle name="Normal 5 6 2 3 2 2 6 2" xfId="27127" xr:uid="{00000000-0005-0000-0000-000019760000}"/>
    <cellStyle name="Normal 5 6 2 3 2 2 7" xfId="4851" xr:uid="{00000000-0005-0000-0000-00001A760000}"/>
    <cellStyle name="Normal 5 6 2 3 2 2 7 2" xfId="21574" xr:uid="{00000000-0005-0000-0000-00001B760000}"/>
    <cellStyle name="Normal 5 6 2 3 2 2 8" xfId="17988" xr:uid="{00000000-0005-0000-0000-00001C760000}"/>
    <cellStyle name="Normal 5 6 2 3 2 3" xfId="1577" xr:uid="{00000000-0005-0000-0000-00001D760000}"/>
    <cellStyle name="Normal 5 6 2 3 2 3 2" xfId="3254" xr:uid="{00000000-0005-0000-0000-00001E760000}"/>
    <cellStyle name="Normal 5 6 2 3 2 3 2 2" xfId="6490" xr:uid="{00000000-0005-0000-0000-00001F760000}"/>
    <cellStyle name="Normal 5 6 2 3 2 3 2 2 2" xfId="9841" xr:uid="{00000000-0005-0000-0000-000020760000}"/>
    <cellStyle name="Normal 5 6 2 3 2 3 2 2 2 2" xfId="17104" xr:uid="{00000000-0005-0000-0000-000021760000}"/>
    <cellStyle name="Normal 5 6 2 3 2 3 2 2 2 2 2" xfId="33419" xr:uid="{00000000-0005-0000-0000-000022760000}"/>
    <cellStyle name="Normal 5 6 2 3 2 3 2 2 2 3" xfId="26454" xr:uid="{00000000-0005-0000-0000-000023760000}"/>
    <cellStyle name="Normal 5 6 2 3 2 3 2 2 3" xfId="13183" xr:uid="{00000000-0005-0000-0000-000024760000}"/>
    <cellStyle name="Normal 5 6 2 3 2 3 2 2 3 2" xfId="29758" xr:uid="{00000000-0005-0000-0000-000025760000}"/>
    <cellStyle name="Normal 5 6 2 3 2 3 2 2 4" xfId="23154" xr:uid="{00000000-0005-0000-0000-000026760000}"/>
    <cellStyle name="Normal 5 6 2 3 2 3 2 3" xfId="8220" xr:uid="{00000000-0005-0000-0000-000027760000}"/>
    <cellStyle name="Normal 5 6 2 3 2 3 2 3 2" xfId="15483" xr:uid="{00000000-0005-0000-0000-000028760000}"/>
    <cellStyle name="Normal 5 6 2 3 2 3 2 3 2 2" xfId="31798" xr:uid="{00000000-0005-0000-0000-000029760000}"/>
    <cellStyle name="Normal 5 6 2 3 2 3 2 3 3" xfId="24833" xr:uid="{00000000-0005-0000-0000-00002A760000}"/>
    <cellStyle name="Normal 5 6 2 3 2 3 2 4" xfId="11535" xr:uid="{00000000-0005-0000-0000-00002B760000}"/>
    <cellStyle name="Normal 5 6 2 3 2 3 2 4 2" xfId="28133" xr:uid="{00000000-0005-0000-0000-00002C760000}"/>
    <cellStyle name="Normal 5 6 2 3 2 3 2 5" xfId="4856" xr:uid="{00000000-0005-0000-0000-00002D760000}"/>
    <cellStyle name="Normal 5 6 2 3 2 3 2 5 2" xfId="21579" xr:uid="{00000000-0005-0000-0000-00002E760000}"/>
    <cellStyle name="Normal 5 6 2 3 2 3 2 6" xfId="19981" xr:uid="{00000000-0005-0000-0000-00002F760000}"/>
    <cellStyle name="Normal 5 6 2 3 2 3 3" xfId="3253" xr:uid="{00000000-0005-0000-0000-000030760000}"/>
    <cellStyle name="Normal 5 6 2 3 2 3 3 2" xfId="9029" xr:uid="{00000000-0005-0000-0000-000031760000}"/>
    <cellStyle name="Normal 5 6 2 3 2 3 3 2 2" xfId="16292" xr:uid="{00000000-0005-0000-0000-000032760000}"/>
    <cellStyle name="Normal 5 6 2 3 2 3 3 2 2 2" xfId="32607" xr:uid="{00000000-0005-0000-0000-000033760000}"/>
    <cellStyle name="Normal 5 6 2 3 2 3 3 2 3" xfId="25642" xr:uid="{00000000-0005-0000-0000-000034760000}"/>
    <cellStyle name="Normal 5 6 2 3 2 3 3 3" xfId="12371" xr:uid="{00000000-0005-0000-0000-000035760000}"/>
    <cellStyle name="Normal 5 6 2 3 2 3 3 3 2" xfId="28946" xr:uid="{00000000-0005-0000-0000-000036760000}"/>
    <cellStyle name="Normal 5 6 2 3 2 3 3 4" xfId="5678" xr:uid="{00000000-0005-0000-0000-000037760000}"/>
    <cellStyle name="Normal 5 6 2 3 2 3 3 4 2" xfId="22342" xr:uid="{00000000-0005-0000-0000-000038760000}"/>
    <cellStyle name="Normal 5 6 2 3 2 3 3 5" xfId="19980" xr:uid="{00000000-0005-0000-0000-000039760000}"/>
    <cellStyle name="Normal 5 6 2 3 2 3 4" xfId="7408" xr:uid="{00000000-0005-0000-0000-00003A760000}"/>
    <cellStyle name="Normal 5 6 2 3 2 3 4 2" xfId="14671" xr:uid="{00000000-0005-0000-0000-00003B760000}"/>
    <cellStyle name="Normal 5 6 2 3 2 3 4 2 2" xfId="30986" xr:uid="{00000000-0005-0000-0000-00003C760000}"/>
    <cellStyle name="Normal 5 6 2 3 2 3 4 3" xfId="24021" xr:uid="{00000000-0005-0000-0000-00003D760000}"/>
    <cellStyle name="Normal 5 6 2 3 2 3 5" xfId="10723" xr:uid="{00000000-0005-0000-0000-00003E760000}"/>
    <cellStyle name="Normal 5 6 2 3 2 3 5 2" xfId="27321" xr:uid="{00000000-0005-0000-0000-00003F760000}"/>
    <cellStyle name="Normal 5 6 2 3 2 3 6" xfId="4855" xr:uid="{00000000-0005-0000-0000-000040760000}"/>
    <cellStyle name="Normal 5 6 2 3 2 3 6 2" xfId="21578" xr:uid="{00000000-0005-0000-0000-000041760000}"/>
    <cellStyle name="Normal 5 6 2 3 2 3 7" xfId="18312" xr:uid="{00000000-0005-0000-0000-000042760000}"/>
    <cellStyle name="Normal 5 6 2 3 2 4" xfId="3255" xr:uid="{00000000-0005-0000-0000-000043760000}"/>
    <cellStyle name="Normal 5 6 2 3 2 4 2" xfId="6084" xr:uid="{00000000-0005-0000-0000-000044760000}"/>
    <cellStyle name="Normal 5 6 2 3 2 4 2 2" xfId="9435" xr:uid="{00000000-0005-0000-0000-000045760000}"/>
    <cellStyle name="Normal 5 6 2 3 2 4 2 2 2" xfId="16698" xr:uid="{00000000-0005-0000-0000-000046760000}"/>
    <cellStyle name="Normal 5 6 2 3 2 4 2 2 2 2" xfId="33013" xr:uid="{00000000-0005-0000-0000-000047760000}"/>
    <cellStyle name="Normal 5 6 2 3 2 4 2 2 3" xfId="26048" xr:uid="{00000000-0005-0000-0000-000048760000}"/>
    <cellStyle name="Normal 5 6 2 3 2 4 2 3" xfId="12777" xr:uid="{00000000-0005-0000-0000-000049760000}"/>
    <cellStyle name="Normal 5 6 2 3 2 4 2 3 2" xfId="29352" xr:uid="{00000000-0005-0000-0000-00004A760000}"/>
    <cellStyle name="Normal 5 6 2 3 2 4 2 4" xfId="22748" xr:uid="{00000000-0005-0000-0000-00004B760000}"/>
    <cellStyle name="Normal 5 6 2 3 2 4 3" xfId="7814" xr:uid="{00000000-0005-0000-0000-00004C760000}"/>
    <cellStyle name="Normal 5 6 2 3 2 4 3 2" xfId="15077" xr:uid="{00000000-0005-0000-0000-00004D760000}"/>
    <cellStyle name="Normal 5 6 2 3 2 4 3 2 2" xfId="31392" xr:uid="{00000000-0005-0000-0000-00004E760000}"/>
    <cellStyle name="Normal 5 6 2 3 2 4 3 3" xfId="24427" xr:uid="{00000000-0005-0000-0000-00004F760000}"/>
    <cellStyle name="Normal 5 6 2 3 2 4 4" xfId="11129" xr:uid="{00000000-0005-0000-0000-000050760000}"/>
    <cellStyle name="Normal 5 6 2 3 2 4 4 2" xfId="27727" xr:uid="{00000000-0005-0000-0000-000051760000}"/>
    <cellStyle name="Normal 5 6 2 3 2 4 5" xfId="4857" xr:uid="{00000000-0005-0000-0000-000052760000}"/>
    <cellStyle name="Normal 5 6 2 3 2 4 5 2" xfId="21580" xr:uid="{00000000-0005-0000-0000-000053760000}"/>
    <cellStyle name="Normal 5 6 2 3 2 4 6" xfId="19982" xr:uid="{00000000-0005-0000-0000-000054760000}"/>
    <cellStyle name="Normal 5 6 2 3 2 5" xfId="3248" xr:uid="{00000000-0005-0000-0000-000055760000}"/>
    <cellStyle name="Normal 5 6 2 3 2 5 2" xfId="8638" xr:uid="{00000000-0005-0000-0000-000056760000}"/>
    <cellStyle name="Normal 5 6 2 3 2 5 2 2" xfId="15901" xr:uid="{00000000-0005-0000-0000-000057760000}"/>
    <cellStyle name="Normal 5 6 2 3 2 5 2 2 2" xfId="32216" xr:uid="{00000000-0005-0000-0000-000058760000}"/>
    <cellStyle name="Normal 5 6 2 3 2 5 2 3" xfId="25251" xr:uid="{00000000-0005-0000-0000-000059760000}"/>
    <cellStyle name="Normal 5 6 2 3 2 5 3" xfId="11980" xr:uid="{00000000-0005-0000-0000-00005A760000}"/>
    <cellStyle name="Normal 5 6 2 3 2 5 3 2" xfId="28555" xr:uid="{00000000-0005-0000-0000-00005B760000}"/>
    <cellStyle name="Normal 5 6 2 3 2 5 4" xfId="5287" xr:uid="{00000000-0005-0000-0000-00005C760000}"/>
    <cellStyle name="Normal 5 6 2 3 2 5 4 2" xfId="21951" xr:uid="{00000000-0005-0000-0000-00005D760000}"/>
    <cellStyle name="Normal 5 6 2 3 2 5 5" xfId="19975" xr:uid="{00000000-0005-0000-0000-00005E760000}"/>
    <cellStyle name="Normal 5 6 2 3 2 6" xfId="7019" xr:uid="{00000000-0005-0000-0000-00005F760000}"/>
    <cellStyle name="Normal 5 6 2 3 2 6 2" xfId="14282" xr:uid="{00000000-0005-0000-0000-000060760000}"/>
    <cellStyle name="Normal 5 6 2 3 2 6 2 2" xfId="30597" xr:uid="{00000000-0005-0000-0000-000061760000}"/>
    <cellStyle name="Normal 5 6 2 3 2 6 3" xfId="23632" xr:uid="{00000000-0005-0000-0000-000062760000}"/>
    <cellStyle name="Normal 5 6 2 3 2 7" xfId="10333" xr:uid="{00000000-0005-0000-0000-000063760000}"/>
    <cellStyle name="Normal 5 6 2 3 2 7 2" xfId="26932" xr:uid="{00000000-0005-0000-0000-000064760000}"/>
    <cellStyle name="Normal 5 6 2 3 2 8" xfId="4850" xr:uid="{00000000-0005-0000-0000-000065760000}"/>
    <cellStyle name="Normal 5 6 2 3 2 8 2" xfId="21573" xr:uid="{00000000-0005-0000-0000-000066760000}"/>
    <cellStyle name="Normal 5 6 2 3 2 9" xfId="17793" xr:uid="{00000000-0005-0000-0000-000067760000}"/>
    <cellStyle name="Normal 5 6 2 3 3" xfId="1250" xr:uid="{00000000-0005-0000-0000-000068760000}"/>
    <cellStyle name="Normal 5 6 2 3 3 2" xfId="1771" xr:uid="{00000000-0005-0000-0000-000069760000}"/>
    <cellStyle name="Normal 5 6 2 3 3 2 2" xfId="3258" xr:uid="{00000000-0005-0000-0000-00006A760000}"/>
    <cellStyle name="Normal 5 6 2 3 3 2 2 2" xfId="6665" xr:uid="{00000000-0005-0000-0000-00006B760000}"/>
    <cellStyle name="Normal 5 6 2 3 3 2 2 2 2" xfId="10016" xr:uid="{00000000-0005-0000-0000-00006C760000}"/>
    <cellStyle name="Normal 5 6 2 3 3 2 2 2 2 2" xfId="17279" xr:uid="{00000000-0005-0000-0000-00006D760000}"/>
    <cellStyle name="Normal 5 6 2 3 3 2 2 2 2 2 2" xfId="33594" xr:uid="{00000000-0005-0000-0000-00006E760000}"/>
    <cellStyle name="Normal 5 6 2 3 3 2 2 2 2 3" xfId="26629" xr:uid="{00000000-0005-0000-0000-00006F760000}"/>
    <cellStyle name="Normal 5 6 2 3 3 2 2 2 3" xfId="13358" xr:uid="{00000000-0005-0000-0000-000070760000}"/>
    <cellStyle name="Normal 5 6 2 3 3 2 2 2 3 2" xfId="29933" xr:uid="{00000000-0005-0000-0000-000071760000}"/>
    <cellStyle name="Normal 5 6 2 3 3 2 2 2 4" xfId="23329" xr:uid="{00000000-0005-0000-0000-000072760000}"/>
    <cellStyle name="Normal 5 6 2 3 3 2 2 3" xfId="8395" xr:uid="{00000000-0005-0000-0000-000073760000}"/>
    <cellStyle name="Normal 5 6 2 3 3 2 2 3 2" xfId="15658" xr:uid="{00000000-0005-0000-0000-000074760000}"/>
    <cellStyle name="Normal 5 6 2 3 3 2 2 3 2 2" xfId="31973" xr:uid="{00000000-0005-0000-0000-000075760000}"/>
    <cellStyle name="Normal 5 6 2 3 3 2 2 3 3" xfId="25008" xr:uid="{00000000-0005-0000-0000-000076760000}"/>
    <cellStyle name="Normal 5 6 2 3 3 2 2 4" xfId="11710" xr:uid="{00000000-0005-0000-0000-000077760000}"/>
    <cellStyle name="Normal 5 6 2 3 3 2 2 4 2" xfId="28308" xr:uid="{00000000-0005-0000-0000-000078760000}"/>
    <cellStyle name="Normal 5 6 2 3 3 2 2 5" xfId="4860" xr:uid="{00000000-0005-0000-0000-000079760000}"/>
    <cellStyle name="Normal 5 6 2 3 3 2 2 5 2" xfId="21583" xr:uid="{00000000-0005-0000-0000-00007A760000}"/>
    <cellStyle name="Normal 5 6 2 3 3 2 2 6" xfId="19985" xr:uid="{00000000-0005-0000-0000-00007B760000}"/>
    <cellStyle name="Normal 5 6 2 3 3 2 3" xfId="3257" xr:uid="{00000000-0005-0000-0000-00007C760000}"/>
    <cellStyle name="Normal 5 6 2 3 3 2 3 2" xfId="9240" xr:uid="{00000000-0005-0000-0000-00007D760000}"/>
    <cellStyle name="Normal 5 6 2 3 3 2 3 2 2" xfId="16503" xr:uid="{00000000-0005-0000-0000-00007E760000}"/>
    <cellStyle name="Normal 5 6 2 3 3 2 3 2 2 2" xfId="32818" xr:uid="{00000000-0005-0000-0000-00007F760000}"/>
    <cellStyle name="Normal 5 6 2 3 3 2 3 2 3" xfId="25853" xr:uid="{00000000-0005-0000-0000-000080760000}"/>
    <cellStyle name="Normal 5 6 2 3 3 2 3 3" xfId="12582" xr:uid="{00000000-0005-0000-0000-000081760000}"/>
    <cellStyle name="Normal 5 6 2 3 3 2 3 3 2" xfId="29157" xr:uid="{00000000-0005-0000-0000-000082760000}"/>
    <cellStyle name="Normal 5 6 2 3 3 2 3 4" xfId="5889" xr:uid="{00000000-0005-0000-0000-000083760000}"/>
    <cellStyle name="Normal 5 6 2 3 3 2 3 4 2" xfId="22553" xr:uid="{00000000-0005-0000-0000-000084760000}"/>
    <cellStyle name="Normal 5 6 2 3 3 2 3 5" xfId="19984" xr:uid="{00000000-0005-0000-0000-000085760000}"/>
    <cellStyle name="Normal 5 6 2 3 3 2 4" xfId="7619" xr:uid="{00000000-0005-0000-0000-000086760000}"/>
    <cellStyle name="Normal 5 6 2 3 3 2 4 2" xfId="14882" xr:uid="{00000000-0005-0000-0000-000087760000}"/>
    <cellStyle name="Normal 5 6 2 3 3 2 4 2 2" xfId="31197" xr:uid="{00000000-0005-0000-0000-000088760000}"/>
    <cellStyle name="Normal 5 6 2 3 3 2 4 3" xfId="24232" xr:uid="{00000000-0005-0000-0000-000089760000}"/>
    <cellStyle name="Normal 5 6 2 3 3 2 5" xfId="10934" xr:uid="{00000000-0005-0000-0000-00008A760000}"/>
    <cellStyle name="Normal 5 6 2 3 3 2 5 2" xfId="27532" xr:uid="{00000000-0005-0000-0000-00008B760000}"/>
    <cellStyle name="Normal 5 6 2 3 3 2 6" xfId="4859" xr:uid="{00000000-0005-0000-0000-00008C760000}"/>
    <cellStyle name="Normal 5 6 2 3 3 2 6 2" xfId="21582" xr:uid="{00000000-0005-0000-0000-00008D760000}"/>
    <cellStyle name="Normal 5 6 2 3 3 2 7" xfId="18506" xr:uid="{00000000-0005-0000-0000-00008E760000}"/>
    <cellStyle name="Normal 5 6 2 3 3 3" xfId="3259" xr:uid="{00000000-0005-0000-0000-00008F760000}"/>
    <cellStyle name="Normal 5 6 2 3 3 3 2" xfId="6295" xr:uid="{00000000-0005-0000-0000-000090760000}"/>
    <cellStyle name="Normal 5 6 2 3 3 3 2 2" xfId="9646" xr:uid="{00000000-0005-0000-0000-000091760000}"/>
    <cellStyle name="Normal 5 6 2 3 3 3 2 2 2" xfId="16909" xr:uid="{00000000-0005-0000-0000-000092760000}"/>
    <cellStyle name="Normal 5 6 2 3 3 3 2 2 2 2" xfId="33224" xr:uid="{00000000-0005-0000-0000-000093760000}"/>
    <cellStyle name="Normal 5 6 2 3 3 3 2 2 3" xfId="26259" xr:uid="{00000000-0005-0000-0000-000094760000}"/>
    <cellStyle name="Normal 5 6 2 3 3 3 2 3" xfId="12988" xr:uid="{00000000-0005-0000-0000-000095760000}"/>
    <cellStyle name="Normal 5 6 2 3 3 3 2 3 2" xfId="29563" xr:uid="{00000000-0005-0000-0000-000096760000}"/>
    <cellStyle name="Normal 5 6 2 3 3 3 2 4" xfId="22959" xr:uid="{00000000-0005-0000-0000-000097760000}"/>
    <cellStyle name="Normal 5 6 2 3 3 3 3" xfId="8025" xr:uid="{00000000-0005-0000-0000-000098760000}"/>
    <cellStyle name="Normal 5 6 2 3 3 3 3 2" xfId="15288" xr:uid="{00000000-0005-0000-0000-000099760000}"/>
    <cellStyle name="Normal 5 6 2 3 3 3 3 2 2" xfId="31603" xr:uid="{00000000-0005-0000-0000-00009A760000}"/>
    <cellStyle name="Normal 5 6 2 3 3 3 3 3" xfId="24638" xr:uid="{00000000-0005-0000-0000-00009B760000}"/>
    <cellStyle name="Normal 5 6 2 3 3 3 4" xfId="11340" xr:uid="{00000000-0005-0000-0000-00009C760000}"/>
    <cellStyle name="Normal 5 6 2 3 3 3 4 2" xfId="27938" xr:uid="{00000000-0005-0000-0000-00009D760000}"/>
    <cellStyle name="Normal 5 6 2 3 3 3 5" xfId="4861" xr:uid="{00000000-0005-0000-0000-00009E760000}"/>
    <cellStyle name="Normal 5 6 2 3 3 3 5 2" xfId="21584" xr:uid="{00000000-0005-0000-0000-00009F760000}"/>
    <cellStyle name="Normal 5 6 2 3 3 3 6" xfId="19986" xr:uid="{00000000-0005-0000-0000-0000A0760000}"/>
    <cellStyle name="Normal 5 6 2 3 3 4" xfId="3256" xr:uid="{00000000-0005-0000-0000-0000A1760000}"/>
    <cellStyle name="Normal 5 6 2 3 3 4 2" xfId="8833" xr:uid="{00000000-0005-0000-0000-0000A2760000}"/>
    <cellStyle name="Normal 5 6 2 3 3 4 2 2" xfId="16096" xr:uid="{00000000-0005-0000-0000-0000A3760000}"/>
    <cellStyle name="Normal 5 6 2 3 3 4 2 2 2" xfId="32411" xr:uid="{00000000-0005-0000-0000-0000A4760000}"/>
    <cellStyle name="Normal 5 6 2 3 3 4 2 3" xfId="25446" xr:uid="{00000000-0005-0000-0000-0000A5760000}"/>
    <cellStyle name="Normal 5 6 2 3 3 4 3" xfId="12175" xr:uid="{00000000-0005-0000-0000-0000A6760000}"/>
    <cellStyle name="Normal 5 6 2 3 3 4 3 2" xfId="28750" xr:uid="{00000000-0005-0000-0000-0000A7760000}"/>
    <cellStyle name="Normal 5 6 2 3 3 4 4" xfId="5482" xr:uid="{00000000-0005-0000-0000-0000A8760000}"/>
    <cellStyle name="Normal 5 6 2 3 3 4 4 2" xfId="22146" xr:uid="{00000000-0005-0000-0000-0000A9760000}"/>
    <cellStyle name="Normal 5 6 2 3 3 4 5" xfId="19983" xr:uid="{00000000-0005-0000-0000-0000AA760000}"/>
    <cellStyle name="Normal 5 6 2 3 3 5" xfId="7213" xr:uid="{00000000-0005-0000-0000-0000AB760000}"/>
    <cellStyle name="Normal 5 6 2 3 3 5 2" xfId="14476" xr:uid="{00000000-0005-0000-0000-0000AC760000}"/>
    <cellStyle name="Normal 5 6 2 3 3 5 2 2" xfId="30791" xr:uid="{00000000-0005-0000-0000-0000AD760000}"/>
    <cellStyle name="Normal 5 6 2 3 3 5 3" xfId="23826" xr:uid="{00000000-0005-0000-0000-0000AE760000}"/>
    <cellStyle name="Normal 5 6 2 3 3 6" xfId="10528" xr:uid="{00000000-0005-0000-0000-0000AF760000}"/>
    <cellStyle name="Normal 5 6 2 3 3 6 2" xfId="27126" xr:uid="{00000000-0005-0000-0000-0000B0760000}"/>
    <cellStyle name="Normal 5 6 2 3 3 7" xfId="4858" xr:uid="{00000000-0005-0000-0000-0000B1760000}"/>
    <cellStyle name="Normal 5 6 2 3 3 7 2" xfId="21581" xr:uid="{00000000-0005-0000-0000-0000B2760000}"/>
    <cellStyle name="Normal 5 6 2 3 3 8" xfId="17987" xr:uid="{00000000-0005-0000-0000-0000B3760000}"/>
    <cellStyle name="Normal 5 6 2 3 4" xfId="909" xr:uid="{00000000-0005-0000-0000-0000B4760000}"/>
    <cellStyle name="Normal 5 6 2 3 4 2" xfId="1471" xr:uid="{00000000-0005-0000-0000-0000B5760000}"/>
    <cellStyle name="Normal 5 6 2 3 4 2 2" xfId="3261" xr:uid="{00000000-0005-0000-0000-0000B6760000}"/>
    <cellStyle name="Normal 5 6 2 3 4 2 2 2" xfId="9840" xr:uid="{00000000-0005-0000-0000-0000B7760000}"/>
    <cellStyle name="Normal 5 6 2 3 4 2 2 2 2" xfId="17103" xr:uid="{00000000-0005-0000-0000-0000B8760000}"/>
    <cellStyle name="Normal 5 6 2 3 4 2 2 2 2 2" xfId="33418" xr:uid="{00000000-0005-0000-0000-0000B9760000}"/>
    <cellStyle name="Normal 5 6 2 3 4 2 2 2 3" xfId="26453" xr:uid="{00000000-0005-0000-0000-0000BA760000}"/>
    <cellStyle name="Normal 5 6 2 3 4 2 2 3" xfId="13182" xr:uid="{00000000-0005-0000-0000-0000BB760000}"/>
    <cellStyle name="Normal 5 6 2 3 4 2 2 3 2" xfId="29757" xr:uid="{00000000-0005-0000-0000-0000BC760000}"/>
    <cellStyle name="Normal 5 6 2 3 4 2 2 4" xfId="6489" xr:uid="{00000000-0005-0000-0000-0000BD760000}"/>
    <cellStyle name="Normal 5 6 2 3 4 2 2 4 2" xfId="23153" xr:uid="{00000000-0005-0000-0000-0000BE760000}"/>
    <cellStyle name="Normal 5 6 2 3 4 2 2 5" xfId="19988" xr:uid="{00000000-0005-0000-0000-0000BF760000}"/>
    <cellStyle name="Normal 5 6 2 3 4 2 3" xfId="8219" xr:uid="{00000000-0005-0000-0000-0000C0760000}"/>
    <cellStyle name="Normal 5 6 2 3 4 2 3 2" xfId="15482" xr:uid="{00000000-0005-0000-0000-0000C1760000}"/>
    <cellStyle name="Normal 5 6 2 3 4 2 3 2 2" xfId="31797" xr:uid="{00000000-0005-0000-0000-0000C2760000}"/>
    <cellStyle name="Normal 5 6 2 3 4 2 3 3" xfId="24832" xr:uid="{00000000-0005-0000-0000-0000C3760000}"/>
    <cellStyle name="Normal 5 6 2 3 4 2 4" xfId="11534" xr:uid="{00000000-0005-0000-0000-0000C4760000}"/>
    <cellStyle name="Normal 5 6 2 3 4 2 4 2" xfId="28132" xr:uid="{00000000-0005-0000-0000-0000C5760000}"/>
    <cellStyle name="Normal 5 6 2 3 4 2 5" xfId="4863" xr:uid="{00000000-0005-0000-0000-0000C6760000}"/>
    <cellStyle name="Normal 5 6 2 3 4 2 5 2" xfId="21586" xr:uid="{00000000-0005-0000-0000-0000C7760000}"/>
    <cellStyle name="Normal 5 6 2 3 4 2 6" xfId="18206" xr:uid="{00000000-0005-0000-0000-0000C8760000}"/>
    <cellStyle name="Normal 5 6 2 3 4 3" xfId="3260" xr:uid="{00000000-0005-0000-0000-0000C9760000}"/>
    <cellStyle name="Normal 5 6 2 3 4 3 2" xfId="9028" xr:uid="{00000000-0005-0000-0000-0000CA760000}"/>
    <cellStyle name="Normal 5 6 2 3 4 3 2 2" xfId="16291" xr:uid="{00000000-0005-0000-0000-0000CB760000}"/>
    <cellStyle name="Normal 5 6 2 3 4 3 2 2 2" xfId="32606" xr:uid="{00000000-0005-0000-0000-0000CC760000}"/>
    <cellStyle name="Normal 5 6 2 3 4 3 2 3" xfId="25641" xr:uid="{00000000-0005-0000-0000-0000CD760000}"/>
    <cellStyle name="Normal 5 6 2 3 4 3 3" xfId="12370" xr:uid="{00000000-0005-0000-0000-0000CE760000}"/>
    <cellStyle name="Normal 5 6 2 3 4 3 3 2" xfId="28945" xr:uid="{00000000-0005-0000-0000-0000CF760000}"/>
    <cellStyle name="Normal 5 6 2 3 4 3 4" xfId="5677" xr:uid="{00000000-0005-0000-0000-0000D0760000}"/>
    <cellStyle name="Normal 5 6 2 3 4 3 4 2" xfId="22341" xr:uid="{00000000-0005-0000-0000-0000D1760000}"/>
    <cellStyle name="Normal 5 6 2 3 4 3 5" xfId="19987" xr:uid="{00000000-0005-0000-0000-0000D2760000}"/>
    <cellStyle name="Normal 5 6 2 3 4 4" xfId="7407" xr:uid="{00000000-0005-0000-0000-0000D3760000}"/>
    <cellStyle name="Normal 5 6 2 3 4 4 2" xfId="14670" xr:uid="{00000000-0005-0000-0000-0000D4760000}"/>
    <cellStyle name="Normal 5 6 2 3 4 4 2 2" xfId="30985" xr:uid="{00000000-0005-0000-0000-0000D5760000}"/>
    <cellStyle name="Normal 5 6 2 3 4 4 3" xfId="24020" xr:uid="{00000000-0005-0000-0000-0000D6760000}"/>
    <cellStyle name="Normal 5 6 2 3 4 5" xfId="10722" xr:uid="{00000000-0005-0000-0000-0000D7760000}"/>
    <cellStyle name="Normal 5 6 2 3 4 5 2" xfId="27320" xr:uid="{00000000-0005-0000-0000-0000D8760000}"/>
    <cellStyle name="Normal 5 6 2 3 4 6" xfId="4862" xr:uid="{00000000-0005-0000-0000-0000D9760000}"/>
    <cellStyle name="Normal 5 6 2 3 4 6 2" xfId="21585" xr:uid="{00000000-0005-0000-0000-0000DA760000}"/>
    <cellStyle name="Normal 5 6 2 3 4 7" xfId="17687" xr:uid="{00000000-0005-0000-0000-0000DB760000}"/>
    <cellStyle name="Normal 5 6 2 3 5" xfId="767" xr:uid="{00000000-0005-0000-0000-0000DC760000}"/>
    <cellStyle name="Normal 5 6 2 3 5 2" xfId="3262" xr:uid="{00000000-0005-0000-0000-0000DD760000}"/>
    <cellStyle name="Normal 5 6 2 3 5 2 2" xfId="9434" xr:uid="{00000000-0005-0000-0000-0000DE760000}"/>
    <cellStyle name="Normal 5 6 2 3 5 2 2 2" xfId="16697" xr:uid="{00000000-0005-0000-0000-0000DF760000}"/>
    <cellStyle name="Normal 5 6 2 3 5 2 2 2 2" xfId="33012" xr:uid="{00000000-0005-0000-0000-0000E0760000}"/>
    <cellStyle name="Normal 5 6 2 3 5 2 2 3" xfId="26047" xr:uid="{00000000-0005-0000-0000-0000E1760000}"/>
    <cellStyle name="Normal 5 6 2 3 5 2 3" xfId="12776" xr:uid="{00000000-0005-0000-0000-0000E2760000}"/>
    <cellStyle name="Normal 5 6 2 3 5 2 3 2" xfId="29351" xr:uid="{00000000-0005-0000-0000-0000E3760000}"/>
    <cellStyle name="Normal 5 6 2 3 5 2 4" xfId="6083" xr:uid="{00000000-0005-0000-0000-0000E4760000}"/>
    <cellStyle name="Normal 5 6 2 3 5 2 4 2" xfId="22747" xr:uid="{00000000-0005-0000-0000-0000E5760000}"/>
    <cellStyle name="Normal 5 6 2 3 5 2 5" xfId="19989" xr:uid="{00000000-0005-0000-0000-0000E6760000}"/>
    <cellStyle name="Normal 5 6 2 3 5 3" xfId="7813" xr:uid="{00000000-0005-0000-0000-0000E7760000}"/>
    <cellStyle name="Normal 5 6 2 3 5 3 2" xfId="15076" xr:uid="{00000000-0005-0000-0000-0000E8760000}"/>
    <cellStyle name="Normal 5 6 2 3 5 3 2 2" xfId="31391" xr:uid="{00000000-0005-0000-0000-0000E9760000}"/>
    <cellStyle name="Normal 5 6 2 3 5 3 3" xfId="24426" xr:uid="{00000000-0005-0000-0000-0000EA760000}"/>
    <cellStyle name="Normal 5 6 2 3 5 4" xfId="11128" xr:uid="{00000000-0005-0000-0000-0000EB760000}"/>
    <cellStyle name="Normal 5 6 2 3 5 4 2" xfId="27726" xr:uid="{00000000-0005-0000-0000-0000EC760000}"/>
    <cellStyle name="Normal 5 6 2 3 5 5" xfId="4864" xr:uid="{00000000-0005-0000-0000-0000ED760000}"/>
    <cellStyle name="Normal 5 6 2 3 5 5 2" xfId="21587" xr:uid="{00000000-0005-0000-0000-0000EE760000}"/>
    <cellStyle name="Normal 5 6 2 3 5 6" xfId="17580" xr:uid="{00000000-0005-0000-0000-0000EF760000}"/>
    <cellStyle name="Normal 5 6 2 3 6" xfId="1364" xr:uid="{00000000-0005-0000-0000-0000F0760000}"/>
    <cellStyle name="Normal 5 6 2 3 6 2" xfId="8532" xr:uid="{00000000-0005-0000-0000-0000F1760000}"/>
    <cellStyle name="Normal 5 6 2 3 6 2 2" xfId="15795" xr:uid="{00000000-0005-0000-0000-0000F2760000}"/>
    <cellStyle name="Normal 5 6 2 3 6 2 2 2" xfId="32110" xr:uid="{00000000-0005-0000-0000-0000F3760000}"/>
    <cellStyle name="Normal 5 6 2 3 6 2 3" xfId="25145" xr:uid="{00000000-0005-0000-0000-0000F4760000}"/>
    <cellStyle name="Normal 5 6 2 3 6 3" xfId="11874" xr:uid="{00000000-0005-0000-0000-0000F5760000}"/>
    <cellStyle name="Normal 5 6 2 3 6 3 2" xfId="28449" xr:uid="{00000000-0005-0000-0000-0000F6760000}"/>
    <cellStyle name="Normal 5 6 2 3 6 4" xfId="5181" xr:uid="{00000000-0005-0000-0000-0000F7760000}"/>
    <cellStyle name="Normal 5 6 2 3 6 4 2" xfId="21845" xr:uid="{00000000-0005-0000-0000-0000F8760000}"/>
    <cellStyle name="Normal 5 6 2 3 6 5" xfId="18099" xr:uid="{00000000-0005-0000-0000-0000F9760000}"/>
    <cellStyle name="Normal 5 6 2 3 7" xfId="3247" xr:uid="{00000000-0005-0000-0000-0000FA760000}"/>
    <cellStyle name="Normal 5 6 2 3 7 2" xfId="14176" xr:uid="{00000000-0005-0000-0000-0000FB760000}"/>
    <cellStyle name="Normal 5 6 2 3 7 2 2" xfId="30491" xr:uid="{00000000-0005-0000-0000-0000FC760000}"/>
    <cellStyle name="Normal 5 6 2 3 7 3" xfId="6913" xr:uid="{00000000-0005-0000-0000-0000FD760000}"/>
    <cellStyle name="Normal 5 6 2 3 7 3 2" xfId="23526" xr:uid="{00000000-0005-0000-0000-0000FE760000}"/>
    <cellStyle name="Normal 5 6 2 3 7 4" xfId="19974" xr:uid="{00000000-0005-0000-0000-0000FF760000}"/>
    <cellStyle name="Normal 5 6 2 3 8" xfId="10227" xr:uid="{00000000-0005-0000-0000-000000770000}"/>
    <cellStyle name="Normal 5 6 2 3 8 2" xfId="26826" xr:uid="{00000000-0005-0000-0000-000001770000}"/>
    <cellStyle name="Normal 5 6 2 3 9" xfId="4849" xr:uid="{00000000-0005-0000-0000-000002770000}"/>
    <cellStyle name="Normal 5 6 2 3 9 2" xfId="21572" xr:uid="{00000000-0005-0000-0000-000003770000}"/>
    <cellStyle name="Normal 5 6 2 4" xfId="962" xr:uid="{00000000-0005-0000-0000-000004770000}"/>
    <cellStyle name="Normal 5 6 2 4 2" xfId="1252" xr:uid="{00000000-0005-0000-0000-000005770000}"/>
    <cellStyle name="Normal 5 6 2 4 2 2" xfId="1773" xr:uid="{00000000-0005-0000-0000-000006770000}"/>
    <cellStyle name="Normal 5 6 2 4 2 2 2" xfId="3266" xr:uid="{00000000-0005-0000-0000-000007770000}"/>
    <cellStyle name="Normal 5 6 2 4 2 2 2 2" xfId="6667" xr:uid="{00000000-0005-0000-0000-000008770000}"/>
    <cellStyle name="Normal 5 6 2 4 2 2 2 2 2" xfId="10018" xr:uid="{00000000-0005-0000-0000-000009770000}"/>
    <cellStyle name="Normal 5 6 2 4 2 2 2 2 2 2" xfId="17281" xr:uid="{00000000-0005-0000-0000-00000A770000}"/>
    <cellStyle name="Normal 5 6 2 4 2 2 2 2 2 2 2" xfId="33596" xr:uid="{00000000-0005-0000-0000-00000B770000}"/>
    <cellStyle name="Normal 5 6 2 4 2 2 2 2 2 3" xfId="26631" xr:uid="{00000000-0005-0000-0000-00000C770000}"/>
    <cellStyle name="Normal 5 6 2 4 2 2 2 2 3" xfId="13360" xr:uid="{00000000-0005-0000-0000-00000D770000}"/>
    <cellStyle name="Normal 5 6 2 4 2 2 2 2 3 2" xfId="29935" xr:uid="{00000000-0005-0000-0000-00000E770000}"/>
    <cellStyle name="Normal 5 6 2 4 2 2 2 2 4" xfId="23331" xr:uid="{00000000-0005-0000-0000-00000F770000}"/>
    <cellStyle name="Normal 5 6 2 4 2 2 2 3" xfId="8397" xr:uid="{00000000-0005-0000-0000-000010770000}"/>
    <cellStyle name="Normal 5 6 2 4 2 2 2 3 2" xfId="15660" xr:uid="{00000000-0005-0000-0000-000011770000}"/>
    <cellStyle name="Normal 5 6 2 4 2 2 2 3 2 2" xfId="31975" xr:uid="{00000000-0005-0000-0000-000012770000}"/>
    <cellStyle name="Normal 5 6 2 4 2 2 2 3 3" xfId="25010" xr:uid="{00000000-0005-0000-0000-000013770000}"/>
    <cellStyle name="Normal 5 6 2 4 2 2 2 4" xfId="11712" xr:uid="{00000000-0005-0000-0000-000014770000}"/>
    <cellStyle name="Normal 5 6 2 4 2 2 2 4 2" xfId="28310" xr:uid="{00000000-0005-0000-0000-000015770000}"/>
    <cellStyle name="Normal 5 6 2 4 2 2 2 5" xfId="4868" xr:uid="{00000000-0005-0000-0000-000016770000}"/>
    <cellStyle name="Normal 5 6 2 4 2 2 2 5 2" xfId="21591" xr:uid="{00000000-0005-0000-0000-000017770000}"/>
    <cellStyle name="Normal 5 6 2 4 2 2 2 6" xfId="19993" xr:uid="{00000000-0005-0000-0000-000018770000}"/>
    <cellStyle name="Normal 5 6 2 4 2 2 3" xfId="3265" xr:uid="{00000000-0005-0000-0000-000019770000}"/>
    <cellStyle name="Normal 5 6 2 4 2 2 3 2" xfId="9242" xr:uid="{00000000-0005-0000-0000-00001A770000}"/>
    <cellStyle name="Normal 5 6 2 4 2 2 3 2 2" xfId="16505" xr:uid="{00000000-0005-0000-0000-00001B770000}"/>
    <cellStyle name="Normal 5 6 2 4 2 2 3 2 2 2" xfId="32820" xr:uid="{00000000-0005-0000-0000-00001C770000}"/>
    <cellStyle name="Normal 5 6 2 4 2 2 3 2 3" xfId="25855" xr:uid="{00000000-0005-0000-0000-00001D770000}"/>
    <cellStyle name="Normal 5 6 2 4 2 2 3 3" xfId="12584" xr:uid="{00000000-0005-0000-0000-00001E770000}"/>
    <cellStyle name="Normal 5 6 2 4 2 2 3 3 2" xfId="29159" xr:uid="{00000000-0005-0000-0000-00001F770000}"/>
    <cellStyle name="Normal 5 6 2 4 2 2 3 4" xfId="5891" xr:uid="{00000000-0005-0000-0000-000020770000}"/>
    <cellStyle name="Normal 5 6 2 4 2 2 3 4 2" xfId="22555" xr:uid="{00000000-0005-0000-0000-000021770000}"/>
    <cellStyle name="Normal 5 6 2 4 2 2 3 5" xfId="19992" xr:uid="{00000000-0005-0000-0000-000022770000}"/>
    <cellStyle name="Normal 5 6 2 4 2 2 4" xfId="7621" xr:uid="{00000000-0005-0000-0000-000023770000}"/>
    <cellStyle name="Normal 5 6 2 4 2 2 4 2" xfId="14884" xr:uid="{00000000-0005-0000-0000-000024770000}"/>
    <cellStyle name="Normal 5 6 2 4 2 2 4 2 2" xfId="31199" xr:uid="{00000000-0005-0000-0000-000025770000}"/>
    <cellStyle name="Normal 5 6 2 4 2 2 4 3" xfId="24234" xr:uid="{00000000-0005-0000-0000-000026770000}"/>
    <cellStyle name="Normal 5 6 2 4 2 2 5" xfId="10936" xr:uid="{00000000-0005-0000-0000-000027770000}"/>
    <cellStyle name="Normal 5 6 2 4 2 2 5 2" xfId="27534" xr:uid="{00000000-0005-0000-0000-000028770000}"/>
    <cellStyle name="Normal 5 6 2 4 2 2 6" xfId="4867" xr:uid="{00000000-0005-0000-0000-000029770000}"/>
    <cellStyle name="Normal 5 6 2 4 2 2 6 2" xfId="21590" xr:uid="{00000000-0005-0000-0000-00002A770000}"/>
    <cellStyle name="Normal 5 6 2 4 2 2 7" xfId="18508" xr:uid="{00000000-0005-0000-0000-00002B770000}"/>
    <cellStyle name="Normal 5 6 2 4 2 3" xfId="3267" xr:uid="{00000000-0005-0000-0000-00002C770000}"/>
    <cellStyle name="Normal 5 6 2 4 2 3 2" xfId="6297" xr:uid="{00000000-0005-0000-0000-00002D770000}"/>
    <cellStyle name="Normal 5 6 2 4 2 3 2 2" xfId="9648" xr:uid="{00000000-0005-0000-0000-00002E770000}"/>
    <cellStyle name="Normal 5 6 2 4 2 3 2 2 2" xfId="16911" xr:uid="{00000000-0005-0000-0000-00002F770000}"/>
    <cellStyle name="Normal 5 6 2 4 2 3 2 2 2 2" xfId="33226" xr:uid="{00000000-0005-0000-0000-000030770000}"/>
    <cellStyle name="Normal 5 6 2 4 2 3 2 2 3" xfId="26261" xr:uid="{00000000-0005-0000-0000-000031770000}"/>
    <cellStyle name="Normal 5 6 2 4 2 3 2 3" xfId="12990" xr:uid="{00000000-0005-0000-0000-000032770000}"/>
    <cellStyle name="Normal 5 6 2 4 2 3 2 3 2" xfId="29565" xr:uid="{00000000-0005-0000-0000-000033770000}"/>
    <cellStyle name="Normal 5 6 2 4 2 3 2 4" xfId="22961" xr:uid="{00000000-0005-0000-0000-000034770000}"/>
    <cellStyle name="Normal 5 6 2 4 2 3 3" xfId="8027" xr:uid="{00000000-0005-0000-0000-000035770000}"/>
    <cellStyle name="Normal 5 6 2 4 2 3 3 2" xfId="15290" xr:uid="{00000000-0005-0000-0000-000036770000}"/>
    <cellStyle name="Normal 5 6 2 4 2 3 3 2 2" xfId="31605" xr:uid="{00000000-0005-0000-0000-000037770000}"/>
    <cellStyle name="Normal 5 6 2 4 2 3 3 3" xfId="24640" xr:uid="{00000000-0005-0000-0000-000038770000}"/>
    <cellStyle name="Normal 5 6 2 4 2 3 4" xfId="11342" xr:uid="{00000000-0005-0000-0000-000039770000}"/>
    <cellStyle name="Normal 5 6 2 4 2 3 4 2" xfId="27940" xr:uid="{00000000-0005-0000-0000-00003A770000}"/>
    <cellStyle name="Normal 5 6 2 4 2 3 5" xfId="4869" xr:uid="{00000000-0005-0000-0000-00003B770000}"/>
    <cellStyle name="Normal 5 6 2 4 2 3 5 2" xfId="21592" xr:uid="{00000000-0005-0000-0000-00003C770000}"/>
    <cellStyle name="Normal 5 6 2 4 2 3 6" xfId="19994" xr:uid="{00000000-0005-0000-0000-00003D770000}"/>
    <cellStyle name="Normal 5 6 2 4 2 4" xfId="3264" xr:uid="{00000000-0005-0000-0000-00003E770000}"/>
    <cellStyle name="Normal 5 6 2 4 2 4 2" xfId="8835" xr:uid="{00000000-0005-0000-0000-00003F770000}"/>
    <cellStyle name="Normal 5 6 2 4 2 4 2 2" xfId="16098" xr:uid="{00000000-0005-0000-0000-000040770000}"/>
    <cellStyle name="Normal 5 6 2 4 2 4 2 2 2" xfId="32413" xr:uid="{00000000-0005-0000-0000-000041770000}"/>
    <cellStyle name="Normal 5 6 2 4 2 4 2 3" xfId="25448" xr:uid="{00000000-0005-0000-0000-000042770000}"/>
    <cellStyle name="Normal 5 6 2 4 2 4 3" xfId="12177" xr:uid="{00000000-0005-0000-0000-000043770000}"/>
    <cellStyle name="Normal 5 6 2 4 2 4 3 2" xfId="28752" xr:uid="{00000000-0005-0000-0000-000044770000}"/>
    <cellStyle name="Normal 5 6 2 4 2 4 4" xfId="5484" xr:uid="{00000000-0005-0000-0000-000045770000}"/>
    <cellStyle name="Normal 5 6 2 4 2 4 4 2" xfId="22148" xr:uid="{00000000-0005-0000-0000-000046770000}"/>
    <cellStyle name="Normal 5 6 2 4 2 4 5" xfId="19991" xr:uid="{00000000-0005-0000-0000-000047770000}"/>
    <cellStyle name="Normal 5 6 2 4 2 5" xfId="7215" xr:uid="{00000000-0005-0000-0000-000048770000}"/>
    <cellStyle name="Normal 5 6 2 4 2 5 2" xfId="14478" xr:uid="{00000000-0005-0000-0000-000049770000}"/>
    <cellStyle name="Normal 5 6 2 4 2 5 2 2" xfId="30793" xr:uid="{00000000-0005-0000-0000-00004A770000}"/>
    <cellStyle name="Normal 5 6 2 4 2 5 3" xfId="23828" xr:uid="{00000000-0005-0000-0000-00004B770000}"/>
    <cellStyle name="Normal 5 6 2 4 2 6" xfId="10530" xr:uid="{00000000-0005-0000-0000-00004C770000}"/>
    <cellStyle name="Normal 5 6 2 4 2 6 2" xfId="27128" xr:uid="{00000000-0005-0000-0000-00004D770000}"/>
    <cellStyle name="Normal 5 6 2 4 2 7" xfId="4866" xr:uid="{00000000-0005-0000-0000-00004E770000}"/>
    <cellStyle name="Normal 5 6 2 4 2 7 2" xfId="21589" xr:uid="{00000000-0005-0000-0000-00004F770000}"/>
    <cellStyle name="Normal 5 6 2 4 2 8" xfId="17989" xr:uid="{00000000-0005-0000-0000-000050770000}"/>
    <cellStyle name="Normal 5 6 2 4 3" xfId="1524" xr:uid="{00000000-0005-0000-0000-000051770000}"/>
    <cellStyle name="Normal 5 6 2 4 3 2" xfId="3269" xr:uid="{00000000-0005-0000-0000-000052770000}"/>
    <cellStyle name="Normal 5 6 2 4 3 2 2" xfId="6491" xr:uid="{00000000-0005-0000-0000-000053770000}"/>
    <cellStyle name="Normal 5 6 2 4 3 2 2 2" xfId="9842" xr:uid="{00000000-0005-0000-0000-000054770000}"/>
    <cellStyle name="Normal 5 6 2 4 3 2 2 2 2" xfId="17105" xr:uid="{00000000-0005-0000-0000-000055770000}"/>
    <cellStyle name="Normal 5 6 2 4 3 2 2 2 2 2" xfId="33420" xr:uid="{00000000-0005-0000-0000-000056770000}"/>
    <cellStyle name="Normal 5 6 2 4 3 2 2 2 3" xfId="26455" xr:uid="{00000000-0005-0000-0000-000057770000}"/>
    <cellStyle name="Normal 5 6 2 4 3 2 2 3" xfId="13184" xr:uid="{00000000-0005-0000-0000-000058770000}"/>
    <cellStyle name="Normal 5 6 2 4 3 2 2 3 2" xfId="29759" xr:uid="{00000000-0005-0000-0000-000059770000}"/>
    <cellStyle name="Normal 5 6 2 4 3 2 2 4" xfId="23155" xr:uid="{00000000-0005-0000-0000-00005A770000}"/>
    <cellStyle name="Normal 5 6 2 4 3 2 3" xfId="8221" xr:uid="{00000000-0005-0000-0000-00005B770000}"/>
    <cellStyle name="Normal 5 6 2 4 3 2 3 2" xfId="15484" xr:uid="{00000000-0005-0000-0000-00005C770000}"/>
    <cellStyle name="Normal 5 6 2 4 3 2 3 2 2" xfId="31799" xr:uid="{00000000-0005-0000-0000-00005D770000}"/>
    <cellStyle name="Normal 5 6 2 4 3 2 3 3" xfId="24834" xr:uid="{00000000-0005-0000-0000-00005E770000}"/>
    <cellStyle name="Normal 5 6 2 4 3 2 4" xfId="11536" xr:uid="{00000000-0005-0000-0000-00005F770000}"/>
    <cellStyle name="Normal 5 6 2 4 3 2 4 2" xfId="28134" xr:uid="{00000000-0005-0000-0000-000060770000}"/>
    <cellStyle name="Normal 5 6 2 4 3 2 5" xfId="4871" xr:uid="{00000000-0005-0000-0000-000061770000}"/>
    <cellStyle name="Normal 5 6 2 4 3 2 5 2" xfId="21594" xr:uid="{00000000-0005-0000-0000-000062770000}"/>
    <cellStyle name="Normal 5 6 2 4 3 2 6" xfId="19996" xr:uid="{00000000-0005-0000-0000-000063770000}"/>
    <cellStyle name="Normal 5 6 2 4 3 3" xfId="3268" xr:uid="{00000000-0005-0000-0000-000064770000}"/>
    <cellStyle name="Normal 5 6 2 4 3 3 2" xfId="9030" xr:uid="{00000000-0005-0000-0000-000065770000}"/>
    <cellStyle name="Normal 5 6 2 4 3 3 2 2" xfId="16293" xr:uid="{00000000-0005-0000-0000-000066770000}"/>
    <cellStyle name="Normal 5 6 2 4 3 3 2 2 2" xfId="32608" xr:uid="{00000000-0005-0000-0000-000067770000}"/>
    <cellStyle name="Normal 5 6 2 4 3 3 2 3" xfId="25643" xr:uid="{00000000-0005-0000-0000-000068770000}"/>
    <cellStyle name="Normal 5 6 2 4 3 3 3" xfId="12372" xr:uid="{00000000-0005-0000-0000-000069770000}"/>
    <cellStyle name="Normal 5 6 2 4 3 3 3 2" xfId="28947" xr:uid="{00000000-0005-0000-0000-00006A770000}"/>
    <cellStyle name="Normal 5 6 2 4 3 3 4" xfId="5679" xr:uid="{00000000-0005-0000-0000-00006B770000}"/>
    <cellStyle name="Normal 5 6 2 4 3 3 4 2" xfId="22343" xr:uid="{00000000-0005-0000-0000-00006C770000}"/>
    <cellStyle name="Normal 5 6 2 4 3 3 5" xfId="19995" xr:uid="{00000000-0005-0000-0000-00006D770000}"/>
    <cellStyle name="Normal 5 6 2 4 3 4" xfId="7409" xr:uid="{00000000-0005-0000-0000-00006E770000}"/>
    <cellStyle name="Normal 5 6 2 4 3 4 2" xfId="14672" xr:uid="{00000000-0005-0000-0000-00006F770000}"/>
    <cellStyle name="Normal 5 6 2 4 3 4 2 2" xfId="30987" xr:uid="{00000000-0005-0000-0000-000070770000}"/>
    <cellStyle name="Normal 5 6 2 4 3 4 3" xfId="24022" xr:uid="{00000000-0005-0000-0000-000071770000}"/>
    <cellStyle name="Normal 5 6 2 4 3 5" xfId="10724" xr:uid="{00000000-0005-0000-0000-000072770000}"/>
    <cellStyle name="Normal 5 6 2 4 3 5 2" xfId="27322" xr:uid="{00000000-0005-0000-0000-000073770000}"/>
    <cellStyle name="Normal 5 6 2 4 3 6" xfId="4870" xr:uid="{00000000-0005-0000-0000-000074770000}"/>
    <cellStyle name="Normal 5 6 2 4 3 6 2" xfId="21593" xr:uid="{00000000-0005-0000-0000-000075770000}"/>
    <cellStyle name="Normal 5 6 2 4 3 7" xfId="18259" xr:uid="{00000000-0005-0000-0000-000076770000}"/>
    <cellStyle name="Normal 5 6 2 4 4" xfId="3270" xr:uid="{00000000-0005-0000-0000-000077770000}"/>
    <cellStyle name="Normal 5 6 2 4 4 2" xfId="6085" xr:uid="{00000000-0005-0000-0000-000078770000}"/>
    <cellStyle name="Normal 5 6 2 4 4 2 2" xfId="9436" xr:uid="{00000000-0005-0000-0000-000079770000}"/>
    <cellStyle name="Normal 5 6 2 4 4 2 2 2" xfId="16699" xr:uid="{00000000-0005-0000-0000-00007A770000}"/>
    <cellStyle name="Normal 5 6 2 4 4 2 2 2 2" xfId="33014" xr:uid="{00000000-0005-0000-0000-00007B770000}"/>
    <cellStyle name="Normal 5 6 2 4 4 2 2 3" xfId="26049" xr:uid="{00000000-0005-0000-0000-00007C770000}"/>
    <cellStyle name="Normal 5 6 2 4 4 2 3" xfId="12778" xr:uid="{00000000-0005-0000-0000-00007D770000}"/>
    <cellStyle name="Normal 5 6 2 4 4 2 3 2" xfId="29353" xr:uid="{00000000-0005-0000-0000-00007E770000}"/>
    <cellStyle name="Normal 5 6 2 4 4 2 4" xfId="22749" xr:uid="{00000000-0005-0000-0000-00007F770000}"/>
    <cellStyle name="Normal 5 6 2 4 4 3" xfId="7815" xr:uid="{00000000-0005-0000-0000-000080770000}"/>
    <cellStyle name="Normal 5 6 2 4 4 3 2" xfId="15078" xr:uid="{00000000-0005-0000-0000-000081770000}"/>
    <cellStyle name="Normal 5 6 2 4 4 3 2 2" xfId="31393" xr:uid="{00000000-0005-0000-0000-000082770000}"/>
    <cellStyle name="Normal 5 6 2 4 4 3 3" xfId="24428" xr:uid="{00000000-0005-0000-0000-000083770000}"/>
    <cellStyle name="Normal 5 6 2 4 4 4" xfId="11130" xr:uid="{00000000-0005-0000-0000-000084770000}"/>
    <cellStyle name="Normal 5 6 2 4 4 4 2" xfId="27728" xr:uid="{00000000-0005-0000-0000-000085770000}"/>
    <cellStyle name="Normal 5 6 2 4 4 5" xfId="4872" xr:uid="{00000000-0005-0000-0000-000086770000}"/>
    <cellStyle name="Normal 5 6 2 4 4 5 2" xfId="21595" xr:uid="{00000000-0005-0000-0000-000087770000}"/>
    <cellStyle name="Normal 5 6 2 4 4 6" xfId="19997" xr:uid="{00000000-0005-0000-0000-000088770000}"/>
    <cellStyle name="Normal 5 6 2 4 5" xfId="3263" xr:uid="{00000000-0005-0000-0000-000089770000}"/>
    <cellStyle name="Normal 5 6 2 4 5 2" xfId="8585" xr:uid="{00000000-0005-0000-0000-00008A770000}"/>
    <cellStyle name="Normal 5 6 2 4 5 2 2" xfId="15848" xr:uid="{00000000-0005-0000-0000-00008B770000}"/>
    <cellStyle name="Normal 5 6 2 4 5 2 2 2" xfId="32163" xr:uid="{00000000-0005-0000-0000-00008C770000}"/>
    <cellStyle name="Normal 5 6 2 4 5 2 3" xfId="25198" xr:uid="{00000000-0005-0000-0000-00008D770000}"/>
    <cellStyle name="Normal 5 6 2 4 5 3" xfId="11927" xr:uid="{00000000-0005-0000-0000-00008E770000}"/>
    <cellStyle name="Normal 5 6 2 4 5 3 2" xfId="28502" xr:uid="{00000000-0005-0000-0000-00008F770000}"/>
    <cellStyle name="Normal 5 6 2 4 5 4" xfId="5234" xr:uid="{00000000-0005-0000-0000-000090770000}"/>
    <cellStyle name="Normal 5 6 2 4 5 4 2" xfId="21898" xr:uid="{00000000-0005-0000-0000-000091770000}"/>
    <cellStyle name="Normal 5 6 2 4 5 5" xfId="19990" xr:uid="{00000000-0005-0000-0000-000092770000}"/>
    <cellStyle name="Normal 5 6 2 4 6" xfId="6966" xr:uid="{00000000-0005-0000-0000-000093770000}"/>
    <cellStyle name="Normal 5 6 2 4 6 2" xfId="14229" xr:uid="{00000000-0005-0000-0000-000094770000}"/>
    <cellStyle name="Normal 5 6 2 4 6 2 2" xfId="30544" xr:uid="{00000000-0005-0000-0000-000095770000}"/>
    <cellStyle name="Normal 5 6 2 4 6 3" xfId="23579" xr:uid="{00000000-0005-0000-0000-000096770000}"/>
    <cellStyle name="Normal 5 6 2 4 7" xfId="10280" xr:uid="{00000000-0005-0000-0000-000097770000}"/>
    <cellStyle name="Normal 5 6 2 4 7 2" xfId="26879" xr:uid="{00000000-0005-0000-0000-000098770000}"/>
    <cellStyle name="Normal 5 6 2 4 8" xfId="4865" xr:uid="{00000000-0005-0000-0000-000099770000}"/>
    <cellStyle name="Normal 5 6 2 4 8 2" xfId="21588" xr:uid="{00000000-0005-0000-0000-00009A770000}"/>
    <cellStyle name="Normal 5 6 2 4 9" xfId="17740" xr:uid="{00000000-0005-0000-0000-00009B770000}"/>
    <cellStyle name="Normal 5 6 2 5" xfId="1245" xr:uid="{00000000-0005-0000-0000-00009C770000}"/>
    <cellStyle name="Normal 5 6 2 5 2" xfId="1766" xr:uid="{00000000-0005-0000-0000-00009D770000}"/>
    <cellStyle name="Normal 5 6 2 5 2 2" xfId="3273" xr:uid="{00000000-0005-0000-0000-00009E770000}"/>
    <cellStyle name="Normal 5 6 2 5 2 2 2" xfId="6660" xr:uid="{00000000-0005-0000-0000-00009F770000}"/>
    <cellStyle name="Normal 5 6 2 5 2 2 2 2" xfId="10011" xr:uid="{00000000-0005-0000-0000-0000A0770000}"/>
    <cellStyle name="Normal 5 6 2 5 2 2 2 2 2" xfId="17274" xr:uid="{00000000-0005-0000-0000-0000A1770000}"/>
    <cellStyle name="Normal 5 6 2 5 2 2 2 2 2 2" xfId="33589" xr:uid="{00000000-0005-0000-0000-0000A2770000}"/>
    <cellStyle name="Normal 5 6 2 5 2 2 2 2 3" xfId="26624" xr:uid="{00000000-0005-0000-0000-0000A3770000}"/>
    <cellStyle name="Normal 5 6 2 5 2 2 2 3" xfId="13353" xr:uid="{00000000-0005-0000-0000-0000A4770000}"/>
    <cellStyle name="Normal 5 6 2 5 2 2 2 3 2" xfId="29928" xr:uid="{00000000-0005-0000-0000-0000A5770000}"/>
    <cellStyle name="Normal 5 6 2 5 2 2 2 4" xfId="23324" xr:uid="{00000000-0005-0000-0000-0000A6770000}"/>
    <cellStyle name="Normal 5 6 2 5 2 2 3" xfId="8390" xr:uid="{00000000-0005-0000-0000-0000A7770000}"/>
    <cellStyle name="Normal 5 6 2 5 2 2 3 2" xfId="15653" xr:uid="{00000000-0005-0000-0000-0000A8770000}"/>
    <cellStyle name="Normal 5 6 2 5 2 2 3 2 2" xfId="31968" xr:uid="{00000000-0005-0000-0000-0000A9770000}"/>
    <cellStyle name="Normal 5 6 2 5 2 2 3 3" xfId="25003" xr:uid="{00000000-0005-0000-0000-0000AA770000}"/>
    <cellStyle name="Normal 5 6 2 5 2 2 4" xfId="11705" xr:uid="{00000000-0005-0000-0000-0000AB770000}"/>
    <cellStyle name="Normal 5 6 2 5 2 2 4 2" xfId="28303" xr:uid="{00000000-0005-0000-0000-0000AC770000}"/>
    <cellStyle name="Normal 5 6 2 5 2 2 5" xfId="4875" xr:uid="{00000000-0005-0000-0000-0000AD770000}"/>
    <cellStyle name="Normal 5 6 2 5 2 2 5 2" xfId="21598" xr:uid="{00000000-0005-0000-0000-0000AE770000}"/>
    <cellStyle name="Normal 5 6 2 5 2 2 6" xfId="20000" xr:uid="{00000000-0005-0000-0000-0000AF770000}"/>
    <cellStyle name="Normal 5 6 2 5 2 3" xfId="3272" xr:uid="{00000000-0005-0000-0000-0000B0770000}"/>
    <cellStyle name="Normal 5 6 2 5 2 3 2" xfId="9235" xr:uid="{00000000-0005-0000-0000-0000B1770000}"/>
    <cellStyle name="Normal 5 6 2 5 2 3 2 2" xfId="16498" xr:uid="{00000000-0005-0000-0000-0000B2770000}"/>
    <cellStyle name="Normal 5 6 2 5 2 3 2 2 2" xfId="32813" xr:uid="{00000000-0005-0000-0000-0000B3770000}"/>
    <cellStyle name="Normal 5 6 2 5 2 3 2 3" xfId="25848" xr:uid="{00000000-0005-0000-0000-0000B4770000}"/>
    <cellStyle name="Normal 5 6 2 5 2 3 3" xfId="12577" xr:uid="{00000000-0005-0000-0000-0000B5770000}"/>
    <cellStyle name="Normal 5 6 2 5 2 3 3 2" xfId="29152" xr:uid="{00000000-0005-0000-0000-0000B6770000}"/>
    <cellStyle name="Normal 5 6 2 5 2 3 4" xfId="5884" xr:uid="{00000000-0005-0000-0000-0000B7770000}"/>
    <cellStyle name="Normal 5 6 2 5 2 3 4 2" xfId="22548" xr:uid="{00000000-0005-0000-0000-0000B8770000}"/>
    <cellStyle name="Normal 5 6 2 5 2 3 5" xfId="19999" xr:uid="{00000000-0005-0000-0000-0000B9770000}"/>
    <cellStyle name="Normal 5 6 2 5 2 4" xfId="7614" xr:uid="{00000000-0005-0000-0000-0000BA770000}"/>
    <cellStyle name="Normal 5 6 2 5 2 4 2" xfId="14877" xr:uid="{00000000-0005-0000-0000-0000BB770000}"/>
    <cellStyle name="Normal 5 6 2 5 2 4 2 2" xfId="31192" xr:uid="{00000000-0005-0000-0000-0000BC770000}"/>
    <cellStyle name="Normal 5 6 2 5 2 4 3" xfId="24227" xr:uid="{00000000-0005-0000-0000-0000BD770000}"/>
    <cellStyle name="Normal 5 6 2 5 2 5" xfId="10929" xr:uid="{00000000-0005-0000-0000-0000BE770000}"/>
    <cellStyle name="Normal 5 6 2 5 2 5 2" xfId="27527" xr:uid="{00000000-0005-0000-0000-0000BF770000}"/>
    <cellStyle name="Normal 5 6 2 5 2 6" xfId="4874" xr:uid="{00000000-0005-0000-0000-0000C0770000}"/>
    <cellStyle name="Normal 5 6 2 5 2 6 2" xfId="21597" xr:uid="{00000000-0005-0000-0000-0000C1770000}"/>
    <cellStyle name="Normal 5 6 2 5 2 7" xfId="18501" xr:uid="{00000000-0005-0000-0000-0000C2770000}"/>
    <cellStyle name="Normal 5 6 2 5 3" xfId="3274" xr:uid="{00000000-0005-0000-0000-0000C3770000}"/>
    <cellStyle name="Normal 5 6 2 5 3 2" xfId="6290" xr:uid="{00000000-0005-0000-0000-0000C4770000}"/>
    <cellStyle name="Normal 5 6 2 5 3 2 2" xfId="9641" xr:uid="{00000000-0005-0000-0000-0000C5770000}"/>
    <cellStyle name="Normal 5 6 2 5 3 2 2 2" xfId="16904" xr:uid="{00000000-0005-0000-0000-0000C6770000}"/>
    <cellStyle name="Normal 5 6 2 5 3 2 2 2 2" xfId="33219" xr:uid="{00000000-0005-0000-0000-0000C7770000}"/>
    <cellStyle name="Normal 5 6 2 5 3 2 2 3" xfId="26254" xr:uid="{00000000-0005-0000-0000-0000C8770000}"/>
    <cellStyle name="Normal 5 6 2 5 3 2 3" xfId="12983" xr:uid="{00000000-0005-0000-0000-0000C9770000}"/>
    <cellStyle name="Normal 5 6 2 5 3 2 3 2" xfId="29558" xr:uid="{00000000-0005-0000-0000-0000CA770000}"/>
    <cellStyle name="Normal 5 6 2 5 3 2 4" xfId="22954" xr:uid="{00000000-0005-0000-0000-0000CB770000}"/>
    <cellStyle name="Normal 5 6 2 5 3 3" xfId="8020" xr:uid="{00000000-0005-0000-0000-0000CC770000}"/>
    <cellStyle name="Normal 5 6 2 5 3 3 2" xfId="15283" xr:uid="{00000000-0005-0000-0000-0000CD770000}"/>
    <cellStyle name="Normal 5 6 2 5 3 3 2 2" xfId="31598" xr:uid="{00000000-0005-0000-0000-0000CE770000}"/>
    <cellStyle name="Normal 5 6 2 5 3 3 3" xfId="24633" xr:uid="{00000000-0005-0000-0000-0000CF770000}"/>
    <cellStyle name="Normal 5 6 2 5 3 4" xfId="11335" xr:uid="{00000000-0005-0000-0000-0000D0770000}"/>
    <cellStyle name="Normal 5 6 2 5 3 4 2" xfId="27933" xr:uid="{00000000-0005-0000-0000-0000D1770000}"/>
    <cellStyle name="Normal 5 6 2 5 3 5" xfId="4876" xr:uid="{00000000-0005-0000-0000-0000D2770000}"/>
    <cellStyle name="Normal 5 6 2 5 3 5 2" xfId="21599" xr:uid="{00000000-0005-0000-0000-0000D3770000}"/>
    <cellStyle name="Normal 5 6 2 5 3 6" xfId="20001" xr:uid="{00000000-0005-0000-0000-0000D4770000}"/>
    <cellStyle name="Normal 5 6 2 5 4" xfId="3271" xr:uid="{00000000-0005-0000-0000-0000D5770000}"/>
    <cellStyle name="Normal 5 6 2 5 4 2" xfId="8828" xr:uid="{00000000-0005-0000-0000-0000D6770000}"/>
    <cellStyle name="Normal 5 6 2 5 4 2 2" xfId="16091" xr:uid="{00000000-0005-0000-0000-0000D7770000}"/>
    <cellStyle name="Normal 5 6 2 5 4 2 2 2" xfId="32406" xr:uid="{00000000-0005-0000-0000-0000D8770000}"/>
    <cellStyle name="Normal 5 6 2 5 4 2 3" xfId="25441" xr:uid="{00000000-0005-0000-0000-0000D9770000}"/>
    <cellStyle name="Normal 5 6 2 5 4 3" xfId="12170" xr:uid="{00000000-0005-0000-0000-0000DA770000}"/>
    <cellStyle name="Normal 5 6 2 5 4 3 2" xfId="28745" xr:uid="{00000000-0005-0000-0000-0000DB770000}"/>
    <cellStyle name="Normal 5 6 2 5 4 4" xfId="5477" xr:uid="{00000000-0005-0000-0000-0000DC770000}"/>
    <cellStyle name="Normal 5 6 2 5 4 4 2" xfId="22141" xr:uid="{00000000-0005-0000-0000-0000DD770000}"/>
    <cellStyle name="Normal 5 6 2 5 4 5" xfId="19998" xr:uid="{00000000-0005-0000-0000-0000DE770000}"/>
    <cellStyle name="Normal 5 6 2 5 5" xfId="7208" xr:uid="{00000000-0005-0000-0000-0000DF770000}"/>
    <cellStyle name="Normal 5 6 2 5 5 2" xfId="14471" xr:uid="{00000000-0005-0000-0000-0000E0770000}"/>
    <cellStyle name="Normal 5 6 2 5 5 2 2" xfId="30786" xr:uid="{00000000-0005-0000-0000-0000E1770000}"/>
    <cellStyle name="Normal 5 6 2 5 5 3" xfId="23821" xr:uid="{00000000-0005-0000-0000-0000E2770000}"/>
    <cellStyle name="Normal 5 6 2 5 6" xfId="10523" xr:uid="{00000000-0005-0000-0000-0000E3770000}"/>
    <cellStyle name="Normal 5 6 2 5 6 2" xfId="27121" xr:uid="{00000000-0005-0000-0000-0000E4770000}"/>
    <cellStyle name="Normal 5 6 2 5 7" xfId="4873" xr:uid="{00000000-0005-0000-0000-0000E5770000}"/>
    <cellStyle name="Normal 5 6 2 5 7 2" xfId="21596" xr:uid="{00000000-0005-0000-0000-0000E6770000}"/>
    <cellStyle name="Normal 5 6 2 5 8" xfId="17982" xr:uid="{00000000-0005-0000-0000-0000E7770000}"/>
    <cellStyle name="Normal 5 6 2 6" xfId="865" xr:uid="{00000000-0005-0000-0000-0000E8770000}"/>
    <cellStyle name="Normal 5 6 2 6 2" xfId="1434" xr:uid="{00000000-0005-0000-0000-0000E9770000}"/>
    <cellStyle name="Normal 5 6 2 6 2 2" xfId="3276" xr:uid="{00000000-0005-0000-0000-0000EA770000}"/>
    <cellStyle name="Normal 5 6 2 6 2 2 2" xfId="9835" xr:uid="{00000000-0005-0000-0000-0000EB770000}"/>
    <cellStyle name="Normal 5 6 2 6 2 2 2 2" xfId="17098" xr:uid="{00000000-0005-0000-0000-0000EC770000}"/>
    <cellStyle name="Normal 5 6 2 6 2 2 2 2 2" xfId="33413" xr:uid="{00000000-0005-0000-0000-0000ED770000}"/>
    <cellStyle name="Normal 5 6 2 6 2 2 2 3" xfId="26448" xr:uid="{00000000-0005-0000-0000-0000EE770000}"/>
    <cellStyle name="Normal 5 6 2 6 2 2 3" xfId="13177" xr:uid="{00000000-0005-0000-0000-0000EF770000}"/>
    <cellStyle name="Normal 5 6 2 6 2 2 3 2" xfId="29752" xr:uid="{00000000-0005-0000-0000-0000F0770000}"/>
    <cellStyle name="Normal 5 6 2 6 2 2 4" xfId="6484" xr:uid="{00000000-0005-0000-0000-0000F1770000}"/>
    <cellStyle name="Normal 5 6 2 6 2 2 4 2" xfId="23148" xr:uid="{00000000-0005-0000-0000-0000F2770000}"/>
    <cellStyle name="Normal 5 6 2 6 2 2 5" xfId="20003" xr:uid="{00000000-0005-0000-0000-0000F3770000}"/>
    <cellStyle name="Normal 5 6 2 6 2 3" xfId="8214" xr:uid="{00000000-0005-0000-0000-0000F4770000}"/>
    <cellStyle name="Normal 5 6 2 6 2 3 2" xfId="15477" xr:uid="{00000000-0005-0000-0000-0000F5770000}"/>
    <cellStyle name="Normal 5 6 2 6 2 3 2 2" xfId="31792" xr:uid="{00000000-0005-0000-0000-0000F6770000}"/>
    <cellStyle name="Normal 5 6 2 6 2 3 3" xfId="24827" xr:uid="{00000000-0005-0000-0000-0000F7770000}"/>
    <cellStyle name="Normal 5 6 2 6 2 4" xfId="11529" xr:uid="{00000000-0005-0000-0000-0000F8770000}"/>
    <cellStyle name="Normal 5 6 2 6 2 4 2" xfId="28127" xr:uid="{00000000-0005-0000-0000-0000F9770000}"/>
    <cellStyle name="Normal 5 6 2 6 2 5" xfId="4878" xr:uid="{00000000-0005-0000-0000-0000FA770000}"/>
    <cellStyle name="Normal 5 6 2 6 2 5 2" xfId="21601" xr:uid="{00000000-0005-0000-0000-0000FB770000}"/>
    <cellStyle name="Normal 5 6 2 6 2 6" xfId="18169" xr:uid="{00000000-0005-0000-0000-0000FC770000}"/>
    <cellStyle name="Normal 5 6 2 6 3" xfId="3275" xr:uid="{00000000-0005-0000-0000-0000FD770000}"/>
    <cellStyle name="Normal 5 6 2 6 3 2" xfId="9023" xr:uid="{00000000-0005-0000-0000-0000FE770000}"/>
    <cellStyle name="Normal 5 6 2 6 3 2 2" xfId="16286" xr:uid="{00000000-0005-0000-0000-0000FF770000}"/>
    <cellStyle name="Normal 5 6 2 6 3 2 2 2" xfId="32601" xr:uid="{00000000-0005-0000-0000-000000780000}"/>
    <cellStyle name="Normal 5 6 2 6 3 2 3" xfId="25636" xr:uid="{00000000-0005-0000-0000-000001780000}"/>
    <cellStyle name="Normal 5 6 2 6 3 3" xfId="12365" xr:uid="{00000000-0005-0000-0000-000002780000}"/>
    <cellStyle name="Normal 5 6 2 6 3 3 2" xfId="28940" xr:uid="{00000000-0005-0000-0000-000003780000}"/>
    <cellStyle name="Normal 5 6 2 6 3 4" xfId="5672" xr:uid="{00000000-0005-0000-0000-000004780000}"/>
    <cellStyle name="Normal 5 6 2 6 3 4 2" xfId="22336" xr:uid="{00000000-0005-0000-0000-000005780000}"/>
    <cellStyle name="Normal 5 6 2 6 3 5" xfId="20002" xr:uid="{00000000-0005-0000-0000-000006780000}"/>
    <cellStyle name="Normal 5 6 2 6 4" xfId="7402" xr:uid="{00000000-0005-0000-0000-000007780000}"/>
    <cellStyle name="Normal 5 6 2 6 4 2" xfId="14665" xr:uid="{00000000-0005-0000-0000-000008780000}"/>
    <cellStyle name="Normal 5 6 2 6 4 2 2" xfId="30980" xr:uid="{00000000-0005-0000-0000-000009780000}"/>
    <cellStyle name="Normal 5 6 2 6 4 3" xfId="24015" xr:uid="{00000000-0005-0000-0000-00000A780000}"/>
    <cellStyle name="Normal 5 6 2 6 5" xfId="10717" xr:uid="{00000000-0005-0000-0000-00000B780000}"/>
    <cellStyle name="Normal 5 6 2 6 5 2" xfId="27315" xr:uid="{00000000-0005-0000-0000-00000C780000}"/>
    <cellStyle name="Normal 5 6 2 6 6" xfId="4877" xr:uid="{00000000-0005-0000-0000-00000D780000}"/>
    <cellStyle name="Normal 5 6 2 6 6 2" xfId="21600" xr:uid="{00000000-0005-0000-0000-00000E780000}"/>
    <cellStyle name="Normal 5 6 2 6 7" xfId="17650" xr:uid="{00000000-0005-0000-0000-00000F780000}"/>
    <cellStyle name="Normal 5 6 2 7" xfId="732" xr:uid="{00000000-0005-0000-0000-000010780000}"/>
    <cellStyle name="Normal 5 6 2 7 2" xfId="3277" xr:uid="{00000000-0005-0000-0000-000011780000}"/>
    <cellStyle name="Normal 5 6 2 7 2 2" xfId="9429" xr:uid="{00000000-0005-0000-0000-000012780000}"/>
    <cellStyle name="Normal 5 6 2 7 2 2 2" xfId="16692" xr:uid="{00000000-0005-0000-0000-000013780000}"/>
    <cellStyle name="Normal 5 6 2 7 2 2 2 2" xfId="33007" xr:uid="{00000000-0005-0000-0000-000014780000}"/>
    <cellStyle name="Normal 5 6 2 7 2 2 3" xfId="26042" xr:uid="{00000000-0005-0000-0000-000015780000}"/>
    <cellStyle name="Normal 5 6 2 7 2 3" xfId="12771" xr:uid="{00000000-0005-0000-0000-000016780000}"/>
    <cellStyle name="Normal 5 6 2 7 2 3 2" xfId="29346" xr:uid="{00000000-0005-0000-0000-000017780000}"/>
    <cellStyle name="Normal 5 6 2 7 2 4" xfId="6078" xr:uid="{00000000-0005-0000-0000-000018780000}"/>
    <cellStyle name="Normal 5 6 2 7 2 4 2" xfId="22742" xr:uid="{00000000-0005-0000-0000-000019780000}"/>
    <cellStyle name="Normal 5 6 2 7 2 5" xfId="20004" xr:uid="{00000000-0005-0000-0000-00001A780000}"/>
    <cellStyle name="Normal 5 6 2 7 3" xfId="7808" xr:uid="{00000000-0005-0000-0000-00001B780000}"/>
    <cellStyle name="Normal 5 6 2 7 3 2" xfId="15071" xr:uid="{00000000-0005-0000-0000-00001C780000}"/>
    <cellStyle name="Normal 5 6 2 7 3 2 2" xfId="31386" xr:uid="{00000000-0005-0000-0000-00001D780000}"/>
    <cellStyle name="Normal 5 6 2 7 3 3" xfId="24421" xr:uid="{00000000-0005-0000-0000-00001E780000}"/>
    <cellStyle name="Normal 5 6 2 7 4" xfId="11123" xr:uid="{00000000-0005-0000-0000-00001F780000}"/>
    <cellStyle name="Normal 5 6 2 7 4 2" xfId="27721" xr:uid="{00000000-0005-0000-0000-000020780000}"/>
    <cellStyle name="Normal 5 6 2 7 5" xfId="4879" xr:uid="{00000000-0005-0000-0000-000021780000}"/>
    <cellStyle name="Normal 5 6 2 7 5 2" xfId="21602" xr:uid="{00000000-0005-0000-0000-000022780000}"/>
    <cellStyle name="Normal 5 6 2 7 6" xfId="17545" xr:uid="{00000000-0005-0000-0000-000023780000}"/>
    <cellStyle name="Normal 5 6 2 8" xfId="1329" xr:uid="{00000000-0005-0000-0000-000024780000}"/>
    <cellStyle name="Normal 5 6 2 8 2" xfId="8475" xr:uid="{00000000-0005-0000-0000-000025780000}"/>
    <cellStyle name="Normal 5 6 2 8 2 2" xfId="15738" xr:uid="{00000000-0005-0000-0000-000026780000}"/>
    <cellStyle name="Normal 5 6 2 8 2 2 2" xfId="32053" xr:uid="{00000000-0005-0000-0000-000027780000}"/>
    <cellStyle name="Normal 5 6 2 8 2 3" xfId="25088" xr:uid="{00000000-0005-0000-0000-000028780000}"/>
    <cellStyle name="Normal 5 6 2 8 3" xfId="11816" xr:uid="{00000000-0005-0000-0000-000029780000}"/>
    <cellStyle name="Normal 5 6 2 8 3 2" xfId="28392" xr:uid="{00000000-0005-0000-0000-00002A780000}"/>
    <cellStyle name="Normal 5 6 2 8 4" xfId="5122" xr:uid="{00000000-0005-0000-0000-00002B780000}"/>
    <cellStyle name="Normal 5 6 2 8 4 2" xfId="21788" xr:uid="{00000000-0005-0000-0000-00002C780000}"/>
    <cellStyle name="Normal 5 6 2 8 5" xfId="18064" xr:uid="{00000000-0005-0000-0000-00002D780000}"/>
    <cellStyle name="Normal 5 6 2 9" xfId="3214" xr:uid="{00000000-0005-0000-0000-00002E780000}"/>
    <cellStyle name="Normal 5 6 2 9 2" xfId="14123" xr:uid="{00000000-0005-0000-0000-00002F780000}"/>
    <cellStyle name="Normal 5 6 2 9 2 2" xfId="30438" xr:uid="{00000000-0005-0000-0000-000030780000}"/>
    <cellStyle name="Normal 5 6 2 9 3" xfId="6860" xr:uid="{00000000-0005-0000-0000-000031780000}"/>
    <cellStyle name="Normal 5 6 2 9 3 2" xfId="23473" xr:uid="{00000000-0005-0000-0000-000032780000}"/>
    <cellStyle name="Normal 5 6 2 9 4" xfId="19941" xr:uid="{00000000-0005-0000-0000-000033780000}"/>
    <cellStyle name="Normal 5 6 3" xfId="891" xr:uid="{00000000-0005-0000-0000-000034780000}"/>
    <cellStyle name="Normal 5 6 3 10" xfId="4880" xr:uid="{00000000-0005-0000-0000-000035780000}"/>
    <cellStyle name="Normal 5 6 3 10 2" xfId="21603" xr:uid="{00000000-0005-0000-0000-000036780000}"/>
    <cellStyle name="Normal 5 6 3 11" xfId="17669" xr:uid="{00000000-0005-0000-0000-000037780000}"/>
    <cellStyle name="Normal 5 6 3 2" xfId="944" xr:uid="{00000000-0005-0000-0000-000038780000}"/>
    <cellStyle name="Normal 5 6 3 2 10" xfId="17722" xr:uid="{00000000-0005-0000-0000-000039780000}"/>
    <cellStyle name="Normal 5 6 3 2 2" xfId="1051" xr:uid="{00000000-0005-0000-0000-00003A780000}"/>
    <cellStyle name="Normal 5 6 3 2 2 2" xfId="1255" xr:uid="{00000000-0005-0000-0000-00003B780000}"/>
    <cellStyle name="Normal 5 6 3 2 2 2 2" xfId="1776" xr:uid="{00000000-0005-0000-0000-00003C780000}"/>
    <cellStyle name="Normal 5 6 3 2 2 2 2 2" xfId="3283" xr:uid="{00000000-0005-0000-0000-00003D780000}"/>
    <cellStyle name="Normal 5 6 3 2 2 2 2 2 2" xfId="6670" xr:uid="{00000000-0005-0000-0000-00003E780000}"/>
    <cellStyle name="Normal 5 6 3 2 2 2 2 2 2 2" xfId="10021" xr:uid="{00000000-0005-0000-0000-00003F780000}"/>
    <cellStyle name="Normal 5 6 3 2 2 2 2 2 2 2 2" xfId="17284" xr:uid="{00000000-0005-0000-0000-000040780000}"/>
    <cellStyle name="Normal 5 6 3 2 2 2 2 2 2 2 2 2" xfId="33599" xr:uid="{00000000-0005-0000-0000-000041780000}"/>
    <cellStyle name="Normal 5 6 3 2 2 2 2 2 2 2 3" xfId="26634" xr:uid="{00000000-0005-0000-0000-000042780000}"/>
    <cellStyle name="Normal 5 6 3 2 2 2 2 2 2 3" xfId="13363" xr:uid="{00000000-0005-0000-0000-000043780000}"/>
    <cellStyle name="Normal 5 6 3 2 2 2 2 2 2 3 2" xfId="29938" xr:uid="{00000000-0005-0000-0000-000044780000}"/>
    <cellStyle name="Normal 5 6 3 2 2 2 2 2 2 4" xfId="23334" xr:uid="{00000000-0005-0000-0000-000045780000}"/>
    <cellStyle name="Normal 5 6 3 2 2 2 2 2 3" xfId="8400" xr:uid="{00000000-0005-0000-0000-000046780000}"/>
    <cellStyle name="Normal 5 6 3 2 2 2 2 2 3 2" xfId="15663" xr:uid="{00000000-0005-0000-0000-000047780000}"/>
    <cellStyle name="Normal 5 6 3 2 2 2 2 2 3 2 2" xfId="31978" xr:uid="{00000000-0005-0000-0000-000048780000}"/>
    <cellStyle name="Normal 5 6 3 2 2 2 2 2 3 3" xfId="25013" xr:uid="{00000000-0005-0000-0000-000049780000}"/>
    <cellStyle name="Normal 5 6 3 2 2 2 2 2 4" xfId="11715" xr:uid="{00000000-0005-0000-0000-00004A780000}"/>
    <cellStyle name="Normal 5 6 3 2 2 2 2 2 4 2" xfId="28313" xr:uid="{00000000-0005-0000-0000-00004B780000}"/>
    <cellStyle name="Normal 5 6 3 2 2 2 2 2 5" xfId="4885" xr:uid="{00000000-0005-0000-0000-00004C780000}"/>
    <cellStyle name="Normal 5 6 3 2 2 2 2 2 5 2" xfId="21608" xr:uid="{00000000-0005-0000-0000-00004D780000}"/>
    <cellStyle name="Normal 5 6 3 2 2 2 2 2 6" xfId="20010" xr:uid="{00000000-0005-0000-0000-00004E780000}"/>
    <cellStyle name="Normal 5 6 3 2 2 2 2 3" xfId="3282" xr:uid="{00000000-0005-0000-0000-00004F780000}"/>
    <cellStyle name="Normal 5 6 3 2 2 2 2 3 2" xfId="9245" xr:uid="{00000000-0005-0000-0000-000050780000}"/>
    <cellStyle name="Normal 5 6 3 2 2 2 2 3 2 2" xfId="16508" xr:uid="{00000000-0005-0000-0000-000051780000}"/>
    <cellStyle name="Normal 5 6 3 2 2 2 2 3 2 2 2" xfId="32823" xr:uid="{00000000-0005-0000-0000-000052780000}"/>
    <cellStyle name="Normal 5 6 3 2 2 2 2 3 2 3" xfId="25858" xr:uid="{00000000-0005-0000-0000-000053780000}"/>
    <cellStyle name="Normal 5 6 3 2 2 2 2 3 3" xfId="12587" xr:uid="{00000000-0005-0000-0000-000054780000}"/>
    <cellStyle name="Normal 5 6 3 2 2 2 2 3 3 2" xfId="29162" xr:uid="{00000000-0005-0000-0000-000055780000}"/>
    <cellStyle name="Normal 5 6 3 2 2 2 2 3 4" xfId="5894" xr:uid="{00000000-0005-0000-0000-000056780000}"/>
    <cellStyle name="Normal 5 6 3 2 2 2 2 3 4 2" xfId="22558" xr:uid="{00000000-0005-0000-0000-000057780000}"/>
    <cellStyle name="Normal 5 6 3 2 2 2 2 3 5" xfId="20009" xr:uid="{00000000-0005-0000-0000-000058780000}"/>
    <cellStyle name="Normal 5 6 3 2 2 2 2 4" xfId="7624" xr:uid="{00000000-0005-0000-0000-000059780000}"/>
    <cellStyle name="Normal 5 6 3 2 2 2 2 4 2" xfId="14887" xr:uid="{00000000-0005-0000-0000-00005A780000}"/>
    <cellStyle name="Normal 5 6 3 2 2 2 2 4 2 2" xfId="31202" xr:uid="{00000000-0005-0000-0000-00005B780000}"/>
    <cellStyle name="Normal 5 6 3 2 2 2 2 4 3" xfId="24237" xr:uid="{00000000-0005-0000-0000-00005C780000}"/>
    <cellStyle name="Normal 5 6 3 2 2 2 2 5" xfId="10939" xr:uid="{00000000-0005-0000-0000-00005D780000}"/>
    <cellStyle name="Normal 5 6 3 2 2 2 2 5 2" xfId="27537" xr:uid="{00000000-0005-0000-0000-00005E780000}"/>
    <cellStyle name="Normal 5 6 3 2 2 2 2 6" xfId="4884" xr:uid="{00000000-0005-0000-0000-00005F780000}"/>
    <cellStyle name="Normal 5 6 3 2 2 2 2 6 2" xfId="21607" xr:uid="{00000000-0005-0000-0000-000060780000}"/>
    <cellStyle name="Normal 5 6 3 2 2 2 2 7" xfId="18511" xr:uid="{00000000-0005-0000-0000-000061780000}"/>
    <cellStyle name="Normal 5 6 3 2 2 2 3" xfId="3284" xr:uid="{00000000-0005-0000-0000-000062780000}"/>
    <cellStyle name="Normal 5 6 3 2 2 2 3 2" xfId="6300" xr:uid="{00000000-0005-0000-0000-000063780000}"/>
    <cellStyle name="Normal 5 6 3 2 2 2 3 2 2" xfId="9651" xr:uid="{00000000-0005-0000-0000-000064780000}"/>
    <cellStyle name="Normal 5 6 3 2 2 2 3 2 2 2" xfId="16914" xr:uid="{00000000-0005-0000-0000-000065780000}"/>
    <cellStyle name="Normal 5 6 3 2 2 2 3 2 2 2 2" xfId="33229" xr:uid="{00000000-0005-0000-0000-000066780000}"/>
    <cellStyle name="Normal 5 6 3 2 2 2 3 2 2 3" xfId="26264" xr:uid="{00000000-0005-0000-0000-000067780000}"/>
    <cellStyle name="Normal 5 6 3 2 2 2 3 2 3" xfId="12993" xr:uid="{00000000-0005-0000-0000-000068780000}"/>
    <cellStyle name="Normal 5 6 3 2 2 2 3 2 3 2" xfId="29568" xr:uid="{00000000-0005-0000-0000-000069780000}"/>
    <cellStyle name="Normal 5 6 3 2 2 2 3 2 4" xfId="22964" xr:uid="{00000000-0005-0000-0000-00006A780000}"/>
    <cellStyle name="Normal 5 6 3 2 2 2 3 3" xfId="8030" xr:uid="{00000000-0005-0000-0000-00006B780000}"/>
    <cellStyle name="Normal 5 6 3 2 2 2 3 3 2" xfId="15293" xr:uid="{00000000-0005-0000-0000-00006C780000}"/>
    <cellStyle name="Normal 5 6 3 2 2 2 3 3 2 2" xfId="31608" xr:uid="{00000000-0005-0000-0000-00006D780000}"/>
    <cellStyle name="Normal 5 6 3 2 2 2 3 3 3" xfId="24643" xr:uid="{00000000-0005-0000-0000-00006E780000}"/>
    <cellStyle name="Normal 5 6 3 2 2 2 3 4" xfId="11345" xr:uid="{00000000-0005-0000-0000-00006F780000}"/>
    <cellStyle name="Normal 5 6 3 2 2 2 3 4 2" xfId="27943" xr:uid="{00000000-0005-0000-0000-000070780000}"/>
    <cellStyle name="Normal 5 6 3 2 2 2 3 5" xfId="4886" xr:uid="{00000000-0005-0000-0000-000071780000}"/>
    <cellStyle name="Normal 5 6 3 2 2 2 3 5 2" xfId="21609" xr:uid="{00000000-0005-0000-0000-000072780000}"/>
    <cellStyle name="Normal 5 6 3 2 2 2 3 6" xfId="20011" xr:uid="{00000000-0005-0000-0000-000073780000}"/>
    <cellStyle name="Normal 5 6 3 2 2 2 4" xfId="3281" xr:uid="{00000000-0005-0000-0000-000074780000}"/>
    <cellStyle name="Normal 5 6 3 2 2 2 4 2" xfId="8838" xr:uid="{00000000-0005-0000-0000-000075780000}"/>
    <cellStyle name="Normal 5 6 3 2 2 2 4 2 2" xfId="16101" xr:uid="{00000000-0005-0000-0000-000076780000}"/>
    <cellStyle name="Normal 5 6 3 2 2 2 4 2 2 2" xfId="32416" xr:uid="{00000000-0005-0000-0000-000077780000}"/>
    <cellStyle name="Normal 5 6 3 2 2 2 4 2 3" xfId="25451" xr:uid="{00000000-0005-0000-0000-000078780000}"/>
    <cellStyle name="Normal 5 6 3 2 2 2 4 3" xfId="12180" xr:uid="{00000000-0005-0000-0000-000079780000}"/>
    <cellStyle name="Normal 5 6 3 2 2 2 4 3 2" xfId="28755" xr:uid="{00000000-0005-0000-0000-00007A780000}"/>
    <cellStyle name="Normal 5 6 3 2 2 2 4 4" xfId="5487" xr:uid="{00000000-0005-0000-0000-00007B780000}"/>
    <cellStyle name="Normal 5 6 3 2 2 2 4 4 2" xfId="22151" xr:uid="{00000000-0005-0000-0000-00007C780000}"/>
    <cellStyle name="Normal 5 6 3 2 2 2 4 5" xfId="20008" xr:uid="{00000000-0005-0000-0000-00007D780000}"/>
    <cellStyle name="Normal 5 6 3 2 2 2 5" xfId="7218" xr:uid="{00000000-0005-0000-0000-00007E780000}"/>
    <cellStyle name="Normal 5 6 3 2 2 2 5 2" xfId="14481" xr:uid="{00000000-0005-0000-0000-00007F780000}"/>
    <cellStyle name="Normal 5 6 3 2 2 2 5 2 2" xfId="30796" xr:uid="{00000000-0005-0000-0000-000080780000}"/>
    <cellStyle name="Normal 5 6 3 2 2 2 5 3" xfId="23831" xr:uid="{00000000-0005-0000-0000-000081780000}"/>
    <cellStyle name="Normal 5 6 3 2 2 2 6" xfId="10533" xr:uid="{00000000-0005-0000-0000-000082780000}"/>
    <cellStyle name="Normal 5 6 3 2 2 2 6 2" xfId="27131" xr:uid="{00000000-0005-0000-0000-000083780000}"/>
    <cellStyle name="Normal 5 6 3 2 2 2 7" xfId="4883" xr:uid="{00000000-0005-0000-0000-000084780000}"/>
    <cellStyle name="Normal 5 6 3 2 2 2 7 2" xfId="21606" xr:uid="{00000000-0005-0000-0000-000085780000}"/>
    <cellStyle name="Normal 5 6 3 2 2 2 8" xfId="17992" xr:uid="{00000000-0005-0000-0000-000086780000}"/>
    <cellStyle name="Normal 5 6 3 2 2 3" xfId="1612" xr:uid="{00000000-0005-0000-0000-000087780000}"/>
    <cellStyle name="Normal 5 6 3 2 2 3 2" xfId="3286" xr:uid="{00000000-0005-0000-0000-000088780000}"/>
    <cellStyle name="Normal 5 6 3 2 2 3 2 2" xfId="6494" xr:uid="{00000000-0005-0000-0000-000089780000}"/>
    <cellStyle name="Normal 5 6 3 2 2 3 2 2 2" xfId="9845" xr:uid="{00000000-0005-0000-0000-00008A780000}"/>
    <cellStyle name="Normal 5 6 3 2 2 3 2 2 2 2" xfId="17108" xr:uid="{00000000-0005-0000-0000-00008B780000}"/>
    <cellStyle name="Normal 5 6 3 2 2 3 2 2 2 2 2" xfId="33423" xr:uid="{00000000-0005-0000-0000-00008C780000}"/>
    <cellStyle name="Normal 5 6 3 2 2 3 2 2 2 3" xfId="26458" xr:uid="{00000000-0005-0000-0000-00008D780000}"/>
    <cellStyle name="Normal 5 6 3 2 2 3 2 2 3" xfId="13187" xr:uid="{00000000-0005-0000-0000-00008E780000}"/>
    <cellStyle name="Normal 5 6 3 2 2 3 2 2 3 2" xfId="29762" xr:uid="{00000000-0005-0000-0000-00008F780000}"/>
    <cellStyle name="Normal 5 6 3 2 2 3 2 2 4" xfId="23158" xr:uid="{00000000-0005-0000-0000-000090780000}"/>
    <cellStyle name="Normal 5 6 3 2 2 3 2 3" xfId="8224" xr:uid="{00000000-0005-0000-0000-000091780000}"/>
    <cellStyle name="Normal 5 6 3 2 2 3 2 3 2" xfId="15487" xr:uid="{00000000-0005-0000-0000-000092780000}"/>
    <cellStyle name="Normal 5 6 3 2 2 3 2 3 2 2" xfId="31802" xr:uid="{00000000-0005-0000-0000-000093780000}"/>
    <cellStyle name="Normal 5 6 3 2 2 3 2 3 3" xfId="24837" xr:uid="{00000000-0005-0000-0000-000094780000}"/>
    <cellStyle name="Normal 5 6 3 2 2 3 2 4" xfId="11539" xr:uid="{00000000-0005-0000-0000-000095780000}"/>
    <cellStyle name="Normal 5 6 3 2 2 3 2 4 2" xfId="28137" xr:uid="{00000000-0005-0000-0000-000096780000}"/>
    <cellStyle name="Normal 5 6 3 2 2 3 2 5" xfId="4888" xr:uid="{00000000-0005-0000-0000-000097780000}"/>
    <cellStyle name="Normal 5 6 3 2 2 3 2 5 2" xfId="21611" xr:uid="{00000000-0005-0000-0000-000098780000}"/>
    <cellStyle name="Normal 5 6 3 2 2 3 2 6" xfId="20013" xr:uid="{00000000-0005-0000-0000-000099780000}"/>
    <cellStyle name="Normal 5 6 3 2 2 3 3" xfId="3285" xr:uid="{00000000-0005-0000-0000-00009A780000}"/>
    <cellStyle name="Normal 5 6 3 2 2 3 3 2" xfId="9033" xr:uid="{00000000-0005-0000-0000-00009B780000}"/>
    <cellStyle name="Normal 5 6 3 2 2 3 3 2 2" xfId="16296" xr:uid="{00000000-0005-0000-0000-00009C780000}"/>
    <cellStyle name="Normal 5 6 3 2 2 3 3 2 2 2" xfId="32611" xr:uid="{00000000-0005-0000-0000-00009D780000}"/>
    <cellStyle name="Normal 5 6 3 2 2 3 3 2 3" xfId="25646" xr:uid="{00000000-0005-0000-0000-00009E780000}"/>
    <cellStyle name="Normal 5 6 3 2 2 3 3 3" xfId="12375" xr:uid="{00000000-0005-0000-0000-00009F780000}"/>
    <cellStyle name="Normal 5 6 3 2 2 3 3 3 2" xfId="28950" xr:uid="{00000000-0005-0000-0000-0000A0780000}"/>
    <cellStyle name="Normal 5 6 3 2 2 3 3 4" xfId="5682" xr:uid="{00000000-0005-0000-0000-0000A1780000}"/>
    <cellStyle name="Normal 5 6 3 2 2 3 3 4 2" xfId="22346" xr:uid="{00000000-0005-0000-0000-0000A2780000}"/>
    <cellStyle name="Normal 5 6 3 2 2 3 3 5" xfId="20012" xr:uid="{00000000-0005-0000-0000-0000A3780000}"/>
    <cellStyle name="Normal 5 6 3 2 2 3 4" xfId="7412" xr:uid="{00000000-0005-0000-0000-0000A4780000}"/>
    <cellStyle name="Normal 5 6 3 2 2 3 4 2" xfId="14675" xr:uid="{00000000-0005-0000-0000-0000A5780000}"/>
    <cellStyle name="Normal 5 6 3 2 2 3 4 2 2" xfId="30990" xr:uid="{00000000-0005-0000-0000-0000A6780000}"/>
    <cellStyle name="Normal 5 6 3 2 2 3 4 3" xfId="24025" xr:uid="{00000000-0005-0000-0000-0000A7780000}"/>
    <cellStyle name="Normal 5 6 3 2 2 3 5" xfId="10727" xr:uid="{00000000-0005-0000-0000-0000A8780000}"/>
    <cellStyle name="Normal 5 6 3 2 2 3 5 2" xfId="27325" xr:uid="{00000000-0005-0000-0000-0000A9780000}"/>
    <cellStyle name="Normal 5 6 3 2 2 3 6" xfId="4887" xr:uid="{00000000-0005-0000-0000-0000AA780000}"/>
    <cellStyle name="Normal 5 6 3 2 2 3 6 2" xfId="21610" xr:uid="{00000000-0005-0000-0000-0000AB780000}"/>
    <cellStyle name="Normal 5 6 3 2 2 3 7" xfId="18347" xr:uid="{00000000-0005-0000-0000-0000AC780000}"/>
    <cellStyle name="Normal 5 6 3 2 2 4" xfId="3287" xr:uid="{00000000-0005-0000-0000-0000AD780000}"/>
    <cellStyle name="Normal 5 6 3 2 2 4 2" xfId="6088" xr:uid="{00000000-0005-0000-0000-0000AE780000}"/>
    <cellStyle name="Normal 5 6 3 2 2 4 2 2" xfId="9439" xr:uid="{00000000-0005-0000-0000-0000AF780000}"/>
    <cellStyle name="Normal 5 6 3 2 2 4 2 2 2" xfId="16702" xr:uid="{00000000-0005-0000-0000-0000B0780000}"/>
    <cellStyle name="Normal 5 6 3 2 2 4 2 2 2 2" xfId="33017" xr:uid="{00000000-0005-0000-0000-0000B1780000}"/>
    <cellStyle name="Normal 5 6 3 2 2 4 2 2 3" xfId="26052" xr:uid="{00000000-0005-0000-0000-0000B2780000}"/>
    <cellStyle name="Normal 5 6 3 2 2 4 2 3" xfId="12781" xr:uid="{00000000-0005-0000-0000-0000B3780000}"/>
    <cellStyle name="Normal 5 6 3 2 2 4 2 3 2" xfId="29356" xr:uid="{00000000-0005-0000-0000-0000B4780000}"/>
    <cellStyle name="Normal 5 6 3 2 2 4 2 4" xfId="22752" xr:uid="{00000000-0005-0000-0000-0000B5780000}"/>
    <cellStyle name="Normal 5 6 3 2 2 4 3" xfId="7818" xr:uid="{00000000-0005-0000-0000-0000B6780000}"/>
    <cellStyle name="Normal 5 6 3 2 2 4 3 2" xfId="15081" xr:uid="{00000000-0005-0000-0000-0000B7780000}"/>
    <cellStyle name="Normal 5 6 3 2 2 4 3 2 2" xfId="31396" xr:uid="{00000000-0005-0000-0000-0000B8780000}"/>
    <cellStyle name="Normal 5 6 3 2 2 4 3 3" xfId="24431" xr:uid="{00000000-0005-0000-0000-0000B9780000}"/>
    <cellStyle name="Normal 5 6 3 2 2 4 4" xfId="11133" xr:uid="{00000000-0005-0000-0000-0000BA780000}"/>
    <cellStyle name="Normal 5 6 3 2 2 4 4 2" xfId="27731" xr:uid="{00000000-0005-0000-0000-0000BB780000}"/>
    <cellStyle name="Normal 5 6 3 2 2 4 5" xfId="4889" xr:uid="{00000000-0005-0000-0000-0000BC780000}"/>
    <cellStyle name="Normal 5 6 3 2 2 4 5 2" xfId="21612" xr:uid="{00000000-0005-0000-0000-0000BD780000}"/>
    <cellStyle name="Normal 5 6 3 2 2 4 6" xfId="20014" xr:uid="{00000000-0005-0000-0000-0000BE780000}"/>
    <cellStyle name="Normal 5 6 3 2 2 5" xfId="3280" xr:uid="{00000000-0005-0000-0000-0000BF780000}"/>
    <cellStyle name="Normal 5 6 3 2 2 5 2" xfId="8673" xr:uid="{00000000-0005-0000-0000-0000C0780000}"/>
    <cellStyle name="Normal 5 6 3 2 2 5 2 2" xfId="15936" xr:uid="{00000000-0005-0000-0000-0000C1780000}"/>
    <cellStyle name="Normal 5 6 3 2 2 5 2 2 2" xfId="32251" xr:uid="{00000000-0005-0000-0000-0000C2780000}"/>
    <cellStyle name="Normal 5 6 3 2 2 5 2 3" xfId="25286" xr:uid="{00000000-0005-0000-0000-0000C3780000}"/>
    <cellStyle name="Normal 5 6 3 2 2 5 3" xfId="12015" xr:uid="{00000000-0005-0000-0000-0000C4780000}"/>
    <cellStyle name="Normal 5 6 3 2 2 5 3 2" xfId="28590" xr:uid="{00000000-0005-0000-0000-0000C5780000}"/>
    <cellStyle name="Normal 5 6 3 2 2 5 4" xfId="5322" xr:uid="{00000000-0005-0000-0000-0000C6780000}"/>
    <cellStyle name="Normal 5 6 3 2 2 5 4 2" xfId="21986" xr:uid="{00000000-0005-0000-0000-0000C7780000}"/>
    <cellStyle name="Normal 5 6 3 2 2 5 5" xfId="20007" xr:uid="{00000000-0005-0000-0000-0000C8780000}"/>
    <cellStyle name="Normal 5 6 3 2 2 6" xfId="7054" xr:uid="{00000000-0005-0000-0000-0000C9780000}"/>
    <cellStyle name="Normal 5 6 3 2 2 6 2" xfId="14317" xr:uid="{00000000-0005-0000-0000-0000CA780000}"/>
    <cellStyle name="Normal 5 6 3 2 2 6 2 2" xfId="30632" xr:uid="{00000000-0005-0000-0000-0000CB780000}"/>
    <cellStyle name="Normal 5 6 3 2 2 6 3" xfId="23667" xr:uid="{00000000-0005-0000-0000-0000CC780000}"/>
    <cellStyle name="Normal 5 6 3 2 2 7" xfId="10368" xr:uid="{00000000-0005-0000-0000-0000CD780000}"/>
    <cellStyle name="Normal 5 6 3 2 2 7 2" xfId="26967" xr:uid="{00000000-0005-0000-0000-0000CE780000}"/>
    <cellStyle name="Normal 5 6 3 2 2 8" xfId="4882" xr:uid="{00000000-0005-0000-0000-0000CF780000}"/>
    <cellStyle name="Normal 5 6 3 2 2 8 2" xfId="21605" xr:uid="{00000000-0005-0000-0000-0000D0780000}"/>
    <cellStyle name="Normal 5 6 3 2 2 9" xfId="17828" xr:uid="{00000000-0005-0000-0000-0000D1780000}"/>
    <cellStyle name="Normal 5 6 3 2 3" xfId="1254" xr:uid="{00000000-0005-0000-0000-0000D2780000}"/>
    <cellStyle name="Normal 5 6 3 2 3 2" xfId="1775" xr:uid="{00000000-0005-0000-0000-0000D3780000}"/>
    <cellStyle name="Normal 5 6 3 2 3 2 2" xfId="3290" xr:uid="{00000000-0005-0000-0000-0000D4780000}"/>
    <cellStyle name="Normal 5 6 3 2 3 2 2 2" xfId="6669" xr:uid="{00000000-0005-0000-0000-0000D5780000}"/>
    <cellStyle name="Normal 5 6 3 2 3 2 2 2 2" xfId="10020" xr:uid="{00000000-0005-0000-0000-0000D6780000}"/>
    <cellStyle name="Normal 5 6 3 2 3 2 2 2 2 2" xfId="17283" xr:uid="{00000000-0005-0000-0000-0000D7780000}"/>
    <cellStyle name="Normal 5 6 3 2 3 2 2 2 2 2 2" xfId="33598" xr:uid="{00000000-0005-0000-0000-0000D8780000}"/>
    <cellStyle name="Normal 5 6 3 2 3 2 2 2 2 3" xfId="26633" xr:uid="{00000000-0005-0000-0000-0000D9780000}"/>
    <cellStyle name="Normal 5 6 3 2 3 2 2 2 3" xfId="13362" xr:uid="{00000000-0005-0000-0000-0000DA780000}"/>
    <cellStyle name="Normal 5 6 3 2 3 2 2 2 3 2" xfId="29937" xr:uid="{00000000-0005-0000-0000-0000DB780000}"/>
    <cellStyle name="Normal 5 6 3 2 3 2 2 2 4" xfId="23333" xr:uid="{00000000-0005-0000-0000-0000DC780000}"/>
    <cellStyle name="Normal 5 6 3 2 3 2 2 3" xfId="8399" xr:uid="{00000000-0005-0000-0000-0000DD780000}"/>
    <cellStyle name="Normal 5 6 3 2 3 2 2 3 2" xfId="15662" xr:uid="{00000000-0005-0000-0000-0000DE780000}"/>
    <cellStyle name="Normal 5 6 3 2 3 2 2 3 2 2" xfId="31977" xr:uid="{00000000-0005-0000-0000-0000DF780000}"/>
    <cellStyle name="Normal 5 6 3 2 3 2 2 3 3" xfId="25012" xr:uid="{00000000-0005-0000-0000-0000E0780000}"/>
    <cellStyle name="Normal 5 6 3 2 3 2 2 4" xfId="11714" xr:uid="{00000000-0005-0000-0000-0000E1780000}"/>
    <cellStyle name="Normal 5 6 3 2 3 2 2 4 2" xfId="28312" xr:uid="{00000000-0005-0000-0000-0000E2780000}"/>
    <cellStyle name="Normal 5 6 3 2 3 2 2 5" xfId="4892" xr:uid="{00000000-0005-0000-0000-0000E3780000}"/>
    <cellStyle name="Normal 5 6 3 2 3 2 2 5 2" xfId="21615" xr:uid="{00000000-0005-0000-0000-0000E4780000}"/>
    <cellStyle name="Normal 5 6 3 2 3 2 2 6" xfId="20017" xr:uid="{00000000-0005-0000-0000-0000E5780000}"/>
    <cellStyle name="Normal 5 6 3 2 3 2 3" xfId="3289" xr:uid="{00000000-0005-0000-0000-0000E6780000}"/>
    <cellStyle name="Normal 5 6 3 2 3 2 3 2" xfId="9244" xr:uid="{00000000-0005-0000-0000-0000E7780000}"/>
    <cellStyle name="Normal 5 6 3 2 3 2 3 2 2" xfId="16507" xr:uid="{00000000-0005-0000-0000-0000E8780000}"/>
    <cellStyle name="Normal 5 6 3 2 3 2 3 2 2 2" xfId="32822" xr:uid="{00000000-0005-0000-0000-0000E9780000}"/>
    <cellStyle name="Normal 5 6 3 2 3 2 3 2 3" xfId="25857" xr:uid="{00000000-0005-0000-0000-0000EA780000}"/>
    <cellStyle name="Normal 5 6 3 2 3 2 3 3" xfId="12586" xr:uid="{00000000-0005-0000-0000-0000EB780000}"/>
    <cellStyle name="Normal 5 6 3 2 3 2 3 3 2" xfId="29161" xr:uid="{00000000-0005-0000-0000-0000EC780000}"/>
    <cellStyle name="Normal 5 6 3 2 3 2 3 4" xfId="5893" xr:uid="{00000000-0005-0000-0000-0000ED780000}"/>
    <cellStyle name="Normal 5 6 3 2 3 2 3 4 2" xfId="22557" xr:uid="{00000000-0005-0000-0000-0000EE780000}"/>
    <cellStyle name="Normal 5 6 3 2 3 2 3 5" xfId="20016" xr:uid="{00000000-0005-0000-0000-0000EF780000}"/>
    <cellStyle name="Normal 5 6 3 2 3 2 4" xfId="7623" xr:uid="{00000000-0005-0000-0000-0000F0780000}"/>
    <cellStyle name="Normal 5 6 3 2 3 2 4 2" xfId="14886" xr:uid="{00000000-0005-0000-0000-0000F1780000}"/>
    <cellStyle name="Normal 5 6 3 2 3 2 4 2 2" xfId="31201" xr:uid="{00000000-0005-0000-0000-0000F2780000}"/>
    <cellStyle name="Normal 5 6 3 2 3 2 4 3" xfId="24236" xr:uid="{00000000-0005-0000-0000-0000F3780000}"/>
    <cellStyle name="Normal 5 6 3 2 3 2 5" xfId="10938" xr:uid="{00000000-0005-0000-0000-0000F4780000}"/>
    <cellStyle name="Normal 5 6 3 2 3 2 5 2" xfId="27536" xr:uid="{00000000-0005-0000-0000-0000F5780000}"/>
    <cellStyle name="Normal 5 6 3 2 3 2 6" xfId="4891" xr:uid="{00000000-0005-0000-0000-0000F6780000}"/>
    <cellStyle name="Normal 5 6 3 2 3 2 6 2" xfId="21614" xr:uid="{00000000-0005-0000-0000-0000F7780000}"/>
    <cellStyle name="Normal 5 6 3 2 3 2 7" xfId="18510" xr:uid="{00000000-0005-0000-0000-0000F8780000}"/>
    <cellStyle name="Normal 5 6 3 2 3 3" xfId="3291" xr:uid="{00000000-0005-0000-0000-0000F9780000}"/>
    <cellStyle name="Normal 5 6 3 2 3 3 2" xfId="6299" xr:uid="{00000000-0005-0000-0000-0000FA780000}"/>
    <cellStyle name="Normal 5 6 3 2 3 3 2 2" xfId="9650" xr:uid="{00000000-0005-0000-0000-0000FB780000}"/>
    <cellStyle name="Normal 5 6 3 2 3 3 2 2 2" xfId="16913" xr:uid="{00000000-0005-0000-0000-0000FC780000}"/>
    <cellStyle name="Normal 5 6 3 2 3 3 2 2 2 2" xfId="33228" xr:uid="{00000000-0005-0000-0000-0000FD780000}"/>
    <cellStyle name="Normal 5 6 3 2 3 3 2 2 3" xfId="26263" xr:uid="{00000000-0005-0000-0000-0000FE780000}"/>
    <cellStyle name="Normal 5 6 3 2 3 3 2 3" xfId="12992" xr:uid="{00000000-0005-0000-0000-0000FF780000}"/>
    <cellStyle name="Normal 5 6 3 2 3 3 2 3 2" xfId="29567" xr:uid="{00000000-0005-0000-0000-000000790000}"/>
    <cellStyle name="Normal 5 6 3 2 3 3 2 4" xfId="22963" xr:uid="{00000000-0005-0000-0000-000001790000}"/>
    <cellStyle name="Normal 5 6 3 2 3 3 3" xfId="8029" xr:uid="{00000000-0005-0000-0000-000002790000}"/>
    <cellStyle name="Normal 5 6 3 2 3 3 3 2" xfId="15292" xr:uid="{00000000-0005-0000-0000-000003790000}"/>
    <cellStyle name="Normal 5 6 3 2 3 3 3 2 2" xfId="31607" xr:uid="{00000000-0005-0000-0000-000004790000}"/>
    <cellStyle name="Normal 5 6 3 2 3 3 3 3" xfId="24642" xr:uid="{00000000-0005-0000-0000-000005790000}"/>
    <cellStyle name="Normal 5 6 3 2 3 3 4" xfId="11344" xr:uid="{00000000-0005-0000-0000-000006790000}"/>
    <cellStyle name="Normal 5 6 3 2 3 3 4 2" xfId="27942" xr:uid="{00000000-0005-0000-0000-000007790000}"/>
    <cellStyle name="Normal 5 6 3 2 3 3 5" xfId="4893" xr:uid="{00000000-0005-0000-0000-000008790000}"/>
    <cellStyle name="Normal 5 6 3 2 3 3 5 2" xfId="21616" xr:uid="{00000000-0005-0000-0000-000009790000}"/>
    <cellStyle name="Normal 5 6 3 2 3 3 6" xfId="20018" xr:uid="{00000000-0005-0000-0000-00000A790000}"/>
    <cellStyle name="Normal 5 6 3 2 3 4" xfId="3288" xr:uid="{00000000-0005-0000-0000-00000B790000}"/>
    <cellStyle name="Normal 5 6 3 2 3 4 2" xfId="8837" xr:uid="{00000000-0005-0000-0000-00000C790000}"/>
    <cellStyle name="Normal 5 6 3 2 3 4 2 2" xfId="16100" xr:uid="{00000000-0005-0000-0000-00000D790000}"/>
    <cellStyle name="Normal 5 6 3 2 3 4 2 2 2" xfId="32415" xr:uid="{00000000-0005-0000-0000-00000E790000}"/>
    <cellStyle name="Normal 5 6 3 2 3 4 2 3" xfId="25450" xr:uid="{00000000-0005-0000-0000-00000F790000}"/>
    <cellStyle name="Normal 5 6 3 2 3 4 3" xfId="12179" xr:uid="{00000000-0005-0000-0000-000010790000}"/>
    <cellStyle name="Normal 5 6 3 2 3 4 3 2" xfId="28754" xr:uid="{00000000-0005-0000-0000-000011790000}"/>
    <cellStyle name="Normal 5 6 3 2 3 4 4" xfId="5486" xr:uid="{00000000-0005-0000-0000-000012790000}"/>
    <cellStyle name="Normal 5 6 3 2 3 4 4 2" xfId="22150" xr:uid="{00000000-0005-0000-0000-000013790000}"/>
    <cellStyle name="Normal 5 6 3 2 3 4 5" xfId="20015" xr:uid="{00000000-0005-0000-0000-000014790000}"/>
    <cellStyle name="Normal 5 6 3 2 3 5" xfId="7217" xr:uid="{00000000-0005-0000-0000-000015790000}"/>
    <cellStyle name="Normal 5 6 3 2 3 5 2" xfId="14480" xr:uid="{00000000-0005-0000-0000-000016790000}"/>
    <cellStyle name="Normal 5 6 3 2 3 5 2 2" xfId="30795" xr:uid="{00000000-0005-0000-0000-000017790000}"/>
    <cellStyle name="Normal 5 6 3 2 3 5 3" xfId="23830" xr:uid="{00000000-0005-0000-0000-000018790000}"/>
    <cellStyle name="Normal 5 6 3 2 3 6" xfId="10532" xr:uid="{00000000-0005-0000-0000-000019790000}"/>
    <cellStyle name="Normal 5 6 3 2 3 6 2" xfId="27130" xr:uid="{00000000-0005-0000-0000-00001A790000}"/>
    <cellStyle name="Normal 5 6 3 2 3 7" xfId="4890" xr:uid="{00000000-0005-0000-0000-00001B790000}"/>
    <cellStyle name="Normal 5 6 3 2 3 7 2" xfId="21613" xr:uid="{00000000-0005-0000-0000-00001C790000}"/>
    <cellStyle name="Normal 5 6 3 2 3 8" xfId="17991" xr:uid="{00000000-0005-0000-0000-00001D790000}"/>
    <cellStyle name="Normal 5 6 3 2 4" xfId="1506" xr:uid="{00000000-0005-0000-0000-00001E790000}"/>
    <cellStyle name="Normal 5 6 3 2 4 2" xfId="3293" xr:uid="{00000000-0005-0000-0000-00001F790000}"/>
    <cellStyle name="Normal 5 6 3 2 4 2 2" xfId="6493" xr:uid="{00000000-0005-0000-0000-000020790000}"/>
    <cellStyle name="Normal 5 6 3 2 4 2 2 2" xfId="9844" xr:uid="{00000000-0005-0000-0000-000021790000}"/>
    <cellStyle name="Normal 5 6 3 2 4 2 2 2 2" xfId="17107" xr:uid="{00000000-0005-0000-0000-000022790000}"/>
    <cellStyle name="Normal 5 6 3 2 4 2 2 2 2 2" xfId="33422" xr:uid="{00000000-0005-0000-0000-000023790000}"/>
    <cellStyle name="Normal 5 6 3 2 4 2 2 2 3" xfId="26457" xr:uid="{00000000-0005-0000-0000-000024790000}"/>
    <cellStyle name="Normal 5 6 3 2 4 2 2 3" xfId="13186" xr:uid="{00000000-0005-0000-0000-000025790000}"/>
    <cellStyle name="Normal 5 6 3 2 4 2 2 3 2" xfId="29761" xr:uid="{00000000-0005-0000-0000-000026790000}"/>
    <cellStyle name="Normal 5 6 3 2 4 2 2 4" xfId="23157" xr:uid="{00000000-0005-0000-0000-000027790000}"/>
    <cellStyle name="Normal 5 6 3 2 4 2 3" xfId="8223" xr:uid="{00000000-0005-0000-0000-000028790000}"/>
    <cellStyle name="Normal 5 6 3 2 4 2 3 2" xfId="15486" xr:uid="{00000000-0005-0000-0000-000029790000}"/>
    <cellStyle name="Normal 5 6 3 2 4 2 3 2 2" xfId="31801" xr:uid="{00000000-0005-0000-0000-00002A790000}"/>
    <cellStyle name="Normal 5 6 3 2 4 2 3 3" xfId="24836" xr:uid="{00000000-0005-0000-0000-00002B790000}"/>
    <cellStyle name="Normal 5 6 3 2 4 2 4" xfId="11538" xr:uid="{00000000-0005-0000-0000-00002C790000}"/>
    <cellStyle name="Normal 5 6 3 2 4 2 4 2" xfId="28136" xr:uid="{00000000-0005-0000-0000-00002D790000}"/>
    <cellStyle name="Normal 5 6 3 2 4 2 5" xfId="4895" xr:uid="{00000000-0005-0000-0000-00002E790000}"/>
    <cellStyle name="Normal 5 6 3 2 4 2 5 2" xfId="21618" xr:uid="{00000000-0005-0000-0000-00002F790000}"/>
    <cellStyle name="Normal 5 6 3 2 4 2 6" xfId="20020" xr:uid="{00000000-0005-0000-0000-000030790000}"/>
    <cellStyle name="Normal 5 6 3 2 4 3" xfId="3292" xr:uid="{00000000-0005-0000-0000-000031790000}"/>
    <cellStyle name="Normal 5 6 3 2 4 3 2" xfId="9032" xr:uid="{00000000-0005-0000-0000-000032790000}"/>
    <cellStyle name="Normal 5 6 3 2 4 3 2 2" xfId="16295" xr:uid="{00000000-0005-0000-0000-000033790000}"/>
    <cellStyle name="Normal 5 6 3 2 4 3 2 2 2" xfId="32610" xr:uid="{00000000-0005-0000-0000-000034790000}"/>
    <cellStyle name="Normal 5 6 3 2 4 3 2 3" xfId="25645" xr:uid="{00000000-0005-0000-0000-000035790000}"/>
    <cellStyle name="Normal 5 6 3 2 4 3 3" xfId="12374" xr:uid="{00000000-0005-0000-0000-000036790000}"/>
    <cellStyle name="Normal 5 6 3 2 4 3 3 2" xfId="28949" xr:uid="{00000000-0005-0000-0000-000037790000}"/>
    <cellStyle name="Normal 5 6 3 2 4 3 4" xfId="5681" xr:uid="{00000000-0005-0000-0000-000038790000}"/>
    <cellStyle name="Normal 5 6 3 2 4 3 4 2" xfId="22345" xr:uid="{00000000-0005-0000-0000-000039790000}"/>
    <cellStyle name="Normal 5 6 3 2 4 3 5" xfId="20019" xr:uid="{00000000-0005-0000-0000-00003A790000}"/>
    <cellStyle name="Normal 5 6 3 2 4 4" xfId="7411" xr:uid="{00000000-0005-0000-0000-00003B790000}"/>
    <cellStyle name="Normal 5 6 3 2 4 4 2" xfId="14674" xr:uid="{00000000-0005-0000-0000-00003C790000}"/>
    <cellStyle name="Normal 5 6 3 2 4 4 2 2" xfId="30989" xr:uid="{00000000-0005-0000-0000-00003D790000}"/>
    <cellStyle name="Normal 5 6 3 2 4 4 3" xfId="24024" xr:uid="{00000000-0005-0000-0000-00003E790000}"/>
    <cellStyle name="Normal 5 6 3 2 4 5" xfId="10726" xr:uid="{00000000-0005-0000-0000-00003F790000}"/>
    <cellStyle name="Normal 5 6 3 2 4 5 2" xfId="27324" xr:uid="{00000000-0005-0000-0000-000040790000}"/>
    <cellStyle name="Normal 5 6 3 2 4 6" xfId="4894" xr:uid="{00000000-0005-0000-0000-000041790000}"/>
    <cellStyle name="Normal 5 6 3 2 4 6 2" xfId="21617" xr:uid="{00000000-0005-0000-0000-000042790000}"/>
    <cellStyle name="Normal 5 6 3 2 4 7" xfId="18241" xr:uid="{00000000-0005-0000-0000-000043790000}"/>
    <cellStyle name="Normal 5 6 3 2 5" xfId="3294" xr:uid="{00000000-0005-0000-0000-000044790000}"/>
    <cellStyle name="Normal 5 6 3 2 5 2" xfId="6087" xr:uid="{00000000-0005-0000-0000-000045790000}"/>
    <cellStyle name="Normal 5 6 3 2 5 2 2" xfId="9438" xr:uid="{00000000-0005-0000-0000-000046790000}"/>
    <cellStyle name="Normal 5 6 3 2 5 2 2 2" xfId="16701" xr:uid="{00000000-0005-0000-0000-000047790000}"/>
    <cellStyle name="Normal 5 6 3 2 5 2 2 2 2" xfId="33016" xr:uid="{00000000-0005-0000-0000-000048790000}"/>
    <cellStyle name="Normal 5 6 3 2 5 2 2 3" xfId="26051" xr:uid="{00000000-0005-0000-0000-000049790000}"/>
    <cellStyle name="Normal 5 6 3 2 5 2 3" xfId="12780" xr:uid="{00000000-0005-0000-0000-00004A790000}"/>
    <cellStyle name="Normal 5 6 3 2 5 2 3 2" xfId="29355" xr:uid="{00000000-0005-0000-0000-00004B790000}"/>
    <cellStyle name="Normal 5 6 3 2 5 2 4" xfId="22751" xr:uid="{00000000-0005-0000-0000-00004C790000}"/>
    <cellStyle name="Normal 5 6 3 2 5 3" xfId="7817" xr:uid="{00000000-0005-0000-0000-00004D790000}"/>
    <cellStyle name="Normal 5 6 3 2 5 3 2" xfId="15080" xr:uid="{00000000-0005-0000-0000-00004E790000}"/>
    <cellStyle name="Normal 5 6 3 2 5 3 2 2" xfId="31395" xr:uid="{00000000-0005-0000-0000-00004F790000}"/>
    <cellStyle name="Normal 5 6 3 2 5 3 3" xfId="24430" xr:uid="{00000000-0005-0000-0000-000050790000}"/>
    <cellStyle name="Normal 5 6 3 2 5 4" xfId="11132" xr:uid="{00000000-0005-0000-0000-000051790000}"/>
    <cellStyle name="Normal 5 6 3 2 5 4 2" xfId="27730" xr:uid="{00000000-0005-0000-0000-000052790000}"/>
    <cellStyle name="Normal 5 6 3 2 5 5" xfId="4896" xr:uid="{00000000-0005-0000-0000-000053790000}"/>
    <cellStyle name="Normal 5 6 3 2 5 5 2" xfId="21619" xr:uid="{00000000-0005-0000-0000-000054790000}"/>
    <cellStyle name="Normal 5 6 3 2 5 6" xfId="20021" xr:uid="{00000000-0005-0000-0000-000055790000}"/>
    <cellStyle name="Normal 5 6 3 2 6" xfId="3279" xr:uid="{00000000-0005-0000-0000-000056790000}"/>
    <cellStyle name="Normal 5 6 3 2 6 2" xfId="8567" xr:uid="{00000000-0005-0000-0000-000057790000}"/>
    <cellStyle name="Normal 5 6 3 2 6 2 2" xfId="15830" xr:uid="{00000000-0005-0000-0000-000058790000}"/>
    <cellStyle name="Normal 5 6 3 2 6 2 2 2" xfId="32145" xr:uid="{00000000-0005-0000-0000-000059790000}"/>
    <cellStyle name="Normal 5 6 3 2 6 2 3" xfId="25180" xr:uid="{00000000-0005-0000-0000-00005A790000}"/>
    <cellStyle name="Normal 5 6 3 2 6 3" xfId="11909" xr:uid="{00000000-0005-0000-0000-00005B790000}"/>
    <cellStyle name="Normal 5 6 3 2 6 3 2" xfId="28484" xr:uid="{00000000-0005-0000-0000-00005C790000}"/>
    <cellStyle name="Normal 5 6 3 2 6 4" xfId="5216" xr:uid="{00000000-0005-0000-0000-00005D790000}"/>
    <cellStyle name="Normal 5 6 3 2 6 4 2" xfId="21880" xr:uid="{00000000-0005-0000-0000-00005E790000}"/>
    <cellStyle name="Normal 5 6 3 2 6 5" xfId="20006" xr:uid="{00000000-0005-0000-0000-00005F790000}"/>
    <cellStyle name="Normal 5 6 3 2 7" xfId="6948" xr:uid="{00000000-0005-0000-0000-000060790000}"/>
    <cellStyle name="Normal 5 6 3 2 7 2" xfId="14211" xr:uid="{00000000-0005-0000-0000-000061790000}"/>
    <cellStyle name="Normal 5 6 3 2 7 2 2" xfId="30526" xr:uid="{00000000-0005-0000-0000-000062790000}"/>
    <cellStyle name="Normal 5 6 3 2 7 3" xfId="23561" xr:uid="{00000000-0005-0000-0000-000063790000}"/>
    <cellStyle name="Normal 5 6 3 2 8" xfId="10262" xr:uid="{00000000-0005-0000-0000-000064790000}"/>
    <cellStyle name="Normal 5 6 3 2 8 2" xfId="26861" xr:uid="{00000000-0005-0000-0000-000065790000}"/>
    <cellStyle name="Normal 5 6 3 2 9" xfId="4881" xr:uid="{00000000-0005-0000-0000-000066790000}"/>
    <cellStyle name="Normal 5 6 3 2 9 2" xfId="21604" xr:uid="{00000000-0005-0000-0000-000067790000}"/>
    <cellStyle name="Normal 5 6 3 3" xfId="998" xr:uid="{00000000-0005-0000-0000-000068790000}"/>
    <cellStyle name="Normal 5 6 3 3 2" xfId="1256" xr:uid="{00000000-0005-0000-0000-000069790000}"/>
    <cellStyle name="Normal 5 6 3 3 2 2" xfId="1777" xr:uid="{00000000-0005-0000-0000-00006A790000}"/>
    <cellStyle name="Normal 5 6 3 3 2 2 2" xfId="3298" xr:uid="{00000000-0005-0000-0000-00006B790000}"/>
    <cellStyle name="Normal 5 6 3 3 2 2 2 2" xfId="6671" xr:uid="{00000000-0005-0000-0000-00006C790000}"/>
    <cellStyle name="Normal 5 6 3 3 2 2 2 2 2" xfId="10022" xr:uid="{00000000-0005-0000-0000-00006D790000}"/>
    <cellStyle name="Normal 5 6 3 3 2 2 2 2 2 2" xfId="17285" xr:uid="{00000000-0005-0000-0000-00006E790000}"/>
    <cellStyle name="Normal 5 6 3 3 2 2 2 2 2 2 2" xfId="33600" xr:uid="{00000000-0005-0000-0000-00006F790000}"/>
    <cellStyle name="Normal 5 6 3 3 2 2 2 2 2 3" xfId="26635" xr:uid="{00000000-0005-0000-0000-000070790000}"/>
    <cellStyle name="Normal 5 6 3 3 2 2 2 2 3" xfId="13364" xr:uid="{00000000-0005-0000-0000-000071790000}"/>
    <cellStyle name="Normal 5 6 3 3 2 2 2 2 3 2" xfId="29939" xr:uid="{00000000-0005-0000-0000-000072790000}"/>
    <cellStyle name="Normal 5 6 3 3 2 2 2 2 4" xfId="23335" xr:uid="{00000000-0005-0000-0000-000073790000}"/>
    <cellStyle name="Normal 5 6 3 3 2 2 2 3" xfId="8401" xr:uid="{00000000-0005-0000-0000-000074790000}"/>
    <cellStyle name="Normal 5 6 3 3 2 2 2 3 2" xfId="15664" xr:uid="{00000000-0005-0000-0000-000075790000}"/>
    <cellStyle name="Normal 5 6 3 3 2 2 2 3 2 2" xfId="31979" xr:uid="{00000000-0005-0000-0000-000076790000}"/>
    <cellStyle name="Normal 5 6 3 3 2 2 2 3 3" xfId="25014" xr:uid="{00000000-0005-0000-0000-000077790000}"/>
    <cellStyle name="Normal 5 6 3 3 2 2 2 4" xfId="11716" xr:uid="{00000000-0005-0000-0000-000078790000}"/>
    <cellStyle name="Normal 5 6 3 3 2 2 2 4 2" xfId="28314" xr:uid="{00000000-0005-0000-0000-000079790000}"/>
    <cellStyle name="Normal 5 6 3 3 2 2 2 5" xfId="4900" xr:uid="{00000000-0005-0000-0000-00007A790000}"/>
    <cellStyle name="Normal 5 6 3 3 2 2 2 5 2" xfId="21623" xr:uid="{00000000-0005-0000-0000-00007B790000}"/>
    <cellStyle name="Normal 5 6 3 3 2 2 2 6" xfId="20025" xr:uid="{00000000-0005-0000-0000-00007C790000}"/>
    <cellStyle name="Normal 5 6 3 3 2 2 3" xfId="3297" xr:uid="{00000000-0005-0000-0000-00007D790000}"/>
    <cellStyle name="Normal 5 6 3 3 2 2 3 2" xfId="9246" xr:uid="{00000000-0005-0000-0000-00007E790000}"/>
    <cellStyle name="Normal 5 6 3 3 2 2 3 2 2" xfId="16509" xr:uid="{00000000-0005-0000-0000-00007F790000}"/>
    <cellStyle name="Normal 5 6 3 3 2 2 3 2 2 2" xfId="32824" xr:uid="{00000000-0005-0000-0000-000080790000}"/>
    <cellStyle name="Normal 5 6 3 3 2 2 3 2 3" xfId="25859" xr:uid="{00000000-0005-0000-0000-000081790000}"/>
    <cellStyle name="Normal 5 6 3 3 2 2 3 3" xfId="12588" xr:uid="{00000000-0005-0000-0000-000082790000}"/>
    <cellStyle name="Normal 5 6 3 3 2 2 3 3 2" xfId="29163" xr:uid="{00000000-0005-0000-0000-000083790000}"/>
    <cellStyle name="Normal 5 6 3 3 2 2 3 4" xfId="5895" xr:uid="{00000000-0005-0000-0000-000084790000}"/>
    <cellStyle name="Normal 5 6 3 3 2 2 3 4 2" xfId="22559" xr:uid="{00000000-0005-0000-0000-000085790000}"/>
    <cellStyle name="Normal 5 6 3 3 2 2 3 5" xfId="20024" xr:uid="{00000000-0005-0000-0000-000086790000}"/>
    <cellStyle name="Normal 5 6 3 3 2 2 4" xfId="7625" xr:uid="{00000000-0005-0000-0000-000087790000}"/>
    <cellStyle name="Normal 5 6 3 3 2 2 4 2" xfId="14888" xr:uid="{00000000-0005-0000-0000-000088790000}"/>
    <cellStyle name="Normal 5 6 3 3 2 2 4 2 2" xfId="31203" xr:uid="{00000000-0005-0000-0000-000089790000}"/>
    <cellStyle name="Normal 5 6 3 3 2 2 4 3" xfId="24238" xr:uid="{00000000-0005-0000-0000-00008A790000}"/>
    <cellStyle name="Normal 5 6 3 3 2 2 5" xfId="10940" xr:uid="{00000000-0005-0000-0000-00008B790000}"/>
    <cellStyle name="Normal 5 6 3 3 2 2 5 2" xfId="27538" xr:uid="{00000000-0005-0000-0000-00008C790000}"/>
    <cellStyle name="Normal 5 6 3 3 2 2 6" xfId="4899" xr:uid="{00000000-0005-0000-0000-00008D790000}"/>
    <cellStyle name="Normal 5 6 3 3 2 2 6 2" xfId="21622" xr:uid="{00000000-0005-0000-0000-00008E790000}"/>
    <cellStyle name="Normal 5 6 3 3 2 2 7" xfId="18512" xr:uid="{00000000-0005-0000-0000-00008F790000}"/>
    <cellStyle name="Normal 5 6 3 3 2 3" xfId="3299" xr:uid="{00000000-0005-0000-0000-000090790000}"/>
    <cellStyle name="Normal 5 6 3 3 2 3 2" xfId="6301" xr:uid="{00000000-0005-0000-0000-000091790000}"/>
    <cellStyle name="Normal 5 6 3 3 2 3 2 2" xfId="9652" xr:uid="{00000000-0005-0000-0000-000092790000}"/>
    <cellStyle name="Normal 5 6 3 3 2 3 2 2 2" xfId="16915" xr:uid="{00000000-0005-0000-0000-000093790000}"/>
    <cellStyle name="Normal 5 6 3 3 2 3 2 2 2 2" xfId="33230" xr:uid="{00000000-0005-0000-0000-000094790000}"/>
    <cellStyle name="Normal 5 6 3 3 2 3 2 2 3" xfId="26265" xr:uid="{00000000-0005-0000-0000-000095790000}"/>
    <cellStyle name="Normal 5 6 3 3 2 3 2 3" xfId="12994" xr:uid="{00000000-0005-0000-0000-000096790000}"/>
    <cellStyle name="Normal 5 6 3 3 2 3 2 3 2" xfId="29569" xr:uid="{00000000-0005-0000-0000-000097790000}"/>
    <cellStyle name="Normal 5 6 3 3 2 3 2 4" xfId="22965" xr:uid="{00000000-0005-0000-0000-000098790000}"/>
    <cellStyle name="Normal 5 6 3 3 2 3 3" xfId="8031" xr:uid="{00000000-0005-0000-0000-000099790000}"/>
    <cellStyle name="Normal 5 6 3 3 2 3 3 2" xfId="15294" xr:uid="{00000000-0005-0000-0000-00009A790000}"/>
    <cellStyle name="Normal 5 6 3 3 2 3 3 2 2" xfId="31609" xr:uid="{00000000-0005-0000-0000-00009B790000}"/>
    <cellStyle name="Normal 5 6 3 3 2 3 3 3" xfId="24644" xr:uid="{00000000-0005-0000-0000-00009C790000}"/>
    <cellStyle name="Normal 5 6 3 3 2 3 4" xfId="11346" xr:uid="{00000000-0005-0000-0000-00009D790000}"/>
    <cellStyle name="Normal 5 6 3 3 2 3 4 2" xfId="27944" xr:uid="{00000000-0005-0000-0000-00009E790000}"/>
    <cellStyle name="Normal 5 6 3 3 2 3 5" xfId="4901" xr:uid="{00000000-0005-0000-0000-00009F790000}"/>
    <cellStyle name="Normal 5 6 3 3 2 3 5 2" xfId="21624" xr:uid="{00000000-0005-0000-0000-0000A0790000}"/>
    <cellStyle name="Normal 5 6 3 3 2 3 6" xfId="20026" xr:uid="{00000000-0005-0000-0000-0000A1790000}"/>
    <cellStyle name="Normal 5 6 3 3 2 4" xfId="3296" xr:uid="{00000000-0005-0000-0000-0000A2790000}"/>
    <cellStyle name="Normal 5 6 3 3 2 4 2" xfId="8839" xr:uid="{00000000-0005-0000-0000-0000A3790000}"/>
    <cellStyle name="Normal 5 6 3 3 2 4 2 2" xfId="16102" xr:uid="{00000000-0005-0000-0000-0000A4790000}"/>
    <cellStyle name="Normal 5 6 3 3 2 4 2 2 2" xfId="32417" xr:uid="{00000000-0005-0000-0000-0000A5790000}"/>
    <cellStyle name="Normal 5 6 3 3 2 4 2 3" xfId="25452" xr:uid="{00000000-0005-0000-0000-0000A6790000}"/>
    <cellStyle name="Normal 5 6 3 3 2 4 3" xfId="12181" xr:uid="{00000000-0005-0000-0000-0000A7790000}"/>
    <cellStyle name="Normal 5 6 3 3 2 4 3 2" xfId="28756" xr:uid="{00000000-0005-0000-0000-0000A8790000}"/>
    <cellStyle name="Normal 5 6 3 3 2 4 4" xfId="5488" xr:uid="{00000000-0005-0000-0000-0000A9790000}"/>
    <cellStyle name="Normal 5 6 3 3 2 4 4 2" xfId="22152" xr:uid="{00000000-0005-0000-0000-0000AA790000}"/>
    <cellStyle name="Normal 5 6 3 3 2 4 5" xfId="20023" xr:uid="{00000000-0005-0000-0000-0000AB790000}"/>
    <cellStyle name="Normal 5 6 3 3 2 5" xfId="7219" xr:uid="{00000000-0005-0000-0000-0000AC790000}"/>
    <cellStyle name="Normal 5 6 3 3 2 5 2" xfId="14482" xr:uid="{00000000-0005-0000-0000-0000AD790000}"/>
    <cellStyle name="Normal 5 6 3 3 2 5 2 2" xfId="30797" xr:uid="{00000000-0005-0000-0000-0000AE790000}"/>
    <cellStyle name="Normal 5 6 3 3 2 5 3" xfId="23832" xr:uid="{00000000-0005-0000-0000-0000AF790000}"/>
    <cellStyle name="Normal 5 6 3 3 2 6" xfId="10534" xr:uid="{00000000-0005-0000-0000-0000B0790000}"/>
    <cellStyle name="Normal 5 6 3 3 2 6 2" xfId="27132" xr:uid="{00000000-0005-0000-0000-0000B1790000}"/>
    <cellStyle name="Normal 5 6 3 3 2 7" xfId="4898" xr:uid="{00000000-0005-0000-0000-0000B2790000}"/>
    <cellStyle name="Normal 5 6 3 3 2 7 2" xfId="21621" xr:uid="{00000000-0005-0000-0000-0000B3790000}"/>
    <cellStyle name="Normal 5 6 3 3 2 8" xfId="17993" xr:uid="{00000000-0005-0000-0000-0000B4790000}"/>
    <cellStyle name="Normal 5 6 3 3 3" xfId="1559" xr:uid="{00000000-0005-0000-0000-0000B5790000}"/>
    <cellStyle name="Normal 5 6 3 3 3 2" xfId="3301" xr:uid="{00000000-0005-0000-0000-0000B6790000}"/>
    <cellStyle name="Normal 5 6 3 3 3 2 2" xfId="6495" xr:uid="{00000000-0005-0000-0000-0000B7790000}"/>
    <cellStyle name="Normal 5 6 3 3 3 2 2 2" xfId="9846" xr:uid="{00000000-0005-0000-0000-0000B8790000}"/>
    <cellStyle name="Normal 5 6 3 3 3 2 2 2 2" xfId="17109" xr:uid="{00000000-0005-0000-0000-0000B9790000}"/>
    <cellStyle name="Normal 5 6 3 3 3 2 2 2 2 2" xfId="33424" xr:uid="{00000000-0005-0000-0000-0000BA790000}"/>
    <cellStyle name="Normal 5 6 3 3 3 2 2 2 3" xfId="26459" xr:uid="{00000000-0005-0000-0000-0000BB790000}"/>
    <cellStyle name="Normal 5 6 3 3 3 2 2 3" xfId="13188" xr:uid="{00000000-0005-0000-0000-0000BC790000}"/>
    <cellStyle name="Normal 5 6 3 3 3 2 2 3 2" xfId="29763" xr:uid="{00000000-0005-0000-0000-0000BD790000}"/>
    <cellStyle name="Normal 5 6 3 3 3 2 2 4" xfId="23159" xr:uid="{00000000-0005-0000-0000-0000BE790000}"/>
    <cellStyle name="Normal 5 6 3 3 3 2 3" xfId="8225" xr:uid="{00000000-0005-0000-0000-0000BF790000}"/>
    <cellStyle name="Normal 5 6 3 3 3 2 3 2" xfId="15488" xr:uid="{00000000-0005-0000-0000-0000C0790000}"/>
    <cellStyle name="Normal 5 6 3 3 3 2 3 2 2" xfId="31803" xr:uid="{00000000-0005-0000-0000-0000C1790000}"/>
    <cellStyle name="Normal 5 6 3 3 3 2 3 3" xfId="24838" xr:uid="{00000000-0005-0000-0000-0000C2790000}"/>
    <cellStyle name="Normal 5 6 3 3 3 2 4" xfId="11540" xr:uid="{00000000-0005-0000-0000-0000C3790000}"/>
    <cellStyle name="Normal 5 6 3 3 3 2 4 2" xfId="28138" xr:uid="{00000000-0005-0000-0000-0000C4790000}"/>
    <cellStyle name="Normal 5 6 3 3 3 2 5" xfId="4903" xr:uid="{00000000-0005-0000-0000-0000C5790000}"/>
    <cellStyle name="Normal 5 6 3 3 3 2 5 2" xfId="21626" xr:uid="{00000000-0005-0000-0000-0000C6790000}"/>
    <cellStyle name="Normal 5 6 3 3 3 2 6" xfId="20028" xr:uid="{00000000-0005-0000-0000-0000C7790000}"/>
    <cellStyle name="Normal 5 6 3 3 3 3" xfId="3300" xr:uid="{00000000-0005-0000-0000-0000C8790000}"/>
    <cellStyle name="Normal 5 6 3 3 3 3 2" xfId="9034" xr:uid="{00000000-0005-0000-0000-0000C9790000}"/>
    <cellStyle name="Normal 5 6 3 3 3 3 2 2" xfId="16297" xr:uid="{00000000-0005-0000-0000-0000CA790000}"/>
    <cellStyle name="Normal 5 6 3 3 3 3 2 2 2" xfId="32612" xr:uid="{00000000-0005-0000-0000-0000CB790000}"/>
    <cellStyle name="Normal 5 6 3 3 3 3 2 3" xfId="25647" xr:uid="{00000000-0005-0000-0000-0000CC790000}"/>
    <cellStyle name="Normal 5 6 3 3 3 3 3" xfId="12376" xr:uid="{00000000-0005-0000-0000-0000CD790000}"/>
    <cellStyle name="Normal 5 6 3 3 3 3 3 2" xfId="28951" xr:uid="{00000000-0005-0000-0000-0000CE790000}"/>
    <cellStyle name="Normal 5 6 3 3 3 3 4" xfId="5683" xr:uid="{00000000-0005-0000-0000-0000CF790000}"/>
    <cellStyle name="Normal 5 6 3 3 3 3 4 2" xfId="22347" xr:uid="{00000000-0005-0000-0000-0000D0790000}"/>
    <cellStyle name="Normal 5 6 3 3 3 3 5" xfId="20027" xr:uid="{00000000-0005-0000-0000-0000D1790000}"/>
    <cellStyle name="Normal 5 6 3 3 3 4" xfId="7413" xr:uid="{00000000-0005-0000-0000-0000D2790000}"/>
    <cellStyle name="Normal 5 6 3 3 3 4 2" xfId="14676" xr:uid="{00000000-0005-0000-0000-0000D3790000}"/>
    <cellStyle name="Normal 5 6 3 3 3 4 2 2" xfId="30991" xr:uid="{00000000-0005-0000-0000-0000D4790000}"/>
    <cellStyle name="Normal 5 6 3 3 3 4 3" xfId="24026" xr:uid="{00000000-0005-0000-0000-0000D5790000}"/>
    <cellStyle name="Normal 5 6 3 3 3 5" xfId="10728" xr:uid="{00000000-0005-0000-0000-0000D6790000}"/>
    <cellStyle name="Normal 5 6 3 3 3 5 2" xfId="27326" xr:uid="{00000000-0005-0000-0000-0000D7790000}"/>
    <cellStyle name="Normal 5 6 3 3 3 6" xfId="4902" xr:uid="{00000000-0005-0000-0000-0000D8790000}"/>
    <cellStyle name="Normal 5 6 3 3 3 6 2" xfId="21625" xr:uid="{00000000-0005-0000-0000-0000D9790000}"/>
    <cellStyle name="Normal 5 6 3 3 3 7" xfId="18294" xr:uid="{00000000-0005-0000-0000-0000DA790000}"/>
    <cellStyle name="Normal 5 6 3 3 4" xfId="3302" xr:uid="{00000000-0005-0000-0000-0000DB790000}"/>
    <cellStyle name="Normal 5 6 3 3 4 2" xfId="6089" xr:uid="{00000000-0005-0000-0000-0000DC790000}"/>
    <cellStyle name="Normal 5 6 3 3 4 2 2" xfId="9440" xr:uid="{00000000-0005-0000-0000-0000DD790000}"/>
    <cellStyle name="Normal 5 6 3 3 4 2 2 2" xfId="16703" xr:uid="{00000000-0005-0000-0000-0000DE790000}"/>
    <cellStyle name="Normal 5 6 3 3 4 2 2 2 2" xfId="33018" xr:uid="{00000000-0005-0000-0000-0000DF790000}"/>
    <cellStyle name="Normal 5 6 3 3 4 2 2 3" xfId="26053" xr:uid="{00000000-0005-0000-0000-0000E0790000}"/>
    <cellStyle name="Normal 5 6 3 3 4 2 3" xfId="12782" xr:uid="{00000000-0005-0000-0000-0000E1790000}"/>
    <cellStyle name="Normal 5 6 3 3 4 2 3 2" xfId="29357" xr:uid="{00000000-0005-0000-0000-0000E2790000}"/>
    <cellStyle name="Normal 5 6 3 3 4 2 4" xfId="22753" xr:uid="{00000000-0005-0000-0000-0000E3790000}"/>
    <cellStyle name="Normal 5 6 3 3 4 3" xfId="7819" xr:uid="{00000000-0005-0000-0000-0000E4790000}"/>
    <cellStyle name="Normal 5 6 3 3 4 3 2" xfId="15082" xr:uid="{00000000-0005-0000-0000-0000E5790000}"/>
    <cellStyle name="Normal 5 6 3 3 4 3 2 2" xfId="31397" xr:uid="{00000000-0005-0000-0000-0000E6790000}"/>
    <cellStyle name="Normal 5 6 3 3 4 3 3" xfId="24432" xr:uid="{00000000-0005-0000-0000-0000E7790000}"/>
    <cellStyle name="Normal 5 6 3 3 4 4" xfId="11134" xr:uid="{00000000-0005-0000-0000-0000E8790000}"/>
    <cellStyle name="Normal 5 6 3 3 4 4 2" xfId="27732" xr:uid="{00000000-0005-0000-0000-0000E9790000}"/>
    <cellStyle name="Normal 5 6 3 3 4 5" xfId="4904" xr:uid="{00000000-0005-0000-0000-0000EA790000}"/>
    <cellStyle name="Normal 5 6 3 3 4 5 2" xfId="21627" xr:uid="{00000000-0005-0000-0000-0000EB790000}"/>
    <cellStyle name="Normal 5 6 3 3 4 6" xfId="20029" xr:uid="{00000000-0005-0000-0000-0000EC790000}"/>
    <cellStyle name="Normal 5 6 3 3 5" xfId="3295" xr:uid="{00000000-0005-0000-0000-0000ED790000}"/>
    <cellStyle name="Normal 5 6 3 3 5 2" xfId="8620" xr:uid="{00000000-0005-0000-0000-0000EE790000}"/>
    <cellStyle name="Normal 5 6 3 3 5 2 2" xfId="15883" xr:uid="{00000000-0005-0000-0000-0000EF790000}"/>
    <cellStyle name="Normal 5 6 3 3 5 2 2 2" xfId="32198" xr:uid="{00000000-0005-0000-0000-0000F0790000}"/>
    <cellStyle name="Normal 5 6 3 3 5 2 3" xfId="25233" xr:uid="{00000000-0005-0000-0000-0000F1790000}"/>
    <cellStyle name="Normal 5 6 3 3 5 3" xfId="11962" xr:uid="{00000000-0005-0000-0000-0000F2790000}"/>
    <cellStyle name="Normal 5 6 3 3 5 3 2" xfId="28537" xr:uid="{00000000-0005-0000-0000-0000F3790000}"/>
    <cellStyle name="Normal 5 6 3 3 5 4" xfId="5269" xr:uid="{00000000-0005-0000-0000-0000F4790000}"/>
    <cellStyle name="Normal 5 6 3 3 5 4 2" xfId="21933" xr:uid="{00000000-0005-0000-0000-0000F5790000}"/>
    <cellStyle name="Normal 5 6 3 3 5 5" xfId="20022" xr:uid="{00000000-0005-0000-0000-0000F6790000}"/>
    <cellStyle name="Normal 5 6 3 3 6" xfId="7001" xr:uid="{00000000-0005-0000-0000-0000F7790000}"/>
    <cellStyle name="Normal 5 6 3 3 6 2" xfId="14264" xr:uid="{00000000-0005-0000-0000-0000F8790000}"/>
    <cellStyle name="Normal 5 6 3 3 6 2 2" xfId="30579" xr:uid="{00000000-0005-0000-0000-0000F9790000}"/>
    <cellStyle name="Normal 5 6 3 3 6 3" xfId="23614" xr:uid="{00000000-0005-0000-0000-0000FA790000}"/>
    <cellStyle name="Normal 5 6 3 3 7" xfId="10315" xr:uid="{00000000-0005-0000-0000-0000FB790000}"/>
    <cellStyle name="Normal 5 6 3 3 7 2" xfId="26914" xr:uid="{00000000-0005-0000-0000-0000FC790000}"/>
    <cellStyle name="Normal 5 6 3 3 8" xfId="4897" xr:uid="{00000000-0005-0000-0000-0000FD790000}"/>
    <cellStyle name="Normal 5 6 3 3 8 2" xfId="21620" xr:uid="{00000000-0005-0000-0000-0000FE790000}"/>
    <cellStyle name="Normal 5 6 3 3 9" xfId="17775" xr:uid="{00000000-0005-0000-0000-0000FF790000}"/>
    <cellStyle name="Normal 5 6 3 4" xfId="1253" xr:uid="{00000000-0005-0000-0000-0000007A0000}"/>
    <cellStyle name="Normal 5 6 3 4 2" xfId="1774" xr:uid="{00000000-0005-0000-0000-0000017A0000}"/>
    <cellStyle name="Normal 5 6 3 4 2 2" xfId="3305" xr:uid="{00000000-0005-0000-0000-0000027A0000}"/>
    <cellStyle name="Normal 5 6 3 4 2 2 2" xfId="6668" xr:uid="{00000000-0005-0000-0000-0000037A0000}"/>
    <cellStyle name="Normal 5 6 3 4 2 2 2 2" xfId="10019" xr:uid="{00000000-0005-0000-0000-0000047A0000}"/>
    <cellStyle name="Normal 5 6 3 4 2 2 2 2 2" xfId="17282" xr:uid="{00000000-0005-0000-0000-0000057A0000}"/>
    <cellStyle name="Normal 5 6 3 4 2 2 2 2 2 2" xfId="33597" xr:uid="{00000000-0005-0000-0000-0000067A0000}"/>
    <cellStyle name="Normal 5 6 3 4 2 2 2 2 3" xfId="26632" xr:uid="{00000000-0005-0000-0000-0000077A0000}"/>
    <cellStyle name="Normal 5 6 3 4 2 2 2 3" xfId="13361" xr:uid="{00000000-0005-0000-0000-0000087A0000}"/>
    <cellStyle name="Normal 5 6 3 4 2 2 2 3 2" xfId="29936" xr:uid="{00000000-0005-0000-0000-0000097A0000}"/>
    <cellStyle name="Normal 5 6 3 4 2 2 2 4" xfId="23332" xr:uid="{00000000-0005-0000-0000-00000A7A0000}"/>
    <cellStyle name="Normal 5 6 3 4 2 2 3" xfId="8398" xr:uid="{00000000-0005-0000-0000-00000B7A0000}"/>
    <cellStyle name="Normal 5 6 3 4 2 2 3 2" xfId="15661" xr:uid="{00000000-0005-0000-0000-00000C7A0000}"/>
    <cellStyle name="Normal 5 6 3 4 2 2 3 2 2" xfId="31976" xr:uid="{00000000-0005-0000-0000-00000D7A0000}"/>
    <cellStyle name="Normal 5 6 3 4 2 2 3 3" xfId="25011" xr:uid="{00000000-0005-0000-0000-00000E7A0000}"/>
    <cellStyle name="Normal 5 6 3 4 2 2 4" xfId="11713" xr:uid="{00000000-0005-0000-0000-00000F7A0000}"/>
    <cellStyle name="Normal 5 6 3 4 2 2 4 2" xfId="28311" xr:uid="{00000000-0005-0000-0000-0000107A0000}"/>
    <cellStyle name="Normal 5 6 3 4 2 2 5" xfId="4907" xr:uid="{00000000-0005-0000-0000-0000117A0000}"/>
    <cellStyle name="Normal 5 6 3 4 2 2 5 2" xfId="21630" xr:uid="{00000000-0005-0000-0000-0000127A0000}"/>
    <cellStyle name="Normal 5 6 3 4 2 2 6" xfId="20032" xr:uid="{00000000-0005-0000-0000-0000137A0000}"/>
    <cellStyle name="Normal 5 6 3 4 2 3" xfId="3304" xr:uid="{00000000-0005-0000-0000-0000147A0000}"/>
    <cellStyle name="Normal 5 6 3 4 2 3 2" xfId="9243" xr:uid="{00000000-0005-0000-0000-0000157A0000}"/>
    <cellStyle name="Normal 5 6 3 4 2 3 2 2" xfId="16506" xr:uid="{00000000-0005-0000-0000-0000167A0000}"/>
    <cellStyle name="Normal 5 6 3 4 2 3 2 2 2" xfId="32821" xr:uid="{00000000-0005-0000-0000-0000177A0000}"/>
    <cellStyle name="Normal 5 6 3 4 2 3 2 3" xfId="25856" xr:uid="{00000000-0005-0000-0000-0000187A0000}"/>
    <cellStyle name="Normal 5 6 3 4 2 3 3" xfId="12585" xr:uid="{00000000-0005-0000-0000-0000197A0000}"/>
    <cellStyle name="Normal 5 6 3 4 2 3 3 2" xfId="29160" xr:uid="{00000000-0005-0000-0000-00001A7A0000}"/>
    <cellStyle name="Normal 5 6 3 4 2 3 4" xfId="5892" xr:uid="{00000000-0005-0000-0000-00001B7A0000}"/>
    <cellStyle name="Normal 5 6 3 4 2 3 4 2" xfId="22556" xr:uid="{00000000-0005-0000-0000-00001C7A0000}"/>
    <cellStyle name="Normal 5 6 3 4 2 3 5" xfId="20031" xr:uid="{00000000-0005-0000-0000-00001D7A0000}"/>
    <cellStyle name="Normal 5 6 3 4 2 4" xfId="7622" xr:uid="{00000000-0005-0000-0000-00001E7A0000}"/>
    <cellStyle name="Normal 5 6 3 4 2 4 2" xfId="14885" xr:uid="{00000000-0005-0000-0000-00001F7A0000}"/>
    <cellStyle name="Normal 5 6 3 4 2 4 2 2" xfId="31200" xr:uid="{00000000-0005-0000-0000-0000207A0000}"/>
    <cellStyle name="Normal 5 6 3 4 2 4 3" xfId="24235" xr:uid="{00000000-0005-0000-0000-0000217A0000}"/>
    <cellStyle name="Normal 5 6 3 4 2 5" xfId="10937" xr:uid="{00000000-0005-0000-0000-0000227A0000}"/>
    <cellStyle name="Normal 5 6 3 4 2 5 2" xfId="27535" xr:uid="{00000000-0005-0000-0000-0000237A0000}"/>
    <cellStyle name="Normal 5 6 3 4 2 6" xfId="4906" xr:uid="{00000000-0005-0000-0000-0000247A0000}"/>
    <cellStyle name="Normal 5 6 3 4 2 6 2" xfId="21629" xr:uid="{00000000-0005-0000-0000-0000257A0000}"/>
    <cellStyle name="Normal 5 6 3 4 2 7" xfId="18509" xr:uid="{00000000-0005-0000-0000-0000267A0000}"/>
    <cellStyle name="Normal 5 6 3 4 3" xfId="3306" xr:uid="{00000000-0005-0000-0000-0000277A0000}"/>
    <cellStyle name="Normal 5 6 3 4 3 2" xfId="6298" xr:uid="{00000000-0005-0000-0000-0000287A0000}"/>
    <cellStyle name="Normal 5 6 3 4 3 2 2" xfId="9649" xr:uid="{00000000-0005-0000-0000-0000297A0000}"/>
    <cellStyle name="Normal 5 6 3 4 3 2 2 2" xfId="16912" xr:uid="{00000000-0005-0000-0000-00002A7A0000}"/>
    <cellStyle name="Normal 5 6 3 4 3 2 2 2 2" xfId="33227" xr:uid="{00000000-0005-0000-0000-00002B7A0000}"/>
    <cellStyle name="Normal 5 6 3 4 3 2 2 3" xfId="26262" xr:uid="{00000000-0005-0000-0000-00002C7A0000}"/>
    <cellStyle name="Normal 5 6 3 4 3 2 3" xfId="12991" xr:uid="{00000000-0005-0000-0000-00002D7A0000}"/>
    <cellStyle name="Normal 5 6 3 4 3 2 3 2" xfId="29566" xr:uid="{00000000-0005-0000-0000-00002E7A0000}"/>
    <cellStyle name="Normal 5 6 3 4 3 2 4" xfId="22962" xr:uid="{00000000-0005-0000-0000-00002F7A0000}"/>
    <cellStyle name="Normal 5 6 3 4 3 3" xfId="8028" xr:uid="{00000000-0005-0000-0000-0000307A0000}"/>
    <cellStyle name="Normal 5 6 3 4 3 3 2" xfId="15291" xr:uid="{00000000-0005-0000-0000-0000317A0000}"/>
    <cellStyle name="Normal 5 6 3 4 3 3 2 2" xfId="31606" xr:uid="{00000000-0005-0000-0000-0000327A0000}"/>
    <cellStyle name="Normal 5 6 3 4 3 3 3" xfId="24641" xr:uid="{00000000-0005-0000-0000-0000337A0000}"/>
    <cellStyle name="Normal 5 6 3 4 3 4" xfId="11343" xr:uid="{00000000-0005-0000-0000-0000347A0000}"/>
    <cellStyle name="Normal 5 6 3 4 3 4 2" xfId="27941" xr:uid="{00000000-0005-0000-0000-0000357A0000}"/>
    <cellStyle name="Normal 5 6 3 4 3 5" xfId="4908" xr:uid="{00000000-0005-0000-0000-0000367A0000}"/>
    <cellStyle name="Normal 5 6 3 4 3 5 2" xfId="21631" xr:uid="{00000000-0005-0000-0000-0000377A0000}"/>
    <cellStyle name="Normal 5 6 3 4 3 6" xfId="20033" xr:uid="{00000000-0005-0000-0000-0000387A0000}"/>
    <cellStyle name="Normal 5 6 3 4 4" xfId="3303" xr:uid="{00000000-0005-0000-0000-0000397A0000}"/>
    <cellStyle name="Normal 5 6 3 4 4 2" xfId="8836" xr:uid="{00000000-0005-0000-0000-00003A7A0000}"/>
    <cellStyle name="Normal 5 6 3 4 4 2 2" xfId="16099" xr:uid="{00000000-0005-0000-0000-00003B7A0000}"/>
    <cellStyle name="Normal 5 6 3 4 4 2 2 2" xfId="32414" xr:uid="{00000000-0005-0000-0000-00003C7A0000}"/>
    <cellStyle name="Normal 5 6 3 4 4 2 3" xfId="25449" xr:uid="{00000000-0005-0000-0000-00003D7A0000}"/>
    <cellStyle name="Normal 5 6 3 4 4 3" xfId="12178" xr:uid="{00000000-0005-0000-0000-00003E7A0000}"/>
    <cellStyle name="Normal 5 6 3 4 4 3 2" xfId="28753" xr:uid="{00000000-0005-0000-0000-00003F7A0000}"/>
    <cellStyle name="Normal 5 6 3 4 4 4" xfId="5485" xr:uid="{00000000-0005-0000-0000-0000407A0000}"/>
    <cellStyle name="Normal 5 6 3 4 4 4 2" xfId="22149" xr:uid="{00000000-0005-0000-0000-0000417A0000}"/>
    <cellStyle name="Normal 5 6 3 4 4 5" xfId="20030" xr:uid="{00000000-0005-0000-0000-0000427A0000}"/>
    <cellStyle name="Normal 5 6 3 4 5" xfId="7216" xr:uid="{00000000-0005-0000-0000-0000437A0000}"/>
    <cellStyle name="Normal 5 6 3 4 5 2" xfId="14479" xr:uid="{00000000-0005-0000-0000-0000447A0000}"/>
    <cellStyle name="Normal 5 6 3 4 5 2 2" xfId="30794" xr:uid="{00000000-0005-0000-0000-0000457A0000}"/>
    <cellStyle name="Normal 5 6 3 4 5 3" xfId="23829" xr:uid="{00000000-0005-0000-0000-0000467A0000}"/>
    <cellStyle name="Normal 5 6 3 4 6" xfId="10531" xr:uid="{00000000-0005-0000-0000-0000477A0000}"/>
    <cellStyle name="Normal 5 6 3 4 6 2" xfId="27129" xr:uid="{00000000-0005-0000-0000-0000487A0000}"/>
    <cellStyle name="Normal 5 6 3 4 7" xfId="4905" xr:uid="{00000000-0005-0000-0000-0000497A0000}"/>
    <cellStyle name="Normal 5 6 3 4 7 2" xfId="21628" xr:uid="{00000000-0005-0000-0000-00004A7A0000}"/>
    <cellStyle name="Normal 5 6 3 4 8" xfId="17990" xr:uid="{00000000-0005-0000-0000-00004B7A0000}"/>
    <cellStyle name="Normal 5 6 3 5" xfId="1453" xr:uid="{00000000-0005-0000-0000-00004C7A0000}"/>
    <cellStyle name="Normal 5 6 3 5 2" xfId="3308" xr:uid="{00000000-0005-0000-0000-00004D7A0000}"/>
    <cellStyle name="Normal 5 6 3 5 2 2" xfId="6492" xr:uid="{00000000-0005-0000-0000-00004E7A0000}"/>
    <cellStyle name="Normal 5 6 3 5 2 2 2" xfId="9843" xr:uid="{00000000-0005-0000-0000-00004F7A0000}"/>
    <cellStyle name="Normal 5 6 3 5 2 2 2 2" xfId="17106" xr:uid="{00000000-0005-0000-0000-0000507A0000}"/>
    <cellStyle name="Normal 5 6 3 5 2 2 2 2 2" xfId="33421" xr:uid="{00000000-0005-0000-0000-0000517A0000}"/>
    <cellStyle name="Normal 5 6 3 5 2 2 2 3" xfId="26456" xr:uid="{00000000-0005-0000-0000-0000527A0000}"/>
    <cellStyle name="Normal 5 6 3 5 2 2 3" xfId="13185" xr:uid="{00000000-0005-0000-0000-0000537A0000}"/>
    <cellStyle name="Normal 5 6 3 5 2 2 3 2" xfId="29760" xr:uid="{00000000-0005-0000-0000-0000547A0000}"/>
    <cellStyle name="Normal 5 6 3 5 2 2 4" xfId="23156" xr:uid="{00000000-0005-0000-0000-0000557A0000}"/>
    <cellStyle name="Normal 5 6 3 5 2 3" xfId="8222" xr:uid="{00000000-0005-0000-0000-0000567A0000}"/>
    <cellStyle name="Normal 5 6 3 5 2 3 2" xfId="15485" xr:uid="{00000000-0005-0000-0000-0000577A0000}"/>
    <cellStyle name="Normal 5 6 3 5 2 3 2 2" xfId="31800" xr:uid="{00000000-0005-0000-0000-0000587A0000}"/>
    <cellStyle name="Normal 5 6 3 5 2 3 3" xfId="24835" xr:uid="{00000000-0005-0000-0000-0000597A0000}"/>
    <cellStyle name="Normal 5 6 3 5 2 4" xfId="11537" xr:uid="{00000000-0005-0000-0000-00005A7A0000}"/>
    <cellStyle name="Normal 5 6 3 5 2 4 2" xfId="28135" xr:uid="{00000000-0005-0000-0000-00005B7A0000}"/>
    <cellStyle name="Normal 5 6 3 5 2 5" xfId="4910" xr:uid="{00000000-0005-0000-0000-00005C7A0000}"/>
    <cellStyle name="Normal 5 6 3 5 2 5 2" xfId="21633" xr:uid="{00000000-0005-0000-0000-00005D7A0000}"/>
    <cellStyle name="Normal 5 6 3 5 2 6" xfId="20035" xr:uid="{00000000-0005-0000-0000-00005E7A0000}"/>
    <cellStyle name="Normal 5 6 3 5 3" xfId="3307" xr:uid="{00000000-0005-0000-0000-00005F7A0000}"/>
    <cellStyle name="Normal 5 6 3 5 3 2" xfId="9031" xr:uid="{00000000-0005-0000-0000-0000607A0000}"/>
    <cellStyle name="Normal 5 6 3 5 3 2 2" xfId="16294" xr:uid="{00000000-0005-0000-0000-0000617A0000}"/>
    <cellStyle name="Normal 5 6 3 5 3 2 2 2" xfId="32609" xr:uid="{00000000-0005-0000-0000-0000627A0000}"/>
    <cellStyle name="Normal 5 6 3 5 3 2 3" xfId="25644" xr:uid="{00000000-0005-0000-0000-0000637A0000}"/>
    <cellStyle name="Normal 5 6 3 5 3 3" xfId="12373" xr:uid="{00000000-0005-0000-0000-0000647A0000}"/>
    <cellStyle name="Normal 5 6 3 5 3 3 2" xfId="28948" xr:uid="{00000000-0005-0000-0000-0000657A0000}"/>
    <cellStyle name="Normal 5 6 3 5 3 4" xfId="5680" xr:uid="{00000000-0005-0000-0000-0000667A0000}"/>
    <cellStyle name="Normal 5 6 3 5 3 4 2" xfId="22344" xr:uid="{00000000-0005-0000-0000-0000677A0000}"/>
    <cellStyle name="Normal 5 6 3 5 3 5" xfId="20034" xr:uid="{00000000-0005-0000-0000-0000687A0000}"/>
    <cellStyle name="Normal 5 6 3 5 4" xfId="7410" xr:uid="{00000000-0005-0000-0000-0000697A0000}"/>
    <cellStyle name="Normal 5 6 3 5 4 2" xfId="14673" xr:uid="{00000000-0005-0000-0000-00006A7A0000}"/>
    <cellStyle name="Normal 5 6 3 5 4 2 2" xfId="30988" xr:uid="{00000000-0005-0000-0000-00006B7A0000}"/>
    <cellStyle name="Normal 5 6 3 5 4 3" xfId="24023" xr:uid="{00000000-0005-0000-0000-00006C7A0000}"/>
    <cellStyle name="Normal 5 6 3 5 5" xfId="10725" xr:uid="{00000000-0005-0000-0000-00006D7A0000}"/>
    <cellStyle name="Normal 5 6 3 5 5 2" xfId="27323" xr:uid="{00000000-0005-0000-0000-00006E7A0000}"/>
    <cellStyle name="Normal 5 6 3 5 6" xfId="4909" xr:uid="{00000000-0005-0000-0000-00006F7A0000}"/>
    <cellStyle name="Normal 5 6 3 5 6 2" xfId="21632" xr:uid="{00000000-0005-0000-0000-0000707A0000}"/>
    <cellStyle name="Normal 5 6 3 5 7" xfId="18188" xr:uid="{00000000-0005-0000-0000-0000717A0000}"/>
    <cellStyle name="Normal 5 6 3 6" xfId="3309" xr:uid="{00000000-0005-0000-0000-0000727A0000}"/>
    <cellStyle name="Normal 5 6 3 6 2" xfId="6086" xr:uid="{00000000-0005-0000-0000-0000737A0000}"/>
    <cellStyle name="Normal 5 6 3 6 2 2" xfId="9437" xr:uid="{00000000-0005-0000-0000-0000747A0000}"/>
    <cellStyle name="Normal 5 6 3 6 2 2 2" xfId="16700" xr:uid="{00000000-0005-0000-0000-0000757A0000}"/>
    <cellStyle name="Normal 5 6 3 6 2 2 2 2" xfId="33015" xr:uid="{00000000-0005-0000-0000-0000767A0000}"/>
    <cellStyle name="Normal 5 6 3 6 2 2 3" xfId="26050" xr:uid="{00000000-0005-0000-0000-0000777A0000}"/>
    <cellStyle name="Normal 5 6 3 6 2 3" xfId="12779" xr:uid="{00000000-0005-0000-0000-0000787A0000}"/>
    <cellStyle name="Normal 5 6 3 6 2 3 2" xfId="29354" xr:uid="{00000000-0005-0000-0000-0000797A0000}"/>
    <cellStyle name="Normal 5 6 3 6 2 4" xfId="22750" xr:uid="{00000000-0005-0000-0000-00007A7A0000}"/>
    <cellStyle name="Normal 5 6 3 6 3" xfId="7816" xr:uid="{00000000-0005-0000-0000-00007B7A0000}"/>
    <cellStyle name="Normal 5 6 3 6 3 2" xfId="15079" xr:uid="{00000000-0005-0000-0000-00007C7A0000}"/>
    <cellStyle name="Normal 5 6 3 6 3 2 2" xfId="31394" xr:uid="{00000000-0005-0000-0000-00007D7A0000}"/>
    <cellStyle name="Normal 5 6 3 6 3 3" xfId="24429" xr:uid="{00000000-0005-0000-0000-00007E7A0000}"/>
    <cellStyle name="Normal 5 6 3 6 4" xfId="11131" xr:uid="{00000000-0005-0000-0000-00007F7A0000}"/>
    <cellStyle name="Normal 5 6 3 6 4 2" xfId="27729" xr:uid="{00000000-0005-0000-0000-0000807A0000}"/>
    <cellStyle name="Normal 5 6 3 6 5" xfId="4911" xr:uid="{00000000-0005-0000-0000-0000817A0000}"/>
    <cellStyle name="Normal 5 6 3 6 5 2" xfId="21634" xr:uid="{00000000-0005-0000-0000-0000827A0000}"/>
    <cellStyle name="Normal 5 6 3 6 6" xfId="20036" xr:uid="{00000000-0005-0000-0000-0000837A0000}"/>
    <cellStyle name="Normal 5 6 3 7" xfId="3278" xr:uid="{00000000-0005-0000-0000-0000847A0000}"/>
    <cellStyle name="Normal 5 6 3 7 2" xfId="8514" xr:uid="{00000000-0005-0000-0000-0000857A0000}"/>
    <cellStyle name="Normal 5 6 3 7 2 2" xfId="15777" xr:uid="{00000000-0005-0000-0000-0000867A0000}"/>
    <cellStyle name="Normal 5 6 3 7 2 2 2" xfId="32092" xr:uid="{00000000-0005-0000-0000-0000877A0000}"/>
    <cellStyle name="Normal 5 6 3 7 2 3" xfId="25127" xr:uid="{00000000-0005-0000-0000-0000887A0000}"/>
    <cellStyle name="Normal 5 6 3 7 3" xfId="11856" xr:uid="{00000000-0005-0000-0000-0000897A0000}"/>
    <cellStyle name="Normal 5 6 3 7 3 2" xfId="28431" xr:uid="{00000000-0005-0000-0000-00008A7A0000}"/>
    <cellStyle name="Normal 5 6 3 7 4" xfId="5163" xr:uid="{00000000-0005-0000-0000-00008B7A0000}"/>
    <cellStyle name="Normal 5 6 3 7 4 2" xfId="21827" xr:uid="{00000000-0005-0000-0000-00008C7A0000}"/>
    <cellStyle name="Normal 5 6 3 7 5" xfId="20005" xr:uid="{00000000-0005-0000-0000-00008D7A0000}"/>
    <cellStyle name="Normal 5 6 3 8" xfId="6895" xr:uid="{00000000-0005-0000-0000-00008E7A0000}"/>
    <cellStyle name="Normal 5 6 3 8 2" xfId="14158" xr:uid="{00000000-0005-0000-0000-00008F7A0000}"/>
    <cellStyle name="Normal 5 6 3 8 2 2" xfId="30473" xr:uid="{00000000-0005-0000-0000-0000907A0000}"/>
    <cellStyle name="Normal 5 6 3 8 3" xfId="23508" xr:uid="{00000000-0005-0000-0000-0000917A0000}"/>
    <cellStyle name="Normal 5 6 3 9" xfId="10209" xr:uid="{00000000-0005-0000-0000-0000927A0000}"/>
    <cellStyle name="Normal 5 6 3 9 2" xfId="26808" xr:uid="{00000000-0005-0000-0000-0000937A0000}"/>
    <cellStyle name="Normal 5 6 4" xfId="3310" xr:uid="{00000000-0005-0000-0000-0000947A0000}"/>
    <cellStyle name="Normal 5 6 4 2" xfId="3311" xr:uid="{00000000-0005-0000-0000-0000957A0000}"/>
    <cellStyle name="Normal 5 6 4 2 2" xfId="3312" xr:uid="{00000000-0005-0000-0000-0000967A0000}"/>
    <cellStyle name="Normal 5 6 4 2 2 2" xfId="6699" xr:uid="{00000000-0005-0000-0000-0000977A0000}"/>
    <cellStyle name="Normal 5 6 4 2 2 2 2" xfId="10050" xr:uid="{00000000-0005-0000-0000-0000987A0000}"/>
    <cellStyle name="Normal 5 6 4 2 2 2 2 2" xfId="17313" xr:uid="{00000000-0005-0000-0000-0000997A0000}"/>
    <cellStyle name="Normal 5 6 4 2 2 2 2 2 2" xfId="33628" xr:uid="{00000000-0005-0000-0000-00009A7A0000}"/>
    <cellStyle name="Normal 5 6 4 2 2 2 2 3" xfId="26663" xr:uid="{00000000-0005-0000-0000-00009B7A0000}"/>
    <cellStyle name="Normal 5 6 4 2 2 2 3" xfId="13392" xr:uid="{00000000-0005-0000-0000-00009C7A0000}"/>
    <cellStyle name="Normal 5 6 4 2 2 2 3 2" xfId="29967" xr:uid="{00000000-0005-0000-0000-00009D7A0000}"/>
    <cellStyle name="Normal 5 6 4 2 2 2 4" xfId="23363" xr:uid="{00000000-0005-0000-0000-00009E7A0000}"/>
    <cellStyle name="Normal 5 6 4 2 2 3" xfId="8429" xr:uid="{00000000-0005-0000-0000-00009F7A0000}"/>
    <cellStyle name="Normal 5 6 4 2 2 3 2" xfId="15692" xr:uid="{00000000-0005-0000-0000-0000A07A0000}"/>
    <cellStyle name="Normal 5 6 4 2 2 3 2 2" xfId="32007" xr:uid="{00000000-0005-0000-0000-0000A17A0000}"/>
    <cellStyle name="Normal 5 6 4 2 2 3 3" xfId="25042" xr:uid="{00000000-0005-0000-0000-0000A27A0000}"/>
    <cellStyle name="Normal 5 6 4 2 2 4" xfId="11744" xr:uid="{00000000-0005-0000-0000-0000A37A0000}"/>
    <cellStyle name="Normal 5 6 4 2 2 4 2" xfId="28342" xr:uid="{00000000-0005-0000-0000-0000A47A0000}"/>
    <cellStyle name="Normal 5 6 4 2 2 5" xfId="4914" xr:uid="{00000000-0005-0000-0000-0000A57A0000}"/>
    <cellStyle name="Normal 5 6 4 2 2 5 2" xfId="21637" xr:uid="{00000000-0005-0000-0000-0000A67A0000}"/>
    <cellStyle name="Normal 5 6 4 2 2 6" xfId="20039" xr:uid="{00000000-0005-0000-0000-0000A77A0000}"/>
    <cellStyle name="Normal 5 6 4 2 3" xfId="5923" xr:uid="{00000000-0005-0000-0000-0000A87A0000}"/>
    <cellStyle name="Normal 5 6 4 2 3 2" xfId="9274" xr:uid="{00000000-0005-0000-0000-0000A97A0000}"/>
    <cellStyle name="Normal 5 6 4 2 3 2 2" xfId="16537" xr:uid="{00000000-0005-0000-0000-0000AA7A0000}"/>
    <cellStyle name="Normal 5 6 4 2 3 2 2 2" xfId="32852" xr:uid="{00000000-0005-0000-0000-0000AB7A0000}"/>
    <cellStyle name="Normal 5 6 4 2 3 2 3" xfId="25887" xr:uid="{00000000-0005-0000-0000-0000AC7A0000}"/>
    <cellStyle name="Normal 5 6 4 2 3 3" xfId="12616" xr:uid="{00000000-0005-0000-0000-0000AD7A0000}"/>
    <cellStyle name="Normal 5 6 4 2 3 3 2" xfId="29191" xr:uid="{00000000-0005-0000-0000-0000AE7A0000}"/>
    <cellStyle name="Normal 5 6 4 2 3 4" xfId="22587" xr:uid="{00000000-0005-0000-0000-0000AF7A0000}"/>
    <cellStyle name="Normal 5 6 4 2 4" xfId="7653" xr:uid="{00000000-0005-0000-0000-0000B07A0000}"/>
    <cellStyle name="Normal 5 6 4 2 4 2" xfId="14916" xr:uid="{00000000-0005-0000-0000-0000B17A0000}"/>
    <cellStyle name="Normal 5 6 4 2 4 2 2" xfId="31231" xr:uid="{00000000-0005-0000-0000-0000B27A0000}"/>
    <cellStyle name="Normal 5 6 4 2 4 3" xfId="24266" xr:uid="{00000000-0005-0000-0000-0000B37A0000}"/>
    <cellStyle name="Normal 5 6 4 2 5" xfId="10968" xr:uid="{00000000-0005-0000-0000-0000B47A0000}"/>
    <cellStyle name="Normal 5 6 4 2 5 2" xfId="27566" xr:uid="{00000000-0005-0000-0000-0000B57A0000}"/>
    <cellStyle name="Normal 5 6 4 2 6" xfId="4913" xr:uid="{00000000-0005-0000-0000-0000B67A0000}"/>
    <cellStyle name="Normal 5 6 4 2 6 2" xfId="21636" xr:uid="{00000000-0005-0000-0000-0000B77A0000}"/>
    <cellStyle name="Normal 5 6 4 2 7" xfId="20038" xr:uid="{00000000-0005-0000-0000-0000B87A0000}"/>
    <cellStyle name="Normal 5 6 4 3" xfId="3313" xr:uid="{00000000-0005-0000-0000-0000B97A0000}"/>
    <cellStyle name="Normal 5 6 4 3 2" xfId="6329" xr:uid="{00000000-0005-0000-0000-0000BA7A0000}"/>
    <cellStyle name="Normal 5 6 4 3 2 2" xfId="9680" xr:uid="{00000000-0005-0000-0000-0000BB7A0000}"/>
    <cellStyle name="Normal 5 6 4 3 2 2 2" xfId="16943" xr:uid="{00000000-0005-0000-0000-0000BC7A0000}"/>
    <cellStyle name="Normal 5 6 4 3 2 2 2 2" xfId="33258" xr:uid="{00000000-0005-0000-0000-0000BD7A0000}"/>
    <cellStyle name="Normal 5 6 4 3 2 2 3" xfId="26293" xr:uid="{00000000-0005-0000-0000-0000BE7A0000}"/>
    <cellStyle name="Normal 5 6 4 3 2 3" xfId="13022" xr:uid="{00000000-0005-0000-0000-0000BF7A0000}"/>
    <cellStyle name="Normal 5 6 4 3 2 3 2" xfId="29597" xr:uid="{00000000-0005-0000-0000-0000C07A0000}"/>
    <cellStyle name="Normal 5 6 4 3 2 4" xfId="22993" xr:uid="{00000000-0005-0000-0000-0000C17A0000}"/>
    <cellStyle name="Normal 5 6 4 3 3" xfId="8059" xr:uid="{00000000-0005-0000-0000-0000C27A0000}"/>
    <cellStyle name="Normal 5 6 4 3 3 2" xfId="15322" xr:uid="{00000000-0005-0000-0000-0000C37A0000}"/>
    <cellStyle name="Normal 5 6 4 3 3 2 2" xfId="31637" xr:uid="{00000000-0005-0000-0000-0000C47A0000}"/>
    <cellStyle name="Normal 5 6 4 3 3 3" xfId="24672" xr:uid="{00000000-0005-0000-0000-0000C57A0000}"/>
    <cellStyle name="Normal 5 6 4 3 4" xfId="11374" xr:uid="{00000000-0005-0000-0000-0000C67A0000}"/>
    <cellStyle name="Normal 5 6 4 3 4 2" xfId="27972" xr:uid="{00000000-0005-0000-0000-0000C77A0000}"/>
    <cellStyle name="Normal 5 6 4 3 5" xfId="4915" xr:uid="{00000000-0005-0000-0000-0000C87A0000}"/>
    <cellStyle name="Normal 5 6 4 3 5 2" xfId="21638" xr:uid="{00000000-0005-0000-0000-0000C97A0000}"/>
    <cellStyle name="Normal 5 6 4 3 6" xfId="20040" xr:uid="{00000000-0005-0000-0000-0000CA7A0000}"/>
    <cellStyle name="Normal 5 6 4 4" xfId="5516" xr:uid="{00000000-0005-0000-0000-0000CB7A0000}"/>
    <cellStyle name="Normal 5 6 4 4 2" xfId="8867" xr:uid="{00000000-0005-0000-0000-0000CC7A0000}"/>
    <cellStyle name="Normal 5 6 4 4 2 2" xfId="16130" xr:uid="{00000000-0005-0000-0000-0000CD7A0000}"/>
    <cellStyle name="Normal 5 6 4 4 2 2 2" xfId="32445" xr:uid="{00000000-0005-0000-0000-0000CE7A0000}"/>
    <cellStyle name="Normal 5 6 4 4 2 3" xfId="25480" xr:uid="{00000000-0005-0000-0000-0000CF7A0000}"/>
    <cellStyle name="Normal 5 6 4 4 3" xfId="12209" xr:uid="{00000000-0005-0000-0000-0000D07A0000}"/>
    <cellStyle name="Normal 5 6 4 4 3 2" xfId="28784" xr:uid="{00000000-0005-0000-0000-0000D17A0000}"/>
    <cellStyle name="Normal 5 6 4 4 4" xfId="22180" xr:uid="{00000000-0005-0000-0000-0000D27A0000}"/>
    <cellStyle name="Normal 5 6 4 5" xfId="7247" xr:uid="{00000000-0005-0000-0000-0000D37A0000}"/>
    <cellStyle name="Normal 5 6 4 5 2" xfId="14510" xr:uid="{00000000-0005-0000-0000-0000D47A0000}"/>
    <cellStyle name="Normal 5 6 4 5 2 2" xfId="30825" xr:uid="{00000000-0005-0000-0000-0000D57A0000}"/>
    <cellStyle name="Normal 5 6 4 5 3" xfId="23860" xr:uid="{00000000-0005-0000-0000-0000D67A0000}"/>
    <cellStyle name="Normal 5 6 4 6" xfId="10562" xr:uid="{00000000-0005-0000-0000-0000D77A0000}"/>
    <cellStyle name="Normal 5 6 4 6 2" xfId="27160" xr:uid="{00000000-0005-0000-0000-0000D87A0000}"/>
    <cellStyle name="Normal 5 6 4 7" xfId="4912" xr:uid="{00000000-0005-0000-0000-0000D97A0000}"/>
    <cellStyle name="Normal 5 6 4 7 2" xfId="21635" xr:uid="{00000000-0005-0000-0000-0000DA7A0000}"/>
    <cellStyle name="Normal 5 6 4 8" xfId="20037" xr:uid="{00000000-0005-0000-0000-0000DB7A0000}"/>
    <cellStyle name="Normal 5 6 5" xfId="5041" xr:uid="{00000000-0005-0000-0000-0000DC7A0000}"/>
    <cellStyle name="Normal 5 6 5 2" xfId="6812" xr:uid="{00000000-0005-0000-0000-0000DD7A0000}"/>
    <cellStyle name="Normal 5 6 5 2 2" xfId="10125" xr:uid="{00000000-0005-0000-0000-0000DE7A0000}"/>
    <cellStyle name="Normal 5 6 5 2 2 2" xfId="17388" xr:uid="{00000000-0005-0000-0000-0000DF7A0000}"/>
    <cellStyle name="Normal 5 6 5 2 2 2 2" xfId="33703" xr:uid="{00000000-0005-0000-0000-0000E07A0000}"/>
    <cellStyle name="Normal 5 6 5 2 2 3" xfId="26738" xr:uid="{00000000-0005-0000-0000-0000E17A0000}"/>
    <cellStyle name="Normal 5 6 5 2 3" xfId="13470" xr:uid="{00000000-0005-0000-0000-0000E27A0000}"/>
    <cellStyle name="Normal 5 6 5 2 3 2" xfId="30042" xr:uid="{00000000-0005-0000-0000-0000E37A0000}"/>
    <cellStyle name="Normal 5 6 5 2 4" xfId="23438" xr:uid="{00000000-0005-0000-0000-0000E47A0000}"/>
    <cellStyle name="Normal 5 6 5 3" xfId="8447" xr:uid="{00000000-0005-0000-0000-0000E57A0000}"/>
    <cellStyle name="Normal 5 6 5 3 2" xfId="15710" xr:uid="{00000000-0005-0000-0000-0000E67A0000}"/>
    <cellStyle name="Normal 5 6 5 3 2 2" xfId="32025" xr:uid="{00000000-0005-0000-0000-0000E77A0000}"/>
    <cellStyle name="Normal 5 6 5 3 3" xfId="25060" xr:uid="{00000000-0005-0000-0000-0000E87A0000}"/>
    <cellStyle name="Normal 5 6 5 4" xfId="11762" xr:uid="{00000000-0005-0000-0000-0000E97A0000}"/>
    <cellStyle name="Normal 5 6 5 4 2" xfId="28360" xr:uid="{00000000-0005-0000-0000-0000EA7A0000}"/>
    <cellStyle name="Normal 5 6 5 5" xfId="21760" xr:uid="{00000000-0005-0000-0000-0000EB7A0000}"/>
    <cellStyle name="Normal 5 7" xfId="365" xr:uid="{00000000-0005-0000-0000-0000EC7A0000}"/>
    <cellStyle name="Normal 5 7 2" xfId="615" xr:uid="{00000000-0005-0000-0000-0000ED7A0000}"/>
    <cellStyle name="Normal 5 7 2 10" xfId="10169" xr:uid="{00000000-0005-0000-0000-0000EE7A0000}"/>
    <cellStyle name="Normal 5 7 2 10 2" xfId="26774" xr:uid="{00000000-0005-0000-0000-0000EF7A0000}"/>
    <cellStyle name="Normal 5 7 2 11" xfId="4916" xr:uid="{00000000-0005-0000-0000-0000F07A0000}"/>
    <cellStyle name="Normal 5 7 2 11 2" xfId="21639" xr:uid="{00000000-0005-0000-0000-0000F17A0000}"/>
    <cellStyle name="Normal 5 7 2 12" xfId="17441" xr:uid="{00000000-0005-0000-0000-0000F27A0000}"/>
    <cellStyle name="Normal 5 7 2 2" xfId="697" xr:uid="{00000000-0005-0000-0000-0000F37A0000}"/>
    <cellStyle name="Normal 5 7 2 2 10" xfId="4917" xr:uid="{00000000-0005-0000-0000-0000F47A0000}"/>
    <cellStyle name="Normal 5 7 2 2 10 2" xfId="21640" xr:uid="{00000000-0005-0000-0000-0000F57A0000}"/>
    <cellStyle name="Normal 5 7 2 2 11" xfId="17511" xr:uid="{00000000-0005-0000-0000-0000F67A0000}"/>
    <cellStyle name="Normal 5 7 2 2 2" xfId="925" xr:uid="{00000000-0005-0000-0000-0000F77A0000}"/>
    <cellStyle name="Normal 5 7 2 2 2 10" xfId="17703" xr:uid="{00000000-0005-0000-0000-0000F87A0000}"/>
    <cellStyle name="Normal 5 7 2 2 2 2" xfId="1032" xr:uid="{00000000-0005-0000-0000-0000F97A0000}"/>
    <cellStyle name="Normal 5 7 2 2 2 2 2" xfId="1260" xr:uid="{00000000-0005-0000-0000-0000FA7A0000}"/>
    <cellStyle name="Normal 5 7 2 2 2 2 2 2" xfId="1781" xr:uid="{00000000-0005-0000-0000-0000FB7A0000}"/>
    <cellStyle name="Normal 5 7 2 2 2 2 2 2 2" xfId="3320" xr:uid="{00000000-0005-0000-0000-0000FC7A0000}"/>
    <cellStyle name="Normal 5 7 2 2 2 2 2 2 2 2" xfId="6675" xr:uid="{00000000-0005-0000-0000-0000FD7A0000}"/>
    <cellStyle name="Normal 5 7 2 2 2 2 2 2 2 2 2" xfId="10026" xr:uid="{00000000-0005-0000-0000-0000FE7A0000}"/>
    <cellStyle name="Normal 5 7 2 2 2 2 2 2 2 2 2 2" xfId="17289" xr:uid="{00000000-0005-0000-0000-0000FF7A0000}"/>
    <cellStyle name="Normal 5 7 2 2 2 2 2 2 2 2 2 2 2" xfId="33604" xr:uid="{00000000-0005-0000-0000-0000007B0000}"/>
    <cellStyle name="Normal 5 7 2 2 2 2 2 2 2 2 2 3" xfId="26639" xr:uid="{00000000-0005-0000-0000-0000017B0000}"/>
    <cellStyle name="Normal 5 7 2 2 2 2 2 2 2 2 3" xfId="13368" xr:uid="{00000000-0005-0000-0000-0000027B0000}"/>
    <cellStyle name="Normal 5 7 2 2 2 2 2 2 2 2 3 2" xfId="29943" xr:uid="{00000000-0005-0000-0000-0000037B0000}"/>
    <cellStyle name="Normal 5 7 2 2 2 2 2 2 2 2 4" xfId="23339" xr:uid="{00000000-0005-0000-0000-0000047B0000}"/>
    <cellStyle name="Normal 5 7 2 2 2 2 2 2 2 3" xfId="8405" xr:uid="{00000000-0005-0000-0000-0000057B0000}"/>
    <cellStyle name="Normal 5 7 2 2 2 2 2 2 2 3 2" xfId="15668" xr:uid="{00000000-0005-0000-0000-0000067B0000}"/>
    <cellStyle name="Normal 5 7 2 2 2 2 2 2 2 3 2 2" xfId="31983" xr:uid="{00000000-0005-0000-0000-0000077B0000}"/>
    <cellStyle name="Normal 5 7 2 2 2 2 2 2 2 3 3" xfId="25018" xr:uid="{00000000-0005-0000-0000-0000087B0000}"/>
    <cellStyle name="Normal 5 7 2 2 2 2 2 2 2 4" xfId="11720" xr:uid="{00000000-0005-0000-0000-0000097B0000}"/>
    <cellStyle name="Normal 5 7 2 2 2 2 2 2 2 4 2" xfId="28318" xr:uid="{00000000-0005-0000-0000-00000A7B0000}"/>
    <cellStyle name="Normal 5 7 2 2 2 2 2 2 2 5" xfId="4922" xr:uid="{00000000-0005-0000-0000-00000B7B0000}"/>
    <cellStyle name="Normal 5 7 2 2 2 2 2 2 2 5 2" xfId="21645" xr:uid="{00000000-0005-0000-0000-00000C7B0000}"/>
    <cellStyle name="Normal 5 7 2 2 2 2 2 2 2 6" xfId="20047" xr:uid="{00000000-0005-0000-0000-00000D7B0000}"/>
    <cellStyle name="Normal 5 7 2 2 2 2 2 2 3" xfId="3319" xr:uid="{00000000-0005-0000-0000-00000E7B0000}"/>
    <cellStyle name="Normal 5 7 2 2 2 2 2 2 3 2" xfId="9250" xr:uid="{00000000-0005-0000-0000-00000F7B0000}"/>
    <cellStyle name="Normal 5 7 2 2 2 2 2 2 3 2 2" xfId="16513" xr:uid="{00000000-0005-0000-0000-0000107B0000}"/>
    <cellStyle name="Normal 5 7 2 2 2 2 2 2 3 2 2 2" xfId="32828" xr:uid="{00000000-0005-0000-0000-0000117B0000}"/>
    <cellStyle name="Normal 5 7 2 2 2 2 2 2 3 2 3" xfId="25863" xr:uid="{00000000-0005-0000-0000-0000127B0000}"/>
    <cellStyle name="Normal 5 7 2 2 2 2 2 2 3 3" xfId="12592" xr:uid="{00000000-0005-0000-0000-0000137B0000}"/>
    <cellStyle name="Normal 5 7 2 2 2 2 2 2 3 3 2" xfId="29167" xr:uid="{00000000-0005-0000-0000-0000147B0000}"/>
    <cellStyle name="Normal 5 7 2 2 2 2 2 2 3 4" xfId="5899" xr:uid="{00000000-0005-0000-0000-0000157B0000}"/>
    <cellStyle name="Normal 5 7 2 2 2 2 2 2 3 4 2" xfId="22563" xr:uid="{00000000-0005-0000-0000-0000167B0000}"/>
    <cellStyle name="Normal 5 7 2 2 2 2 2 2 3 5" xfId="20046" xr:uid="{00000000-0005-0000-0000-0000177B0000}"/>
    <cellStyle name="Normal 5 7 2 2 2 2 2 2 4" xfId="7629" xr:uid="{00000000-0005-0000-0000-0000187B0000}"/>
    <cellStyle name="Normal 5 7 2 2 2 2 2 2 4 2" xfId="14892" xr:uid="{00000000-0005-0000-0000-0000197B0000}"/>
    <cellStyle name="Normal 5 7 2 2 2 2 2 2 4 2 2" xfId="31207" xr:uid="{00000000-0005-0000-0000-00001A7B0000}"/>
    <cellStyle name="Normal 5 7 2 2 2 2 2 2 4 3" xfId="24242" xr:uid="{00000000-0005-0000-0000-00001B7B0000}"/>
    <cellStyle name="Normal 5 7 2 2 2 2 2 2 5" xfId="10944" xr:uid="{00000000-0005-0000-0000-00001C7B0000}"/>
    <cellStyle name="Normal 5 7 2 2 2 2 2 2 5 2" xfId="27542" xr:uid="{00000000-0005-0000-0000-00001D7B0000}"/>
    <cellStyle name="Normal 5 7 2 2 2 2 2 2 6" xfId="4921" xr:uid="{00000000-0005-0000-0000-00001E7B0000}"/>
    <cellStyle name="Normal 5 7 2 2 2 2 2 2 6 2" xfId="21644" xr:uid="{00000000-0005-0000-0000-00001F7B0000}"/>
    <cellStyle name="Normal 5 7 2 2 2 2 2 2 7" xfId="18516" xr:uid="{00000000-0005-0000-0000-0000207B0000}"/>
    <cellStyle name="Normal 5 7 2 2 2 2 2 3" xfId="3321" xr:uid="{00000000-0005-0000-0000-0000217B0000}"/>
    <cellStyle name="Normal 5 7 2 2 2 2 2 3 2" xfId="6305" xr:uid="{00000000-0005-0000-0000-0000227B0000}"/>
    <cellStyle name="Normal 5 7 2 2 2 2 2 3 2 2" xfId="9656" xr:uid="{00000000-0005-0000-0000-0000237B0000}"/>
    <cellStyle name="Normal 5 7 2 2 2 2 2 3 2 2 2" xfId="16919" xr:uid="{00000000-0005-0000-0000-0000247B0000}"/>
    <cellStyle name="Normal 5 7 2 2 2 2 2 3 2 2 2 2" xfId="33234" xr:uid="{00000000-0005-0000-0000-0000257B0000}"/>
    <cellStyle name="Normal 5 7 2 2 2 2 2 3 2 2 3" xfId="26269" xr:uid="{00000000-0005-0000-0000-0000267B0000}"/>
    <cellStyle name="Normal 5 7 2 2 2 2 2 3 2 3" xfId="12998" xr:uid="{00000000-0005-0000-0000-0000277B0000}"/>
    <cellStyle name="Normal 5 7 2 2 2 2 2 3 2 3 2" xfId="29573" xr:uid="{00000000-0005-0000-0000-0000287B0000}"/>
    <cellStyle name="Normal 5 7 2 2 2 2 2 3 2 4" xfId="22969" xr:uid="{00000000-0005-0000-0000-0000297B0000}"/>
    <cellStyle name="Normal 5 7 2 2 2 2 2 3 3" xfId="8035" xr:uid="{00000000-0005-0000-0000-00002A7B0000}"/>
    <cellStyle name="Normal 5 7 2 2 2 2 2 3 3 2" xfId="15298" xr:uid="{00000000-0005-0000-0000-00002B7B0000}"/>
    <cellStyle name="Normal 5 7 2 2 2 2 2 3 3 2 2" xfId="31613" xr:uid="{00000000-0005-0000-0000-00002C7B0000}"/>
    <cellStyle name="Normal 5 7 2 2 2 2 2 3 3 3" xfId="24648" xr:uid="{00000000-0005-0000-0000-00002D7B0000}"/>
    <cellStyle name="Normal 5 7 2 2 2 2 2 3 4" xfId="11350" xr:uid="{00000000-0005-0000-0000-00002E7B0000}"/>
    <cellStyle name="Normal 5 7 2 2 2 2 2 3 4 2" xfId="27948" xr:uid="{00000000-0005-0000-0000-00002F7B0000}"/>
    <cellStyle name="Normal 5 7 2 2 2 2 2 3 5" xfId="4923" xr:uid="{00000000-0005-0000-0000-0000307B0000}"/>
    <cellStyle name="Normal 5 7 2 2 2 2 2 3 5 2" xfId="21646" xr:uid="{00000000-0005-0000-0000-0000317B0000}"/>
    <cellStyle name="Normal 5 7 2 2 2 2 2 3 6" xfId="20048" xr:uid="{00000000-0005-0000-0000-0000327B0000}"/>
    <cellStyle name="Normal 5 7 2 2 2 2 2 4" xfId="3318" xr:uid="{00000000-0005-0000-0000-0000337B0000}"/>
    <cellStyle name="Normal 5 7 2 2 2 2 2 4 2" xfId="8843" xr:uid="{00000000-0005-0000-0000-0000347B0000}"/>
    <cellStyle name="Normal 5 7 2 2 2 2 2 4 2 2" xfId="16106" xr:uid="{00000000-0005-0000-0000-0000357B0000}"/>
    <cellStyle name="Normal 5 7 2 2 2 2 2 4 2 2 2" xfId="32421" xr:uid="{00000000-0005-0000-0000-0000367B0000}"/>
    <cellStyle name="Normal 5 7 2 2 2 2 2 4 2 3" xfId="25456" xr:uid="{00000000-0005-0000-0000-0000377B0000}"/>
    <cellStyle name="Normal 5 7 2 2 2 2 2 4 3" xfId="12185" xr:uid="{00000000-0005-0000-0000-0000387B0000}"/>
    <cellStyle name="Normal 5 7 2 2 2 2 2 4 3 2" xfId="28760" xr:uid="{00000000-0005-0000-0000-0000397B0000}"/>
    <cellStyle name="Normal 5 7 2 2 2 2 2 4 4" xfId="5492" xr:uid="{00000000-0005-0000-0000-00003A7B0000}"/>
    <cellStyle name="Normal 5 7 2 2 2 2 2 4 4 2" xfId="22156" xr:uid="{00000000-0005-0000-0000-00003B7B0000}"/>
    <cellStyle name="Normal 5 7 2 2 2 2 2 4 5" xfId="20045" xr:uid="{00000000-0005-0000-0000-00003C7B0000}"/>
    <cellStyle name="Normal 5 7 2 2 2 2 2 5" xfId="7223" xr:uid="{00000000-0005-0000-0000-00003D7B0000}"/>
    <cellStyle name="Normal 5 7 2 2 2 2 2 5 2" xfId="14486" xr:uid="{00000000-0005-0000-0000-00003E7B0000}"/>
    <cellStyle name="Normal 5 7 2 2 2 2 2 5 2 2" xfId="30801" xr:uid="{00000000-0005-0000-0000-00003F7B0000}"/>
    <cellStyle name="Normal 5 7 2 2 2 2 2 5 3" xfId="23836" xr:uid="{00000000-0005-0000-0000-0000407B0000}"/>
    <cellStyle name="Normal 5 7 2 2 2 2 2 6" xfId="10538" xr:uid="{00000000-0005-0000-0000-0000417B0000}"/>
    <cellStyle name="Normal 5 7 2 2 2 2 2 6 2" xfId="27136" xr:uid="{00000000-0005-0000-0000-0000427B0000}"/>
    <cellStyle name="Normal 5 7 2 2 2 2 2 7" xfId="4920" xr:uid="{00000000-0005-0000-0000-0000437B0000}"/>
    <cellStyle name="Normal 5 7 2 2 2 2 2 7 2" xfId="21643" xr:uid="{00000000-0005-0000-0000-0000447B0000}"/>
    <cellStyle name="Normal 5 7 2 2 2 2 2 8" xfId="17997" xr:uid="{00000000-0005-0000-0000-0000457B0000}"/>
    <cellStyle name="Normal 5 7 2 2 2 2 3" xfId="1593" xr:uid="{00000000-0005-0000-0000-0000467B0000}"/>
    <cellStyle name="Normal 5 7 2 2 2 2 3 2" xfId="3323" xr:uid="{00000000-0005-0000-0000-0000477B0000}"/>
    <cellStyle name="Normal 5 7 2 2 2 2 3 2 2" xfId="6499" xr:uid="{00000000-0005-0000-0000-0000487B0000}"/>
    <cellStyle name="Normal 5 7 2 2 2 2 3 2 2 2" xfId="9850" xr:uid="{00000000-0005-0000-0000-0000497B0000}"/>
    <cellStyle name="Normal 5 7 2 2 2 2 3 2 2 2 2" xfId="17113" xr:uid="{00000000-0005-0000-0000-00004A7B0000}"/>
    <cellStyle name="Normal 5 7 2 2 2 2 3 2 2 2 2 2" xfId="33428" xr:uid="{00000000-0005-0000-0000-00004B7B0000}"/>
    <cellStyle name="Normal 5 7 2 2 2 2 3 2 2 2 3" xfId="26463" xr:uid="{00000000-0005-0000-0000-00004C7B0000}"/>
    <cellStyle name="Normal 5 7 2 2 2 2 3 2 2 3" xfId="13192" xr:uid="{00000000-0005-0000-0000-00004D7B0000}"/>
    <cellStyle name="Normal 5 7 2 2 2 2 3 2 2 3 2" xfId="29767" xr:uid="{00000000-0005-0000-0000-00004E7B0000}"/>
    <cellStyle name="Normal 5 7 2 2 2 2 3 2 2 4" xfId="23163" xr:uid="{00000000-0005-0000-0000-00004F7B0000}"/>
    <cellStyle name="Normal 5 7 2 2 2 2 3 2 3" xfId="8229" xr:uid="{00000000-0005-0000-0000-0000507B0000}"/>
    <cellStyle name="Normal 5 7 2 2 2 2 3 2 3 2" xfId="15492" xr:uid="{00000000-0005-0000-0000-0000517B0000}"/>
    <cellStyle name="Normal 5 7 2 2 2 2 3 2 3 2 2" xfId="31807" xr:uid="{00000000-0005-0000-0000-0000527B0000}"/>
    <cellStyle name="Normal 5 7 2 2 2 2 3 2 3 3" xfId="24842" xr:uid="{00000000-0005-0000-0000-0000537B0000}"/>
    <cellStyle name="Normal 5 7 2 2 2 2 3 2 4" xfId="11544" xr:uid="{00000000-0005-0000-0000-0000547B0000}"/>
    <cellStyle name="Normal 5 7 2 2 2 2 3 2 4 2" xfId="28142" xr:uid="{00000000-0005-0000-0000-0000557B0000}"/>
    <cellStyle name="Normal 5 7 2 2 2 2 3 2 5" xfId="4925" xr:uid="{00000000-0005-0000-0000-0000567B0000}"/>
    <cellStyle name="Normal 5 7 2 2 2 2 3 2 5 2" xfId="21648" xr:uid="{00000000-0005-0000-0000-0000577B0000}"/>
    <cellStyle name="Normal 5 7 2 2 2 2 3 2 6" xfId="20050" xr:uid="{00000000-0005-0000-0000-0000587B0000}"/>
    <cellStyle name="Normal 5 7 2 2 2 2 3 3" xfId="3322" xr:uid="{00000000-0005-0000-0000-0000597B0000}"/>
    <cellStyle name="Normal 5 7 2 2 2 2 3 3 2" xfId="9038" xr:uid="{00000000-0005-0000-0000-00005A7B0000}"/>
    <cellStyle name="Normal 5 7 2 2 2 2 3 3 2 2" xfId="16301" xr:uid="{00000000-0005-0000-0000-00005B7B0000}"/>
    <cellStyle name="Normal 5 7 2 2 2 2 3 3 2 2 2" xfId="32616" xr:uid="{00000000-0005-0000-0000-00005C7B0000}"/>
    <cellStyle name="Normal 5 7 2 2 2 2 3 3 2 3" xfId="25651" xr:uid="{00000000-0005-0000-0000-00005D7B0000}"/>
    <cellStyle name="Normal 5 7 2 2 2 2 3 3 3" xfId="12380" xr:uid="{00000000-0005-0000-0000-00005E7B0000}"/>
    <cellStyle name="Normal 5 7 2 2 2 2 3 3 3 2" xfId="28955" xr:uid="{00000000-0005-0000-0000-00005F7B0000}"/>
    <cellStyle name="Normal 5 7 2 2 2 2 3 3 4" xfId="5687" xr:uid="{00000000-0005-0000-0000-0000607B0000}"/>
    <cellStyle name="Normal 5 7 2 2 2 2 3 3 4 2" xfId="22351" xr:uid="{00000000-0005-0000-0000-0000617B0000}"/>
    <cellStyle name="Normal 5 7 2 2 2 2 3 3 5" xfId="20049" xr:uid="{00000000-0005-0000-0000-0000627B0000}"/>
    <cellStyle name="Normal 5 7 2 2 2 2 3 4" xfId="7417" xr:uid="{00000000-0005-0000-0000-0000637B0000}"/>
    <cellStyle name="Normal 5 7 2 2 2 2 3 4 2" xfId="14680" xr:uid="{00000000-0005-0000-0000-0000647B0000}"/>
    <cellStyle name="Normal 5 7 2 2 2 2 3 4 2 2" xfId="30995" xr:uid="{00000000-0005-0000-0000-0000657B0000}"/>
    <cellStyle name="Normal 5 7 2 2 2 2 3 4 3" xfId="24030" xr:uid="{00000000-0005-0000-0000-0000667B0000}"/>
    <cellStyle name="Normal 5 7 2 2 2 2 3 5" xfId="10732" xr:uid="{00000000-0005-0000-0000-0000677B0000}"/>
    <cellStyle name="Normal 5 7 2 2 2 2 3 5 2" xfId="27330" xr:uid="{00000000-0005-0000-0000-0000687B0000}"/>
    <cellStyle name="Normal 5 7 2 2 2 2 3 6" xfId="4924" xr:uid="{00000000-0005-0000-0000-0000697B0000}"/>
    <cellStyle name="Normal 5 7 2 2 2 2 3 6 2" xfId="21647" xr:uid="{00000000-0005-0000-0000-00006A7B0000}"/>
    <cellStyle name="Normal 5 7 2 2 2 2 3 7" xfId="18328" xr:uid="{00000000-0005-0000-0000-00006B7B0000}"/>
    <cellStyle name="Normal 5 7 2 2 2 2 4" xfId="3324" xr:uid="{00000000-0005-0000-0000-00006C7B0000}"/>
    <cellStyle name="Normal 5 7 2 2 2 2 4 2" xfId="6093" xr:uid="{00000000-0005-0000-0000-00006D7B0000}"/>
    <cellStyle name="Normal 5 7 2 2 2 2 4 2 2" xfId="9444" xr:uid="{00000000-0005-0000-0000-00006E7B0000}"/>
    <cellStyle name="Normal 5 7 2 2 2 2 4 2 2 2" xfId="16707" xr:uid="{00000000-0005-0000-0000-00006F7B0000}"/>
    <cellStyle name="Normal 5 7 2 2 2 2 4 2 2 2 2" xfId="33022" xr:uid="{00000000-0005-0000-0000-0000707B0000}"/>
    <cellStyle name="Normal 5 7 2 2 2 2 4 2 2 3" xfId="26057" xr:uid="{00000000-0005-0000-0000-0000717B0000}"/>
    <cellStyle name="Normal 5 7 2 2 2 2 4 2 3" xfId="12786" xr:uid="{00000000-0005-0000-0000-0000727B0000}"/>
    <cellStyle name="Normal 5 7 2 2 2 2 4 2 3 2" xfId="29361" xr:uid="{00000000-0005-0000-0000-0000737B0000}"/>
    <cellStyle name="Normal 5 7 2 2 2 2 4 2 4" xfId="22757" xr:uid="{00000000-0005-0000-0000-0000747B0000}"/>
    <cellStyle name="Normal 5 7 2 2 2 2 4 3" xfId="7823" xr:uid="{00000000-0005-0000-0000-0000757B0000}"/>
    <cellStyle name="Normal 5 7 2 2 2 2 4 3 2" xfId="15086" xr:uid="{00000000-0005-0000-0000-0000767B0000}"/>
    <cellStyle name="Normal 5 7 2 2 2 2 4 3 2 2" xfId="31401" xr:uid="{00000000-0005-0000-0000-0000777B0000}"/>
    <cellStyle name="Normal 5 7 2 2 2 2 4 3 3" xfId="24436" xr:uid="{00000000-0005-0000-0000-0000787B0000}"/>
    <cellStyle name="Normal 5 7 2 2 2 2 4 4" xfId="11138" xr:uid="{00000000-0005-0000-0000-0000797B0000}"/>
    <cellStyle name="Normal 5 7 2 2 2 2 4 4 2" xfId="27736" xr:uid="{00000000-0005-0000-0000-00007A7B0000}"/>
    <cellStyle name="Normal 5 7 2 2 2 2 4 5" xfId="4926" xr:uid="{00000000-0005-0000-0000-00007B7B0000}"/>
    <cellStyle name="Normal 5 7 2 2 2 2 4 5 2" xfId="21649" xr:uid="{00000000-0005-0000-0000-00007C7B0000}"/>
    <cellStyle name="Normal 5 7 2 2 2 2 4 6" xfId="20051" xr:uid="{00000000-0005-0000-0000-00007D7B0000}"/>
    <cellStyle name="Normal 5 7 2 2 2 2 5" xfId="3317" xr:uid="{00000000-0005-0000-0000-00007E7B0000}"/>
    <cellStyle name="Normal 5 7 2 2 2 2 5 2" xfId="8654" xr:uid="{00000000-0005-0000-0000-00007F7B0000}"/>
    <cellStyle name="Normal 5 7 2 2 2 2 5 2 2" xfId="15917" xr:uid="{00000000-0005-0000-0000-0000807B0000}"/>
    <cellStyle name="Normal 5 7 2 2 2 2 5 2 2 2" xfId="32232" xr:uid="{00000000-0005-0000-0000-0000817B0000}"/>
    <cellStyle name="Normal 5 7 2 2 2 2 5 2 3" xfId="25267" xr:uid="{00000000-0005-0000-0000-0000827B0000}"/>
    <cellStyle name="Normal 5 7 2 2 2 2 5 3" xfId="11996" xr:uid="{00000000-0005-0000-0000-0000837B0000}"/>
    <cellStyle name="Normal 5 7 2 2 2 2 5 3 2" xfId="28571" xr:uid="{00000000-0005-0000-0000-0000847B0000}"/>
    <cellStyle name="Normal 5 7 2 2 2 2 5 4" xfId="5303" xr:uid="{00000000-0005-0000-0000-0000857B0000}"/>
    <cellStyle name="Normal 5 7 2 2 2 2 5 4 2" xfId="21967" xr:uid="{00000000-0005-0000-0000-0000867B0000}"/>
    <cellStyle name="Normal 5 7 2 2 2 2 5 5" xfId="20044" xr:uid="{00000000-0005-0000-0000-0000877B0000}"/>
    <cellStyle name="Normal 5 7 2 2 2 2 6" xfId="7035" xr:uid="{00000000-0005-0000-0000-0000887B0000}"/>
    <cellStyle name="Normal 5 7 2 2 2 2 6 2" xfId="14298" xr:uid="{00000000-0005-0000-0000-0000897B0000}"/>
    <cellStyle name="Normal 5 7 2 2 2 2 6 2 2" xfId="30613" xr:uid="{00000000-0005-0000-0000-00008A7B0000}"/>
    <cellStyle name="Normal 5 7 2 2 2 2 6 3" xfId="23648" xr:uid="{00000000-0005-0000-0000-00008B7B0000}"/>
    <cellStyle name="Normal 5 7 2 2 2 2 7" xfId="10349" xr:uid="{00000000-0005-0000-0000-00008C7B0000}"/>
    <cellStyle name="Normal 5 7 2 2 2 2 7 2" xfId="26948" xr:uid="{00000000-0005-0000-0000-00008D7B0000}"/>
    <cellStyle name="Normal 5 7 2 2 2 2 8" xfId="4919" xr:uid="{00000000-0005-0000-0000-00008E7B0000}"/>
    <cellStyle name="Normal 5 7 2 2 2 2 8 2" xfId="21642" xr:uid="{00000000-0005-0000-0000-00008F7B0000}"/>
    <cellStyle name="Normal 5 7 2 2 2 2 9" xfId="17809" xr:uid="{00000000-0005-0000-0000-0000907B0000}"/>
    <cellStyle name="Normal 5 7 2 2 2 3" xfId="1259" xr:uid="{00000000-0005-0000-0000-0000917B0000}"/>
    <cellStyle name="Normal 5 7 2 2 2 3 2" xfId="1780" xr:uid="{00000000-0005-0000-0000-0000927B0000}"/>
    <cellStyle name="Normal 5 7 2 2 2 3 2 2" xfId="3327" xr:uid="{00000000-0005-0000-0000-0000937B0000}"/>
    <cellStyle name="Normal 5 7 2 2 2 3 2 2 2" xfId="6674" xr:uid="{00000000-0005-0000-0000-0000947B0000}"/>
    <cellStyle name="Normal 5 7 2 2 2 3 2 2 2 2" xfId="10025" xr:uid="{00000000-0005-0000-0000-0000957B0000}"/>
    <cellStyle name="Normal 5 7 2 2 2 3 2 2 2 2 2" xfId="17288" xr:uid="{00000000-0005-0000-0000-0000967B0000}"/>
    <cellStyle name="Normal 5 7 2 2 2 3 2 2 2 2 2 2" xfId="33603" xr:uid="{00000000-0005-0000-0000-0000977B0000}"/>
    <cellStyle name="Normal 5 7 2 2 2 3 2 2 2 2 3" xfId="26638" xr:uid="{00000000-0005-0000-0000-0000987B0000}"/>
    <cellStyle name="Normal 5 7 2 2 2 3 2 2 2 3" xfId="13367" xr:uid="{00000000-0005-0000-0000-0000997B0000}"/>
    <cellStyle name="Normal 5 7 2 2 2 3 2 2 2 3 2" xfId="29942" xr:uid="{00000000-0005-0000-0000-00009A7B0000}"/>
    <cellStyle name="Normal 5 7 2 2 2 3 2 2 2 4" xfId="23338" xr:uid="{00000000-0005-0000-0000-00009B7B0000}"/>
    <cellStyle name="Normal 5 7 2 2 2 3 2 2 3" xfId="8404" xr:uid="{00000000-0005-0000-0000-00009C7B0000}"/>
    <cellStyle name="Normal 5 7 2 2 2 3 2 2 3 2" xfId="15667" xr:uid="{00000000-0005-0000-0000-00009D7B0000}"/>
    <cellStyle name="Normal 5 7 2 2 2 3 2 2 3 2 2" xfId="31982" xr:uid="{00000000-0005-0000-0000-00009E7B0000}"/>
    <cellStyle name="Normal 5 7 2 2 2 3 2 2 3 3" xfId="25017" xr:uid="{00000000-0005-0000-0000-00009F7B0000}"/>
    <cellStyle name="Normal 5 7 2 2 2 3 2 2 4" xfId="11719" xr:uid="{00000000-0005-0000-0000-0000A07B0000}"/>
    <cellStyle name="Normal 5 7 2 2 2 3 2 2 4 2" xfId="28317" xr:uid="{00000000-0005-0000-0000-0000A17B0000}"/>
    <cellStyle name="Normal 5 7 2 2 2 3 2 2 5" xfId="4929" xr:uid="{00000000-0005-0000-0000-0000A27B0000}"/>
    <cellStyle name="Normal 5 7 2 2 2 3 2 2 5 2" xfId="21652" xr:uid="{00000000-0005-0000-0000-0000A37B0000}"/>
    <cellStyle name="Normal 5 7 2 2 2 3 2 2 6" xfId="20054" xr:uid="{00000000-0005-0000-0000-0000A47B0000}"/>
    <cellStyle name="Normal 5 7 2 2 2 3 2 3" xfId="3326" xr:uid="{00000000-0005-0000-0000-0000A57B0000}"/>
    <cellStyle name="Normal 5 7 2 2 2 3 2 3 2" xfId="9249" xr:uid="{00000000-0005-0000-0000-0000A67B0000}"/>
    <cellStyle name="Normal 5 7 2 2 2 3 2 3 2 2" xfId="16512" xr:uid="{00000000-0005-0000-0000-0000A77B0000}"/>
    <cellStyle name="Normal 5 7 2 2 2 3 2 3 2 2 2" xfId="32827" xr:uid="{00000000-0005-0000-0000-0000A87B0000}"/>
    <cellStyle name="Normal 5 7 2 2 2 3 2 3 2 3" xfId="25862" xr:uid="{00000000-0005-0000-0000-0000A97B0000}"/>
    <cellStyle name="Normal 5 7 2 2 2 3 2 3 3" xfId="12591" xr:uid="{00000000-0005-0000-0000-0000AA7B0000}"/>
    <cellStyle name="Normal 5 7 2 2 2 3 2 3 3 2" xfId="29166" xr:uid="{00000000-0005-0000-0000-0000AB7B0000}"/>
    <cellStyle name="Normal 5 7 2 2 2 3 2 3 4" xfId="5898" xr:uid="{00000000-0005-0000-0000-0000AC7B0000}"/>
    <cellStyle name="Normal 5 7 2 2 2 3 2 3 4 2" xfId="22562" xr:uid="{00000000-0005-0000-0000-0000AD7B0000}"/>
    <cellStyle name="Normal 5 7 2 2 2 3 2 3 5" xfId="20053" xr:uid="{00000000-0005-0000-0000-0000AE7B0000}"/>
    <cellStyle name="Normal 5 7 2 2 2 3 2 4" xfId="7628" xr:uid="{00000000-0005-0000-0000-0000AF7B0000}"/>
    <cellStyle name="Normal 5 7 2 2 2 3 2 4 2" xfId="14891" xr:uid="{00000000-0005-0000-0000-0000B07B0000}"/>
    <cellStyle name="Normal 5 7 2 2 2 3 2 4 2 2" xfId="31206" xr:uid="{00000000-0005-0000-0000-0000B17B0000}"/>
    <cellStyle name="Normal 5 7 2 2 2 3 2 4 3" xfId="24241" xr:uid="{00000000-0005-0000-0000-0000B27B0000}"/>
    <cellStyle name="Normal 5 7 2 2 2 3 2 5" xfId="10943" xr:uid="{00000000-0005-0000-0000-0000B37B0000}"/>
    <cellStyle name="Normal 5 7 2 2 2 3 2 5 2" xfId="27541" xr:uid="{00000000-0005-0000-0000-0000B47B0000}"/>
    <cellStyle name="Normal 5 7 2 2 2 3 2 6" xfId="4928" xr:uid="{00000000-0005-0000-0000-0000B57B0000}"/>
    <cellStyle name="Normal 5 7 2 2 2 3 2 6 2" xfId="21651" xr:uid="{00000000-0005-0000-0000-0000B67B0000}"/>
    <cellStyle name="Normal 5 7 2 2 2 3 2 7" xfId="18515" xr:uid="{00000000-0005-0000-0000-0000B77B0000}"/>
    <cellStyle name="Normal 5 7 2 2 2 3 3" xfId="3328" xr:uid="{00000000-0005-0000-0000-0000B87B0000}"/>
    <cellStyle name="Normal 5 7 2 2 2 3 3 2" xfId="6304" xr:uid="{00000000-0005-0000-0000-0000B97B0000}"/>
    <cellStyle name="Normal 5 7 2 2 2 3 3 2 2" xfId="9655" xr:uid="{00000000-0005-0000-0000-0000BA7B0000}"/>
    <cellStyle name="Normal 5 7 2 2 2 3 3 2 2 2" xfId="16918" xr:uid="{00000000-0005-0000-0000-0000BB7B0000}"/>
    <cellStyle name="Normal 5 7 2 2 2 3 3 2 2 2 2" xfId="33233" xr:uid="{00000000-0005-0000-0000-0000BC7B0000}"/>
    <cellStyle name="Normal 5 7 2 2 2 3 3 2 2 3" xfId="26268" xr:uid="{00000000-0005-0000-0000-0000BD7B0000}"/>
    <cellStyle name="Normal 5 7 2 2 2 3 3 2 3" xfId="12997" xr:uid="{00000000-0005-0000-0000-0000BE7B0000}"/>
    <cellStyle name="Normal 5 7 2 2 2 3 3 2 3 2" xfId="29572" xr:uid="{00000000-0005-0000-0000-0000BF7B0000}"/>
    <cellStyle name="Normal 5 7 2 2 2 3 3 2 4" xfId="22968" xr:uid="{00000000-0005-0000-0000-0000C07B0000}"/>
    <cellStyle name="Normal 5 7 2 2 2 3 3 3" xfId="8034" xr:uid="{00000000-0005-0000-0000-0000C17B0000}"/>
    <cellStyle name="Normal 5 7 2 2 2 3 3 3 2" xfId="15297" xr:uid="{00000000-0005-0000-0000-0000C27B0000}"/>
    <cellStyle name="Normal 5 7 2 2 2 3 3 3 2 2" xfId="31612" xr:uid="{00000000-0005-0000-0000-0000C37B0000}"/>
    <cellStyle name="Normal 5 7 2 2 2 3 3 3 3" xfId="24647" xr:uid="{00000000-0005-0000-0000-0000C47B0000}"/>
    <cellStyle name="Normal 5 7 2 2 2 3 3 4" xfId="11349" xr:uid="{00000000-0005-0000-0000-0000C57B0000}"/>
    <cellStyle name="Normal 5 7 2 2 2 3 3 4 2" xfId="27947" xr:uid="{00000000-0005-0000-0000-0000C67B0000}"/>
    <cellStyle name="Normal 5 7 2 2 2 3 3 5" xfId="4930" xr:uid="{00000000-0005-0000-0000-0000C77B0000}"/>
    <cellStyle name="Normal 5 7 2 2 2 3 3 5 2" xfId="21653" xr:uid="{00000000-0005-0000-0000-0000C87B0000}"/>
    <cellStyle name="Normal 5 7 2 2 2 3 3 6" xfId="20055" xr:uid="{00000000-0005-0000-0000-0000C97B0000}"/>
    <cellStyle name="Normal 5 7 2 2 2 3 4" xfId="3325" xr:uid="{00000000-0005-0000-0000-0000CA7B0000}"/>
    <cellStyle name="Normal 5 7 2 2 2 3 4 2" xfId="8842" xr:uid="{00000000-0005-0000-0000-0000CB7B0000}"/>
    <cellStyle name="Normal 5 7 2 2 2 3 4 2 2" xfId="16105" xr:uid="{00000000-0005-0000-0000-0000CC7B0000}"/>
    <cellStyle name="Normal 5 7 2 2 2 3 4 2 2 2" xfId="32420" xr:uid="{00000000-0005-0000-0000-0000CD7B0000}"/>
    <cellStyle name="Normal 5 7 2 2 2 3 4 2 3" xfId="25455" xr:uid="{00000000-0005-0000-0000-0000CE7B0000}"/>
    <cellStyle name="Normal 5 7 2 2 2 3 4 3" xfId="12184" xr:uid="{00000000-0005-0000-0000-0000CF7B0000}"/>
    <cellStyle name="Normal 5 7 2 2 2 3 4 3 2" xfId="28759" xr:uid="{00000000-0005-0000-0000-0000D07B0000}"/>
    <cellStyle name="Normal 5 7 2 2 2 3 4 4" xfId="5491" xr:uid="{00000000-0005-0000-0000-0000D17B0000}"/>
    <cellStyle name="Normal 5 7 2 2 2 3 4 4 2" xfId="22155" xr:uid="{00000000-0005-0000-0000-0000D27B0000}"/>
    <cellStyle name="Normal 5 7 2 2 2 3 4 5" xfId="20052" xr:uid="{00000000-0005-0000-0000-0000D37B0000}"/>
    <cellStyle name="Normal 5 7 2 2 2 3 5" xfId="7222" xr:uid="{00000000-0005-0000-0000-0000D47B0000}"/>
    <cellStyle name="Normal 5 7 2 2 2 3 5 2" xfId="14485" xr:uid="{00000000-0005-0000-0000-0000D57B0000}"/>
    <cellStyle name="Normal 5 7 2 2 2 3 5 2 2" xfId="30800" xr:uid="{00000000-0005-0000-0000-0000D67B0000}"/>
    <cellStyle name="Normal 5 7 2 2 2 3 5 3" xfId="23835" xr:uid="{00000000-0005-0000-0000-0000D77B0000}"/>
    <cellStyle name="Normal 5 7 2 2 2 3 6" xfId="10537" xr:uid="{00000000-0005-0000-0000-0000D87B0000}"/>
    <cellStyle name="Normal 5 7 2 2 2 3 6 2" xfId="27135" xr:uid="{00000000-0005-0000-0000-0000D97B0000}"/>
    <cellStyle name="Normal 5 7 2 2 2 3 7" xfId="4927" xr:uid="{00000000-0005-0000-0000-0000DA7B0000}"/>
    <cellStyle name="Normal 5 7 2 2 2 3 7 2" xfId="21650" xr:uid="{00000000-0005-0000-0000-0000DB7B0000}"/>
    <cellStyle name="Normal 5 7 2 2 2 3 8" xfId="17996" xr:uid="{00000000-0005-0000-0000-0000DC7B0000}"/>
    <cellStyle name="Normal 5 7 2 2 2 4" xfId="1487" xr:uid="{00000000-0005-0000-0000-0000DD7B0000}"/>
    <cellStyle name="Normal 5 7 2 2 2 4 2" xfId="3330" xr:uid="{00000000-0005-0000-0000-0000DE7B0000}"/>
    <cellStyle name="Normal 5 7 2 2 2 4 2 2" xfId="6498" xr:uid="{00000000-0005-0000-0000-0000DF7B0000}"/>
    <cellStyle name="Normal 5 7 2 2 2 4 2 2 2" xfId="9849" xr:uid="{00000000-0005-0000-0000-0000E07B0000}"/>
    <cellStyle name="Normal 5 7 2 2 2 4 2 2 2 2" xfId="17112" xr:uid="{00000000-0005-0000-0000-0000E17B0000}"/>
    <cellStyle name="Normal 5 7 2 2 2 4 2 2 2 2 2" xfId="33427" xr:uid="{00000000-0005-0000-0000-0000E27B0000}"/>
    <cellStyle name="Normal 5 7 2 2 2 4 2 2 2 3" xfId="26462" xr:uid="{00000000-0005-0000-0000-0000E37B0000}"/>
    <cellStyle name="Normal 5 7 2 2 2 4 2 2 3" xfId="13191" xr:uid="{00000000-0005-0000-0000-0000E47B0000}"/>
    <cellStyle name="Normal 5 7 2 2 2 4 2 2 3 2" xfId="29766" xr:uid="{00000000-0005-0000-0000-0000E57B0000}"/>
    <cellStyle name="Normal 5 7 2 2 2 4 2 2 4" xfId="23162" xr:uid="{00000000-0005-0000-0000-0000E67B0000}"/>
    <cellStyle name="Normal 5 7 2 2 2 4 2 3" xfId="8228" xr:uid="{00000000-0005-0000-0000-0000E77B0000}"/>
    <cellStyle name="Normal 5 7 2 2 2 4 2 3 2" xfId="15491" xr:uid="{00000000-0005-0000-0000-0000E87B0000}"/>
    <cellStyle name="Normal 5 7 2 2 2 4 2 3 2 2" xfId="31806" xr:uid="{00000000-0005-0000-0000-0000E97B0000}"/>
    <cellStyle name="Normal 5 7 2 2 2 4 2 3 3" xfId="24841" xr:uid="{00000000-0005-0000-0000-0000EA7B0000}"/>
    <cellStyle name="Normal 5 7 2 2 2 4 2 4" xfId="11543" xr:uid="{00000000-0005-0000-0000-0000EB7B0000}"/>
    <cellStyle name="Normal 5 7 2 2 2 4 2 4 2" xfId="28141" xr:uid="{00000000-0005-0000-0000-0000EC7B0000}"/>
    <cellStyle name="Normal 5 7 2 2 2 4 2 5" xfId="4932" xr:uid="{00000000-0005-0000-0000-0000ED7B0000}"/>
    <cellStyle name="Normal 5 7 2 2 2 4 2 5 2" xfId="21655" xr:uid="{00000000-0005-0000-0000-0000EE7B0000}"/>
    <cellStyle name="Normal 5 7 2 2 2 4 2 6" xfId="20057" xr:uid="{00000000-0005-0000-0000-0000EF7B0000}"/>
    <cellStyle name="Normal 5 7 2 2 2 4 3" xfId="3329" xr:uid="{00000000-0005-0000-0000-0000F07B0000}"/>
    <cellStyle name="Normal 5 7 2 2 2 4 3 2" xfId="9037" xr:uid="{00000000-0005-0000-0000-0000F17B0000}"/>
    <cellStyle name="Normal 5 7 2 2 2 4 3 2 2" xfId="16300" xr:uid="{00000000-0005-0000-0000-0000F27B0000}"/>
    <cellStyle name="Normal 5 7 2 2 2 4 3 2 2 2" xfId="32615" xr:uid="{00000000-0005-0000-0000-0000F37B0000}"/>
    <cellStyle name="Normal 5 7 2 2 2 4 3 2 3" xfId="25650" xr:uid="{00000000-0005-0000-0000-0000F47B0000}"/>
    <cellStyle name="Normal 5 7 2 2 2 4 3 3" xfId="12379" xr:uid="{00000000-0005-0000-0000-0000F57B0000}"/>
    <cellStyle name="Normal 5 7 2 2 2 4 3 3 2" xfId="28954" xr:uid="{00000000-0005-0000-0000-0000F67B0000}"/>
    <cellStyle name="Normal 5 7 2 2 2 4 3 4" xfId="5686" xr:uid="{00000000-0005-0000-0000-0000F77B0000}"/>
    <cellStyle name="Normal 5 7 2 2 2 4 3 4 2" xfId="22350" xr:uid="{00000000-0005-0000-0000-0000F87B0000}"/>
    <cellStyle name="Normal 5 7 2 2 2 4 3 5" xfId="20056" xr:uid="{00000000-0005-0000-0000-0000F97B0000}"/>
    <cellStyle name="Normal 5 7 2 2 2 4 4" xfId="7416" xr:uid="{00000000-0005-0000-0000-0000FA7B0000}"/>
    <cellStyle name="Normal 5 7 2 2 2 4 4 2" xfId="14679" xr:uid="{00000000-0005-0000-0000-0000FB7B0000}"/>
    <cellStyle name="Normal 5 7 2 2 2 4 4 2 2" xfId="30994" xr:uid="{00000000-0005-0000-0000-0000FC7B0000}"/>
    <cellStyle name="Normal 5 7 2 2 2 4 4 3" xfId="24029" xr:uid="{00000000-0005-0000-0000-0000FD7B0000}"/>
    <cellStyle name="Normal 5 7 2 2 2 4 5" xfId="10731" xr:uid="{00000000-0005-0000-0000-0000FE7B0000}"/>
    <cellStyle name="Normal 5 7 2 2 2 4 5 2" xfId="27329" xr:uid="{00000000-0005-0000-0000-0000FF7B0000}"/>
    <cellStyle name="Normal 5 7 2 2 2 4 6" xfId="4931" xr:uid="{00000000-0005-0000-0000-0000007C0000}"/>
    <cellStyle name="Normal 5 7 2 2 2 4 6 2" xfId="21654" xr:uid="{00000000-0005-0000-0000-0000017C0000}"/>
    <cellStyle name="Normal 5 7 2 2 2 4 7" xfId="18222" xr:uid="{00000000-0005-0000-0000-0000027C0000}"/>
    <cellStyle name="Normal 5 7 2 2 2 5" xfId="3331" xr:uid="{00000000-0005-0000-0000-0000037C0000}"/>
    <cellStyle name="Normal 5 7 2 2 2 5 2" xfId="6092" xr:uid="{00000000-0005-0000-0000-0000047C0000}"/>
    <cellStyle name="Normal 5 7 2 2 2 5 2 2" xfId="9443" xr:uid="{00000000-0005-0000-0000-0000057C0000}"/>
    <cellStyle name="Normal 5 7 2 2 2 5 2 2 2" xfId="16706" xr:uid="{00000000-0005-0000-0000-0000067C0000}"/>
    <cellStyle name="Normal 5 7 2 2 2 5 2 2 2 2" xfId="33021" xr:uid="{00000000-0005-0000-0000-0000077C0000}"/>
    <cellStyle name="Normal 5 7 2 2 2 5 2 2 3" xfId="26056" xr:uid="{00000000-0005-0000-0000-0000087C0000}"/>
    <cellStyle name="Normal 5 7 2 2 2 5 2 3" xfId="12785" xr:uid="{00000000-0005-0000-0000-0000097C0000}"/>
    <cellStyle name="Normal 5 7 2 2 2 5 2 3 2" xfId="29360" xr:uid="{00000000-0005-0000-0000-00000A7C0000}"/>
    <cellStyle name="Normal 5 7 2 2 2 5 2 4" xfId="22756" xr:uid="{00000000-0005-0000-0000-00000B7C0000}"/>
    <cellStyle name="Normal 5 7 2 2 2 5 3" xfId="7822" xr:uid="{00000000-0005-0000-0000-00000C7C0000}"/>
    <cellStyle name="Normal 5 7 2 2 2 5 3 2" xfId="15085" xr:uid="{00000000-0005-0000-0000-00000D7C0000}"/>
    <cellStyle name="Normal 5 7 2 2 2 5 3 2 2" xfId="31400" xr:uid="{00000000-0005-0000-0000-00000E7C0000}"/>
    <cellStyle name="Normal 5 7 2 2 2 5 3 3" xfId="24435" xr:uid="{00000000-0005-0000-0000-00000F7C0000}"/>
    <cellStyle name="Normal 5 7 2 2 2 5 4" xfId="11137" xr:uid="{00000000-0005-0000-0000-0000107C0000}"/>
    <cellStyle name="Normal 5 7 2 2 2 5 4 2" xfId="27735" xr:uid="{00000000-0005-0000-0000-0000117C0000}"/>
    <cellStyle name="Normal 5 7 2 2 2 5 5" xfId="4933" xr:uid="{00000000-0005-0000-0000-0000127C0000}"/>
    <cellStyle name="Normal 5 7 2 2 2 5 5 2" xfId="21656" xr:uid="{00000000-0005-0000-0000-0000137C0000}"/>
    <cellStyle name="Normal 5 7 2 2 2 5 6" xfId="20058" xr:uid="{00000000-0005-0000-0000-0000147C0000}"/>
    <cellStyle name="Normal 5 7 2 2 2 6" xfId="3316" xr:uid="{00000000-0005-0000-0000-0000157C0000}"/>
    <cellStyle name="Normal 5 7 2 2 2 6 2" xfId="8548" xr:uid="{00000000-0005-0000-0000-0000167C0000}"/>
    <cellStyle name="Normal 5 7 2 2 2 6 2 2" xfId="15811" xr:uid="{00000000-0005-0000-0000-0000177C0000}"/>
    <cellStyle name="Normal 5 7 2 2 2 6 2 2 2" xfId="32126" xr:uid="{00000000-0005-0000-0000-0000187C0000}"/>
    <cellStyle name="Normal 5 7 2 2 2 6 2 3" xfId="25161" xr:uid="{00000000-0005-0000-0000-0000197C0000}"/>
    <cellStyle name="Normal 5 7 2 2 2 6 3" xfId="11890" xr:uid="{00000000-0005-0000-0000-00001A7C0000}"/>
    <cellStyle name="Normal 5 7 2 2 2 6 3 2" xfId="28465" xr:uid="{00000000-0005-0000-0000-00001B7C0000}"/>
    <cellStyle name="Normal 5 7 2 2 2 6 4" xfId="5197" xr:uid="{00000000-0005-0000-0000-00001C7C0000}"/>
    <cellStyle name="Normal 5 7 2 2 2 6 4 2" xfId="21861" xr:uid="{00000000-0005-0000-0000-00001D7C0000}"/>
    <cellStyle name="Normal 5 7 2 2 2 6 5" xfId="20043" xr:uid="{00000000-0005-0000-0000-00001E7C0000}"/>
    <cellStyle name="Normal 5 7 2 2 2 7" xfId="6929" xr:uid="{00000000-0005-0000-0000-00001F7C0000}"/>
    <cellStyle name="Normal 5 7 2 2 2 7 2" xfId="14192" xr:uid="{00000000-0005-0000-0000-0000207C0000}"/>
    <cellStyle name="Normal 5 7 2 2 2 7 2 2" xfId="30507" xr:uid="{00000000-0005-0000-0000-0000217C0000}"/>
    <cellStyle name="Normal 5 7 2 2 2 7 3" xfId="23542" xr:uid="{00000000-0005-0000-0000-0000227C0000}"/>
    <cellStyle name="Normal 5 7 2 2 2 8" xfId="10243" xr:uid="{00000000-0005-0000-0000-0000237C0000}"/>
    <cellStyle name="Normal 5 7 2 2 2 8 2" xfId="26842" xr:uid="{00000000-0005-0000-0000-0000247C0000}"/>
    <cellStyle name="Normal 5 7 2 2 2 9" xfId="4918" xr:uid="{00000000-0005-0000-0000-0000257C0000}"/>
    <cellStyle name="Normal 5 7 2 2 2 9 2" xfId="21641" xr:uid="{00000000-0005-0000-0000-0000267C0000}"/>
    <cellStyle name="Normal 5 7 2 2 3" xfId="978" xr:uid="{00000000-0005-0000-0000-0000277C0000}"/>
    <cellStyle name="Normal 5 7 2 2 3 2" xfId="1261" xr:uid="{00000000-0005-0000-0000-0000287C0000}"/>
    <cellStyle name="Normal 5 7 2 2 3 2 2" xfId="1782" xr:uid="{00000000-0005-0000-0000-0000297C0000}"/>
    <cellStyle name="Normal 5 7 2 2 3 2 2 2" xfId="3335" xr:uid="{00000000-0005-0000-0000-00002A7C0000}"/>
    <cellStyle name="Normal 5 7 2 2 3 2 2 2 2" xfId="6676" xr:uid="{00000000-0005-0000-0000-00002B7C0000}"/>
    <cellStyle name="Normal 5 7 2 2 3 2 2 2 2 2" xfId="10027" xr:uid="{00000000-0005-0000-0000-00002C7C0000}"/>
    <cellStyle name="Normal 5 7 2 2 3 2 2 2 2 2 2" xfId="17290" xr:uid="{00000000-0005-0000-0000-00002D7C0000}"/>
    <cellStyle name="Normal 5 7 2 2 3 2 2 2 2 2 2 2" xfId="33605" xr:uid="{00000000-0005-0000-0000-00002E7C0000}"/>
    <cellStyle name="Normal 5 7 2 2 3 2 2 2 2 2 3" xfId="26640" xr:uid="{00000000-0005-0000-0000-00002F7C0000}"/>
    <cellStyle name="Normal 5 7 2 2 3 2 2 2 2 3" xfId="13369" xr:uid="{00000000-0005-0000-0000-0000307C0000}"/>
    <cellStyle name="Normal 5 7 2 2 3 2 2 2 2 3 2" xfId="29944" xr:uid="{00000000-0005-0000-0000-0000317C0000}"/>
    <cellStyle name="Normal 5 7 2 2 3 2 2 2 2 4" xfId="23340" xr:uid="{00000000-0005-0000-0000-0000327C0000}"/>
    <cellStyle name="Normal 5 7 2 2 3 2 2 2 3" xfId="8406" xr:uid="{00000000-0005-0000-0000-0000337C0000}"/>
    <cellStyle name="Normal 5 7 2 2 3 2 2 2 3 2" xfId="15669" xr:uid="{00000000-0005-0000-0000-0000347C0000}"/>
    <cellStyle name="Normal 5 7 2 2 3 2 2 2 3 2 2" xfId="31984" xr:uid="{00000000-0005-0000-0000-0000357C0000}"/>
    <cellStyle name="Normal 5 7 2 2 3 2 2 2 3 3" xfId="25019" xr:uid="{00000000-0005-0000-0000-0000367C0000}"/>
    <cellStyle name="Normal 5 7 2 2 3 2 2 2 4" xfId="11721" xr:uid="{00000000-0005-0000-0000-0000377C0000}"/>
    <cellStyle name="Normal 5 7 2 2 3 2 2 2 4 2" xfId="28319" xr:uid="{00000000-0005-0000-0000-0000387C0000}"/>
    <cellStyle name="Normal 5 7 2 2 3 2 2 2 5" xfId="4937" xr:uid="{00000000-0005-0000-0000-0000397C0000}"/>
    <cellStyle name="Normal 5 7 2 2 3 2 2 2 5 2" xfId="21660" xr:uid="{00000000-0005-0000-0000-00003A7C0000}"/>
    <cellStyle name="Normal 5 7 2 2 3 2 2 2 6" xfId="20062" xr:uid="{00000000-0005-0000-0000-00003B7C0000}"/>
    <cellStyle name="Normal 5 7 2 2 3 2 2 3" xfId="3334" xr:uid="{00000000-0005-0000-0000-00003C7C0000}"/>
    <cellStyle name="Normal 5 7 2 2 3 2 2 3 2" xfId="9251" xr:uid="{00000000-0005-0000-0000-00003D7C0000}"/>
    <cellStyle name="Normal 5 7 2 2 3 2 2 3 2 2" xfId="16514" xr:uid="{00000000-0005-0000-0000-00003E7C0000}"/>
    <cellStyle name="Normal 5 7 2 2 3 2 2 3 2 2 2" xfId="32829" xr:uid="{00000000-0005-0000-0000-00003F7C0000}"/>
    <cellStyle name="Normal 5 7 2 2 3 2 2 3 2 3" xfId="25864" xr:uid="{00000000-0005-0000-0000-0000407C0000}"/>
    <cellStyle name="Normal 5 7 2 2 3 2 2 3 3" xfId="12593" xr:uid="{00000000-0005-0000-0000-0000417C0000}"/>
    <cellStyle name="Normal 5 7 2 2 3 2 2 3 3 2" xfId="29168" xr:uid="{00000000-0005-0000-0000-0000427C0000}"/>
    <cellStyle name="Normal 5 7 2 2 3 2 2 3 4" xfId="5900" xr:uid="{00000000-0005-0000-0000-0000437C0000}"/>
    <cellStyle name="Normal 5 7 2 2 3 2 2 3 4 2" xfId="22564" xr:uid="{00000000-0005-0000-0000-0000447C0000}"/>
    <cellStyle name="Normal 5 7 2 2 3 2 2 3 5" xfId="20061" xr:uid="{00000000-0005-0000-0000-0000457C0000}"/>
    <cellStyle name="Normal 5 7 2 2 3 2 2 4" xfId="7630" xr:uid="{00000000-0005-0000-0000-0000467C0000}"/>
    <cellStyle name="Normal 5 7 2 2 3 2 2 4 2" xfId="14893" xr:uid="{00000000-0005-0000-0000-0000477C0000}"/>
    <cellStyle name="Normal 5 7 2 2 3 2 2 4 2 2" xfId="31208" xr:uid="{00000000-0005-0000-0000-0000487C0000}"/>
    <cellStyle name="Normal 5 7 2 2 3 2 2 4 3" xfId="24243" xr:uid="{00000000-0005-0000-0000-0000497C0000}"/>
    <cellStyle name="Normal 5 7 2 2 3 2 2 5" xfId="10945" xr:uid="{00000000-0005-0000-0000-00004A7C0000}"/>
    <cellStyle name="Normal 5 7 2 2 3 2 2 5 2" xfId="27543" xr:uid="{00000000-0005-0000-0000-00004B7C0000}"/>
    <cellStyle name="Normal 5 7 2 2 3 2 2 6" xfId="4936" xr:uid="{00000000-0005-0000-0000-00004C7C0000}"/>
    <cellStyle name="Normal 5 7 2 2 3 2 2 6 2" xfId="21659" xr:uid="{00000000-0005-0000-0000-00004D7C0000}"/>
    <cellStyle name="Normal 5 7 2 2 3 2 2 7" xfId="18517" xr:uid="{00000000-0005-0000-0000-00004E7C0000}"/>
    <cellStyle name="Normal 5 7 2 2 3 2 3" xfId="3336" xr:uid="{00000000-0005-0000-0000-00004F7C0000}"/>
    <cellStyle name="Normal 5 7 2 2 3 2 3 2" xfId="6306" xr:uid="{00000000-0005-0000-0000-0000507C0000}"/>
    <cellStyle name="Normal 5 7 2 2 3 2 3 2 2" xfId="9657" xr:uid="{00000000-0005-0000-0000-0000517C0000}"/>
    <cellStyle name="Normal 5 7 2 2 3 2 3 2 2 2" xfId="16920" xr:uid="{00000000-0005-0000-0000-0000527C0000}"/>
    <cellStyle name="Normal 5 7 2 2 3 2 3 2 2 2 2" xfId="33235" xr:uid="{00000000-0005-0000-0000-0000537C0000}"/>
    <cellStyle name="Normal 5 7 2 2 3 2 3 2 2 3" xfId="26270" xr:uid="{00000000-0005-0000-0000-0000547C0000}"/>
    <cellStyle name="Normal 5 7 2 2 3 2 3 2 3" xfId="12999" xr:uid="{00000000-0005-0000-0000-0000557C0000}"/>
    <cellStyle name="Normal 5 7 2 2 3 2 3 2 3 2" xfId="29574" xr:uid="{00000000-0005-0000-0000-0000567C0000}"/>
    <cellStyle name="Normal 5 7 2 2 3 2 3 2 4" xfId="22970" xr:uid="{00000000-0005-0000-0000-0000577C0000}"/>
    <cellStyle name="Normal 5 7 2 2 3 2 3 3" xfId="8036" xr:uid="{00000000-0005-0000-0000-0000587C0000}"/>
    <cellStyle name="Normal 5 7 2 2 3 2 3 3 2" xfId="15299" xr:uid="{00000000-0005-0000-0000-0000597C0000}"/>
    <cellStyle name="Normal 5 7 2 2 3 2 3 3 2 2" xfId="31614" xr:uid="{00000000-0005-0000-0000-00005A7C0000}"/>
    <cellStyle name="Normal 5 7 2 2 3 2 3 3 3" xfId="24649" xr:uid="{00000000-0005-0000-0000-00005B7C0000}"/>
    <cellStyle name="Normal 5 7 2 2 3 2 3 4" xfId="11351" xr:uid="{00000000-0005-0000-0000-00005C7C0000}"/>
    <cellStyle name="Normal 5 7 2 2 3 2 3 4 2" xfId="27949" xr:uid="{00000000-0005-0000-0000-00005D7C0000}"/>
    <cellStyle name="Normal 5 7 2 2 3 2 3 5" xfId="4938" xr:uid="{00000000-0005-0000-0000-00005E7C0000}"/>
    <cellStyle name="Normal 5 7 2 2 3 2 3 5 2" xfId="21661" xr:uid="{00000000-0005-0000-0000-00005F7C0000}"/>
    <cellStyle name="Normal 5 7 2 2 3 2 3 6" xfId="20063" xr:uid="{00000000-0005-0000-0000-0000607C0000}"/>
    <cellStyle name="Normal 5 7 2 2 3 2 4" xfId="3333" xr:uid="{00000000-0005-0000-0000-0000617C0000}"/>
    <cellStyle name="Normal 5 7 2 2 3 2 4 2" xfId="8844" xr:uid="{00000000-0005-0000-0000-0000627C0000}"/>
    <cellStyle name="Normal 5 7 2 2 3 2 4 2 2" xfId="16107" xr:uid="{00000000-0005-0000-0000-0000637C0000}"/>
    <cellStyle name="Normal 5 7 2 2 3 2 4 2 2 2" xfId="32422" xr:uid="{00000000-0005-0000-0000-0000647C0000}"/>
    <cellStyle name="Normal 5 7 2 2 3 2 4 2 3" xfId="25457" xr:uid="{00000000-0005-0000-0000-0000657C0000}"/>
    <cellStyle name="Normal 5 7 2 2 3 2 4 3" xfId="12186" xr:uid="{00000000-0005-0000-0000-0000667C0000}"/>
    <cellStyle name="Normal 5 7 2 2 3 2 4 3 2" xfId="28761" xr:uid="{00000000-0005-0000-0000-0000677C0000}"/>
    <cellStyle name="Normal 5 7 2 2 3 2 4 4" xfId="5493" xr:uid="{00000000-0005-0000-0000-0000687C0000}"/>
    <cellStyle name="Normal 5 7 2 2 3 2 4 4 2" xfId="22157" xr:uid="{00000000-0005-0000-0000-0000697C0000}"/>
    <cellStyle name="Normal 5 7 2 2 3 2 4 5" xfId="20060" xr:uid="{00000000-0005-0000-0000-00006A7C0000}"/>
    <cellStyle name="Normal 5 7 2 2 3 2 5" xfId="7224" xr:uid="{00000000-0005-0000-0000-00006B7C0000}"/>
    <cellStyle name="Normal 5 7 2 2 3 2 5 2" xfId="14487" xr:uid="{00000000-0005-0000-0000-00006C7C0000}"/>
    <cellStyle name="Normal 5 7 2 2 3 2 5 2 2" xfId="30802" xr:uid="{00000000-0005-0000-0000-00006D7C0000}"/>
    <cellStyle name="Normal 5 7 2 2 3 2 5 3" xfId="23837" xr:uid="{00000000-0005-0000-0000-00006E7C0000}"/>
    <cellStyle name="Normal 5 7 2 2 3 2 6" xfId="10539" xr:uid="{00000000-0005-0000-0000-00006F7C0000}"/>
    <cellStyle name="Normal 5 7 2 2 3 2 6 2" xfId="27137" xr:uid="{00000000-0005-0000-0000-0000707C0000}"/>
    <cellStyle name="Normal 5 7 2 2 3 2 7" xfId="4935" xr:uid="{00000000-0005-0000-0000-0000717C0000}"/>
    <cellStyle name="Normal 5 7 2 2 3 2 7 2" xfId="21658" xr:uid="{00000000-0005-0000-0000-0000727C0000}"/>
    <cellStyle name="Normal 5 7 2 2 3 2 8" xfId="17998" xr:uid="{00000000-0005-0000-0000-0000737C0000}"/>
    <cellStyle name="Normal 5 7 2 2 3 3" xfId="1540" xr:uid="{00000000-0005-0000-0000-0000747C0000}"/>
    <cellStyle name="Normal 5 7 2 2 3 3 2" xfId="3338" xr:uid="{00000000-0005-0000-0000-0000757C0000}"/>
    <cellStyle name="Normal 5 7 2 2 3 3 2 2" xfId="6500" xr:uid="{00000000-0005-0000-0000-0000767C0000}"/>
    <cellStyle name="Normal 5 7 2 2 3 3 2 2 2" xfId="9851" xr:uid="{00000000-0005-0000-0000-0000777C0000}"/>
    <cellStyle name="Normal 5 7 2 2 3 3 2 2 2 2" xfId="17114" xr:uid="{00000000-0005-0000-0000-0000787C0000}"/>
    <cellStyle name="Normal 5 7 2 2 3 3 2 2 2 2 2" xfId="33429" xr:uid="{00000000-0005-0000-0000-0000797C0000}"/>
    <cellStyle name="Normal 5 7 2 2 3 3 2 2 2 3" xfId="26464" xr:uid="{00000000-0005-0000-0000-00007A7C0000}"/>
    <cellStyle name="Normal 5 7 2 2 3 3 2 2 3" xfId="13193" xr:uid="{00000000-0005-0000-0000-00007B7C0000}"/>
    <cellStyle name="Normal 5 7 2 2 3 3 2 2 3 2" xfId="29768" xr:uid="{00000000-0005-0000-0000-00007C7C0000}"/>
    <cellStyle name="Normal 5 7 2 2 3 3 2 2 4" xfId="23164" xr:uid="{00000000-0005-0000-0000-00007D7C0000}"/>
    <cellStyle name="Normal 5 7 2 2 3 3 2 3" xfId="8230" xr:uid="{00000000-0005-0000-0000-00007E7C0000}"/>
    <cellStyle name="Normal 5 7 2 2 3 3 2 3 2" xfId="15493" xr:uid="{00000000-0005-0000-0000-00007F7C0000}"/>
    <cellStyle name="Normal 5 7 2 2 3 3 2 3 2 2" xfId="31808" xr:uid="{00000000-0005-0000-0000-0000807C0000}"/>
    <cellStyle name="Normal 5 7 2 2 3 3 2 3 3" xfId="24843" xr:uid="{00000000-0005-0000-0000-0000817C0000}"/>
    <cellStyle name="Normal 5 7 2 2 3 3 2 4" xfId="11545" xr:uid="{00000000-0005-0000-0000-0000827C0000}"/>
    <cellStyle name="Normal 5 7 2 2 3 3 2 4 2" xfId="28143" xr:uid="{00000000-0005-0000-0000-0000837C0000}"/>
    <cellStyle name="Normal 5 7 2 2 3 3 2 5" xfId="4940" xr:uid="{00000000-0005-0000-0000-0000847C0000}"/>
    <cellStyle name="Normal 5 7 2 2 3 3 2 5 2" xfId="21663" xr:uid="{00000000-0005-0000-0000-0000857C0000}"/>
    <cellStyle name="Normal 5 7 2 2 3 3 2 6" xfId="20065" xr:uid="{00000000-0005-0000-0000-0000867C0000}"/>
    <cellStyle name="Normal 5 7 2 2 3 3 3" xfId="3337" xr:uid="{00000000-0005-0000-0000-0000877C0000}"/>
    <cellStyle name="Normal 5 7 2 2 3 3 3 2" xfId="9039" xr:uid="{00000000-0005-0000-0000-0000887C0000}"/>
    <cellStyle name="Normal 5 7 2 2 3 3 3 2 2" xfId="16302" xr:uid="{00000000-0005-0000-0000-0000897C0000}"/>
    <cellStyle name="Normal 5 7 2 2 3 3 3 2 2 2" xfId="32617" xr:uid="{00000000-0005-0000-0000-00008A7C0000}"/>
    <cellStyle name="Normal 5 7 2 2 3 3 3 2 3" xfId="25652" xr:uid="{00000000-0005-0000-0000-00008B7C0000}"/>
    <cellStyle name="Normal 5 7 2 2 3 3 3 3" xfId="12381" xr:uid="{00000000-0005-0000-0000-00008C7C0000}"/>
    <cellStyle name="Normal 5 7 2 2 3 3 3 3 2" xfId="28956" xr:uid="{00000000-0005-0000-0000-00008D7C0000}"/>
    <cellStyle name="Normal 5 7 2 2 3 3 3 4" xfId="5688" xr:uid="{00000000-0005-0000-0000-00008E7C0000}"/>
    <cellStyle name="Normal 5 7 2 2 3 3 3 4 2" xfId="22352" xr:uid="{00000000-0005-0000-0000-00008F7C0000}"/>
    <cellStyle name="Normal 5 7 2 2 3 3 3 5" xfId="20064" xr:uid="{00000000-0005-0000-0000-0000907C0000}"/>
    <cellStyle name="Normal 5 7 2 2 3 3 4" xfId="7418" xr:uid="{00000000-0005-0000-0000-0000917C0000}"/>
    <cellStyle name="Normal 5 7 2 2 3 3 4 2" xfId="14681" xr:uid="{00000000-0005-0000-0000-0000927C0000}"/>
    <cellStyle name="Normal 5 7 2 2 3 3 4 2 2" xfId="30996" xr:uid="{00000000-0005-0000-0000-0000937C0000}"/>
    <cellStyle name="Normal 5 7 2 2 3 3 4 3" xfId="24031" xr:uid="{00000000-0005-0000-0000-0000947C0000}"/>
    <cellStyle name="Normal 5 7 2 2 3 3 5" xfId="10733" xr:uid="{00000000-0005-0000-0000-0000957C0000}"/>
    <cellStyle name="Normal 5 7 2 2 3 3 5 2" xfId="27331" xr:uid="{00000000-0005-0000-0000-0000967C0000}"/>
    <cellStyle name="Normal 5 7 2 2 3 3 6" xfId="4939" xr:uid="{00000000-0005-0000-0000-0000977C0000}"/>
    <cellStyle name="Normal 5 7 2 2 3 3 6 2" xfId="21662" xr:uid="{00000000-0005-0000-0000-0000987C0000}"/>
    <cellStyle name="Normal 5 7 2 2 3 3 7" xfId="18275" xr:uid="{00000000-0005-0000-0000-0000997C0000}"/>
    <cellStyle name="Normal 5 7 2 2 3 4" xfId="3339" xr:uid="{00000000-0005-0000-0000-00009A7C0000}"/>
    <cellStyle name="Normal 5 7 2 2 3 4 2" xfId="6094" xr:uid="{00000000-0005-0000-0000-00009B7C0000}"/>
    <cellStyle name="Normal 5 7 2 2 3 4 2 2" xfId="9445" xr:uid="{00000000-0005-0000-0000-00009C7C0000}"/>
    <cellStyle name="Normal 5 7 2 2 3 4 2 2 2" xfId="16708" xr:uid="{00000000-0005-0000-0000-00009D7C0000}"/>
    <cellStyle name="Normal 5 7 2 2 3 4 2 2 2 2" xfId="33023" xr:uid="{00000000-0005-0000-0000-00009E7C0000}"/>
    <cellStyle name="Normal 5 7 2 2 3 4 2 2 3" xfId="26058" xr:uid="{00000000-0005-0000-0000-00009F7C0000}"/>
    <cellStyle name="Normal 5 7 2 2 3 4 2 3" xfId="12787" xr:uid="{00000000-0005-0000-0000-0000A07C0000}"/>
    <cellStyle name="Normal 5 7 2 2 3 4 2 3 2" xfId="29362" xr:uid="{00000000-0005-0000-0000-0000A17C0000}"/>
    <cellStyle name="Normal 5 7 2 2 3 4 2 4" xfId="22758" xr:uid="{00000000-0005-0000-0000-0000A27C0000}"/>
    <cellStyle name="Normal 5 7 2 2 3 4 3" xfId="7824" xr:uid="{00000000-0005-0000-0000-0000A37C0000}"/>
    <cellStyle name="Normal 5 7 2 2 3 4 3 2" xfId="15087" xr:uid="{00000000-0005-0000-0000-0000A47C0000}"/>
    <cellStyle name="Normal 5 7 2 2 3 4 3 2 2" xfId="31402" xr:uid="{00000000-0005-0000-0000-0000A57C0000}"/>
    <cellStyle name="Normal 5 7 2 2 3 4 3 3" xfId="24437" xr:uid="{00000000-0005-0000-0000-0000A67C0000}"/>
    <cellStyle name="Normal 5 7 2 2 3 4 4" xfId="11139" xr:uid="{00000000-0005-0000-0000-0000A77C0000}"/>
    <cellStyle name="Normal 5 7 2 2 3 4 4 2" xfId="27737" xr:uid="{00000000-0005-0000-0000-0000A87C0000}"/>
    <cellStyle name="Normal 5 7 2 2 3 4 5" xfId="4941" xr:uid="{00000000-0005-0000-0000-0000A97C0000}"/>
    <cellStyle name="Normal 5 7 2 2 3 4 5 2" xfId="21664" xr:uid="{00000000-0005-0000-0000-0000AA7C0000}"/>
    <cellStyle name="Normal 5 7 2 2 3 4 6" xfId="20066" xr:uid="{00000000-0005-0000-0000-0000AB7C0000}"/>
    <cellStyle name="Normal 5 7 2 2 3 5" xfId="3332" xr:uid="{00000000-0005-0000-0000-0000AC7C0000}"/>
    <cellStyle name="Normal 5 7 2 2 3 5 2" xfId="8601" xr:uid="{00000000-0005-0000-0000-0000AD7C0000}"/>
    <cellStyle name="Normal 5 7 2 2 3 5 2 2" xfId="15864" xr:uid="{00000000-0005-0000-0000-0000AE7C0000}"/>
    <cellStyle name="Normal 5 7 2 2 3 5 2 2 2" xfId="32179" xr:uid="{00000000-0005-0000-0000-0000AF7C0000}"/>
    <cellStyle name="Normal 5 7 2 2 3 5 2 3" xfId="25214" xr:uid="{00000000-0005-0000-0000-0000B07C0000}"/>
    <cellStyle name="Normal 5 7 2 2 3 5 3" xfId="11943" xr:uid="{00000000-0005-0000-0000-0000B17C0000}"/>
    <cellStyle name="Normal 5 7 2 2 3 5 3 2" xfId="28518" xr:uid="{00000000-0005-0000-0000-0000B27C0000}"/>
    <cellStyle name="Normal 5 7 2 2 3 5 4" xfId="5250" xr:uid="{00000000-0005-0000-0000-0000B37C0000}"/>
    <cellStyle name="Normal 5 7 2 2 3 5 4 2" xfId="21914" xr:uid="{00000000-0005-0000-0000-0000B47C0000}"/>
    <cellStyle name="Normal 5 7 2 2 3 5 5" xfId="20059" xr:uid="{00000000-0005-0000-0000-0000B57C0000}"/>
    <cellStyle name="Normal 5 7 2 2 3 6" xfId="6982" xr:uid="{00000000-0005-0000-0000-0000B67C0000}"/>
    <cellStyle name="Normal 5 7 2 2 3 6 2" xfId="14245" xr:uid="{00000000-0005-0000-0000-0000B77C0000}"/>
    <cellStyle name="Normal 5 7 2 2 3 6 2 2" xfId="30560" xr:uid="{00000000-0005-0000-0000-0000B87C0000}"/>
    <cellStyle name="Normal 5 7 2 2 3 6 3" xfId="23595" xr:uid="{00000000-0005-0000-0000-0000B97C0000}"/>
    <cellStyle name="Normal 5 7 2 2 3 7" xfId="10296" xr:uid="{00000000-0005-0000-0000-0000BA7C0000}"/>
    <cellStyle name="Normal 5 7 2 2 3 7 2" xfId="26895" xr:uid="{00000000-0005-0000-0000-0000BB7C0000}"/>
    <cellStyle name="Normal 5 7 2 2 3 8" xfId="4934" xr:uid="{00000000-0005-0000-0000-0000BC7C0000}"/>
    <cellStyle name="Normal 5 7 2 2 3 8 2" xfId="21657" xr:uid="{00000000-0005-0000-0000-0000BD7C0000}"/>
    <cellStyle name="Normal 5 7 2 2 3 9" xfId="17756" xr:uid="{00000000-0005-0000-0000-0000BE7C0000}"/>
    <cellStyle name="Normal 5 7 2 2 4" xfId="1258" xr:uid="{00000000-0005-0000-0000-0000BF7C0000}"/>
    <cellStyle name="Normal 5 7 2 2 4 2" xfId="1779" xr:uid="{00000000-0005-0000-0000-0000C07C0000}"/>
    <cellStyle name="Normal 5 7 2 2 4 2 2" xfId="3342" xr:uid="{00000000-0005-0000-0000-0000C17C0000}"/>
    <cellStyle name="Normal 5 7 2 2 4 2 2 2" xfId="6673" xr:uid="{00000000-0005-0000-0000-0000C27C0000}"/>
    <cellStyle name="Normal 5 7 2 2 4 2 2 2 2" xfId="10024" xr:uid="{00000000-0005-0000-0000-0000C37C0000}"/>
    <cellStyle name="Normal 5 7 2 2 4 2 2 2 2 2" xfId="17287" xr:uid="{00000000-0005-0000-0000-0000C47C0000}"/>
    <cellStyle name="Normal 5 7 2 2 4 2 2 2 2 2 2" xfId="33602" xr:uid="{00000000-0005-0000-0000-0000C57C0000}"/>
    <cellStyle name="Normal 5 7 2 2 4 2 2 2 2 3" xfId="26637" xr:uid="{00000000-0005-0000-0000-0000C67C0000}"/>
    <cellStyle name="Normal 5 7 2 2 4 2 2 2 3" xfId="13366" xr:uid="{00000000-0005-0000-0000-0000C77C0000}"/>
    <cellStyle name="Normal 5 7 2 2 4 2 2 2 3 2" xfId="29941" xr:uid="{00000000-0005-0000-0000-0000C87C0000}"/>
    <cellStyle name="Normal 5 7 2 2 4 2 2 2 4" xfId="23337" xr:uid="{00000000-0005-0000-0000-0000C97C0000}"/>
    <cellStyle name="Normal 5 7 2 2 4 2 2 3" xfId="8403" xr:uid="{00000000-0005-0000-0000-0000CA7C0000}"/>
    <cellStyle name="Normal 5 7 2 2 4 2 2 3 2" xfId="15666" xr:uid="{00000000-0005-0000-0000-0000CB7C0000}"/>
    <cellStyle name="Normal 5 7 2 2 4 2 2 3 2 2" xfId="31981" xr:uid="{00000000-0005-0000-0000-0000CC7C0000}"/>
    <cellStyle name="Normal 5 7 2 2 4 2 2 3 3" xfId="25016" xr:uid="{00000000-0005-0000-0000-0000CD7C0000}"/>
    <cellStyle name="Normal 5 7 2 2 4 2 2 4" xfId="11718" xr:uid="{00000000-0005-0000-0000-0000CE7C0000}"/>
    <cellStyle name="Normal 5 7 2 2 4 2 2 4 2" xfId="28316" xr:uid="{00000000-0005-0000-0000-0000CF7C0000}"/>
    <cellStyle name="Normal 5 7 2 2 4 2 2 5" xfId="4944" xr:uid="{00000000-0005-0000-0000-0000D07C0000}"/>
    <cellStyle name="Normal 5 7 2 2 4 2 2 5 2" xfId="21667" xr:uid="{00000000-0005-0000-0000-0000D17C0000}"/>
    <cellStyle name="Normal 5 7 2 2 4 2 2 6" xfId="20069" xr:uid="{00000000-0005-0000-0000-0000D27C0000}"/>
    <cellStyle name="Normal 5 7 2 2 4 2 3" xfId="3341" xr:uid="{00000000-0005-0000-0000-0000D37C0000}"/>
    <cellStyle name="Normal 5 7 2 2 4 2 3 2" xfId="9248" xr:uid="{00000000-0005-0000-0000-0000D47C0000}"/>
    <cellStyle name="Normal 5 7 2 2 4 2 3 2 2" xfId="16511" xr:uid="{00000000-0005-0000-0000-0000D57C0000}"/>
    <cellStyle name="Normal 5 7 2 2 4 2 3 2 2 2" xfId="32826" xr:uid="{00000000-0005-0000-0000-0000D67C0000}"/>
    <cellStyle name="Normal 5 7 2 2 4 2 3 2 3" xfId="25861" xr:uid="{00000000-0005-0000-0000-0000D77C0000}"/>
    <cellStyle name="Normal 5 7 2 2 4 2 3 3" xfId="12590" xr:uid="{00000000-0005-0000-0000-0000D87C0000}"/>
    <cellStyle name="Normal 5 7 2 2 4 2 3 3 2" xfId="29165" xr:uid="{00000000-0005-0000-0000-0000D97C0000}"/>
    <cellStyle name="Normal 5 7 2 2 4 2 3 4" xfId="5897" xr:uid="{00000000-0005-0000-0000-0000DA7C0000}"/>
    <cellStyle name="Normal 5 7 2 2 4 2 3 4 2" xfId="22561" xr:uid="{00000000-0005-0000-0000-0000DB7C0000}"/>
    <cellStyle name="Normal 5 7 2 2 4 2 3 5" xfId="20068" xr:uid="{00000000-0005-0000-0000-0000DC7C0000}"/>
    <cellStyle name="Normal 5 7 2 2 4 2 4" xfId="7627" xr:uid="{00000000-0005-0000-0000-0000DD7C0000}"/>
    <cellStyle name="Normal 5 7 2 2 4 2 4 2" xfId="14890" xr:uid="{00000000-0005-0000-0000-0000DE7C0000}"/>
    <cellStyle name="Normal 5 7 2 2 4 2 4 2 2" xfId="31205" xr:uid="{00000000-0005-0000-0000-0000DF7C0000}"/>
    <cellStyle name="Normal 5 7 2 2 4 2 4 3" xfId="24240" xr:uid="{00000000-0005-0000-0000-0000E07C0000}"/>
    <cellStyle name="Normal 5 7 2 2 4 2 5" xfId="10942" xr:uid="{00000000-0005-0000-0000-0000E17C0000}"/>
    <cellStyle name="Normal 5 7 2 2 4 2 5 2" xfId="27540" xr:uid="{00000000-0005-0000-0000-0000E27C0000}"/>
    <cellStyle name="Normal 5 7 2 2 4 2 6" xfId="4943" xr:uid="{00000000-0005-0000-0000-0000E37C0000}"/>
    <cellStyle name="Normal 5 7 2 2 4 2 6 2" xfId="21666" xr:uid="{00000000-0005-0000-0000-0000E47C0000}"/>
    <cellStyle name="Normal 5 7 2 2 4 2 7" xfId="18514" xr:uid="{00000000-0005-0000-0000-0000E57C0000}"/>
    <cellStyle name="Normal 5 7 2 2 4 3" xfId="3343" xr:uid="{00000000-0005-0000-0000-0000E67C0000}"/>
    <cellStyle name="Normal 5 7 2 2 4 3 2" xfId="6303" xr:uid="{00000000-0005-0000-0000-0000E77C0000}"/>
    <cellStyle name="Normal 5 7 2 2 4 3 2 2" xfId="9654" xr:uid="{00000000-0005-0000-0000-0000E87C0000}"/>
    <cellStyle name="Normal 5 7 2 2 4 3 2 2 2" xfId="16917" xr:uid="{00000000-0005-0000-0000-0000E97C0000}"/>
    <cellStyle name="Normal 5 7 2 2 4 3 2 2 2 2" xfId="33232" xr:uid="{00000000-0005-0000-0000-0000EA7C0000}"/>
    <cellStyle name="Normal 5 7 2 2 4 3 2 2 3" xfId="26267" xr:uid="{00000000-0005-0000-0000-0000EB7C0000}"/>
    <cellStyle name="Normal 5 7 2 2 4 3 2 3" xfId="12996" xr:uid="{00000000-0005-0000-0000-0000EC7C0000}"/>
    <cellStyle name="Normal 5 7 2 2 4 3 2 3 2" xfId="29571" xr:uid="{00000000-0005-0000-0000-0000ED7C0000}"/>
    <cellStyle name="Normal 5 7 2 2 4 3 2 4" xfId="22967" xr:uid="{00000000-0005-0000-0000-0000EE7C0000}"/>
    <cellStyle name="Normal 5 7 2 2 4 3 3" xfId="8033" xr:uid="{00000000-0005-0000-0000-0000EF7C0000}"/>
    <cellStyle name="Normal 5 7 2 2 4 3 3 2" xfId="15296" xr:uid="{00000000-0005-0000-0000-0000F07C0000}"/>
    <cellStyle name="Normal 5 7 2 2 4 3 3 2 2" xfId="31611" xr:uid="{00000000-0005-0000-0000-0000F17C0000}"/>
    <cellStyle name="Normal 5 7 2 2 4 3 3 3" xfId="24646" xr:uid="{00000000-0005-0000-0000-0000F27C0000}"/>
    <cellStyle name="Normal 5 7 2 2 4 3 4" xfId="11348" xr:uid="{00000000-0005-0000-0000-0000F37C0000}"/>
    <cellStyle name="Normal 5 7 2 2 4 3 4 2" xfId="27946" xr:uid="{00000000-0005-0000-0000-0000F47C0000}"/>
    <cellStyle name="Normal 5 7 2 2 4 3 5" xfId="4945" xr:uid="{00000000-0005-0000-0000-0000F57C0000}"/>
    <cellStyle name="Normal 5 7 2 2 4 3 5 2" xfId="21668" xr:uid="{00000000-0005-0000-0000-0000F67C0000}"/>
    <cellStyle name="Normal 5 7 2 2 4 3 6" xfId="20070" xr:uid="{00000000-0005-0000-0000-0000F77C0000}"/>
    <cellStyle name="Normal 5 7 2 2 4 4" xfId="3340" xr:uid="{00000000-0005-0000-0000-0000F87C0000}"/>
    <cellStyle name="Normal 5 7 2 2 4 4 2" xfId="8841" xr:uid="{00000000-0005-0000-0000-0000F97C0000}"/>
    <cellStyle name="Normal 5 7 2 2 4 4 2 2" xfId="16104" xr:uid="{00000000-0005-0000-0000-0000FA7C0000}"/>
    <cellStyle name="Normal 5 7 2 2 4 4 2 2 2" xfId="32419" xr:uid="{00000000-0005-0000-0000-0000FB7C0000}"/>
    <cellStyle name="Normal 5 7 2 2 4 4 2 3" xfId="25454" xr:uid="{00000000-0005-0000-0000-0000FC7C0000}"/>
    <cellStyle name="Normal 5 7 2 2 4 4 3" xfId="12183" xr:uid="{00000000-0005-0000-0000-0000FD7C0000}"/>
    <cellStyle name="Normal 5 7 2 2 4 4 3 2" xfId="28758" xr:uid="{00000000-0005-0000-0000-0000FE7C0000}"/>
    <cellStyle name="Normal 5 7 2 2 4 4 4" xfId="5490" xr:uid="{00000000-0005-0000-0000-0000FF7C0000}"/>
    <cellStyle name="Normal 5 7 2 2 4 4 4 2" xfId="22154" xr:uid="{00000000-0005-0000-0000-0000007D0000}"/>
    <cellStyle name="Normal 5 7 2 2 4 4 5" xfId="20067" xr:uid="{00000000-0005-0000-0000-0000017D0000}"/>
    <cellStyle name="Normal 5 7 2 2 4 5" xfId="7221" xr:uid="{00000000-0005-0000-0000-0000027D0000}"/>
    <cellStyle name="Normal 5 7 2 2 4 5 2" xfId="14484" xr:uid="{00000000-0005-0000-0000-0000037D0000}"/>
    <cellStyle name="Normal 5 7 2 2 4 5 2 2" xfId="30799" xr:uid="{00000000-0005-0000-0000-0000047D0000}"/>
    <cellStyle name="Normal 5 7 2 2 4 5 3" xfId="23834" xr:uid="{00000000-0005-0000-0000-0000057D0000}"/>
    <cellStyle name="Normal 5 7 2 2 4 6" xfId="10536" xr:uid="{00000000-0005-0000-0000-0000067D0000}"/>
    <cellStyle name="Normal 5 7 2 2 4 6 2" xfId="27134" xr:uid="{00000000-0005-0000-0000-0000077D0000}"/>
    <cellStyle name="Normal 5 7 2 2 4 7" xfId="4942" xr:uid="{00000000-0005-0000-0000-0000087D0000}"/>
    <cellStyle name="Normal 5 7 2 2 4 7 2" xfId="21665" xr:uid="{00000000-0005-0000-0000-0000097D0000}"/>
    <cellStyle name="Normal 5 7 2 2 4 8" xfId="17995" xr:uid="{00000000-0005-0000-0000-00000A7D0000}"/>
    <cellStyle name="Normal 5 7 2 2 5" xfId="868" xr:uid="{00000000-0005-0000-0000-00000B7D0000}"/>
    <cellStyle name="Normal 5 7 2 2 5 2" xfId="1437" xr:uid="{00000000-0005-0000-0000-00000C7D0000}"/>
    <cellStyle name="Normal 5 7 2 2 5 2 2" xfId="3345" xr:uid="{00000000-0005-0000-0000-00000D7D0000}"/>
    <cellStyle name="Normal 5 7 2 2 5 2 2 2" xfId="9848" xr:uid="{00000000-0005-0000-0000-00000E7D0000}"/>
    <cellStyle name="Normal 5 7 2 2 5 2 2 2 2" xfId="17111" xr:uid="{00000000-0005-0000-0000-00000F7D0000}"/>
    <cellStyle name="Normal 5 7 2 2 5 2 2 2 2 2" xfId="33426" xr:uid="{00000000-0005-0000-0000-0000107D0000}"/>
    <cellStyle name="Normal 5 7 2 2 5 2 2 2 3" xfId="26461" xr:uid="{00000000-0005-0000-0000-0000117D0000}"/>
    <cellStyle name="Normal 5 7 2 2 5 2 2 3" xfId="13190" xr:uid="{00000000-0005-0000-0000-0000127D0000}"/>
    <cellStyle name="Normal 5 7 2 2 5 2 2 3 2" xfId="29765" xr:uid="{00000000-0005-0000-0000-0000137D0000}"/>
    <cellStyle name="Normal 5 7 2 2 5 2 2 4" xfId="6497" xr:uid="{00000000-0005-0000-0000-0000147D0000}"/>
    <cellStyle name="Normal 5 7 2 2 5 2 2 4 2" xfId="23161" xr:uid="{00000000-0005-0000-0000-0000157D0000}"/>
    <cellStyle name="Normal 5 7 2 2 5 2 2 5" xfId="20072" xr:uid="{00000000-0005-0000-0000-0000167D0000}"/>
    <cellStyle name="Normal 5 7 2 2 5 2 3" xfId="8227" xr:uid="{00000000-0005-0000-0000-0000177D0000}"/>
    <cellStyle name="Normal 5 7 2 2 5 2 3 2" xfId="15490" xr:uid="{00000000-0005-0000-0000-0000187D0000}"/>
    <cellStyle name="Normal 5 7 2 2 5 2 3 2 2" xfId="31805" xr:uid="{00000000-0005-0000-0000-0000197D0000}"/>
    <cellStyle name="Normal 5 7 2 2 5 2 3 3" xfId="24840" xr:uid="{00000000-0005-0000-0000-00001A7D0000}"/>
    <cellStyle name="Normal 5 7 2 2 5 2 4" xfId="11542" xr:uid="{00000000-0005-0000-0000-00001B7D0000}"/>
    <cellStyle name="Normal 5 7 2 2 5 2 4 2" xfId="28140" xr:uid="{00000000-0005-0000-0000-00001C7D0000}"/>
    <cellStyle name="Normal 5 7 2 2 5 2 5" xfId="4947" xr:uid="{00000000-0005-0000-0000-00001D7D0000}"/>
    <cellStyle name="Normal 5 7 2 2 5 2 5 2" xfId="21670" xr:uid="{00000000-0005-0000-0000-00001E7D0000}"/>
    <cellStyle name="Normal 5 7 2 2 5 2 6" xfId="18172" xr:uid="{00000000-0005-0000-0000-00001F7D0000}"/>
    <cellStyle name="Normal 5 7 2 2 5 3" xfId="3344" xr:uid="{00000000-0005-0000-0000-0000207D0000}"/>
    <cellStyle name="Normal 5 7 2 2 5 3 2" xfId="9036" xr:uid="{00000000-0005-0000-0000-0000217D0000}"/>
    <cellStyle name="Normal 5 7 2 2 5 3 2 2" xfId="16299" xr:uid="{00000000-0005-0000-0000-0000227D0000}"/>
    <cellStyle name="Normal 5 7 2 2 5 3 2 2 2" xfId="32614" xr:uid="{00000000-0005-0000-0000-0000237D0000}"/>
    <cellStyle name="Normal 5 7 2 2 5 3 2 3" xfId="25649" xr:uid="{00000000-0005-0000-0000-0000247D0000}"/>
    <cellStyle name="Normal 5 7 2 2 5 3 3" xfId="12378" xr:uid="{00000000-0005-0000-0000-0000257D0000}"/>
    <cellStyle name="Normal 5 7 2 2 5 3 3 2" xfId="28953" xr:uid="{00000000-0005-0000-0000-0000267D0000}"/>
    <cellStyle name="Normal 5 7 2 2 5 3 4" xfId="5685" xr:uid="{00000000-0005-0000-0000-0000277D0000}"/>
    <cellStyle name="Normal 5 7 2 2 5 3 4 2" xfId="22349" xr:uid="{00000000-0005-0000-0000-0000287D0000}"/>
    <cellStyle name="Normal 5 7 2 2 5 3 5" xfId="20071" xr:uid="{00000000-0005-0000-0000-0000297D0000}"/>
    <cellStyle name="Normal 5 7 2 2 5 4" xfId="7415" xr:uid="{00000000-0005-0000-0000-00002A7D0000}"/>
    <cellStyle name="Normal 5 7 2 2 5 4 2" xfId="14678" xr:uid="{00000000-0005-0000-0000-00002B7D0000}"/>
    <cellStyle name="Normal 5 7 2 2 5 4 2 2" xfId="30993" xr:uid="{00000000-0005-0000-0000-00002C7D0000}"/>
    <cellStyle name="Normal 5 7 2 2 5 4 3" xfId="24028" xr:uid="{00000000-0005-0000-0000-00002D7D0000}"/>
    <cellStyle name="Normal 5 7 2 2 5 5" xfId="10730" xr:uid="{00000000-0005-0000-0000-00002E7D0000}"/>
    <cellStyle name="Normal 5 7 2 2 5 5 2" xfId="27328" xr:uid="{00000000-0005-0000-0000-00002F7D0000}"/>
    <cellStyle name="Normal 5 7 2 2 5 6" xfId="4946" xr:uid="{00000000-0005-0000-0000-0000307D0000}"/>
    <cellStyle name="Normal 5 7 2 2 5 6 2" xfId="21669" xr:uid="{00000000-0005-0000-0000-0000317D0000}"/>
    <cellStyle name="Normal 5 7 2 2 5 7" xfId="17653" xr:uid="{00000000-0005-0000-0000-0000327D0000}"/>
    <cellStyle name="Normal 5 7 2 2 6" xfId="803" xr:uid="{00000000-0005-0000-0000-0000337D0000}"/>
    <cellStyle name="Normal 5 7 2 2 6 2" xfId="3346" xr:uid="{00000000-0005-0000-0000-0000347D0000}"/>
    <cellStyle name="Normal 5 7 2 2 6 2 2" xfId="9442" xr:uid="{00000000-0005-0000-0000-0000357D0000}"/>
    <cellStyle name="Normal 5 7 2 2 6 2 2 2" xfId="16705" xr:uid="{00000000-0005-0000-0000-0000367D0000}"/>
    <cellStyle name="Normal 5 7 2 2 6 2 2 2 2" xfId="33020" xr:uid="{00000000-0005-0000-0000-0000377D0000}"/>
    <cellStyle name="Normal 5 7 2 2 6 2 2 3" xfId="26055" xr:uid="{00000000-0005-0000-0000-0000387D0000}"/>
    <cellStyle name="Normal 5 7 2 2 6 2 3" xfId="12784" xr:uid="{00000000-0005-0000-0000-0000397D0000}"/>
    <cellStyle name="Normal 5 7 2 2 6 2 3 2" xfId="29359" xr:uid="{00000000-0005-0000-0000-00003A7D0000}"/>
    <cellStyle name="Normal 5 7 2 2 6 2 4" xfId="6091" xr:uid="{00000000-0005-0000-0000-00003B7D0000}"/>
    <cellStyle name="Normal 5 7 2 2 6 2 4 2" xfId="22755" xr:uid="{00000000-0005-0000-0000-00003C7D0000}"/>
    <cellStyle name="Normal 5 7 2 2 6 2 5" xfId="20073" xr:uid="{00000000-0005-0000-0000-00003D7D0000}"/>
    <cellStyle name="Normal 5 7 2 2 6 3" xfId="7821" xr:uid="{00000000-0005-0000-0000-00003E7D0000}"/>
    <cellStyle name="Normal 5 7 2 2 6 3 2" xfId="15084" xr:uid="{00000000-0005-0000-0000-00003F7D0000}"/>
    <cellStyle name="Normal 5 7 2 2 6 3 2 2" xfId="31399" xr:uid="{00000000-0005-0000-0000-0000407D0000}"/>
    <cellStyle name="Normal 5 7 2 2 6 3 3" xfId="24434" xr:uid="{00000000-0005-0000-0000-0000417D0000}"/>
    <cellStyle name="Normal 5 7 2 2 6 4" xfId="11136" xr:uid="{00000000-0005-0000-0000-0000427D0000}"/>
    <cellStyle name="Normal 5 7 2 2 6 4 2" xfId="27734" xr:uid="{00000000-0005-0000-0000-0000437D0000}"/>
    <cellStyle name="Normal 5 7 2 2 6 5" xfId="4948" xr:uid="{00000000-0005-0000-0000-0000447D0000}"/>
    <cellStyle name="Normal 5 7 2 2 6 5 2" xfId="21671" xr:uid="{00000000-0005-0000-0000-0000457D0000}"/>
    <cellStyle name="Normal 5 7 2 2 6 6" xfId="17616" xr:uid="{00000000-0005-0000-0000-0000467D0000}"/>
    <cellStyle name="Normal 5 7 2 2 7" xfId="1400" xr:uid="{00000000-0005-0000-0000-0000477D0000}"/>
    <cellStyle name="Normal 5 7 2 2 7 2" xfId="8495" xr:uid="{00000000-0005-0000-0000-0000487D0000}"/>
    <cellStyle name="Normal 5 7 2 2 7 2 2" xfId="15758" xr:uid="{00000000-0005-0000-0000-0000497D0000}"/>
    <cellStyle name="Normal 5 7 2 2 7 2 2 2" xfId="32073" xr:uid="{00000000-0005-0000-0000-00004A7D0000}"/>
    <cellStyle name="Normal 5 7 2 2 7 2 3" xfId="25108" xr:uid="{00000000-0005-0000-0000-00004B7D0000}"/>
    <cellStyle name="Normal 5 7 2 2 7 3" xfId="11836" xr:uid="{00000000-0005-0000-0000-00004C7D0000}"/>
    <cellStyle name="Normal 5 7 2 2 7 3 2" xfId="28412" xr:uid="{00000000-0005-0000-0000-00004D7D0000}"/>
    <cellStyle name="Normal 5 7 2 2 7 4" xfId="5142" xr:uid="{00000000-0005-0000-0000-00004E7D0000}"/>
    <cellStyle name="Normal 5 7 2 2 7 4 2" xfId="21808" xr:uid="{00000000-0005-0000-0000-00004F7D0000}"/>
    <cellStyle name="Normal 5 7 2 2 7 5" xfId="18135" xr:uid="{00000000-0005-0000-0000-0000507D0000}"/>
    <cellStyle name="Normal 5 7 2 2 8" xfId="3315" xr:uid="{00000000-0005-0000-0000-0000517D0000}"/>
    <cellStyle name="Normal 5 7 2 2 8 2" xfId="14139" xr:uid="{00000000-0005-0000-0000-0000527D0000}"/>
    <cellStyle name="Normal 5 7 2 2 8 2 2" xfId="30454" xr:uid="{00000000-0005-0000-0000-0000537D0000}"/>
    <cellStyle name="Normal 5 7 2 2 8 3" xfId="6876" xr:uid="{00000000-0005-0000-0000-0000547D0000}"/>
    <cellStyle name="Normal 5 7 2 2 8 3 2" xfId="23489" xr:uid="{00000000-0005-0000-0000-0000557D0000}"/>
    <cellStyle name="Normal 5 7 2 2 8 4" xfId="20042" xr:uid="{00000000-0005-0000-0000-0000567D0000}"/>
    <cellStyle name="Normal 5 7 2 2 9" xfId="10189" xr:uid="{00000000-0005-0000-0000-0000577D0000}"/>
    <cellStyle name="Normal 5 7 2 2 9 2" xfId="26789" xr:uid="{00000000-0005-0000-0000-0000587D0000}"/>
    <cellStyle name="Normal 5 7 2 3" xfId="659" xr:uid="{00000000-0005-0000-0000-0000597D0000}"/>
    <cellStyle name="Normal 5 7 2 3 10" xfId="17476" xr:uid="{00000000-0005-0000-0000-00005A7D0000}"/>
    <cellStyle name="Normal 5 7 2 3 2" xfId="1017" xr:uid="{00000000-0005-0000-0000-00005B7D0000}"/>
    <cellStyle name="Normal 5 7 2 3 2 2" xfId="1263" xr:uid="{00000000-0005-0000-0000-00005C7D0000}"/>
    <cellStyle name="Normal 5 7 2 3 2 2 2" xfId="1784" xr:uid="{00000000-0005-0000-0000-00005D7D0000}"/>
    <cellStyle name="Normal 5 7 2 3 2 2 2 2" xfId="3351" xr:uid="{00000000-0005-0000-0000-00005E7D0000}"/>
    <cellStyle name="Normal 5 7 2 3 2 2 2 2 2" xfId="6678" xr:uid="{00000000-0005-0000-0000-00005F7D0000}"/>
    <cellStyle name="Normal 5 7 2 3 2 2 2 2 2 2" xfId="10029" xr:uid="{00000000-0005-0000-0000-0000607D0000}"/>
    <cellStyle name="Normal 5 7 2 3 2 2 2 2 2 2 2" xfId="17292" xr:uid="{00000000-0005-0000-0000-0000617D0000}"/>
    <cellStyle name="Normal 5 7 2 3 2 2 2 2 2 2 2 2" xfId="33607" xr:uid="{00000000-0005-0000-0000-0000627D0000}"/>
    <cellStyle name="Normal 5 7 2 3 2 2 2 2 2 2 3" xfId="26642" xr:uid="{00000000-0005-0000-0000-0000637D0000}"/>
    <cellStyle name="Normal 5 7 2 3 2 2 2 2 2 3" xfId="13371" xr:uid="{00000000-0005-0000-0000-0000647D0000}"/>
    <cellStyle name="Normal 5 7 2 3 2 2 2 2 2 3 2" xfId="29946" xr:uid="{00000000-0005-0000-0000-0000657D0000}"/>
    <cellStyle name="Normal 5 7 2 3 2 2 2 2 2 4" xfId="23342" xr:uid="{00000000-0005-0000-0000-0000667D0000}"/>
    <cellStyle name="Normal 5 7 2 3 2 2 2 2 3" xfId="8408" xr:uid="{00000000-0005-0000-0000-0000677D0000}"/>
    <cellStyle name="Normal 5 7 2 3 2 2 2 2 3 2" xfId="15671" xr:uid="{00000000-0005-0000-0000-0000687D0000}"/>
    <cellStyle name="Normal 5 7 2 3 2 2 2 2 3 2 2" xfId="31986" xr:uid="{00000000-0005-0000-0000-0000697D0000}"/>
    <cellStyle name="Normal 5 7 2 3 2 2 2 2 3 3" xfId="25021" xr:uid="{00000000-0005-0000-0000-00006A7D0000}"/>
    <cellStyle name="Normal 5 7 2 3 2 2 2 2 4" xfId="11723" xr:uid="{00000000-0005-0000-0000-00006B7D0000}"/>
    <cellStyle name="Normal 5 7 2 3 2 2 2 2 4 2" xfId="28321" xr:uid="{00000000-0005-0000-0000-00006C7D0000}"/>
    <cellStyle name="Normal 5 7 2 3 2 2 2 2 5" xfId="4953" xr:uid="{00000000-0005-0000-0000-00006D7D0000}"/>
    <cellStyle name="Normal 5 7 2 3 2 2 2 2 5 2" xfId="21676" xr:uid="{00000000-0005-0000-0000-00006E7D0000}"/>
    <cellStyle name="Normal 5 7 2 3 2 2 2 2 6" xfId="20078" xr:uid="{00000000-0005-0000-0000-00006F7D0000}"/>
    <cellStyle name="Normal 5 7 2 3 2 2 2 3" xfId="3350" xr:uid="{00000000-0005-0000-0000-0000707D0000}"/>
    <cellStyle name="Normal 5 7 2 3 2 2 2 3 2" xfId="9253" xr:uid="{00000000-0005-0000-0000-0000717D0000}"/>
    <cellStyle name="Normal 5 7 2 3 2 2 2 3 2 2" xfId="16516" xr:uid="{00000000-0005-0000-0000-0000727D0000}"/>
    <cellStyle name="Normal 5 7 2 3 2 2 2 3 2 2 2" xfId="32831" xr:uid="{00000000-0005-0000-0000-0000737D0000}"/>
    <cellStyle name="Normal 5 7 2 3 2 2 2 3 2 3" xfId="25866" xr:uid="{00000000-0005-0000-0000-0000747D0000}"/>
    <cellStyle name="Normal 5 7 2 3 2 2 2 3 3" xfId="12595" xr:uid="{00000000-0005-0000-0000-0000757D0000}"/>
    <cellStyle name="Normal 5 7 2 3 2 2 2 3 3 2" xfId="29170" xr:uid="{00000000-0005-0000-0000-0000767D0000}"/>
    <cellStyle name="Normal 5 7 2 3 2 2 2 3 4" xfId="5902" xr:uid="{00000000-0005-0000-0000-0000777D0000}"/>
    <cellStyle name="Normal 5 7 2 3 2 2 2 3 4 2" xfId="22566" xr:uid="{00000000-0005-0000-0000-0000787D0000}"/>
    <cellStyle name="Normal 5 7 2 3 2 2 2 3 5" xfId="20077" xr:uid="{00000000-0005-0000-0000-0000797D0000}"/>
    <cellStyle name="Normal 5 7 2 3 2 2 2 4" xfId="7632" xr:uid="{00000000-0005-0000-0000-00007A7D0000}"/>
    <cellStyle name="Normal 5 7 2 3 2 2 2 4 2" xfId="14895" xr:uid="{00000000-0005-0000-0000-00007B7D0000}"/>
    <cellStyle name="Normal 5 7 2 3 2 2 2 4 2 2" xfId="31210" xr:uid="{00000000-0005-0000-0000-00007C7D0000}"/>
    <cellStyle name="Normal 5 7 2 3 2 2 2 4 3" xfId="24245" xr:uid="{00000000-0005-0000-0000-00007D7D0000}"/>
    <cellStyle name="Normal 5 7 2 3 2 2 2 5" xfId="10947" xr:uid="{00000000-0005-0000-0000-00007E7D0000}"/>
    <cellStyle name="Normal 5 7 2 3 2 2 2 5 2" xfId="27545" xr:uid="{00000000-0005-0000-0000-00007F7D0000}"/>
    <cellStyle name="Normal 5 7 2 3 2 2 2 6" xfId="4952" xr:uid="{00000000-0005-0000-0000-0000807D0000}"/>
    <cellStyle name="Normal 5 7 2 3 2 2 2 6 2" xfId="21675" xr:uid="{00000000-0005-0000-0000-0000817D0000}"/>
    <cellStyle name="Normal 5 7 2 3 2 2 2 7" xfId="18519" xr:uid="{00000000-0005-0000-0000-0000827D0000}"/>
    <cellStyle name="Normal 5 7 2 3 2 2 3" xfId="3352" xr:uid="{00000000-0005-0000-0000-0000837D0000}"/>
    <cellStyle name="Normal 5 7 2 3 2 2 3 2" xfId="6308" xr:uid="{00000000-0005-0000-0000-0000847D0000}"/>
    <cellStyle name="Normal 5 7 2 3 2 2 3 2 2" xfId="9659" xr:uid="{00000000-0005-0000-0000-0000857D0000}"/>
    <cellStyle name="Normal 5 7 2 3 2 2 3 2 2 2" xfId="16922" xr:uid="{00000000-0005-0000-0000-0000867D0000}"/>
    <cellStyle name="Normal 5 7 2 3 2 2 3 2 2 2 2" xfId="33237" xr:uid="{00000000-0005-0000-0000-0000877D0000}"/>
    <cellStyle name="Normal 5 7 2 3 2 2 3 2 2 3" xfId="26272" xr:uid="{00000000-0005-0000-0000-0000887D0000}"/>
    <cellStyle name="Normal 5 7 2 3 2 2 3 2 3" xfId="13001" xr:uid="{00000000-0005-0000-0000-0000897D0000}"/>
    <cellStyle name="Normal 5 7 2 3 2 2 3 2 3 2" xfId="29576" xr:uid="{00000000-0005-0000-0000-00008A7D0000}"/>
    <cellStyle name="Normal 5 7 2 3 2 2 3 2 4" xfId="22972" xr:uid="{00000000-0005-0000-0000-00008B7D0000}"/>
    <cellStyle name="Normal 5 7 2 3 2 2 3 3" xfId="8038" xr:uid="{00000000-0005-0000-0000-00008C7D0000}"/>
    <cellStyle name="Normal 5 7 2 3 2 2 3 3 2" xfId="15301" xr:uid="{00000000-0005-0000-0000-00008D7D0000}"/>
    <cellStyle name="Normal 5 7 2 3 2 2 3 3 2 2" xfId="31616" xr:uid="{00000000-0005-0000-0000-00008E7D0000}"/>
    <cellStyle name="Normal 5 7 2 3 2 2 3 3 3" xfId="24651" xr:uid="{00000000-0005-0000-0000-00008F7D0000}"/>
    <cellStyle name="Normal 5 7 2 3 2 2 3 4" xfId="11353" xr:uid="{00000000-0005-0000-0000-0000907D0000}"/>
    <cellStyle name="Normal 5 7 2 3 2 2 3 4 2" xfId="27951" xr:uid="{00000000-0005-0000-0000-0000917D0000}"/>
    <cellStyle name="Normal 5 7 2 3 2 2 3 5" xfId="4954" xr:uid="{00000000-0005-0000-0000-0000927D0000}"/>
    <cellStyle name="Normal 5 7 2 3 2 2 3 5 2" xfId="21677" xr:uid="{00000000-0005-0000-0000-0000937D0000}"/>
    <cellStyle name="Normal 5 7 2 3 2 2 3 6" xfId="20079" xr:uid="{00000000-0005-0000-0000-0000947D0000}"/>
    <cellStyle name="Normal 5 7 2 3 2 2 4" xfId="3349" xr:uid="{00000000-0005-0000-0000-0000957D0000}"/>
    <cellStyle name="Normal 5 7 2 3 2 2 4 2" xfId="8846" xr:uid="{00000000-0005-0000-0000-0000967D0000}"/>
    <cellStyle name="Normal 5 7 2 3 2 2 4 2 2" xfId="16109" xr:uid="{00000000-0005-0000-0000-0000977D0000}"/>
    <cellStyle name="Normal 5 7 2 3 2 2 4 2 2 2" xfId="32424" xr:uid="{00000000-0005-0000-0000-0000987D0000}"/>
    <cellStyle name="Normal 5 7 2 3 2 2 4 2 3" xfId="25459" xr:uid="{00000000-0005-0000-0000-0000997D0000}"/>
    <cellStyle name="Normal 5 7 2 3 2 2 4 3" xfId="12188" xr:uid="{00000000-0005-0000-0000-00009A7D0000}"/>
    <cellStyle name="Normal 5 7 2 3 2 2 4 3 2" xfId="28763" xr:uid="{00000000-0005-0000-0000-00009B7D0000}"/>
    <cellStyle name="Normal 5 7 2 3 2 2 4 4" xfId="5495" xr:uid="{00000000-0005-0000-0000-00009C7D0000}"/>
    <cellStyle name="Normal 5 7 2 3 2 2 4 4 2" xfId="22159" xr:uid="{00000000-0005-0000-0000-00009D7D0000}"/>
    <cellStyle name="Normal 5 7 2 3 2 2 4 5" xfId="20076" xr:uid="{00000000-0005-0000-0000-00009E7D0000}"/>
    <cellStyle name="Normal 5 7 2 3 2 2 5" xfId="7226" xr:uid="{00000000-0005-0000-0000-00009F7D0000}"/>
    <cellStyle name="Normal 5 7 2 3 2 2 5 2" xfId="14489" xr:uid="{00000000-0005-0000-0000-0000A07D0000}"/>
    <cellStyle name="Normal 5 7 2 3 2 2 5 2 2" xfId="30804" xr:uid="{00000000-0005-0000-0000-0000A17D0000}"/>
    <cellStyle name="Normal 5 7 2 3 2 2 5 3" xfId="23839" xr:uid="{00000000-0005-0000-0000-0000A27D0000}"/>
    <cellStyle name="Normal 5 7 2 3 2 2 6" xfId="10541" xr:uid="{00000000-0005-0000-0000-0000A37D0000}"/>
    <cellStyle name="Normal 5 7 2 3 2 2 6 2" xfId="27139" xr:uid="{00000000-0005-0000-0000-0000A47D0000}"/>
    <cellStyle name="Normal 5 7 2 3 2 2 7" xfId="4951" xr:uid="{00000000-0005-0000-0000-0000A57D0000}"/>
    <cellStyle name="Normal 5 7 2 3 2 2 7 2" xfId="21674" xr:uid="{00000000-0005-0000-0000-0000A67D0000}"/>
    <cellStyle name="Normal 5 7 2 3 2 2 8" xfId="18000" xr:uid="{00000000-0005-0000-0000-0000A77D0000}"/>
    <cellStyle name="Normal 5 7 2 3 2 3" xfId="1578" xr:uid="{00000000-0005-0000-0000-0000A87D0000}"/>
    <cellStyle name="Normal 5 7 2 3 2 3 2" xfId="3354" xr:uid="{00000000-0005-0000-0000-0000A97D0000}"/>
    <cellStyle name="Normal 5 7 2 3 2 3 2 2" xfId="6502" xr:uid="{00000000-0005-0000-0000-0000AA7D0000}"/>
    <cellStyle name="Normal 5 7 2 3 2 3 2 2 2" xfId="9853" xr:uid="{00000000-0005-0000-0000-0000AB7D0000}"/>
    <cellStyle name="Normal 5 7 2 3 2 3 2 2 2 2" xfId="17116" xr:uid="{00000000-0005-0000-0000-0000AC7D0000}"/>
    <cellStyle name="Normal 5 7 2 3 2 3 2 2 2 2 2" xfId="33431" xr:uid="{00000000-0005-0000-0000-0000AD7D0000}"/>
    <cellStyle name="Normal 5 7 2 3 2 3 2 2 2 3" xfId="26466" xr:uid="{00000000-0005-0000-0000-0000AE7D0000}"/>
    <cellStyle name="Normal 5 7 2 3 2 3 2 2 3" xfId="13195" xr:uid="{00000000-0005-0000-0000-0000AF7D0000}"/>
    <cellStyle name="Normal 5 7 2 3 2 3 2 2 3 2" xfId="29770" xr:uid="{00000000-0005-0000-0000-0000B07D0000}"/>
    <cellStyle name="Normal 5 7 2 3 2 3 2 2 4" xfId="23166" xr:uid="{00000000-0005-0000-0000-0000B17D0000}"/>
    <cellStyle name="Normal 5 7 2 3 2 3 2 3" xfId="8232" xr:uid="{00000000-0005-0000-0000-0000B27D0000}"/>
    <cellStyle name="Normal 5 7 2 3 2 3 2 3 2" xfId="15495" xr:uid="{00000000-0005-0000-0000-0000B37D0000}"/>
    <cellStyle name="Normal 5 7 2 3 2 3 2 3 2 2" xfId="31810" xr:uid="{00000000-0005-0000-0000-0000B47D0000}"/>
    <cellStyle name="Normal 5 7 2 3 2 3 2 3 3" xfId="24845" xr:uid="{00000000-0005-0000-0000-0000B57D0000}"/>
    <cellStyle name="Normal 5 7 2 3 2 3 2 4" xfId="11547" xr:uid="{00000000-0005-0000-0000-0000B67D0000}"/>
    <cellStyle name="Normal 5 7 2 3 2 3 2 4 2" xfId="28145" xr:uid="{00000000-0005-0000-0000-0000B77D0000}"/>
    <cellStyle name="Normal 5 7 2 3 2 3 2 5" xfId="4956" xr:uid="{00000000-0005-0000-0000-0000B87D0000}"/>
    <cellStyle name="Normal 5 7 2 3 2 3 2 5 2" xfId="21679" xr:uid="{00000000-0005-0000-0000-0000B97D0000}"/>
    <cellStyle name="Normal 5 7 2 3 2 3 2 6" xfId="20081" xr:uid="{00000000-0005-0000-0000-0000BA7D0000}"/>
    <cellStyle name="Normal 5 7 2 3 2 3 3" xfId="3353" xr:uid="{00000000-0005-0000-0000-0000BB7D0000}"/>
    <cellStyle name="Normal 5 7 2 3 2 3 3 2" xfId="9041" xr:uid="{00000000-0005-0000-0000-0000BC7D0000}"/>
    <cellStyle name="Normal 5 7 2 3 2 3 3 2 2" xfId="16304" xr:uid="{00000000-0005-0000-0000-0000BD7D0000}"/>
    <cellStyle name="Normal 5 7 2 3 2 3 3 2 2 2" xfId="32619" xr:uid="{00000000-0005-0000-0000-0000BE7D0000}"/>
    <cellStyle name="Normal 5 7 2 3 2 3 3 2 3" xfId="25654" xr:uid="{00000000-0005-0000-0000-0000BF7D0000}"/>
    <cellStyle name="Normal 5 7 2 3 2 3 3 3" xfId="12383" xr:uid="{00000000-0005-0000-0000-0000C07D0000}"/>
    <cellStyle name="Normal 5 7 2 3 2 3 3 3 2" xfId="28958" xr:uid="{00000000-0005-0000-0000-0000C17D0000}"/>
    <cellStyle name="Normal 5 7 2 3 2 3 3 4" xfId="5690" xr:uid="{00000000-0005-0000-0000-0000C27D0000}"/>
    <cellStyle name="Normal 5 7 2 3 2 3 3 4 2" xfId="22354" xr:uid="{00000000-0005-0000-0000-0000C37D0000}"/>
    <cellStyle name="Normal 5 7 2 3 2 3 3 5" xfId="20080" xr:uid="{00000000-0005-0000-0000-0000C47D0000}"/>
    <cellStyle name="Normal 5 7 2 3 2 3 4" xfId="7420" xr:uid="{00000000-0005-0000-0000-0000C57D0000}"/>
    <cellStyle name="Normal 5 7 2 3 2 3 4 2" xfId="14683" xr:uid="{00000000-0005-0000-0000-0000C67D0000}"/>
    <cellStyle name="Normal 5 7 2 3 2 3 4 2 2" xfId="30998" xr:uid="{00000000-0005-0000-0000-0000C77D0000}"/>
    <cellStyle name="Normal 5 7 2 3 2 3 4 3" xfId="24033" xr:uid="{00000000-0005-0000-0000-0000C87D0000}"/>
    <cellStyle name="Normal 5 7 2 3 2 3 5" xfId="10735" xr:uid="{00000000-0005-0000-0000-0000C97D0000}"/>
    <cellStyle name="Normal 5 7 2 3 2 3 5 2" xfId="27333" xr:uid="{00000000-0005-0000-0000-0000CA7D0000}"/>
    <cellStyle name="Normal 5 7 2 3 2 3 6" xfId="4955" xr:uid="{00000000-0005-0000-0000-0000CB7D0000}"/>
    <cellStyle name="Normal 5 7 2 3 2 3 6 2" xfId="21678" xr:uid="{00000000-0005-0000-0000-0000CC7D0000}"/>
    <cellStyle name="Normal 5 7 2 3 2 3 7" xfId="18313" xr:uid="{00000000-0005-0000-0000-0000CD7D0000}"/>
    <cellStyle name="Normal 5 7 2 3 2 4" xfId="3355" xr:uid="{00000000-0005-0000-0000-0000CE7D0000}"/>
    <cellStyle name="Normal 5 7 2 3 2 4 2" xfId="6096" xr:uid="{00000000-0005-0000-0000-0000CF7D0000}"/>
    <cellStyle name="Normal 5 7 2 3 2 4 2 2" xfId="9447" xr:uid="{00000000-0005-0000-0000-0000D07D0000}"/>
    <cellStyle name="Normal 5 7 2 3 2 4 2 2 2" xfId="16710" xr:uid="{00000000-0005-0000-0000-0000D17D0000}"/>
    <cellStyle name="Normal 5 7 2 3 2 4 2 2 2 2" xfId="33025" xr:uid="{00000000-0005-0000-0000-0000D27D0000}"/>
    <cellStyle name="Normal 5 7 2 3 2 4 2 2 3" xfId="26060" xr:uid="{00000000-0005-0000-0000-0000D37D0000}"/>
    <cellStyle name="Normal 5 7 2 3 2 4 2 3" xfId="12789" xr:uid="{00000000-0005-0000-0000-0000D47D0000}"/>
    <cellStyle name="Normal 5 7 2 3 2 4 2 3 2" xfId="29364" xr:uid="{00000000-0005-0000-0000-0000D57D0000}"/>
    <cellStyle name="Normal 5 7 2 3 2 4 2 4" xfId="22760" xr:uid="{00000000-0005-0000-0000-0000D67D0000}"/>
    <cellStyle name="Normal 5 7 2 3 2 4 3" xfId="7826" xr:uid="{00000000-0005-0000-0000-0000D77D0000}"/>
    <cellStyle name="Normal 5 7 2 3 2 4 3 2" xfId="15089" xr:uid="{00000000-0005-0000-0000-0000D87D0000}"/>
    <cellStyle name="Normal 5 7 2 3 2 4 3 2 2" xfId="31404" xr:uid="{00000000-0005-0000-0000-0000D97D0000}"/>
    <cellStyle name="Normal 5 7 2 3 2 4 3 3" xfId="24439" xr:uid="{00000000-0005-0000-0000-0000DA7D0000}"/>
    <cellStyle name="Normal 5 7 2 3 2 4 4" xfId="11141" xr:uid="{00000000-0005-0000-0000-0000DB7D0000}"/>
    <cellStyle name="Normal 5 7 2 3 2 4 4 2" xfId="27739" xr:uid="{00000000-0005-0000-0000-0000DC7D0000}"/>
    <cellStyle name="Normal 5 7 2 3 2 4 5" xfId="4957" xr:uid="{00000000-0005-0000-0000-0000DD7D0000}"/>
    <cellStyle name="Normal 5 7 2 3 2 4 5 2" xfId="21680" xr:uid="{00000000-0005-0000-0000-0000DE7D0000}"/>
    <cellStyle name="Normal 5 7 2 3 2 4 6" xfId="20082" xr:uid="{00000000-0005-0000-0000-0000DF7D0000}"/>
    <cellStyle name="Normal 5 7 2 3 2 5" xfId="3348" xr:uid="{00000000-0005-0000-0000-0000E07D0000}"/>
    <cellStyle name="Normal 5 7 2 3 2 5 2" xfId="8639" xr:uid="{00000000-0005-0000-0000-0000E17D0000}"/>
    <cellStyle name="Normal 5 7 2 3 2 5 2 2" xfId="15902" xr:uid="{00000000-0005-0000-0000-0000E27D0000}"/>
    <cellStyle name="Normal 5 7 2 3 2 5 2 2 2" xfId="32217" xr:uid="{00000000-0005-0000-0000-0000E37D0000}"/>
    <cellStyle name="Normal 5 7 2 3 2 5 2 3" xfId="25252" xr:uid="{00000000-0005-0000-0000-0000E47D0000}"/>
    <cellStyle name="Normal 5 7 2 3 2 5 3" xfId="11981" xr:uid="{00000000-0005-0000-0000-0000E57D0000}"/>
    <cellStyle name="Normal 5 7 2 3 2 5 3 2" xfId="28556" xr:uid="{00000000-0005-0000-0000-0000E67D0000}"/>
    <cellStyle name="Normal 5 7 2 3 2 5 4" xfId="5288" xr:uid="{00000000-0005-0000-0000-0000E77D0000}"/>
    <cellStyle name="Normal 5 7 2 3 2 5 4 2" xfId="21952" xr:uid="{00000000-0005-0000-0000-0000E87D0000}"/>
    <cellStyle name="Normal 5 7 2 3 2 5 5" xfId="20075" xr:uid="{00000000-0005-0000-0000-0000E97D0000}"/>
    <cellStyle name="Normal 5 7 2 3 2 6" xfId="7020" xr:uid="{00000000-0005-0000-0000-0000EA7D0000}"/>
    <cellStyle name="Normal 5 7 2 3 2 6 2" xfId="14283" xr:uid="{00000000-0005-0000-0000-0000EB7D0000}"/>
    <cellStyle name="Normal 5 7 2 3 2 6 2 2" xfId="30598" xr:uid="{00000000-0005-0000-0000-0000EC7D0000}"/>
    <cellStyle name="Normal 5 7 2 3 2 6 3" xfId="23633" xr:uid="{00000000-0005-0000-0000-0000ED7D0000}"/>
    <cellStyle name="Normal 5 7 2 3 2 7" xfId="10334" xr:uid="{00000000-0005-0000-0000-0000EE7D0000}"/>
    <cellStyle name="Normal 5 7 2 3 2 7 2" xfId="26933" xr:uid="{00000000-0005-0000-0000-0000EF7D0000}"/>
    <cellStyle name="Normal 5 7 2 3 2 8" xfId="4950" xr:uid="{00000000-0005-0000-0000-0000F07D0000}"/>
    <cellStyle name="Normal 5 7 2 3 2 8 2" xfId="21673" xr:uid="{00000000-0005-0000-0000-0000F17D0000}"/>
    <cellStyle name="Normal 5 7 2 3 2 9" xfId="17794" xr:uid="{00000000-0005-0000-0000-0000F27D0000}"/>
    <cellStyle name="Normal 5 7 2 3 3" xfId="1262" xr:uid="{00000000-0005-0000-0000-0000F37D0000}"/>
    <cellStyle name="Normal 5 7 2 3 3 2" xfId="1783" xr:uid="{00000000-0005-0000-0000-0000F47D0000}"/>
    <cellStyle name="Normal 5 7 2 3 3 2 2" xfId="3358" xr:uid="{00000000-0005-0000-0000-0000F57D0000}"/>
    <cellStyle name="Normal 5 7 2 3 3 2 2 2" xfId="6677" xr:uid="{00000000-0005-0000-0000-0000F67D0000}"/>
    <cellStyle name="Normal 5 7 2 3 3 2 2 2 2" xfId="10028" xr:uid="{00000000-0005-0000-0000-0000F77D0000}"/>
    <cellStyle name="Normal 5 7 2 3 3 2 2 2 2 2" xfId="17291" xr:uid="{00000000-0005-0000-0000-0000F87D0000}"/>
    <cellStyle name="Normal 5 7 2 3 3 2 2 2 2 2 2" xfId="33606" xr:uid="{00000000-0005-0000-0000-0000F97D0000}"/>
    <cellStyle name="Normal 5 7 2 3 3 2 2 2 2 3" xfId="26641" xr:uid="{00000000-0005-0000-0000-0000FA7D0000}"/>
    <cellStyle name="Normal 5 7 2 3 3 2 2 2 3" xfId="13370" xr:uid="{00000000-0005-0000-0000-0000FB7D0000}"/>
    <cellStyle name="Normal 5 7 2 3 3 2 2 2 3 2" xfId="29945" xr:uid="{00000000-0005-0000-0000-0000FC7D0000}"/>
    <cellStyle name="Normal 5 7 2 3 3 2 2 2 4" xfId="23341" xr:uid="{00000000-0005-0000-0000-0000FD7D0000}"/>
    <cellStyle name="Normal 5 7 2 3 3 2 2 3" xfId="8407" xr:uid="{00000000-0005-0000-0000-0000FE7D0000}"/>
    <cellStyle name="Normal 5 7 2 3 3 2 2 3 2" xfId="15670" xr:uid="{00000000-0005-0000-0000-0000FF7D0000}"/>
    <cellStyle name="Normal 5 7 2 3 3 2 2 3 2 2" xfId="31985" xr:uid="{00000000-0005-0000-0000-0000007E0000}"/>
    <cellStyle name="Normal 5 7 2 3 3 2 2 3 3" xfId="25020" xr:uid="{00000000-0005-0000-0000-0000017E0000}"/>
    <cellStyle name="Normal 5 7 2 3 3 2 2 4" xfId="11722" xr:uid="{00000000-0005-0000-0000-0000027E0000}"/>
    <cellStyle name="Normal 5 7 2 3 3 2 2 4 2" xfId="28320" xr:uid="{00000000-0005-0000-0000-0000037E0000}"/>
    <cellStyle name="Normal 5 7 2 3 3 2 2 5" xfId="4960" xr:uid="{00000000-0005-0000-0000-0000047E0000}"/>
    <cellStyle name="Normal 5 7 2 3 3 2 2 5 2" xfId="21683" xr:uid="{00000000-0005-0000-0000-0000057E0000}"/>
    <cellStyle name="Normal 5 7 2 3 3 2 2 6" xfId="20085" xr:uid="{00000000-0005-0000-0000-0000067E0000}"/>
    <cellStyle name="Normal 5 7 2 3 3 2 3" xfId="3357" xr:uid="{00000000-0005-0000-0000-0000077E0000}"/>
    <cellStyle name="Normal 5 7 2 3 3 2 3 2" xfId="9252" xr:uid="{00000000-0005-0000-0000-0000087E0000}"/>
    <cellStyle name="Normal 5 7 2 3 3 2 3 2 2" xfId="16515" xr:uid="{00000000-0005-0000-0000-0000097E0000}"/>
    <cellStyle name="Normal 5 7 2 3 3 2 3 2 2 2" xfId="32830" xr:uid="{00000000-0005-0000-0000-00000A7E0000}"/>
    <cellStyle name="Normal 5 7 2 3 3 2 3 2 3" xfId="25865" xr:uid="{00000000-0005-0000-0000-00000B7E0000}"/>
    <cellStyle name="Normal 5 7 2 3 3 2 3 3" xfId="12594" xr:uid="{00000000-0005-0000-0000-00000C7E0000}"/>
    <cellStyle name="Normal 5 7 2 3 3 2 3 3 2" xfId="29169" xr:uid="{00000000-0005-0000-0000-00000D7E0000}"/>
    <cellStyle name="Normal 5 7 2 3 3 2 3 4" xfId="5901" xr:uid="{00000000-0005-0000-0000-00000E7E0000}"/>
    <cellStyle name="Normal 5 7 2 3 3 2 3 4 2" xfId="22565" xr:uid="{00000000-0005-0000-0000-00000F7E0000}"/>
    <cellStyle name="Normal 5 7 2 3 3 2 3 5" xfId="20084" xr:uid="{00000000-0005-0000-0000-0000107E0000}"/>
    <cellStyle name="Normal 5 7 2 3 3 2 4" xfId="7631" xr:uid="{00000000-0005-0000-0000-0000117E0000}"/>
    <cellStyle name="Normal 5 7 2 3 3 2 4 2" xfId="14894" xr:uid="{00000000-0005-0000-0000-0000127E0000}"/>
    <cellStyle name="Normal 5 7 2 3 3 2 4 2 2" xfId="31209" xr:uid="{00000000-0005-0000-0000-0000137E0000}"/>
    <cellStyle name="Normal 5 7 2 3 3 2 4 3" xfId="24244" xr:uid="{00000000-0005-0000-0000-0000147E0000}"/>
    <cellStyle name="Normal 5 7 2 3 3 2 5" xfId="10946" xr:uid="{00000000-0005-0000-0000-0000157E0000}"/>
    <cellStyle name="Normal 5 7 2 3 3 2 5 2" xfId="27544" xr:uid="{00000000-0005-0000-0000-0000167E0000}"/>
    <cellStyle name="Normal 5 7 2 3 3 2 6" xfId="4959" xr:uid="{00000000-0005-0000-0000-0000177E0000}"/>
    <cellStyle name="Normal 5 7 2 3 3 2 6 2" xfId="21682" xr:uid="{00000000-0005-0000-0000-0000187E0000}"/>
    <cellStyle name="Normal 5 7 2 3 3 2 7" xfId="18518" xr:uid="{00000000-0005-0000-0000-0000197E0000}"/>
    <cellStyle name="Normal 5 7 2 3 3 3" xfId="3359" xr:uid="{00000000-0005-0000-0000-00001A7E0000}"/>
    <cellStyle name="Normal 5 7 2 3 3 3 2" xfId="6307" xr:uid="{00000000-0005-0000-0000-00001B7E0000}"/>
    <cellStyle name="Normal 5 7 2 3 3 3 2 2" xfId="9658" xr:uid="{00000000-0005-0000-0000-00001C7E0000}"/>
    <cellStyle name="Normal 5 7 2 3 3 3 2 2 2" xfId="16921" xr:uid="{00000000-0005-0000-0000-00001D7E0000}"/>
    <cellStyle name="Normal 5 7 2 3 3 3 2 2 2 2" xfId="33236" xr:uid="{00000000-0005-0000-0000-00001E7E0000}"/>
    <cellStyle name="Normal 5 7 2 3 3 3 2 2 3" xfId="26271" xr:uid="{00000000-0005-0000-0000-00001F7E0000}"/>
    <cellStyle name="Normal 5 7 2 3 3 3 2 3" xfId="13000" xr:uid="{00000000-0005-0000-0000-0000207E0000}"/>
    <cellStyle name="Normal 5 7 2 3 3 3 2 3 2" xfId="29575" xr:uid="{00000000-0005-0000-0000-0000217E0000}"/>
    <cellStyle name="Normal 5 7 2 3 3 3 2 4" xfId="22971" xr:uid="{00000000-0005-0000-0000-0000227E0000}"/>
    <cellStyle name="Normal 5 7 2 3 3 3 3" xfId="8037" xr:uid="{00000000-0005-0000-0000-0000237E0000}"/>
    <cellStyle name="Normal 5 7 2 3 3 3 3 2" xfId="15300" xr:uid="{00000000-0005-0000-0000-0000247E0000}"/>
    <cellStyle name="Normal 5 7 2 3 3 3 3 2 2" xfId="31615" xr:uid="{00000000-0005-0000-0000-0000257E0000}"/>
    <cellStyle name="Normal 5 7 2 3 3 3 3 3" xfId="24650" xr:uid="{00000000-0005-0000-0000-0000267E0000}"/>
    <cellStyle name="Normal 5 7 2 3 3 3 4" xfId="11352" xr:uid="{00000000-0005-0000-0000-0000277E0000}"/>
    <cellStyle name="Normal 5 7 2 3 3 3 4 2" xfId="27950" xr:uid="{00000000-0005-0000-0000-0000287E0000}"/>
    <cellStyle name="Normal 5 7 2 3 3 3 5" xfId="4961" xr:uid="{00000000-0005-0000-0000-0000297E0000}"/>
    <cellStyle name="Normal 5 7 2 3 3 3 5 2" xfId="21684" xr:uid="{00000000-0005-0000-0000-00002A7E0000}"/>
    <cellStyle name="Normal 5 7 2 3 3 3 6" xfId="20086" xr:uid="{00000000-0005-0000-0000-00002B7E0000}"/>
    <cellStyle name="Normal 5 7 2 3 3 4" xfId="3356" xr:uid="{00000000-0005-0000-0000-00002C7E0000}"/>
    <cellStyle name="Normal 5 7 2 3 3 4 2" xfId="8845" xr:uid="{00000000-0005-0000-0000-00002D7E0000}"/>
    <cellStyle name="Normal 5 7 2 3 3 4 2 2" xfId="16108" xr:uid="{00000000-0005-0000-0000-00002E7E0000}"/>
    <cellStyle name="Normal 5 7 2 3 3 4 2 2 2" xfId="32423" xr:uid="{00000000-0005-0000-0000-00002F7E0000}"/>
    <cellStyle name="Normal 5 7 2 3 3 4 2 3" xfId="25458" xr:uid="{00000000-0005-0000-0000-0000307E0000}"/>
    <cellStyle name="Normal 5 7 2 3 3 4 3" xfId="12187" xr:uid="{00000000-0005-0000-0000-0000317E0000}"/>
    <cellStyle name="Normal 5 7 2 3 3 4 3 2" xfId="28762" xr:uid="{00000000-0005-0000-0000-0000327E0000}"/>
    <cellStyle name="Normal 5 7 2 3 3 4 4" xfId="5494" xr:uid="{00000000-0005-0000-0000-0000337E0000}"/>
    <cellStyle name="Normal 5 7 2 3 3 4 4 2" xfId="22158" xr:uid="{00000000-0005-0000-0000-0000347E0000}"/>
    <cellStyle name="Normal 5 7 2 3 3 4 5" xfId="20083" xr:uid="{00000000-0005-0000-0000-0000357E0000}"/>
    <cellStyle name="Normal 5 7 2 3 3 5" xfId="7225" xr:uid="{00000000-0005-0000-0000-0000367E0000}"/>
    <cellStyle name="Normal 5 7 2 3 3 5 2" xfId="14488" xr:uid="{00000000-0005-0000-0000-0000377E0000}"/>
    <cellStyle name="Normal 5 7 2 3 3 5 2 2" xfId="30803" xr:uid="{00000000-0005-0000-0000-0000387E0000}"/>
    <cellStyle name="Normal 5 7 2 3 3 5 3" xfId="23838" xr:uid="{00000000-0005-0000-0000-0000397E0000}"/>
    <cellStyle name="Normal 5 7 2 3 3 6" xfId="10540" xr:uid="{00000000-0005-0000-0000-00003A7E0000}"/>
    <cellStyle name="Normal 5 7 2 3 3 6 2" xfId="27138" xr:uid="{00000000-0005-0000-0000-00003B7E0000}"/>
    <cellStyle name="Normal 5 7 2 3 3 7" xfId="4958" xr:uid="{00000000-0005-0000-0000-00003C7E0000}"/>
    <cellStyle name="Normal 5 7 2 3 3 7 2" xfId="21681" xr:uid="{00000000-0005-0000-0000-00003D7E0000}"/>
    <cellStyle name="Normal 5 7 2 3 3 8" xfId="17999" xr:uid="{00000000-0005-0000-0000-00003E7E0000}"/>
    <cellStyle name="Normal 5 7 2 3 4" xfId="910" xr:uid="{00000000-0005-0000-0000-00003F7E0000}"/>
    <cellStyle name="Normal 5 7 2 3 4 2" xfId="1472" xr:uid="{00000000-0005-0000-0000-0000407E0000}"/>
    <cellStyle name="Normal 5 7 2 3 4 2 2" xfId="3361" xr:uid="{00000000-0005-0000-0000-0000417E0000}"/>
    <cellStyle name="Normal 5 7 2 3 4 2 2 2" xfId="9852" xr:uid="{00000000-0005-0000-0000-0000427E0000}"/>
    <cellStyle name="Normal 5 7 2 3 4 2 2 2 2" xfId="17115" xr:uid="{00000000-0005-0000-0000-0000437E0000}"/>
    <cellStyle name="Normal 5 7 2 3 4 2 2 2 2 2" xfId="33430" xr:uid="{00000000-0005-0000-0000-0000447E0000}"/>
    <cellStyle name="Normal 5 7 2 3 4 2 2 2 3" xfId="26465" xr:uid="{00000000-0005-0000-0000-0000457E0000}"/>
    <cellStyle name="Normal 5 7 2 3 4 2 2 3" xfId="13194" xr:uid="{00000000-0005-0000-0000-0000467E0000}"/>
    <cellStyle name="Normal 5 7 2 3 4 2 2 3 2" xfId="29769" xr:uid="{00000000-0005-0000-0000-0000477E0000}"/>
    <cellStyle name="Normal 5 7 2 3 4 2 2 4" xfId="6501" xr:uid="{00000000-0005-0000-0000-0000487E0000}"/>
    <cellStyle name="Normal 5 7 2 3 4 2 2 4 2" xfId="23165" xr:uid="{00000000-0005-0000-0000-0000497E0000}"/>
    <cellStyle name="Normal 5 7 2 3 4 2 2 5" xfId="20088" xr:uid="{00000000-0005-0000-0000-00004A7E0000}"/>
    <cellStyle name="Normal 5 7 2 3 4 2 3" xfId="8231" xr:uid="{00000000-0005-0000-0000-00004B7E0000}"/>
    <cellStyle name="Normal 5 7 2 3 4 2 3 2" xfId="15494" xr:uid="{00000000-0005-0000-0000-00004C7E0000}"/>
    <cellStyle name="Normal 5 7 2 3 4 2 3 2 2" xfId="31809" xr:uid="{00000000-0005-0000-0000-00004D7E0000}"/>
    <cellStyle name="Normal 5 7 2 3 4 2 3 3" xfId="24844" xr:uid="{00000000-0005-0000-0000-00004E7E0000}"/>
    <cellStyle name="Normal 5 7 2 3 4 2 4" xfId="11546" xr:uid="{00000000-0005-0000-0000-00004F7E0000}"/>
    <cellStyle name="Normal 5 7 2 3 4 2 4 2" xfId="28144" xr:uid="{00000000-0005-0000-0000-0000507E0000}"/>
    <cellStyle name="Normal 5 7 2 3 4 2 5" xfId="4963" xr:uid="{00000000-0005-0000-0000-0000517E0000}"/>
    <cellStyle name="Normal 5 7 2 3 4 2 5 2" xfId="21686" xr:uid="{00000000-0005-0000-0000-0000527E0000}"/>
    <cellStyle name="Normal 5 7 2 3 4 2 6" xfId="18207" xr:uid="{00000000-0005-0000-0000-0000537E0000}"/>
    <cellStyle name="Normal 5 7 2 3 4 3" xfId="3360" xr:uid="{00000000-0005-0000-0000-0000547E0000}"/>
    <cellStyle name="Normal 5 7 2 3 4 3 2" xfId="9040" xr:uid="{00000000-0005-0000-0000-0000557E0000}"/>
    <cellStyle name="Normal 5 7 2 3 4 3 2 2" xfId="16303" xr:uid="{00000000-0005-0000-0000-0000567E0000}"/>
    <cellStyle name="Normal 5 7 2 3 4 3 2 2 2" xfId="32618" xr:uid="{00000000-0005-0000-0000-0000577E0000}"/>
    <cellStyle name="Normal 5 7 2 3 4 3 2 3" xfId="25653" xr:uid="{00000000-0005-0000-0000-0000587E0000}"/>
    <cellStyle name="Normal 5 7 2 3 4 3 3" xfId="12382" xr:uid="{00000000-0005-0000-0000-0000597E0000}"/>
    <cellStyle name="Normal 5 7 2 3 4 3 3 2" xfId="28957" xr:uid="{00000000-0005-0000-0000-00005A7E0000}"/>
    <cellStyle name="Normal 5 7 2 3 4 3 4" xfId="5689" xr:uid="{00000000-0005-0000-0000-00005B7E0000}"/>
    <cellStyle name="Normal 5 7 2 3 4 3 4 2" xfId="22353" xr:uid="{00000000-0005-0000-0000-00005C7E0000}"/>
    <cellStyle name="Normal 5 7 2 3 4 3 5" xfId="20087" xr:uid="{00000000-0005-0000-0000-00005D7E0000}"/>
    <cellStyle name="Normal 5 7 2 3 4 4" xfId="7419" xr:uid="{00000000-0005-0000-0000-00005E7E0000}"/>
    <cellStyle name="Normal 5 7 2 3 4 4 2" xfId="14682" xr:uid="{00000000-0005-0000-0000-00005F7E0000}"/>
    <cellStyle name="Normal 5 7 2 3 4 4 2 2" xfId="30997" xr:uid="{00000000-0005-0000-0000-0000607E0000}"/>
    <cellStyle name="Normal 5 7 2 3 4 4 3" xfId="24032" xr:uid="{00000000-0005-0000-0000-0000617E0000}"/>
    <cellStyle name="Normal 5 7 2 3 4 5" xfId="10734" xr:uid="{00000000-0005-0000-0000-0000627E0000}"/>
    <cellStyle name="Normal 5 7 2 3 4 5 2" xfId="27332" xr:uid="{00000000-0005-0000-0000-0000637E0000}"/>
    <cellStyle name="Normal 5 7 2 3 4 6" xfId="4962" xr:uid="{00000000-0005-0000-0000-0000647E0000}"/>
    <cellStyle name="Normal 5 7 2 3 4 6 2" xfId="21685" xr:uid="{00000000-0005-0000-0000-0000657E0000}"/>
    <cellStyle name="Normal 5 7 2 3 4 7" xfId="17688" xr:uid="{00000000-0005-0000-0000-0000667E0000}"/>
    <cellStyle name="Normal 5 7 2 3 5" xfId="768" xr:uid="{00000000-0005-0000-0000-0000677E0000}"/>
    <cellStyle name="Normal 5 7 2 3 5 2" xfId="3362" xr:uid="{00000000-0005-0000-0000-0000687E0000}"/>
    <cellStyle name="Normal 5 7 2 3 5 2 2" xfId="9446" xr:uid="{00000000-0005-0000-0000-0000697E0000}"/>
    <cellStyle name="Normal 5 7 2 3 5 2 2 2" xfId="16709" xr:uid="{00000000-0005-0000-0000-00006A7E0000}"/>
    <cellStyle name="Normal 5 7 2 3 5 2 2 2 2" xfId="33024" xr:uid="{00000000-0005-0000-0000-00006B7E0000}"/>
    <cellStyle name="Normal 5 7 2 3 5 2 2 3" xfId="26059" xr:uid="{00000000-0005-0000-0000-00006C7E0000}"/>
    <cellStyle name="Normal 5 7 2 3 5 2 3" xfId="12788" xr:uid="{00000000-0005-0000-0000-00006D7E0000}"/>
    <cellStyle name="Normal 5 7 2 3 5 2 3 2" xfId="29363" xr:uid="{00000000-0005-0000-0000-00006E7E0000}"/>
    <cellStyle name="Normal 5 7 2 3 5 2 4" xfId="6095" xr:uid="{00000000-0005-0000-0000-00006F7E0000}"/>
    <cellStyle name="Normal 5 7 2 3 5 2 4 2" xfId="22759" xr:uid="{00000000-0005-0000-0000-0000707E0000}"/>
    <cellStyle name="Normal 5 7 2 3 5 2 5" xfId="20089" xr:uid="{00000000-0005-0000-0000-0000717E0000}"/>
    <cellStyle name="Normal 5 7 2 3 5 3" xfId="7825" xr:uid="{00000000-0005-0000-0000-0000727E0000}"/>
    <cellStyle name="Normal 5 7 2 3 5 3 2" xfId="15088" xr:uid="{00000000-0005-0000-0000-0000737E0000}"/>
    <cellStyle name="Normal 5 7 2 3 5 3 2 2" xfId="31403" xr:uid="{00000000-0005-0000-0000-0000747E0000}"/>
    <cellStyle name="Normal 5 7 2 3 5 3 3" xfId="24438" xr:uid="{00000000-0005-0000-0000-0000757E0000}"/>
    <cellStyle name="Normal 5 7 2 3 5 4" xfId="11140" xr:uid="{00000000-0005-0000-0000-0000767E0000}"/>
    <cellStyle name="Normal 5 7 2 3 5 4 2" xfId="27738" xr:uid="{00000000-0005-0000-0000-0000777E0000}"/>
    <cellStyle name="Normal 5 7 2 3 5 5" xfId="4964" xr:uid="{00000000-0005-0000-0000-0000787E0000}"/>
    <cellStyle name="Normal 5 7 2 3 5 5 2" xfId="21687" xr:uid="{00000000-0005-0000-0000-0000797E0000}"/>
    <cellStyle name="Normal 5 7 2 3 5 6" xfId="17581" xr:uid="{00000000-0005-0000-0000-00007A7E0000}"/>
    <cellStyle name="Normal 5 7 2 3 6" xfId="1365" xr:uid="{00000000-0005-0000-0000-00007B7E0000}"/>
    <cellStyle name="Normal 5 7 2 3 6 2" xfId="8533" xr:uid="{00000000-0005-0000-0000-00007C7E0000}"/>
    <cellStyle name="Normal 5 7 2 3 6 2 2" xfId="15796" xr:uid="{00000000-0005-0000-0000-00007D7E0000}"/>
    <cellStyle name="Normal 5 7 2 3 6 2 2 2" xfId="32111" xr:uid="{00000000-0005-0000-0000-00007E7E0000}"/>
    <cellStyle name="Normal 5 7 2 3 6 2 3" xfId="25146" xr:uid="{00000000-0005-0000-0000-00007F7E0000}"/>
    <cellStyle name="Normal 5 7 2 3 6 3" xfId="11875" xr:uid="{00000000-0005-0000-0000-0000807E0000}"/>
    <cellStyle name="Normal 5 7 2 3 6 3 2" xfId="28450" xr:uid="{00000000-0005-0000-0000-0000817E0000}"/>
    <cellStyle name="Normal 5 7 2 3 6 4" xfId="5182" xr:uid="{00000000-0005-0000-0000-0000827E0000}"/>
    <cellStyle name="Normal 5 7 2 3 6 4 2" xfId="21846" xr:uid="{00000000-0005-0000-0000-0000837E0000}"/>
    <cellStyle name="Normal 5 7 2 3 6 5" xfId="18100" xr:uid="{00000000-0005-0000-0000-0000847E0000}"/>
    <cellStyle name="Normal 5 7 2 3 7" xfId="3347" xr:uid="{00000000-0005-0000-0000-0000857E0000}"/>
    <cellStyle name="Normal 5 7 2 3 7 2" xfId="14177" xr:uid="{00000000-0005-0000-0000-0000867E0000}"/>
    <cellStyle name="Normal 5 7 2 3 7 2 2" xfId="30492" xr:uid="{00000000-0005-0000-0000-0000877E0000}"/>
    <cellStyle name="Normal 5 7 2 3 7 3" xfId="6914" xr:uid="{00000000-0005-0000-0000-0000887E0000}"/>
    <cellStyle name="Normal 5 7 2 3 7 3 2" xfId="23527" xr:uid="{00000000-0005-0000-0000-0000897E0000}"/>
    <cellStyle name="Normal 5 7 2 3 7 4" xfId="20074" xr:uid="{00000000-0005-0000-0000-00008A7E0000}"/>
    <cellStyle name="Normal 5 7 2 3 8" xfId="10228" xr:uid="{00000000-0005-0000-0000-00008B7E0000}"/>
    <cellStyle name="Normal 5 7 2 3 8 2" xfId="26827" xr:uid="{00000000-0005-0000-0000-00008C7E0000}"/>
    <cellStyle name="Normal 5 7 2 3 9" xfId="4949" xr:uid="{00000000-0005-0000-0000-00008D7E0000}"/>
    <cellStyle name="Normal 5 7 2 3 9 2" xfId="21672" xr:uid="{00000000-0005-0000-0000-00008E7E0000}"/>
    <cellStyle name="Normal 5 7 2 4" xfId="963" xr:uid="{00000000-0005-0000-0000-00008F7E0000}"/>
    <cellStyle name="Normal 5 7 2 4 2" xfId="1264" xr:uid="{00000000-0005-0000-0000-0000907E0000}"/>
    <cellStyle name="Normal 5 7 2 4 2 2" xfId="1785" xr:uid="{00000000-0005-0000-0000-0000917E0000}"/>
    <cellStyle name="Normal 5 7 2 4 2 2 2" xfId="3366" xr:uid="{00000000-0005-0000-0000-0000927E0000}"/>
    <cellStyle name="Normal 5 7 2 4 2 2 2 2" xfId="6679" xr:uid="{00000000-0005-0000-0000-0000937E0000}"/>
    <cellStyle name="Normal 5 7 2 4 2 2 2 2 2" xfId="10030" xr:uid="{00000000-0005-0000-0000-0000947E0000}"/>
    <cellStyle name="Normal 5 7 2 4 2 2 2 2 2 2" xfId="17293" xr:uid="{00000000-0005-0000-0000-0000957E0000}"/>
    <cellStyle name="Normal 5 7 2 4 2 2 2 2 2 2 2" xfId="33608" xr:uid="{00000000-0005-0000-0000-0000967E0000}"/>
    <cellStyle name="Normal 5 7 2 4 2 2 2 2 2 3" xfId="26643" xr:uid="{00000000-0005-0000-0000-0000977E0000}"/>
    <cellStyle name="Normal 5 7 2 4 2 2 2 2 3" xfId="13372" xr:uid="{00000000-0005-0000-0000-0000987E0000}"/>
    <cellStyle name="Normal 5 7 2 4 2 2 2 2 3 2" xfId="29947" xr:uid="{00000000-0005-0000-0000-0000997E0000}"/>
    <cellStyle name="Normal 5 7 2 4 2 2 2 2 4" xfId="23343" xr:uid="{00000000-0005-0000-0000-00009A7E0000}"/>
    <cellStyle name="Normal 5 7 2 4 2 2 2 3" xfId="8409" xr:uid="{00000000-0005-0000-0000-00009B7E0000}"/>
    <cellStyle name="Normal 5 7 2 4 2 2 2 3 2" xfId="15672" xr:uid="{00000000-0005-0000-0000-00009C7E0000}"/>
    <cellStyle name="Normal 5 7 2 4 2 2 2 3 2 2" xfId="31987" xr:uid="{00000000-0005-0000-0000-00009D7E0000}"/>
    <cellStyle name="Normal 5 7 2 4 2 2 2 3 3" xfId="25022" xr:uid="{00000000-0005-0000-0000-00009E7E0000}"/>
    <cellStyle name="Normal 5 7 2 4 2 2 2 4" xfId="11724" xr:uid="{00000000-0005-0000-0000-00009F7E0000}"/>
    <cellStyle name="Normal 5 7 2 4 2 2 2 4 2" xfId="28322" xr:uid="{00000000-0005-0000-0000-0000A07E0000}"/>
    <cellStyle name="Normal 5 7 2 4 2 2 2 5" xfId="4968" xr:uid="{00000000-0005-0000-0000-0000A17E0000}"/>
    <cellStyle name="Normal 5 7 2 4 2 2 2 5 2" xfId="21691" xr:uid="{00000000-0005-0000-0000-0000A27E0000}"/>
    <cellStyle name="Normal 5 7 2 4 2 2 2 6" xfId="20093" xr:uid="{00000000-0005-0000-0000-0000A37E0000}"/>
    <cellStyle name="Normal 5 7 2 4 2 2 3" xfId="3365" xr:uid="{00000000-0005-0000-0000-0000A47E0000}"/>
    <cellStyle name="Normal 5 7 2 4 2 2 3 2" xfId="9254" xr:uid="{00000000-0005-0000-0000-0000A57E0000}"/>
    <cellStyle name="Normal 5 7 2 4 2 2 3 2 2" xfId="16517" xr:uid="{00000000-0005-0000-0000-0000A67E0000}"/>
    <cellStyle name="Normal 5 7 2 4 2 2 3 2 2 2" xfId="32832" xr:uid="{00000000-0005-0000-0000-0000A77E0000}"/>
    <cellStyle name="Normal 5 7 2 4 2 2 3 2 3" xfId="25867" xr:uid="{00000000-0005-0000-0000-0000A87E0000}"/>
    <cellStyle name="Normal 5 7 2 4 2 2 3 3" xfId="12596" xr:uid="{00000000-0005-0000-0000-0000A97E0000}"/>
    <cellStyle name="Normal 5 7 2 4 2 2 3 3 2" xfId="29171" xr:uid="{00000000-0005-0000-0000-0000AA7E0000}"/>
    <cellStyle name="Normal 5 7 2 4 2 2 3 4" xfId="5903" xr:uid="{00000000-0005-0000-0000-0000AB7E0000}"/>
    <cellStyle name="Normal 5 7 2 4 2 2 3 4 2" xfId="22567" xr:uid="{00000000-0005-0000-0000-0000AC7E0000}"/>
    <cellStyle name="Normal 5 7 2 4 2 2 3 5" xfId="20092" xr:uid="{00000000-0005-0000-0000-0000AD7E0000}"/>
    <cellStyle name="Normal 5 7 2 4 2 2 4" xfId="7633" xr:uid="{00000000-0005-0000-0000-0000AE7E0000}"/>
    <cellStyle name="Normal 5 7 2 4 2 2 4 2" xfId="14896" xr:uid="{00000000-0005-0000-0000-0000AF7E0000}"/>
    <cellStyle name="Normal 5 7 2 4 2 2 4 2 2" xfId="31211" xr:uid="{00000000-0005-0000-0000-0000B07E0000}"/>
    <cellStyle name="Normal 5 7 2 4 2 2 4 3" xfId="24246" xr:uid="{00000000-0005-0000-0000-0000B17E0000}"/>
    <cellStyle name="Normal 5 7 2 4 2 2 5" xfId="10948" xr:uid="{00000000-0005-0000-0000-0000B27E0000}"/>
    <cellStyle name="Normal 5 7 2 4 2 2 5 2" xfId="27546" xr:uid="{00000000-0005-0000-0000-0000B37E0000}"/>
    <cellStyle name="Normal 5 7 2 4 2 2 6" xfId="4967" xr:uid="{00000000-0005-0000-0000-0000B47E0000}"/>
    <cellStyle name="Normal 5 7 2 4 2 2 6 2" xfId="21690" xr:uid="{00000000-0005-0000-0000-0000B57E0000}"/>
    <cellStyle name="Normal 5 7 2 4 2 2 7" xfId="18520" xr:uid="{00000000-0005-0000-0000-0000B67E0000}"/>
    <cellStyle name="Normal 5 7 2 4 2 3" xfId="3367" xr:uid="{00000000-0005-0000-0000-0000B77E0000}"/>
    <cellStyle name="Normal 5 7 2 4 2 3 2" xfId="6309" xr:uid="{00000000-0005-0000-0000-0000B87E0000}"/>
    <cellStyle name="Normal 5 7 2 4 2 3 2 2" xfId="9660" xr:uid="{00000000-0005-0000-0000-0000B97E0000}"/>
    <cellStyle name="Normal 5 7 2 4 2 3 2 2 2" xfId="16923" xr:uid="{00000000-0005-0000-0000-0000BA7E0000}"/>
    <cellStyle name="Normal 5 7 2 4 2 3 2 2 2 2" xfId="33238" xr:uid="{00000000-0005-0000-0000-0000BB7E0000}"/>
    <cellStyle name="Normal 5 7 2 4 2 3 2 2 3" xfId="26273" xr:uid="{00000000-0005-0000-0000-0000BC7E0000}"/>
    <cellStyle name="Normal 5 7 2 4 2 3 2 3" xfId="13002" xr:uid="{00000000-0005-0000-0000-0000BD7E0000}"/>
    <cellStyle name="Normal 5 7 2 4 2 3 2 3 2" xfId="29577" xr:uid="{00000000-0005-0000-0000-0000BE7E0000}"/>
    <cellStyle name="Normal 5 7 2 4 2 3 2 4" xfId="22973" xr:uid="{00000000-0005-0000-0000-0000BF7E0000}"/>
    <cellStyle name="Normal 5 7 2 4 2 3 3" xfId="8039" xr:uid="{00000000-0005-0000-0000-0000C07E0000}"/>
    <cellStyle name="Normal 5 7 2 4 2 3 3 2" xfId="15302" xr:uid="{00000000-0005-0000-0000-0000C17E0000}"/>
    <cellStyle name="Normal 5 7 2 4 2 3 3 2 2" xfId="31617" xr:uid="{00000000-0005-0000-0000-0000C27E0000}"/>
    <cellStyle name="Normal 5 7 2 4 2 3 3 3" xfId="24652" xr:uid="{00000000-0005-0000-0000-0000C37E0000}"/>
    <cellStyle name="Normal 5 7 2 4 2 3 4" xfId="11354" xr:uid="{00000000-0005-0000-0000-0000C47E0000}"/>
    <cellStyle name="Normal 5 7 2 4 2 3 4 2" xfId="27952" xr:uid="{00000000-0005-0000-0000-0000C57E0000}"/>
    <cellStyle name="Normal 5 7 2 4 2 3 5" xfId="4969" xr:uid="{00000000-0005-0000-0000-0000C67E0000}"/>
    <cellStyle name="Normal 5 7 2 4 2 3 5 2" xfId="21692" xr:uid="{00000000-0005-0000-0000-0000C77E0000}"/>
    <cellStyle name="Normal 5 7 2 4 2 3 6" xfId="20094" xr:uid="{00000000-0005-0000-0000-0000C87E0000}"/>
    <cellStyle name="Normal 5 7 2 4 2 4" xfId="3364" xr:uid="{00000000-0005-0000-0000-0000C97E0000}"/>
    <cellStyle name="Normal 5 7 2 4 2 4 2" xfId="8847" xr:uid="{00000000-0005-0000-0000-0000CA7E0000}"/>
    <cellStyle name="Normal 5 7 2 4 2 4 2 2" xfId="16110" xr:uid="{00000000-0005-0000-0000-0000CB7E0000}"/>
    <cellStyle name="Normal 5 7 2 4 2 4 2 2 2" xfId="32425" xr:uid="{00000000-0005-0000-0000-0000CC7E0000}"/>
    <cellStyle name="Normal 5 7 2 4 2 4 2 3" xfId="25460" xr:uid="{00000000-0005-0000-0000-0000CD7E0000}"/>
    <cellStyle name="Normal 5 7 2 4 2 4 3" xfId="12189" xr:uid="{00000000-0005-0000-0000-0000CE7E0000}"/>
    <cellStyle name="Normal 5 7 2 4 2 4 3 2" xfId="28764" xr:uid="{00000000-0005-0000-0000-0000CF7E0000}"/>
    <cellStyle name="Normal 5 7 2 4 2 4 4" xfId="5496" xr:uid="{00000000-0005-0000-0000-0000D07E0000}"/>
    <cellStyle name="Normal 5 7 2 4 2 4 4 2" xfId="22160" xr:uid="{00000000-0005-0000-0000-0000D17E0000}"/>
    <cellStyle name="Normal 5 7 2 4 2 4 5" xfId="20091" xr:uid="{00000000-0005-0000-0000-0000D27E0000}"/>
    <cellStyle name="Normal 5 7 2 4 2 5" xfId="7227" xr:uid="{00000000-0005-0000-0000-0000D37E0000}"/>
    <cellStyle name="Normal 5 7 2 4 2 5 2" xfId="14490" xr:uid="{00000000-0005-0000-0000-0000D47E0000}"/>
    <cellStyle name="Normal 5 7 2 4 2 5 2 2" xfId="30805" xr:uid="{00000000-0005-0000-0000-0000D57E0000}"/>
    <cellStyle name="Normal 5 7 2 4 2 5 3" xfId="23840" xr:uid="{00000000-0005-0000-0000-0000D67E0000}"/>
    <cellStyle name="Normal 5 7 2 4 2 6" xfId="10542" xr:uid="{00000000-0005-0000-0000-0000D77E0000}"/>
    <cellStyle name="Normal 5 7 2 4 2 6 2" xfId="27140" xr:uid="{00000000-0005-0000-0000-0000D87E0000}"/>
    <cellStyle name="Normal 5 7 2 4 2 7" xfId="4966" xr:uid="{00000000-0005-0000-0000-0000D97E0000}"/>
    <cellStyle name="Normal 5 7 2 4 2 7 2" xfId="21689" xr:uid="{00000000-0005-0000-0000-0000DA7E0000}"/>
    <cellStyle name="Normal 5 7 2 4 2 8" xfId="18001" xr:uid="{00000000-0005-0000-0000-0000DB7E0000}"/>
    <cellStyle name="Normal 5 7 2 4 3" xfId="1525" xr:uid="{00000000-0005-0000-0000-0000DC7E0000}"/>
    <cellStyle name="Normal 5 7 2 4 3 2" xfId="3369" xr:uid="{00000000-0005-0000-0000-0000DD7E0000}"/>
    <cellStyle name="Normal 5 7 2 4 3 2 2" xfId="6503" xr:uid="{00000000-0005-0000-0000-0000DE7E0000}"/>
    <cellStyle name="Normal 5 7 2 4 3 2 2 2" xfId="9854" xr:uid="{00000000-0005-0000-0000-0000DF7E0000}"/>
    <cellStyle name="Normal 5 7 2 4 3 2 2 2 2" xfId="17117" xr:uid="{00000000-0005-0000-0000-0000E07E0000}"/>
    <cellStyle name="Normal 5 7 2 4 3 2 2 2 2 2" xfId="33432" xr:uid="{00000000-0005-0000-0000-0000E17E0000}"/>
    <cellStyle name="Normal 5 7 2 4 3 2 2 2 3" xfId="26467" xr:uid="{00000000-0005-0000-0000-0000E27E0000}"/>
    <cellStyle name="Normal 5 7 2 4 3 2 2 3" xfId="13196" xr:uid="{00000000-0005-0000-0000-0000E37E0000}"/>
    <cellStyle name="Normal 5 7 2 4 3 2 2 3 2" xfId="29771" xr:uid="{00000000-0005-0000-0000-0000E47E0000}"/>
    <cellStyle name="Normal 5 7 2 4 3 2 2 4" xfId="23167" xr:uid="{00000000-0005-0000-0000-0000E57E0000}"/>
    <cellStyle name="Normal 5 7 2 4 3 2 3" xfId="8233" xr:uid="{00000000-0005-0000-0000-0000E67E0000}"/>
    <cellStyle name="Normal 5 7 2 4 3 2 3 2" xfId="15496" xr:uid="{00000000-0005-0000-0000-0000E77E0000}"/>
    <cellStyle name="Normal 5 7 2 4 3 2 3 2 2" xfId="31811" xr:uid="{00000000-0005-0000-0000-0000E87E0000}"/>
    <cellStyle name="Normal 5 7 2 4 3 2 3 3" xfId="24846" xr:uid="{00000000-0005-0000-0000-0000E97E0000}"/>
    <cellStyle name="Normal 5 7 2 4 3 2 4" xfId="11548" xr:uid="{00000000-0005-0000-0000-0000EA7E0000}"/>
    <cellStyle name="Normal 5 7 2 4 3 2 4 2" xfId="28146" xr:uid="{00000000-0005-0000-0000-0000EB7E0000}"/>
    <cellStyle name="Normal 5 7 2 4 3 2 5" xfId="4971" xr:uid="{00000000-0005-0000-0000-0000EC7E0000}"/>
    <cellStyle name="Normal 5 7 2 4 3 2 5 2" xfId="21694" xr:uid="{00000000-0005-0000-0000-0000ED7E0000}"/>
    <cellStyle name="Normal 5 7 2 4 3 2 6" xfId="20096" xr:uid="{00000000-0005-0000-0000-0000EE7E0000}"/>
    <cellStyle name="Normal 5 7 2 4 3 3" xfId="3368" xr:uid="{00000000-0005-0000-0000-0000EF7E0000}"/>
    <cellStyle name="Normal 5 7 2 4 3 3 2" xfId="9042" xr:uid="{00000000-0005-0000-0000-0000F07E0000}"/>
    <cellStyle name="Normal 5 7 2 4 3 3 2 2" xfId="16305" xr:uid="{00000000-0005-0000-0000-0000F17E0000}"/>
    <cellStyle name="Normal 5 7 2 4 3 3 2 2 2" xfId="32620" xr:uid="{00000000-0005-0000-0000-0000F27E0000}"/>
    <cellStyle name="Normal 5 7 2 4 3 3 2 3" xfId="25655" xr:uid="{00000000-0005-0000-0000-0000F37E0000}"/>
    <cellStyle name="Normal 5 7 2 4 3 3 3" xfId="12384" xr:uid="{00000000-0005-0000-0000-0000F47E0000}"/>
    <cellStyle name="Normal 5 7 2 4 3 3 3 2" xfId="28959" xr:uid="{00000000-0005-0000-0000-0000F57E0000}"/>
    <cellStyle name="Normal 5 7 2 4 3 3 4" xfId="5691" xr:uid="{00000000-0005-0000-0000-0000F67E0000}"/>
    <cellStyle name="Normal 5 7 2 4 3 3 4 2" xfId="22355" xr:uid="{00000000-0005-0000-0000-0000F77E0000}"/>
    <cellStyle name="Normal 5 7 2 4 3 3 5" xfId="20095" xr:uid="{00000000-0005-0000-0000-0000F87E0000}"/>
    <cellStyle name="Normal 5 7 2 4 3 4" xfId="7421" xr:uid="{00000000-0005-0000-0000-0000F97E0000}"/>
    <cellStyle name="Normal 5 7 2 4 3 4 2" xfId="14684" xr:uid="{00000000-0005-0000-0000-0000FA7E0000}"/>
    <cellStyle name="Normal 5 7 2 4 3 4 2 2" xfId="30999" xr:uid="{00000000-0005-0000-0000-0000FB7E0000}"/>
    <cellStyle name="Normal 5 7 2 4 3 4 3" xfId="24034" xr:uid="{00000000-0005-0000-0000-0000FC7E0000}"/>
    <cellStyle name="Normal 5 7 2 4 3 5" xfId="10736" xr:uid="{00000000-0005-0000-0000-0000FD7E0000}"/>
    <cellStyle name="Normal 5 7 2 4 3 5 2" xfId="27334" xr:uid="{00000000-0005-0000-0000-0000FE7E0000}"/>
    <cellStyle name="Normal 5 7 2 4 3 6" xfId="4970" xr:uid="{00000000-0005-0000-0000-0000FF7E0000}"/>
    <cellStyle name="Normal 5 7 2 4 3 6 2" xfId="21693" xr:uid="{00000000-0005-0000-0000-0000007F0000}"/>
    <cellStyle name="Normal 5 7 2 4 3 7" xfId="18260" xr:uid="{00000000-0005-0000-0000-0000017F0000}"/>
    <cellStyle name="Normal 5 7 2 4 4" xfId="3370" xr:uid="{00000000-0005-0000-0000-0000027F0000}"/>
    <cellStyle name="Normal 5 7 2 4 4 2" xfId="6097" xr:uid="{00000000-0005-0000-0000-0000037F0000}"/>
    <cellStyle name="Normal 5 7 2 4 4 2 2" xfId="9448" xr:uid="{00000000-0005-0000-0000-0000047F0000}"/>
    <cellStyle name="Normal 5 7 2 4 4 2 2 2" xfId="16711" xr:uid="{00000000-0005-0000-0000-0000057F0000}"/>
    <cellStyle name="Normal 5 7 2 4 4 2 2 2 2" xfId="33026" xr:uid="{00000000-0005-0000-0000-0000067F0000}"/>
    <cellStyle name="Normal 5 7 2 4 4 2 2 3" xfId="26061" xr:uid="{00000000-0005-0000-0000-0000077F0000}"/>
    <cellStyle name="Normal 5 7 2 4 4 2 3" xfId="12790" xr:uid="{00000000-0005-0000-0000-0000087F0000}"/>
    <cellStyle name="Normal 5 7 2 4 4 2 3 2" xfId="29365" xr:uid="{00000000-0005-0000-0000-0000097F0000}"/>
    <cellStyle name="Normal 5 7 2 4 4 2 4" xfId="22761" xr:uid="{00000000-0005-0000-0000-00000A7F0000}"/>
    <cellStyle name="Normal 5 7 2 4 4 3" xfId="7827" xr:uid="{00000000-0005-0000-0000-00000B7F0000}"/>
    <cellStyle name="Normal 5 7 2 4 4 3 2" xfId="15090" xr:uid="{00000000-0005-0000-0000-00000C7F0000}"/>
    <cellStyle name="Normal 5 7 2 4 4 3 2 2" xfId="31405" xr:uid="{00000000-0005-0000-0000-00000D7F0000}"/>
    <cellStyle name="Normal 5 7 2 4 4 3 3" xfId="24440" xr:uid="{00000000-0005-0000-0000-00000E7F0000}"/>
    <cellStyle name="Normal 5 7 2 4 4 4" xfId="11142" xr:uid="{00000000-0005-0000-0000-00000F7F0000}"/>
    <cellStyle name="Normal 5 7 2 4 4 4 2" xfId="27740" xr:uid="{00000000-0005-0000-0000-0000107F0000}"/>
    <cellStyle name="Normal 5 7 2 4 4 5" xfId="4972" xr:uid="{00000000-0005-0000-0000-0000117F0000}"/>
    <cellStyle name="Normal 5 7 2 4 4 5 2" xfId="21695" xr:uid="{00000000-0005-0000-0000-0000127F0000}"/>
    <cellStyle name="Normal 5 7 2 4 4 6" xfId="20097" xr:uid="{00000000-0005-0000-0000-0000137F0000}"/>
    <cellStyle name="Normal 5 7 2 4 5" xfId="3363" xr:uid="{00000000-0005-0000-0000-0000147F0000}"/>
    <cellStyle name="Normal 5 7 2 4 5 2" xfId="8586" xr:uid="{00000000-0005-0000-0000-0000157F0000}"/>
    <cellStyle name="Normal 5 7 2 4 5 2 2" xfId="15849" xr:uid="{00000000-0005-0000-0000-0000167F0000}"/>
    <cellStyle name="Normal 5 7 2 4 5 2 2 2" xfId="32164" xr:uid="{00000000-0005-0000-0000-0000177F0000}"/>
    <cellStyle name="Normal 5 7 2 4 5 2 3" xfId="25199" xr:uid="{00000000-0005-0000-0000-0000187F0000}"/>
    <cellStyle name="Normal 5 7 2 4 5 3" xfId="11928" xr:uid="{00000000-0005-0000-0000-0000197F0000}"/>
    <cellStyle name="Normal 5 7 2 4 5 3 2" xfId="28503" xr:uid="{00000000-0005-0000-0000-00001A7F0000}"/>
    <cellStyle name="Normal 5 7 2 4 5 4" xfId="5235" xr:uid="{00000000-0005-0000-0000-00001B7F0000}"/>
    <cellStyle name="Normal 5 7 2 4 5 4 2" xfId="21899" xr:uid="{00000000-0005-0000-0000-00001C7F0000}"/>
    <cellStyle name="Normal 5 7 2 4 5 5" xfId="20090" xr:uid="{00000000-0005-0000-0000-00001D7F0000}"/>
    <cellStyle name="Normal 5 7 2 4 6" xfId="6967" xr:uid="{00000000-0005-0000-0000-00001E7F0000}"/>
    <cellStyle name="Normal 5 7 2 4 6 2" xfId="14230" xr:uid="{00000000-0005-0000-0000-00001F7F0000}"/>
    <cellStyle name="Normal 5 7 2 4 6 2 2" xfId="30545" xr:uid="{00000000-0005-0000-0000-0000207F0000}"/>
    <cellStyle name="Normal 5 7 2 4 6 3" xfId="23580" xr:uid="{00000000-0005-0000-0000-0000217F0000}"/>
    <cellStyle name="Normal 5 7 2 4 7" xfId="10281" xr:uid="{00000000-0005-0000-0000-0000227F0000}"/>
    <cellStyle name="Normal 5 7 2 4 7 2" xfId="26880" xr:uid="{00000000-0005-0000-0000-0000237F0000}"/>
    <cellStyle name="Normal 5 7 2 4 8" xfId="4965" xr:uid="{00000000-0005-0000-0000-0000247F0000}"/>
    <cellStyle name="Normal 5 7 2 4 8 2" xfId="21688" xr:uid="{00000000-0005-0000-0000-0000257F0000}"/>
    <cellStyle name="Normal 5 7 2 4 9" xfId="17741" xr:uid="{00000000-0005-0000-0000-0000267F0000}"/>
    <cellStyle name="Normal 5 7 2 5" xfId="1257" xr:uid="{00000000-0005-0000-0000-0000277F0000}"/>
    <cellStyle name="Normal 5 7 2 5 2" xfId="1778" xr:uid="{00000000-0005-0000-0000-0000287F0000}"/>
    <cellStyle name="Normal 5 7 2 5 2 2" xfId="3373" xr:uid="{00000000-0005-0000-0000-0000297F0000}"/>
    <cellStyle name="Normal 5 7 2 5 2 2 2" xfId="6672" xr:uid="{00000000-0005-0000-0000-00002A7F0000}"/>
    <cellStyle name="Normal 5 7 2 5 2 2 2 2" xfId="10023" xr:uid="{00000000-0005-0000-0000-00002B7F0000}"/>
    <cellStyle name="Normal 5 7 2 5 2 2 2 2 2" xfId="17286" xr:uid="{00000000-0005-0000-0000-00002C7F0000}"/>
    <cellStyle name="Normal 5 7 2 5 2 2 2 2 2 2" xfId="33601" xr:uid="{00000000-0005-0000-0000-00002D7F0000}"/>
    <cellStyle name="Normal 5 7 2 5 2 2 2 2 3" xfId="26636" xr:uid="{00000000-0005-0000-0000-00002E7F0000}"/>
    <cellStyle name="Normal 5 7 2 5 2 2 2 3" xfId="13365" xr:uid="{00000000-0005-0000-0000-00002F7F0000}"/>
    <cellStyle name="Normal 5 7 2 5 2 2 2 3 2" xfId="29940" xr:uid="{00000000-0005-0000-0000-0000307F0000}"/>
    <cellStyle name="Normal 5 7 2 5 2 2 2 4" xfId="23336" xr:uid="{00000000-0005-0000-0000-0000317F0000}"/>
    <cellStyle name="Normal 5 7 2 5 2 2 3" xfId="8402" xr:uid="{00000000-0005-0000-0000-0000327F0000}"/>
    <cellStyle name="Normal 5 7 2 5 2 2 3 2" xfId="15665" xr:uid="{00000000-0005-0000-0000-0000337F0000}"/>
    <cellStyle name="Normal 5 7 2 5 2 2 3 2 2" xfId="31980" xr:uid="{00000000-0005-0000-0000-0000347F0000}"/>
    <cellStyle name="Normal 5 7 2 5 2 2 3 3" xfId="25015" xr:uid="{00000000-0005-0000-0000-0000357F0000}"/>
    <cellStyle name="Normal 5 7 2 5 2 2 4" xfId="11717" xr:uid="{00000000-0005-0000-0000-0000367F0000}"/>
    <cellStyle name="Normal 5 7 2 5 2 2 4 2" xfId="28315" xr:uid="{00000000-0005-0000-0000-0000377F0000}"/>
    <cellStyle name="Normal 5 7 2 5 2 2 5" xfId="4975" xr:uid="{00000000-0005-0000-0000-0000387F0000}"/>
    <cellStyle name="Normal 5 7 2 5 2 2 5 2" xfId="21698" xr:uid="{00000000-0005-0000-0000-0000397F0000}"/>
    <cellStyle name="Normal 5 7 2 5 2 2 6" xfId="20100" xr:uid="{00000000-0005-0000-0000-00003A7F0000}"/>
    <cellStyle name="Normal 5 7 2 5 2 3" xfId="3372" xr:uid="{00000000-0005-0000-0000-00003B7F0000}"/>
    <cellStyle name="Normal 5 7 2 5 2 3 2" xfId="9247" xr:uid="{00000000-0005-0000-0000-00003C7F0000}"/>
    <cellStyle name="Normal 5 7 2 5 2 3 2 2" xfId="16510" xr:uid="{00000000-0005-0000-0000-00003D7F0000}"/>
    <cellStyle name="Normal 5 7 2 5 2 3 2 2 2" xfId="32825" xr:uid="{00000000-0005-0000-0000-00003E7F0000}"/>
    <cellStyle name="Normal 5 7 2 5 2 3 2 3" xfId="25860" xr:uid="{00000000-0005-0000-0000-00003F7F0000}"/>
    <cellStyle name="Normal 5 7 2 5 2 3 3" xfId="12589" xr:uid="{00000000-0005-0000-0000-0000407F0000}"/>
    <cellStyle name="Normal 5 7 2 5 2 3 3 2" xfId="29164" xr:uid="{00000000-0005-0000-0000-0000417F0000}"/>
    <cellStyle name="Normal 5 7 2 5 2 3 4" xfId="5896" xr:uid="{00000000-0005-0000-0000-0000427F0000}"/>
    <cellStyle name="Normal 5 7 2 5 2 3 4 2" xfId="22560" xr:uid="{00000000-0005-0000-0000-0000437F0000}"/>
    <cellStyle name="Normal 5 7 2 5 2 3 5" xfId="20099" xr:uid="{00000000-0005-0000-0000-0000447F0000}"/>
    <cellStyle name="Normal 5 7 2 5 2 4" xfId="7626" xr:uid="{00000000-0005-0000-0000-0000457F0000}"/>
    <cellStyle name="Normal 5 7 2 5 2 4 2" xfId="14889" xr:uid="{00000000-0005-0000-0000-0000467F0000}"/>
    <cellStyle name="Normal 5 7 2 5 2 4 2 2" xfId="31204" xr:uid="{00000000-0005-0000-0000-0000477F0000}"/>
    <cellStyle name="Normal 5 7 2 5 2 4 3" xfId="24239" xr:uid="{00000000-0005-0000-0000-0000487F0000}"/>
    <cellStyle name="Normal 5 7 2 5 2 5" xfId="10941" xr:uid="{00000000-0005-0000-0000-0000497F0000}"/>
    <cellStyle name="Normal 5 7 2 5 2 5 2" xfId="27539" xr:uid="{00000000-0005-0000-0000-00004A7F0000}"/>
    <cellStyle name="Normal 5 7 2 5 2 6" xfId="4974" xr:uid="{00000000-0005-0000-0000-00004B7F0000}"/>
    <cellStyle name="Normal 5 7 2 5 2 6 2" xfId="21697" xr:uid="{00000000-0005-0000-0000-00004C7F0000}"/>
    <cellStyle name="Normal 5 7 2 5 2 7" xfId="18513" xr:uid="{00000000-0005-0000-0000-00004D7F0000}"/>
    <cellStyle name="Normal 5 7 2 5 3" xfId="3374" xr:uid="{00000000-0005-0000-0000-00004E7F0000}"/>
    <cellStyle name="Normal 5 7 2 5 3 2" xfId="6302" xr:uid="{00000000-0005-0000-0000-00004F7F0000}"/>
    <cellStyle name="Normal 5 7 2 5 3 2 2" xfId="9653" xr:uid="{00000000-0005-0000-0000-0000507F0000}"/>
    <cellStyle name="Normal 5 7 2 5 3 2 2 2" xfId="16916" xr:uid="{00000000-0005-0000-0000-0000517F0000}"/>
    <cellStyle name="Normal 5 7 2 5 3 2 2 2 2" xfId="33231" xr:uid="{00000000-0005-0000-0000-0000527F0000}"/>
    <cellStyle name="Normal 5 7 2 5 3 2 2 3" xfId="26266" xr:uid="{00000000-0005-0000-0000-0000537F0000}"/>
    <cellStyle name="Normal 5 7 2 5 3 2 3" xfId="12995" xr:uid="{00000000-0005-0000-0000-0000547F0000}"/>
    <cellStyle name="Normal 5 7 2 5 3 2 3 2" xfId="29570" xr:uid="{00000000-0005-0000-0000-0000557F0000}"/>
    <cellStyle name="Normal 5 7 2 5 3 2 4" xfId="22966" xr:uid="{00000000-0005-0000-0000-0000567F0000}"/>
    <cellStyle name="Normal 5 7 2 5 3 3" xfId="8032" xr:uid="{00000000-0005-0000-0000-0000577F0000}"/>
    <cellStyle name="Normal 5 7 2 5 3 3 2" xfId="15295" xr:uid="{00000000-0005-0000-0000-0000587F0000}"/>
    <cellStyle name="Normal 5 7 2 5 3 3 2 2" xfId="31610" xr:uid="{00000000-0005-0000-0000-0000597F0000}"/>
    <cellStyle name="Normal 5 7 2 5 3 3 3" xfId="24645" xr:uid="{00000000-0005-0000-0000-00005A7F0000}"/>
    <cellStyle name="Normal 5 7 2 5 3 4" xfId="11347" xr:uid="{00000000-0005-0000-0000-00005B7F0000}"/>
    <cellStyle name="Normal 5 7 2 5 3 4 2" xfId="27945" xr:uid="{00000000-0005-0000-0000-00005C7F0000}"/>
    <cellStyle name="Normal 5 7 2 5 3 5" xfId="4976" xr:uid="{00000000-0005-0000-0000-00005D7F0000}"/>
    <cellStyle name="Normal 5 7 2 5 3 5 2" xfId="21699" xr:uid="{00000000-0005-0000-0000-00005E7F0000}"/>
    <cellStyle name="Normal 5 7 2 5 3 6" xfId="20101" xr:uid="{00000000-0005-0000-0000-00005F7F0000}"/>
    <cellStyle name="Normal 5 7 2 5 4" xfId="3371" xr:uid="{00000000-0005-0000-0000-0000607F0000}"/>
    <cellStyle name="Normal 5 7 2 5 4 2" xfId="8840" xr:uid="{00000000-0005-0000-0000-0000617F0000}"/>
    <cellStyle name="Normal 5 7 2 5 4 2 2" xfId="16103" xr:uid="{00000000-0005-0000-0000-0000627F0000}"/>
    <cellStyle name="Normal 5 7 2 5 4 2 2 2" xfId="32418" xr:uid="{00000000-0005-0000-0000-0000637F0000}"/>
    <cellStyle name="Normal 5 7 2 5 4 2 3" xfId="25453" xr:uid="{00000000-0005-0000-0000-0000647F0000}"/>
    <cellStyle name="Normal 5 7 2 5 4 3" xfId="12182" xr:uid="{00000000-0005-0000-0000-0000657F0000}"/>
    <cellStyle name="Normal 5 7 2 5 4 3 2" xfId="28757" xr:uid="{00000000-0005-0000-0000-0000667F0000}"/>
    <cellStyle name="Normal 5 7 2 5 4 4" xfId="5489" xr:uid="{00000000-0005-0000-0000-0000677F0000}"/>
    <cellStyle name="Normal 5 7 2 5 4 4 2" xfId="22153" xr:uid="{00000000-0005-0000-0000-0000687F0000}"/>
    <cellStyle name="Normal 5 7 2 5 4 5" xfId="20098" xr:uid="{00000000-0005-0000-0000-0000697F0000}"/>
    <cellStyle name="Normal 5 7 2 5 5" xfId="7220" xr:uid="{00000000-0005-0000-0000-00006A7F0000}"/>
    <cellStyle name="Normal 5 7 2 5 5 2" xfId="14483" xr:uid="{00000000-0005-0000-0000-00006B7F0000}"/>
    <cellStyle name="Normal 5 7 2 5 5 2 2" xfId="30798" xr:uid="{00000000-0005-0000-0000-00006C7F0000}"/>
    <cellStyle name="Normal 5 7 2 5 5 3" xfId="23833" xr:uid="{00000000-0005-0000-0000-00006D7F0000}"/>
    <cellStyle name="Normal 5 7 2 5 6" xfId="10535" xr:uid="{00000000-0005-0000-0000-00006E7F0000}"/>
    <cellStyle name="Normal 5 7 2 5 6 2" xfId="27133" xr:uid="{00000000-0005-0000-0000-00006F7F0000}"/>
    <cellStyle name="Normal 5 7 2 5 7" xfId="4973" xr:uid="{00000000-0005-0000-0000-0000707F0000}"/>
    <cellStyle name="Normal 5 7 2 5 7 2" xfId="21696" xr:uid="{00000000-0005-0000-0000-0000717F0000}"/>
    <cellStyle name="Normal 5 7 2 5 8" xfId="17994" xr:uid="{00000000-0005-0000-0000-0000727F0000}"/>
    <cellStyle name="Normal 5 7 2 6" xfId="867" xr:uid="{00000000-0005-0000-0000-0000737F0000}"/>
    <cellStyle name="Normal 5 7 2 6 2" xfId="1436" xr:uid="{00000000-0005-0000-0000-0000747F0000}"/>
    <cellStyle name="Normal 5 7 2 6 2 2" xfId="3376" xr:uid="{00000000-0005-0000-0000-0000757F0000}"/>
    <cellStyle name="Normal 5 7 2 6 2 2 2" xfId="9847" xr:uid="{00000000-0005-0000-0000-0000767F0000}"/>
    <cellStyle name="Normal 5 7 2 6 2 2 2 2" xfId="17110" xr:uid="{00000000-0005-0000-0000-0000777F0000}"/>
    <cellStyle name="Normal 5 7 2 6 2 2 2 2 2" xfId="33425" xr:uid="{00000000-0005-0000-0000-0000787F0000}"/>
    <cellStyle name="Normal 5 7 2 6 2 2 2 3" xfId="26460" xr:uid="{00000000-0005-0000-0000-0000797F0000}"/>
    <cellStyle name="Normal 5 7 2 6 2 2 3" xfId="13189" xr:uid="{00000000-0005-0000-0000-00007A7F0000}"/>
    <cellStyle name="Normal 5 7 2 6 2 2 3 2" xfId="29764" xr:uid="{00000000-0005-0000-0000-00007B7F0000}"/>
    <cellStyle name="Normal 5 7 2 6 2 2 4" xfId="6496" xr:uid="{00000000-0005-0000-0000-00007C7F0000}"/>
    <cellStyle name="Normal 5 7 2 6 2 2 4 2" xfId="23160" xr:uid="{00000000-0005-0000-0000-00007D7F0000}"/>
    <cellStyle name="Normal 5 7 2 6 2 2 5" xfId="20103" xr:uid="{00000000-0005-0000-0000-00007E7F0000}"/>
    <cellStyle name="Normal 5 7 2 6 2 3" xfId="8226" xr:uid="{00000000-0005-0000-0000-00007F7F0000}"/>
    <cellStyle name="Normal 5 7 2 6 2 3 2" xfId="15489" xr:uid="{00000000-0005-0000-0000-0000807F0000}"/>
    <cellStyle name="Normal 5 7 2 6 2 3 2 2" xfId="31804" xr:uid="{00000000-0005-0000-0000-0000817F0000}"/>
    <cellStyle name="Normal 5 7 2 6 2 3 3" xfId="24839" xr:uid="{00000000-0005-0000-0000-0000827F0000}"/>
    <cellStyle name="Normal 5 7 2 6 2 4" xfId="11541" xr:uid="{00000000-0005-0000-0000-0000837F0000}"/>
    <cellStyle name="Normal 5 7 2 6 2 4 2" xfId="28139" xr:uid="{00000000-0005-0000-0000-0000847F0000}"/>
    <cellStyle name="Normal 5 7 2 6 2 5" xfId="4978" xr:uid="{00000000-0005-0000-0000-0000857F0000}"/>
    <cellStyle name="Normal 5 7 2 6 2 5 2" xfId="21701" xr:uid="{00000000-0005-0000-0000-0000867F0000}"/>
    <cellStyle name="Normal 5 7 2 6 2 6" xfId="18171" xr:uid="{00000000-0005-0000-0000-0000877F0000}"/>
    <cellStyle name="Normal 5 7 2 6 3" xfId="3375" xr:uid="{00000000-0005-0000-0000-0000887F0000}"/>
    <cellStyle name="Normal 5 7 2 6 3 2" xfId="9035" xr:uid="{00000000-0005-0000-0000-0000897F0000}"/>
    <cellStyle name="Normal 5 7 2 6 3 2 2" xfId="16298" xr:uid="{00000000-0005-0000-0000-00008A7F0000}"/>
    <cellStyle name="Normal 5 7 2 6 3 2 2 2" xfId="32613" xr:uid="{00000000-0005-0000-0000-00008B7F0000}"/>
    <cellStyle name="Normal 5 7 2 6 3 2 3" xfId="25648" xr:uid="{00000000-0005-0000-0000-00008C7F0000}"/>
    <cellStyle name="Normal 5 7 2 6 3 3" xfId="12377" xr:uid="{00000000-0005-0000-0000-00008D7F0000}"/>
    <cellStyle name="Normal 5 7 2 6 3 3 2" xfId="28952" xr:uid="{00000000-0005-0000-0000-00008E7F0000}"/>
    <cellStyle name="Normal 5 7 2 6 3 4" xfId="5684" xr:uid="{00000000-0005-0000-0000-00008F7F0000}"/>
    <cellStyle name="Normal 5 7 2 6 3 4 2" xfId="22348" xr:uid="{00000000-0005-0000-0000-0000907F0000}"/>
    <cellStyle name="Normal 5 7 2 6 3 5" xfId="20102" xr:uid="{00000000-0005-0000-0000-0000917F0000}"/>
    <cellStyle name="Normal 5 7 2 6 4" xfId="7414" xr:uid="{00000000-0005-0000-0000-0000927F0000}"/>
    <cellStyle name="Normal 5 7 2 6 4 2" xfId="14677" xr:uid="{00000000-0005-0000-0000-0000937F0000}"/>
    <cellStyle name="Normal 5 7 2 6 4 2 2" xfId="30992" xr:uid="{00000000-0005-0000-0000-0000947F0000}"/>
    <cellStyle name="Normal 5 7 2 6 4 3" xfId="24027" xr:uid="{00000000-0005-0000-0000-0000957F0000}"/>
    <cellStyle name="Normal 5 7 2 6 5" xfId="10729" xr:uid="{00000000-0005-0000-0000-0000967F0000}"/>
    <cellStyle name="Normal 5 7 2 6 5 2" xfId="27327" xr:uid="{00000000-0005-0000-0000-0000977F0000}"/>
    <cellStyle name="Normal 5 7 2 6 6" xfId="4977" xr:uid="{00000000-0005-0000-0000-0000987F0000}"/>
    <cellStyle name="Normal 5 7 2 6 6 2" xfId="21700" xr:uid="{00000000-0005-0000-0000-0000997F0000}"/>
    <cellStyle name="Normal 5 7 2 6 7" xfId="17652" xr:uid="{00000000-0005-0000-0000-00009A7F0000}"/>
    <cellStyle name="Normal 5 7 2 7" xfId="733" xr:uid="{00000000-0005-0000-0000-00009B7F0000}"/>
    <cellStyle name="Normal 5 7 2 7 2" xfId="3377" xr:uid="{00000000-0005-0000-0000-00009C7F0000}"/>
    <cellStyle name="Normal 5 7 2 7 2 2" xfId="9441" xr:uid="{00000000-0005-0000-0000-00009D7F0000}"/>
    <cellStyle name="Normal 5 7 2 7 2 2 2" xfId="16704" xr:uid="{00000000-0005-0000-0000-00009E7F0000}"/>
    <cellStyle name="Normal 5 7 2 7 2 2 2 2" xfId="33019" xr:uid="{00000000-0005-0000-0000-00009F7F0000}"/>
    <cellStyle name="Normal 5 7 2 7 2 2 3" xfId="26054" xr:uid="{00000000-0005-0000-0000-0000A07F0000}"/>
    <cellStyle name="Normal 5 7 2 7 2 3" xfId="12783" xr:uid="{00000000-0005-0000-0000-0000A17F0000}"/>
    <cellStyle name="Normal 5 7 2 7 2 3 2" xfId="29358" xr:uid="{00000000-0005-0000-0000-0000A27F0000}"/>
    <cellStyle name="Normal 5 7 2 7 2 4" xfId="6090" xr:uid="{00000000-0005-0000-0000-0000A37F0000}"/>
    <cellStyle name="Normal 5 7 2 7 2 4 2" xfId="22754" xr:uid="{00000000-0005-0000-0000-0000A47F0000}"/>
    <cellStyle name="Normal 5 7 2 7 2 5" xfId="20104" xr:uid="{00000000-0005-0000-0000-0000A57F0000}"/>
    <cellStyle name="Normal 5 7 2 7 3" xfId="7820" xr:uid="{00000000-0005-0000-0000-0000A67F0000}"/>
    <cellStyle name="Normal 5 7 2 7 3 2" xfId="15083" xr:uid="{00000000-0005-0000-0000-0000A77F0000}"/>
    <cellStyle name="Normal 5 7 2 7 3 2 2" xfId="31398" xr:uid="{00000000-0005-0000-0000-0000A87F0000}"/>
    <cellStyle name="Normal 5 7 2 7 3 3" xfId="24433" xr:uid="{00000000-0005-0000-0000-0000A97F0000}"/>
    <cellStyle name="Normal 5 7 2 7 4" xfId="11135" xr:uid="{00000000-0005-0000-0000-0000AA7F0000}"/>
    <cellStyle name="Normal 5 7 2 7 4 2" xfId="27733" xr:uid="{00000000-0005-0000-0000-0000AB7F0000}"/>
    <cellStyle name="Normal 5 7 2 7 5" xfId="4979" xr:uid="{00000000-0005-0000-0000-0000AC7F0000}"/>
    <cellStyle name="Normal 5 7 2 7 5 2" xfId="21702" xr:uid="{00000000-0005-0000-0000-0000AD7F0000}"/>
    <cellStyle name="Normal 5 7 2 7 6" xfId="17546" xr:uid="{00000000-0005-0000-0000-0000AE7F0000}"/>
    <cellStyle name="Normal 5 7 2 8" xfId="1330" xr:uid="{00000000-0005-0000-0000-0000AF7F0000}"/>
    <cellStyle name="Normal 5 7 2 8 2" xfId="8476" xr:uid="{00000000-0005-0000-0000-0000B07F0000}"/>
    <cellStyle name="Normal 5 7 2 8 2 2" xfId="15739" xr:uid="{00000000-0005-0000-0000-0000B17F0000}"/>
    <cellStyle name="Normal 5 7 2 8 2 2 2" xfId="32054" xr:uid="{00000000-0005-0000-0000-0000B27F0000}"/>
    <cellStyle name="Normal 5 7 2 8 2 3" xfId="25089" xr:uid="{00000000-0005-0000-0000-0000B37F0000}"/>
    <cellStyle name="Normal 5 7 2 8 3" xfId="11817" xr:uid="{00000000-0005-0000-0000-0000B47F0000}"/>
    <cellStyle name="Normal 5 7 2 8 3 2" xfId="28393" xr:uid="{00000000-0005-0000-0000-0000B57F0000}"/>
    <cellStyle name="Normal 5 7 2 8 4" xfId="5123" xr:uid="{00000000-0005-0000-0000-0000B67F0000}"/>
    <cellStyle name="Normal 5 7 2 8 4 2" xfId="21789" xr:uid="{00000000-0005-0000-0000-0000B77F0000}"/>
    <cellStyle name="Normal 5 7 2 8 5" xfId="18065" xr:uid="{00000000-0005-0000-0000-0000B87F0000}"/>
    <cellStyle name="Normal 5 7 2 9" xfId="3314" xr:uid="{00000000-0005-0000-0000-0000B97F0000}"/>
    <cellStyle name="Normal 5 7 2 9 2" xfId="14124" xr:uid="{00000000-0005-0000-0000-0000BA7F0000}"/>
    <cellStyle name="Normal 5 7 2 9 2 2" xfId="30439" xr:uid="{00000000-0005-0000-0000-0000BB7F0000}"/>
    <cellStyle name="Normal 5 7 2 9 3" xfId="6861" xr:uid="{00000000-0005-0000-0000-0000BC7F0000}"/>
    <cellStyle name="Normal 5 7 2 9 3 2" xfId="23474" xr:uid="{00000000-0005-0000-0000-0000BD7F0000}"/>
    <cellStyle name="Normal 5 7 2 9 4" xfId="20041" xr:uid="{00000000-0005-0000-0000-0000BE7F0000}"/>
    <cellStyle name="Normal 5 7 3" xfId="892" xr:uid="{00000000-0005-0000-0000-0000BF7F0000}"/>
    <cellStyle name="Normal 5 7 3 10" xfId="4980" xr:uid="{00000000-0005-0000-0000-0000C07F0000}"/>
    <cellStyle name="Normal 5 7 3 10 2" xfId="21703" xr:uid="{00000000-0005-0000-0000-0000C17F0000}"/>
    <cellStyle name="Normal 5 7 3 11" xfId="17670" xr:uid="{00000000-0005-0000-0000-0000C27F0000}"/>
    <cellStyle name="Normal 5 7 3 2" xfId="945" xr:uid="{00000000-0005-0000-0000-0000C37F0000}"/>
    <cellStyle name="Normal 5 7 3 2 10" xfId="17723" xr:uid="{00000000-0005-0000-0000-0000C47F0000}"/>
    <cellStyle name="Normal 5 7 3 2 2" xfId="1052" xr:uid="{00000000-0005-0000-0000-0000C57F0000}"/>
    <cellStyle name="Normal 5 7 3 2 2 2" xfId="1267" xr:uid="{00000000-0005-0000-0000-0000C67F0000}"/>
    <cellStyle name="Normal 5 7 3 2 2 2 2" xfId="1788" xr:uid="{00000000-0005-0000-0000-0000C77F0000}"/>
    <cellStyle name="Normal 5 7 3 2 2 2 2 2" xfId="3383" xr:uid="{00000000-0005-0000-0000-0000C87F0000}"/>
    <cellStyle name="Normal 5 7 3 2 2 2 2 2 2" xfId="6682" xr:uid="{00000000-0005-0000-0000-0000C97F0000}"/>
    <cellStyle name="Normal 5 7 3 2 2 2 2 2 2 2" xfId="10033" xr:uid="{00000000-0005-0000-0000-0000CA7F0000}"/>
    <cellStyle name="Normal 5 7 3 2 2 2 2 2 2 2 2" xfId="17296" xr:uid="{00000000-0005-0000-0000-0000CB7F0000}"/>
    <cellStyle name="Normal 5 7 3 2 2 2 2 2 2 2 2 2" xfId="33611" xr:uid="{00000000-0005-0000-0000-0000CC7F0000}"/>
    <cellStyle name="Normal 5 7 3 2 2 2 2 2 2 2 3" xfId="26646" xr:uid="{00000000-0005-0000-0000-0000CD7F0000}"/>
    <cellStyle name="Normal 5 7 3 2 2 2 2 2 2 3" xfId="13375" xr:uid="{00000000-0005-0000-0000-0000CE7F0000}"/>
    <cellStyle name="Normal 5 7 3 2 2 2 2 2 2 3 2" xfId="29950" xr:uid="{00000000-0005-0000-0000-0000CF7F0000}"/>
    <cellStyle name="Normal 5 7 3 2 2 2 2 2 2 4" xfId="23346" xr:uid="{00000000-0005-0000-0000-0000D07F0000}"/>
    <cellStyle name="Normal 5 7 3 2 2 2 2 2 3" xfId="8412" xr:uid="{00000000-0005-0000-0000-0000D17F0000}"/>
    <cellStyle name="Normal 5 7 3 2 2 2 2 2 3 2" xfId="15675" xr:uid="{00000000-0005-0000-0000-0000D27F0000}"/>
    <cellStyle name="Normal 5 7 3 2 2 2 2 2 3 2 2" xfId="31990" xr:uid="{00000000-0005-0000-0000-0000D37F0000}"/>
    <cellStyle name="Normal 5 7 3 2 2 2 2 2 3 3" xfId="25025" xr:uid="{00000000-0005-0000-0000-0000D47F0000}"/>
    <cellStyle name="Normal 5 7 3 2 2 2 2 2 4" xfId="11727" xr:uid="{00000000-0005-0000-0000-0000D57F0000}"/>
    <cellStyle name="Normal 5 7 3 2 2 2 2 2 4 2" xfId="28325" xr:uid="{00000000-0005-0000-0000-0000D67F0000}"/>
    <cellStyle name="Normal 5 7 3 2 2 2 2 2 5" xfId="4985" xr:uid="{00000000-0005-0000-0000-0000D77F0000}"/>
    <cellStyle name="Normal 5 7 3 2 2 2 2 2 5 2" xfId="21708" xr:uid="{00000000-0005-0000-0000-0000D87F0000}"/>
    <cellStyle name="Normal 5 7 3 2 2 2 2 2 6" xfId="20110" xr:uid="{00000000-0005-0000-0000-0000D97F0000}"/>
    <cellStyle name="Normal 5 7 3 2 2 2 2 3" xfId="3382" xr:uid="{00000000-0005-0000-0000-0000DA7F0000}"/>
    <cellStyle name="Normal 5 7 3 2 2 2 2 3 2" xfId="9257" xr:uid="{00000000-0005-0000-0000-0000DB7F0000}"/>
    <cellStyle name="Normal 5 7 3 2 2 2 2 3 2 2" xfId="16520" xr:uid="{00000000-0005-0000-0000-0000DC7F0000}"/>
    <cellStyle name="Normal 5 7 3 2 2 2 2 3 2 2 2" xfId="32835" xr:uid="{00000000-0005-0000-0000-0000DD7F0000}"/>
    <cellStyle name="Normal 5 7 3 2 2 2 2 3 2 3" xfId="25870" xr:uid="{00000000-0005-0000-0000-0000DE7F0000}"/>
    <cellStyle name="Normal 5 7 3 2 2 2 2 3 3" xfId="12599" xr:uid="{00000000-0005-0000-0000-0000DF7F0000}"/>
    <cellStyle name="Normal 5 7 3 2 2 2 2 3 3 2" xfId="29174" xr:uid="{00000000-0005-0000-0000-0000E07F0000}"/>
    <cellStyle name="Normal 5 7 3 2 2 2 2 3 4" xfId="5906" xr:uid="{00000000-0005-0000-0000-0000E17F0000}"/>
    <cellStyle name="Normal 5 7 3 2 2 2 2 3 4 2" xfId="22570" xr:uid="{00000000-0005-0000-0000-0000E27F0000}"/>
    <cellStyle name="Normal 5 7 3 2 2 2 2 3 5" xfId="20109" xr:uid="{00000000-0005-0000-0000-0000E37F0000}"/>
    <cellStyle name="Normal 5 7 3 2 2 2 2 4" xfId="7636" xr:uid="{00000000-0005-0000-0000-0000E47F0000}"/>
    <cellStyle name="Normal 5 7 3 2 2 2 2 4 2" xfId="14899" xr:uid="{00000000-0005-0000-0000-0000E57F0000}"/>
    <cellStyle name="Normal 5 7 3 2 2 2 2 4 2 2" xfId="31214" xr:uid="{00000000-0005-0000-0000-0000E67F0000}"/>
    <cellStyle name="Normal 5 7 3 2 2 2 2 4 3" xfId="24249" xr:uid="{00000000-0005-0000-0000-0000E77F0000}"/>
    <cellStyle name="Normal 5 7 3 2 2 2 2 5" xfId="10951" xr:uid="{00000000-0005-0000-0000-0000E87F0000}"/>
    <cellStyle name="Normal 5 7 3 2 2 2 2 5 2" xfId="27549" xr:uid="{00000000-0005-0000-0000-0000E97F0000}"/>
    <cellStyle name="Normal 5 7 3 2 2 2 2 6" xfId="4984" xr:uid="{00000000-0005-0000-0000-0000EA7F0000}"/>
    <cellStyle name="Normal 5 7 3 2 2 2 2 6 2" xfId="21707" xr:uid="{00000000-0005-0000-0000-0000EB7F0000}"/>
    <cellStyle name="Normal 5 7 3 2 2 2 2 7" xfId="18523" xr:uid="{00000000-0005-0000-0000-0000EC7F0000}"/>
    <cellStyle name="Normal 5 7 3 2 2 2 3" xfId="3384" xr:uid="{00000000-0005-0000-0000-0000ED7F0000}"/>
    <cellStyle name="Normal 5 7 3 2 2 2 3 2" xfId="6312" xr:uid="{00000000-0005-0000-0000-0000EE7F0000}"/>
    <cellStyle name="Normal 5 7 3 2 2 2 3 2 2" xfId="9663" xr:uid="{00000000-0005-0000-0000-0000EF7F0000}"/>
    <cellStyle name="Normal 5 7 3 2 2 2 3 2 2 2" xfId="16926" xr:uid="{00000000-0005-0000-0000-0000F07F0000}"/>
    <cellStyle name="Normal 5 7 3 2 2 2 3 2 2 2 2" xfId="33241" xr:uid="{00000000-0005-0000-0000-0000F17F0000}"/>
    <cellStyle name="Normal 5 7 3 2 2 2 3 2 2 3" xfId="26276" xr:uid="{00000000-0005-0000-0000-0000F27F0000}"/>
    <cellStyle name="Normal 5 7 3 2 2 2 3 2 3" xfId="13005" xr:uid="{00000000-0005-0000-0000-0000F37F0000}"/>
    <cellStyle name="Normal 5 7 3 2 2 2 3 2 3 2" xfId="29580" xr:uid="{00000000-0005-0000-0000-0000F47F0000}"/>
    <cellStyle name="Normal 5 7 3 2 2 2 3 2 4" xfId="22976" xr:uid="{00000000-0005-0000-0000-0000F57F0000}"/>
    <cellStyle name="Normal 5 7 3 2 2 2 3 3" xfId="8042" xr:uid="{00000000-0005-0000-0000-0000F67F0000}"/>
    <cellStyle name="Normal 5 7 3 2 2 2 3 3 2" xfId="15305" xr:uid="{00000000-0005-0000-0000-0000F77F0000}"/>
    <cellStyle name="Normal 5 7 3 2 2 2 3 3 2 2" xfId="31620" xr:uid="{00000000-0005-0000-0000-0000F87F0000}"/>
    <cellStyle name="Normal 5 7 3 2 2 2 3 3 3" xfId="24655" xr:uid="{00000000-0005-0000-0000-0000F97F0000}"/>
    <cellStyle name="Normal 5 7 3 2 2 2 3 4" xfId="11357" xr:uid="{00000000-0005-0000-0000-0000FA7F0000}"/>
    <cellStyle name="Normal 5 7 3 2 2 2 3 4 2" xfId="27955" xr:uid="{00000000-0005-0000-0000-0000FB7F0000}"/>
    <cellStyle name="Normal 5 7 3 2 2 2 3 5" xfId="4986" xr:uid="{00000000-0005-0000-0000-0000FC7F0000}"/>
    <cellStyle name="Normal 5 7 3 2 2 2 3 5 2" xfId="21709" xr:uid="{00000000-0005-0000-0000-0000FD7F0000}"/>
    <cellStyle name="Normal 5 7 3 2 2 2 3 6" xfId="20111" xr:uid="{00000000-0005-0000-0000-0000FE7F0000}"/>
    <cellStyle name="Normal 5 7 3 2 2 2 4" xfId="3381" xr:uid="{00000000-0005-0000-0000-0000FF7F0000}"/>
    <cellStyle name="Normal 5 7 3 2 2 2 4 2" xfId="8850" xr:uid="{00000000-0005-0000-0000-000000800000}"/>
    <cellStyle name="Normal 5 7 3 2 2 2 4 2 2" xfId="16113" xr:uid="{00000000-0005-0000-0000-000001800000}"/>
    <cellStyle name="Normal 5 7 3 2 2 2 4 2 2 2" xfId="32428" xr:uid="{00000000-0005-0000-0000-000002800000}"/>
    <cellStyle name="Normal 5 7 3 2 2 2 4 2 3" xfId="25463" xr:uid="{00000000-0005-0000-0000-000003800000}"/>
    <cellStyle name="Normal 5 7 3 2 2 2 4 3" xfId="12192" xr:uid="{00000000-0005-0000-0000-000004800000}"/>
    <cellStyle name="Normal 5 7 3 2 2 2 4 3 2" xfId="28767" xr:uid="{00000000-0005-0000-0000-000005800000}"/>
    <cellStyle name="Normal 5 7 3 2 2 2 4 4" xfId="5499" xr:uid="{00000000-0005-0000-0000-000006800000}"/>
    <cellStyle name="Normal 5 7 3 2 2 2 4 4 2" xfId="22163" xr:uid="{00000000-0005-0000-0000-000007800000}"/>
    <cellStyle name="Normal 5 7 3 2 2 2 4 5" xfId="20108" xr:uid="{00000000-0005-0000-0000-000008800000}"/>
    <cellStyle name="Normal 5 7 3 2 2 2 5" xfId="7230" xr:uid="{00000000-0005-0000-0000-000009800000}"/>
    <cellStyle name="Normal 5 7 3 2 2 2 5 2" xfId="14493" xr:uid="{00000000-0005-0000-0000-00000A800000}"/>
    <cellStyle name="Normal 5 7 3 2 2 2 5 2 2" xfId="30808" xr:uid="{00000000-0005-0000-0000-00000B800000}"/>
    <cellStyle name="Normal 5 7 3 2 2 2 5 3" xfId="23843" xr:uid="{00000000-0005-0000-0000-00000C800000}"/>
    <cellStyle name="Normal 5 7 3 2 2 2 6" xfId="10545" xr:uid="{00000000-0005-0000-0000-00000D800000}"/>
    <cellStyle name="Normal 5 7 3 2 2 2 6 2" xfId="27143" xr:uid="{00000000-0005-0000-0000-00000E800000}"/>
    <cellStyle name="Normal 5 7 3 2 2 2 7" xfId="4983" xr:uid="{00000000-0005-0000-0000-00000F800000}"/>
    <cellStyle name="Normal 5 7 3 2 2 2 7 2" xfId="21706" xr:uid="{00000000-0005-0000-0000-000010800000}"/>
    <cellStyle name="Normal 5 7 3 2 2 2 8" xfId="18004" xr:uid="{00000000-0005-0000-0000-000011800000}"/>
    <cellStyle name="Normal 5 7 3 2 2 3" xfId="1613" xr:uid="{00000000-0005-0000-0000-000012800000}"/>
    <cellStyle name="Normal 5 7 3 2 2 3 2" xfId="3386" xr:uid="{00000000-0005-0000-0000-000013800000}"/>
    <cellStyle name="Normal 5 7 3 2 2 3 2 2" xfId="6506" xr:uid="{00000000-0005-0000-0000-000014800000}"/>
    <cellStyle name="Normal 5 7 3 2 2 3 2 2 2" xfId="9857" xr:uid="{00000000-0005-0000-0000-000015800000}"/>
    <cellStyle name="Normal 5 7 3 2 2 3 2 2 2 2" xfId="17120" xr:uid="{00000000-0005-0000-0000-000016800000}"/>
    <cellStyle name="Normal 5 7 3 2 2 3 2 2 2 2 2" xfId="33435" xr:uid="{00000000-0005-0000-0000-000017800000}"/>
    <cellStyle name="Normal 5 7 3 2 2 3 2 2 2 3" xfId="26470" xr:uid="{00000000-0005-0000-0000-000018800000}"/>
    <cellStyle name="Normal 5 7 3 2 2 3 2 2 3" xfId="13199" xr:uid="{00000000-0005-0000-0000-000019800000}"/>
    <cellStyle name="Normal 5 7 3 2 2 3 2 2 3 2" xfId="29774" xr:uid="{00000000-0005-0000-0000-00001A800000}"/>
    <cellStyle name="Normal 5 7 3 2 2 3 2 2 4" xfId="23170" xr:uid="{00000000-0005-0000-0000-00001B800000}"/>
    <cellStyle name="Normal 5 7 3 2 2 3 2 3" xfId="8236" xr:uid="{00000000-0005-0000-0000-00001C800000}"/>
    <cellStyle name="Normal 5 7 3 2 2 3 2 3 2" xfId="15499" xr:uid="{00000000-0005-0000-0000-00001D800000}"/>
    <cellStyle name="Normal 5 7 3 2 2 3 2 3 2 2" xfId="31814" xr:uid="{00000000-0005-0000-0000-00001E800000}"/>
    <cellStyle name="Normal 5 7 3 2 2 3 2 3 3" xfId="24849" xr:uid="{00000000-0005-0000-0000-00001F800000}"/>
    <cellStyle name="Normal 5 7 3 2 2 3 2 4" xfId="11551" xr:uid="{00000000-0005-0000-0000-000020800000}"/>
    <cellStyle name="Normal 5 7 3 2 2 3 2 4 2" xfId="28149" xr:uid="{00000000-0005-0000-0000-000021800000}"/>
    <cellStyle name="Normal 5 7 3 2 2 3 2 5" xfId="4988" xr:uid="{00000000-0005-0000-0000-000022800000}"/>
    <cellStyle name="Normal 5 7 3 2 2 3 2 5 2" xfId="21711" xr:uid="{00000000-0005-0000-0000-000023800000}"/>
    <cellStyle name="Normal 5 7 3 2 2 3 2 6" xfId="20113" xr:uid="{00000000-0005-0000-0000-000024800000}"/>
    <cellStyle name="Normal 5 7 3 2 2 3 3" xfId="3385" xr:uid="{00000000-0005-0000-0000-000025800000}"/>
    <cellStyle name="Normal 5 7 3 2 2 3 3 2" xfId="9045" xr:uid="{00000000-0005-0000-0000-000026800000}"/>
    <cellStyle name="Normal 5 7 3 2 2 3 3 2 2" xfId="16308" xr:uid="{00000000-0005-0000-0000-000027800000}"/>
    <cellStyle name="Normal 5 7 3 2 2 3 3 2 2 2" xfId="32623" xr:uid="{00000000-0005-0000-0000-000028800000}"/>
    <cellStyle name="Normal 5 7 3 2 2 3 3 2 3" xfId="25658" xr:uid="{00000000-0005-0000-0000-000029800000}"/>
    <cellStyle name="Normal 5 7 3 2 2 3 3 3" xfId="12387" xr:uid="{00000000-0005-0000-0000-00002A800000}"/>
    <cellStyle name="Normal 5 7 3 2 2 3 3 3 2" xfId="28962" xr:uid="{00000000-0005-0000-0000-00002B800000}"/>
    <cellStyle name="Normal 5 7 3 2 2 3 3 4" xfId="5694" xr:uid="{00000000-0005-0000-0000-00002C800000}"/>
    <cellStyle name="Normal 5 7 3 2 2 3 3 4 2" xfId="22358" xr:uid="{00000000-0005-0000-0000-00002D800000}"/>
    <cellStyle name="Normal 5 7 3 2 2 3 3 5" xfId="20112" xr:uid="{00000000-0005-0000-0000-00002E800000}"/>
    <cellStyle name="Normal 5 7 3 2 2 3 4" xfId="7424" xr:uid="{00000000-0005-0000-0000-00002F800000}"/>
    <cellStyle name="Normal 5 7 3 2 2 3 4 2" xfId="14687" xr:uid="{00000000-0005-0000-0000-000030800000}"/>
    <cellStyle name="Normal 5 7 3 2 2 3 4 2 2" xfId="31002" xr:uid="{00000000-0005-0000-0000-000031800000}"/>
    <cellStyle name="Normal 5 7 3 2 2 3 4 3" xfId="24037" xr:uid="{00000000-0005-0000-0000-000032800000}"/>
    <cellStyle name="Normal 5 7 3 2 2 3 5" xfId="10739" xr:uid="{00000000-0005-0000-0000-000033800000}"/>
    <cellStyle name="Normal 5 7 3 2 2 3 5 2" xfId="27337" xr:uid="{00000000-0005-0000-0000-000034800000}"/>
    <cellStyle name="Normal 5 7 3 2 2 3 6" xfId="4987" xr:uid="{00000000-0005-0000-0000-000035800000}"/>
    <cellStyle name="Normal 5 7 3 2 2 3 6 2" xfId="21710" xr:uid="{00000000-0005-0000-0000-000036800000}"/>
    <cellStyle name="Normal 5 7 3 2 2 3 7" xfId="18348" xr:uid="{00000000-0005-0000-0000-000037800000}"/>
    <cellStyle name="Normal 5 7 3 2 2 4" xfId="3387" xr:uid="{00000000-0005-0000-0000-000038800000}"/>
    <cellStyle name="Normal 5 7 3 2 2 4 2" xfId="6100" xr:uid="{00000000-0005-0000-0000-000039800000}"/>
    <cellStyle name="Normal 5 7 3 2 2 4 2 2" xfId="9451" xr:uid="{00000000-0005-0000-0000-00003A800000}"/>
    <cellStyle name="Normal 5 7 3 2 2 4 2 2 2" xfId="16714" xr:uid="{00000000-0005-0000-0000-00003B800000}"/>
    <cellStyle name="Normal 5 7 3 2 2 4 2 2 2 2" xfId="33029" xr:uid="{00000000-0005-0000-0000-00003C800000}"/>
    <cellStyle name="Normal 5 7 3 2 2 4 2 2 3" xfId="26064" xr:uid="{00000000-0005-0000-0000-00003D800000}"/>
    <cellStyle name="Normal 5 7 3 2 2 4 2 3" xfId="12793" xr:uid="{00000000-0005-0000-0000-00003E800000}"/>
    <cellStyle name="Normal 5 7 3 2 2 4 2 3 2" xfId="29368" xr:uid="{00000000-0005-0000-0000-00003F800000}"/>
    <cellStyle name="Normal 5 7 3 2 2 4 2 4" xfId="22764" xr:uid="{00000000-0005-0000-0000-000040800000}"/>
    <cellStyle name="Normal 5 7 3 2 2 4 3" xfId="7830" xr:uid="{00000000-0005-0000-0000-000041800000}"/>
    <cellStyle name="Normal 5 7 3 2 2 4 3 2" xfId="15093" xr:uid="{00000000-0005-0000-0000-000042800000}"/>
    <cellStyle name="Normal 5 7 3 2 2 4 3 2 2" xfId="31408" xr:uid="{00000000-0005-0000-0000-000043800000}"/>
    <cellStyle name="Normal 5 7 3 2 2 4 3 3" xfId="24443" xr:uid="{00000000-0005-0000-0000-000044800000}"/>
    <cellStyle name="Normal 5 7 3 2 2 4 4" xfId="11145" xr:uid="{00000000-0005-0000-0000-000045800000}"/>
    <cellStyle name="Normal 5 7 3 2 2 4 4 2" xfId="27743" xr:uid="{00000000-0005-0000-0000-000046800000}"/>
    <cellStyle name="Normal 5 7 3 2 2 4 5" xfId="4989" xr:uid="{00000000-0005-0000-0000-000047800000}"/>
    <cellStyle name="Normal 5 7 3 2 2 4 5 2" xfId="21712" xr:uid="{00000000-0005-0000-0000-000048800000}"/>
    <cellStyle name="Normal 5 7 3 2 2 4 6" xfId="20114" xr:uid="{00000000-0005-0000-0000-000049800000}"/>
    <cellStyle name="Normal 5 7 3 2 2 5" xfId="3380" xr:uid="{00000000-0005-0000-0000-00004A800000}"/>
    <cellStyle name="Normal 5 7 3 2 2 5 2" xfId="8674" xr:uid="{00000000-0005-0000-0000-00004B800000}"/>
    <cellStyle name="Normal 5 7 3 2 2 5 2 2" xfId="15937" xr:uid="{00000000-0005-0000-0000-00004C800000}"/>
    <cellStyle name="Normal 5 7 3 2 2 5 2 2 2" xfId="32252" xr:uid="{00000000-0005-0000-0000-00004D800000}"/>
    <cellStyle name="Normal 5 7 3 2 2 5 2 3" xfId="25287" xr:uid="{00000000-0005-0000-0000-00004E800000}"/>
    <cellStyle name="Normal 5 7 3 2 2 5 3" xfId="12016" xr:uid="{00000000-0005-0000-0000-00004F800000}"/>
    <cellStyle name="Normal 5 7 3 2 2 5 3 2" xfId="28591" xr:uid="{00000000-0005-0000-0000-000050800000}"/>
    <cellStyle name="Normal 5 7 3 2 2 5 4" xfId="5323" xr:uid="{00000000-0005-0000-0000-000051800000}"/>
    <cellStyle name="Normal 5 7 3 2 2 5 4 2" xfId="21987" xr:uid="{00000000-0005-0000-0000-000052800000}"/>
    <cellStyle name="Normal 5 7 3 2 2 5 5" xfId="20107" xr:uid="{00000000-0005-0000-0000-000053800000}"/>
    <cellStyle name="Normal 5 7 3 2 2 6" xfId="7055" xr:uid="{00000000-0005-0000-0000-000054800000}"/>
    <cellStyle name="Normal 5 7 3 2 2 6 2" xfId="14318" xr:uid="{00000000-0005-0000-0000-000055800000}"/>
    <cellStyle name="Normal 5 7 3 2 2 6 2 2" xfId="30633" xr:uid="{00000000-0005-0000-0000-000056800000}"/>
    <cellStyle name="Normal 5 7 3 2 2 6 3" xfId="23668" xr:uid="{00000000-0005-0000-0000-000057800000}"/>
    <cellStyle name="Normal 5 7 3 2 2 7" xfId="10369" xr:uid="{00000000-0005-0000-0000-000058800000}"/>
    <cellStyle name="Normal 5 7 3 2 2 7 2" xfId="26968" xr:uid="{00000000-0005-0000-0000-000059800000}"/>
    <cellStyle name="Normal 5 7 3 2 2 8" xfId="4982" xr:uid="{00000000-0005-0000-0000-00005A800000}"/>
    <cellStyle name="Normal 5 7 3 2 2 8 2" xfId="21705" xr:uid="{00000000-0005-0000-0000-00005B800000}"/>
    <cellStyle name="Normal 5 7 3 2 2 9" xfId="17829" xr:uid="{00000000-0005-0000-0000-00005C800000}"/>
    <cellStyle name="Normal 5 7 3 2 3" xfId="1266" xr:uid="{00000000-0005-0000-0000-00005D800000}"/>
    <cellStyle name="Normal 5 7 3 2 3 2" xfId="1787" xr:uid="{00000000-0005-0000-0000-00005E800000}"/>
    <cellStyle name="Normal 5 7 3 2 3 2 2" xfId="3390" xr:uid="{00000000-0005-0000-0000-00005F800000}"/>
    <cellStyle name="Normal 5 7 3 2 3 2 2 2" xfId="6681" xr:uid="{00000000-0005-0000-0000-000060800000}"/>
    <cellStyle name="Normal 5 7 3 2 3 2 2 2 2" xfId="10032" xr:uid="{00000000-0005-0000-0000-000061800000}"/>
    <cellStyle name="Normal 5 7 3 2 3 2 2 2 2 2" xfId="17295" xr:uid="{00000000-0005-0000-0000-000062800000}"/>
    <cellStyle name="Normal 5 7 3 2 3 2 2 2 2 2 2" xfId="33610" xr:uid="{00000000-0005-0000-0000-000063800000}"/>
    <cellStyle name="Normal 5 7 3 2 3 2 2 2 2 3" xfId="26645" xr:uid="{00000000-0005-0000-0000-000064800000}"/>
    <cellStyle name="Normal 5 7 3 2 3 2 2 2 3" xfId="13374" xr:uid="{00000000-0005-0000-0000-000065800000}"/>
    <cellStyle name="Normal 5 7 3 2 3 2 2 2 3 2" xfId="29949" xr:uid="{00000000-0005-0000-0000-000066800000}"/>
    <cellStyle name="Normal 5 7 3 2 3 2 2 2 4" xfId="23345" xr:uid="{00000000-0005-0000-0000-000067800000}"/>
    <cellStyle name="Normal 5 7 3 2 3 2 2 3" xfId="8411" xr:uid="{00000000-0005-0000-0000-000068800000}"/>
    <cellStyle name="Normal 5 7 3 2 3 2 2 3 2" xfId="15674" xr:uid="{00000000-0005-0000-0000-000069800000}"/>
    <cellStyle name="Normal 5 7 3 2 3 2 2 3 2 2" xfId="31989" xr:uid="{00000000-0005-0000-0000-00006A800000}"/>
    <cellStyle name="Normal 5 7 3 2 3 2 2 3 3" xfId="25024" xr:uid="{00000000-0005-0000-0000-00006B800000}"/>
    <cellStyle name="Normal 5 7 3 2 3 2 2 4" xfId="11726" xr:uid="{00000000-0005-0000-0000-00006C800000}"/>
    <cellStyle name="Normal 5 7 3 2 3 2 2 4 2" xfId="28324" xr:uid="{00000000-0005-0000-0000-00006D800000}"/>
    <cellStyle name="Normal 5 7 3 2 3 2 2 5" xfId="4992" xr:uid="{00000000-0005-0000-0000-00006E800000}"/>
    <cellStyle name="Normal 5 7 3 2 3 2 2 5 2" xfId="21715" xr:uid="{00000000-0005-0000-0000-00006F800000}"/>
    <cellStyle name="Normal 5 7 3 2 3 2 2 6" xfId="20117" xr:uid="{00000000-0005-0000-0000-000070800000}"/>
    <cellStyle name="Normal 5 7 3 2 3 2 3" xfId="3389" xr:uid="{00000000-0005-0000-0000-000071800000}"/>
    <cellStyle name="Normal 5 7 3 2 3 2 3 2" xfId="9256" xr:uid="{00000000-0005-0000-0000-000072800000}"/>
    <cellStyle name="Normal 5 7 3 2 3 2 3 2 2" xfId="16519" xr:uid="{00000000-0005-0000-0000-000073800000}"/>
    <cellStyle name="Normal 5 7 3 2 3 2 3 2 2 2" xfId="32834" xr:uid="{00000000-0005-0000-0000-000074800000}"/>
    <cellStyle name="Normal 5 7 3 2 3 2 3 2 3" xfId="25869" xr:uid="{00000000-0005-0000-0000-000075800000}"/>
    <cellStyle name="Normal 5 7 3 2 3 2 3 3" xfId="12598" xr:uid="{00000000-0005-0000-0000-000076800000}"/>
    <cellStyle name="Normal 5 7 3 2 3 2 3 3 2" xfId="29173" xr:uid="{00000000-0005-0000-0000-000077800000}"/>
    <cellStyle name="Normal 5 7 3 2 3 2 3 4" xfId="5905" xr:uid="{00000000-0005-0000-0000-000078800000}"/>
    <cellStyle name="Normal 5 7 3 2 3 2 3 4 2" xfId="22569" xr:uid="{00000000-0005-0000-0000-000079800000}"/>
    <cellStyle name="Normal 5 7 3 2 3 2 3 5" xfId="20116" xr:uid="{00000000-0005-0000-0000-00007A800000}"/>
    <cellStyle name="Normal 5 7 3 2 3 2 4" xfId="7635" xr:uid="{00000000-0005-0000-0000-00007B800000}"/>
    <cellStyle name="Normal 5 7 3 2 3 2 4 2" xfId="14898" xr:uid="{00000000-0005-0000-0000-00007C800000}"/>
    <cellStyle name="Normal 5 7 3 2 3 2 4 2 2" xfId="31213" xr:uid="{00000000-0005-0000-0000-00007D800000}"/>
    <cellStyle name="Normal 5 7 3 2 3 2 4 3" xfId="24248" xr:uid="{00000000-0005-0000-0000-00007E800000}"/>
    <cellStyle name="Normal 5 7 3 2 3 2 5" xfId="10950" xr:uid="{00000000-0005-0000-0000-00007F800000}"/>
    <cellStyle name="Normal 5 7 3 2 3 2 5 2" xfId="27548" xr:uid="{00000000-0005-0000-0000-000080800000}"/>
    <cellStyle name="Normal 5 7 3 2 3 2 6" xfId="4991" xr:uid="{00000000-0005-0000-0000-000081800000}"/>
    <cellStyle name="Normal 5 7 3 2 3 2 6 2" xfId="21714" xr:uid="{00000000-0005-0000-0000-000082800000}"/>
    <cellStyle name="Normal 5 7 3 2 3 2 7" xfId="18522" xr:uid="{00000000-0005-0000-0000-000083800000}"/>
    <cellStyle name="Normal 5 7 3 2 3 3" xfId="3391" xr:uid="{00000000-0005-0000-0000-000084800000}"/>
    <cellStyle name="Normal 5 7 3 2 3 3 2" xfId="6311" xr:uid="{00000000-0005-0000-0000-000085800000}"/>
    <cellStyle name="Normal 5 7 3 2 3 3 2 2" xfId="9662" xr:uid="{00000000-0005-0000-0000-000086800000}"/>
    <cellStyle name="Normal 5 7 3 2 3 3 2 2 2" xfId="16925" xr:uid="{00000000-0005-0000-0000-000087800000}"/>
    <cellStyle name="Normal 5 7 3 2 3 3 2 2 2 2" xfId="33240" xr:uid="{00000000-0005-0000-0000-000088800000}"/>
    <cellStyle name="Normal 5 7 3 2 3 3 2 2 3" xfId="26275" xr:uid="{00000000-0005-0000-0000-000089800000}"/>
    <cellStyle name="Normal 5 7 3 2 3 3 2 3" xfId="13004" xr:uid="{00000000-0005-0000-0000-00008A800000}"/>
    <cellStyle name="Normal 5 7 3 2 3 3 2 3 2" xfId="29579" xr:uid="{00000000-0005-0000-0000-00008B800000}"/>
    <cellStyle name="Normal 5 7 3 2 3 3 2 4" xfId="22975" xr:uid="{00000000-0005-0000-0000-00008C800000}"/>
    <cellStyle name="Normal 5 7 3 2 3 3 3" xfId="8041" xr:uid="{00000000-0005-0000-0000-00008D800000}"/>
    <cellStyle name="Normal 5 7 3 2 3 3 3 2" xfId="15304" xr:uid="{00000000-0005-0000-0000-00008E800000}"/>
    <cellStyle name="Normal 5 7 3 2 3 3 3 2 2" xfId="31619" xr:uid="{00000000-0005-0000-0000-00008F800000}"/>
    <cellStyle name="Normal 5 7 3 2 3 3 3 3" xfId="24654" xr:uid="{00000000-0005-0000-0000-000090800000}"/>
    <cellStyle name="Normal 5 7 3 2 3 3 4" xfId="11356" xr:uid="{00000000-0005-0000-0000-000091800000}"/>
    <cellStyle name="Normal 5 7 3 2 3 3 4 2" xfId="27954" xr:uid="{00000000-0005-0000-0000-000092800000}"/>
    <cellStyle name="Normal 5 7 3 2 3 3 5" xfId="4993" xr:uid="{00000000-0005-0000-0000-000093800000}"/>
    <cellStyle name="Normal 5 7 3 2 3 3 5 2" xfId="21716" xr:uid="{00000000-0005-0000-0000-000094800000}"/>
    <cellStyle name="Normal 5 7 3 2 3 3 6" xfId="20118" xr:uid="{00000000-0005-0000-0000-000095800000}"/>
    <cellStyle name="Normal 5 7 3 2 3 4" xfId="3388" xr:uid="{00000000-0005-0000-0000-000096800000}"/>
    <cellStyle name="Normal 5 7 3 2 3 4 2" xfId="8849" xr:uid="{00000000-0005-0000-0000-000097800000}"/>
    <cellStyle name="Normal 5 7 3 2 3 4 2 2" xfId="16112" xr:uid="{00000000-0005-0000-0000-000098800000}"/>
    <cellStyle name="Normal 5 7 3 2 3 4 2 2 2" xfId="32427" xr:uid="{00000000-0005-0000-0000-000099800000}"/>
    <cellStyle name="Normal 5 7 3 2 3 4 2 3" xfId="25462" xr:uid="{00000000-0005-0000-0000-00009A800000}"/>
    <cellStyle name="Normal 5 7 3 2 3 4 3" xfId="12191" xr:uid="{00000000-0005-0000-0000-00009B800000}"/>
    <cellStyle name="Normal 5 7 3 2 3 4 3 2" xfId="28766" xr:uid="{00000000-0005-0000-0000-00009C800000}"/>
    <cellStyle name="Normal 5 7 3 2 3 4 4" xfId="5498" xr:uid="{00000000-0005-0000-0000-00009D800000}"/>
    <cellStyle name="Normal 5 7 3 2 3 4 4 2" xfId="22162" xr:uid="{00000000-0005-0000-0000-00009E800000}"/>
    <cellStyle name="Normal 5 7 3 2 3 4 5" xfId="20115" xr:uid="{00000000-0005-0000-0000-00009F800000}"/>
    <cellStyle name="Normal 5 7 3 2 3 5" xfId="7229" xr:uid="{00000000-0005-0000-0000-0000A0800000}"/>
    <cellStyle name="Normal 5 7 3 2 3 5 2" xfId="14492" xr:uid="{00000000-0005-0000-0000-0000A1800000}"/>
    <cellStyle name="Normal 5 7 3 2 3 5 2 2" xfId="30807" xr:uid="{00000000-0005-0000-0000-0000A2800000}"/>
    <cellStyle name="Normal 5 7 3 2 3 5 3" xfId="23842" xr:uid="{00000000-0005-0000-0000-0000A3800000}"/>
    <cellStyle name="Normal 5 7 3 2 3 6" xfId="10544" xr:uid="{00000000-0005-0000-0000-0000A4800000}"/>
    <cellStyle name="Normal 5 7 3 2 3 6 2" xfId="27142" xr:uid="{00000000-0005-0000-0000-0000A5800000}"/>
    <cellStyle name="Normal 5 7 3 2 3 7" xfId="4990" xr:uid="{00000000-0005-0000-0000-0000A6800000}"/>
    <cellStyle name="Normal 5 7 3 2 3 7 2" xfId="21713" xr:uid="{00000000-0005-0000-0000-0000A7800000}"/>
    <cellStyle name="Normal 5 7 3 2 3 8" xfId="18003" xr:uid="{00000000-0005-0000-0000-0000A8800000}"/>
    <cellStyle name="Normal 5 7 3 2 4" xfId="1507" xr:uid="{00000000-0005-0000-0000-0000A9800000}"/>
    <cellStyle name="Normal 5 7 3 2 4 2" xfId="3393" xr:uid="{00000000-0005-0000-0000-0000AA800000}"/>
    <cellStyle name="Normal 5 7 3 2 4 2 2" xfId="6505" xr:uid="{00000000-0005-0000-0000-0000AB800000}"/>
    <cellStyle name="Normal 5 7 3 2 4 2 2 2" xfId="9856" xr:uid="{00000000-0005-0000-0000-0000AC800000}"/>
    <cellStyle name="Normal 5 7 3 2 4 2 2 2 2" xfId="17119" xr:uid="{00000000-0005-0000-0000-0000AD800000}"/>
    <cellStyle name="Normal 5 7 3 2 4 2 2 2 2 2" xfId="33434" xr:uid="{00000000-0005-0000-0000-0000AE800000}"/>
    <cellStyle name="Normal 5 7 3 2 4 2 2 2 3" xfId="26469" xr:uid="{00000000-0005-0000-0000-0000AF800000}"/>
    <cellStyle name="Normal 5 7 3 2 4 2 2 3" xfId="13198" xr:uid="{00000000-0005-0000-0000-0000B0800000}"/>
    <cellStyle name="Normal 5 7 3 2 4 2 2 3 2" xfId="29773" xr:uid="{00000000-0005-0000-0000-0000B1800000}"/>
    <cellStyle name="Normal 5 7 3 2 4 2 2 4" xfId="23169" xr:uid="{00000000-0005-0000-0000-0000B2800000}"/>
    <cellStyle name="Normal 5 7 3 2 4 2 3" xfId="8235" xr:uid="{00000000-0005-0000-0000-0000B3800000}"/>
    <cellStyle name="Normal 5 7 3 2 4 2 3 2" xfId="15498" xr:uid="{00000000-0005-0000-0000-0000B4800000}"/>
    <cellStyle name="Normal 5 7 3 2 4 2 3 2 2" xfId="31813" xr:uid="{00000000-0005-0000-0000-0000B5800000}"/>
    <cellStyle name="Normal 5 7 3 2 4 2 3 3" xfId="24848" xr:uid="{00000000-0005-0000-0000-0000B6800000}"/>
    <cellStyle name="Normal 5 7 3 2 4 2 4" xfId="11550" xr:uid="{00000000-0005-0000-0000-0000B7800000}"/>
    <cellStyle name="Normal 5 7 3 2 4 2 4 2" xfId="28148" xr:uid="{00000000-0005-0000-0000-0000B8800000}"/>
    <cellStyle name="Normal 5 7 3 2 4 2 5" xfId="4995" xr:uid="{00000000-0005-0000-0000-0000B9800000}"/>
    <cellStyle name="Normal 5 7 3 2 4 2 5 2" xfId="21718" xr:uid="{00000000-0005-0000-0000-0000BA800000}"/>
    <cellStyle name="Normal 5 7 3 2 4 2 6" xfId="20120" xr:uid="{00000000-0005-0000-0000-0000BB800000}"/>
    <cellStyle name="Normal 5 7 3 2 4 3" xfId="3392" xr:uid="{00000000-0005-0000-0000-0000BC800000}"/>
    <cellStyle name="Normal 5 7 3 2 4 3 2" xfId="9044" xr:uid="{00000000-0005-0000-0000-0000BD800000}"/>
    <cellStyle name="Normal 5 7 3 2 4 3 2 2" xfId="16307" xr:uid="{00000000-0005-0000-0000-0000BE800000}"/>
    <cellStyle name="Normal 5 7 3 2 4 3 2 2 2" xfId="32622" xr:uid="{00000000-0005-0000-0000-0000BF800000}"/>
    <cellStyle name="Normal 5 7 3 2 4 3 2 3" xfId="25657" xr:uid="{00000000-0005-0000-0000-0000C0800000}"/>
    <cellStyle name="Normal 5 7 3 2 4 3 3" xfId="12386" xr:uid="{00000000-0005-0000-0000-0000C1800000}"/>
    <cellStyle name="Normal 5 7 3 2 4 3 3 2" xfId="28961" xr:uid="{00000000-0005-0000-0000-0000C2800000}"/>
    <cellStyle name="Normal 5 7 3 2 4 3 4" xfId="5693" xr:uid="{00000000-0005-0000-0000-0000C3800000}"/>
    <cellStyle name="Normal 5 7 3 2 4 3 4 2" xfId="22357" xr:uid="{00000000-0005-0000-0000-0000C4800000}"/>
    <cellStyle name="Normal 5 7 3 2 4 3 5" xfId="20119" xr:uid="{00000000-0005-0000-0000-0000C5800000}"/>
    <cellStyle name="Normal 5 7 3 2 4 4" xfId="7423" xr:uid="{00000000-0005-0000-0000-0000C6800000}"/>
    <cellStyle name="Normal 5 7 3 2 4 4 2" xfId="14686" xr:uid="{00000000-0005-0000-0000-0000C7800000}"/>
    <cellStyle name="Normal 5 7 3 2 4 4 2 2" xfId="31001" xr:uid="{00000000-0005-0000-0000-0000C8800000}"/>
    <cellStyle name="Normal 5 7 3 2 4 4 3" xfId="24036" xr:uid="{00000000-0005-0000-0000-0000C9800000}"/>
    <cellStyle name="Normal 5 7 3 2 4 5" xfId="10738" xr:uid="{00000000-0005-0000-0000-0000CA800000}"/>
    <cellStyle name="Normal 5 7 3 2 4 5 2" xfId="27336" xr:uid="{00000000-0005-0000-0000-0000CB800000}"/>
    <cellStyle name="Normal 5 7 3 2 4 6" xfId="4994" xr:uid="{00000000-0005-0000-0000-0000CC800000}"/>
    <cellStyle name="Normal 5 7 3 2 4 6 2" xfId="21717" xr:uid="{00000000-0005-0000-0000-0000CD800000}"/>
    <cellStyle name="Normal 5 7 3 2 4 7" xfId="18242" xr:uid="{00000000-0005-0000-0000-0000CE800000}"/>
    <cellStyle name="Normal 5 7 3 2 5" xfId="3394" xr:uid="{00000000-0005-0000-0000-0000CF800000}"/>
    <cellStyle name="Normal 5 7 3 2 5 2" xfId="6099" xr:uid="{00000000-0005-0000-0000-0000D0800000}"/>
    <cellStyle name="Normal 5 7 3 2 5 2 2" xfId="9450" xr:uid="{00000000-0005-0000-0000-0000D1800000}"/>
    <cellStyle name="Normal 5 7 3 2 5 2 2 2" xfId="16713" xr:uid="{00000000-0005-0000-0000-0000D2800000}"/>
    <cellStyle name="Normal 5 7 3 2 5 2 2 2 2" xfId="33028" xr:uid="{00000000-0005-0000-0000-0000D3800000}"/>
    <cellStyle name="Normal 5 7 3 2 5 2 2 3" xfId="26063" xr:uid="{00000000-0005-0000-0000-0000D4800000}"/>
    <cellStyle name="Normal 5 7 3 2 5 2 3" xfId="12792" xr:uid="{00000000-0005-0000-0000-0000D5800000}"/>
    <cellStyle name="Normal 5 7 3 2 5 2 3 2" xfId="29367" xr:uid="{00000000-0005-0000-0000-0000D6800000}"/>
    <cellStyle name="Normal 5 7 3 2 5 2 4" xfId="22763" xr:uid="{00000000-0005-0000-0000-0000D7800000}"/>
    <cellStyle name="Normal 5 7 3 2 5 3" xfId="7829" xr:uid="{00000000-0005-0000-0000-0000D8800000}"/>
    <cellStyle name="Normal 5 7 3 2 5 3 2" xfId="15092" xr:uid="{00000000-0005-0000-0000-0000D9800000}"/>
    <cellStyle name="Normal 5 7 3 2 5 3 2 2" xfId="31407" xr:uid="{00000000-0005-0000-0000-0000DA800000}"/>
    <cellStyle name="Normal 5 7 3 2 5 3 3" xfId="24442" xr:uid="{00000000-0005-0000-0000-0000DB800000}"/>
    <cellStyle name="Normal 5 7 3 2 5 4" xfId="11144" xr:uid="{00000000-0005-0000-0000-0000DC800000}"/>
    <cellStyle name="Normal 5 7 3 2 5 4 2" xfId="27742" xr:uid="{00000000-0005-0000-0000-0000DD800000}"/>
    <cellStyle name="Normal 5 7 3 2 5 5" xfId="4996" xr:uid="{00000000-0005-0000-0000-0000DE800000}"/>
    <cellStyle name="Normal 5 7 3 2 5 5 2" xfId="21719" xr:uid="{00000000-0005-0000-0000-0000DF800000}"/>
    <cellStyle name="Normal 5 7 3 2 5 6" xfId="20121" xr:uid="{00000000-0005-0000-0000-0000E0800000}"/>
    <cellStyle name="Normal 5 7 3 2 6" xfId="3379" xr:uid="{00000000-0005-0000-0000-0000E1800000}"/>
    <cellStyle name="Normal 5 7 3 2 6 2" xfId="8568" xr:uid="{00000000-0005-0000-0000-0000E2800000}"/>
    <cellStyle name="Normal 5 7 3 2 6 2 2" xfId="15831" xr:uid="{00000000-0005-0000-0000-0000E3800000}"/>
    <cellStyle name="Normal 5 7 3 2 6 2 2 2" xfId="32146" xr:uid="{00000000-0005-0000-0000-0000E4800000}"/>
    <cellStyle name="Normal 5 7 3 2 6 2 3" xfId="25181" xr:uid="{00000000-0005-0000-0000-0000E5800000}"/>
    <cellStyle name="Normal 5 7 3 2 6 3" xfId="11910" xr:uid="{00000000-0005-0000-0000-0000E6800000}"/>
    <cellStyle name="Normal 5 7 3 2 6 3 2" xfId="28485" xr:uid="{00000000-0005-0000-0000-0000E7800000}"/>
    <cellStyle name="Normal 5 7 3 2 6 4" xfId="5217" xr:uid="{00000000-0005-0000-0000-0000E8800000}"/>
    <cellStyle name="Normal 5 7 3 2 6 4 2" xfId="21881" xr:uid="{00000000-0005-0000-0000-0000E9800000}"/>
    <cellStyle name="Normal 5 7 3 2 6 5" xfId="20106" xr:uid="{00000000-0005-0000-0000-0000EA800000}"/>
    <cellStyle name="Normal 5 7 3 2 7" xfId="6949" xr:uid="{00000000-0005-0000-0000-0000EB800000}"/>
    <cellStyle name="Normal 5 7 3 2 7 2" xfId="14212" xr:uid="{00000000-0005-0000-0000-0000EC800000}"/>
    <cellStyle name="Normal 5 7 3 2 7 2 2" xfId="30527" xr:uid="{00000000-0005-0000-0000-0000ED800000}"/>
    <cellStyle name="Normal 5 7 3 2 7 3" xfId="23562" xr:uid="{00000000-0005-0000-0000-0000EE800000}"/>
    <cellStyle name="Normal 5 7 3 2 8" xfId="10263" xr:uid="{00000000-0005-0000-0000-0000EF800000}"/>
    <cellStyle name="Normal 5 7 3 2 8 2" xfId="26862" xr:uid="{00000000-0005-0000-0000-0000F0800000}"/>
    <cellStyle name="Normal 5 7 3 2 9" xfId="4981" xr:uid="{00000000-0005-0000-0000-0000F1800000}"/>
    <cellStyle name="Normal 5 7 3 2 9 2" xfId="21704" xr:uid="{00000000-0005-0000-0000-0000F2800000}"/>
    <cellStyle name="Normal 5 7 3 3" xfId="999" xr:uid="{00000000-0005-0000-0000-0000F3800000}"/>
    <cellStyle name="Normal 5 7 3 3 2" xfId="1268" xr:uid="{00000000-0005-0000-0000-0000F4800000}"/>
    <cellStyle name="Normal 5 7 3 3 2 2" xfId="1789" xr:uid="{00000000-0005-0000-0000-0000F5800000}"/>
    <cellStyle name="Normal 5 7 3 3 2 2 2" xfId="3398" xr:uid="{00000000-0005-0000-0000-0000F6800000}"/>
    <cellStyle name="Normal 5 7 3 3 2 2 2 2" xfId="6683" xr:uid="{00000000-0005-0000-0000-0000F7800000}"/>
    <cellStyle name="Normal 5 7 3 3 2 2 2 2 2" xfId="10034" xr:uid="{00000000-0005-0000-0000-0000F8800000}"/>
    <cellStyle name="Normal 5 7 3 3 2 2 2 2 2 2" xfId="17297" xr:uid="{00000000-0005-0000-0000-0000F9800000}"/>
    <cellStyle name="Normal 5 7 3 3 2 2 2 2 2 2 2" xfId="33612" xr:uid="{00000000-0005-0000-0000-0000FA800000}"/>
    <cellStyle name="Normal 5 7 3 3 2 2 2 2 2 3" xfId="26647" xr:uid="{00000000-0005-0000-0000-0000FB800000}"/>
    <cellStyle name="Normal 5 7 3 3 2 2 2 2 3" xfId="13376" xr:uid="{00000000-0005-0000-0000-0000FC800000}"/>
    <cellStyle name="Normal 5 7 3 3 2 2 2 2 3 2" xfId="29951" xr:uid="{00000000-0005-0000-0000-0000FD800000}"/>
    <cellStyle name="Normal 5 7 3 3 2 2 2 2 4" xfId="23347" xr:uid="{00000000-0005-0000-0000-0000FE800000}"/>
    <cellStyle name="Normal 5 7 3 3 2 2 2 3" xfId="8413" xr:uid="{00000000-0005-0000-0000-0000FF800000}"/>
    <cellStyle name="Normal 5 7 3 3 2 2 2 3 2" xfId="15676" xr:uid="{00000000-0005-0000-0000-000000810000}"/>
    <cellStyle name="Normal 5 7 3 3 2 2 2 3 2 2" xfId="31991" xr:uid="{00000000-0005-0000-0000-000001810000}"/>
    <cellStyle name="Normal 5 7 3 3 2 2 2 3 3" xfId="25026" xr:uid="{00000000-0005-0000-0000-000002810000}"/>
    <cellStyle name="Normal 5 7 3 3 2 2 2 4" xfId="11728" xr:uid="{00000000-0005-0000-0000-000003810000}"/>
    <cellStyle name="Normal 5 7 3 3 2 2 2 4 2" xfId="28326" xr:uid="{00000000-0005-0000-0000-000004810000}"/>
    <cellStyle name="Normal 5 7 3 3 2 2 2 5" xfId="5000" xr:uid="{00000000-0005-0000-0000-000005810000}"/>
    <cellStyle name="Normal 5 7 3 3 2 2 2 5 2" xfId="21723" xr:uid="{00000000-0005-0000-0000-000006810000}"/>
    <cellStyle name="Normal 5 7 3 3 2 2 2 6" xfId="20125" xr:uid="{00000000-0005-0000-0000-000007810000}"/>
    <cellStyle name="Normal 5 7 3 3 2 2 3" xfId="3397" xr:uid="{00000000-0005-0000-0000-000008810000}"/>
    <cellStyle name="Normal 5 7 3 3 2 2 3 2" xfId="9258" xr:uid="{00000000-0005-0000-0000-000009810000}"/>
    <cellStyle name="Normal 5 7 3 3 2 2 3 2 2" xfId="16521" xr:uid="{00000000-0005-0000-0000-00000A810000}"/>
    <cellStyle name="Normal 5 7 3 3 2 2 3 2 2 2" xfId="32836" xr:uid="{00000000-0005-0000-0000-00000B810000}"/>
    <cellStyle name="Normal 5 7 3 3 2 2 3 2 3" xfId="25871" xr:uid="{00000000-0005-0000-0000-00000C810000}"/>
    <cellStyle name="Normal 5 7 3 3 2 2 3 3" xfId="12600" xr:uid="{00000000-0005-0000-0000-00000D810000}"/>
    <cellStyle name="Normal 5 7 3 3 2 2 3 3 2" xfId="29175" xr:uid="{00000000-0005-0000-0000-00000E810000}"/>
    <cellStyle name="Normal 5 7 3 3 2 2 3 4" xfId="5907" xr:uid="{00000000-0005-0000-0000-00000F810000}"/>
    <cellStyle name="Normal 5 7 3 3 2 2 3 4 2" xfId="22571" xr:uid="{00000000-0005-0000-0000-000010810000}"/>
    <cellStyle name="Normal 5 7 3 3 2 2 3 5" xfId="20124" xr:uid="{00000000-0005-0000-0000-000011810000}"/>
    <cellStyle name="Normal 5 7 3 3 2 2 4" xfId="7637" xr:uid="{00000000-0005-0000-0000-000012810000}"/>
    <cellStyle name="Normal 5 7 3 3 2 2 4 2" xfId="14900" xr:uid="{00000000-0005-0000-0000-000013810000}"/>
    <cellStyle name="Normal 5 7 3 3 2 2 4 2 2" xfId="31215" xr:uid="{00000000-0005-0000-0000-000014810000}"/>
    <cellStyle name="Normal 5 7 3 3 2 2 4 3" xfId="24250" xr:uid="{00000000-0005-0000-0000-000015810000}"/>
    <cellStyle name="Normal 5 7 3 3 2 2 5" xfId="10952" xr:uid="{00000000-0005-0000-0000-000016810000}"/>
    <cellStyle name="Normal 5 7 3 3 2 2 5 2" xfId="27550" xr:uid="{00000000-0005-0000-0000-000017810000}"/>
    <cellStyle name="Normal 5 7 3 3 2 2 6" xfId="4999" xr:uid="{00000000-0005-0000-0000-000018810000}"/>
    <cellStyle name="Normal 5 7 3 3 2 2 6 2" xfId="21722" xr:uid="{00000000-0005-0000-0000-000019810000}"/>
    <cellStyle name="Normal 5 7 3 3 2 2 7" xfId="18524" xr:uid="{00000000-0005-0000-0000-00001A810000}"/>
    <cellStyle name="Normal 5 7 3 3 2 3" xfId="3399" xr:uid="{00000000-0005-0000-0000-00001B810000}"/>
    <cellStyle name="Normal 5 7 3 3 2 3 2" xfId="6313" xr:uid="{00000000-0005-0000-0000-00001C810000}"/>
    <cellStyle name="Normal 5 7 3 3 2 3 2 2" xfId="9664" xr:uid="{00000000-0005-0000-0000-00001D810000}"/>
    <cellStyle name="Normal 5 7 3 3 2 3 2 2 2" xfId="16927" xr:uid="{00000000-0005-0000-0000-00001E810000}"/>
    <cellStyle name="Normal 5 7 3 3 2 3 2 2 2 2" xfId="33242" xr:uid="{00000000-0005-0000-0000-00001F810000}"/>
    <cellStyle name="Normal 5 7 3 3 2 3 2 2 3" xfId="26277" xr:uid="{00000000-0005-0000-0000-000020810000}"/>
    <cellStyle name="Normal 5 7 3 3 2 3 2 3" xfId="13006" xr:uid="{00000000-0005-0000-0000-000021810000}"/>
    <cellStyle name="Normal 5 7 3 3 2 3 2 3 2" xfId="29581" xr:uid="{00000000-0005-0000-0000-000022810000}"/>
    <cellStyle name="Normal 5 7 3 3 2 3 2 4" xfId="22977" xr:uid="{00000000-0005-0000-0000-000023810000}"/>
    <cellStyle name="Normal 5 7 3 3 2 3 3" xfId="8043" xr:uid="{00000000-0005-0000-0000-000024810000}"/>
    <cellStyle name="Normal 5 7 3 3 2 3 3 2" xfId="15306" xr:uid="{00000000-0005-0000-0000-000025810000}"/>
    <cellStyle name="Normal 5 7 3 3 2 3 3 2 2" xfId="31621" xr:uid="{00000000-0005-0000-0000-000026810000}"/>
    <cellStyle name="Normal 5 7 3 3 2 3 3 3" xfId="24656" xr:uid="{00000000-0005-0000-0000-000027810000}"/>
    <cellStyle name="Normal 5 7 3 3 2 3 4" xfId="11358" xr:uid="{00000000-0005-0000-0000-000028810000}"/>
    <cellStyle name="Normal 5 7 3 3 2 3 4 2" xfId="27956" xr:uid="{00000000-0005-0000-0000-000029810000}"/>
    <cellStyle name="Normal 5 7 3 3 2 3 5" xfId="5001" xr:uid="{00000000-0005-0000-0000-00002A810000}"/>
    <cellStyle name="Normal 5 7 3 3 2 3 5 2" xfId="21724" xr:uid="{00000000-0005-0000-0000-00002B810000}"/>
    <cellStyle name="Normal 5 7 3 3 2 3 6" xfId="20126" xr:uid="{00000000-0005-0000-0000-00002C810000}"/>
    <cellStyle name="Normal 5 7 3 3 2 4" xfId="3396" xr:uid="{00000000-0005-0000-0000-00002D810000}"/>
    <cellStyle name="Normal 5 7 3 3 2 4 2" xfId="8851" xr:uid="{00000000-0005-0000-0000-00002E810000}"/>
    <cellStyle name="Normal 5 7 3 3 2 4 2 2" xfId="16114" xr:uid="{00000000-0005-0000-0000-00002F810000}"/>
    <cellStyle name="Normal 5 7 3 3 2 4 2 2 2" xfId="32429" xr:uid="{00000000-0005-0000-0000-000030810000}"/>
    <cellStyle name="Normal 5 7 3 3 2 4 2 3" xfId="25464" xr:uid="{00000000-0005-0000-0000-000031810000}"/>
    <cellStyle name="Normal 5 7 3 3 2 4 3" xfId="12193" xr:uid="{00000000-0005-0000-0000-000032810000}"/>
    <cellStyle name="Normal 5 7 3 3 2 4 3 2" xfId="28768" xr:uid="{00000000-0005-0000-0000-000033810000}"/>
    <cellStyle name="Normal 5 7 3 3 2 4 4" xfId="5500" xr:uid="{00000000-0005-0000-0000-000034810000}"/>
    <cellStyle name="Normal 5 7 3 3 2 4 4 2" xfId="22164" xr:uid="{00000000-0005-0000-0000-000035810000}"/>
    <cellStyle name="Normal 5 7 3 3 2 4 5" xfId="20123" xr:uid="{00000000-0005-0000-0000-000036810000}"/>
    <cellStyle name="Normal 5 7 3 3 2 5" xfId="7231" xr:uid="{00000000-0005-0000-0000-000037810000}"/>
    <cellStyle name="Normal 5 7 3 3 2 5 2" xfId="14494" xr:uid="{00000000-0005-0000-0000-000038810000}"/>
    <cellStyle name="Normal 5 7 3 3 2 5 2 2" xfId="30809" xr:uid="{00000000-0005-0000-0000-000039810000}"/>
    <cellStyle name="Normal 5 7 3 3 2 5 3" xfId="23844" xr:uid="{00000000-0005-0000-0000-00003A810000}"/>
    <cellStyle name="Normal 5 7 3 3 2 6" xfId="10546" xr:uid="{00000000-0005-0000-0000-00003B810000}"/>
    <cellStyle name="Normal 5 7 3 3 2 6 2" xfId="27144" xr:uid="{00000000-0005-0000-0000-00003C810000}"/>
    <cellStyle name="Normal 5 7 3 3 2 7" xfId="4998" xr:uid="{00000000-0005-0000-0000-00003D810000}"/>
    <cellStyle name="Normal 5 7 3 3 2 7 2" xfId="21721" xr:uid="{00000000-0005-0000-0000-00003E810000}"/>
    <cellStyle name="Normal 5 7 3 3 2 8" xfId="18005" xr:uid="{00000000-0005-0000-0000-00003F810000}"/>
    <cellStyle name="Normal 5 7 3 3 3" xfId="1560" xr:uid="{00000000-0005-0000-0000-000040810000}"/>
    <cellStyle name="Normal 5 7 3 3 3 2" xfId="3401" xr:uid="{00000000-0005-0000-0000-000041810000}"/>
    <cellStyle name="Normal 5 7 3 3 3 2 2" xfId="6507" xr:uid="{00000000-0005-0000-0000-000042810000}"/>
    <cellStyle name="Normal 5 7 3 3 3 2 2 2" xfId="9858" xr:uid="{00000000-0005-0000-0000-000043810000}"/>
    <cellStyle name="Normal 5 7 3 3 3 2 2 2 2" xfId="17121" xr:uid="{00000000-0005-0000-0000-000044810000}"/>
    <cellStyle name="Normal 5 7 3 3 3 2 2 2 2 2" xfId="33436" xr:uid="{00000000-0005-0000-0000-000045810000}"/>
    <cellStyle name="Normal 5 7 3 3 3 2 2 2 3" xfId="26471" xr:uid="{00000000-0005-0000-0000-000046810000}"/>
    <cellStyle name="Normal 5 7 3 3 3 2 2 3" xfId="13200" xr:uid="{00000000-0005-0000-0000-000047810000}"/>
    <cellStyle name="Normal 5 7 3 3 3 2 2 3 2" xfId="29775" xr:uid="{00000000-0005-0000-0000-000048810000}"/>
    <cellStyle name="Normal 5 7 3 3 3 2 2 4" xfId="23171" xr:uid="{00000000-0005-0000-0000-000049810000}"/>
    <cellStyle name="Normal 5 7 3 3 3 2 3" xfId="8237" xr:uid="{00000000-0005-0000-0000-00004A810000}"/>
    <cellStyle name="Normal 5 7 3 3 3 2 3 2" xfId="15500" xr:uid="{00000000-0005-0000-0000-00004B810000}"/>
    <cellStyle name="Normal 5 7 3 3 3 2 3 2 2" xfId="31815" xr:uid="{00000000-0005-0000-0000-00004C810000}"/>
    <cellStyle name="Normal 5 7 3 3 3 2 3 3" xfId="24850" xr:uid="{00000000-0005-0000-0000-00004D810000}"/>
    <cellStyle name="Normal 5 7 3 3 3 2 4" xfId="11552" xr:uid="{00000000-0005-0000-0000-00004E810000}"/>
    <cellStyle name="Normal 5 7 3 3 3 2 4 2" xfId="28150" xr:uid="{00000000-0005-0000-0000-00004F810000}"/>
    <cellStyle name="Normal 5 7 3 3 3 2 5" xfId="5003" xr:uid="{00000000-0005-0000-0000-000050810000}"/>
    <cellStyle name="Normal 5 7 3 3 3 2 5 2" xfId="21726" xr:uid="{00000000-0005-0000-0000-000051810000}"/>
    <cellStyle name="Normal 5 7 3 3 3 2 6" xfId="20128" xr:uid="{00000000-0005-0000-0000-000052810000}"/>
    <cellStyle name="Normal 5 7 3 3 3 3" xfId="3400" xr:uid="{00000000-0005-0000-0000-000053810000}"/>
    <cellStyle name="Normal 5 7 3 3 3 3 2" xfId="9046" xr:uid="{00000000-0005-0000-0000-000054810000}"/>
    <cellStyle name="Normal 5 7 3 3 3 3 2 2" xfId="16309" xr:uid="{00000000-0005-0000-0000-000055810000}"/>
    <cellStyle name="Normal 5 7 3 3 3 3 2 2 2" xfId="32624" xr:uid="{00000000-0005-0000-0000-000056810000}"/>
    <cellStyle name="Normal 5 7 3 3 3 3 2 3" xfId="25659" xr:uid="{00000000-0005-0000-0000-000057810000}"/>
    <cellStyle name="Normal 5 7 3 3 3 3 3" xfId="12388" xr:uid="{00000000-0005-0000-0000-000058810000}"/>
    <cellStyle name="Normal 5 7 3 3 3 3 3 2" xfId="28963" xr:uid="{00000000-0005-0000-0000-000059810000}"/>
    <cellStyle name="Normal 5 7 3 3 3 3 4" xfId="5695" xr:uid="{00000000-0005-0000-0000-00005A810000}"/>
    <cellStyle name="Normal 5 7 3 3 3 3 4 2" xfId="22359" xr:uid="{00000000-0005-0000-0000-00005B810000}"/>
    <cellStyle name="Normal 5 7 3 3 3 3 5" xfId="20127" xr:uid="{00000000-0005-0000-0000-00005C810000}"/>
    <cellStyle name="Normal 5 7 3 3 3 4" xfId="7425" xr:uid="{00000000-0005-0000-0000-00005D810000}"/>
    <cellStyle name="Normal 5 7 3 3 3 4 2" xfId="14688" xr:uid="{00000000-0005-0000-0000-00005E810000}"/>
    <cellStyle name="Normal 5 7 3 3 3 4 2 2" xfId="31003" xr:uid="{00000000-0005-0000-0000-00005F810000}"/>
    <cellStyle name="Normal 5 7 3 3 3 4 3" xfId="24038" xr:uid="{00000000-0005-0000-0000-000060810000}"/>
    <cellStyle name="Normal 5 7 3 3 3 5" xfId="10740" xr:uid="{00000000-0005-0000-0000-000061810000}"/>
    <cellStyle name="Normal 5 7 3 3 3 5 2" xfId="27338" xr:uid="{00000000-0005-0000-0000-000062810000}"/>
    <cellStyle name="Normal 5 7 3 3 3 6" xfId="5002" xr:uid="{00000000-0005-0000-0000-000063810000}"/>
    <cellStyle name="Normal 5 7 3 3 3 6 2" xfId="21725" xr:uid="{00000000-0005-0000-0000-000064810000}"/>
    <cellStyle name="Normal 5 7 3 3 3 7" xfId="18295" xr:uid="{00000000-0005-0000-0000-000065810000}"/>
    <cellStyle name="Normal 5 7 3 3 4" xfId="3402" xr:uid="{00000000-0005-0000-0000-000066810000}"/>
    <cellStyle name="Normal 5 7 3 3 4 2" xfId="6101" xr:uid="{00000000-0005-0000-0000-000067810000}"/>
    <cellStyle name="Normal 5 7 3 3 4 2 2" xfId="9452" xr:uid="{00000000-0005-0000-0000-000068810000}"/>
    <cellStyle name="Normal 5 7 3 3 4 2 2 2" xfId="16715" xr:uid="{00000000-0005-0000-0000-000069810000}"/>
    <cellStyle name="Normal 5 7 3 3 4 2 2 2 2" xfId="33030" xr:uid="{00000000-0005-0000-0000-00006A810000}"/>
    <cellStyle name="Normal 5 7 3 3 4 2 2 3" xfId="26065" xr:uid="{00000000-0005-0000-0000-00006B810000}"/>
    <cellStyle name="Normal 5 7 3 3 4 2 3" xfId="12794" xr:uid="{00000000-0005-0000-0000-00006C810000}"/>
    <cellStyle name="Normal 5 7 3 3 4 2 3 2" xfId="29369" xr:uid="{00000000-0005-0000-0000-00006D810000}"/>
    <cellStyle name="Normal 5 7 3 3 4 2 4" xfId="22765" xr:uid="{00000000-0005-0000-0000-00006E810000}"/>
    <cellStyle name="Normal 5 7 3 3 4 3" xfId="7831" xr:uid="{00000000-0005-0000-0000-00006F810000}"/>
    <cellStyle name="Normal 5 7 3 3 4 3 2" xfId="15094" xr:uid="{00000000-0005-0000-0000-000070810000}"/>
    <cellStyle name="Normal 5 7 3 3 4 3 2 2" xfId="31409" xr:uid="{00000000-0005-0000-0000-000071810000}"/>
    <cellStyle name="Normal 5 7 3 3 4 3 3" xfId="24444" xr:uid="{00000000-0005-0000-0000-000072810000}"/>
    <cellStyle name="Normal 5 7 3 3 4 4" xfId="11146" xr:uid="{00000000-0005-0000-0000-000073810000}"/>
    <cellStyle name="Normal 5 7 3 3 4 4 2" xfId="27744" xr:uid="{00000000-0005-0000-0000-000074810000}"/>
    <cellStyle name="Normal 5 7 3 3 4 5" xfId="5004" xr:uid="{00000000-0005-0000-0000-000075810000}"/>
    <cellStyle name="Normal 5 7 3 3 4 5 2" xfId="21727" xr:uid="{00000000-0005-0000-0000-000076810000}"/>
    <cellStyle name="Normal 5 7 3 3 4 6" xfId="20129" xr:uid="{00000000-0005-0000-0000-000077810000}"/>
    <cellStyle name="Normal 5 7 3 3 5" xfId="3395" xr:uid="{00000000-0005-0000-0000-000078810000}"/>
    <cellStyle name="Normal 5 7 3 3 5 2" xfId="8621" xr:uid="{00000000-0005-0000-0000-000079810000}"/>
    <cellStyle name="Normal 5 7 3 3 5 2 2" xfId="15884" xr:uid="{00000000-0005-0000-0000-00007A810000}"/>
    <cellStyle name="Normal 5 7 3 3 5 2 2 2" xfId="32199" xr:uid="{00000000-0005-0000-0000-00007B810000}"/>
    <cellStyle name="Normal 5 7 3 3 5 2 3" xfId="25234" xr:uid="{00000000-0005-0000-0000-00007C810000}"/>
    <cellStyle name="Normal 5 7 3 3 5 3" xfId="11963" xr:uid="{00000000-0005-0000-0000-00007D810000}"/>
    <cellStyle name="Normal 5 7 3 3 5 3 2" xfId="28538" xr:uid="{00000000-0005-0000-0000-00007E810000}"/>
    <cellStyle name="Normal 5 7 3 3 5 4" xfId="5270" xr:uid="{00000000-0005-0000-0000-00007F810000}"/>
    <cellStyle name="Normal 5 7 3 3 5 4 2" xfId="21934" xr:uid="{00000000-0005-0000-0000-000080810000}"/>
    <cellStyle name="Normal 5 7 3 3 5 5" xfId="20122" xr:uid="{00000000-0005-0000-0000-000081810000}"/>
    <cellStyle name="Normal 5 7 3 3 6" xfId="7002" xr:uid="{00000000-0005-0000-0000-000082810000}"/>
    <cellStyle name="Normal 5 7 3 3 6 2" xfId="14265" xr:uid="{00000000-0005-0000-0000-000083810000}"/>
    <cellStyle name="Normal 5 7 3 3 6 2 2" xfId="30580" xr:uid="{00000000-0005-0000-0000-000084810000}"/>
    <cellStyle name="Normal 5 7 3 3 6 3" xfId="23615" xr:uid="{00000000-0005-0000-0000-000085810000}"/>
    <cellStyle name="Normal 5 7 3 3 7" xfId="10316" xr:uid="{00000000-0005-0000-0000-000086810000}"/>
    <cellStyle name="Normal 5 7 3 3 7 2" xfId="26915" xr:uid="{00000000-0005-0000-0000-000087810000}"/>
    <cellStyle name="Normal 5 7 3 3 8" xfId="4997" xr:uid="{00000000-0005-0000-0000-000088810000}"/>
    <cellStyle name="Normal 5 7 3 3 8 2" xfId="21720" xr:uid="{00000000-0005-0000-0000-000089810000}"/>
    <cellStyle name="Normal 5 7 3 3 9" xfId="17776" xr:uid="{00000000-0005-0000-0000-00008A810000}"/>
    <cellStyle name="Normal 5 7 3 4" xfId="1265" xr:uid="{00000000-0005-0000-0000-00008B810000}"/>
    <cellStyle name="Normal 5 7 3 4 2" xfId="1786" xr:uid="{00000000-0005-0000-0000-00008C810000}"/>
    <cellStyle name="Normal 5 7 3 4 2 2" xfId="3405" xr:uid="{00000000-0005-0000-0000-00008D810000}"/>
    <cellStyle name="Normal 5 7 3 4 2 2 2" xfId="6680" xr:uid="{00000000-0005-0000-0000-00008E810000}"/>
    <cellStyle name="Normal 5 7 3 4 2 2 2 2" xfId="10031" xr:uid="{00000000-0005-0000-0000-00008F810000}"/>
    <cellStyle name="Normal 5 7 3 4 2 2 2 2 2" xfId="17294" xr:uid="{00000000-0005-0000-0000-000090810000}"/>
    <cellStyle name="Normal 5 7 3 4 2 2 2 2 2 2" xfId="33609" xr:uid="{00000000-0005-0000-0000-000091810000}"/>
    <cellStyle name="Normal 5 7 3 4 2 2 2 2 3" xfId="26644" xr:uid="{00000000-0005-0000-0000-000092810000}"/>
    <cellStyle name="Normal 5 7 3 4 2 2 2 3" xfId="13373" xr:uid="{00000000-0005-0000-0000-000093810000}"/>
    <cellStyle name="Normal 5 7 3 4 2 2 2 3 2" xfId="29948" xr:uid="{00000000-0005-0000-0000-000094810000}"/>
    <cellStyle name="Normal 5 7 3 4 2 2 2 4" xfId="23344" xr:uid="{00000000-0005-0000-0000-000095810000}"/>
    <cellStyle name="Normal 5 7 3 4 2 2 3" xfId="8410" xr:uid="{00000000-0005-0000-0000-000096810000}"/>
    <cellStyle name="Normal 5 7 3 4 2 2 3 2" xfId="15673" xr:uid="{00000000-0005-0000-0000-000097810000}"/>
    <cellStyle name="Normal 5 7 3 4 2 2 3 2 2" xfId="31988" xr:uid="{00000000-0005-0000-0000-000098810000}"/>
    <cellStyle name="Normal 5 7 3 4 2 2 3 3" xfId="25023" xr:uid="{00000000-0005-0000-0000-000099810000}"/>
    <cellStyle name="Normal 5 7 3 4 2 2 4" xfId="11725" xr:uid="{00000000-0005-0000-0000-00009A810000}"/>
    <cellStyle name="Normal 5 7 3 4 2 2 4 2" xfId="28323" xr:uid="{00000000-0005-0000-0000-00009B810000}"/>
    <cellStyle name="Normal 5 7 3 4 2 2 5" xfId="5007" xr:uid="{00000000-0005-0000-0000-00009C810000}"/>
    <cellStyle name="Normal 5 7 3 4 2 2 5 2" xfId="21730" xr:uid="{00000000-0005-0000-0000-00009D810000}"/>
    <cellStyle name="Normal 5 7 3 4 2 2 6" xfId="20132" xr:uid="{00000000-0005-0000-0000-00009E810000}"/>
    <cellStyle name="Normal 5 7 3 4 2 3" xfId="3404" xr:uid="{00000000-0005-0000-0000-00009F810000}"/>
    <cellStyle name="Normal 5 7 3 4 2 3 2" xfId="9255" xr:uid="{00000000-0005-0000-0000-0000A0810000}"/>
    <cellStyle name="Normal 5 7 3 4 2 3 2 2" xfId="16518" xr:uid="{00000000-0005-0000-0000-0000A1810000}"/>
    <cellStyle name="Normal 5 7 3 4 2 3 2 2 2" xfId="32833" xr:uid="{00000000-0005-0000-0000-0000A2810000}"/>
    <cellStyle name="Normal 5 7 3 4 2 3 2 3" xfId="25868" xr:uid="{00000000-0005-0000-0000-0000A3810000}"/>
    <cellStyle name="Normal 5 7 3 4 2 3 3" xfId="12597" xr:uid="{00000000-0005-0000-0000-0000A4810000}"/>
    <cellStyle name="Normal 5 7 3 4 2 3 3 2" xfId="29172" xr:uid="{00000000-0005-0000-0000-0000A5810000}"/>
    <cellStyle name="Normal 5 7 3 4 2 3 4" xfId="5904" xr:uid="{00000000-0005-0000-0000-0000A6810000}"/>
    <cellStyle name="Normal 5 7 3 4 2 3 4 2" xfId="22568" xr:uid="{00000000-0005-0000-0000-0000A7810000}"/>
    <cellStyle name="Normal 5 7 3 4 2 3 5" xfId="20131" xr:uid="{00000000-0005-0000-0000-0000A8810000}"/>
    <cellStyle name="Normal 5 7 3 4 2 4" xfId="7634" xr:uid="{00000000-0005-0000-0000-0000A9810000}"/>
    <cellStyle name="Normal 5 7 3 4 2 4 2" xfId="14897" xr:uid="{00000000-0005-0000-0000-0000AA810000}"/>
    <cellStyle name="Normal 5 7 3 4 2 4 2 2" xfId="31212" xr:uid="{00000000-0005-0000-0000-0000AB810000}"/>
    <cellStyle name="Normal 5 7 3 4 2 4 3" xfId="24247" xr:uid="{00000000-0005-0000-0000-0000AC810000}"/>
    <cellStyle name="Normal 5 7 3 4 2 5" xfId="10949" xr:uid="{00000000-0005-0000-0000-0000AD810000}"/>
    <cellStyle name="Normal 5 7 3 4 2 5 2" xfId="27547" xr:uid="{00000000-0005-0000-0000-0000AE810000}"/>
    <cellStyle name="Normal 5 7 3 4 2 6" xfId="5006" xr:uid="{00000000-0005-0000-0000-0000AF810000}"/>
    <cellStyle name="Normal 5 7 3 4 2 6 2" xfId="21729" xr:uid="{00000000-0005-0000-0000-0000B0810000}"/>
    <cellStyle name="Normal 5 7 3 4 2 7" xfId="18521" xr:uid="{00000000-0005-0000-0000-0000B1810000}"/>
    <cellStyle name="Normal 5 7 3 4 3" xfId="3406" xr:uid="{00000000-0005-0000-0000-0000B2810000}"/>
    <cellStyle name="Normal 5 7 3 4 3 2" xfId="6310" xr:uid="{00000000-0005-0000-0000-0000B3810000}"/>
    <cellStyle name="Normal 5 7 3 4 3 2 2" xfId="9661" xr:uid="{00000000-0005-0000-0000-0000B4810000}"/>
    <cellStyle name="Normal 5 7 3 4 3 2 2 2" xfId="16924" xr:uid="{00000000-0005-0000-0000-0000B5810000}"/>
    <cellStyle name="Normal 5 7 3 4 3 2 2 2 2" xfId="33239" xr:uid="{00000000-0005-0000-0000-0000B6810000}"/>
    <cellStyle name="Normal 5 7 3 4 3 2 2 3" xfId="26274" xr:uid="{00000000-0005-0000-0000-0000B7810000}"/>
    <cellStyle name="Normal 5 7 3 4 3 2 3" xfId="13003" xr:uid="{00000000-0005-0000-0000-0000B8810000}"/>
    <cellStyle name="Normal 5 7 3 4 3 2 3 2" xfId="29578" xr:uid="{00000000-0005-0000-0000-0000B9810000}"/>
    <cellStyle name="Normal 5 7 3 4 3 2 4" xfId="22974" xr:uid="{00000000-0005-0000-0000-0000BA810000}"/>
    <cellStyle name="Normal 5 7 3 4 3 3" xfId="8040" xr:uid="{00000000-0005-0000-0000-0000BB810000}"/>
    <cellStyle name="Normal 5 7 3 4 3 3 2" xfId="15303" xr:uid="{00000000-0005-0000-0000-0000BC810000}"/>
    <cellStyle name="Normal 5 7 3 4 3 3 2 2" xfId="31618" xr:uid="{00000000-0005-0000-0000-0000BD810000}"/>
    <cellStyle name="Normal 5 7 3 4 3 3 3" xfId="24653" xr:uid="{00000000-0005-0000-0000-0000BE810000}"/>
    <cellStyle name="Normal 5 7 3 4 3 4" xfId="11355" xr:uid="{00000000-0005-0000-0000-0000BF810000}"/>
    <cellStyle name="Normal 5 7 3 4 3 4 2" xfId="27953" xr:uid="{00000000-0005-0000-0000-0000C0810000}"/>
    <cellStyle name="Normal 5 7 3 4 3 5" xfId="5008" xr:uid="{00000000-0005-0000-0000-0000C1810000}"/>
    <cellStyle name="Normal 5 7 3 4 3 5 2" xfId="21731" xr:uid="{00000000-0005-0000-0000-0000C2810000}"/>
    <cellStyle name="Normal 5 7 3 4 3 6" xfId="20133" xr:uid="{00000000-0005-0000-0000-0000C3810000}"/>
    <cellStyle name="Normal 5 7 3 4 4" xfId="3403" xr:uid="{00000000-0005-0000-0000-0000C4810000}"/>
    <cellStyle name="Normal 5 7 3 4 4 2" xfId="8848" xr:uid="{00000000-0005-0000-0000-0000C5810000}"/>
    <cellStyle name="Normal 5 7 3 4 4 2 2" xfId="16111" xr:uid="{00000000-0005-0000-0000-0000C6810000}"/>
    <cellStyle name="Normal 5 7 3 4 4 2 2 2" xfId="32426" xr:uid="{00000000-0005-0000-0000-0000C7810000}"/>
    <cellStyle name="Normal 5 7 3 4 4 2 3" xfId="25461" xr:uid="{00000000-0005-0000-0000-0000C8810000}"/>
    <cellStyle name="Normal 5 7 3 4 4 3" xfId="12190" xr:uid="{00000000-0005-0000-0000-0000C9810000}"/>
    <cellStyle name="Normal 5 7 3 4 4 3 2" xfId="28765" xr:uid="{00000000-0005-0000-0000-0000CA810000}"/>
    <cellStyle name="Normal 5 7 3 4 4 4" xfId="5497" xr:uid="{00000000-0005-0000-0000-0000CB810000}"/>
    <cellStyle name="Normal 5 7 3 4 4 4 2" xfId="22161" xr:uid="{00000000-0005-0000-0000-0000CC810000}"/>
    <cellStyle name="Normal 5 7 3 4 4 5" xfId="20130" xr:uid="{00000000-0005-0000-0000-0000CD810000}"/>
    <cellStyle name="Normal 5 7 3 4 5" xfId="7228" xr:uid="{00000000-0005-0000-0000-0000CE810000}"/>
    <cellStyle name="Normal 5 7 3 4 5 2" xfId="14491" xr:uid="{00000000-0005-0000-0000-0000CF810000}"/>
    <cellStyle name="Normal 5 7 3 4 5 2 2" xfId="30806" xr:uid="{00000000-0005-0000-0000-0000D0810000}"/>
    <cellStyle name="Normal 5 7 3 4 5 3" xfId="23841" xr:uid="{00000000-0005-0000-0000-0000D1810000}"/>
    <cellStyle name="Normal 5 7 3 4 6" xfId="10543" xr:uid="{00000000-0005-0000-0000-0000D2810000}"/>
    <cellStyle name="Normal 5 7 3 4 6 2" xfId="27141" xr:uid="{00000000-0005-0000-0000-0000D3810000}"/>
    <cellStyle name="Normal 5 7 3 4 7" xfId="5005" xr:uid="{00000000-0005-0000-0000-0000D4810000}"/>
    <cellStyle name="Normal 5 7 3 4 7 2" xfId="21728" xr:uid="{00000000-0005-0000-0000-0000D5810000}"/>
    <cellStyle name="Normal 5 7 3 4 8" xfId="18002" xr:uid="{00000000-0005-0000-0000-0000D6810000}"/>
    <cellStyle name="Normal 5 7 3 5" xfId="1454" xr:uid="{00000000-0005-0000-0000-0000D7810000}"/>
    <cellStyle name="Normal 5 7 3 5 2" xfId="3408" xr:uid="{00000000-0005-0000-0000-0000D8810000}"/>
    <cellStyle name="Normal 5 7 3 5 2 2" xfId="6504" xr:uid="{00000000-0005-0000-0000-0000D9810000}"/>
    <cellStyle name="Normal 5 7 3 5 2 2 2" xfId="9855" xr:uid="{00000000-0005-0000-0000-0000DA810000}"/>
    <cellStyle name="Normal 5 7 3 5 2 2 2 2" xfId="17118" xr:uid="{00000000-0005-0000-0000-0000DB810000}"/>
    <cellStyle name="Normal 5 7 3 5 2 2 2 2 2" xfId="33433" xr:uid="{00000000-0005-0000-0000-0000DC810000}"/>
    <cellStyle name="Normal 5 7 3 5 2 2 2 3" xfId="26468" xr:uid="{00000000-0005-0000-0000-0000DD810000}"/>
    <cellStyle name="Normal 5 7 3 5 2 2 3" xfId="13197" xr:uid="{00000000-0005-0000-0000-0000DE810000}"/>
    <cellStyle name="Normal 5 7 3 5 2 2 3 2" xfId="29772" xr:uid="{00000000-0005-0000-0000-0000DF810000}"/>
    <cellStyle name="Normal 5 7 3 5 2 2 4" xfId="23168" xr:uid="{00000000-0005-0000-0000-0000E0810000}"/>
    <cellStyle name="Normal 5 7 3 5 2 3" xfId="8234" xr:uid="{00000000-0005-0000-0000-0000E1810000}"/>
    <cellStyle name="Normal 5 7 3 5 2 3 2" xfId="15497" xr:uid="{00000000-0005-0000-0000-0000E2810000}"/>
    <cellStyle name="Normal 5 7 3 5 2 3 2 2" xfId="31812" xr:uid="{00000000-0005-0000-0000-0000E3810000}"/>
    <cellStyle name="Normal 5 7 3 5 2 3 3" xfId="24847" xr:uid="{00000000-0005-0000-0000-0000E4810000}"/>
    <cellStyle name="Normal 5 7 3 5 2 4" xfId="11549" xr:uid="{00000000-0005-0000-0000-0000E5810000}"/>
    <cellStyle name="Normal 5 7 3 5 2 4 2" xfId="28147" xr:uid="{00000000-0005-0000-0000-0000E6810000}"/>
    <cellStyle name="Normal 5 7 3 5 2 5" xfId="5010" xr:uid="{00000000-0005-0000-0000-0000E7810000}"/>
    <cellStyle name="Normal 5 7 3 5 2 5 2" xfId="21733" xr:uid="{00000000-0005-0000-0000-0000E8810000}"/>
    <cellStyle name="Normal 5 7 3 5 2 6" xfId="20135" xr:uid="{00000000-0005-0000-0000-0000E9810000}"/>
    <cellStyle name="Normal 5 7 3 5 3" xfId="3407" xr:uid="{00000000-0005-0000-0000-0000EA810000}"/>
    <cellStyle name="Normal 5 7 3 5 3 2" xfId="9043" xr:uid="{00000000-0005-0000-0000-0000EB810000}"/>
    <cellStyle name="Normal 5 7 3 5 3 2 2" xfId="16306" xr:uid="{00000000-0005-0000-0000-0000EC810000}"/>
    <cellStyle name="Normal 5 7 3 5 3 2 2 2" xfId="32621" xr:uid="{00000000-0005-0000-0000-0000ED810000}"/>
    <cellStyle name="Normal 5 7 3 5 3 2 3" xfId="25656" xr:uid="{00000000-0005-0000-0000-0000EE810000}"/>
    <cellStyle name="Normal 5 7 3 5 3 3" xfId="12385" xr:uid="{00000000-0005-0000-0000-0000EF810000}"/>
    <cellStyle name="Normal 5 7 3 5 3 3 2" xfId="28960" xr:uid="{00000000-0005-0000-0000-0000F0810000}"/>
    <cellStyle name="Normal 5 7 3 5 3 4" xfId="5692" xr:uid="{00000000-0005-0000-0000-0000F1810000}"/>
    <cellStyle name="Normal 5 7 3 5 3 4 2" xfId="22356" xr:uid="{00000000-0005-0000-0000-0000F2810000}"/>
    <cellStyle name="Normal 5 7 3 5 3 5" xfId="20134" xr:uid="{00000000-0005-0000-0000-0000F3810000}"/>
    <cellStyle name="Normal 5 7 3 5 4" xfId="7422" xr:uid="{00000000-0005-0000-0000-0000F4810000}"/>
    <cellStyle name="Normal 5 7 3 5 4 2" xfId="14685" xr:uid="{00000000-0005-0000-0000-0000F5810000}"/>
    <cellStyle name="Normal 5 7 3 5 4 2 2" xfId="31000" xr:uid="{00000000-0005-0000-0000-0000F6810000}"/>
    <cellStyle name="Normal 5 7 3 5 4 3" xfId="24035" xr:uid="{00000000-0005-0000-0000-0000F7810000}"/>
    <cellStyle name="Normal 5 7 3 5 5" xfId="10737" xr:uid="{00000000-0005-0000-0000-0000F8810000}"/>
    <cellStyle name="Normal 5 7 3 5 5 2" xfId="27335" xr:uid="{00000000-0005-0000-0000-0000F9810000}"/>
    <cellStyle name="Normal 5 7 3 5 6" xfId="5009" xr:uid="{00000000-0005-0000-0000-0000FA810000}"/>
    <cellStyle name="Normal 5 7 3 5 6 2" xfId="21732" xr:uid="{00000000-0005-0000-0000-0000FB810000}"/>
    <cellStyle name="Normal 5 7 3 5 7" xfId="18189" xr:uid="{00000000-0005-0000-0000-0000FC810000}"/>
    <cellStyle name="Normal 5 7 3 6" xfId="3409" xr:uid="{00000000-0005-0000-0000-0000FD810000}"/>
    <cellStyle name="Normal 5 7 3 6 2" xfId="6098" xr:uid="{00000000-0005-0000-0000-0000FE810000}"/>
    <cellStyle name="Normal 5 7 3 6 2 2" xfId="9449" xr:uid="{00000000-0005-0000-0000-0000FF810000}"/>
    <cellStyle name="Normal 5 7 3 6 2 2 2" xfId="16712" xr:uid="{00000000-0005-0000-0000-000000820000}"/>
    <cellStyle name="Normal 5 7 3 6 2 2 2 2" xfId="33027" xr:uid="{00000000-0005-0000-0000-000001820000}"/>
    <cellStyle name="Normal 5 7 3 6 2 2 3" xfId="26062" xr:uid="{00000000-0005-0000-0000-000002820000}"/>
    <cellStyle name="Normal 5 7 3 6 2 3" xfId="12791" xr:uid="{00000000-0005-0000-0000-000003820000}"/>
    <cellStyle name="Normal 5 7 3 6 2 3 2" xfId="29366" xr:uid="{00000000-0005-0000-0000-000004820000}"/>
    <cellStyle name="Normal 5 7 3 6 2 4" xfId="22762" xr:uid="{00000000-0005-0000-0000-000005820000}"/>
    <cellStyle name="Normal 5 7 3 6 3" xfId="7828" xr:uid="{00000000-0005-0000-0000-000006820000}"/>
    <cellStyle name="Normal 5 7 3 6 3 2" xfId="15091" xr:uid="{00000000-0005-0000-0000-000007820000}"/>
    <cellStyle name="Normal 5 7 3 6 3 2 2" xfId="31406" xr:uid="{00000000-0005-0000-0000-000008820000}"/>
    <cellStyle name="Normal 5 7 3 6 3 3" xfId="24441" xr:uid="{00000000-0005-0000-0000-000009820000}"/>
    <cellStyle name="Normal 5 7 3 6 4" xfId="11143" xr:uid="{00000000-0005-0000-0000-00000A820000}"/>
    <cellStyle name="Normal 5 7 3 6 4 2" xfId="27741" xr:uid="{00000000-0005-0000-0000-00000B820000}"/>
    <cellStyle name="Normal 5 7 3 6 5" xfId="5011" xr:uid="{00000000-0005-0000-0000-00000C820000}"/>
    <cellStyle name="Normal 5 7 3 6 5 2" xfId="21734" xr:uid="{00000000-0005-0000-0000-00000D820000}"/>
    <cellStyle name="Normal 5 7 3 6 6" xfId="20136" xr:uid="{00000000-0005-0000-0000-00000E820000}"/>
    <cellStyle name="Normal 5 7 3 7" xfId="3378" xr:uid="{00000000-0005-0000-0000-00000F820000}"/>
    <cellStyle name="Normal 5 7 3 7 2" xfId="8515" xr:uid="{00000000-0005-0000-0000-000010820000}"/>
    <cellStyle name="Normal 5 7 3 7 2 2" xfId="15778" xr:uid="{00000000-0005-0000-0000-000011820000}"/>
    <cellStyle name="Normal 5 7 3 7 2 2 2" xfId="32093" xr:uid="{00000000-0005-0000-0000-000012820000}"/>
    <cellStyle name="Normal 5 7 3 7 2 3" xfId="25128" xr:uid="{00000000-0005-0000-0000-000013820000}"/>
    <cellStyle name="Normal 5 7 3 7 3" xfId="11857" xr:uid="{00000000-0005-0000-0000-000014820000}"/>
    <cellStyle name="Normal 5 7 3 7 3 2" xfId="28432" xr:uid="{00000000-0005-0000-0000-000015820000}"/>
    <cellStyle name="Normal 5 7 3 7 4" xfId="5164" xr:uid="{00000000-0005-0000-0000-000016820000}"/>
    <cellStyle name="Normal 5 7 3 7 4 2" xfId="21828" xr:uid="{00000000-0005-0000-0000-000017820000}"/>
    <cellStyle name="Normal 5 7 3 7 5" xfId="20105" xr:uid="{00000000-0005-0000-0000-000018820000}"/>
    <cellStyle name="Normal 5 7 3 8" xfId="6896" xr:uid="{00000000-0005-0000-0000-000019820000}"/>
    <cellStyle name="Normal 5 7 3 8 2" xfId="14159" xr:uid="{00000000-0005-0000-0000-00001A820000}"/>
    <cellStyle name="Normal 5 7 3 8 2 2" xfId="30474" xr:uid="{00000000-0005-0000-0000-00001B820000}"/>
    <cellStyle name="Normal 5 7 3 8 3" xfId="23509" xr:uid="{00000000-0005-0000-0000-00001C820000}"/>
    <cellStyle name="Normal 5 7 3 9" xfId="10210" xr:uid="{00000000-0005-0000-0000-00001D820000}"/>
    <cellStyle name="Normal 5 7 3 9 2" xfId="26809" xr:uid="{00000000-0005-0000-0000-00001E820000}"/>
    <cellStyle name="Normal 5 7 4" xfId="3410" xr:uid="{00000000-0005-0000-0000-00001F820000}"/>
    <cellStyle name="Normal 5 7 4 2" xfId="3411" xr:uid="{00000000-0005-0000-0000-000020820000}"/>
    <cellStyle name="Normal 5 7 4 2 2" xfId="3412" xr:uid="{00000000-0005-0000-0000-000021820000}"/>
    <cellStyle name="Normal 5 7 4 2 2 2" xfId="6700" xr:uid="{00000000-0005-0000-0000-000022820000}"/>
    <cellStyle name="Normal 5 7 4 2 2 2 2" xfId="10051" xr:uid="{00000000-0005-0000-0000-000023820000}"/>
    <cellStyle name="Normal 5 7 4 2 2 2 2 2" xfId="17314" xr:uid="{00000000-0005-0000-0000-000024820000}"/>
    <cellStyle name="Normal 5 7 4 2 2 2 2 2 2" xfId="33629" xr:uid="{00000000-0005-0000-0000-000025820000}"/>
    <cellStyle name="Normal 5 7 4 2 2 2 2 3" xfId="26664" xr:uid="{00000000-0005-0000-0000-000026820000}"/>
    <cellStyle name="Normal 5 7 4 2 2 2 3" xfId="13393" xr:uid="{00000000-0005-0000-0000-000027820000}"/>
    <cellStyle name="Normal 5 7 4 2 2 2 3 2" xfId="29968" xr:uid="{00000000-0005-0000-0000-000028820000}"/>
    <cellStyle name="Normal 5 7 4 2 2 2 4" xfId="23364" xr:uid="{00000000-0005-0000-0000-000029820000}"/>
    <cellStyle name="Normal 5 7 4 2 2 3" xfId="8430" xr:uid="{00000000-0005-0000-0000-00002A820000}"/>
    <cellStyle name="Normal 5 7 4 2 2 3 2" xfId="15693" xr:uid="{00000000-0005-0000-0000-00002B820000}"/>
    <cellStyle name="Normal 5 7 4 2 2 3 2 2" xfId="32008" xr:uid="{00000000-0005-0000-0000-00002C820000}"/>
    <cellStyle name="Normal 5 7 4 2 2 3 3" xfId="25043" xr:uid="{00000000-0005-0000-0000-00002D820000}"/>
    <cellStyle name="Normal 5 7 4 2 2 4" xfId="11745" xr:uid="{00000000-0005-0000-0000-00002E820000}"/>
    <cellStyle name="Normal 5 7 4 2 2 4 2" xfId="28343" xr:uid="{00000000-0005-0000-0000-00002F820000}"/>
    <cellStyle name="Normal 5 7 4 2 2 5" xfId="5014" xr:uid="{00000000-0005-0000-0000-000030820000}"/>
    <cellStyle name="Normal 5 7 4 2 2 5 2" xfId="21737" xr:uid="{00000000-0005-0000-0000-000031820000}"/>
    <cellStyle name="Normal 5 7 4 2 2 6" xfId="20139" xr:uid="{00000000-0005-0000-0000-000032820000}"/>
    <cellStyle name="Normal 5 7 4 2 3" xfId="5924" xr:uid="{00000000-0005-0000-0000-000033820000}"/>
    <cellStyle name="Normal 5 7 4 2 3 2" xfId="9275" xr:uid="{00000000-0005-0000-0000-000034820000}"/>
    <cellStyle name="Normal 5 7 4 2 3 2 2" xfId="16538" xr:uid="{00000000-0005-0000-0000-000035820000}"/>
    <cellStyle name="Normal 5 7 4 2 3 2 2 2" xfId="32853" xr:uid="{00000000-0005-0000-0000-000036820000}"/>
    <cellStyle name="Normal 5 7 4 2 3 2 3" xfId="25888" xr:uid="{00000000-0005-0000-0000-000037820000}"/>
    <cellStyle name="Normal 5 7 4 2 3 3" xfId="12617" xr:uid="{00000000-0005-0000-0000-000038820000}"/>
    <cellStyle name="Normal 5 7 4 2 3 3 2" xfId="29192" xr:uid="{00000000-0005-0000-0000-000039820000}"/>
    <cellStyle name="Normal 5 7 4 2 3 4" xfId="22588" xr:uid="{00000000-0005-0000-0000-00003A820000}"/>
    <cellStyle name="Normal 5 7 4 2 4" xfId="7654" xr:uid="{00000000-0005-0000-0000-00003B820000}"/>
    <cellStyle name="Normal 5 7 4 2 4 2" xfId="14917" xr:uid="{00000000-0005-0000-0000-00003C820000}"/>
    <cellStyle name="Normal 5 7 4 2 4 2 2" xfId="31232" xr:uid="{00000000-0005-0000-0000-00003D820000}"/>
    <cellStyle name="Normal 5 7 4 2 4 3" xfId="24267" xr:uid="{00000000-0005-0000-0000-00003E820000}"/>
    <cellStyle name="Normal 5 7 4 2 5" xfId="10969" xr:uid="{00000000-0005-0000-0000-00003F820000}"/>
    <cellStyle name="Normal 5 7 4 2 5 2" xfId="27567" xr:uid="{00000000-0005-0000-0000-000040820000}"/>
    <cellStyle name="Normal 5 7 4 2 6" xfId="5013" xr:uid="{00000000-0005-0000-0000-000041820000}"/>
    <cellStyle name="Normal 5 7 4 2 6 2" xfId="21736" xr:uid="{00000000-0005-0000-0000-000042820000}"/>
    <cellStyle name="Normal 5 7 4 2 7" xfId="20138" xr:uid="{00000000-0005-0000-0000-000043820000}"/>
    <cellStyle name="Normal 5 7 4 3" xfId="3413" xr:uid="{00000000-0005-0000-0000-000044820000}"/>
    <cellStyle name="Normal 5 7 4 3 2" xfId="6330" xr:uid="{00000000-0005-0000-0000-000045820000}"/>
    <cellStyle name="Normal 5 7 4 3 2 2" xfId="9681" xr:uid="{00000000-0005-0000-0000-000046820000}"/>
    <cellStyle name="Normal 5 7 4 3 2 2 2" xfId="16944" xr:uid="{00000000-0005-0000-0000-000047820000}"/>
    <cellStyle name="Normal 5 7 4 3 2 2 2 2" xfId="33259" xr:uid="{00000000-0005-0000-0000-000048820000}"/>
    <cellStyle name="Normal 5 7 4 3 2 2 3" xfId="26294" xr:uid="{00000000-0005-0000-0000-000049820000}"/>
    <cellStyle name="Normal 5 7 4 3 2 3" xfId="13023" xr:uid="{00000000-0005-0000-0000-00004A820000}"/>
    <cellStyle name="Normal 5 7 4 3 2 3 2" xfId="29598" xr:uid="{00000000-0005-0000-0000-00004B820000}"/>
    <cellStyle name="Normal 5 7 4 3 2 4" xfId="22994" xr:uid="{00000000-0005-0000-0000-00004C820000}"/>
    <cellStyle name="Normal 5 7 4 3 3" xfId="8060" xr:uid="{00000000-0005-0000-0000-00004D820000}"/>
    <cellStyle name="Normal 5 7 4 3 3 2" xfId="15323" xr:uid="{00000000-0005-0000-0000-00004E820000}"/>
    <cellStyle name="Normal 5 7 4 3 3 2 2" xfId="31638" xr:uid="{00000000-0005-0000-0000-00004F820000}"/>
    <cellStyle name="Normal 5 7 4 3 3 3" xfId="24673" xr:uid="{00000000-0005-0000-0000-000050820000}"/>
    <cellStyle name="Normal 5 7 4 3 4" xfId="11375" xr:uid="{00000000-0005-0000-0000-000051820000}"/>
    <cellStyle name="Normal 5 7 4 3 4 2" xfId="27973" xr:uid="{00000000-0005-0000-0000-000052820000}"/>
    <cellStyle name="Normal 5 7 4 3 5" xfId="5015" xr:uid="{00000000-0005-0000-0000-000053820000}"/>
    <cellStyle name="Normal 5 7 4 3 5 2" xfId="21738" xr:uid="{00000000-0005-0000-0000-000054820000}"/>
    <cellStyle name="Normal 5 7 4 3 6" xfId="20140" xr:uid="{00000000-0005-0000-0000-000055820000}"/>
    <cellStyle name="Normal 5 7 4 4" xfId="5517" xr:uid="{00000000-0005-0000-0000-000056820000}"/>
    <cellStyle name="Normal 5 7 4 4 2" xfId="8868" xr:uid="{00000000-0005-0000-0000-000057820000}"/>
    <cellStyle name="Normal 5 7 4 4 2 2" xfId="16131" xr:uid="{00000000-0005-0000-0000-000058820000}"/>
    <cellStyle name="Normal 5 7 4 4 2 2 2" xfId="32446" xr:uid="{00000000-0005-0000-0000-000059820000}"/>
    <cellStyle name="Normal 5 7 4 4 2 3" xfId="25481" xr:uid="{00000000-0005-0000-0000-00005A820000}"/>
    <cellStyle name="Normal 5 7 4 4 3" xfId="12210" xr:uid="{00000000-0005-0000-0000-00005B820000}"/>
    <cellStyle name="Normal 5 7 4 4 3 2" xfId="28785" xr:uid="{00000000-0005-0000-0000-00005C820000}"/>
    <cellStyle name="Normal 5 7 4 4 4" xfId="22181" xr:uid="{00000000-0005-0000-0000-00005D820000}"/>
    <cellStyle name="Normal 5 7 4 5" xfId="7248" xr:uid="{00000000-0005-0000-0000-00005E820000}"/>
    <cellStyle name="Normal 5 7 4 5 2" xfId="14511" xr:uid="{00000000-0005-0000-0000-00005F820000}"/>
    <cellStyle name="Normal 5 7 4 5 2 2" xfId="30826" xr:uid="{00000000-0005-0000-0000-000060820000}"/>
    <cellStyle name="Normal 5 7 4 5 3" xfId="23861" xr:uid="{00000000-0005-0000-0000-000061820000}"/>
    <cellStyle name="Normal 5 7 4 6" xfId="10563" xr:uid="{00000000-0005-0000-0000-000062820000}"/>
    <cellStyle name="Normal 5 7 4 6 2" xfId="27161" xr:uid="{00000000-0005-0000-0000-000063820000}"/>
    <cellStyle name="Normal 5 7 4 7" xfId="5012" xr:uid="{00000000-0005-0000-0000-000064820000}"/>
    <cellStyle name="Normal 5 7 4 7 2" xfId="21735" xr:uid="{00000000-0005-0000-0000-000065820000}"/>
    <cellStyle name="Normal 5 7 4 8" xfId="20137" xr:uid="{00000000-0005-0000-0000-000066820000}"/>
    <cellStyle name="Normal 5 7 5" xfId="5042" xr:uid="{00000000-0005-0000-0000-000067820000}"/>
    <cellStyle name="Normal 5 7 5 2" xfId="6813" xr:uid="{00000000-0005-0000-0000-000068820000}"/>
    <cellStyle name="Normal 5 7 5 2 2" xfId="10126" xr:uid="{00000000-0005-0000-0000-000069820000}"/>
    <cellStyle name="Normal 5 7 5 2 2 2" xfId="17389" xr:uid="{00000000-0005-0000-0000-00006A820000}"/>
    <cellStyle name="Normal 5 7 5 2 2 2 2" xfId="33704" xr:uid="{00000000-0005-0000-0000-00006B820000}"/>
    <cellStyle name="Normal 5 7 5 2 2 3" xfId="26739" xr:uid="{00000000-0005-0000-0000-00006C820000}"/>
    <cellStyle name="Normal 5 7 5 2 3" xfId="13471" xr:uid="{00000000-0005-0000-0000-00006D820000}"/>
    <cellStyle name="Normal 5 7 5 2 3 2" xfId="30043" xr:uid="{00000000-0005-0000-0000-00006E820000}"/>
    <cellStyle name="Normal 5 7 5 2 4" xfId="23439" xr:uid="{00000000-0005-0000-0000-00006F820000}"/>
    <cellStyle name="Normal 5 7 5 3" xfId="8448" xr:uid="{00000000-0005-0000-0000-000070820000}"/>
    <cellStyle name="Normal 5 7 5 3 2" xfId="15711" xr:uid="{00000000-0005-0000-0000-000071820000}"/>
    <cellStyle name="Normal 5 7 5 3 2 2" xfId="32026" xr:uid="{00000000-0005-0000-0000-000072820000}"/>
    <cellStyle name="Normal 5 7 5 3 3" xfId="25061" xr:uid="{00000000-0005-0000-0000-000073820000}"/>
    <cellStyle name="Normal 5 7 5 4" xfId="11763" xr:uid="{00000000-0005-0000-0000-000074820000}"/>
    <cellStyle name="Normal 5 7 5 4 2" xfId="28361" xr:uid="{00000000-0005-0000-0000-000075820000}"/>
    <cellStyle name="Normal 5 7 5 5" xfId="21761" xr:uid="{00000000-0005-0000-0000-000076820000}"/>
    <cellStyle name="Normal 5 8" xfId="366" xr:uid="{00000000-0005-0000-0000-000077820000}"/>
    <cellStyle name="Normal 5 8 2" xfId="3414" xr:uid="{00000000-0005-0000-0000-000078820000}"/>
    <cellStyle name="Normal 5 8 2 2" xfId="3415" xr:uid="{00000000-0005-0000-0000-000079820000}"/>
    <cellStyle name="Normal 5 8 2 2 2" xfId="3416" xr:uid="{00000000-0005-0000-0000-00007A820000}"/>
    <cellStyle name="Normal 5 8 2 2 2 2" xfId="6701" xr:uid="{00000000-0005-0000-0000-00007B820000}"/>
    <cellStyle name="Normal 5 8 2 2 2 2 2" xfId="10052" xr:uid="{00000000-0005-0000-0000-00007C820000}"/>
    <cellStyle name="Normal 5 8 2 2 2 2 2 2" xfId="17315" xr:uid="{00000000-0005-0000-0000-00007D820000}"/>
    <cellStyle name="Normal 5 8 2 2 2 2 2 2 2" xfId="33630" xr:uid="{00000000-0005-0000-0000-00007E820000}"/>
    <cellStyle name="Normal 5 8 2 2 2 2 2 3" xfId="26665" xr:uid="{00000000-0005-0000-0000-00007F820000}"/>
    <cellStyle name="Normal 5 8 2 2 2 2 3" xfId="13394" xr:uid="{00000000-0005-0000-0000-000080820000}"/>
    <cellStyle name="Normal 5 8 2 2 2 2 3 2" xfId="29969" xr:uid="{00000000-0005-0000-0000-000081820000}"/>
    <cellStyle name="Normal 5 8 2 2 2 2 4" xfId="23365" xr:uid="{00000000-0005-0000-0000-000082820000}"/>
    <cellStyle name="Normal 5 8 2 2 2 3" xfId="8431" xr:uid="{00000000-0005-0000-0000-000083820000}"/>
    <cellStyle name="Normal 5 8 2 2 2 3 2" xfId="15694" xr:uid="{00000000-0005-0000-0000-000084820000}"/>
    <cellStyle name="Normal 5 8 2 2 2 3 2 2" xfId="32009" xr:uid="{00000000-0005-0000-0000-000085820000}"/>
    <cellStyle name="Normal 5 8 2 2 2 3 3" xfId="25044" xr:uid="{00000000-0005-0000-0000-000086820000}"/>
    <cellStyle name="Normal 5 8 2 2 2 4" xfId="11746" xr:uid="{00000000-0005-0000-0000-000087820000}"/>
    <cellStyle name="Normal 5 8 2 2 2 4 2" xfId="28344" xr:uid="{00000000-0005-0000-0000-000088820000}"/>
    <cellStyle name="Normal 5 8 2 2 2 5" xfId="5018" xr:uid="{00000000-0005-0000-0000-000089820000}"/>
    <cellStyle name="Normal 5 8 2 2 2 5 2" xfId="21741" xr:uid="{00000000-0005-0000-0000-00008A820000}"/>
    <cellStyle name="Normal 5 8 2 2 2 6" xfId="20143" xr:uid="{00000000-0005-0000-0000-00008B820000}"/>
    <cellStyle name="Normal 5 8 2 2 3" xfId="5925" xr:uid="{00000000-0005-0000-0000-00008C820000}"/>
    <cellStyle name="Normal 5 8 2 2 3 2" xfId="9276" xr:uid="{00000000-0005-0000-0000-00008D820000}"/>
    <cellStyle name="Normal 5 8 2 2 3 2 2" xfId="16539" xr:uid="{00000000-0005-0000-0000-00008E820000}"/>
    <cellStyle name="Normal 5 8 2 2 3 2 2 2" xfId="32854" xr:uid="{00000000-0005-0000-0000-00008F820000}"/>
    <cellStyle name="Normal 5 8 2 2 3 2 3" xfId="25889" xr:uid="{00000000-0005-0000-0000-000090820000}"/>
    <cellStyle name="Normal 5 8 2 2 3 3" xfId="12618" xr:uid="{00000000-0005-0000-0000-000091820000}"/>
    <cellStyle name="Normal 5 8 2 2 3 3 2" xfId="29193" xr:uid="{00000000-0005-0000-0000-000092820000}"/>
    <cellStyle name="Normal 5 8 2 2 3 4" xfId="22589" xr:uid="{00000000-0005-0000-0000-000093820000}"/>
    <cellStyle name="Normal 5 8 2 2 4" xfId="7655" xr:uid="{00000000-0005-0000-0000-000094820000}"/>
    <cellStyle name="Normal 5 8 2 2 4 2" xfId="14918" xr:uid="{00000000-0005-0000-0000-000095820000}"/>
    <cellStyle name="Normal 5 8 2 2 4 2 2" xfId="31233" xr:uid="{00000000-0005-0000-0000-000096820000}"/>
    <cellStyle name="Normal 5 8 2 2 4 3" xfId="24268" xr:uid="{00000000-0005-0000-0000-000097820000}"/>
    <cellStyle name="Normal 5 8 2 2 5" xfId="10970" xr:uid="{00000000-0005-0000-0000-000098820000}"/>
    <cellStyle name="Normal 5 8 2 2 5 2" xfId="27568" xr:uid="{00000000-0005-0000-0000-000099820000}"/>
    <cellStyle name="Normal 5 8 2 2 6" xfId="5017" xr:uid="{00000000-0005-0000-0000-00009A820000}"/>
    <cellStyle name="Normal 5 8 2 2 6 2" xfId="21740" xr:uid="{00000000-0005-0000-0000-00009B820000}"/>
    <cellStyle name="Normal 5 8 2 2 7" xfId="20142" xr:uid="{00000000-0005-0000-0000-00009C820000}"/>
    <cellStyle name="Normal 5 8 2 3" xfId="3417" xr:uid="{00000000-0005-0000-0000-00009D820000}"/>
    <cellStyle name="Normal 5 8 2 3 2" xfId="6331" xr:uid="{00000000-0005-0000-0000-00009E820000}"/>
    <cellStyle name="Normal 5 8 2 3 2 2" xfId="9682" xr:uid="{00000000-0005-0000-0000-00009F820000}"/>
    <cellStyle name="Normal 5 8 2 3 2 2 2" xfId="16945" xr:uid="{00000000-0005-0000-0000-0000A0820000}"/>
    <cellStyle name="Normal 5 8 2 3 2 2 2 2" xfId="33260" xr:uid="{00000000-0005-0000-0000-0000A1820000}"/>
    <cellStyle name="Normal 5 8 2 3 2 2 3" xfId="26295" xr:uid="{00000000-0005-0000-0000-0000A2820000}"/>
    <cellStyle name="Normal 5 8 2 3 2 3" xfId="13024" xr:uid="{00000000-0005-0000-0000-0000A3820000}"/>
    <cellStyle name="Normal 5 8 2 3 2 3 2" xfId="29599" xr:uid="{00000000-0005-0000-0000-0000A4820000}"/>
    <cellStyle name="Normal 5 8 2 3 2 4" xfId="22995" xr:uid="{00000000-0005-0000-0000-0000A5820000}"/>
    <cellStyle name="Normal 5 8 2 3 3" xfId="8061" xr:uid="{00000000-0005-0000-0000-0000A6820000}"/>
    <cellStyle name="Normal 5 8 2 3 3 2" xfId="15324" xr:uid="{00000000-0005-0000-0000-0000A7820000}"/>
    <cellStyle name="Normal 5 8 2 3 3 2 2" xfId="31639" xr:uid="{00000000-0005-0000-0000-0000A8820000}"/>
    <cellStyle name="Normal 5 8 2 3 3 3" xfId="24674" xr:uid="{00000000-0005-0000-0000-0000A9820000}"/>
    <cellStyle name="Normal 5 8 2 3 4" xfId="11376" xr:uid="{00000000-0005-0000-0000-0000AA820000}"/>
    <cellStyle name="Normal 5 8 2 3 4 2" xfId="27974" xr:uid="{00000000-0005-0000-0000-0000AB820000}"/>
    <cellStyle name="Normal 5 8 2 3 5" xfId="5019" xr:uid="{00000000-0005-0000-0000-0000AC820000}"/>
    <cellStyle name="Normal 5 8 2 3 5 2" xfId="21742" xr:uid="{00000000-0005-0000-0000-0000AD820000}"/>
    <cellStyle name="Normal 5 8 2 3 6" xfId="20144" xr:uid="{00000000-0005-0000-0000-0000AE820000}"/>
    <cellStyle name="Normal 5 8 2 4" xfId="5518" xr:uid="{00000000-0005-0000-0000-0000AF820000}"/>
    <cellStyle name="Normal 5 8 2 4 2" xfId="8869" xr:uid="{00000000-0005-0000-0000-0000B0820000}"/>
    <cellStyle name="Normal 5 8 2 4 2 2" xfId="16132" xr:uid="{00000000-0005-0000-0000-0000B1820000}"/>
    <cellStyle name="Normal 5 8 2 4 2 2 2" xfId="32447" xr:uid="{00000000-0005-0000-0000-0000B2820000}"/>
    <cellStyle name="Normal 5 8 2 4 2 3" xfId="25482" xr:uid="{00000000-0005-0000-0000-0000B3820000}"/>
    <cellStyle name="Normal 5 8 2 4 3" xfId="12211" xr:uid="{00000000-0005-0000-0000-0000B4820000}"/>
    <cellStyle name="Normal 5 8 2 4 3 2" xfId="28786" xr:uid="{00000000-0005-0000-0000-0000B5820000}"/>
    <cellStyle name="Normal 5 8 2 4 4" xfId="22182" xr:uid="{00000000-0005-0000-0000-0000B6820000}"/>
    <cellStyle name="Normal 5 8 2 5" xfId="7249" xr:uid="{00000000-0005-0000-0000-0000B7820000}"/>
    <cellStyle name="Normal 5 8 2 5 2" xfId="14512" xr:uid="{00000000-0005-0000-0000-0000B8820000}"/>
    <cellStyle name="Normal 5 8 2 5 2 2" xfId="30827" xr:uid="{00000000-0005-0000-0000-0000B9820000}"/>
    <cellStyle name="Normal 5 8 2 5 3" xfId="23862" xr:uid="{00000000-0005-0000-0000-0000BA820000}"/>
    <cellStyle name="Normal 5 8 2 6" xfId="10564" xr:uid="{00000000-0005-0000-0000-0000BB820000}"/>
    <cellStyle name="Normal 5 8 2 6 2" xfId="27162" xr:uid="{00000000-0005-0000-0000-0000BC820000}"/>
    <cellStyle name="Normal 5 8 2 7" xfId="5016" xr:uid="{00000000-0005-0000-0000-0000BD820000}"/>
    <cellStyle name="Normal 5 8 2 7 2" xfId="21739" xr:uid="{00000000-0005-0000-0000-0000BE820000}"/>
    <cellStyle name="Normal 5 8 2 8" xfId="20141" xr:uid="{00000000-0005-0000-0000-0000BF820000}"/>
    <cellStyle name="Normal 5 8 3" xfId="5043" xr:uid="{00000000-0005-0000-0000-0000C0820000}"/>
    <cellStyle name="Normal 5 8 3 2" xfId="6814" xr:uid="{00000000-0005-0000-0000-0000C1820000}"/>
    <cellStyle name="Normal 5 8 3 2 2" xfId="10127" xr:uid="{00000000-0005-0000-0000-0000C2820000}"/>
    <cellStyle name="Normal 5 8 3 2 2 2" xfId="17390" xr:uid="{00000000-0005-0000-0000-0000C3820000}"/>
    <cellStyle name="Normal 5 8 3 2 2 2 2" xfId="33705" xr:uid="{00000000-0005-0000-0000-0000C4820000}"/>
    <cellStyle name="Normal 5 8 3 2 2 3" xfId="26740" xr:uid="{00000000-0005-0000-0000-0000C5820000}"/>
    <cellStyle name="Normal 5 8 3 2 3" xfId="13472" xr:uid="{00000000-0005-0000-0000-0000C6820000}"/>
    <cellStyle name="Normal 5 8 3 2 3 2" xfId="30044" xr:uid="{00000000-0005-0000-0000-0000C7820000}"/>
    <cellStyle name="Normal 5 8 3 2 4" xfId="23440" xr:uid="{00000000-0005-0000-0000-0000C8820000}"/>
    <cellStyle name="Normal 5 8 3 3" xfId="8449" xr:uid="{00000000-0005-0000-0000-0000C9820000}"/>
    <cellStyle name="Normal 5 8 3 3 2" xfId="15712" xr:uid="{00000000-0005-0000-0000-0000CA820000}"/>
    <cellStyle name="Normal 5 8 3 3 2 2" xfId="32027" xr:uid="{00000000-0005-0000-0000-0000CB820000}"/>
    <cellStyle name="Normal 5 8 3 3 3" xfId="25062" xr:uid="{00000000-0005-0000-0000-0000CC820000}"/>
    <cellStyle name="Normal 5 8 3 4" xfId="11764" xr:uid="{00000000-0005-0000-0000-0000CD820000}"/>
    <cellStyle name="Normal 5 8 3 4 2" xfId="28362" xr:uid="{00000000-0005-0000-0000-0000CE820000}"/>
    <cellStyle name="Normal 5 8 3 5" xfId="21762" xr:uid="{00000000-0005-0000-0000-0000CF820000}"/>
    <cellStyle name="Normal 5 9" xfId="367" xr:uid="{00000000-0005-0000-0000-0000D0820000}"/>
    <cellStyle name="Normal 5 9 2" xfId="5044" xr:uid="{00000000-0005-0000-0000-0000D1820000}"/>
    <cellStyle name="Normal 5 9 2 2" xfId="6815" xr:uid="{00000000-0005-0000-0000-0000D2820000}"/>
    <cellStyle name="Normal 5 9 2 2 2" xfId="10128" xr:uid="{00000000-0005-0000-0000-0000D3820000}"/>
    <cellStyle name="Normal 5 9 2 2 2 2" xfId="17391" xr:uid="{00000000-0005-0000-0000-0000D4820000}"/>
    <cellStyle name="Normal 5 9 2 2 2 2 2" xfId="33706" xr:uid="{00000000-0005-0000-0000-0000D5820000}"/>
    <cellStyle name="Normal 5 9 2 2 2 3" xfId="26741" xr:uid="{00000000-0005-0000-0000-0000D6820000}"/>
    <cellStyle name="Normal 5 9 2 2 3" xfId="13473" xr:uid="{00000000-0005-0000-0000-0000D7820000}"/>
    <cellStyle name="Normal 5 9 2 2 3 2" xfId="30045" xr:uid="{00000000-0005-0000-0000-0000D8820000}"/>
    <cellStyle name="Normal 5 9 2 2 4" xfId="23441" xr:uid="{00000000-0005-0000-0000-0000D9820000}"/>
    <cellStyle name="Normal 5 9 2 3" xfId="8450" xr:uid="{00000000-0005-0000-0000-0000DA820000}"/>
    <cellStyle name="Normal 5 9 2 3 2" xfId="15713" xr:uid="{00000000-0005-0000-0000-0000DB820000}"/>
    <cellStyle name="Normal 5 9 2 3 2 2" xfId="32028" xr:uid="{00000000-0005-0000-0000-0000DC820000}"/>
    <cellStyle name="Normal 5 9 2 3 3" xfId="25063" xr:uid="{00000000-0005-0000-0000-0000DD820000}"/>
    <cellStyle name="Normal 5 9 2 4" xfId="11765" xr:uid="{00000000-0005-0000-0000-0000DE820000}"/>
    <cellStyle name="Normal 5 9 2 4 2" xfId="28363" xr:uid="{00000000-0005-0000-0000-0000DF820000}"/>
    <cellStyle name="Normal 5 9 2 5" xfId="21763" xr:uid="{00000000-0005-0000-0000-0000E0820000}"/>
    <cellStyle name="Normal 6" xfId="616" xr:uid="{00000000-0005-0000-0000-0000E1820000}"/>
    <cellStyle name="Normal 6 10" xfId="368" xr:uid="{00000000-0005-0000-0000-0000E2820000}"/>
    <cellStyle name="Normal 6 11" xfId="369" xr:uid="{00000000-0005-0000-0000-0000E3820000}"/>
    <cellStyle name="Normal 6 12" xfId="370" xr:uid="{00000000-0005-0000-0000-0000E4820000}"/>
    <cellStyle name="Normal 6 12 2" xfId="551" xr:uid="{00000000-0005-0000-0000-0000E5820000}"/>
    <cellStyle name="Normal 6 12 2 2" xfId="5084" xr:uid="{00000000-0005-0000-0000-0000E6820000}"/>
    <cellStyle name="Normal 6 2" xfId="371" xr:uid="{00000000-0005-0000-0000-0000E7820000}"/>
    <cellStyle name="Normal 6 3" xfId="372" xr:uid="{00000000-0005-0000-0000-0000E8820000}"/>
    <cellStyle name="Normal 6 4" xfId="373" xr:uid="{00000000-0005-0000-0000-0000E9820000}"/>
    <cellStyle name="Normal 6 5" xfId="374" xr:uid="{00000000-0005-0000-0000-0000EA820000}"/>
    <cellStyle name="Normal 6 6" xfId="375" xr:uid="{00000000-0005-0000-0000-0000EB820000}"/>
    <cellStyle name="Normal 6 7" xfId="376" xr:uid="{00000000-0005-0000-0000-0000EC820000}"/>
    <cellStyle name="Normal 6 8" xfId="377" xr:uid="{00000000-0005-0000-0000-0000ED820000}"/>
    <cellStyle name="Normal 6 9" xfId="378" xr:uid="{00000000-0005-0000-0000-0000EE820000}"/>
    <cellStyle name="Normal 7" xfId="617" xr:uid="{00000000-0005-0000-0000-0000EF820000}"/>
    <cellStyle name="Normal 7 2" xfId="379" xr:uid="{00000000-0005-0000-0000-0000F0820000}"/>
    <cellStyle name="Normal 7 2 2" xfId="552" xr:uid="{00000000-0005-0000-0000-0000F1820000}"/>
    <cellStyle name="Normal 7 3" xfId="380" xr:uid="{00000000-0005-0000-0000-0000F2820000}"/>
    <cellStyle name="Normal 8" xfId="618" xr:uid="{00000000-0005-0000-0000-0000F3820000}"/>
    <cellStyle name="Normal 8 2" xfId="381" xr:uid="{00000000-0005-0000-0000-0000F4820000}"/>
    <cellStyle name="Normal 8 2 2" xfId="553" xr:uid="{00000000-0005-0000-0000-0000F5820000}"/>
    <cellStyle name="Normal 9" xfId="26" xr:uid="{00000000-0005-0000-0000-0000F6820000}"/>
    <cellStyle name="Normal 9 2" xfId="382" xr:uid="{00000000-0005-0000-0000-0000F7820000}"/>
    <cellStyle name="Normal 9 2 2" xfId="554" xr:uid="{00000000-0005-0000-0000-0000F8820000}"/>
    <cellStyle name="Normal 9 2 3" xfId="5086" xr:uid="{00000000-0005-0000-0000-0000F9820000}"/>
    <cellStyle name="Normal 9 3" xfId="383" xr:uid="{00000000-0005-0000-0000-0000FA820000}"/>
    <cellStyle name="Normal 9 4" xfId="384" xr:uid="{00000000-0005-0000-0000-0000FB820000}"/>
    <cellStyle name="Normal 9 5" xfId="5085" xr:uid="{00000000-0005-0000-0000-0000FC820000}"/>
    <cellStyle name="Pending Change - IBM Cognos" xfId="33769" xr:uid="{00000000-0005-0000-0000-0000FD820000}"/>
    <cellStyle name="Percent" xfId="2" builtinId="5"/>
    <cellStyle name="Percent 10" xfId="1269" xr:uid="{00000000-0005-0000-0000-0000FF820000}"/>
    <cellStyle name="Percent 10 2" xfId="3419" xr:uid="{00000000-0005-0000-0000-000000830000}"/>
    <cellStyle name="Percent 10 3" xfId="3420" xr:uid="{00000000-0005-0000-0000-000001830000}"/>
    <cellStyle name="Percent 10 4" xfId="3418" xr:uid="{00000000-0005-0000-0000-000002830000}"/>
    <cellStyle name="Percent 10 4 2" xfId="20145" xr:uid="{00000000-0005-0000-0000-000003830000}"/>
    <cellStyle name="Percent 10 5" xfId="5020" xr:uid="{00000000-0005-0000-0000-000004830000}"/>
    <cellStyle name="Percent 10 5 2" xfId="21743" xr:uid="{00000000-0005-0000-0000-000005830000}"/>
    <cellStyle name="Percent 11" xfId="3421" xr:uid="{00000000-0005-0000-0000-000006830000}"/>
    <cellStyle name="Percent 11 2" xfId="6729" xr:uid="{00000000-0005-0000-0000-000007830000}"/>
    <cellStyle name="Percent 11 3" xfId="6730" xr:uid="{00000000-0005-0000-0000-000008830000}"/>
    <cellStyle name="Percent 11 4" xfId="5024" xr:uid="{00000000-0005-0000-0000-000009830000}"/>
    <cellStyle name="Percent 11 5" xfId="5021" xr:uid="{00000000-0005-0000-0000-00000A830000}"/>
    <cellStyle name="Percent 11 5 2" xfId="21744" xr:uid="{00000000-0005-0000-0000-00000B830000}"/>
    <cellStyle name="Percent 12" xfId="13576" xr:uid="{00000000-0005-0000-0000-00000C830000}"/>
    <cellStyle name="Percent 12 2" xfId="30073" xr:uid="{00000000-0005-0000-0000-00000D830000}"/>
    <cellStyle name="Percent 2" xfId="21" xr:uid="{00000000-0005-0000-0000-00000E830000}"/>
    <cellStyle name="Percent 2 10" xfId="385" xr:uid="{00000000-0005-0000-0000-00000F830000}"/>
    <cellStyle name="Percent 2 11" xfId="386" xr:uid="{00000000-0005-0000-0000-000010830000}"/>
    <cellStyle name="Percent 2 12" xfId="387" xr:uid="{00000000-0005-0000-0000-000011830000}"/>
    <cellStyle name="Percent 2 13" xfId="388" xr:uid="{00000000-0005-0000-0000-000012830000}"/>
    <cellStyle name="Percent 2 14" xfId="389" xr:uid="{00000000-0005-0000-0000-000013830000}"/>
    <cellStyle name="Percent 2 15" xfId="390" xr:uid="{00000000-0005-0000-0000-000014830000}"/>
    <cellStyle name="Percent 2 16" xfId="391" xr:uid="{00000000-0005-0000-0000-000015830000}"/>
    <cellStyle name="Percent 2 17" xfId="392" xr:uid="{00000000-0005-0000-0000-000016830000}"/>
    <cellStyle name="Percent 2 18" xfId="393" xr:uid="{00000000-0005-0000-0000-000017830000}"/>
    <cellStyle name="Percent 2 19" xfId="394" xr:uid="{00000000-0005-0000-0000-000018830000}"/>
    <cellStyle name="Percent 2 2" xfId="395" xr:uid="{00000000-0005-0000-0000-000019830000}"/>
    <cellStyle name="Percent 2 2 2" xfId="555" xr:uid="{00000000-0005-0000-0000-00001A830000}"/>
    <cellStyle name="Percent 2 2 2 2" xfId="556" xr:uid="{00000000-0005-0000-0000-00001B830000}"/>
    <cellStyle name="Percent 2 2 3" xfId="557" xr:uid="{00000000-0005-0000-0000-00001C830000}"/>
    <cellStyle name="Percent 2 2 4" xfId="558" xr:uid="{00000000-0005-0000-0000-00001D830000}"/>
    <cellStyle name="Percent 2 2 4 2" xfId="5087" xr:uid="{00000000-0005-0000-0000-00001E830000}"/>
    <cellStyle name="Percent 2 20" xfId="396" xr:uid="{00000000-0005-0000-0000-00001F830000}"/>
    <cellStyle name="Percent 2 21" xfId="397" xr:uid="{00000000-0005-0000-0000-000020830000}"/>
    <cellStyle name="Percent 2 22" xfId="398" xr:uid="{00000000-0005-0000-0000-000021830000}"/>
    <cellStyle name="Percent 2 23" xfId="399" xr:uid="{00000000-0005-0000-0000-000022830000}"/>
    <cellStyle name="Percent 2 24" xfId="400" xr:uid="{00000000-0005-0000-0000-000023830000}"/>
    <cellStyle name="Percent 2 25" xfId="401" xr:uid="{00000000-0005-0000-0000-000024830000}"/>
    <cellStyle name="Percent 2 26" xfId="402" xr:uid="{00000000-0005-0000-0000-000025830000}"/>
    <cellStyle name="Percent 2 27" xfId="403" xr:uid="{00000000-0005-0000-0000-000026830000}"/>
    <cellStyle name="Percent 2 28" xfId="404" xr:uid="{00000000-0005-0000-0000-000027830000}"/>
    <cellStyle name="Percent 2 29" xfId="405" xr:uid="{00000000-0005-0000-0000-000028830000}"/>
    <cellStyle name="Percent 2 3" xfId="406" xr:uid="{00000000-0005-0000-0000-000029830000}"/>
    <cellStyle name="Percent 2 3 2" xfId="559" xr:uid="{00000000-0005-0000-0000-00002A830000}"/>
    <cellStyle name="Percent 2 3 3" xfId="869" xr:uid="{00000000-0005-0000-0000-00002B830000}"/>
    <cellStyle name="Percent 2 3 4" xfId="5088" xr:uid="{00000000-0005-0000-0000-00002C830000}"/>
    <cellStyle name="Percent 2 30" xfId="407" xr:uid="{00000000-0005-0000-0000-00002D830000}"/>
    <cellStyle name="Percent 2 4" xfId="408" xr:uid="{00000000-0005-0000-0000-00002E830000}"/>
    <cellStyle name="Percent 2 4 2" xfId="560" xr:uid="{00000000-0005-0000-0000-00002F830000}"/>
    <cellStyle name="Percent 2 4 2 2" xfId="870" xr:uid="{00000000-0005-0000-0000-000030830000}"/>
    <cellStyle name="Percent 2 4 3" xfId="871" xr:uid="{00000000-0005-0000-0000-000031830000}"/>
    <cellStyle name="Percent 2 4 3 2" xfId="5089" xr:uid="{00000000-0005-0000-0000-000032830000}"/>
    <cellStyle name="Percent 2 5" xfId="409" xr:uid="{00000000-0005-0000-0000-000033830000}"/>
    <cellStyle name="Percent 2 5 2" xfId="872" xr:uid="{00000000-0005-0000-0000-000034830000}"/>
    <cellStyle name="Percent 2 5 2 2" xfId="1270" xr:uid="{00000000-0005-0000-0000-000035830000}"/>
    <cellStyle name="Percent 2 5 3" xfId="3422" xr:uid="{00000000-0005-0000-0000-000036830000}"/>
    <cellStyle name="Percent 2 5 3 2" xfId="6714" xr:uid="{00000000-0005-0000-0000-000037830000}"/>
    <cellStyle name="Percent 2 5 3 2 2" xfId="14037" xr:uid="{00000000-0005-0000-0000-000038830000}"/>
    <cellStyle name="Percent 2 5 3 2 3" xfId="11795" xr:uid="{00000000-0005-0000-0000-000039830000}"/>
    <cellStyle name="Percent 2 5 3 3" xfId="6781" xr:uid="{00000000-0005-0000-0000-00003A830000}"/>
    <cellStyle name="Percent 2 5 3 4" xfId="13790" xr:uid="{00000000-0005-0000-0000-00003B830000}"/>
    <cellStyle name="Percent 2 5 4" xfId="5090" xr:uid="{00000000-0005-0000-0000-00003C830000}"/>
    <cellStyle name="Percent 2 5 5" xfId="6762" xr:uid="{00000000-0005-0000-0000-00003D830000}"/>
    <cellStyle name="Percent 2 5 5 2" xfId="14070" xr:uid="{00000000-0005-0000-0000-00003E830000}"/>
    <cellStyle name="Percent 2 5 5 3" xfId="11781" xr:uid="{00000000-0005-0000-0000-00003F830000}"/>
    <cellStyle name="Percent 2 5 6" xfId="13742" xr:uid="{00000000-0005-0000-0000-000040830000}"/>
    <cellStyle name="Percent 2 6" xfId="410" xr:uid="{00000000-0005-0000-0000-000041830000}"/>
    <cellStyle name="Percent 2 7" xfId="411" xr:uid="{00000000-0005-0000-0000-000042830000}"/>
    <cellStyle name="Percent 2 8" xfId="412" xr:uid="{00000000-0005-0000-0000-000043830000}"/>
    <cellStyle name="Percent 2 9" xfId="413" xr:uid="{00000000-0005-0000-0000-000044830000}"/>
    <cellStyle name="Percent 3" xfId="9" xr:uid="{00000000-0005-0000-0000-000045830000}"/>
    <cellStyle name="Percent 3 2" xfId="414" xr:uid="{00000000-0005-0000-0000-000046830000}"/>
    <cellStyle name="Percent 3 3" xfId="415" xr:uid="{00000000-0005-0000-0000-000047830000}"/>
    <cellStyle name="Percent 3 3 2" xfId="561" xr:uid="{00000000-0005-0000-0000-000048830000}"/>
    <cellStyle name="Percent 3 3 2 2" xfId="5091" xr:uid="{00000000-0005-0000-0000-000049830000}"/>
    <cellStyle name="Percent 3 4" xfId="416" xr:uid="{00000000-0005-0000-0000-00004A830000}"/>
    <cellStyle name="Percent 31" xfId="17" xr:uid="{00000000-0005-0000-0000-00004B830000}"/>
    <cellStyle name="Percent 31 2" xfId="417" xr:uid="{00000000-0005-0000-0000-00004C830000}"/>
    <cellStyle name="Percent 34" xfId="562" xr:uid="{00000000-0005-0000-0000-00004D830000}"/>
    <cellStyle name="Percent 4" xfId="23" xr:uid="{00000000-0005-0000-0000-00004E830000}"/>
    <cellStyle name="Percent 4 10" xfId="418" xr:uid="{00000000-0005-0000-0000-00004F830000}"/>
    <cellStyle name="Percent 4 11" xfId="419" xr:uid="{00000000-0005-0000-0000-000050830000}"/>
    <cellStyle name="Percent 4 12" xfId="420" xr:uid="{00000000-0005-0000-0000-000051830000}"/>
    <cellStyle name="Percent 4 13" xfId="421" xr:uid="{00000000-0005-0000-0000-000052830000}"/>
    <cellStyle name="Percent 4 14" xfId="422" xr:uid="{00000000-0005-0000-0000-000053830000}"/>
    <cellStyle name="Percent 4 15" xfId="423" xr:uid="{00000000-0005-0000-0000-000054830000}"/>
    <cellStyle name="Percent 4 16" xfId="424" xr:uid="{00000000-0005-0000-0000-000055830000}"/>
    <cellStyle name="Percent 4 17" xfId="425" xr:uid="{00000000-0005-0000-0000-000056830000}"/>
    <cellStyle name="Percent 4 18" xfId="426" xr:uid="{00000000-0005-0000-0000-000057830000}"/>
    <cellStyle name="Percent 4 19" xfId="427" xr:uid="{00000000-0005-0000-0000-000058830000}"/>
    <cellStyle name="Percent 4 2" xfId="428" xr:uid="{00000000-0005-0000-0000-000059830000}"/>
    <cellStyle name="Percent 4 20" xfId="429" xr:uid="{00000000-0005-0000-0000-00005A830000}"/>
    <cellStyle name="Percent 4 21" xfId="430" xr:uid="{00000000-0005-0000-0000-00005B830000}"/>
    <cellStyle name="Percent 4 22" xfId="431" xr:uid="{00000000-0005-0000-0000-00005C830000}"/>
    <cellStyle name="Percent 4 23" xfId="432" xr:uid="{00000000-0005-0000-0000-00005D830000}"/>
    <cellStyle name="Percent 4 24" xfId="433" xr:uid="{00000000-0005-0000-0000-00005E830000}"/>
    <cellStyle name="Percent 4 24 2" xfId="13876" xr:uid="{00000000-0005-0000-0000-00005F830000}"/>
    <cellStyle name="Percent 4 24 3" xfId="13565" xr:uid="{00000000-0005-0000-0000-000060830000}"/>
    <cellStyle name="Percent 4 24 3 2" xfId="30071" xr:uid="{00000000-0005-0000-0000-000061830000}"/>
    <cellStyle name="Percent 4 25" xfId="434" xr:uid="{00000000-0005-0000-0000-000062830000}"/>
    <cellStyle name="Percent 4 25 2" xfId="13877" xr:uid="{00000000-0005-0000-0000-000063830000}"/>
    <cellStyle name="Percent 4 25 3" xfId="11794" xr:uid="{00000000-0005-0000-0000-000064830000}"/>
    <cellStyle name="Percent 4 25 3 2" xfId="28371" xr:uid="{00000000-0005-0000-0000-000065830000}"/>
    <cellStyle name="Percent 4 26" xfId="435" xr:uid="{00000000-0005-0000-0000-000066830000}"/>
    <cellStyle name="Percent 4 26 2" xfId="13878" xr:uid="{00000000-0005-0000-0000-000067830000}"/>
    <cellStyle name="Percent 4 26 3" xfId="13554" xr:uid="{00000000-0005-0000-0000-000068830000}"/>
    <cellStyle name="Percent 4 26 3 2" xfId="30068" xr:uid="{00000000-0005-0000-0000-000069830000}"/>
    <cellStyle name="Percent 4 27" xfId="436" xr:uid="{00000000-0005-0000-0000-00006A830000}"/>
    <cellStyle name="Percent 4 27 2" xfId="13879" xr:uid="{00000000-0005-0000-0000-00006B830000}"/>
    <cellStyle name="Percent 4 27 3" xfId="13531" xr:uid="{00000000-0005-0000-0000-00006C830000}"/>
    <cellStyle name="Percent 4 27 3 2" xfId="30064" xr:uid="{00000000-0005-0000-0000-00006D830000}"/>
    <cellStyle name="Percent 4 28" xfId="437" xr:uid="{00000000-0005-0000-0000-00006E830000}"/>
    <cellStyle name="Percent 4 28 2" xfId="13880" xr:uid="{00000000-0005-0000-0000-00006F830000}"/>
    <cellStyle name="Percent 4 28 3" xfId="13555" xr:uid="{00000000-0005-0000-0000-000070830000}"/>
    <cellStyle name="Percent 4 28 3 2" xfId="30069" xr:uid="{00000000-0005-0000-0000-000071830000}"/>
    <cellStyle name="Percent 4 29" xfId="438" xr:uid="{00000000-0005-0000-0000-000072830000}"/>
    <cellStyle name="Percent 4 29 2" xfId="13881" xr:uid="{00000000-0005-0000-0000-000073830000}"/>
    <cellStyle name="Percent 4 29 3" xfId="11777" xr:uid="{00000000-0005-0000-0000-000074830000}"/>
    <cellStyle name="Percent 4 29 3 2" xfId="28368" xr:uid="{00000000-0005-0000-0000-000075830000}"/>
    <cellStyle name="Percent 4 3" xfId="439" xr:uid="{00000000-0005-0000-0000-000076830000}"/>
    <cellStyle name="Percent 4 3 2" xfId="13882" xr:uid="{00000000-0005-0000-0000-000077830000}"/>
    <cellStyle name="Percent 4 3 3" xfId="13534" xr:uid="{00000000-0005-0000-0000-000078830000}"/>
    <cellStyle name="Percent 4 3 3 2" xfId="30065" xr:uid="{00000000-0005-0000-0000-000079830000}"/>
    <cellStyle name="Percent 4 30" xfId="440" xr:uid="{00000000-0005-0000-0000-00007A830000}"/>
    <cellStyle name="Percent 4 30 2" xfId="13883" xr:uid="{00000000-0005-0000-0000-00007B830000}"/>
    <cellStyle name="Percent 4 30 3" xfId="13566" xr:uid="{00000000-0005-0000-0000-00007C830000}"/>
    <cellStyle name="Percent 4 30 3 2" xfId="30072" xr:uid="{00000000-0005-0000-0000-00007D830000}"/>
    <cellStyle name="Percent 4 31" xfId="441" xr:uid="{00000000-0005-0000-0000-00007E830000}"/>
    <cellStyle name="Percent 4 31 2" xfId="13884" xr:uid="{00000000-0005-0000-0000-00007F830000}"/>
    <cellStyle name="Percent 4 31 3" xfId="13539" xr:uid="{00000000-0005-0000-0000-000080830000}"/>
    <cellStyle name="Percent 4 31 3 2" xfId="30066" xr:uid="{00000000-0005-0000-0000-000081830000}"/>
    <cellStyle name="Percent 4 32" xfId="442" xr:uid="{00000000-0005-0000-0000-000082830000}"/>
    <cellStyle name="Percent 4 32 2" xfId="13885" xr:uid="{00000000-0005-0000-0000-000083830000}"/>
    <cellStyle name="Percent 4 32 3" xfId="13581" xr:uid="{00000000-0005-0000-0000-000084830000}"/>
    <cellStyle name="Percent 4 32 3 2" xfId="30074" xr:uid="{00000000-0005-0000-0000-000085830000}"/>
    <cellStyle name="Percent 4 33" xfId="5092" xr:uid="{00000000-0005-0000-0000-000086830000}"/>
    <cellStyle name="Percent 4 33 2" xfId="13875" xr:uid="{00000000-0005-0000-0000-000087830000}"/>
    <cellStyle name="Percent 4 33 3" xfId="13560" xr:uid="{00000000-0005-0000-0000-000088830000}"/>
    <cellStyle name="Percent 4 33 3 2" xfId="30070" xr:uid="{00000000-0005-0000-0000-000089830000}"/>
    <cellStyle name="Percent 4 4" xfId="443" xr:uid="{00000000-0005-0000-0000-00008A830000}"/>
    <cellStyle name="Percent 4 4 2" xfId="13886" xr:uid="{00000000-0005-0000-0000-00008B830000}"/>
    <cellStyle name="Percent 4 4 3" xfId="13671" xr:uid="{00000000-0005-0000-0000-00008C830000}"/>
    <cellStyle name="Percent 4 4 3 2" xfId="30077" xr:uid="{00000000-0005-0000-0000-00008D830000}"/>
    <cellStyle name="Percent 4 5" xfId="444" xr:uid="{00000000-0005-0000-0000-00008E830000}"/>
    <cellStyle name="Percent 4 5 2" xfId="13887" xr:uid="{00000000-0005-0000-0000-00008F830000}"/>
    <cellStyle name="Percent 4 5 3" xfId="13540" xr:uid="{00000000-0005-0000-0000-000090830000}"/>
    <cellStyle name="Percent 4 5 3 2" xfId="30067" xr:uid="{00000000-0005-0000-0000-000091830000}"/>
    <cellStyle name="Percent 4 6" xfId="445" xr:uid="{00000000-0005-0000-0000-000092830000}"/>
    <cellStyle name="Percent 4 6 2" xfId="13888" xr:uid="{00000000-0005-0000-0000-000093830000}"/>
    <cellStyle name="Percent 4 6 3" xfId="13527" xr:uid="{00000000-0005-0000-0000-000094830000}"/>
    <cellStyle name="Percent 4 6 3 2" xfId="30062" xr:uid="{00000000-0005-0000-0000-000095830000}"/>
    <cellStyle name="Percent 4 7" xfId="446" xr:uid="{00000000-0005-0000-0000-000096830000}"/>
    <cellStyle name="Percent 4 7 2" xfId="13889" xr:uid="{00000000-0005-0000-0000-000097830000}"/>
    <cellStyle name="Percent 4 7 3" xfId="13713" xr:uid="{00000000-0005-0000-0000-000098830000}"/>
    <cellStyle name="Percent 4 7 3 2" xfId="30079" xr:uid="{00000000-0005-0000-0000-000099830000}"/>
    <cellStyle name="Percent 4 8" xfId="447" xr:uid="{00000000-0005-0000-0000-00009A830000}"/>
    <cellStyle name="Percent 4 8 2" xfId="13890" xr:uid="{00000000-0005-0000-0000-00009B830000}"/>
    <cellStyle name="Percent 4 8 3" xfId="13629" xr:uid="{00000000-0005-0000-0000-00009C830000}"/>
    <cellStyle name="Percent 4 8 3 2" xfId="30075" xr:uid="{00000000-0005-0000-0000-00009D830000}"/>
    <cellStyle name="Percent 4 9" xfId="448" xr:uid="{00000000-0005-0000-0000-00009E830000}"/>
    <cellStyle name="Percent 4 9 2" xfId="13891" xr:uid="{00000000-0005-0000-0000-00009F830000}"/>
    <cellStyle name="Percent 4 9 3" xfId="13648" xr:uid="{00000000-0005-0000-0000-0000A0830000}"/>
    <cellStyle name="Percent 4 9 3 2" xfId="30076" xr:uid="{00000000-0005-0000-0000-0000A1830000}"/>
    <cellStyle name="Percent 5" xfId="620" xr:uid="{00000000-0005-0000-0000-0000A2830000}"/>
    <cellStyle name="Percent 5 2" xfId="563" xr:uid="{00000000-0005-0000-0000-0000A3830000}"/>
    <cellStyle name="Percent 5 2 2" xfId="13744" xr:uid="{00000000-0005-0000-0000-0000A4830000}"/>
    <cellStyle name="Percent 5 2 3" xfId="11774" xr:uid="{00000000-0005-0000-0000-0000A5830000}"/>
    <cellStyle name="Percent 5 2 3 2" xfId="28367" xr:uid="{00000000-0005-0000-0000-0000A6830000}"/>
    <cellStyle name="Percent 5 3" xfId="564" xr:uid="{00000000-0005-0000-0000-0000A7830000}"/>
    <cellStyle name="Percent 5 3 2" xfId="13892" xr:uid="{00000000-0005-0000-0000-0000A8830000}"/>
    <cellStyle name="Percent 5 3 3" xfId="13685" xr:uid="{00000000-0005-0000-0000-0000A9830000}"/>
    <cellStyle name="Percent 5 3 3 2" xfId="30078" xr:uid="{00000000-0005-0000-0000-0000AA830000}"/>
    <cellStyle name="Percent 5 4" xfId="565" xr:uid="{00000000-0005-0000-0000-0000AB830000}"/>
    <cellStyle name="Percent 5 4 2" xfId="13743" xr:uid="{00000000-0005-0000-0000-0000AC830000}"/>
    <cellStyle name="Percent 5 5" xfId="13491" xr:uid="{00000000-0005-0000-0000-0000AD830000}"/>
    <cellStyle name="Percent 5 5 2" xfId="30061" xr:uid="{00000000-0005-0000-0000-0000AE830000}"/>
    <cellStyle name="Percent 6" xfId="16" xr:uid="{00000000-0005-0000-0000-0000AF830000}"/>
    <cellStyle name="Percent 6 2" xfId="449" xr:uid="{00000000-0005-0000-0000-0000B0830000}"/>
    <cellStyle name="Percent 6 2 2" xfId="566" xr:uid="{00000000-0005-0000-0000-0000B1830000}"/>
    <cellStyle name="Percent 6 2 2 2" xfId="13895" xr:uid="{00000000-0005-0000-0000-0000B2830000}"/>
    <cellStyle name="Percent 6 2 2 3" xfId="13723" xr:uid="{00000000-0005-0000-0000-0000B3830000}"/>
    <cellStyle name="Percent 6 2 2 3 2" xfId="30082" xr:uid="{00000000-0005-0000-0000-0000B4830000}"/>
    <cellStyle name="Percent 6 2 3" xfId="5094" xr:uid="{00000000-0005-0000-0000-0000B5830000}"/>
    <cellStyle name="Percent 6 2 3 2" xfId="13894" xr:uid="{00000000-0005-0000-0000-0000B6830000}"/>
    <cellStyle name="Percent 6 2 3 3" xfId="13724" xr:uid="{00000000-0005-0000-0000-0000B7830000}"/>
    <cellStyle name="Percent 6 2 3 3 2" xfId="30083" xr:uid="{00000000-0005-0000-0000-0000B8830000}"/>
    <cellStyle name="Percent 6 2 4" xfId="13746" xr:uid="{00000000-0005-0000-0000-0000B9830000}"/>
    <cellStyle name="Percent 6 2 5" xfId="13722" xr:uid="{00000000-0005-0000-0000-0000BA830000}"/>
    <cellStyle name="Percent 6 2 5 2" xfId="30081" xr:uid="{00000000-0005-0000-0000-0000BB830000}"/>
    <cellStyle name="Percent 6 3" xfId="567" xr:uid="{00000000-0005-0000-0000-0000BC830000}"/>
    <cellStyle name="Percent 6 3 2" xfId="13896" xr:uid="{00000000-0005-0000-0000-0000BD830000}"/>
    <cellStyle name="Percent 6 3 3" xfId="13725" xr:uid="{00000000-0005-0000-0000-0000BE830000}"/>
    <cellStyle name="Percent 6 3 3 2" xfId="30084" xr:uid="{00000000-0005-0000-0000-0000BF830000}"/>
    <cellStyle name="Percent 6 4" xfId="5093" xr:uid="{00000000-0005-0000-0000-0000C0830000}"/>
    <cellStyle name="Percent 6 4 2" xfId="13893" xr:uid="{00000000-0005-0000-0000-0000C1830000}"/>
    <cellStyle name="Percent 6 4 3" xfId="13726" xr:uid="{00000000-0005-0000-0000-0000C2830000}"/>
    <cellStyle name="Percent 6 4 3 2" xfId="30085" xr:uid="{00000000-0005-0000-0000-0000C3830000}"/>
    <cellStyle name="Percent 6 5" xfId="13745" xr:uid="{00000000-0005-0000-0000-0000C4830000}"/>
    <cellStyle name="Percent 6 6" xfId="13721" xr:uid="{00000000-0005-0000-0000-0000C5830000}"/>
    <cellStyle name="Percent 6 6 2" xfId="30080" xr:uid="{00000000-0005-0000-0000-0000C6830000}"/>
    <cellStyle name="Percent 7" xfId="621" xr:uid="{00000000-0005-0000-0000-0000C7830000}"/>
    <cellStyle name="Percent 7 2" xfId="568" xr:uid="{00000000-0005-0000-0000-0000C8830000}"/>
    <cellStyle name="Percent 7 2 2" xfId="569" xr:uid="{00000000-0005-0000-0000-0000C9830000}"/>
    <cellStyle name="Percent 7 2 2 2" xfId="13898" xr:uid="{00000000-0005-0000-0000-0000CA830000}"/>
    <cellStyle name="Percent 7 2 2 3" xfId="13729" xr:uid="{00000000-0005-0000-0000-0000CB830000}"/>
    <cellStyle name="Percent 7 2 2 3 2" xfId="30088" xr:uid="{00000000-0005-0000-0000-0000CC830000}"/>
    <cellStyle name="Percent 7 2 3" xfId="5095" xr:uid="{00000000-0005-0000-0000-0000CD830000}"/>
    <cellStyle name="Percent 7 2 3 2" xfId="13897" xr:uid="{00000000-0005-0000-0000-0000CE830000}"/>
    <cellStyle name="Percent 7 2 3 3" xfId="13730" xr:uid="{00000000-0005-0000-0000-0000CF830000}"/>
    <cellStyle name="Percent 7 2 3 3 2" xfId="30089" xr:uid="{00000000-0005-0000-0000-0000D0830000}"/>
    <cellStyle name="Percent 7 2 4" xfId="13747" xr:uid="{00000000-0005-0000-0000-0000D1830000}"/>
    <cellStyle name="Percent 7 2 5" xfId="13728" xr:uid="{00000000-0005-0000-0000-0000D2830000}"/>
    <cellStyle name="Percent 7 2 5 2" xfId="30087" xr:uid="{00000000-0005-0000-0000-0000D3830000}"/>
    <cellStyle name="Percent 7 3" xfId="570" xr:uid="{00000000-0005-0000-0000-0000D4830000}"/>
    <cellStyle name="Percent 7 4" xfId="13727" xr:uid="{00000000-0005-0000-0000-0000D5830000}"/>
    <cellStyle name="Percent 7 4 2" xfId="30086" xr:uid="{00000000-0005-0000-0000-0000D6830000}"/>
    <cellStyle name="Percent 8" xfId="622" xr:uid="{00000000-0005-0000-0000-0000D7830000}"/>
    <cellStyle name="Percent 8 2" xfId="571" xr:uid="{00000000-0005-0000-0000-0000D8830000}"/>
    <cellStyle name="Percent 8 2 2" xfId="13748" xr:uid="{00000000-0005-0000-0000-0000D9830000}"/>
    <cellStyle name="Percent 8 2 3" xfId="13732" xr:uid="{00000000-0005-0000-0000-0000DA830000}"/>
    <cellStyle name="Percent 8 2 3 2" xfId="30091" xr:uid="{00000000-0005-0000-0000-0000DB830000}"/>
    <cellStyle name="Percent 8 3" xfId="572" xr:uid="{00000000-0005-0000-0000-0000DC830000}"/>
    <cellStyle name="Percent 8 4" xfId="13731" xr:uid="{00000000-0005-0000-0000-0000DD830000}"/>
    <cellStyle name="Percent 8 4 2" xfId="30090" xr:uid="{00000000-0005-0000-0000-0000DE830000}"/>
    <cellStyle name="Percent 9" xfId="619" xr:uid="{00000000-0005-0000-0000-0000DF830000}"/>
    <cellStyle name="Percent 9 2" xfId="698" xr:uid="{00000000-0005-0000-0000-0000E0830000}"/>
    <cellStyle name="Percent 9 2 2" xfId="874" xr:uid="{00000000-0005-0000-0000-0000E1830000}"/>
    <cellStyle name="Percent 9 2 3" xfId="13734" xr:uid="{00000000-0005-0000-0000-0000E2830000}"/>
    <cellStyle name="Percent 9 2 3 2" xfId="30093" xr:uid="{00000000-0005-0000-0000-0000E3830000}"/>
    <cellStyle name="Percent 9 3" xfId="660" xr:uid="{00000000-0005-0000-0000-0000E4830000}"/>
    <cellStyle name="Percent 9 3 2" xfId="875" xr:uid="{00000000-0005-0000-0000-0000E5830000}"/>
    <cellStyle name="Percent 9 3 3" xfId="13735" xr:uid="{00000000-0005-0000-0000-0000E6830000}"/>
    <cellStyle name="Percent 9 3 3 2" xfId="30094" xr:uid="{00000000-0005-0000-0000-0000E7830000}"/>
    <cellStyle name="Percent 9 4" xfId="873" xr:uid="{00000000-0005-0000-0000-0000E8830000}"/>
    <cellStyle name="Percent 9 5" xfId="13733" xr:uid="{00000000-0005-0000-0000-0000E9830000}"/>
    <cellStyle name="Percent 9 5 2" xfId="30092" xr:uid="{00000000-0005-0000-0000-0000EA830000}"/>
    <cellStyle name="Row Name - IBM Cognos" xfId="33770" xr:uid="{00000000-0005-0000-0000-0000EB830000}"/>
    <cellStyle name="Row Template - IBM Cognos" xfId="33771" xr:uid="{00000000-0005-0000-0000-0000EC830000}"/>
    <cellStyle name="Summary Column Name - IBM Cognos" xfId="33772" xr:uid="{00000000-0005-0000-0000-0000ED830000}"/>
    <cellStyle name="Summary Column Name TM1 - IBM Cognos" xfId="33773" xr:uid="{00000000-0005-0000-0000-0000EE830000}"/>
    <cellStyle name="Summary Row Name - IBM Cognos" xfId="33774" xr:uid="{00000000-0005-0000-0000-0000EF830000}"/>
    <cellStyle name="Summary Row Name TM1 - IBM Cognos" xfId="33775" xr:uid="{00000000-0005-0000-0000-0000F0830000}"/>
    <cellStyle name="Unsaved Change - IBM Cognos" xfId="33776" xr:uid="{00000000-0005-0000-0000-0000F18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n\My%20Documents\New%20Jersey%20Natural%20Gas\2007%20COSS%20and%20Rate%20Design\Testimony\11-20-07%20Testimony%20workpaper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n\My%20Documents\New%20Jersey%20Natural%20Gas\2007%20COSS%20and%20Rate%20Design\Special%20Studies\2-19-07%20meters%20workpap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COM\WNC\Fy2003\current_wn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Base Inputs"/>
      <sheetName val="Expense Inputs"/>
      <sheetName val="Sales Forecast WP"/>
      <sheetName val="Mains"/>
      <sheetName val="Services"/>
      <sheetName val="Meters"/>
      <sheetName val="Cash Working Capital (2)"/>
      <sheetName val="Writeoffs"/>
      <sheetName val="Deposits"/>
      <sheetName val="Design day"/>
      <sheetName val="Labor Analysis"/>
      <sheetName val="Functional Summary"/>
      <sheetName val="F-Factors"/>
      <sheetName val="Functionalization"/>
      <sheetName val="current_w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-16-07 meters"/>
      <sheetName val="11-19-07 revised meters"/>
      <sheetName val="Servic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_wnc"/>
      <sheetName val="update_current_wnc"/>
      <sheetName val="O&amp;M Employee and Overhead Cost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61"/>
  <sheetViews>
    <sheetView topLeftCell="A20" workbookViewId="0">
      <selection activeCell="B48" sqref="B48"/>
    </sheetView>
  </sheetViews>
  <sheetFormatPr defaultRowHeight="12.75"/>
  <cols>
    <col min="1" max="1" width="5.7109375" customWidth="1"/>
    <col min="2" max="2" width="25" customWidth="1"/>
    <col min="3" max="3" width="30.28515625" customWidth="1"/>
    <col min="4" max="4" width="6.28515625" customWidth="1"/>
    <col min="5" max="5" width="8.28515625" customWidth="1"/>
    <col min="6" max="6" width="4.7109375" customWidth="1"/>
    <col min="7" max="7" width="4.42578125" customWidth="1"/>
    <col min="8" max="8" width="17.42578125" customWidth="1"/>
    <col min="10" max="10" width="22" customWidth="1"/>
  </cols>
  <sheetData>
    <row r="1" spans="1:10" ht="15.75">
      <c r="G1" s="656" t="s">
        <v>250</v>
      </c>
      <c r="H1" s="656"/>
      <c r="J1" s="525"/>
    </row>
    <row r="2" spans="1:10" ht="15.75">
      <c r="G2" s="656" t="s">
        <v>346</v>
      </c>
      <c r="H2" s="656"/>
      <c r="J2" s="525"/>
    </row>
    <row r="3" spans="1:10" ht="15.75">
      <c r="G3" s="232"/>
      <c r="H3" s="232"/>
      <c r="J3" s="525"/>
    </row>
    <row r="4" spans="1:10" ht="16.5">
      <c r="A4" s="181"/>
      <c r="B4" s="184" t="s">
        <v>115</v>
      </c>
      <c r="C4" s="185"/>
      <c r="D4" s="186"/>
      <c r="E4" s="186"/>
      <c r="F4" s="186"/>
      <c r="G4" s="186"/>
      <c r="H4" s="187"/>
    </row>
    <row r="5" spans="1:10" ht="16.5">
      <c r="A5" s="181"/>
      <c r="B5" s="657" t="s">
        <v>207</v>
      </c>
      <c r="C5" s="657"/>
      <c r="D5" s="657"/>
      <c r="E5" s="657"/>
      <c r="F5" s="657"/>
      <c r="G5" s="657"/>
      <c r="H5" s="657"/>
    </row>
    <row r="6" spans="1:10" ht="16.5">
      <c r="A6" s="181"/>
      <c r="B6" s="188"/>
      <c r="C6" s="186"/>
      <c r="D6" s="186"/>
      <c r="E6" s="186"/>
      <c r="F6" s="186"/>
      <c r="G6" s="186"/>
      <c r="H6" s="189"/>
    </row>
    <row r="7" spans="1:10" ht="16.5">
      <c r="A7" s="181"/>
      <c r="B7" s="190" t="s">
        <v>190</v>
      </c>
      <c r="C7" s="191"/>
      <c r="D7" s="191"/>
      <c r="E7" s="191"/>
      <c r="F7" s="191"/>
      <c r="G7" s="191"/>
      <c r="H7" s="192"/>
    </row>
    <row r="8" spans="1:10" ht="16.5">
      <c r="A8" s="181"/>
      <c r="B8" s="193"/>
      <c r="C8" s="194"/>
      <c r="D8" s="195"/>
      <c r="E8" s="195"/>
      <c r="F8" s="195"/>
      <c r="G8" s="195"/>
      <c r="H8" s="187"/>
    </row>
    <row r="9" spans="1:10" ht="16.5">
      <c r="A9" s="181"/>
      <c r="B9" s="197"/>
      <c r="C9" s="182"/>
      <c r="D9" s="183"/>
      <c r="E9" s="183"/>
      <c r="F9" s="183"/>
      <c r="G9" s="183"/>
      <c r="H9" s="196"/>
      <c r="J9" s="525"/>
    </row>
    <row r="10" spans="1:10" ht="16.5">
      <c r="A10" s="181"/>
      <c r="B10" s="658" t="s">
        <v>341</v>
      </c>
      <c r="C10" s="658"/>
      <c r="D10" s="183"/>
      <c r="E10" s="183"/>
      <c r="F10" s="183"/>
      <c r="G10" s="183"/>
      <c r="H10" s="198">
        <f>(('Schedule NJNG-2 - Pages 3-9'!CZ214+SUM('Schedule NJNG-2 - Pages 3-9'!DC209:DC214))/1000)</f>
        <v>-3952.4971181972924</v>
      </c>
      <c r="J10" s="514"/>
    </row>
    <row r="11" spans="1:10" ht="16.5">
      <c r="A11" s="181"/>
      <c r="B11" s="181"/>
      <c r="C11" s="182"/>
      <c r="D11" s="183"/>
      <c r="E11" s="183"/>
      <c r="F11" s="183"/>
      <c r="G11" s="183"/>
      <c r="H11" s="198"/>
      <c r="J11" s="514"/>
    </row>
    <row r="12" spans="1:10" ht="16.5">
      <c r="A12" s="181"/>
      <c r="B12" s="658" t="s">
        <v>342</v>
      </c>
      <c r="C12" s="658"/>
      <c r="D12" s="658"/>
      <c r="E12" s="658"/>
      <c r="F12" s="658"/>
      <c r="G12" s="658"/>
      <c r="H12" s="198"/>
      <c r="J12" s="514"/>
    </row>
    <row r="13" spans="1:10" ht="16.5">
      <c r="A13" s="181"/>
      <c r="B13" s="199" t="s">
        <v>329</v>
      </c>
      <c r="C13" s="182"/>
      <c r="D13" s="183"/>
      <c r="E13" s="183"/>
      <c r="F13" s="183"/>
      <c r="G13" s="183"/>
      <c r="H13" s="200">
        <f>(SUM('Schedule NJNG-2 - Pages 3-9'!AY215:AY220))/1000</f>
        <v>0</v>
      </c>
      <c r="J13" s="47"/>
    </row>
    <row r="14" spans="1:10" ht="16.5">
      <c r="A14" s="181"/>
      <c r="B14" s="223" t="s">
        <v>4</v>
      </c>
      <c r="C14" s="182"/>
      <c r="D14" s="183"/>
      <c r="E14" s="183"/>
      <c r="F14" s="183"/>
      <c r="G14" s="183"/>
      <c r="H14" s="200">
        <f>(SUM('Schedule NJNG-2 - Pages 3-9'!BK215:BK220))/1000</f>
        <v>0</v>
      </c>
      <c r="J14" s="47"/>
    </row>
    <row r="15" spans="1:10" ht="16.5">
      <c r="A15" s="181"/>
      <c r="B15" s="199" t="s">
        <v>5</v>
      </c>
      <c r="C15" s="182"/>
      <c r="D15" s="183"/>
      <c r="E15" s="183"/>
      <c r="F15" s="183"/>
      <c r="G15" s="183"/>
      <c r="H15" s="200">
        <f>(SUM('Schedule NJNG-2 - Pages 3-9'!BW215:BW220))/1000</f>
        <v>144.05691910564457</v>
      </c>
      <c r="J15" s="47"/>
    </row>
    <row r="16" spans="1:10" ht="16.5">
      <c r="B16" s="181" t="s">
        <v>188</v>
      </c>
      <c r="C16" s="182"/>
      <c r="D16" s="183"/>
      <c r="E16" s="183"/>
      <c r="F16" s="183"/>
      <c r="G16" s="183"/>
      <c r="H16" s="200">
        <f>(SUM('Schedule NJNG-2 - Pages 3-9'!CJ215:CJ220))/1000</f>
        <v>316.92663505907831</v>
      </c>
      <c r="J16" s="47"/>
    </row>
    <row r="17" spans="1:10" ht="16.5">
      <c r="B17" s="181" t="s">
        <v>255</v>
      </c>
      <c r="C17" s="182"/>
      <c r="D17" s="183"/>
      <c r="E17" s="183"/>
      <c r="F17" s="183"/>
      <c r="G17" s="183"/>
      <c r="H17" s="200">
        <f>(SUM('Schedule NJNG-2 - Pages 3-9'!CW215:CW220))/1000</f>
        <v>7409.7607351361121</v>
      </c>
      <c r="J17" s="47"/>
    </row>
    <row r="18" spans="1:10" ht="16.5">
      <c r="A18" s="181"/>
      <c r="B18" s="199"/>
      <c r="C18" s="182"/>
      <c r="D18" s="183"/>
      <c r="E18" s="183"/>
      <c r="F18" s="183"/>
      <c r="G18" s="183"/>
      <c r="H18" s="200"/>
      <c r="J18" s="47"/>
    </row>
    <row r="19" spans="1:10" ht="16.5">
      <c r="A19" s="181"/>
      <c r="B19" s="181" t="s">
        <v>191</v>
      </c>
      <c r="C19" s="182"/>
      <c r="D19" s="183"/>
      <c r="E19" s="183"/>
      <c r="F19" s="183"/>
      <c r="G19" s="183"/>
      <c r="H19" s="200">
        <f>-(SUM('Schedule NJNG-2 - Pages 3-9'!AB215:AB220))/1000</f>
        <v>-3703.0204526006742</v>
      </c>
      <c r="J19" s="47"/>
    </row>
    <row r="20" spans="1:10" ht="16.5">
      <c r="A20" s="181"/>
      <c r="B20" s="181"/>
      <c r="C20" s="182"/>
      <c r="D20" s="183"/>
      <c r="E20" s="183"/>
      <c r="F20" s="183"/>
      <c r="G20" s="183"/>
      <c r="H20" s="201"/>
      <c r="J20" s="47"/>
    </row>
    <row r="21" spans="1:10" ht="16.5">
      <c r="A21" s="181"/>
      <c r="B21" s="181" t="s">
        <v>192</v>
      </c>
      <c r="C21" s="182"/>
      <c r="D21" s="183"/>
      <c r="E21" s="183"/>
      <c r="F21" s="183"/>
      <c r="G21" s="183"/>
      <c r="H21" s="255">
        <f>(SUM('Schedule NJNG-2 - Pages 3-9'!DC215:DC220)/1000)</f>
        <v>-40.120287543074959</v>
      </c>
      <c r="J21" s="514"/>
    </row>
    <row r="22" spans="1:10" ht="16.5">
      <c r="A22" s="181"/>
      <c r="B22" s="181"/>
      <c r="C22" s="182"/>
      <c r="D22" s="183"/>
      <c r="E22" s="183"/>
      <c r="F22" s="183"/>
      <c r="G22" s="183"/>
      <c r="H22" s="201"/>
      <c r="J22" s="47"/>
    </row>
    <row r="23" spans="1:10" ht="16.5">
      <c r="A23" s="181"/>
      <c r="B23" s="658" t="s">
        <v>343</v>
      </c>
      <c r="C23" s="658"/>
      <c r="D23" s="658"/>
      <c r="E23" s="658"/>
      <c r="F23" s="658"/>
      <c r="G23" s="183"/>
      <c r="H23" s="198">
        <f>SUM(H10:H22)</f>
        <v>175.10643095979364</v>
      </c>
      <c r="J23" s="514"/>
    </row>
    <row r="24" spans="1:10" ht="16.5">
      <c r="A24" s="181"/>
      <c r="B24" s="181"/>
      <c r="C24" s="182"/>
      <c r="D24" s="183"/>
      <c r="E24" s="183"/>
      <c r="F24" s="183"/>
      <c r="G24" s="183"/>
      <c r="H24" s="200"/>
      <c r="J24" s="47"/>
    </row>
    <row r="25" spans="1:10" ht="16.5">
      <c r="A25" s="181"/>
      <c r="B25" s="655" t="s">
        <v>345</v>
      </c>
      <c r="C25" s="655"/>
      <c r="D25" s="655"/>
      <c r="E25" s="655"/>
      <c r="F25" s="483"/>
      <c r="G25" s="483"/>
      <c r="H25" s="484"/>
      <c r="J25" s="47"/>
    </row>
    <row r="26" spans="1:10" ht="16.5">
      <c r="A26" s="181"/>
      <c r="B26" s="485" t="s">
        <v>329</v>
      </c>
      <c r="C26" s="486"/>
      <c r="D26" s="483"/>
      <c r="E26" s="483"/>
      <c r="F26" s="483"/>
      <c r="G26" s="483"/>
      <c r="H26" s="487">
        <f>(SUM('Schedule NJNG-2 - Pages 3-9'!AY$224:AY$235))/1000</f>
        <v>0</v>
      </c>
      <c r="J26" s="514"/>
    </row>
    <row r="27" spans="1:10" ht="16.5">
      <c r="A27" s="181"/>
      <c r="B27" s="485" t="s">
        <v>4</v>
      </c>
      <c r="C27" s="486"/>
      <c r="D27" s="483"/>
      <c r="E27" s="483"/>
      <c r="F27" s="483"/>
      <c r="G27" s="483"/>
      <c r="H27" s="487">
        <f>(SUM('Schedule NJNG-2 - Pages 3-9'!BK$224:BK$235))/1000</f>
        <v>0</v>
      </c>
      <c r="J27" s="514"/>
    </row>
    <row r="28" spans="1:10" ht="16.5">
      <c r="A28" s="181"/>
      <c r="B28" s="485" t="s">
        <v>5</v>
      </c>
      <c r="C28" s="486"/>
      <c r="D28" s="483"/>
      <c r="E28" s="483"/>
      <c r="F28" s="483"/>
      <c r="G28" s="483"/>
      <c r="H28" s="487">
        <f>(SUM('Schedule NJNG-2 - Pages 3-9'!BW$224:BW$235))/1000</f>
        <v>62.793585395893409</v>
      </c>
      <c r="J28" s="514"/>
    </row>
    <row r="29" spans="1:10" ht="16.5">
      <c r="A29" s="181"/>
      <c r="B29" s="488" t="s">
        <v>188</v>
      </c>
      <c r="C29" s="486"/>
      <c r="D29" s="483"/>
      <c r="E29" s="483"/>
      <c r="F29" s="483"/>
      <c r="G29" s="483"/>
      <c r="H29" s="487">
        <f>(SUM('Schedule NJNG-2 - Pages 3-9'!CJ$224:CJ$235))/1000</f>
        <v>310.82124835120021</v>
      </c>
      <c r="J29" s="514"/>
    </row>
    <row r="30" spans="1:10" ht="16.5">
      <c r="A30" s="181"/>
      <c r="B30" s="488" t="s">
        <v>255</v>
      </c>
      <c r="C30" s="486"/>
      <c r="D30" s="483"/>
      <c r="E30" s="483"/>
      <c r="F30" s="483"/>
      <c r="G30" s="483"/>
      <c r="H30" s="487">
        <f>(SUM('Schedule NJNG-2 - Pages 3-9'!CW$224:CW$235))/1000</f>
        <v>16676.856117101521</v>
      </c>
      <c r="J30" s="514"/>
    </row>
    <row r="31" spans="1:10" ht="16.5">
      <c r="A31" s="181"/>
      <c r="B31" s="489"/>
      <c r="C31" s="486"/>
      <c r="D31" s="483"/>
      <c r="E31" s="483"/>
      <c r="F31" s="483"/>
      <c r="G31" s="483"/>
      <c r="H31" s="490"/>
    </row>
    <row r="32" spans="1:10" ht="17.25" thickBot="1">
      <c r="A32" s="181"/>
      <c r="B32" s="655" t="s">
        <v>193</v>
      </c>
      <c r="C32" s="655"/>
      <c r="D32" s="483"/>
      <c r="E32" s="483"/>
      <c r="F32" s="483"/>
      <c r="G32" s="483"/>
      <c r="H32" s="491">
        <f>SUM(H23:H30)</f>
        <v>17225.577381808409</v>
      </c>
      <c r="J32" s="514"/>
    </row>
    <row r="33" spans="1:13" ht="17.25" thickTop="1">
      <c r="A33" s="181"/>
      <c r="B33" s="492"/>
      <c r="C33" s="486"/>
      <c r="D33" s="483"/>
      <c r="E33" s="483"/>
      <c r="F33" s="483"/>
      <c r="G33" s="483"/>
      <c r="H33" s="493"/>
      <c r="J33" s="526"/>
    </row>
    <row r="34" spans="1:13" ht="16.5">
      <c r="A34" s="181"/>
      <c r="B34" s="492" t="s">
        <v>194</v>
      </c>
      <c r="C34" s="486"/>
      <c r="D34" s="483"/>
      <c r="E34" s="483"/>
      <c r="F34" s="483"/>
      <c r="G34" s="483"/>
      <c r="H34" s="488"/>
    </row>
    <row r="35" spans="1:13" ht="16.5">
      <c r="A35" s="181"/>
      <c r="B35" s="655" t="s">
        <v>195</v>
      </c>
      <c r="C35" s="655"/>
      <c r="D35" s="483"/>
      <c r="E35" s="483"/>
      <c r="F35" s="483"/>
      <c r="G35" s="483"/>
      <c r="H35" s="573">
        <f>'Schedule NJNG-3 - Page 3'!O185/1000</f>
        <v>739253.71961863991</v>
      </c>
      <c r="J35" s="47"/>
    </row>
    <row r="36" spans="1:13" ht="16.5">
      <c r="A36" s="181"/>
      <c r="B36" s="488"/>
      <c r="C36" s="486"/>
      <c r="D36" s="483"/>
      <c r="E36" s="483"/>
      <c r="F36" s="483"/>
      <c r="G36" s="483"/>
      <c r="H36" s="488"/>
      <c r="J36" s="527"/>
      <c r="K36" s="245"/>
      <c r="L36" s="245"/>
      <c r="M36" s="245"/>
    </row>
    <row r="37" spans="1:13" ht="16.5">
      <c r="A37" s="181"/>
      <c r="B37" s="655" t="s">
        <v>196</v>
      </c>
      <c r="C37" s="655"/>
      <c r="D37" s="655"/>
      <c r="E37" s="483"/>
      <c r="F37" s="483"/>
      <c r="G37" s="483"/>
      <c r="H37" s="494">
        <f>ROUND(H32/H35,4)</f>
        <v>2.3300000000000001E-2</v>
      </c>
      <c r="J37" s="202"/>
      <c r="K37" s="245"/>
      <c r="L37" s="245"/>
      <c r="M37" s="245"/>
    </row>
    <row r="38" spans="1:13" ht="16.5">
      <c r="A38" s="181"/>
      <c r="B38" s="654" t="s">
        <v>197</v>
      </c>
      <c r="C38" s="654"/>
      <c r="D38" s="654"/>
      <c r="E38" s="495"/>
      <c r="F38" s="495"/>
      <c r="G38" s="495"/>
      <c r="H38" s="494">
        <f>ROUND((H32/H35)*1.06625,4)</f>
        <v>2.4799999999999999E-2</v>
      </c>
      <c r="J38" s="203"/>
      <c r="K38" s="245"/>
      <c r="L38" s="245"/>
      <c r="M38" s="245"/>
    </row>
    <row r="39" spans="1:13" ht="16.5">
      <c r="A39" s="181"/>
      <c r="B39" s="488"/>
      <c r="C39" s="486"/>
      <c r="D39" s="483"/>
      <c r="E39" s="483"/>
      <c r="F39" s="483"/>
      <c r="G39" s="483"/>
      <c r="H39" s="488"/>
      <c r="J39" s="273"/>
      <c r="K39" s="245"/>
      <c r="L39" s="245"/>
      <c r="M39" s="245"/>
    </row>
    <row r="40" spans="1:13" ht="16.5">
      <c r="A40" s="181"/>
      <c r="B40" s="655" t="s">
        <v>198</v>
      </c>
      <c r="C40" s="655"/>
      <c r="D40" s="488"/>
      <c r="E40" s="497"/>
      <c r="F40" s="498"/>
      <c r="G40" s="498"/>
      <c r="H40" s="494">
        <v>2.2700000000000001E-2</v>
      </c>
      <c r="J40" s="311"/>
      <c r="K40" s="245"/>
      <c r="L40" s="245"/>
      <c r="M40" s="245"/>
    </row>
    <row r="41" spans="1:13" ht="16.5">
      <c r="A41" s="181"/>
      <c r="B41" s="654" t="s">
        <v>199</v>
      </c>
      <c r="C41" s="654"/>
      <c r="D41" s="499"/>
      <c r="E41" s="497"/>
      <c r="F41" s="500"/>
      <c r="G41" s="500"/>
      <c r="H41" s="496">
        <f>ROUND((+H40*1.06625),4)</f>
        <v>2.4199999999999999E-2</v>
      </c>
      <c r="J41" s="312"/>
      <c r="K41" s="245"/>
      <c r="L41" s="245"/>
      <c r="M41" s="245"/>
    </row>
    <row r="42" spans="1:13" ht="16.5">
      <c r="A42" s="181"/>
      <c r="B42" s="488"/>
      <c r="C42" s="488"/>
      <c r="D42" s="488"/>
      <c r="E42" s="497"/>
      <c r="F42" s="498"/>
      <c r="G42" s="498"/>
      <c r="H42" s="486"/>
      <c r="J42" s="183"/>
      <c r="K42" s="245"/>
      <c r="L42" s="245"/>
      <c r="M42" s="245"/>
    </row>
    <row r="43" spans="1:13" ht="16.5">
      <c r="A43" s="181"/>
      <c r="B43" s="655" t="s">
        <v>200</v>
      </c>
      <c r="C43" s="655"/>
      <c r="D43" s="655"/>
      <c r="E43" s="655"/>
      <c r="F43" s="498"/>
      <c r="G43" s="498"/>
      <c r="H43" s="494">
        <f>H37-H40</f>
        <v>5.9999999999999984E-4</v>
      </c>
      <c r="J43" s="311"/>
      <c r="K43" s="245"/>
      <c r="L43" s="245"/>
      <c r="M43" s="245"/>
    </row>
    <row r="44" spans="1:13" ht="16.5">
      <c r="A44" s="181"/>
      <c r="B44" s="654" t="s">
        <v>201</v>
      </c>
      <c r="C44" s="654"/>
      <c r="D44" s="654"/>
      <c r="E44" s="654"/>
      <c r="F44" s="500"/>
      <c r="G44" s="500"/>
      <c r="H44" s="496">
        <f>(H38-H41)</f>
        <v>5.9999999999999984E-4</v>
      </c>
      <c r="J44" s="312"/>
      <c r="K44" s="245"/>
      <c r="L44" s="245"/>
      <c r="M44" s="245"/>
    </row>
    <row r="45" spans="1:13" ht="16.5">
      <c r="A45" s="181"/>
      <c r="B45" s="488"/>
      <c r="C45" s="488"/>
      <c r="D45" s="488"/>
      <c r="E45" s="488"/>
      <c r="F45" s="488"/>
      <c r="G45" s="488"/>
      <c r="H45" s="488"/>
      <c r="J45" s="245"/>
      <c r="K45" s="245"/>
      <c r="L45" s="245"/>
      <c r="M45" s="245"/>
    </row>
    <row r="46" spans="1:13" ht="16.5">
      <c r="A46" s="181"/>
      <c r="B46" s="501"/>
      <c r="C46" s="488"/>
      <c r="D46" s="488"/>
      <c r="E46" s="488"/>
      <c r="F46" s="488"/>
      <c r="G46" s="488"/>
      <c r="H46" s="502"/>
      <c r="J46" s="514"/>
    </row>
    <row r="47" spans="1:13" ht="16.5">
      <c r="A47" s="181"/>
      <c r="B47" s="488"/>
      <c r="C47" s="488"/>
      <c r="D47" s="488"/>
      <c r="E47" s="488"/>
      <c r="F47" s="488"/>
      <c r="G47" s="488"/>
      <c r="H47" s="502"/>
      <c r="I47" s="204"/>
      <c r="J47" s="514"/>
    </row>
    <row r="48" spans="1:13">
      <c r="B48" s="48"/>
      <c r="C48" s="48"/>
      <c r="D48" s="48"/>
      <c r="E48" s="48"/>
      <c r="F48" s="48"/>
      <c r="G48" s="48"/>
      <c r="H48" s="48"/>
    </row>
    <row r="49" spans="2:8">
      <c r="B49" s="48"/>
      <c r="C49" s="48"/>
      <c r="D49" s="48"/>
      <c r="E49" s="48"/>
      <c r="F49" s="48"/>
      <c r="G49" s="48"/>
      <c r="H49" s="48"/>
    </row>
    <row r="50" spans="2:8">
      <c r="B50" s="48"/>
      <c r="C50" s="48"/>
      <c r="D50" s="48"/>
      <c r="E50" s="48"/>
      <c r="F50" s="48"/>
      <c r="G50" s="48"/>
      <c r="H50" s="48"/>
    </row>
    <row r="51" spans="2:8">
      <c r="B51" s="48"/>
      <c r="C51" s="48"/>
      <c r="D51" s="48"/>
      <c r="E51" s="48"/>
      <c r="F51" s="48"/>
      <c r="G51" s="48"/>
      <c r="H51" s="48"/>
    </row>
    <row r="52" spans="2:8">
      <c r="B52" s="48"/>
      <c r="C52" s="48"/>
      <c r="D52" s="48"/>
      <c r="E52" s="48"/>
      <c r="F52" s="48"/>
      <c r="G52" s="48"/>
      <c r="H52" s="48"/>
    </row>
    <row r="53" spans="2:8">
      <c r="B53" s="48"/>
      <c r="C53" s="48"/>
      <c r="D53" s="48"/>
      <c r="E53" s="48"/>
      <c r="F53" s="48"/>
      <c r="G53" s="48"/>
      <c r="H53" s="48"/>
    </row>
    <row r="54" spans="2:8">
      <c r="B54" s="48"/>
      <c r="C54" s="48"/>
      <c r="D54" s="48"/>
      <c r="E54" s="48"/>
      <c r="F54" s="48"/>
      <c r="G54" s="48"/>
      <c r="H54" s="48"/>
    </row>
    <row r="55" spans="2:8">
      <c r="B55" s="48"/>
      <c r="C55" s="48"/>
      <c r="D55" s="48"/>
      <c r="E55" s="48"/>
      <c r="F55" s="48"/>
      <c r="G55" s="48"/>
      <c r="H55" s="48"/>
    </row>
    <row r="56" spans="2:8">
      <c r="B56" s="48"/>
      <c r="C56" s="48"/>
      <c r="D56" s="48"/>
      <c r="E56" s="48"/>
      <c r="F56" s="48"/>
      <c r="G56" s="48"/>
      <c r="H56" s="48"/>
    </row>
    <row r="57" spans="2:8">
      <c r="B57" s="48"/>
      <c r="C57" s="48"/>
      <c r="D57" s="48"/>
      <c r="E57" s="48"/>
      <c r="F57" s="48"/>
      <c r="G57" s="48"/>
      <c r="H57" s="48"/>
    </row>
    <row r="58" spans="2:8">
      <c r="B58" s="48"/>
      <c r="C58" s="48"/>
      <c r="D58" s="48"/>
      <c r="E58" s="48"/>
      <c r="F58" s="48"/>
      <c r="G58" s="48"/>
      <c r="H58" s="48"/>
    </row>
    <row r="59" spans="2:8">
      <c r="B59" s="48"/>
      <c r="C59" s="48"/>
      <c r="D59" s="48"/>
      <c r="E59" s="48"/>
      <c r="F59" s="48"/>
      <c r="G59" s="48"/>
      <c r="H59" s="48"/>
    </row>
    <row r="60" spans="2:8">
      <c r="B60" s="48"/>
      <c r="C60" s="48"/>
      <c r="D60" s="48"/>
      <c r="E60" s="48"/>
      <c r="F60" s="48"/>
      <c r="G60" s="48"/>
      <c r="H60" s="48"/>
    </row>
    <row r="61" spans="2:8">
      <c r="B61" s="48"/>
      <c r="C61" s="48"/>
      <c r="D61" s="48"/>
      <c r="E61" s="48"/>
      <c r="F61" s="48"/>
      <c r="G61" s="48"/>
      <c r="H61" s="48"/>
    </row>
  </sheetData>
  <mergeCells count="15">
    <mergeCell ref="G1:H1"/>
    <mergeCell ref="G2:H2"/>
    <mergeCell ref="B25:E25"/>
    <mergeCell ref="B5:H5"/>
    <mergeCell ref="B10:C10"/>
    <mergeCell ref="B12:G12"/>
    <mergeCell ref="B23:F23"/>
    <mergeCell ref="B41:C41"/>
    <mergeCell ref="B43:E43"/>
    <mergeCell ref="B44:E44"/>
    <mergeCell ref="B32:C32"/>
    <mergeCell ref="B35:C35"/>
    <mergeCell ref="B37:D37"/>
    <mergeCell ref="B38:D38"/>
    <mergeCell ref="B40:C40"/>
  </mergeCells>
  <pageMargins left="0.45" right="0.2" top="0.5" bottom="0.2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1" tint="0.499984740745262"/>
    <pageSetUpPr fitToPage="1"/>
  </sheetPr>
  <dimension ref="A1:BL94"/>
  <sheetViews>
    <sheetView topLeftCell="A58" zoomScaleNormal="100" workbookViewId="0">
      <selection activeCell="A56" sqref="A56"/>
    </sheetView>
  </sheetViews>
  <sheetFormatPr defaultColWidth="9.140625" defaultRowHeight="12.75" outlineLevelRow="1" outlineLevelCol="1"/>
  <cols>
    <col min="1" max="3" width="9.140625" style="1"/>
    <col min="4" max="5" width="10.28515625" style="1" customWidth="1"/>
    <col min="6" max="6" width="2.140625" style="1" customWidth="1"/>
    <col min="7" max="7" width="10.85546875" style="1" customWidth="1"/>
    <col min="8" max="8" width="2.42578125" style="1" customWidth="1"/>
    <col min="9" max="9" width="10.28515625" style="1" customWidth="1"/>
    <col min="10" max="10" width="2.140625" style="1" customWidth="1"/>
    <col min="11" max="11" width="11.28515625" style="1" bestFit="1" customWidth="1"/>
    <col min="12" max="12" width="11.85546875" style="1" customWidth="1"/>
    <col min="13" max="13" width="3.7109375" style="1" customWidth="1"/>
    <col min="14" max="15" width="9.140625" style="1" customWidth="1"/>
    <col min="16" max="16" width="10.28515625" style="1" bestFit="1" customWidth="1"/>
    <col min="17" max="27" width="9.140625" style="1" customWidth="1"/>
    <col min="28" max="30" width="10.28515625" style="1" customWidth="1"/>
    <col min="31" max="32" width="9.140625" style="1" customWidth="1"/>
    <col min="33" max="33" width="11.28515625" style="1" bestFit="1" customWidth="1"/>
    <col min="34" max="34" width="14.140625" style="1" customWidth="1"/>
    <col min="35" max="35" width="12.85546875" style="1" customWidth="1"/>
    <col min="36" max="36" width="14.140625" style="1" customWidth="1"/>
    <col min="37" max="39" width="9.140625" style="1" hidden="1" customWidth="1" outlineLevel="1"/>
    <col min="40" max="40" width="10.28515625" style="1" hidden="1" customWidth="1" outlineLevel="1"/>
    <col min="41" max="51" width="9.140625" style="1" hidden="1" customWidth="1" outlineLevel="1"/>
    <col min="52" max="53" width="10.28515625" style="1" hidden="1" customWidth="1" outlineLevel="1"/>
    <col min="54" max="54" width="11" style="1" hidden="1" customWidth="1" outlineLevel="1"/>
    <col min="55" max="56" width="9.140625" style="1" hidden="1" customWidth="1" outlineLevel="1"/>
    <col min="57" max="57" width="11.85546875" style="1" hidden="1" customWidth="1" outlineLevel="1"/>
    <col min="58" max="58" width="3.85546875" style="1" customWidth="1" collapsed="1"/>
    <col min="59" max="60" width="11.28515625" style="1" bestFit="1" customWidth="1"/>
    <col min="61" max="61" width="10.28515625" style="1" bestFit="1" customWidth="1"/>
    <col min="62" max="62" width="9.28515625" style="1" bestFit="1" customWidth="1"/>
    <col min="63" max="63" width="12.85546875" style="1" bestFit="1" customWidth="1"/>
    <col min="64" max="16384" width="9.140625" style="1"/>
  </cols>
  <sheetData>
    <row r="1" spans="1:64">
      <c r="D1" s="681" t="s">
        <v>77</v>
      </c>
      <c r="E1" s="681"/>
      <c r="F1" s="681"/>
      <c r="G1" s="681"/>
      <c r="H1" s="681"/>
      <c r="I1" s="681"/>
      <c r="J1" s="681"/>
      <c r="K1" s="681"/>
      <c r="L1" s="11"/>
      <c r="N1" s="681" t="s">
        <v>209</v>
      </c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11"/>
      <c r="AI1" s="11"/>
      <c r="AJ1" s="11"/>
      <c r="AL1" s="681" t="s">
        <v>208</v>
      </c>
      <c r="AM1" s="681"/>
      <c r="AN1" s="681"/>
      <c r="AO1" s="681"/>
      <c r="AP1" s="681"/>
      <c r="AQ1" s="681"/>
      <c r="AR1" s="681"/>
      <c r="AS1" s="681"/>
      <c r="AT1" s="681"/>
      <c r="AU1" s="681"/>
      <c r="AV1" s="681"/>
      <c r="AW1" s="681"/>
      <c r="AX1" s="681"/>
      <c r="AY1" s="681"/>
      <c r="AZ1" s="681"/>
      <c r="BA1" s="681"/>
      <c r="BB1" s="681"/>
      <c r="BC1" s="681"/>
      <c r="BD1" s="681"/>
      <c r="BE1" s="681"/>
    </row>
    <row r="2" spans="1:64" ht="51">
      <c r="A2" s="49"/>
      <c r="B2" s="49"/>
      <c r="C2" s="10" t="s">
        <v>16</v>
      </c>
      <c r="D2" s="50" t="s">
        <v>223</v>
      </c>
      <c r="E2" s="50" t="s">
        <v>215</v>
      </c>
      <c r="F2" s="50"/>
      <c r="G2" s="52" t="s">
        <v>83</v>
      </c>
      <c r="H2" s="51"/>
      <c r="I2" s="227" t="s">
        <v>229</v>
      </c>
      <c r="J2" s="52"/>
      <c r="K2" s="52" t="s">
        <v>69</v>
      </c>
      <c r="L2" s="52" t="s">
        <v>86</v>
      </c>
      <c r="M2" s="49"/>
      <c r="N2" s="63">
        <v>40909</v>
      </c>
      <c r="O2" s="63">
        <f t="shared" ref="O2:AA2" si="0">+N2+31</f>
        <v>40940</v>
      </c>
      <c r="P2" s="63">
        <f t="shared" si="0"/>
        <v>40971</v>
      </c>
      <c r="Q2" s="63">
        <f t="shared" si="0"/>
        <v>41002</v>
      </c>
      <c r="R2" s="63">
        <f t="shared" si="0"/>
        <v>41033</v>
      </c>
      <c r="S2" s="63">
        <f t="shared" si="0"/>
        <v>41064</v>
      </c>
      <c r="T2" s="63">
        <f t="shared" si="0"/>
        <v>41095</v>
      </c>
      <c r="U2" s="63">
        <f t="shared" si="0"/>
        <v>41126</v>
      </c>
      <c r="V2" s="63">
        <f t="shared" si="0"/>
        <v>41157</v>
      </c>
      <c r="W2" s="63">
        <f t="shared" si="0"/>
        <v>41188</v>
      </c>
      <c r="X2" s="63">
        <f t="shared" si="0"/>
        <v>41219</v>
      </c>
      <c r="Y2" s="63">
        <f t="shared" si="0"/>
        <v>41250</v>
      </c>
      <c r="Z2" s="63">
        <f t="shared" si="0"/>
        <v>41281</v>
      </c>
      <c r="AA2" s="63">
        <f t="shared" si="0"/>
        <v>41312</v>
      </c>
      <c r="AB2" s="63">
        <f>+AA2+31</f>
        <v>41343</v>
      </c>
      <c r="AC2" s="63">
        <f>+AB2+31</f>
        <v>41374</v>
      </c>
      <c r="AD2" s="63">
        <f>+AC2+31</f>
        <v>41405</v>
      </c>
      <c r="AE2" s="63">
        <f>+AD2+31</f>
        <v>41436</v>
      </c>
      <c r="AF2" s="63">
        <f>+AE2+31</f>
        <v>41467</v>
      </c>
      <c r="AG2" s="49" t="s">
        <v>69</v>
      </c>
      <c r="AH2" s="49" t="s">
        <v>87</v>
      </c>
      <c r="AI2" s="49" t="s">
        <v>32</v>
      </c>
      <c r="AJ2" s="49" t="s">
        <v>88</v>
      </c>
      <c r="AK2" s="49"/>
      <c r="AL2" s="63">
        <v>40909</v>
      </c>
      <c r="AM2" s="63">
        <f t="shared" ref="AM2:BD2" si="1">+AL2+31</f>
        <v>40940</v>
      </c>
      <c r="AN2" s="63">
        <f t="shared" si="1"/>
        <v>40971</v>
      </c>
      <c r="AO2" s="63">
        <f t="shared" si="1"/>
        <v>41002</v>
      </c>
      <c r="AP2" s="63">
        <f t="shared" si="1"/>
        <v>41033</v>
      </c>
      <c r="AQ2" s="63">
        <f t="shared" si="1"/>
        <v>41064</v>
      </c>
      <c r="AR2" s="63">
        <f t="shared" si="1"/>
        <v>41095</v>
      </c>
      <c r="AS2" s="63">
        <f t="shared" si="1"/>
        <v>41126</v>
      </c>
      <c r="AT2" s="63">
        <f t="shared" si="1"/>
        <v>41157</v>
      </c>
      <c r="AU2" s="63">
        <f t="shared" si="1"/>
        <v>41188</v>
      </c>
      <c r="AV2" s="63">
        <f t="shared" si="1"/>
        <v>41219</v>
      </c>
      <c r="AW2" s="63">
        <f t="shared" si="1"/>
        <v>41250</v>
      </c>
      <c r="AX2" s="63">
        <f t="shared" si="1"/>
        <v>41281</v>
      </c>
      <c r="AY2" s="63">
        <f t="shared" si="1"/>
        <v>41312</v>
      </c>
      <c r="AZ2" s="63">
        <f t="shared" si="1"/>
        <v>41343</v>
      </c>
      <c r="BA2" s="63">
        <f t="shared" si="1"/>
        <v>41374</v>
      </c>
      <c r="BB2" s="63">
        <f t="shared" si="1"/>
        <v>41405</v>
      </c>
      <c r="BC2" s="63">
        <f t="shared" si="1"/>
        <v>41436</v>
      </c>
      <c r="BD2" s="63">
        <f t="shared" si="1"/>
        <v>41467</v>
      </c>
      <c r="BE2" s="49" t="s">
        <v>69</v>
      </c>
      <c r="BF2" s="49"/>
      <c r="BG2" s="64" t="s">
        <v>89</v>
      </c>
      <c r="BH2" s="64" t="s">
        <v>90</v>
      </c>
      <c r="BI2" s="64" t="s">
        <v>91</v>
      </c>
      <c r="BJ2" s="64" t="s">
        <v>92</v>
      </c>
      <c r="BK2" s="64" t="s">
        <v>12</v>
      </c>
      <c r="BL2" s="49"/>
    </row>
    <row r="3" spans="1:64" ht="15.75">
      <c r="A3" s="24" t="s">
        <v>27</v>
      </c>
      <c r="B3" s="26"/>
      <c r="C3" s="24" t="s">
        <v>28</v>
      </c>
      <c r="D3" s="53" t="s">
        <v>67</v>
      </c>
      <c r="E3" s="53" t="s">
        <v>67</v>
      </c>
      <c r="F3" s="53"/>
      <c r="G3" s="12"/>
      <c r="H3" s="12"/>
      <c r="I3" s="53" t="s">
        <v>67</v>
      </c>
      <c r="J3" s="12"/>
      <c r="K3" s="12"/>
      <c r="L3" s="12"/>
    </row>
    <row r="4" spans="1:64">
      <c r="A4" s="10"/>
      <c r="B4" s="10"/>
      <c r="C4" s="10"/>
      <c r="D4" s="57"/>
      <c r="E4" s="55"/>
      <c r="F4" s="65"/>
      <c r="G4" s="56"/>
      <c r="H4" s="56"/>
      <c r="I4" s="57"/>
      <c r="J4" s="56"/>
      <c r="K4" s="16"/>
      <c r="L4" s="23"/>
    </row>
    <row r="5" spans="1:64" outlineLevel="1">
      <c r="A5" s="10" t="s">
        <v>53</v>
      </c>
      <c r="B5" s="10">
        <v>2012</v>
      </c>
      <c r="C5" s="91" t="s">
        <v>47</v>
      </c>
      <c r="D5" s="57">
        <v>0</v>
      </c>
      <c r="E5" s="57">
        <v>0</v>
      </c>
      <c r="F5" s="57"/>
      <c r="G5" s="56">
        <f t="shared" ref="G5:G54" si="2">SUM(D5:F5)</f>
        <v>0</v>
      </c>
      <c r="H5" s="56"/>
      <c r="I5" s="57">
        <v>0</v>
      </c>
      <c r="J5" s="56"/>
      <c r="K5" s="16">
        <f t="shared" ref="K5:K36" si="3">SUM(G5:I5)</f>
        <v>0</v>
      </c>
      <c r="L5" s="16">
        <f>SUM(K$5:K5)</f>
        <v>0</v>
      </c>
      <c r="N5" s="16">
        <f>+$K5/60</f>
        <v>0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L5" s="16">
        <f>+$K5/12</f>
        <v>0</v>
      </c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>
        <f t="shared" ref="BE5:BE16" si="4">SUM(AL5:AW5)</f>
        <v>0</v>
      </c>
      <c r="BG5" s="21">
        <f>+BE5</f>
        <v>0</v>
      </c>
      <c r="BH5" s="21">
        <f t="shared" ref="BH5:BH36" si="5">+AG5</f>
        <v>0</v>
      </c>
      <c r="BI5" s="16">
        <f>+BH5-BG5</f>
        <v>0</v>
      </c>
      <c r="BJ5" s="16">
        <f>+BI5*'Capital Structure '!$E$30</f>
        <v>0</v>
      </c>
      <c r="BK5" s="16">
        <f>SUM(BJ$5:BJ5)</f>
        <v>0</v>
      </c>
    </row>
    <row r="6" spans="1:64" outlineLevel="1">
      <c r="A6" s="19" t="s">
        <v>54</v>
      </c>
      <c r="B6" s="19">
        <f>+B5</f>
        <v>2012</v>
      </c>
      <c r="C6" s="91" t="s">
        <v>47</v>
      </c>
      <c r="D6" s="57"/>
      <c r="E6" s="57">
        <v>9000</v>
      </c>
      <c r="F6" s="65"/>
      <c r="G6" s="56">
        <f t="shared" si="2"/>
        <v>9000</v>
      </c>
      <c r="H6" s="56"/>
      <c r="I6" s="57">
        <v>0</v>
      </c>
      <c r="J6" s="56"/>
      <c r="K6" s="17">
        <f t="shared" si="3"/>
        <v>9000</v>
      </c>
      <c r="L6" s="17">
        <f>SUM(K$5:K6)</f>
        <v>9000</v>
      </c>
      <c r="M6" s="6"/>
      <c r="N6" s="17">
        <f t="shared" ref="N6:Q9" si="6">+N5</f>
        <v>0</v>
      </c>
      <c r="O6" s="17">
        <f>+$K6/60</f>
        <v>150</v>
      </c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6">
        <f t="shared" ref="AG6:AG16" si="7">SUM(N6:Y6)</f>
        <v>150</v>
      </c>
      <c r="AH6" s="17">
        <f>SUM(AG$5:AG6)</f>
        <v>150</v>
      </c>
      <c r="AI6" s="17">
        <f t="shared" ref="AI6:AI37" si="8">+L6-AH6</f>
        <v>8850</v>
      </c>
      <c r="AJ6" s="17">
        <f t="shared" ref="AJ6:AJ37" si="9">+L6-AH5</f>
        <v>9000</v>
      </c>
      <c r="AK6" s="6"/>
      <c r="AL6" s="17">
        <f t="shared" ref="AL6:AO9" si="10">+AL5</f>
        <v>0</v>
      </c>
      <c r="AM6" s="17">
        <f>+$K6/12</f>
        <v>750</v>
      </c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6">
        <f t="shared" si="4"/>
        <v>750</v>
      </c>
      <c r="BF6" s="6"/>
      <c r="BG6" s="34">
        <f t="shared" ref="BG6:BG54" si="11">+BE6</f>
        <v>750</v>
      </c>
      <c r="BH6" s="34">
        <f t="shared" si="5"/>
        <v>150</v>
      </c>
      <c r="BI6" s="17">
        <f t="shared" ref="BI6:BI54" si="12">+BH6-BG6</f>
        <v>-600</v>
      </c>
      <c r="BJ6" s="16">
        <f>+BI6*'Capital Structure '!$E$30</f>
        <v>-245.1</v>
      </c>
      <c r="BK6" s="17">
        <f>SUM(BJ$5:BJ6)</f>
        <v>-245.1</v>
      </c>
      <c r="BL6" s="6"/>
    </row>
    <row r="7" spans="1:64" outlineLevel="1">
      <c r="A7" s="10" t="s">
        <v>55</v>
      </c>
      <c r="B7" s="10">
        <f>+B6</f>
        <v>2012</v>
      </c>
      <c r="C7" s="91" t="s">
        <v>47</v>
      </c>
      <c r="D7" s="57">
        <v>2000</v>
      </c>
      <c r="E7" s="57">
        <v>129000</v>
      </c>
      <c r="F7" s="65"/>
      <c r="G7" s="56">
        <f t="shared" si="2"/>
        <v>131000</v>
      </c>
      <c r="H7" s="56"/>
      <c r="I7" s="57">
        <v>910800</v>
      </c>
      <c r="J7" s="56"/>
      <c r="K7" s="16">
        <f t="shared" si="3"/>
        <v>1041800</v>
      </c>
      <c r="L7" s="16">
        <f>SUM(K$5:K7)</f>
        <v>1050800</v>
      </c>
      <c r="N7" s="16">
        <f t="shared" si="6"/>
        <v>0</v>
      </c>
      <c r="O7" s="16">
        <f t="shared" si="6"/>
        <v>150</v>
      </c>
      <c r="P7" s="16">
        <f>+$K7/60</f>
        <v>17363.333333333332</v>
      </c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>
        <f t="shared" si="7"/>
        <v>17513.333333333332</v>
      </c>
      <c r="AH7" s="16">
        <f>SUM(AG$5:AG7)</f>
        <v>17663.333333333332</v>
      </c>
      <c r="AI7" s="16">
        <f t="shared" si="8"/>
        <v>1033136.6666666666</v>
      </c>
      <c r="AJ7" s="16">
        <f t="shared" si="9"/>
        <v>1050650</v>
      </c>
      <c r="AL7" s="16">
        <f t="shared" si="10"/>
        <v>0</v>
      </c>
      <c r="AM7" s="16">
        <f t="shared" si="10"/>
        <v>750</v>
      </c>
      <c r="AN7" s="16">
        <f>+$K7/12</f>
        <v>86816.666666666672</v>
      </c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>
        <f t="shared" si="4"/>
        <v>87566.666666666672</v>
      </c>
      <c r="BG7" s="21">
        <f t="shared" si="11"/>
        <v>87566.666666666672</v>
      </c>
      <c r="BH7" s="21">
        <f t="shared" si="5"/>
        <v>17513.333333333332</v>
      </c>
      <c r="BI7" s="16">
        <f>+BH7-BG7</f>
        <v>-70053.333333333343</v>
      </c>
      <c r="BJ7" s="16">
        <f>+BI7*'Capital Structure '!$E$30</f>
        <v>-28616.78666666667</v>
      </c>
      <c r="BK7" s="16">
        <f>SUM(BJ$5:BJ7)</f>
        <v>-28861.886666666669</v>
      </c>
    </row>
    <row r="8" spans="1:64" outlineLevel="1">
      <c r="A8" s="10" t="s">
        <v>56</v>
      </c>
      <c r="B8" s="10">
        <f>+B7</f>
        <v>2012</v>
      </c>
      <c r="C8" s="91" t="s">
        <v>47</v>
      </c>
      <c r="D8" s="57">
        <v>3000</v>
      </c>
      <c r="E8" s="57">
        <v>205750</v>
      </c>
      <c r="F8" s="65"/>
      <c r="G8" s="56">
        <f t="shared" si="2"/>
        <v>208750</v>
      </c>
      <c r="H8" s="56"/>
      <c r="I8" s="57">
        <v>522900</v>
      </c>
      <c r="J8" s="56"/>
      <c r="K8" s="16">
        <f t="shared" si="3"/>
        <v>731650</v>
      </c>
      <c r="L8" s="16">
        <f>SUM(K$5:K8)</f>
        <v>1782450</v>
      </c>
      <c r="N8" s="16">
        <f t="shared" si="6"/>
        <v>0</v>
      </c>
      <c r="O8" s="16">
        <f t="shared" si="6"/>
        <v>150</v>
      </c>
      <c r="P8" s="16">
        <f t="shared" si="6"/>
        <v>17363.333333333332</v>
      </c>
      <c r="Q8" s="16">
        <f>+$K8/60</f>
        <v>12194.166666666666</v>
      </c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>
        <f t="shared" si="7"/>
        <v>29707.5</v>
      </c>
      <c r="AH8" s="16">
        <f>SUM(AG$5:AG8)</f>
        <v>47370.833333333328</v>
      </c>
      <c r="AI8" s="16">
        <f t="shared" si="8"/>
        <v>1735079.1666666667</v>
      </c>
      <c r="AJ8" s="16">
        <f t="shared" si="9"/>
        <v>1764786.6666666667</v>
      </c>
      <c r="AL8" s="16">
        <f t="shared" si="10"/>
        <v>0</v>
      </c>
      <c r="AM8" s="16">
        <f t="shared" si="10"/>
        <v>750</v>
      </c>
      <c r="AN8" s="16">
        <f t="shared" si="10"/>
        <v>86816.666666666672</v>
      </c>
      <c r="AO8" s="16">
        <f>+$K8/12</f>
        <v>60970.833333333336</v>
      </c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>
        <f t="shared" si="4"/>
        <v>148537.5</v>
      </c>
      <c r="BG8" s="21">
        <f>+BE8</f>
        <v>148537.5</v>
      </c>
      <c r="BH8" s="21">
        <f t="shared" si="5"/>
        <v>29707.5</v>
      </c>
      <c r="BI8" s="16">
        <f t="shared" si="12"/>
        <v>-118830</v>
      </c>
      <c r="BJ8" s="16">
        <f>+BI8*'Capital Structure '!$E$30</f>
        <v>-48542.055</v>
      </c>
      <c r="BK8" s="16">
        <f>SUM(BJ$5:BJ8)</f>
        <v>-77403.941666666666</v>
      </c>
    </row>
    <row r="9" spans="1:64" s="3" customFormat="1" outlineLevel="1">
      <c r="A9" s="7" t="s">
        <v>57</v>
      </c>
      <c r="B9" s="7">
        <f>+B8</f>
        <v>2012</v>
      </c>
      <c r="C9" s="73" t="s">
        <v>47</v>
      </c>
      <c r="D9" s="57">
        <v>2000</v>
      </c>
      <c r="E9" s="57">
        <v>228080.5</v>
      </c>
      <c r="F9" s="57"/>
      <c r="G9" s="56">
        <f>SUM(D9:F9)</f>
        <v>230080.5</v>
      </c>
      <c r="H9" s="56"/>
      <c r="I9" s="57">
        <v>703800</v>
      </c>
      <c r="J9" s="56"/>
      <c r="K9" s="30">
        <f t="shared" si="3"/>
        <v>933880.5</v>
      </c>
      <c r="L9" s="30">
        <f>SUM(K$5:K9)</f>
        <v>2716330.5</v>
      </c>
      <c r="N9" s="30">
        <f t="shared" si="6"/>
        <v>0</v>
      </c>
      <c r="O9" s="30">
        <f t="shared" si="6"/>
        <v>150</v>
      </c>
      <c r="P9" s="30">
        <f t="shared" si="6"/>
        <v>17363.333333333332</v>
      </c>
      <c r="Q9" s="30">
        <f t="shared" si="6"/>
        <v>12194.166666666666</v>
      </c>
      <c r="R9" s="30">
        <f>+$K9/60</f>
        <v>15564.674999999999</v>
      </c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>
        <f t="shared" si="7"/>
        <v>45272.175000000003</v>
      </c>
      <c r="AH9" s="30">
        <f>SUM(AG$5:AG9)</f>
        <v>92643.008333333331</v>
      </c>
      <c r="AI9" s="30">
        <f t="shared" si="8"/>
        <v>2623687.4916666667</v>
      </c>
      <c r="AJ9" s="30">
        <f t="shared" si="9"/>
        <v>2668959.6666666665</v>
      </c>
      <c r="AL9" s="30">
        <f t="shared" si="10"/>
        <v>0</v>
      </c>
      <c r="AM9" s="30">
        <f t="shared" si="10"/>
        <v>750</v>
      </c>
      <c r="AN9" s="30">
        <f t="shared" si="10"/>
        <v>86816.666666666672</v>
      </c>
      <c r="AO9" s="30">
        <f t="shared" si="10"/>
        <v>60970.833333333336</v>
      </c>
      <c r="AP9" s="30">
        <f>+$K9/12</f>
        <v>77823.375</v>
      </c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>
        <f t="shared" si="4"/>
        <v>226360.875</v>
      </c>
      <c r="BG9" s="22">
        <f>+BE9</f>
        <v>226360.875</v>
      </c>
      <c r="BH9" s="22">
        <f t="shared" si="5"/>
        <v>45272.175000000003</v>
      </c>
      <c r="BI9" s="30">
        <f>+BH9-BG9</f>
        <v>-181088.7</v>
      </c>
      <c r="BJ9" s="30">
        <f>+BI9*'Capital Structure '!$E$30</f>
        <v>-73974.733949999994</v>
      </c>
      <c r="BK9" s="30">
        <f>SUM(BJ$5:BJ9)</f>
        <v>-151378.67561666667</v>
      </c>
    </row>
    <row r="10" spans="1:64" s="3" customFormat="1" outlineLevel="1">
      <c r="A10" s="7" t="s">
        <v>58</v>
      </c>
      <c r="B10" s="7">
        <f>+B9</f>
        <v>2012</v>
      </c>
      <c r="C10" s="73" t="s">
        <v>47</v>
      </c>
      <c r="D10" s="57">
        <v>0</v>
      </c>
      <c r="E10" s="57">
        <v>283900</v>
      </c>
      <c r="F10" s="57"/>
      <c r="G10" s="56">
        <f>SUM(D10:F10)</f>
        <v>283900</v>
      </c>
      <c r="H10" s="56"/>
      <c r="I10" s="57">
        <v>402300</v>
      </c>
      <c r="J10" s="56"/>
      <c r="K10" s="30">
        <f t="shared" si="3"/>
        <v>686200</v>
      </c>
      <c r="L10" s="30">
        <f>SUM(K$5:K10)</f>
        <v>3402530.5</v>
      </c>
      <c r="N10" s="30">
        <f t="shared" ref="N10:R24" si="13">+N9</f>
        <v>0</v>
      </c>
      <c r="O10" s="30">
        <f t="shared" si="13"/>
        <v>150</v>
      </c>
      <c r="P10" s="30">
        <f t="shared" si="13"/>
        <v>17363.333333333332</v>
      </c>
      <c r="Q10" s="30">
        <f t="shared" si="13"/>
        <v>12194.166666666666</v>
      </c>
      <c r="R10" s="30">
        <f t="shared" si="13"/>
        <v>15564.674999999999</v>
      </c>
      <c r="S10" s="30">
        <f>+$K10/60</f>
        <v>11436.666666666666</v>
      </c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>
        <f t="shared" si="7"/>
        <v>56708.841666666667</v>
      </c>
      <c r="AH10" s="30">
        <f>SUM(AG$5:AG10)</f>
        <v>149351.85</v>
      </c>
      <c r="AI10" s="30">
        <f t="shared" si="8"/>
        <v>3253178.65</v>
      </c>
      <c r="AJ10" s="30">
        <f t="shared" si="9"/>
        <v>3309887.4916666667</v>
      </c>
      <c r="AL10" s="30">
        <f t="shared" ref="AL10:AW25" si="14">+AL9</f>
        <v>0</v>
      </c>
      <c r="AM10" s="30">
        <f t="shared" si="14"/>
        <v>750</v>
      </c>
      <c r="AN10" s="30">
        <f t="shared" si="14"/>
        <v>86816.666666666672</v>
      </c>
      <c r="AO10" s="30">
        <f t="shared" si="14"/>
        <v>60970.833333333336</v>
      </c>
      <c r="AP10" s="30">
        <f t="shared" si="14"/>
        <v>77823.375</v>
      </c>
      <c r="AQ10" s="30">
        <f>+$K10/12</f>
        <v>57183.333333333336</v>
      </c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>
        <f t="shared" si="4"/>
        <v>283544.20833333331</v>
      </c>
      <c r="BG10" s="22">
        <f>+BE10</f>
        <v>283544.20833333331</v>
      </c>
      <c r="BH10" s="22">
        <f t="shared" si="5"/>
        <v>56708.841666666667</v>
      </c>
      <c r="BI10" s="30">
        <f t="shared" si="12"/>
        <v>-226835.36666666664</v>
      </c>
      <c r="BJ10" s="30">
        <f>+BI10*'Capital Structure '!$E$30</f>
        <v>-92662.247283333316</v>
      </c>
      <c r="BK10" s="30">
        <f>SUM(BJ$5:BJ10)</f>
        <v>-244040.92290000001</v>
      </c>
    </row>
    <row r="11" spans="1:64" outlineLevel="1">
      <c r="A11" s="10" t="s">
        <v>59</v>
      </c>
      <c r="B11" s="10">
        <f t="shared" ref="B11:B16" si="15">+B10</f>
        <v>2012</v>
      </c>
      <c r="C11" s="73" t="s">
        <v>47</v>
      </c>
      <c r="D11" s="57">
        <v>2000</v>
      </c>
      <c r="E11" s="57">
        <v>216000</v>
      </c>
      <c r="F11" s="65"/>
      <c r="G11" s="56">
        <f t="shared" si="2"/>
        <v>218000</v>
      </c>
      <c r="H11" s="56"/>
      <c r="I11" s="57">
        <v>505800</v>
      </c>
      <c r="J11" s="56"/>
      <c r="K11" s="16">
        <f t="shared" si="3"/>
        <v>723800</v>
      </c>
      <c r="L11" s="16">
        <f>SUM(K$5:K11)</f>
        <v>4126330.5</v>
      </c>
      <c r="N11" s="16">
        <f t="shared" si="13"/>
        <v>0</v>
      </c>
      <c r="O11" s="16">
        <f t="shared" si="13"/>
        <v>150</v>
      </c>
      <c r="P11" s="16">
        <f t="shared" si="13"/>
        <v>17363.333333333332</v>
      </c>
      <c r="Q11" s="16">
        <f t="shared" si="13"/>
        <v>12194.166666666666</v>
      </c>
      <c r="R11" s="16">
        <f t="shared" si="13"/>
        <v>15564.674999999999</v>
      </c>
      <c r="S11" s="16">
        <f t="shared" ref="S11:Y26" si="16">+S10</f>
        <v>11436.666666666666</v>
      </c>
      <c r="T11" s="16">
        <f>+$K11/60</f>
        <v>12063.333333333334</v>
      </c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>
        <f t="shared" si="7"/>
        <v>68772.175000000003</v>
      </c>
      <c r="AH11" s="16">
        <f>SUM(AG$5:AG11)</f>
        <v>218124.02500000002</v>
      </c>
      <c r="AI11" s="16">
        <f t="shared" si="8"/>
        <v>3908206.4750000001</v>
      </c>
      <c r="AJ11" s="16">
        <f t="shared" si="9"/>
        <v>3976978.65</v>
      </c>
      <c r="AL11" s="16">
        <f t="shared" si="14"/>
        <v>0</v>
      </c>
      <c r="AM11" s="16">
        <f t="shared" si="14"/>
        <v>750</v>
      </c>
      <c r="AN11" s="16">
        <f t="shared" si="14"/>
        <v>86816.666666666672</v>
      </c>
      <c r="AO11" s="16">
        <f t="shared" si="14"/>
        <v>60970.833333333336</v>
      </c>
      <c r="AP11" s="16">
        <f t="shared" si="14"/>
        <v>77823.375</v>
      </c>
      <c r="AQ11" s="16">
        <f t="shared" si="14"/>
        <v>57183.333333333336</v>
      </c>
      <c r="AR11" s="16">
        <f>+$K11/12</f>
        <v>60316.666666666664</v>
      </c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>
        <f t="shared" si="4"/>
        <v>343860.875</v>
      </c>
      <c r="BG11" s="21">
        <f t="shared" si="11"/>
        <v>343860.875</v>
      </c>
      <c r="BH11" s="21">
        <f t="shared" si="5"/>
        <v>68772.175000000003</v>
      </c>
      <c r="BI11" s="16">
        <f>+BH11-BG11</f>
        <v>-275088.7</v>
      </c>
      <c r="BJ11" s="16">
        <f>+BI11*'Capital Structure '!$E$30</f>
        <v>-112373.73394999999</v>
      </c>
      <c r="BK11" s="16">
        <f>SUM(BJ$5:BJ11)</f>
        <v>-356414.65685000003</v>
      </c>
    </row>
    <row r="12" spans="1:64" outlineLevel="1">
      <c r="A12" s="10" t="s">
        <v>46</v>
      </c>
      <c r="B12" s="10">
        <f t="shared" si="15"/>
        <v>2012</v>
      </c>
      <c r="C12" s="10" t="s">
        <v>47</v>
      </c>
      <c r="D12" s="57">
        <v>4000</v>
      </c>
      <c r="E12" s="57">
        <v>274624</v>
      </c>
      <c r="F12" s="65"/>
      <c r="G12" s="56">
        <f t="shared" si="2"/>
        <v>278624</v>
      </c>
      <c r="H12" s="56"/>
      <c r="I12" s="57">
        <v>526500</v>
      </c>
      <c r="J12" s="56"/>
      <c r="K12" s="16">
        <f t="shared" si="3"/>
        <v>805124</v>
      </c>
      <c r="L12" s="16">
        <f>SUM(K$5:K12)</f>
        <v>4931454.5</v>
      </c>
      <c r="N12" s="16">
        <f t="shared" si="13"/>
        <v>0</v>
      </c>
      <c r="O12" s="16">
        <f t="shared" si="13"/>
        <v>150</v>
      </c>
      <c r="P12" s="16">
        <f t="shared" si="13"/>
        <v>17363.333333333332</v>
      </c>
      <c r="Q12" s="16">
        <f t="shared" si="13"/>
        <v>12194.166666666666</v>
      </c>
      <c r="R12" s="16">
        <f t="shared" si="13"/>
        <v>15564.674999999999</v>
      </c>
      <c r="S12" s="16">
        <f t="shared" si="16"/>
        <v>11436.666666666666</v>
      </c>
      <c r="T12" s="16">
        <f t="shared" si="16"/>
        <v>12063.333333333334</v>
      </c>
      <c r="U12" s="16">
        <f>+$K12/60</f>
        <v>13418.733333333334</v>
      </c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>
        <f t="shared" si="7"/>
        <v>82190.90833333334</v>
      </c>
      <c r="AH12" s="16">
        <f>SUM(AG$5:AG12)</f>
        <v>300314.93333333335</v>
      </c>
      <c r="AI12" s="16">
        <f t="shared" si="8"/>
        <v>4631139.5666666664</v>
      </c>
      <c r="AJ12" s="16">
        <f t="shared" si="9"/>
        <v>4713330.4749999996</v>
      </c>
      <c r="AL12" s="16">
        <f t="shared" si="14"/>
        <v>0</v>
      </c>
      <c r="AM12" s="16">
        <f t="shared" si="14"/>
        <v>750</v>
      </c>
      <c r="AN12" s="16">
        <f t="shared" si="14"/>
        <v>86816.666666666672</v>
      </c>
      <c r="AO12" s="16">
        <f t="shared" si="14"/>
        <v>60970.833333333336</v>
      </c>
      <c r="AP12" s="16">
        <f t="shared" si="14"/>
        <v>77823.375</v>
      </c>
      <c r="AQ12" s="16">
        <f t="shared" si="14"/>
        <v>57183.333333333336</v>
      </c>
      <c r="AR12" s="16">
        <f t="shared" si="14"/>
        <v>60316.666666666664</v>
      </c>
      <c r="AS12" s="16">
        <f>+$K12/12</f>
        <v>67093.666666666672</v>
      </c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>
        <f t="shared" si="4"/>
        <v>410954.54166666669</v>
      </c>
      <c r="BG12" s="21">
        <f t="shared" si="11"/>
        <v>410954.54166666669</v>
      </c>
      <c r="BH12" s="21">
        <f t="shared" si="5"/>
        <v>82190.90833333334</v>
      </c>
      <c r="BI12" s="16">
        <f t="shared" si="12"/>
        <v>-328763.63333333336</v>
      </c>
      <c r="BJ12" s="16">
        <f>+BI12*'Capital Structure '!$E$30</f>
        <v>-134299.94421666666</v>
      </c>
      <c r="BK12" s="16">
        <f>SUM(BJ$5:BJ12)</f>
        <v>-490714.60106666666</v>
      </c>
    </row>
    <row r="13" spans="1:64" outlineLevel="1">
      <c r="A13" s="10" t="s">
        <v>48</v>
      </c>
      <c r="B13" s="10">
        <f t="shared" si="15"/>
        <v>2012</v>
      </c>
      <c r="C13" s="10" t="s">
        <v>47</v>
      </c>
      <c r="D13" s="57">
        <v>0</v>
      </c>
      <c r="E13" s="57">
        <v>274300</v>
      </c>
      <c r="F13" s="65"/>
      <c r="G13" s="56">
        <f t="shared" si="2"/>
        <v>274300</v>
      </c>
      <c r="H13" s="56"/>
      <c r="I13" s="57">
        <v>367200</v>
      </c>
      <c r="J13" s="56"/>
      <c r="K13" s="16">
        <f t="shared" si="3"/>
        <v>641500</v>
      </c>
      <c r="L13" s="16">
        <f>SUM(K$5:K13)</f>
        <v>5572954.5</v>
      </c>
      <c r="N13" s="16">
        <f t="shared" si="13"/>
        <v>0</v>
      </c>
      <c r="O13" s="16">
        <f t="shared" si="13"/>
        <v>150</v>
      </c>
      <c r="P13" s="16">
        <f t="shared" si="13"/>
        <v>17363.333333333332</v>
      </c>
      <c r="Q13" s="16">
        <f t="shared" si="13"/>
        <v>12194.166666666666</v>
      </c>
      <c r="R13" s="16">
        <f t="shared" si="13"/>
        <v>15564.674999999999</v>
      </c>
      <c r="S13" s="16">
        <f t="shared" si="16"/>
        <v>11436.666666666666</v>
      </c>
      <c r="T13" s="16">
        <f t="shared" si="16"/>
        <v>12063.333333333334</v>
      </c>
      <c r="U13" s="16">
        <f t="shared" si="16"/>
        <v>13418.733333333334</v>
      </c>
      <c r="V13" s="16">
        <f>+$K13/60</f>
        <v>10691.666666666666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>
        <f t="shared" si="7"/>
        <v>92882.575000000012</v>
      </c>
      <c r="AH13" s="16">
        <f>SUM(AG$5:AG13)</f>
        <v>393197.50833333336</v>
      </c>
      <c r="AI13" s="16">
        <f t="shared" si="8"/>
        <v>5179756.9916666662</v>
      </c>
      <c r="AJ13" s="16">
        <f t="shared" si="9"/>
        <v>5272639.5666666664</v>
      </c>
      <c r="AL13" s="16">
        <f t="shared" si="14"/>
        <v>0</v>
      </c>
      <c r="AM13" s="16">
        <f t="shared" si="14"/>
        <v>750</v>
      </c>
      <c r="AN13" s="16">
        <f t="shared" si="14"/>
        <v>86816.666666666672</v>
      </c>
      <c r="AO13" s="16">
        <f t="shared" si="14"/>
        <v>60970.833333333336</v>
      </c>
      <c r="AP13" s="16">
        <f t="shared" si="14"/>
        <v>77823.375</v>
      </c>
      <c r="AQ13" s="16">
        <f t="shared" si="14"/>
        <v>57183.333333333336</v>
      </c>
      <c r="AR13" s="16">
        <f t="shared" si="14"/>
        <v>60316.666666666664</v>
      </c>
      <c r="AS13" s="16">
        <f t="shared" si="14"/>
        <v>67093.666666666672</v>
      </c>
      <c r="AT13" s="38">
        <f>$K13/12</f>
        <v>53458.333333333336</v>
      </c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>
        <f t="shared" si="4"/>
        <v>464412.875</v>
      </c>
      <c r="BG13" s="21">
        <f t="shared" si="11"/>
        <v>464412.875</v>
      </c>
      <c r="BH13" s="21">
        <f t="shared" si="5"/>
        <v>92882.575000000012</v>
      </c>
      <c r="BI13" s="16">
        <f t="shared" si="12"/>
        <v>-371530.3</v>
      </c>
      <c r="BJ13" s="16">
        <f>+BI13*'Capital Structure '!$E$30</f>
        <v>-151770.12754999998</v>
      </c>
      <c r="BK13" s="16">
        <f>SUM(BJ$5:BJ13)</f>
        <v>-642484.72861666663</v>
      </c>
    </row>
    <row r="14" spans="1:64" outlineLevel="1">
      <c r="A14" s="10" t="s">
        <v>50</v>
      </c>
      <c r="B14" s="10">
        <f t="shared" si="15"/>
        <v>2012</v>
      </c>
      <c r="C14" s="10" t="s">
        <v>47</v>
      </c>
      <c r="D14" s="57">
        <v>0</v>
      </c>
      <c r="E14" s="57">
        <v>347120.48</v>
      </c>
      <c r="F14" s="65"/>
      <c r="G14" s="56">
        <f t="shared" si="2"/>
        <v>347120.48</v>
      </c>
      <c r="H14" s="56"/>
      <c r="I14" s="57">
        <v>340200</v>
      </c>
      <c r="J14" s="56"/>
      <c r="K14" s="16">
        <f t="shared" si="3"/>
        <v>687320.48</v>
      </c>
      <c r="L14" s="16">
        <f>SUM(K$5:K14)</f>
        <v>6260274.9800000004</v>
      </c>
      <c r="N14" s="16">
        <f t="shared" si="13"/>
        <v>0</v>
      </c>
      <c r="O14" s="16">
        <f t="shared" si="13"/>
        <v>150</v>
      </c>
      <c r="P14" s="16">
        <f t="shared" si="13"/>
        <v>17363.333333333332</v>
      </c>
      <c r="Q14" s="16">
        <f t="shared" si="13"/>
        <v>12194.166666666666</v>
      </c>
      <c r="R14" s="16">
        <f t="shared" si="13"/>
        <v>15564.674999999999</v>
      </c>
      <c r="S14" s="16">
        <f t="shared" si="16"/>
        <v>11436.666666666666</v>
      </c>
      <c r="T14" s="16">
        <f t="shared" si="16"/>
        <v>12063.333333333334</v>
      </c>
      <c r="U14" s="16">
        <f t="shared" si="16"/>
        <v>13418.733333333334</v>
      </c>
      <c r="V14" s="16">
        <f t="shared" si="16"/>
        <v>10691.666666666666</v>
      </c>
      <c r="W14" s="16">
        <f>+$K14/60</f>
        <v>11455.341333333334</v>
      </c>
      <c r="X14" s="16"/>
      <c r="Y14" s="16"/>
      <c r="Z14" s="16"/>
      <c r="AA14" s="16"/>
      <c r="AB14" s="16"/>
      <c r="AC14" s="16"/>
      <c r="AD14" s="16"/>
      <c r="AE14" s="16"/>
      <c r="AF14" s="16"/>
      <c r="AG14" s="16">
        <f t="shared" si="7"/>
        <v>104337.91633333334</v>
      </c>
      <c r="AH14" s="16">
        <f>SUM(AG$5:AG14)</f>
        <v>497535.42466666672</v>
      </c>
      <c r="AI14" s="16">
        <f t="shared" si="8"/>
        <v>5762739.555333334</v>
      </c>
      <c r="AJ14" s="16">
        <f t="shared" si="9"/>
        <v>5867077.4716666667</v>
      </c>
      <c r="AL14" s="16">
        <f t="shared" si="14"/>
        <v>0</v>
      </c>
      <c r="AM14" s="16">
        <f t="shared" si="14"/>
        <v>750</v>
      </c>
      <c r="AN14" s="16">
        <f t="shared" si="14"/>
        <v>86816.666666666672</v>
      </c>
      <c r="AO14" s="16">
        <f t="shared" si="14"/>
        <v>60970.833333333336</v>
      </c>
      <c r="AP14" s="16">
        <f t="shared" si="14"/>
        <v>77823.375</v>
      </c>
      <c r="AQ14" s="16">
        <f t="shared" si="14"/>
        <v>57183.333333333336</v>
      </c>
      <c r="AR14" s="16">
        <f t="shared" si="14"/>
        <v>60316.666666666664</v>
      </c>
      <c r="AS14" s="16">
        <f t="shared" si="14"/>
        <v>67093.666666666672</v>
      </c>
      <c r="AT14" s="16">
        <f t="shared" si="14"/>
        <v>53458.333333333336</v>
      </c>
      <c r="AU14" s="16">
        <f>$K14/12</f>
        <v>57276.706666666665</v>
      </c>
      <c r="AV14" s="16"/>
      <c r="AW14" s="16"/>
      <c r="AX14" s="16"/>
      <c r="AY14" s="16"/>
      <c r="AZ14" s="16"/>
      <c r="BA14" s="16"/>
      <c r="BB14" s="16"/>
      <c r="BC14" s="16"/>
      <c r="BD14" s="16"/>
      <c r="BE14" s="16">
        <f t="shared" si="4"/>
        <v>521689.58166666667</v>
      </c>
      <c r="BG14" s="21">
        <f t="shared" si="11"/>
        <v>521689.58166666667</v>
      </c>
      <c r="BH14" s="21">
        <f t="shared" si="5"/>
        <v>104337.91633333334</v>
      </c>
      <c r="BI14" s="16">
        <f t="shared" si="12"/>
        <v>-417351.66533333331</v>
      </c>
      <c r="BJ14" s="16">
        <f>+BI14*'Capital Structure '!$E$30</f>
        <v>-170488.15528866663</v>
      </c>
      <c r="BK14" s="16">
        <f>SUM(BJ$5:BJ14)</f>
        <v>-812972.88390533323</v>
      </c>
      <c r="BL14" s="4"/>
    </row>
    <row r="15" spans="1:64" outlineLevel="1">
      <c r="A15" s="10" t="s">
        <v>51</v>
      </c>
      <c r="B15" s="10">
        <f t="shared" si="15"/>
        <v>2012</v>
      </c>
      <c r="C15" s="10" t="s">
        <v>47</v>
      </c>
      <c r="D15" s="57">
        <v>2000</v>
      </c>
      <c r="E15" s="57">
        <v>273000</v>
      </c>
      <c r="F15" s="65"/>
      <c r="G15" s="56">
        <f t="shared" si="2"/>
        <v>275000</v>
      </c>
      <c r="H15" s="56"/>
      <c r="I15" s="57">
        <v>253800</v>
      </c>
      <c r="J15" s="56"/>
      <c r="K15" s="16">
        <f t="shared" si="3"/>
        <v>528800</v>
      </c>
      <c r="L15" s="16">
        <f>SUM(K$5:K15)</f>
        <v>6789074.9800000004</v>
      </c>
      <c r="N15" s="16">
        <f t="shared" si="13"/>
        <v>0</v>
      </c>
      <c r="O15" s="16">
        <f t="shared" si="13"/>
        <v>150</v>
      </c>
      <c r="P15" s="16">
        <f t="shared" si="13"/>
        <v>17363.333333333332</v>
      </c>
      <c r="Q15" s="16">
        <f t="shared" si="13"/>
        <v>12194.166666666666</v>
      </c>
      <c r="R15" s="16">
        <f t="shared" si="13"/>
        <v>15564.674999999999</v>
      </c>
      <c r="S15" s="16">
        <f t="shared" si="16"/>
        <v>11436.666666666666</v>
      </c>
      <c r="T15" s="16">
        <f t="shared" si="16"/>
        <v>12063.333333333334</v>
      </c>
      <c r="U15" s="16">
        <f t="shared" si="16"/>
        <v>13418.733333333334</v>
      </c>
      <c r="V15" s="16">
        <f t="shared" si="16"/>
        <v>10691.666666666666</v>
      </c>
      <c r="W15" s="16">
        <f t="shared" si="16"/>
        <v>11455.341333333334</v>
      </c>
      <c r="X15" s="16">
        <f>+$K15/60</f>
        <v>8813.3333333333339</v>
      </c>
      <c r="Y15" s="16"/>
      <c r="Z15" s="16"/>
      <c r="AA15" s="16"/>
      <c r="AB15" s="16"/>
      <c r="AC15" s="16"/>
      <c r="AD15" s="16"/>
      <c r="AE15" s="16"/>
      <c r="AF15" s="16"/>
      <c r="AG15" s="16">
        <f t="shared" si="7"/>
        <v>113151.24966666667</v>
      </c>
      <c r="AH15" s="16">
        <f>SUM(AG$5:AG15)</f>
        <v>610686.67433333339</v>
      </c>
      <c r="AI15" s="16">
        <f t="shared" si="8"/>
        <v>6178388.3056666674</v>
      </c>
      <c r="AJ15" s="16">
        <f t="shared" si="9"/>
        <v>6291539.555333334</v>
      </c>
      <c r="AL15" s="16">
        <f t="shared" si="14"/>
        <v>0</v>
      </c>
      <c r="AM15" s="16">
        <f t="shared" si="14"/>
        <v>750</v>
      </c>
      <c r="AN15" s="16">
        <f t="shared" si="14"/>
        <v>86816.666666666672</v>
      </c>
      <c r="AO15" s="16">
        <f t="shared" si="14"/>
        <v>60970.833333333336</v>
      </c>
      <c r="AP15" s="16">
        <f t="shared" si="14"/>
        <v>77823.375</v>
      </c>
      <c r="AQ15" s="16">
        <f t="shared" si="14"/>
        <v>57183.333333333336</v>
      </c>
      <c r="AR15" s="16">
        <f t="shared" si="14"/>
        <v>60316.666666666664</v>
      </c>
      <c r="AS15" s="16">
        <f t="shared" si="14"/>
        <v>67093.666666666672</v>
      </c>
      <c r="AT15" s="16">
        <f t="shared" si="14"/>
        <v>53458.333333333336</v>
      </c>
      <c r="AU15" s="16">
        <f t="shared" si="14"/>
        <v>57276.706666666665</v>
      </c>
      <c r="AV15" s="16">
        <f>$K15/12</f>
        <v>44066.666666666664</v>
      </c>
      <c r="AW15" s="16"/>
      <c r="AX15" s="16"/>
      <c r="AY15" s="16"/>
      <c r="AZ15" s="16"/>
      <c r="BA15" s="16"/>
      <c r="BB15" s="16"/>
      <c r="BC15" s="16"/>
      <c r="BD15" s="16"/>
      <c r="BE15" s="16">
        <f t="shared" si="4"/>
        <v>565756.24833333329</v>
      </c>
      <c r="BG15" s="21">
        <f t="shared" si="11"/>
        <v>565756.24833333329</v>
      </c>
      <c r="BH15" s="21">
        <f t="shared" si="5"/>
        <v>113151.24966666667</v>
      </c>
      <c r="BI15" s="16">
        <f t="shared" si="12"/>
        <v>-452604.99866666662</v>
      </c>
      <c r="BJ15" s="16">
        <f>+BI15*'Capital Structure '!$E$30</f>
        <v>-184889.1419553333</v>
      </c>
      <c r="BK15" s="16">
        <f>SUM(BJ$5:BJ15)</f>
        <v>-997862.02586066653</v>
      </c>
      <c r="BL15" s="4"/>
    </row>
    <row r="16" spans="1:64" outlineLevel="1">
      <c r="A16" s="27" t="s">
        <v>52</v>
      </c>
      <c r="B16" s="27">
        <f t="shared" si="15"/>
        <v>2012</v>
      </c>
      <c r="C16" s="24" t="s">
        <v>47</v>
      </c>
      <c r="D16" s="68">
        <v>0</v>
      </c>
      <c r="E16" s="68">
        <v>297000</v>
      </c>
      <c r="F16" s="84"/>
      <c r="G16" s="60">
        <f t="shared" si="2"/>
        <v>297000</v>
      </c>
      <c r="H16" s="60"/>
      <c r="I16" s="68">
        <v>472500</v>
      </c>
      <c r="J16" s="60"/>
      <c r="K16" s="80">
        <f t="shared" si="3"/>
        <v>769500</v>
      </c>
      <c r="L16" s="80">
        <f>SUM(K$5:K16)</f>
        <v>7558574.9800000004</v>
      </c>
      <c r="M16" s="85"/>
      <c r="N16" s="80">
        <f t="shared" si="13"/>
        <v>0</v>
      </c>
      <c r="O16" s="80">
        <f t="shared" si="13"/>
        <v>150</v>
      </c>
      <c r="P16" s="80">
        <f t="shared" si="13"/>
        <v>17363.333333333332</v>
      </c>
      <c r="Q16" s="80">
        <f t="shared" si="13"/>
        <v>12194.166666666666</v>
      </c>
      <c r="R16" s="80">
        <f t="shared" si="13"/>
        <v>15564.674999999999</v>
      </c>
      <c r="S16" s="80">
        <f t="shared" si="16"/>
        <v>11436.666666666666</v>
      </c>
      <c r="T16" s="80">
        <f t="shared" si="16"/>
        <v>12063.333333333334</v>
      </c>
      <c r="U16" s="80">
        <f t="shared" si="16"/>
        <v>13418.733333333334</v>
      </c>
      <c r="V16" s="25">
        <f t="shared" si="16"/>
        <v>10691.666666666666</v>
      </c>
      <c r="W16" s="25">
        <f t="shared" si="16"/>
        <v>11455.341333333334</v>
      </c>
      <c r="X16" s="25">
        <f t="shared" si="16"/>
        <v>8813.3333333333339</v>
      </c>
      <c r="Y16" s="25">
        <f>+$K16/60</f>
        <v>12825</v>
      </c>
      <c r="Z16" s="25"/>
      <c r="AA16" s="25"/>
      <c r="AB16" s="25"/>
      <c r="AC16" s="25"/>
      <c r="AD16" s="25"/>
      <c r="AE16" s="25"/>
      <c r="AF16" s="25"/>
      <c r="AG16" s="25">
        <f t="shared" si="7"/>
        <v>125976.24966666667</v>
      </c>
      <c r="AH16" s="80">
        <f>SUM(AG$5:AG16)</f>
        <v>736662.92400000012</v>
      </c>
      <c r="AI16" s="80">
        <f t="shared" si="8"/>
        <v>6821912.0559999999</v>
      </c>
      <c r="AJ16" s="80">
        <f t="shared" si="9"/>
        <v>6947888.3056666674</v>
      </c>
      <c r="AK16" s="85"/>
      <c r="AL16" s="80">
        <f t="shared" si="14"/>
        <v>0</v>
      </c>
      <c r="AM16" s="80">
        <f t="shared" si="14"/>
        <v>750</v>
      </c>
      <c r="AN16" s="80">
        <f t="shared" si="14"/>
        <v>86816.666666666672</v>
      </c>
      <c r="AO16" s="80">
        <f t="shared" si="14"/>
        <v>60970.833333333336</v>
      </c>
      <c r="AP16" s="80">
        <f t="shared" si="14"/>
        <v>77823.375</v>
      </c>
      <c r="AQ16" s="80">
        <f t="shared" si="14"/>
        <v>57183.333333333336</v>
      </c>
      <c r="AR16" s="80">
        <f t="shared" si="14"/>
        <v>60316.666666666664</v>
      </c>
      <c r="AS16" s="80">
        <f t="shared" si="14"/>
        <v>67093.666666666672</v>
      </c>
      <c r="AT16" s="80">
        <f t="shared" si="14"/>
        <v>53458.333333333336</v>
      </c>
      <c r="AU16" s="80">
        <f t="shared" si="14"/>
        <v>57276.706666666665</v>
      </c>
      <c r="AV16" s="80">
        <f t="shared" si="14"/>
        <v>44066.666666666664</v>
      </c>
      <c r="AW16" s="80">
        <f>$K16/12</f>
        <v>64125</v>
      </c>
      <c r="AX16" s="80"/>
      <c r="AY16" s="80"/>
      <c r="AZ16" s="80"/>
      <c r="BA16" s="80"/>
      <c r="BB16" s="80"/>
      <c r="BC16" s="80"/>
      <c r="BD16" s="80"/>
      <c r="BE16" s="25">
        <f t="shared" si="4"/>
        <v>629881.24833333329</v>
      </c>
      <c r="BF16" s="41"/>
      <c r="BG16" s="86">
        <f t="shared" si="11"/>
        <v>629881.24833333329</v>
      </c>
      <c r="BH16" s="86">
        <f t="shared" si="5"/>
        <v>125976.24966666667</v>
      </c>
      <c r="BI16" s="80">
        <f t="shared" si="12"/>
        <v>-503904.99866666662</v>
      </c>
      <c r="BJ16" s="25">
        <f>+BI16*'Capital Structure '!$E$30</f>
        <v>-205845.19195533331</v>
      </c>
      <c r="BK16" s="80">
        <f>SUM(BJ$5:BJ16)</f>
        <v>-1203707.2178159999</v>
      </c>
      <c r="BL16" s="210"/>
    </row>
    <row r="17" spans="1:64" outlineLevel="1">
      <c r="A17" s="10" t="s">
        <v>53</v>
      </c>
      <c r="B17" s="10">
        <f>+B16+1</f>
        <v>2013</v>
      </c>
      <c r="C17" s="10" t="s">
        <v>47</v>
      </c>
      <c r="D17" s="57">
        <v>4000</v>
      </c>
      <c r="E17" s="65">
        <v>352289.5</v>
      </c>
      <c r="F17" s="65"/>
      <c r="G17" s="56">
        <f t="shared" si="2"/>
        <v>356289.5</v>
      </c>
      <c r="H17" s="56"/>
      <c r="I17" s="57">
        <v>458100</v>
      </c>
      <c r="J17" s="56"/>
      <c r="K17" s="16">
        <f t="shared" si="3"/>
        <v>814389.5</v>
      </c>
      <c r="L17" s="16">
        <f>SUM(K$5:K17)</f>
        <v>8372964.4800000004</v>
      </c>
      <c r="N17" s="16">
        <f t="shared" si="13"/>
        <v>0</v>
      </c>
      <c r="O17" s="16">
        <f t="shared" si="13"/>
        <v>150</v>
      </c>
      <c r="P17" s="16">
        <f t="shared" si="13"/>
        <v>17363.333333333332</v>
      </c>
      <c r="Q17" s="16">
        <f t="shared" si="13"/>
        <v>12194.166666666666</v>
      </c>
      <c r="R17" s="16">
        <f t="shared" si="13"/>
        <v>15564.674999999999</v>
      </c>
      <c r="S17" s="16">
        <f t="shared" si="16"/>
        <v>11436.666666666666</v>
      </c>
      <c r="T17" s="16">
        <f t="shared" si="16"/>
        <v>12063.333333333334</v>
      </c>
      <c r="U17" s="16">
        <f t="shared" si="16"/>
        <v>13418.733333333334</v>
      </c>
      <c r="V17" s="16">
        <f t="shared" si="16"/>
        <v>10691.666666666666</v>
      </c>
      <c r="W17" s="16">
        <f t="shared" si="16"/>
        <v>11455.341333333334</v>
      </c>
      <c r="X17" s="16">
        <f t="shared" si="16"/>
        <v>8813.3333333333339</v>
      </c>
      <c r="Y17" s="16">
        <f t="shared" si="16"/>
        <v>12825</v>
      </c>
      <c r="Z17" s="16">
        <f>+$K17/60</f>
        <v>13573.158333333333</v>
      </c>
      <c r="AA17" s="16"/>
      <c r="AB17" s="16"/>
      <c r="AC17" s="16"/>
      <c r="AD17" s="16"/>
      <c r="AE17" s="16"/>
      <c r="AF17" s="16"/>
      <c r="AG17" s="16">
        <f>SUM(N17:AA17)</f>
        <v>139549.408</v>
      </c>
      <c r="AH17" s="16">
        <f>SUM(AG$5:AG17)</f>
        <v>876212.33200000017</v>
      </c>
      <c r="AI17" s="16">
        <f t="shared" si="8"/>
        <v>7496752.148</v>
      </c>
      <c r="AJ17" s="16">
        <f t="shared" si="9"/>
        <v>7636301.5559999999</v>
      </c>
      <c r="AL17" s="16"/>
      <c r="AM17" s="16">
        <f t="shared" si="14"/>
        <v>750</v>
      </c>
      <c r="AN17" s="16">
        <f t="shared" si="14"/>
        <v>86816.666666666672</v>
      </c>
      <c r="AO17" s="16">
        <f t="shared" si="14"/>
        <v>60970.833333333336</v>
      </c>
      <c r="AP17" s="16">
        <f t="shared" si="14"/>
        <v>77823.375</v>
      </c>
      <c r="AQ17" s="16">
        <f t="shared" si="14"/>
        <v>57183.333333333336</v>
      </c>
      <c r="AR17" s="16">
        <f t="shared" si="14"/>
        <v>60316.666666666664</v>
      </c>
      <c r="AS17" s="16">
        <f t="shared" si="14"/>
        <v>67093.666666666672</v>
      </c>
      <c r="AT17" s="16">
        <f t="shared" si="14"/>
        <v>53458.333333333336</v>
      </c>
      <c r="AU17" s="16">
        <f t="shared" si="14"/>
        <v>57276.706666666665</v>
      </c>
      <c r="AV17" s="16">
        <f t="shared" si="14"/>
        <v>44066.666666666664</v>
      </c>
      <c r="AW17" s="16">
        <f t="shared" si="14"/>
        <v>64125</v>
      </c>
      <c r="AX17" s="16">
        <f>$K17/12</f>
        <v>67865.791666666672</v>
      </c>
      <c r="AY17" s="16"/>
      <c r="AZ17" s="16"/>
      <c r="BA17" s="16"/>
      <c r="BB17" s="16"/>
      <c r="BC17" s="16"/>
      <c r="BD17" s="16"/>
      <c r="BE17" s="16">
        <f>SUM(AL17:AY17)</f>
        <v>697747.03999999992</v>
      </c>
      <c r="BF17" s="6"/>
      <c r="BG17" s="21">
        <f t="shared" si="11"/>
        <v>697747.03999999992</v>
      </c>
      <c r="BH17" s="21">
        <f t="shared" si="5"/>
        <v>139549.408</v>
      </c>
      <c r="BI17" s="16">
        <f t="shared" si="12"/>
        <v>-558197.63199999998</v>
      </c>
      <c r="BJ17" s="16">
        <f>+BI17*'Capital Structure '!$E$30</f>
        <v>-228023.73267199998</v>
      </c>
      <c r="BK17" s="16">
        <f>SUM(BJ$5:BJ17)</f>
        <v>-1431730.9504879999</v>
      </c>
      <c r="BL17" s="4"/>
    </row>
    <row r="18" spans="1:64" outlineLevel="1">
      <c r="A18" s="19" t="s">
        <v>54</v>
      </c>
      <c r="B18" s="19">
        <f>+B17</f>
        <v>2013</v>
      </c>
      <c r="C18" s="10" t="s">
        <v>47</v>
      </c>
      <c r="D18" s="57">
        <v>4000</v>
      </c>
      <c r="E18" s="65">
        <v>450000</v>
      </c>
      <c r="F18" s="65"/>
      <c r="G18" s="56">
        <f t="shared" si="2"/>
        <v>454000</v>
      </c>
      <c r="H18" s="56"/>
      <c r="I18" s="57">
        <v>533700</v>
      </c>
      <c r="J18" s="56"/>
      <c r="K18" s="17">
        <f t="shared" si="3"/>
        <v>987700</v>
      </c>
      <c r="L18" s="17">
        <f>SUM(K$5:K18)</f>
        <v>9360664.4800000004</v>
      </c>
      <c r="M18" s="6"/>
      <c r="N18" s="17">
        <f t="shared" si="13"/>
        <v>0</v>
      </c>
      <c r="O18" s="17">
        <f t="shared" si="13"/>
        <v>150</v>
      </c>
      <c r="P18" s="17">
        <f t="shared" si="13"/>
        <v>17363.333333333332</v>
      </c>
      <c r="Q18" s="17">
        <f t="shared" si="13"/>
        <v>12194.166666666666</v>
      </c>
      <c r="R18" s="17">
        <f t="shared" si="13"/>
        <v>15564.674999999999</v>
      </c>
      <c r="S18" s="17">
        <f t="shared" si="16"/>
        <v>11436.666666666666</v>
      </c>
      <c r="T18" s="17">
        <f t="shared" si="16"/>
        <v>12063.333333333334</v>
      </c>
      <c r="U18" s="17">
        <f t="shared" si="16"/>
        <v>13418.733333333334</v>
      </c>
      <c r="V18" s="16">
        <f t="shared" si="16"/>
        <v>10691.666666666666</v>
      </c>
      <c r="W18" s="16">
        <f t="shared" si="16"/>
        <v>11455.341333333334</v>
      </c>
      <c r="X18" s="16">
        <f t="shared" si="16"/>
        <v>8813.3333333333339</v>
      </c>
      <c r="Y18" s="16">
        <f t="shared" si="16"/>
        <v>12825</v>
      </c>
      <c r="Z18" s="16">
        <f>Z17</f>
        <v>13573.158333333333</v>
      </c>
      <c r="AA18" s="16">
        <f>+$K18/60</f>
        <v>16461.666666666668</v>
      </c>
      <c r="AB18" s="16"/>
      <c r="AC18" s="16"/>
      <c r="AD18" s="16"/>
      <c r="AE18" s="16"/>
      <c r="AF18" s="16"/>
      <c r="AG18" s="16">
        <f>SUM(N18:AA18)</f>
        <v>156011.07466666665</v>
      </c>
      <c r="AH18" s="16">
        <f>SUM(AG$5:AG18)</f>
        <v>1032223.4066666669</v>
      </c>
      <c r="AI18" s="16">
        <f t="shared" si="8"/>
        <v>8328441.0733333332</v>
      </c>
      <c r="AJ18" s="16">
        <f t="shared" si="9"/>
        <v>8484452.148</v>
      </c>
      <c r="AK18" s="6"/>
      <c r="AL18" s="17"/>
      <c r="AM18" s="17"/>
      <c r="AN18" s="17">
        <f t="shared" si="14"/>
        <v>86816.666666666672</v>
      </c>
      <c r="AO18" s="17">
        <f t="shared" si="14"/>
        <v>60970.833333333336</v>
      </c>
      <c r="AP18" s="17">
        <f t="shared" si="14"/>
        <v>77823.375</v>
      </c>
      <c r="AQ18" s="17">
        <f t="shared" si="14"/>
        <v>57183.333333333336</v>
      </c>
      <c r="AR18" s="17">
        <f t="shared" si="14"/>
        <v>60316.666666666664</v>
      </c>
      <c r="AS18" s="17">
        <f t="shared" si="14"/>
        <v>67093.666666666672</v>
      </c>
      <c r="AT18" s="16">
        <f t="shared" si="14"/>
        <v>53458.333333333336</v>
      </c>
      <c r="AU18" s="16">
        <f t="shared" si="14"/>
        <v>57276.706666666665</v>
      </c>
      <c r="AV18" s="16">
        <f t="shared" si="14"/>
        <v>44066.666666666664</v>
      </c>
      <c r="AW18" s="16">
        <f t="shared" si="14"/>
        <v>64125</v>
      </c>
      <c r="AX18" s="16">
        <f>AX17</f>
        <v>67865.791666666672</v>
      </c>
      <c r="AY18" s="16">
        <f>$K18/12</f>
        <v>82308.333333333328</v>
      </c>
      <c r="AZ18" s="16"/>
      <c r="BA18" s="16"/>
      <c r="BB18" s="16"/>
      <c r="BC18" s="16"/>
      <c r="BD18" s="16"/>
      <c r="BE18" s="16">
        <f>SUM(AL18:AY18)</f>
        <v>779305.37333333329</v>
      </c>
      <c r="BF18" s="6"/>
      <c r="BG18" s="34">
        <f t="shared" si="11"/>
        <v>779305.37333333329</v>
      </c>
      <c r="BH18" s="34">
        <f t="shared" si="5"/>
        <v>156011.07466666665</v>
      </c>
      <c r="BI18" s="17">
        <f t="shared" si="12"/>
        <v>-623294.29866666661</v>
      </c>
      <c r="BJ18" s="16">
        <f>+BI18*'Capital Structure '!$E$30</f>
        <v>-254615.7210053333</v>
      </c>
      <c r="BK18" s="17">
        <f>SUM(BJ$5:BJ18)</f>
        <v>-1686346.6714933333</v>
      </c>
      <c r="BL18" s="4"/>
    </row>
    <row r="19" spans="1:64" s="3" customFormat="1" outlineLevel="1">
      <c r="A19" s="7" t="s">
        <v>55</v>
      </c>
      <c r="B19" s="7">
        <f>+B18</f>
        <v>2013</v>
      </c>
      <c r="C19" s="7" t="s">
        <v>47</v>
      </c>
      <c r="D19" s="57">
        <v>16000</v>
      </c>
      <c r="E19" s="65">
        <v>572205.5</v>
      </c>
      <c r="F19" s="65"/>
      <c r="G19" s="56">
        <f>SUM(D19:F19)</f>
        <v>588205.5</v>
      </c>
      <c r="H19" s="56"/>
      <c r="I19" s="57">
        <v>497700</v>
      </c>
      <c r="J19" s="56"/>
      <c r="K19" s="30">
        <f t="shared" si="3"/>
        <v>1085905.5</v>
      </c>
      <c r="L19" s="30">
        <f>SUM(K$5:K19)</f>
        <v>10446569.98</v>
      </c>
      <c r="N19" s="30">
        <f t="shared" si="13"/>
        <v>0</v>
      </c>
      <c r="O19" s="30">
        <f t="shared" si="13"/>
        <v>150</v>
      </c>
      <c r="P19" s="30">
        <f t="shared" si="13"/>
        <v>17363.333333333332</v>
      </c>
      <c r="Q19" s="30">
        <f t="shared" si="13"/>
        <v>12194.166666666666</v>
      </c>
      <c r="R19" s="30">
        <f t="shared" si="13"/>
        <v>15564.674999999999</v>
      </c>
      <c r="S19" s="30">
        <f t="shared" si="16"/>
        <v>11436.666666666666</v>
      </c>
      <c r="T19" s="30">
        <f t="shared" si="16"/>
        <v>12063.333333333334</v>
      </c>
      <c r="U19" s="30">
        <f t="shared" si="16"/>
        <v>13418.733333333334</v>
      </c>
      <c r="V19" s="30">
        <f t="shared" si="16"/>
        <v>10691.666666666666</v>
      </c>
      <c r="W19" s="30">
        <f t="shared" si="16"/>
        <v>11455.341333333334</v>
      </c>
      <c r="X19" s="30">
        <f t="shared" si="16"/>
        <v>8813.3333333333339</v>
      </c>
      <c r="Y19" s="30">
        <f t="shared" si="16"/>
        <v>12825</v>
      </c>
      <c r="Z19" s="30">
        <f t="shared" ref="Z19:AF34" si="17">Z18</f>
        <v>13573.158333333333</v>
      </c>
      <c r="AA19" s="30">
        <f>AA18</f>
        <v>16461.666666666668</v>
      </c>
      <c r="AB19" s="30">
        <f>+$K19/60</f>
        <v>18098.424999999999</v>
      </c>
      <c r="AC19" s="30"/>
      <c r="AD19" s="30"/>
      <c r="AE19" s="30"/>
      <c r="AF19" s="30"/>
      <c r="AG19" s="30">
        <f>SUM(N19:AB19)</f>
        <v>174109.49966666664</v>
      </c>
      <c r="AH19" s="30">
        <f>SUM(AG$5:AG19)</f>
        <v>1206332.9063333336</v>
      </c>
      <c r="AI19" s="30">
        <f t="shared" si="8"/>
        <v>9240237.0736666676</v>
      </c>
      <c r="AJ19" s="30">
        <f t="shared" si="9"/>
        <v>9414346.5733333342</v>
      </c>
      <c r="AL19" s="30"/>
      <c r="AM19" s="30"/>
      <c r="AN19" s="30"/>
      <c r="AO19" s="30">
        <f t="shared" si="14"/>
        <v>60970.833333333336</v>
      </c>
      <c r="AP19" s="30">
        <f t="shared" si="14"/>
        <v>77823.375</v>
      </c>
      <c r="AQ19" s="30">
        <f t="shared" si="14"/>
        <v>57183.333333333336</v>
      </c>
      <c r="AR19" s="30">
        <f t="shared" si="14"/>
        <v>60316.666666666664</v>
      </c>
      <c r="AS19" s="30">
        <f t="shared" si="14"/>
        <v>67093.666666666672</v>
      </c>
      <c r="AT19" s="30">
        <f t="shared" si="14"/>
        <v>53458.333333333336</v>
      </c>
      <c r="AU19" s="30">
        <f t="shared" si="14"/>
        <v>57276.706666666665</v>
      </c>
      <c r="AV19" s="30">
        <f t="shared" si="14"/>
        <v>44066.666666666664</v>
      </c>
      <c r="AW19" s="30">
        <f t="shared" si="14"/>
        <v>64125</v>
      </c>
      <c r="AX19" s="30">
        <f t="shared" ref="AX19:BD30" si="18">AX18</f>
        <v>67865.791666666672</v>
      </c>
      <c r="AY19" s="30">
        <f>AY18</f>
        <v>82308.333333333328</v>
      </c>
      <c r="AZ19" s="30">
        <f>$K19/12</f>
        <v>90492.125</v>
      </c>
      <c r="BA19" s="30"/>
      <c r="BB19" s="30"/>
      <c r="BC19" s="30"/>
      <c r="BD19" s="30"/>
      <c r="BE19" s="30">
        <f>SUM(AL19:AZ19)</f>
        <v>782980.83166666667</v>
      </c>
      <c r="BF19" s="4"/>
      <c r="BG19" s="22">
        <f t="shared" si="11"/>
        <v>782980.83166666667</v>
      </c>
      <c r="BH19" s="22">
        <f t="shared" si="5"/>
        <v>174109.49966666664</v>
      </c>
      <c r="BI19" s="30">
        <f t="shared" si="12"/>
        <v>-608871.33200000005</v>
      </c>
      <c r="BJ19" s="30">
        <f>+BI19*'Capital Structure '!$E$30</f>
        <v>-248723.93912200001</v>
      </c>
      <c r="BK19" s="30">
        <f>SUM(BJ$5:BJ19)</f>
        <v>-1935070.6106153333</v>
      </c>
      <c r="BL19" s="4"/>
    </row>
    <row r="20" spans="1:64" s="3" customFormat="1" outlineLevel="1">
      <c r="A20" s="7" t="s">
        <v>56</v>
      </c>
      <c r="B20" s="7">
        <f>+B19</f>
        <v>2013</v>
      </c>
      <c r="C20" s="7" t="s">
        <v>47</v>
      </c>
      <c r="D20" s="57">
        <v>10000</v>
      </c>
      <c r="E20" s="65">
        <v>617275.5</v>
      </c>
      <c r="F20" s="65"/>
      <c r="G20" s="56">
        <f t="shared" si="2"/>
        <v>627275.5</v>
      </c>
      <c r="H20" s="56"/>
      <c r="I20" s="57">
        <v>720900</v>
      </c>
      <c r="J20" s="56"/>
      <c r="K20" s="30">
        <f t="shared" si="3"/>
        <v>1348175.5</v>
      </c>
      <c r="L20" s="30">
        <f>SUM(K$5:K20)</f>
        <v>11794745.48</v>
      </c>
      <c r="N20" s="30">
        <f t="shared" si="13"/>
        <v>0</v>
      </c>
      <c r="O20" s="30">
        <f t="shared" si="13"/>
        <v>150</v>
      </c>
      <c r="P20" s="30">
        <f t="shared" si="13"/>
        <v>17363.333333333332</v>
      </c>
      <c r="Q20" s="30">
        <f t="shared" si="13"/>
        <v>12194.166666666666</v>
      </c>
      <c r="R20" s="30">
        <f t="shared" si="13"/>
        <v>15564.674999999999</v>
      </c>
      <c r="S20" s="30">
        <f t="shared" si="16"/>
        <v>11436.666666666666</v>
      </c>
      <c r="T20" s="30">
        <f t="shared" si="16"/>
        <v>12063.333333333334</v>
      </c>
      <c r="U20" s="30">
        <f t="shared" si="16"/>
        <v>13418.733333333334</v>
      </c>
      <c r="V20" s="30">
        <f t="shared" si="16"/>
        <v>10691.666666666666</v>
      </c>
      <c r="W20" s="30">
        <f t="shared" si="16"/>
        <v>11455.341333333334</v>
      </c>
      <c r="X20" s="30">
        <f t="shared" si="16"/>
        <v>8813.3333333333339</v>
      </c>
      <c r="Y20" s="30">
        <f t="shared" si="16"/>
        <v>12825</v>
      </c>
      <c r="Z20" s="30">
        <f t="shared" si="17"/>
        <v>13573.158333333333</v>
      </c>
      <c r="AA20" s="30">
        <f t="shared" si="17"/>
        <v>16461.666666666668</v>
      </c>
      <c r="AB20" s="30">
        <f>AB19</f>
        <v>18098.424999999999</v>
      </c>
      <c r="AC20" s="30">
        <f>+$K20/60</f>
        <v>22469.591666666667</v>
      </c>
      <c r="AD20" s="30"/>
      <c r="AE20" s="30"/>
      <c r="AF20" s="30"/>
      <c r="AG20" s="30">
        <f>SUM(N20:AC20)</f>
        <v>196579.09133333332</v>
      </c>
      <c r="AH20" s="30">
        <f>SUM(AG$5:AG20)</f>
        <v>1402911.997666667</v>
      </c>
      <c r="AI20" s="30">
        <f t="shared" si="8"/>
        <v>10391833.482333334</v>
      </c>
      <c r="AJ20" s="30">
        <f t="shared" si="9"/>
        <v>10588412.573666668</v>
      </c>
      <c r="AL20" s="30"/>
      <c r="AM20" s="30"/>
      <c r="AN20" s="30"/>
      <c r="AO20" s="30"/>
      <c r="AP20" s="30">
        <f t="shared" si="14"/>
        <v>77823.375</v>
      </c>
      <c r="AQ20" s="30">
        <f t="shared" si="14"/>
        <v>57183.333333333336</v>
      </c>
      <c r="AR20" s="30">
        <f t="shared" si="14"/>
        <v>60316.666666666664</v>
      </c>
      <c r="AS20" s="30">
        <f t="shared" si="14"/>
        <v>67093.666666666672</v>
      </c>
      <c r="AT20" s="30">
        <f t="shared" si="14"/>
        <v>53458.333333333336</v>
      </c>
      <c r="AU20" s="30">
        <f t="shared" si="14"/>
        <v>57276.706666666665</v>
      </c>
      <c r="AV20" s="30">
        <f t="shared" si="14"/>
        <v>44066.666666666664</v>
      </c>
      <c r="AW20" s="30">
        <f t="shared" si="14"/>
        <v>64125</v>
      </c>
      <c r="AX20" s="30">
        <f t="shared" si="18"/>
        <v>67865.791666666672</v>
      </c>
      <c r="AY20" s="30">
        <f t="shared" si="18"/>
        <v>82308.333333333328</v>
      </c>
      <c r="AZ20" s="30">
        <f>AZ19</f>
        <v>90492.125</v>
      </c>
      <c r="BA20" s="30">
        <f>$K20/12</f>
        <v>112347.95833333333</v>
      </c>
      <c r="BB20" s="30"/>
      <c r="BC20" s="30"/>
      <c r="BD20" s="30"/>
      <c r="BE20" s="30">
        <f>SUM(AL20:BA20)</f>
        <v>834357.95666666678</v>
      </c>
      <c r="BF20" s="4"/>
      <c r="BG20" s="22">
        <f>+BE20</f>
        <v>834357.95666666678</v>
      </c>
      <c r="BH20" s="22">
        <f t="shared" si="5"/>
        <v>196579.09133333332</v>
      </c>
      <c r="BI20" s="30">
        <f>+BH20-BG20</f>
        <v>-637778.8653333335</v>
      </c>
      <c r="BJ20" s="30">
        <f>+BI20*'Capital Structure '!$E$30</f>
        <v>-260532.66648866673</v>
      </c>
      <c r="BK20" s="30">
        <f>SUM(BJ$5:BJ20)</f>
        <v>-2195603.2771040001</v>
      </c>
      <c r="BL20" s="4"/>
    </row>
    <row r="21" spans="1:64" s="3" customFormat="1" outlineLevel="1">
      <c r="A21" s="7" t="s">
        <v>57</v>
      </c>
      <c r="B21" s="7">
        <f>+B20</f>
        <v>2013</v>
      </c>
      <c r="C21" s="7" t="s">
        <v>47</v>
      </c>
      <c r="D21" s="57">
        <v>3871.55</v>
      </c>
      <c r="E21" s="65">
        <v>603374.71</v>
      </c>
      <c r="F21" s="65"/>
      <c r="G21" s="56">
        <f t="shared" si="2"/>
        <v>607246.26</v>
      </c>
      <c r="H21" s="56"/>
      <c r="I21" s="57">
        <v>606600</v>
      </c>
      <c r="J21" s="56"/>
      <c r="K21" s="30">
        <f t="shared" si="3"/>
        <v>1213846.26</v>
      </c>
      <c r="L21" s="30">
        <f>SUM(K$5:K21)</f>
        <v>13008591.74</v>
      </c>
      <c r="N21" s="30">
        <f t="shared" si="13"/>
        <v>0</v>
      </c>
      <c r="O21" s="30">
        <f t="shared" si="13"/>
        <v>150</v>
      </c>
      <c r="P21" s="30">
        <f t="shared" si="13"/>
        <v>17363.333333333332</v>
      </c>
      <c r="Q21" s="30">
        <f t="shared" si="13"/>
        <v>12194.166666666666</v>
      </c>
      <c r="R21" s="30">
        <f t="shared" si="13"/>
        <v>15564.674999999999</v>
      </c>
      <c r="S21" s="30">
        <f t="shared" si="16"/>
        <v>11436.666666666666</v>
      </c>
      <c r="T21" s="30">
        <f t="shared" si="16"/>
        <v>12063.333333333334</v>
      </c>
      <c r="U21" s="30">
        <f t="shared" si="16"/>
        <v>13418.733333333334</v>
      </c>
      <c r="V21" s="30">
        <f t="shared" si="16"/>
        <v>10691.666666666666</v>
      </c>
      <c r="W21" s="30">
        <f t="shared" si="16"/>
        <v>11455.341333333334</v>
      </c>
      <c r="X21" s="30">
        <f t="shared" si="16"/>
        <v>8813.3333333333339</v>
      </c>
      <c r="Y21" s="30">
        <f t="shared" si="16"/>
        <v>12825</v>
      </c>
      <c r="Z21" s="30">
        <f t="shared" si="17"/>
        <v>13573.158333333333</v>
      </c>
      <c r="AA21" s="30">
        <f t="shared" si="17"/>
        <v>16461.666666666668</v>
      </c>
      <c r="AB21" s="30">
        <f t="shared" si="17"/>
        <v>18098.424999999999</v>
      </c>
      <c r="AC21" s="30">
        <f>AC20</f>
        <v>22469.591666666667</v>
      </c>
      <c r="AD21" s="30">
        <f>+$K21/60</f>
        <v>20230.771000000001</v>
      </c>
      <c r="AE21" s="30"/>
      <c r="AF21" s="30"/>
      <c r="AG21" s="30">
        <f>SUM(N21:AD21)</f>
        <v>216809.86233333332</v>
      </c>
      <c r="AH21" s="30">
        <f>SUM(AG$5:AG21)</f>
        <v>1619721.8600000003</v>
      </c>
      <c r="AI21" s="30">
        <f t="shared" si="8"/>
        <v>11388869.879999999</v>
      </c>
      <c r="AJ21" s="30">
        <f t="shared" si="9"/>
        <v>11605679.742333334</v>
      </c>
      <c r="AL21" s="30"/>
      <c r="AM21" s="30"/>
      <c r="AN21" s="30"/>
      <c r="AO21" s="30"/>
      <c r="AP21" s="30"/>
      <c r="AQ21" s="30">
        <f t="shared" si="14"/>
        <v>57183.333333333336</v>
      </c>
      <c r="AR21" s="30">
        <f t="shared" si="14"/>
        <v>60316.666666666664</v>
      </c>
      <c r="AS21" s="30">
        <f t="shared" si="14"/>
        <v>67093.666666666672</v>
      </c>
      <c r="AT21" s="30">
        <f t="shared" si="14"/>
        <v>53458.333333333336</v>
      </c>
      <c r="AU21" s="30">
        <f t="shared" si="14"/>
        <v>57276.706666666665</v>
      </c>
      <c r="AV21" s="30">
        <f t="shared" si="14"/>
        <v>44066.666666666664</v>
      </c>
      <c r="AW21" s="30">
        <f t="shared" si="14"/>
        <v>64125</v>
      </c>
      <c r="AX21" s="30">
        <f t="shared" si="18"/>
        <v>67865.791666666672</v>
      </c>
      <c r="AY21" s="30">
        <f t="shared" si="18"/>
        <v>82308.333333333328</v>
      </c>
      <c r="AZ21" s="30">
        <f t="shared" si="18"/>
        <v>90492.125</v>
      </c>
      <c r="BA21" s="30">
        <f>BA20</f>
        <v>112347.95833333333</v>
      </c>
      <c r="BB21" s="30">
        <f>+$K21/12</f>
        <v>101153.855</v>
      </c>
      <c r="BC21" s="30"/>
      <c r="BD21" s="30"/>
      <c r="BE21" s="30">
        <f>SUM(AL21:BB21)</f>
        <v>857688.43666666676</v>
      </c>
      <c r="BF21" s="4"/>
      <c r="BG21" s="22">
        <f t="shared" si="11"/>
        <v>857688.43666666676</v>
      </c>
      <c r="BH21" s="22">
        <f t="shared" si="5"/>
        <v>216809.86233333332</v>
      </c>
      <c r="BI21" s="30">
        <f t="shared" si="12"/>
        <v>-640878.57433333341</v>
      </c>
      <c r="BJ21" s="30">
        <f>+BI21*'Capital Structure '!$E$30</f>
        <v>-261798.89761516667</v>
      </c>
      <c r="BK21" s="30">
        <f>SUM(BJ$5:BJ21)</f>
        <v>-2457402.1747191669</v>
      </c>
      <c r="BL21" s="4"/>
    </row>
    <row r="22" spans="1:64" s="3" customFormat="1" outlineLevel="1">
      <c r="A22" s="7" t="s">
        <v>58</v>
      </c>
      <c r="B22" s="7">
        <f>+B21</f>
        <v>2013</v>
      </c>
      <c r="C22" s="7" t="s">
        <v>47</v>
      </c>
      <c r="D22" s="57"/>
      <c r="E22" s="65">
        <v>436577.14</v>
      </c>
      <c r="F22" s="65"/>
      <c r="G22" s="56">
        <f t="shared" si="2"/>
        <v>436577.14</v>
      </c>
      <c r="H22" s="56"/>
      <c r="I22" s="57">
        <v>454500</v>
      </c>
      <c r="J22" s="56"/>
      <c r="K22" s="30">
        <f t="shared" si="3"/>
        <v>891077.14</v>
      </c>
      <c r="L22" s="30">
        <f>SUM(K$5:K22)</f>
        <v>13899668.880000001</v>
      </c>
      <c r="N22" s="30">
        <f t="shared" si="13"/>
        <v>0</v>
      </c>
      <c r="O22" s="30">
        <f t="shared" si="13"/>
        <v>150</v>
      </c>
      <c r="P22" s="30">
        <f t="shared" si="13"/>
        <v>17363.333333333332</v>
      </c>
      <c r="Q22" s="30">
        <f t="shared" si="13"/>
        <v>12194.166666666666</v>
      </c>
      <c r="R22" s="30">
        <f t="shared" si="13"/>
        <v>15564.674999999999</v>
      </c>
      <c r="S22" s="30">
        <f t="shared" si="16"/>
        <v>11436.666666666666</v>
      </c>
      <c r="T22" s="30">
        <f t="shared" si="16"/>
        <v>12063.333333333334</v>
      </c>
      <c r="U22" s="30">
        <f t="shared" si="16"/>
        <v>13418.733333333334</v>
      </c>
      <c r="V22" s="30">
        <f t="shared" si="16"/>
        <v>10691.666666666666</v>
      </c>
      <c r="W22" s="30">
        <f t="shared" si="16"/>
        <v>11455.341333333334</v>
      </c>
      <c r="X22" s="30">
        <f t="shared" si="16"/>
        <v>8813.3333333333339</v>
      </c>
      <c r="Y22" s="30">
        <f t="shared" si="16"/>
        <v>12825</v>
      </c>
      <c r="Z22" s="30">
        <f t="shared" si="17"/>
        <v>13573.158333333333</v>
      </c>
      <c r="AA22" s="30">
        <f t="shared" si="17"/>
        <v>16461.666666666668</v>
      </c>
      <c r="AB22" s="30">
        <f t="shared" si="17"/>
        <v>18098.424999999999</v>
      </c>
      <c r="AC22" s="30">
        <f t="shared" si="17"/>
        <v>22469.591666666667</v>
      </c>
      <c r="AD22" s="30">
        <f>AD21</f>
        <v>20230.771000000001</v>
      </c>
      <c r="AE22" s="30">
        <f>+$K22/60</f>
        <v>14851.285666666667</v>
      </c>
      <c r="AF22" s="30"/>
      <c r="AG22" s="30">
        <f>SUM(N22:AE22)</f>
        <v>231661.14799999999</v>
      </c>
      <c r="AH22" s="30">
        <f>SUM(AG$5:AG22)</f>
        <v>1851383.0080000004</v>
      </c>
      <c r="AI22" s="30">
        <f t="shared" si="8"/>
        <v>12048285.872000001</v>
      </c>
      <c r="AJ22" s="30">
        <f t="shared" si="9"/>
        <v>12279947.02</v>
      </c>
      <c r="AL22" s="30"/>
      <c r="AM22" s="30"/>
      <c r="AN22" s="30"/>
      <c r="AO22" s="30"/>
      <c r="AP22" s="30"/>
      <c r="AQ22" s="30"/>
      <c r="AR22" s="30">
        <f t="shared" si="14"/>
        <v>60316.666666666664</v>
      </c>
      <c r="AS22" s="30">
        <f t="shared" si="14"/>
        <v>67093.666666666672</v>
      </c>
      <c r="AT22" s="30">
        <f t="shared" si="14"/>
        <v>53458.333333333336</v>
      </c>
      <c r="AU22" s="30">
        <f t="shared" si="14"/>
        <v>57276.706666666665</v>
      </c>
      <c r="AV22" s="30">
        <f t="shared" si="14"/>
        <v>44066.666666666664</v>
      </c>
      <c r="AW22" s="30">
        <f t="shared" si="14"/>
        <v>64125</v>
      </c>
      <c r="AX22" s="30">
        <f t="shared" si="18"/>
        <v>67865.791666666672</v>
      </c>
      <c r="AY22" s="30">
        <f t="shared" si="18"/>
        <v>82308.333333333328</v>
      </c>
      <c r="AZ22" s="30">
        <f t="shared" si="18"/>
        <v>90492.125</v>
      </c>
      <c r="BA22" s="30">
        <f t="shared" si="18"/>
        <v>112347.95833333333</v>
      </c>
      <c r="BB22" s="30">
        <f>BB21</f>
        <v>101153.855</v>
      </c>
      <c r="BC22" s="30">
        <f>+$K22/12</f>
        <v>74256.42833333333</v>
      </c>
      <c r="BD22" s="30"/>
      <c r="BE22" s="30">
        <f>SUM(AL22:BC22)</f>
        <v>874761.53166666673</v>
      </c>
      <c r="BF22" s="4"/>
      <c r="BG22" s="22">
        <f>+BE22</f>
        <v>874761.53166666673</v>
      </c>
      <c r="BH22" s="22">
        <f t="shared" si="5"/>
        <v>231661.14799999999</v>
      </c>
      <c r="BI22" s="30">
        <f>+BH22-BG22</f>
        <v>-643100.38366666669</v>
      </c>
      <c r="BJ22" s="30">
        <f>+BI22*'Capital Structure '!$E$30</f>
        <v>-262706.5067278333</v>
      </c>
      <c r="BK22" s="30">
        <f>SUM(BJ$5:BJ22)</f>
        <v>-2720108.6814470002</v>
      </c>
      <c r="BL22" s="4"/>
    </row>
    <row r="23" spans="1:64" outlineLevel="1">
      <c r="A23" s="10" t="s">
        <v>59</v>
      </c>
      <c r="B23" s="10">
        <f t="shared" ref="B23:B28" si="19">+B22</f>
        <v>2013</v>
      </c>
      <c r="C23" s="7" t="s">
        <v>47</v>
      </c>
      <c r="D23" s="57"/>
      <c r="E23" s="55"/>
      <c r="F23" s="65"/>
      <c r="G23" s="56">
        <f t="shared" si="2"/>
        <v>0</v>
      </c>
      <c r="H23" s="56"/>
      <c r="I23" s="57">
        <v>-2700</v>
      </c>
      <c r="J23" s="56"/>
      <c r="K23" s="16">
        <f t="shared" si="3"/>
        <v>-2700</v>
      </c>
      <c r="L23" s="16">
        <f>SUM(K$5:K23)</f>
        <v>13896968.880000001</v>
      </c>
      <c r="N23" s="16">
        <f t="shared" si="13"/>
        <v>0</v>
      </c>
      <c r="O23" s="16">
        <f t="shared" si="13"/>
        <v>150</v>
      </c>
      <c r="P23" s="16">
        <f t="shared" si="13"/>
        <v>17363.333333333332</v>
      </c>
      <c r="Q23" s="16">
        <f t="shared" si="13"/>
        <v>12194.166666666666</v>
      </c>
      <c r="R23" s="16">
        <f t="shared" si="13"/>
        <v>15564.674999999999</v>
      </c>
      <c r="S23" s="16">
        <f t="shared" si="16"/>
        <v>11436.666666666666</v>
      </c>
      <c r="T23" s="16">
        <f t="shared" si="16"/>
        <v>12063.333333333334</v>
      </c>
      <c r="U23" s="16">
        <f t="shared" si="16"/>
        <v>13418.733333333334</v>
      </c>
      <c r="V23" s="16">
        <f t="shared" si="16"/>
        <v>10691.666666666666</v>
      </c>
      <c r="W23" s="16">
        <f t="shared" si="16"/>
        <v>11455.341333333334</v>
      </c>
      <c r="X23" s="16">
        <f t="shared" si="16"/>
        <v>8813.3333333333339</v>
      </c>
      <c r="Y23" s="16">
        <f t="shared" si="16"/>
        <v>12825</v>
      </c>
      <c r="Z23" s="16">
        <f t="shared" si="17"/>
        <v>13573.158333333333</v>
      </c>
      <c r="AA23" s="30">
        <f t="shared" si="17"/>
        <v>16461.666666666668</v>
      </c>
      <c r="AB23" s="30">
        <f t="shared" si="17"/>
        <v>18098.424999999999</v>
      </c>
      <c r="AC23" s="16">
        <f t="shared" si="17"/>
        <v>22469.591666666667</v>
      </c>
      <c r="AD23" s="16">
        <f t="shared" si="17"/>
        <v>20230.771000000001</v>
      </c>
      <c r="AE23" s="16">
        <f>AE22</f>
        <v>14851.285666666667</v>
      </c>
      <c r="AF23" s="16">
        <f>+$K23/60</f>
        <v>-45</v>
      </c>
      <c r="AG23" s="16">
        <f t="shared" ref="AG23:AG54" si="20">SUM(N23:AF23)</f>
        <v>231616.14799999999</v>
      </c>
      <c r="AH23" s="16">
        <f>SUM(AG$5:AG23)</f>
        <v>2082999.1560000004</v>
      </c>
      <c r="AI23" s="16">
        <f t="shared" si="8"/>
        <v>11813969.723999999</v>
      </c>
      <c r="AJ23" s="16">
        <f t="shared" si="9"/>
        <v>12045585.872000001</v>
      </c>
      <c r="AL23" s="16"/>
      <c r="AM23" s="16"/>
      <c r="AN23" s="16"/>
      <c r="AO23" s="16"/>
      <c r="AP23" s="16"/>
      <c r="AQ23" s="16"/>
      <c r="AR23" s="16"/>
      <c r="AS23" s="16">
        <f t="shared" si="14"/>
        <v>67093.666666666672</v>
      </c>
      <c r="AT23" s="16">
        <f t="shared" si="14"/>
        <v>53458.333333333336</v>
      </c>
      <c r="AU23" s="16">
        <f t="shared" si="14"/>
        <v>57276.706666666665</v>
      </c>
      <c r="AV23" s="16">
        <f t="shared" si="14"/>
        <v>44066.666666666664</v>
      </c>
      <c r="AW23" s="16">
        <f t="shared" si="14"/>
        <v>64125</v>
      </c>
      <c r="AX23" s="16">
        <f t="shared" si="18"/>
        <v>67865.791666666672</v>
      </c>
      <c r="AY23" s="16">
        <f t="shared" si="18"/>
        <v>82308.333333333328</v>
      </c>
      <c r="AZ23" s="16">
        <f t="shared" si="18"/>
        <v>90492.125</v>
      </c>
      <c r="BA23" s="16">
        <f t="shared" si="18"/>
        <v>112347.95833333333</v>
      </c>
      <c r="BB23" s="16">
        <f t="shared" si="18"/>
        <v>101153.855</v>
      </c>
      <c r="BC23" s="16">
        <f>BC22</f>
        <v>74256.42833333333</v>
      </c>
      <c r="BD23" s="30">
        <f>+$K23/12</f>
        <v>-225</v>
      </c>
      <c r="BE23" s="30">
        <f t="shared" ref="BE23:BE34" si="21">SUM(AL23:BD23)</f>
        <v>814219.86499999999</v>
      </c>
      <c r="BF23" s="6"/>
      <c r="BG23" s="21">
        <f>+BE23</f>
        <v>814219.86499999999</v>
      </c>
      <c r="BH23" s="21">
        <f t="shared" si="5"/>
        <v>231616.14799999999</v>
      </c>
      <c r="BI23" s="16">
        <f>+BH23-BG23</f>
        <v>-582603.71699999995</v>
      </c>
      <c r="BJ23" s="16">
        <f>+BI23*'Capital Structure '!$E$30</f>
        <v>-237993.61839449996</v>
      </c>
      <c r="BK23" s="16">
        <f>SUM(BJ$5:BJ23)</f>
        <v>-2958102.2998415004</v>
      </c>
      <c r="BL23" s="4"/>
    </row>
    <row r="24" spans="1:64" outlineLevel="1">
      <c r="A24" s="10" t="s">
        <v>46</v>
      </c>
      <c r="B24" s="10">
        <f t="shared" si="19"/>
        <v>2013</v>
      </c>
      <c r="C24" s="7" t="s">
        <v>47</v>
      </c>
      <c r="D24" s="57"/>
      <c r="E24" s="55"/>
      <c r="F24" s="65"/>
      <c r="G24" s="56">
        <f t="shared" si="2"/>
        <v>0</v>
      </c>
      <c r="H24" s="56"/>
      <c r="I24" s="57"/>
      <c r="J24" s="56"/>
      <c r="K24" s="16">
        <f t="shared" si="3"/>
        <v>0</v>
      </c>
      <c r="L24" s="16">
        <f>SUM(K$5:K24)</f>
        <v>13896968.880000001</v>
      </c>
      <c r="N24" s="16">
        <f t="shared" si="13"/>
        <v>0</v>
      </c>
      <c r="O24" s="16">
        <f t="shared" si="13"/>
        <v>150</v>
      </c>
      <c r="P24" s="16">
        <f t="shared" si="13"/>
        <v>17363.333333333332</v>
      </c>
      <c r="Q24" s="16">
        <f t="shared" si="13"/>
        <v>12194.166666666666</v>
      </c>
      <c r="R24" s="16">
        <f t="shared" si="13"/>
        <v>15564.674999999999</v>
      </c>
      <c r="S24" s="16">
        <f t="shared" si="16"/>
        <v>11436.666666666666</v>
      </c>
      <c r="T24" s="16">
        <f t="shared" si="16"/>
        <v>12063.333333333334</v>
      </c>
      <c r="U24" s="16">
        <f t="shared" si="16"/>
        <v>13418.733333333334</v>
      </c>
      <c r="V24" s="16">
        <f t="shared" si="16"/>
        <v>10691.666666666666</v>
      </c>
      <c r="W24" s="16">
        <f t="shared" si="16"/>
        <v>11455.341333333334</v>
      </c>
      <c r="X24" s="16">
        <f t="shared" si="16"/>
        <v>8813.3333333333339</v>
      </c>
      <c r="Y24" s="16">
        <f t="shared" si="16"/>
        <v>12825</v>
      </c>
      <c r="Z24" s="16">
        <f t="shared" si="17"/>
        <v>13573.158333333333</v>
      </c>
      <c r="AA24" s="30">
        <f t="shared" si="17"/>
        <v>16461.666666666668</v>
      </c>
      <c r="AB24" s="30">
        <f t="shared" si="17"/>
        <v>18098.424999999999</v>
      </c>
      <c r="AC24" s="16">
        <f t="shared" si="17"/>
        <v>22469.591666666667</v>
      </c>
      <c r="AD24" s="16">
        <f t="shared" si="17"/>
        <v>20230.771000000001</v>
      </c>
      <c r="AE24" s="16">
        <f t="shared" si="17"/>
        <v>14851.285666666667</v>
      </c>
      <c r="AF24" s="16">
        <f>AF23</f>
        <v>-45</v>
      </c>
      <c r="AG24" s="30">
        <f t="shared" si="20"/>
        <v>231616.14799999999</v>
      </c>
      <c r="AH24" s="16">
        <f>SUM(AG$5:AG24)</f>
        <v>2314615.3040000005</v>
      </c>
      <c r="AI24" s="16">
        <f t="shared" si="8"/>
        <v>11582353.576000001</v>
      </c>
      <c r="AJ24" s="16">
        <f t="shared" si="9"/>
        <v>11813969.723999999</v>
      </c>
      <c r="AL24" s="16"/>
      <c r="AM24" s="16"/>
      <c r="AN24" s="16"/>
      <c r="AO24" s="16"/>
      <c r="AP24" s="16"/>
      <c r="AQ24" s="16"/>
      <c r="AR24" s="16"/>
      <c r="AS24" s="16"/>
      <c r="AT24" s="16">
        <f t="shared" si="14"/>
        <v>53458.333333333336</v>
      </c>
      <c r="AU24" s="16">
        <f t="shared" si="14"/>
        <v>57276.706666666665</v>
      </c>
      <c r="AV24" s="16">
        <f t="shared" si="14"/>
        <v>44066.666666666664</v>
      </c>
      <c r="AW24" s="16">
        <f t="shared" si="14"/>
        <v>64125</v>
      </c>
      <c r="AX24" s="16">
        <f t="shared" si="18"/>
        <v>67865.791666666672</v>
      </c>
      <c r="AY24" s="16">
        <f t="shared" si="18"/>
        <v>82308.333333333328</v>
      </c>
      <c r="AZ24" s="16">
        <f t="shared" si="18"/>
        <v>90492.125</v>
      </c>
      <c r="BA24" s="16">
        <f t="shared" si="18"/>
        <v>112347.95833333333</v>
      </c>
      <c r="BB24" s="16">
        <f t="shared" si="18"/>
        <v>101153.855</v>
      </c>
      <c r="BC24" s="16">
        <f t="shared" si="18"/>
        <v>74256.42833333333</v>
      </c>
      <c r="BD24" s="16">
        <f>BD23</f>
        <v>-225</v>
      </c>
      <c r="BE24" s="30">
        <f t="shared" si="21"/>
        <v>747126.19833333336</v>
      </c>
      <c r="BF24" s="6"/>
      <c r="BG24" s="21">
        <f t="shared" si="11"/>
        <v>747126.19833333336</v>
      </c>
      <c r="BH24" s="21">
        <f t="shared" si="5"/>
        <v>231616.14799999999</v>
      </c>
      <c r="BI24" s="16">
        <f t="shared" si="12"/>
        <v>-515510.05033333338</v>
      </c>
      <c r="BJ24" s="16">
        <f>+BI24*'Capital Structure '!$E$30</f>
        <v>-210585.85556116668</v>
      </c>
      <c r="BK24" s="16">
        <f>SUM(BJ$5:BJ24)</f>
        <v>-3168688.1554026669</v>
      </c>
      <c r="BL24" s="4"/>
    </row>
    <row r="25" spans="1:64" outlineLevel="1">
      <c r="A25" s="10" t="s">
        <v>48</v>
      </c>
      <c r="B25" s="10">
        <f t="shared" si="19"/>
        <v>2013</v>
      </c>
      <c r="C25" s="7" t="s">
        <v>47</v>
      </c>
      <c r="D25" s="57"/>
      <c r="E25" s="55"/>
      <c r="F25" s="65"/>
      <c r="G25" s="56">
        <f t="shared" si="2"/>
        <v>0</v>
      </c>
      <c r="H25" s="56"/>
      <c r="I25" s="57"/>
      <c r="J25" s="56"/>
      <c r="K25" s="16">
        <f t="shared" si="3"/>
        <v>0</v>
      </c>
      <c r="L25" s="16">
        <f>SUM(K$5:K25)</f>
        <v>13896968.880000001</v>
      </c>
      <c r="N25" s="16">
        <f t="shared" ref="N25:R39" si="22">+N24</f>
        <v>0</v>
      </c>
      <c r="O25" s="16">
        <f t="shared" si="22"/>
        <v>150</v>
      </c>
      <c r="P25" s="16">
        <f t="shared" si="22"/>
        <v>17363.333333333332</v>
      </c>
      <c r="Q25" s="16">
        <f t="shared" si="22"/>
        <v>12194.166666666666</v>
      </c>
      <c r="R25" s="16">
        <f t="shared" si="22"/>
        <v>15564.674999999999</v>
      </c>
      <c r="S25" s="16">
        <f t="shared" si="16"/>
        <v>11436.666666666666</v>
      </c>
      <c r="T25" s="16">
        <f t="shared" si="16"/>
        <v>12063.333333333334</v>
      </c>
      <c r="U25" s="16">
        <f t="shared" si="16"/>
        <v>13418.733333333334</v>
      </c>
      <c r="V25" s="16">
        <f t="shared" si="16"/>
        <v>10691.666666666666</v>
      </c>
      <c r="W25" s="16">
        <f t="shared" si="16"/>
        <v>11455.341333333334</v>
      </c>
      <c r="X25" s="16">
        <f t="shared" si="16"/>
        <v>8813.3333333333339</v>
      </c>
      <c r="Y25" s="16">
        <f t="shared" si="16"/>
        <v>12825</v>
      </c>
      <c r="Z25" s="16">
        <f t="shared" si="17"/>
        <v>13573.158333333333</v>
      </c>
      <c r="AA25" s="30">
        <f t="shared" si="17"/>
        <v>16461.666666666668</v>
      </c>
      <c r="AB25" s="30">
        <f t="shared" si="17"/>
        <v>18098.424999999999</v>
      </c>
      <c r="AC25" s="16">
        <f t="shared" si="17"/>
        <v>22469.591666666667</v>
      </c>
      <c r="AD25" s="16">
        <f t="shared" si="17"/>
        <v>20230.771000000001</v>
      </c>
      <c r="AE25" s="16">
        <f t="shared" si="17"/>
        <v>14851.285666666667</v>
      </c>
      <c r="AF25" s="16">
        <f t="shared" si="17"/>
        <v>-45</v>
      </c>
      <c r="AG25" s="16">
        <f t="shared" si="20"/>
        <v>231616.14799999999</v>
      </c>
      <c r="AH25" s="16">
        <f>SUM(AG$5:AG25)</f>
        <v>2546231.4520000005</v>
      </c>
      <c r="AI25" s="16">
        <f t="shared" si="8"/>
        <v>11350737.427999999</v>
      </c>
      <c r="AJ25" s="16">
        <f t="shared" si="9"/>
        <v>11582353.576000001</v>
      </c>
      <c r="AL25" s="16"/>
      <c r="AM25" s="16"/>
      <c r="AN25" s="16"/>
      <c r="AO25" s="16"/>
      <c r="AP25" s="16"/>
      <c r="AQ25" s="16"/>
      <c r="AR25" s="16"/>
      <c r="AS25" s="16"/>
      <c r="AT25" s="16"/>
      <c r="AU25" s="16">
        <f t="shared" si="14"/>
        <v>57276.706666666665</v>
      </c>
      <c r="AV25" s="16">
        <f t="shared" si="14"/>
        <v>44066.666666666664</v>
      </c>
      <c r="AW25" s="16">
        <f t="shared" si="14"/>
        <v>64125</v>
      </c>
      <c r="AX25" s="16">
        <f t="shared" si="18"/>
        <v>67865.791666666672</v>
      </c>
      <c r="AY25" s="16">
        <f t="shared" si="18"/>
        <v>82308.333333333328</v>
      </c>
      <c r="AZ25" s="16">
        <f t="shared" si="18"/>
        <v>90492.125</v>
      </c>
      <c r="BA25" s="16">
        <f t="shared" si="18"/>
        <v>112347.95833333333</v>
      </c>
      <c r="BB25" s="16">
        <f t="shared" si="18"/>
        <v>101153.855</v>
      </c>
      <c r="BC25" s="16">
        <f t="shared" si="18"/>
        <v>74256.42833333333</v>
      </c>
      <c r="BD25" s="16">
        <f t="shared" si="18"/>
        <v>-225</v>
      </c>
      <c r="BE25" s="30">
        <f t="shared" si="21"/>
        <v>693667.86499999999</v>
      </c>
      <c r="BF25" s="6"/>
      <c r="BG25" s="21">
        <f t="shared" si="11"/>
        <v>693667.86499999999</v>
      </c>
      <c r="BH25" s="21">
        <f t="shared" si="5"/>
        <v>231616.14799999999</v>
      </c>
      <c r="BI25" s="16">
        <f t="shared" si="12"/>
        <v>-462051.717</v>
      </c>
      <c r="BJ25" s="16">
        <f>+BI25*'Capital Structure '!$E$30</f>
        <v>-188748.1263945</v>
      </c>
      <c r="BK25" s="16">
        <f>SUM(BJ$5:BJ25)</f>
        <v>-3357436.2817971669</v>
      </c>
      <c r="BL25" s="4"/>
    </row>
    <row r="26" spans="1:64" outlineLevel="1">
      <c r="A26" s="10" t="s">
        <v>50</v>
      </c>
      <c r="B26" s="10">
        <f t="shared" si="19"/>
        <v>2013</v>
      </c>
      <c r="C26" s="7" t="s">
        <v>47</v>
      </c>
      <c r="D26" s="57"/>
      <c r="E26" s="55"/>
      <c r="F26" s="65"/>
      <c r="G26" s="56">
        <f t="shared" si="2"/>
        <v>0</v>
      </c>
      <c r="H26" s="56"/>
      <c r="I26" s="57"/>
      <c r="J26" s="56"/>
      <c r="K26" s="16">
        <f t="shared" si="3"/>
        <v>0</v>
      </c>
      <c r="L26" s="16">
        <f>SUM(K$5:K26)</f>
        <v>13896968.880000001</v>
      </c>
      <c r="N26" s="16">
        <f t="shared" si="22"/>
        <v>0</v>
      </c>
      <c r="O26" s="16">
        <f t="shared" si="22"/>
        <v>150</v>
      </c>
      <c r="P26" s="16">
        <f t="shared" si="22"/>
        <v>17363.333333333332</v>
      </c>
      <c r="Q26" s="16">
        <f t="shared" si="22"/>
        <v>12194.166666666666</v>
      </c>
      <c r="R26" s="16">
        <f t="shared" si="22"/>
        <v>15564.674999999999</v>
      </c>
      <c r="S26" s="16">
        <f t="shared" si="16"/>
        <v>11436.666666666666</v>
      </c>
      <c r="T26" s="16">
        <f t="shared" si="16"/>
        <v>12063.333333333334</v>
      </c>
      <c r="U26" s="16">
        <f t="shared" si="16"/>
        <v>13418.733333333334</v>
      </c>
      <c r="V26" s="16">
        <f t="shared" si="16"/>
        <v>10691.666666666666</v>
      </c>
      <c r="W26" s="16">
        <f t="shared" si="16"/>
        <v>11455.341333333334</v>
      </c>
      <c r="X26" s="16">
        <f t="shared" si="16"/>
        <v>8813.3333333333339</v>
      </c>
      <c r="Y26" s="16">
        <f t="shared" si="16"/>
        <v>12825</v>
      </c>
      <c r="Z26" s="16">
        <f t="shared" si="17"/>
        <v>13573.158333333333</v>
      </c>
      <c r="AA26" s="30">
        <f t="shared" si="17"/>
        <v>16461.666666666668</v>
      </c>
      <c r="AB26" s="30">
        <f t="shared" si="17"/>
        <v>18098.424999999999</v>
      </c>
      <c r="AC26" s="16">
        <f t="shared" si="17"/>
        <v>22469.591666666667</v>
      </c>
      <c r="AD26" s="16">
        <f t="shared" si="17"/>
        <v>20230.771000000001</v>
      </c>
      <c r="AE26" s="16">
        <f t="shared" si="17"/>
        <v>14851.285666666667</v>
      </c>
      <c r="AF26" s="16">
        <f t="shared" si="17"/>
        <v>-45</v>
      </c>
      <c r="AG26" s="16">
        <f t="shared" si="20"/>
        <v>231616.14799999999</v>
      </c>
      <c r="AH26" s="16">
        <f>SUM(AG$5:AG26)</f>
        <v>2777847.6000000006</v>
      </c>
      <c r="AI26" s="16">
        <f t="shared" si="8"/>
        <v>11119121.280000001</v>
      </c>
      <c r="AJ26" s="16">
        <f t="shared" si="9"/>
        <v>11350737.427999999</v>
      </c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>
        <f>+AV25</f>
        <v>44066.666666666664</v>
      </c>
      <c r="AW26" s="16">
        <f>+AW25</f>
        <v>64125</v>
      </c>
      <c r="AX26" s="16">
        <f t="shared" si="18"/>
        <v>67865.791666666672</v>
      </c>
      <c r="AY26" s="16">
        <f t="shared" si="18"/>
        <v>82308.333333333328</v>
      </c>
      <c r="AZ26" s="16">
        <f t="shared" si="18"/>
        <v>90492.125</v>
      </c>
      <c r="BA26" s="16">
        <f t="shared" si="18"/>
        <v>112347.95833333333</v>
      </c>
      <c r="BB26" s="16">
        <f t="shared" si="18"/>
        <v>101153.855</v>
      </c>
      <c r="BC26" s="16">
        <f t="shared" si="18"/>
        <v>74256.42833333333</v>
      </c>
      <c r="BD26" s="16">
        <f t="shared" si="18"/>
        <v>-225</v>
      </c>
      <c r="BE26" s="30">
        <f t="shared" si="21"/>
        <v>636391.15833333333</v>
      </c>
      <c r="BF26" s="6"/>
      <c r="BG26" s="21">
        <f t="shared" si="11"/>
        <v>636391.15833333333</v>
      </c>
      <c r="BH26" s="21">
        <f t="shared" si="5"/>
        <v>231616.14799999999</v>
      </c>
      <c r="BI26" s="16">
        <f t="shared" si="12"/>
        <v>-404775.01033333334</v>
      </c>
      <c r="BJ26" s="16">
        <f>+BI26*'Capital Structure '!$E$30</f>
        <v>-165350.59172116665</v>
      </c>
      <c r="BK26" s="16">
        <f>SUM(BJ$5:BJ26)</f>
        <v>-3522786.8735183338</v>
      </c>
      <c r="BL26" s="4"/>
    </row>
    <row r="27" spans="1:64" outlineLevel="1">
      <c r="A27" s="10" t="s">
        <v>51</v>
      </c>
      <c r="B27" s="10">
        <f t="shared" si="19"/>
        <v>2013</v>
      </c>
      <c r="C27" s="7" t="s">
        <v>47</v>
      </c>
      <c r="D27" s="57"/>
      <c r="E27" s="55"/>
      <c r="F27" s="65"/>
      <c r="G27" s="56">
        <f t="shared" si="2"/>
        <v>0</v>
      </c>
      <c r="H27" s="56"/>
      <c r="I27" s="57"/>
      <c r="J27" s="56"/>
      <c r="K27" s="16">
        <f t="shared" si="3"/>
        <v>0</v>
      </c>
      <c r="L27" s="16">
        <f>SUM(K$5:K27)</f>
        <v>13896968.880000001</v>
      </c>
      <c r="N27" s="16">
        <f t="shared" si="22"/>
        <v>0</v>
      </c>
      <c r="O27" s="16">
        <f t="shared" si="22"/>
        <v>150</v>
      </c>
      <c r="P27" s="16">
        <f t="shared" si="22"/>
        <v>17363.333333333332</v>
      </c>
      <c r="Q27" s="16">
        <f t="shared" si="22"/>
        <v>12194.166666666666</v>
      </c>
      <c r="R27" s="16">
        <f t="shared" si="22"/>
        <v>15564.674999999999</v>
      </c>
      <c r="S27" s="16">
        <f t="shared" ref="R27:Y42" si="23">+S26</f>
        <v>11436.666666666666</v>
      </c>
      <c r="T27" s="16">
        <f t="shared" si="23"/>
        <v>12063.333333333334</v>
      </c>
      <c r="U27" s="16">
        <f t="shared" si="23"/>
        <v>13418.733333333334</v>
      </c>
      <c r="V27" s="16">
        <f t="shared" si="23"/>
        <v>10691.666666666666</v>
      </c>
      <c r="W27" s="16">
        <f t="shared" si="23"/>
        <v>11455.341333333334</v>
      </c>
      <c r="X27" s="16">
        <f t="shared" si="23"/>
        <v>8813.3333333333339</v>
      </c>
      <c r="Y27" s="16">
        <f t="shared" si="23"/>
        <v>12825</v>
      </c>
      <c r="Z27" s="16">
        <f t="shared" si="17"/>
        <v>13573.158333333333</v>
      </c>
      <c r="AA27" s="30">
        <f t="shared" si="17"/>
        <v>16461.666666666668</v>
      </c>
      <c r="AB27" s="30">
        <f t="shared" si="17"/>
        <v>18098.424999999999</v>
      </c>
      <c r="AC27" s="16">
        <f t="shared" si="17"/>
        <v>22469.591666666667</v>
      </c>
      <c r="AD27" s="16">
        <f t="shared" si="17"/>
        <v>20230.771000000001</v>
      </c>
      <c r="AE27" s="16">
        <f t="shared" si="17"/>
        <v>14851.285666666667</v>
      </c>
      <c r="AF27" s="16">
        <f t="shared" si="17"/>
        <v>-45</v>
      </c>
      <c r="AG27" s="16">
        <f t="shared" si="20"/>
        <v>231616.14799999999</v>
      </c>
      <c r="AH27" s="16">
        <f>SUM(AG$5:AG27)</f>
        <v>3009463.7480000006</v>
      </c>
      <c r="AI27" s="16">
        <f t="shared" si="8"/>
        <v>10887505.131999999</v>
      </c>
      <c r="AJ27" s="16">
        <f t="shared" si="9"/>
        <v>11119121.280000001</v>
      </c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>
        <f>+AW26</f>
        <v>64125</v>
      </c>
      <c r="AX27" s="16">
        <f t="shared" si="18"/>
        <v>67865.791666666672</v>
      </c>
      <c r="AY27" s="16">
        <f t="shared" si="18"/>
        <v>82308.333333333328</v>
      </c>
      <c r="AZ27" s="16">
        <f t="shared" si="18"/>
        <v>90492.125</v>
      </c>
      <c r="BA27" s="16">
        <f t="shared" si="18"/>
        <v>112347.95833333333</v>
      </c>
      <c r="BB27" s="17">
        <f t="shared" si="18"/>
        <v>101153.855</v>
      </c>
      <c r="BC27" s="16">
        <f t="shared" si="18"/>
        <v>74256.42833333333</v>
      </c>
      <c r="BD27" s="16">
        <f t="shared" si="18"/>
        <v>-225</v>
      </c>
      <c r="BE27" s="30">
        <f t="shared" si="21"/>
        <v>592324.49166666658</v>
      </c>
      <c r="BF27" s="6"/>
      <c r="BG27" s="21">
        <f t="shared" si="11"/>
        <v>592324.49166666658</v>
      </c>
      <c r="BH27" s="21">
        <f t="shared" si="5"/>
        <v>231616.14799999999</v>
      </c>
      <c r="BI27" s="16">
        <f t="shared" si="12"/>
        <v>-360708.34366666659</v>
      </c>
      <c r="BJ27" s="16">
        <f>+BI27*'Capital Structure '!$E$30</f>
        <v>-147349.35838783329</v>
      </c>
      <c r="BK27" s="16">
        <f>SUM(BJ$5:BJ27)</f>
        <v>-3670136.2319061672</v>
      </c>
      <c r="BL27" s="4"/>
    </row>
    <row r="28" spans="1:64" outlineLevel="1">
      <c r="A28" s="24" t="s">
        <v>52</v>
      </c>
      <c r="B28" s="24">
        <f t="shared" si="19"/>
        <v>2013</v>
      </c>
      <c r="C28" s="24" t="s">
        <v>47</v>
      </c>
      <c r="D28" s="68"/>
      <c r="E28" s="58"/>
      <c r="F28" s="58"/>
      <c r="G28" s="60">
        <f t="shared" si="2"/>
        <v>0</v>
      </c>
      <c r="H28" s="60"/>
      <c r="I28" s="68"/>
      <c r="J28" s="60"/>
      <c r="K28" s="25">
        <f t="shared" si="3"/>
        <v>0</v>
      </c>
      <c r="L28" s="25">
        <f>SUM(K$5:K28)</f>
        <v>13896968.880000001</v>
      </c>
      <c r="M28" s="26"/>
      <c r="N28" s="25">
        <f t="shared" si="22"/>
        <v>0</v>
      </c>
      <c r="O28" s="25">
        <f t="shared" si="22"/>
        <v>150</v>
      </c>
      <c r="P28" s="25">
        <f t="shared" si="22"/>
        <v>17363.333333333332</v>
      </c>
      <c r="Q28" s="25">
        <f t="shared" si="22"/>
        <v>12194.166666666666</v>
      </c>
      <c r="R28" s="25">
        <f t="shared" si="22"/>
        <v>15564.674999999999</v>
      </c>
      <c r="S28" s="25">
        <f t="shared" si="23"/>
        <v>11436.666666666666</v>
      </c>
      <c r="T28" s="25">
        <f t="shared" si="23"/>
        <v>12063.333333333334</v>
      </c>
      <c r="U28" s="25">
        <f t="shared" si="23"/>
        <v>13418.733333333334</v>
      </c>
      <c r="V28" s="25">
        <f t="shared" si="23"/>
        <v>10691.666666666666</v>
      </c>
      <c r="W28" s="25">
        <f t="shared" si="23"/>
        <v>11455.341333333334</v>
      </c>
      <c r="X28" s="25">
        <f t="shared" si="23"/>
        <v>8813.3333333333339</v>
      </c>
      <c r="Y28" s="25">
        <f t="shared" si="23"/>
        <v>12825</v>
      </c>
      <c r="Z28" s="25">
        <f t="shared" si="17"/>
        <v>13573.158333333333</v>
      </c>
      <c r="AA28" s="59">
        <f t="shared" si="17"/>
        <v>16461.666666666668</v>
      </c>
      <c r="AB28" s="59">
        <f t="shared" si="17"/>
        <v>18098.424999999999</v>
      </c>
      <c r="AC28" s="25">
        <f t="shared" si="17"/>
        <v>22469.591666666667</v>
      </c>
      <c r="AD28" s="25">
        <f t="shared" si="17"/>
        <v>20230.771000000001</v>
      </c>
      <c r="AE28" s="25">
        <f t="shared" si="17"/>
        <v>14851.285666666667</v>
      </c>
      <c r="AF28" s="25">
        <f t="shared" si="17"/>
        <v>-45</v>
      </c>
      <c r="AG28" s="25">
        <f t="shared" si="20"/>
        <v>231616.14799999999</v>
      </c>
      <c r="AH28" s="25">
        <f>SUM(AG$5:AG28)</f>
        <v>3241079.8960000006</v>
      </c>
      <c r="AI28" s="25">
        <f t="shared" si="8"/>
        <v>10655888.984000001</v>
      </c>
      <c r="AJ28" s="25">
        <f t="shared" si="9"/>
        <v>10887505.131999999</v>
      </c>
      <c r="AK28" s="26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>
        <f t="shared" si="18"/>
        <v>67865.791666666672</v>
      </c>
      <c r="AY28" s="25">
        <f t="shared" si="18"/>
        <v>82308.333333333328</v>
      </c>
      <c r="AZ28" s="25">
        <f t="shared" si="18"/>
        <v>90492.125</v>
      </c>
      <c r="BA28" s="25">
        <f t="shared" si="18"/>
        <v>112347.95833333333</v>
      </c>
      <c r="BB28" s="25">
        <f t="shared" si="18"/>
        <v>101153.855</v>
      </c>
      <c r="BC28" s="25">
        <f t="shared" si="18"/>
        <v>74256.42833333333</v>
      </c>
      <c r="BD28" s="25">
        <f t="shared" si="18"/>
        <v>-225</v>
      </c>
      <c r="BE28" s="59">
        <f t="shared" si="21"/>
        <v>528199.49166666658</v>
      </c>
      <c r="BF28" s="6"/>
      <c r="BG28" s="81">
        <f t="shared" si="11"/>
        <v>528199.49166666658</v>
      </c>
      <c r="BH28" s="81">
        <f t="shared" si="5"/>
        <v>231616.14799999999</v>
      </c>
      <c r="BI28" s="25">
        <f t="shared" si="12"/>
        <v>-296583.34366666659</v>
      </c>
      <c r="BJ28" s="25">
        <f>+BI28*'Capital Structure '!$E$30</f>
        <v>-121154.2958878333</v>
      </c>
      <c r="BK28" s="25">
        <f>SUM(BJ$5:BJ28)</f>
        <v>-3791290.5277940007</v>
      </c>
      <c r="BL28" s="4"/>
    </row>
    <row r="29" spans="1:64" outlineLevel="1">
      <c r="A29" s="10" t="s">
        <v>53</v>
      </c>
      <c r="B29" s="10">
        <f>+B28+1</f>
        <v>2014</v>
      </c>
      <c r="C29" s="10" t="s">
        <v>47</v>
      </c>
      <c r="D29" s="57"/>
      <c r="E29" s="55"/>
      <c r="F29" s="65"/>
      <c r="G29" s="56">
        <f t="shared" si="2"/>
        <v>0</v>
      </c>
      <c r="H29" s="56"/>
      <c r="I29" s="57"/>
      <c r="J29" s="56"/>
      <c r="K29" s="16">
        <f t="shared" si="3"/>
        <v>0</v>
      </c>
      <c r="L29" s="16">
        <f>SUM(K$5:K29)</f>
        <v>13896968.880000001</v>
      </c>
      <c r="N29" s="16">
        <f t="shared" si="22"/>
        <v>0</v>
      </c>
      <c r="O29" s="16">
        <f t="shared" si="22"/>
        <v>150</v>
      </c>
      <c r="P29" s="16">
        <f t="shared" si="22"/>
        <v>17363.333333333332</v>
      </c>
      <c r="Q29" s="16">
        <f t="shared" si="22"/>
        <v>12194.166666666666</v>
      </c>
      <c r="R29" s="16">
        <f t="shared" si="22"/>
        <v>15564.674999999999</v>
      </c>
      <c r="S29" s="16">
        <f t="shared" si="23"/>
        <v>11436.666666666666</v>
      </c>
      <c r="T29" s="16">
        <f t="shared" si="23"/>
        <v>12063.333333333334</v>
      </c>
      <c r="U29" s="16">
        <f t="shared" si="23"/>
        <v>13418.733333333334</v>
      </c>
      <c r="V29" s="16">
        <f t="shared" si="23"/>
        <v>10691.666666666666</v>
      </c>
      <c r="W29" s="16">
        <f t="shared" si="23"/>
        <v>11455.341333333334</v>
      </c>
      <c r="X29" s="16">
        <f t="shared" si="23"/>
        <v>8813.3333333333339</v>
      </c>
      <c r="Y29" s="16">
        <f t="shared" si="23"/>
        <v>12825</v>
      </c>
      <c r="Z29" s="16">
        <f t="shared" si="17"/>
        <v>13573.158333333333</v>
      </c>
      <c r="AA29" s="30">
        <f t="shared" si="17"/>
        <v>16461.666666666668</v>
      </c>
      <c r="AB29" s="30">
        <f t="shared" si="17"/>
        <v>18098.424999999999</v>
      </c>
      <c r="AC29" s="16">
        <f t="shared" si="17"/>
        <v>22469.591666666667</v>
      </c>
      <c r="AD29" s="16">
        <f t="shared" si="17"/>
        <v>20230.771000000001</v>
      </c>
      <c r="AE29" s="16">
        <f t="shared" si="17"/>
        <v>14851.285666666667</v>
      </c>
      <c r="AF29" s="16">
        <f t="shared" si="17"/>
        <v>-45</v>
      </c>
      <c r="AG29" s="16">
        <f t="shared" si="20"/>
        <v>231616.14799999999</v>
      </c>
      <c r="AH29" s="16">
        <f>SUM(AG$5:AG29)</f>
        <v>3472696.0440000007</v>
      </c>
      <c r="AI29" s="16">
        <f t="shared" si="8"/>
        <v>10424272.835999999</v>
      </c>
      <c r="AJ29" s="16">
        <f t="shared" si="9"/>
        <v>10655888.984000001</v>
      </c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>
        <f t="shared" si="18"/>
        <v>82308.333333333328</v>
      </c>
      <c r="AZ29" s="16">
        <f t="shared" si="18"/>
        <v>90492.125</v>
      </c>
      <c r="BA29" s="16">
        <f t="shared" si="18"/>
        <v>112347.95833333333</v>
      </c>
      <c r="BB29" s="16">
        <f t="shared" si="18"/>
        <v>101153.855</v>
      </c>
      <c r="BC29" s="16">
        <f t="shared" si="18"/>
        <v>74256.42833333333</v>
      </c>
      <c r="BD29" s="16">
        <f t="shared" si="18"/>
        <v>-225</v>
      </c>
      <c r="BE29" s="30">
        <f t="shared" si="21"/>
        <v>460333.69999999995</v>
      </c>
      <c r="BF29" s="6"/>
      <c r="BG29" s="21">
        <f t="shared" si="11"/>
        <v>460333.69999999995</v>
      </c>
      <c r="BH29" s="21">
        <f t="shared" si="5"/>
        <v>231616.14799999999</v>
      </c>
      <c r="BI29" s="16">
        <f t="shared" si="12"/>
        <v>-228717.55199999997</v>
      </c>
      <c r="BJ29" s="16">
        <f>+BI29*'Capital Structure '!$E$30</f>
        <v>-93431.119991999978</v>
      </c>
      <c r="BK29" s="16">
        <f>SUM(BJ$5:BJ29)</f>
        <v>-3884721.6477860007</v>
      </c>
      <c r="BL29" s="4"/>
    </row>
    <row r="30" spans="1:64" outlineLevel="1">
      <c r="A30" s="10" t="s">
        <v>54</v>
      </c>
      <c r="B30" s="10">
        <f>+B29</f>
        <v>2014</v>
      </c>
      <c r="C30" s="7" t="s">
        <v>47</v>
      </c>
      <c r="D30" s="57"/>
      <c r="E30" s="55"/>
      <c r="F30" s="65"/>
      <c r="G30" s="56">
        <f t="shared" si="2"/>
        <v>0</v>
      </c>
      <c r="H30" s="56"/>
      <c r="I30" s="57"/>
      <c r="J30" s="56"/>
      <c r="K30" s="16">
        <f t="shared" si="3"/>
        <v>0</v>
      </c>
      <c r="L30" s="16">
        <f>SUM(K$5:K30)</f>
        <v>13896968.880000001</v>
      </c>
      <c r="N30" s="16">
        <f t="shared" si="22"/>
        <v>0</v>
      </c>
      <c r="O30" s="16">
        <f t="shared" si="22"/>
        <v>150</v>
      </c>
      <c r="P30" s="16">
        <f t="shared" si="22"/>
        <v>17363.333333333332</v>
      </c>
      <c r="Q30" s="16">
        <f t="shared" si="22"/>
        <v>12194.166666666666</v>
      </c>
      <c r="R30" s="16">
        <f t="shared" si="22"/>
        <v>15564.674999999999</v>
      </c>
      <c r="S30" s="16">
        <f t="shared" si="23"/>
        <v>11436.666666666666</v>
      </c>
      <c r="T30" s="16">
        <f t="shared" si="23"/>
        <v>12063.333333333334</v>
      </c>
      <c r="U30" s="16">
        <f t="shared" si="23"/>
        <v>13418.733333333334</v>
      </c>
      <c r="V30" s="16">
        <f t="shared" si="23"/>
        <v>10691.666666666666</v>
      </c>
      <c r="W30" s="16">
        <f t="shared" si="23"/>
        <v>11455.341333333334</v>
      </c>
      <c r="X30" s="16">
        <f t="shared" si="23"/>
        <v>8813.3333333333339</v>
      </c>
      <c r="Y30" s="16">
        <f t="shared" si="23"/>
        <v>12825</v>
      </c>
      <c r="Z30" s="16">
        <f t="shared" si="17"/>
        <v>13573.158333333333</v>
      </c>
      <c r="AA30" s="30">
        <f t="shared" si="17"/>
        <v>16461.666666666668</v>
      </c>
      <c r="AB30" s="30">
        <f t="shared" si="17"/>
        <v>18098.424999999999</v>
      </c>
      <c r="AC30" s="16">
        <f t="shared" si="17"/>
        <v>22469.591666666667</v>
      </c>
      <c r="AD30" s="16">
        <f t="shared" si="17"/>
        <v>20230.771000000001</v>
      </c>
      <c r="AE30" s="16">
        <f t="shared" si="17"/>
        <v>14851.285666666667</v>
      </c>
      <c r="AF30" s="16">
        <f t="shared" si="17"/>
        <v>-45</v>
      </c>
      <c r="AG30" s="16">
        <f t="shared" si="20"/>
        <v>231616.14799999999</v>
      </c>
      <c r="AH30" s="16">
        <f>SUM(AG$5:AG30)</f>
        <v>3704312.1920000007</v>
      </c>
      <c r="AI30" s="16">
        <f t="shared" si="8"/>
        <v>10192656.688000001</v>
      </c>
      <c r="AJ30" s="16">
        <f t="shared" si="9"/>
        <v>10424272.835999999</v>
      </c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>
        <f t="shared" si="18"/>
        <v>90492.125</v>
      </c>
      <c r="BA30" s="16">
        <f t="shared" si="18"/>
        <v>112347.95833333333</v>
      </c>
      <c r="BB30" s="17">
        <f t="shared" si="18"/>
        <v>101153.855</v>
      </c>
      <c r="BC30" s="16">
        <f t="shared" si="18"/>
        <v>74256.42833333333</v>
      </c>
      <c r="BD30" s="16">
        <f t="shared" si="18"/>
        <v>-225</v>
      </c>
      <c r="BE30" s="30">
        <f t="shared" si="21"/>
        <v>378025.36666666664</v>
      </c>
      <c r="BF30" s="6"/>
      <c r="BG30" s="21">
        <f t="shared" si="11"/>
        <v>378025.36666666664</v>
      </c>
      <c r="BH30" s="21">
        <f t="shared" si="5"/>
        <v>231616.14799999999</v>
      </c>
      <c r="BI30" s="16">
        <f t="shared" si="12"/>
        <v>-146409.21866666665</v>
      </c>
      <c r="BJ30" s="16">
        <f>+BI30*'Capital Structure '!$E$30</f>
        <v>-59808.165825333323</v>
      </c>
      <c r="BK30" s="16">
        <f>SUM(BJ$5:BJ30)</f>
        <v>-3944529.8136113342</v>
      </c>
      <c r="BL30" s="4"/>
    </row>
    <row r="31" spans="1:64" outlineLevel="1">
      <c r="A31" s="10" t="s">
        <v>55</v>
      </c>
      <c r="B31" s="10">
        <f>+B30</f>
        <v>2014</v>
      </c>
      <c r="C31" s="7" t="s">
        <v>47</v>
      </c>
      <c r="D31" s="57"/>
      <c r="E31" s="55"/>
      <c r="F31" s="65"/>
      <c r="G31" s="56">
        <f t="shared" si="2"/>
        <v>0</v>
      </c>
      <c r="H31" s="56"/>
      <c r="I31" s="57"/>
      <c r="J31" s="56"/>
      <c r="K31" s="16">
        <f t="shared" si="3"/>
        <v>0</v>
      </c>
      <c r="L31" s="16">
        <f>SUM(K$5:K31)</f>
        <v>13896968.880000001</v>
      </c>
      <c r="N31" s="16">
        <f t="shared" si="22"/>
        <v>0</v>
      </c>
      <c r="O31" s="16">
        <f t="shared" si="22"/>
        <v>150</v>
      </c>
      <c r="P31" s="16">
        <f t="shared" si="22"/>
        <v>17363.333333333332</v>
      </c>
      <c r="Q31" s="16">
        <f t="shared" si="22"/>
        <v>12194.166666666666</v>
      </c>
      <c r="R31" s="16">
        <f t="shared" si="22"/>
        <v>15564.674999999999</v>
      </c>
      <c r="S31" s="16">
        <f t="shared" si="23"/>
        <v>11436.666666666666</v>
      </c>
      <c r="T31" s="16">
        <f t="shared" si="23"/>
        <v>12063.333333333334</v>
      </c>
      <c r="U31" s="16">
        <f t="shared" si="23"/>
        <v>13418.733333333334</v>
      </c>
      <c r="V31" s="16">
        <f t="shared" si="23"/>
        <v>10691.666666666666</v>
      </c>
      <c r="W31" s="16">
        <f t="shared" si="23"/>
        <v>11455.341333333334</v>
      </c>
      <c r="X31" s="16">
        <f t="shared" si="23"/>
        <v>8813.3333333333339</v>
      </c>
      <c r="Y31" s="16">
        <f t="shared" si="23"/>
        <v>12825</v>
      </c>
      <c r="Z31" s="16">
        <f t="shared" si="17"/>
        <v>13573.158333333333</v>
      </c>
      <c r="AA31" s="30">
        <f t="shared" si="17"/>
        <v>16461.666666666668</v>
      </c>
      <c r="AB31" s="30">
        <f t="shared" si="17"/>
        <v>18098.424999999999</v>
      </c>
      <c r="AC31" s="16">
        <f t="shared" si="17"/>
        <v>22469.591666666667</v>
      </c>
      <c r="AD31" s="16">
        <f t="shared" si="17"/>
        <v>20230.771000000001</v>
      </c>
      <c r="AE31" s="16">
        <f t="shared" si="17"/>
        <v>14851.285666666667</v>
      </c>
      <c r="AF31" s="16">
        <f t="shared" si="17"/>
        <v>-45</v>
      </c>
      <c r="AG31" s="16">
        <f t="shared" si="20"/>
        <v>231616.14799999999</v>
      </c>
      <c r="AH31" s="16">
        <f>SUM(AG$5:AG31)</f>
        <v>3935928.3400000008</v>
      </c>
      <c r="AI31" s="16">
        <f t="shared" si="8"/>
        <v>9961040.5399999991</v>
      </c>
      <c r="AJ31" s="16">
        <f t="shared" si="9"/>
        <v>10192656.688000001</v>
      </c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>
        <f>BA30</f>
        <v>112347.95833333333</v>
      </c>
      <c r="BB31" s="17">
        <f>BB30</f>
        <v>101153.855</v>
      </c>
      <c r="BC31" s="16">
        <f>BC30</f>
        <v>74256.42833333333</v>
      </c>
      <c r="BD31" s="16">
        <f>BD30</f>
        <v>-225</v>
      </c>
      <c r="BE31" s="30">
        <f t="shared" si="21"/>
        <v>287533.24166666664</v>
      </c>
      <c r="BG31" s="21">
        <f t="shared" si="11"/>
        <v>287533.24166666664</v>
      </c>
      <c r="BH31" s="21">
        <f t="shared" si="5"/>
        <v>231616.14799999999</v>
      </c>
      <c r="BI31" s="16">
        <f t="shared" si="12"/>
        <v>-55917.093666666653</v>
      </c>
      <c r="BJ31" s="16">
        <f>+BI31*'Capital Structure '!$E$30</f>
        <v>-22842.132762833327</v>
      </c>
      <c r="BK31" s="16">
        <f>SUM(BJ$5:BJ31)</f>
        <v>-3967371.9463741677</v>
      </c>
      <c r="BL31" s="4"/>
    </row>
    <row r="32" spans="1:64" outlineLevel="1">
      <c r="A32" s="10" t="s">
        <v>56</v>
      </c>
      <c r="B32" s="10">
        <f>+B31</f>
        <v>2014</v>
      </c>
      <c r="C32" s="7" t="s">
        <v>47</v>
      </c>
      <c r="D32" s="57"/>
      <c r="E32" s="55"/>
      <c r="F32" s="65"/>
      <c r="G32" s="56">
        <f t="shared" si="2"/>
        <v>0</v>
      </c>
      <c r="H32" s="56"/>
      <c r="I32" s="57"/>
      <c r="J32" s="56"/>
      <c r="K32" s="16">
        <f t="shared" si="3"/>
        <v>0</v>
      </c>
      <c r="L32" s="16">
        <f>SUM(K$5:K32)</f>
        <v>13896968.880000001</v>
      </c>
      <c r="N32" s="16">
        <f t="shared" si="22"/>
        <v>0</v>
      </c>
      <c r="O32" s="16">
        <f t="shared" si="22"/>
        <v>150</v>
      </c>
      <c r="P32" s="16">
        <f t="shared" si="22"/>
        <v>17363.333333333332</v>
      </c>
      <c r="Q32" s="16">
        <f t="shared" si="22"/>
        <v>12194.166666666666</v>
      </c>
      <c r="R32" s="16">
        <f t="shared" si="22"/>
        <v>15564.674999999999</v>
      </c>
      <c r="S32" s="16">
        <f t="shared" si="23"/>
        <v>11436.666666666666</v>
      </c>
      <c r="T32" s="16">
        <f t="shared" si="23"/>
        <v>12063.333333333334</v>
      </c>
      <c r="U32" s="16">
        <f t="shared" si="23"/>
        <v>13418.733333333334</v>
      </c>
      <c r="V32" s="16">
        <f t="shared" si="23"/>
        <v>10691.666666666666</v>
      </c>
      <c r="W32" s="16">
        <f t="shared" si="23"/>
        <v>11455.341333333334</v>
      </c>
      <c r="X32" s="16">
        <f t="shared" si="23"/>
        <v>8813.3333333333339</v>
      </c>
      <c r="Y32" s="16">
        <f t="shared" si="23"/>
        <v>12825</v>
      </c>
      <c r="Z32" s="16">
        <f t="shared" si="17"/>
        <v>13573.158333333333</v>
      </c>
      <c r="AA32" s="30">
        <f t="shared" si="17"/>
        <v>16461.666666666668</v>
      </c>
      <c r="AB32" s="30">
        <f t="shared" si="17"/>
        <v>18098.424999999999</v>
      </c>
      <c r="AC32" s="16">
        <f t="shared" si="17"/>
        <v>22469.591666666667</v>
      </c>
      <c r="AD32" s="16">
        <f t="shared" si="17"/>
        <v>20230.771000000001</v>
      </c>
      <c r="AE32" s="16">
        <f t="shared" si="17"/>
        <v>14851.285666666667</v>
      </c>
      <c r="AF32" s="16">
        <f t="shared" si="17"/>
        <v>-45</v>
      </c>
      <c r="AG32" s="16">
        <f t="shared" si="20"/>
        <v>231616.14799999999</v>
      </c>
      <c r="AH32" s="16">
        <f>SUM(AG$5:AG32)</f>
        <v>4167544.4880000008</v>
      </c>
      <c r="AI32" s="16">
        <f t="shared" si="8"/>
        <v>9729424.3920000009</v>
      </c>
      <c r="AJ32" s="16">
        <f t="shared" si="9"/>
        <v>9961040.5399999991</v>
      </c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7">
        <f>BB31</f>
        <v>101153.855</v>
      </c>
      <c r="BC32" s="16">
        <f>BC31</f>
        <v>74256.42833333333</v>
      </c>
      <c r="BD32" s="16">
        <f>BD31</f>
        <v>-225</v>
      </c>
      <c r="BE32" s="30">
        <f t="shared" si="21"/>
        <v>175185.28333333333</v>
      </c>
      <c r="BG32" s="21">
        <f t="shared" si="11"/>
        <v>175185.28333333333</v>
      </c>
      <c r="BH32" s="21">
        <f t="shared" si="5"/>
        <v>231616.14799999999</v>
      </c>
      <c r="BI32" s="16">
        <f t="shared" si="12"/>
        <v>56430.864666666661</v>
      </c>
      <c r="BJ32" s="16">
        <f>+BI32*'Capital Structure '!$E$30</f>
        <v>23052.008216333328</v>
      </c>
      <c r="BK32" s="16">
        <f>SUM(BJ$5:BJ32)</f>
        <v>-3944319.9381578346</v>
      </c>
      <c r="BL32" s="4"/>
    </row>
    <row r="33" spans="1:64" outlineLevel="1">
      <c r="A33" s="10" t="s">
        <v>57</v>
      </c>
      <c r="B33" s="10">
        <f>+B32</f>
        <v>2014</v>
      </c>
      <c r="C33" s="7" t="s">
        <v>47</v>
      </c>
      <c r="D33" s="57"/>
      <c r="E33" s="55"/>
      <c r="F33" s="65"/>
      <c r="G33" s="56">
        <f t="shared" si="2"/>
        <v>0</v>
      </c>
      <c r="H33" s="56"/>
      <c r="I33" s="57"/>
      <c r="J33" s="56"/>
      <c r="K33" s="16">
        <f t="shared" si="3"/>
        <v>0</v>
      </c>
      <c r="L33" s="16">
        <f>SUM(K$5:K33)</f>
        <v>13896968.880000001</v>
      </c>
      <c r="N33" s="16">
        <f t="shared" si="22"/>
        <v>0</v>
      </c>
      <c r="O33" s="16">
        <f t="shared" si="22"/>
        <v>150</v>
      </c>
      <c r="P33" s="16">
        <f t="shared" si="22"/>
        <v>17363.333333333332</v>
      </c>
      <c r="Q33" s="16">
        <f t="shared" si="22"/>
        <v>12194.166666666666</v>
      </c>
      <c r="R33" s="16">
        <f t="shared" si="22"/>
        <v>15564.674999999999</v>
      </c>
      <c r="S33" s="16">
        <f t="shared" si="23"/>
        <v>11436.666666666666</v>
      </c>
      <c r="T33" s="16">
        <f t="shared" si="23"/>
        <v>12063.333333333334</v>
      </c>
      <c r="U33" s="16">
        <f t="shared" si="23"/>
        <v>13418.733333333334</v>
      </c>
      <c r="V33" s="16">
        <f t="shared" si="23"/>
        <v>10691.666666666666</v>
      </c>
      <c r="W33" s="16">
        <f t="shared" si="23"/>
        <v>11455.341333333334</v>
      </c>
      <c r="X33" s="16">
        <f t="shared" si="23"/>
        <v>8813.3333333333339</v>
      </c>
      <c r="Y33" s="16">
        <f t="shared" si="23"/>
        <v>12825</v>
      </c>
      <c r="Z33" s="16">
        <f t="shared" si="17"/>
        <v>13573.158333333333</v>
      </c>
      <c r="AA33" s="30">
        <f t="shared" si="17"/>
        <v>16461.666666666668</v>
      </c>
      <c r="AB33" s="30">
        <f t="shared" si="17"/>
        <v>18098.424999999999</v>
      </c>
      <c r="AC33" s="16">
        <f t="shared" si="17"/>
        <v>22469.591666666667</v>
      </c>
      <c r="AD33" s="16">
        <f t="shared" si="17"/>
        <v>20230.771000000001</v>
      </c>
      <c r="AE33" s="16">
        <f t="shared" si="17"/>
        <v>14851.285666666667</v>
      </c>
      <c r="AF33" s="16">
        <f t="shared" si="17"/>
        <v>-45</v>
      </c>
      <c r="AG33" s="16">
        <f t="shared" si="20"/>
        <v>231616.14799999999</v>
      </c>
      <c r="AH33" s="16">
        <f>SUM(AG$5:AG33)</f>
        <v>4399160.6360000009</v>
      </c>
      <c r="AI33" s="16">
        <f t="shared" si="8"/>
        <v>9497808.243999999</v>
      </c>
      <c r="AJ33" s="16">
        <f t="shared" si="9"/>
        <v>9729424.3920000009</v>
      </c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7"/>
      <c r="BC33" s="16">
        <f>BC32</f>
        <v>74256.42833333333</v>
      </c>
      <c r="BD33" s="16">
        <f>BD32</f>
        <v>-225</v>
      </c>
      <c r="BE33" s="30">
        <f t="shared" si="21"/>
        <v>74031.42833333333</v>
      </c>
      <c r="BG33" s="21">
        <f t="shared" si="11"/>
        <v>74031.42833333333</v>
      </c>
      <c r="BH33" s="21">
        <f t="shared" si="5"/>
        <v>231616.14799999999</v>
      </c>
      <c r="BI33" s="16">
        <f t="shared" si="12"/>
        <v>157584.71966666664</v>
      </c>
      <c r="BJ33" s="16">
        <f>+BI33*'Capital Structure '!$E$30</f>
        <v>64373.357983833317</v>
      </c>
      <c r="BK33" s="16">
        <f>SUM(BJ$5:BJ33)</f>
        <v>-3879946.5801740014</v>
      </c>
      <c r="BL33" s="4"/>
    </row>
    <row r="34" spans="1:64" outlineLevel="1">
      <c r="A34" s="10" t="s">
        <v>58</v>
      </c>
      <c r="B34" s="10">
        <f>+B33</f>
        <v>2014</v>
      </c>
      <c r="C34" s="7" t="s">
        <v>47</v>
      </c>
      <c r="D34" s="57"/>
      <c r="E34" s="55"/>
      <c r="F34" s="65"/>
      <c r="G34" s="56">
        <f t="shared" si="2"/>
        <v>0</v>
      </c>
      <c r="H34" s="56"/>
      <c r="I34" s="57"/>
      <c r="J34" s="56"/>
      <c r="K34" s="16">
        <f t="shared" si="3"/>
        <v>0</v>
      </c>
      <c r="L34" s="16">
        <f>SUM(K$5:K34)</f>
        <v>13896968.880000001</v>
      </c>
      <c r="N34" s="16">
        <f t="shared" si="22"/>
        <v>0</v>
      </c>
      <c r="O34" s="16">
        <f t="shared" si="22"/>
        <v>150</v>
      </c>
      <c r="P34" s="16">
        <f t="shared" si="22"/>
        <v>17363.333333333332</v>
      </c>
      <c r="Q34" s="16">
        <f t="shared" si="22"/>
        <v>12194.166666666666</v>
      </c>
      <c r="R34" s="16">
        <f t="shared" si="22"/>
        <v>15564.674999999999</v>
      </c>
      <c r="S34" s="16">
        <f t="shared" si="23"/>
        <v>11436.666666666666</v>
      </c>
      <c r="T34" s="16">
        <f t="shared" si="23"/>
        <v>12063.333333333334</v>
      </c>
      <c r="U34" s="16">
        <f t="shared" si="23"/>
        <v>13418.733333333334</v>
      </c>
      <c r="V34" s="16">
        <f t="shared" si="23"/>
        <v>10691.666666666666</v>
      </c>
      <c r="W34" s="16">
        <f t="shared" si="23"/>
        <v>11455.341333333334</v>
      </c>
      <c r="X34" s="16">
        <f t="shared" si="23"/>
        <v>8813.3333333333339</v>
      </c>
      <c r="Y34" s="16">
        <f t="shared" si="23"/>
        <v>12825</v>
      </c>
      <c r="Z34" s="16">
        <f t="shared" si="17"/>
        <v>13573.158333333333</v>
      </c>
      <c r="AA34" s="30">
        <f t="shared" si="17"/>
        <v>16461.666666666668</v>
      </c>
      <c r="AB34" s="30">
        <f t="shared" si="17"/>
        <v>18098.424999999999</v>
      </c>
      <c r="AC34" s="16">
        <f t="shared" si="17"/>
        <v>22469.591666666667</v>
      </c>
      <c r="AD34" s="16">
        <f t="shared" si="17"/>
        <v>20230.771000000001</v>
      </c>
      <c r="AE34" s="16">
        <f t="shared" si="17"/>
        <v>14851.285666666667</v>
      </c>
      <c r="AF34" s="16">
        <f t="shared" si="17"/>
        <v>-45</v>
      </c>
      <c r="AG34" s="16">
        <f t="shared" si="20"/>
        <v>231616.14799999999</v>
      </c>
      <c r="AH34" s="16">
        <f>SUM(AG$5:AG34)</f>
        <v>4630776.7840000009</v>
      </c>
      <c r="AI34" s="16">
        <f t="shared" si="8"/>
        <v>9266192.0960000008</v>
      </c>
      <c r="AJ34" s="16">
        <f t="shared" si="9"/>
        <v>9497808.243999999</v>
      </c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7"/>
      <c r="BC34" s="16"/>
      <c r="BD34" s="16">
        <f>BD33</f>
        <v>-225</v>
      </c>
      <c r="BE34" s="30">
        <f t="shared" si="21"/>
        <v>-225</v>
      </c>
      <c r="BG34" s="21">
        <f t="shared" si="11"/>
        <v>-225</v>
      </c>
      <c r="BH34" s="21">
        <f t="shared" si="5"/>
        <v>231616.14799999999</v>
      </c>
      <c r="BI34" s="16">
        <f t="shared" si="12"/>
        <v>231841.14799999999</v>
      </c>
      <c r="BJ34" s="16">
        <f>+BI34*'Capital Structure '!$E$30</f>
        <v>94707.108957999983</v>
      </c>
      <c r="BK34" s="16">
        <f>SUM(BJ$5:BJ34)</f>
        <v>-3785239.4712160015</v>
      </c>
      <c r="BL34" s="4"/>
    </row>
    <row r="35" spans="1:64" outlineLevel="1">
      <c r="A35" s="10" t="s">
        <v>59</v>
      </c>
      <c r="B35" s="10">
        <f t="shared" ref="B35:B40" si="24">+B34</f>
        <v>2014</v>
      </c>
      <c r="C35" s="7" t="s">
        <v>47</v>
      </c>
      <c r="D35" s="57"/>
      <c r="E35" s="55"/>
      <c r="F35" s="65"/>
      <c r="G35" s="56">
        <f t="shared" si="2"/>
        <v>0</v>
      </c>
      <c r="H35" s="56"/>
      <c r="I35" s="57"/>
      <c r="J35" s="56"/>
      <c r="K35" s="16">
        <f t="shared" si="3"/>
        <v>0</v>
      </c>
      <c r="L35" s="16">
        <f>SUM(K$5:K35)</f>
        <v>13896968.880000001</v>
      </c>
      <c r="N35" s="16">
        <f t="shared" si="22"/>
        <v>0</v>
      </c>
      <c r="O35" s="16">
        <f t="shared" si="22"/>
        <v>150</v>
      </c>
      <c r="P35" s="16">
        <f t="shared" si="22"/>
        <v>17363.333333333332</v>
      </c>
      <c r="Q35" s="16">
        <f t="shared" si="22"/>
        <v>12194.166666666666</v>
      </c>
      <c r="R35" s="16">
        <f t="shared" si="22"/>
        <v>15564.674999999999</v>
      </c>
      <c r="S35" s="16">
        <f t="shared" si="23"/>
        <v>11436.666666666666</v>
      </c>
      <c r="T35" s="16">
        <f t="shared" si="23"/>
        <v>12063.333333333334</v>
      </c>
      <c r="U35" s="16">
        <f t="shared" si="23"/>
        <v>13418.733333333334</v>
      </c>
      <c r="V35" s="16">
        <f t="shared" si="23"/>
        <v>10691.666666666666</v>
      </c>
      <c r="W35" s="16">
        <f t="shared" si="23"/>
        <v>11455.341333333334</v>
      </c>
      <c r="X35" s="16">
        <f t="shared" si="23"/>
        <v>8813.3333333333339</v>
      </c>
      <c r="Y35" s="16">
        <f t="shared" si="23"/>
        <v>12825</v>
      </c>
      <c r="Z35" s="16">
        <f t="shared" ref="Z35:AF50" si="25">Z34</f>
        <v>13573.158333333333</v>
      </c>
      <c r="AA35" s="30">
        <f t="shared" si="25"/>
        <v>16461.666666666668</v>
      </c>
      <c r="AB35" s="30">
        <f t="shared" si="25"/>
        <v>18098.424999999999</v>
      </c>
      <c r="AC35" s="16">
        <f t="shared" si="25"/>
        <v>22469.591666666667</v>
      </c>
      <c r="AD35" s="16">
        <f t="shared" si="25"/>
        <v>20230.771000000001</v>
      </c>
      <c r="AE35" s="16">
        <f t="shared" si="25"/>
        <v>14851.285666666667</v>
      </c>
      <c r="AF35" s="16">
        <f t="shared" si="25"/>
        <v>-45</v>
      </c>
      <c r="AG35" s="16">
        <f t="shared" si="20"/>
        <v>231616.14799999999</v>
      </c>
      <c r="AH35" s="16">
        <f>SUM(AG$5:AG35)</f>
        <v>4862392.932000001</v>
      </c>
      <c r="AI35" s="16">
        <f t="shared" si="8"/>
        <v>9034575.9479999989</v>
      </c>
      <c r="AJ35" s="16">
        <f t="shared" si="9"/>
        <v>9266192.0960000008</v>
      </c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7"/>
      <c r="BC35" s="16"/>
      <c r="BD35" s="16"/>
      <c r="BE35" s="30">
        <f t="shared" ref="BE35:BE80" si="26">SUM(AL35:AW35)</f>
        <v>0</v>
      </c>
      <c r="BG35" s="21">
        <f t="shared" si="11"/>
        <v>0</v>
      </c>
      <c r="BH35" s="21">
        <f t="shared" si="5"/>
        <v>231616.14799999999</v>
      </c>
      <c r="BI35" s="16">
        <f t="shared" si="12"/>
        <v>231616.14799999999</v>
      </c>
      <c r="BJ35" s="16">
        <f>+BI35*'Capital Structure '!$E$30</f>
        <v>94615.196457999991</v>
      </c>
      <c r="BK35" s="16">
        <f>SUM(BJ$5:BJ35)</f>
        <v>-3690624.2747580018</v>
      </c>
    </row>
    <row r="36" spans="1:64" outlineLevel="1">
      <c r="A36" s="10" t="s">
        <v>46</v>
      </c>
      <c r="B36" s="10">
        <f t="shared" si="24"/>
        <v>2014</v>
      </c>
      <c r="C36" s="7" t="s">
        <v>47</v>
      </c>
      <c r="D36" s="57"/>
      <c r="E36" s="55"/>
      <c r="F36" s="65"/>
      <c r="G36" s="56">
        <f t="shared" si="2"/>
        <v>0</v>
      </c>
      <c r="H36" s="56"/>
      <c r="I36" s="57"/>
      <c r="J36" s="56"/>
      <c r="K36" s="16">
        <f t="shared" si="3"/>
        <v>0</v>
      </c>
      <c r="L36" s="16">
        <f>SUM(K$5:K36)</f>
        <v>13896968.880000001</v>
      </c>
      <c r="N36" s="16">
        <f t="shared" si="22"/>
        <v>0</v>
      </c>
      <c r="O36" s="16">
        <f t="shared" si="22"/>
        <v>150</v>
      </c>
      <c r="P36" s="16">
        <f t="shared" si="22"/>
        <v>17363.333333333332</v>
      </c>
      <c r="Q36" s="16">
        <f t="shared" si="22"/>
        <v>12194.166666666666</v>
      </c>
      <c r="R36" s="16">
        <f t="shared" si="22"/>
        <v>15564.674999999999</v>
      </c>
      <c r="S36" s="16">
        <f t="shared" si="23"/>
        <v>11436.666666666666</v>
      </c>
      <c r="T36" s="16">
        <f t="shared" si="23"/>
        <v>12063.333333333334</v>
      </c>
      <c r="U36" s="16">
        <f t="shared" si="23"/>
        <v>13418.733333333334</v>
      </c>
      <c r="V36" s="16">
        <f t="shared" si="23"/>
        <v>10691.666666666666</v>
      </c>
      <c r="W36" s="16">
        <f t="shared" si="23"/>
        <v>11455.341333333334</v>
      </c>
      <c r="X36" s="16">
        <f t="shared" si="23"/>
        <v>8813.3333333333339</v>
      </c>
      <c r="Y36" s="16">
        <f t="shared" si="23"/>
        <v>12825</v>
      </c>
      <c r="Z36" s="16">
        <f t="shared" si="25"/>
        <v>13573.158333333333</v>
      </c>
      <c r="AA36" s="30">
        <f t="shared" si="25"/>
        <v>16461.666666666668</v>
      </c>
      <c r="AB36" s="30">
        <f t="shared" si="25"/>
        <v>18098.424999999999</v>
      </c>
      <c r="AC36" s="16">
        <f t="shared" si="25"/>
        <v>22469.591666666667</v>
      </c>
      <c r="AD36" s="16">
        <f t="shared" si="25"/>
        <v>20230.771000000001</v>
      </c>
      <c r="AE36" s="16">
        <f t="shared" si="25"/>
        <v>14851.285666666667</v>
      </c>
      <c r="AF36" s="16">
        <f t="shared" si="25"/>
        <v>-45</v>
      </c>
      <c r="AG36" s="16">
        <f t="shared" si="20"/>
        <v>231616.14799999999</v>
      </c>
      <c r="AH36" s="16">
        <f>SUM(AG$5:AG36)</f>
        <v>5094009.080000001</v>
      </c>
      <c r="AI36" s="16">
        <f t="shared" si="8"/>
        <v>8802959.8000000007</v>
      </c>
      <c r="AJ36" s="16">
        <f t="shared" si="9"/>
        <v>9034575.9479999989</v>
      </c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7"/>
      <c r="BC36" s="16"/>
      <c r="BD36" s="16"/>
      <c r="BE36" s="30">
        <f t="shared" si="26"/>
        <v>0</v>
      </c>
      <c r="BG36" s="21">
        <f t="shared" si="11"/>
        <v>0</v>
      </c>
      <c r="BH36" s="21">
        <f t="shared" si="5"/>
        <v>231616.14799999999</v>
      </c>
      <c r="BI36" s="16">
        <f t="shared" si="12"/>
        <v>231616.14799999999</v>
      </c>
      <c r="BJ36" s="16">
        <f>+BI36*'Capital Structure '!$E$30</f>
        <v>94615.196457999991</v>
      </c>
      <c r="BK36" s="16">
        <f>SUM(BJ$5:BJ36)</f>
        <v>-3596009.078300002</v>
      </c>
    </row>
    <row r="37" spans="1:64" outlineLevel="1">
      <c r="A37" s="10" t="s">
        <v>48</v>
      </c>
      <c r="B37" s="10">
        <f t="shared" si="24"/>
        <v>2014</v>
      </c>
      <c r="C37" s="7" t="s">
        <v>47</v>
      </c>
      <c r="D37" s="57"/>
      <c r="E37" s="55"/>
      <c r="F37" s="65"/>
      <c r="G37" s="56">
        <f t="shared" si="2"/>
        <v>0</v>
      </c>
      <c r="H37" s="56"/>
      <c r="I37" s="57"/>
      <c r="J37" s="56"/>
      <c r="K37" s="16">
        <f t="shared" ref="K37:K68" si="27">SUM(G37:I37)</f>
        <v>0</v>
      </c>
      <c r="L37" s="16">
        <f>SUM(K$5:K37)</f>
        <v>13896968.880000001</v>
      </c>
      <c r="N37" s="16">
        <f t="shared" si="22"/>
        <v>0</v>
      </c>
      <c r="O37" s="16">
        <f t="shared" si="22"/>
        <v>150</v>
      </c>
      <c r="P37" s="16">
        <f t="shared" si="22"/>
        <v>17363.333333333332</v>
      </c>
      <c r="Q37" s="16">
        <f t="shared" si="22"/>
        <v>12194.166666666666</v>
      </c>
      <c r="R37" s="16">
        <f t="shared" si="22"/>
        <v>15564.674999999999</v>
      </c>
      <c r="S37" s="16">
        <f t="shared" si="23"/>
        <v>11436.666666666666</v>
      </c>
      <c r="T37" s="16">
        <f t="shared" si="23"/>
        <v>12063.333333333334</v>
      </c>
      <c r="U37" s="16">
        <f t="shared" si="23"/>
        <v>13418.733333333334</v>
      </c>
      <c r="V37" s="16">
        <f t="shared" si="23"/>
        <v>10691.666666666666</v>
      </c>
      <c r="W37" s="16">
        <f t="shared" si="23"/>
        <v>11455.341333333334</v>
      </c>
      <c r="X37" s="16">
        <f t="shared" si="23"/>
        <v>8813.3333333333339</v>
      </c>
      <c r="Y37" s="16">
        <f t="shared" si="23"/>
        <v>12825</v>
      </c>
      <c r="Z37" s="16">
        <f t="shared" si="25"/>
        <v>13573.158333333333</v>
      </c>
      <c r="AA37" s="30">
        <f t="shared" si="25"/>
        <v>16461.666666666668</v>
      </c>
      <c r="AB37" s="30">
        <f t="shared" si="25"/>
        <v>18098.424999999999</v>
      </c>
      <c r="AC37" s="16">
        <f t="shared" si="25"/>
        <v>22469.591666666667</v>
      </c>
      <c r="AD37" s="16">
        <f t="shared" si="25"/>
        <v>20230.771000000001</v>
      </c>
      <c r="AE37" s="16">
        <f t="shared" si="25"/>
        <v>14851.285666666667</v>
      </c>
      <c r="AF37" s="16">
        <f t="shared" si="25"/>
        <v>-45</v>
      </c>
      <c r="AG37" s="16">
        <f t="shared" si="20"/>
        <v>231616.14799999999</v>
      </c>
      <c r="AH37" s="16">
        <f>SUM(AG$5:AG37)</f>
        <v>5325625.2280000011</v>
      </c>
      <c r="AI37" s="16">
        <f t="shared" si="8"/>
        <v>8571343.6519999988</v>
      </c>
      <c r="AJ37" s="16">
        <f t="shared" si="9"/>
        <v>8802959.8000000007</v>
      </c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7"/>
      <c r="BC37" s="16"/>
      <c r="BD37" s="16"/>
      <c r="BE37" s="30">
        <f t="shared" si="26"/>
        <v>0</v>
      </c>
      <c r="BG37" s="21">
        <f t="shared" si="11"/>
        <v>0</v>
      </c>
      <c r="BH37" s="21">
        <f t="shared" ref="BH37:BH68" si="28">+AG37</f>
        <v>231616.14799999999</v>
      </c>
      <c r="BI37" s="16">
        <f t="shared" si="12"/>
        <v>231616.14799999999</v>
      </c>
      <c r="BJ37" s="16">
        <f>+BI37*'Capital Structure '!$E$30</f>
        <v>94615.196457999991</v>
      </c>
      <c r="BK37" s="16">
        <f>SUM(BJ$5:BJ37)</f>
        <v>-3501393.8818420023</v>
      </c>
    </row>
    <row r="38" spans="1:64" outlineLevel="1">
      <c r="A38" s="10" t="s">
        <v>50</v>
      </c>
      <c r="B38" s="10">
        <f t="shared" si="24"/>
        <v>2014</v>
      </c>
      <c r="C38" s="7" t="s">
        <v>47</v>
      </c>
      <c r="D38" s="57"/>
      <c r="E38" s="55"/>
      <c r="F38" s="65"/>
      <c r="G38" s="56">
        <f t="shared" si="2"/>
        <v>0</v>
      </c>
      <c r="H38" s="56"/>
      <c r="I38" s="57"/>
      <c r="J38" s="56"/>
      <c r="K38" s="16">
        <f t="shared" si="27"/>
        <v>0</v>
      </c>
      <c r="L38" s="16">
        <f>SUM(K$5:K38)</f>
        <v>13896968.880000001</v>
      </c>
      <c r="N38" s="16">
        <f t="shared" si="22"/>
        <v>0</v>
      </c>
      <c r="O38" s="16">
        <f t="shared" si="22"/>
        <v>150</v>
      </c>
      <c r="P38" s="16">
        <f t="shared" si="22"/>
        <v>17363.333333333332</v>
      </c>
      <c r="Q38" s="16">
        <f t="shared" si="22"/>
        <v>12194.166666666666</v>
      </c>
      <c r="R38" s="16">
        <f t="shared" si="22"/>
        <v>15564.674999999999</v>
      </c>
      <c r="S38" s="16">
        <f t="shared" si="23"/>
        <v>11436.666666666666</v>
      </c>
      <c r="T38" s="16">
        <f t="shared" si="23"/>
        <v>12063.333333333334</v>
      </c>
      <c r="U38" s="16">
        <f t="shared" si="23"/>
        <v>13418.733333333334</v>
      </c>
      <c r="V38" s="16">
        <f t="shared" si="23"/>
        <v>10691.666666666666</v>
      </c>
      <c r="W38" s="16">
        <f t="shared" si="23"/>
        <v>11455.341333333334</v>
      </c>
      <c r="X38" s="16">
        <f t="shared" si="23"/>
        <v>8813.3333333333339</v>
      </c>
      <c r="Y38" s="16">
        <f t="shared" si="23"/>
        <v>12825</v>
      </c>
      <c r="Z38" s="16">
        <f t="shared" si="25"/>
        <v>13573.158333333333</v>
      </c>
      <c r="AA38" s="30">
        <f t="shared" si="25"/>
        <v>16461.666666666668</v>
      </c>
      <c r="AB38" s="30">
        <f t="shared" si="25"/>
        <v>18098.424999999999</v>
      </c>
      <c r="AC38" s="16">
        <f t="shared" si="25"/>
        <v>22469.591666666667</v>
      </c>
      <c r="AD38" s="16">
        <f t="shared" si="25"/>
        <v>20230.771000000001</v>
      </c>
      <c r="AE38" s="16">
        <f t="shared" si="25"/>
        <v>14851.285666666667</v>
      </c>
      <c r="AF38" s="16">
        <f t="shared" si="25"/>
        <v>-45</v>
      </c>
      <c r="AG38" s="16">
        <f t="shared" si="20"/>
        <v>231616.14799999999</v>
      </c>
      <c r="AH38" s="16">
        <f>SUM(AG$5:AG38)</f>
        <v>5557241.3760000011</v>
      </c>
      <c r="AI38" s="16">
        <f t="shared" ref="AI38:AI69" si="29">+L38-AH38</f>
        <v>8339727.5039999997</v>
      </c>
      <c r="AJ38" s="16">
        <f t="shared" ref="AJ38:AJ69" si="30">+L38-AH37</f>
        <v>8571343.6519999988</v>
      </c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7"/>
      <c r="BC38" s="16"/>
      <c r="BD38" s="16"/>
      <c r="BE38" s="30">
        <f t="shared" si="26"/>
        <v>0</v>
      </c>
      <c r="BG38" s="21">
        <f t="shared" si="11"/>
        <v>0</v>
      </c>
      <c r="BH38" s="21">
        <f t="shared" si="28"/>
        <v>231616.14799999999</v>
      </c>
      <c r="BI38" s="16">
        <f t="shared" si="12"/>
        <v>231616.14799999999</v>
      </c>
      <c r="BJ38" s="16">
        <f>+BI38*'Capital Structure '!$E$30</f>
        <v>94615.196457999991</v>
      </c>
      <c r="BK38" s="16">
        <f>SUM(BJ$5:BJ38)</f>
        <v>-3406778.6853840025</v>
      </c>
    </row>
    <row r="39" spans="1:64" outlineLevel="1">
      <c r="A39" s="10" t="s">
        <v>51</v>
      </c>
      <c r="B39" s="10">
        <f t="shared" si="24"/>
        <v>2014</v>
      </c>
      <c r="C39" s="7" t="s">
        <v>47</v>
      </c>
      <c r="D39" s="57"/>
      <c r="E39" s="55"/>
      <c r="F39" s="65"/>
      <c r="G39" s="56">
        <f t="shared" si="2"/>
        <v>0</v>
      </c>
      <c r="H39" s="56"/>
      <c r="I39" s="57"/>
      <c r="J39" s="56"/>
      <c r="K39" s="16">
        <f t="shared" si="27"/>
        <v>0</v>
      </c>
      <c r="L39" s="16">
        <f>SUM(K$5:K39)</f>
        <v>13896968.880000001</v>
      </c>
      <c r="N39" s="16">
        <f t="shared" si="22"/>
        <v>0</v>
      </c>
      <c r="O39" s="16">
        <f t="shared" si="22"/>
        <v>150</v>
      </c>
      <c r="P39" s="16">
        <f t="shared" si="22"/>
        <v>17363.333333333332</v>
      </c>
      <c r="Q39" s="16">
        <f t="shared" si="22"/>
        <v>12194.166666666666</v>
      </c>
      <c r="R39" s="16">
        <f t="shared" si="22"/>
        <v>15564.674999999999</v>
      </c>
      <c r="S39" s="16">
        <f t="shared" si="23"/>
        <v>11436.666666666666</v>
      </c>
      <c r="T39" s="16">
        <f t="shared" si="23"/>
        <v>12063.333333333334</v>
      </c>
      <c r="U39" s="16">
        <f t="shared" si="23"/>
        <v>13418.733333333334</v>
      </c>
      <c r="V39" s="16">
        <f t="shared" si="23"/>
        <v>10691.666666666666</v>
      </c>
      <c r="W39" s="16">
        <f t="shared" si="23"/>
        <v>11455.341333333334</v>
      </c>
      <c r="X39" s="16">
        <f t="shared" si="23"/>
        <v>8813.3333333333339</v>
      </c>
      <c r="Y39" s="16">
        <f t="shared" si="23"/>
        <v>12825</v>
      </c>
      <c r="Z39" s="16">
        <f t="shared" si="25"/>
        <v>13573.158333333333</v>
      </c>
      <c r="AA39" s="30">
        <f t="shared" si="25"/>
        <v>16461.666666666668</v>
      </c>
      <c r="AB39" s="30">
        <f t="shared" si="25"/>
        <v>18098.424999999999</v>
      </c>
      <c r="AC39" s="16">
        <f t="shared" si="25"/>
        <v>22469.591666666667</v>
      </c>
      <c r="AD39" s="16">
        <f t="shared" si="25"/>
        <v>20230.771000000001</v>
      </c>
      <c r="AE39" s="16">
        <f t="shared" si="25"/>
        <v>14851.285666666667</v>
      </c>
      <c r="AF39" s="16">
        <f t="shared" si="25"/>
        <v>-45</v>
      </c>
      <c r="AG39" s="16">
        <f t="shared" si="20"/>
        <v>231616.14799999999</v>
      </c>
      <c r="AH39" s="16">
        <f>SUM(AG$5:AG39)</f>
        <v>5788857.5240000011</v>
      </c>
      <c r="AI39" s="16">
        <f t="shared" si="29"/>
        <v>8108111.3559999997</v>
      </c>
      <c r="AJ39" s="16">
        <f t="shared" si="30"/>
        <v>8339727.5039999997</v>
      </c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7"/>
      <c r="BC39" s="16"/>
      <c r="BD39" s="16"/>
      <c r="BE39" s="30">
        <f t="shared" si="26"/>
        <v>0</v>
      </c>
      <c r="BG39" s="21">
        <f t="shared" si="11"/>
        <v>0</v>
      </c>
      <c r="BH39" s="21">
        <f t="shared" si="28"/>
        <v>231616.14799999999</v>
      </c>
      <c r="BI39" s="16">
        <f t="shared" si="12"/>
        <v>231616.14799999999</v>
      </c>
      <c r="BJ39" s="16">
        <f>+BI39*'Capital Structure '!$E$30</f>
        <v>94615.196457999991</v>
      </c>
      <c r="BK39" s="16">
        <f>SUM(BJ$5:BJ39)</f>
        <v>-3312163.4889260028</v>
      </c>
    </row>
    <row r="40" spans="1:64" s="3" customFormat="1" outlineLevel="1">
      <c r="A40" s="124" t="s">
        <v>52</v>
      </c>
      <c r="B40" s="124">
        <f t="shared" si="24"/>
        <v>2014</v>
      </c>
      <c r="C40" s="209" t="s">
        <v>47</v>
      </c>
      <c r="D40" s="68"/>
      <c r="E40" s="58"/>
      <c r="F40" s="58"/>
      <c r="G40" s="60">
        <f t="shared" si="2"/>
        <v>0</v>
      </c>
      <c r="H40" s="60"/>
      <c r="I40" s="68"/>
      <c r="J40" s="60"/>
      <c r="K40" s="59">
        <f t="shared" si="27"/>
        <v>0</v>
      </c>
      <c r="L40" s="59">
        <f>SUM(K$5:K40)</f>
        <v>13896968.880000001</v>
      </c>
      <c r="M40" s="126"/>
      <c r="N40" s="59">
        <f t="shared" ref="N40:R55" si="31">+N39</f>
        <v>0</v>
      </c>
      <c r="O40" s="59">
        <f t="shared" si="31"/>
        <v>150</v>
      </c>
      <c r="P40" s="59">
        <f t="shared" si="31"/>
        <v>17363.333333333332</v>
      </c>
      <c r="Q40" s="59">
        <f t="shared" si="31"/>
        <v>12194.166666666666</v>
      </c>
      <c r="R40" s="59">
        <f t="shared" si="31"/>
        <v>15564.674999999999</v>
      </c>
      <c r="S40" s="59">
        <f t="shared" si="23"/>
        <v>11436.666666666666</v>
      </c>
      <c r="T40" s="59">
        <f t="shared" si="23"/>
        <v>12063.333333333334</v>
      </c>
      <c r="U40" s="59">
        <f t="shared" si="23"/>
        <v>13418.733333333334</v>
      </c>
      <c r="V40" s="59">
        <f t="shared" si="23"/>
        <v>10691.666666666666</v>
      </c>
      <c r="W40" s="59">
        <f t="shared" si="23"/>
        <v>11455.341333333334</v>
      </c>
      <c r="X40" s="59">
        <f t="shared" si="23"/>
        <v>8813.3333333333339</v>
      </c>
      <c r="Y40" s="59">
        <f t="shared" si="23"/>
        <v>12825</v>
      </c>
      <c r="Z40" s="59">
        <f t="shared" si="25"/>
        <v>13573.158333333333</v>
      </c>
      <c r="AA40" s="59">
        <f t="shared" si="25"/>
        <v>16461.666666666668</v>
      </c>
      <c r="AB40" s="59">
        <f t="shared" si="25"/>
        <v>18098.424999999999</v>
      </c>
      <c r="AC40" s="59">
        <f t="shared" si="25"/>
        <v>22469.591666666667</v>
      </c>
      <c r="AD40" s="59">
        <f t="shared" si="25"/>
        <v>20230.771000000001</v>
      </c>
      <c r="AE40" s="59">
        <f t="shared" si="25"/>
        <v>14851.285666666667</v>
      </c>
      <c r="AF40" s="59">
        <f t="shared" si="25"/>
        <v>-45</v>
      </c>
      <c r="AG40" s="59">
        <f t="shared" si="20"/>
        <v>231616.14799999999</v>
      </c>
      <c r="AH40" s="59">
        <f>SUM(AG$5:AG40)</f>
        <v>6020473.6720000012</v>
      </c>
      <c r="AI40" s="59">
        <f t="shared" si="29"/>
        <v>7876495.2079999996</v>
      </c>
      <c r="AJ40" s="59">
        <f t="shared" si="30"/>
        <v>8108111.3559999997</v>
      </c>
      <c r="AK40" s="126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>
        <f t="shared" si="26"/>
        <v>0</v>
      </c>
      <c r="BF40" s="4"/>
      <c r="BG40" s="211">
        <f t="shared" si="11"/>
        <v>0</v>
      </c>
      <c r="BH40" s="211">
        <f t="shared" si="28"/>
        <v>231616.14799999999</v>
      </c>
      <c r="BI40" s="59">
        <f t="shared" si="12"/>
        <v>231616.14799999999</v>
      </c>
      <c r="BJ40" s="59">
        <f>+BI40*'Capital Structure '!$E$30</f>
        <v>94615.196457999991</v>
      </c>
      <c r="BK40" s="59">
        <f>SUM(BJ$5:BJ40)</f>
        <v>-3217548.292468003</v>
      </c>
    </row>
    <row r="41" spans="1:64" s="3" customFormat="1" outlineLevel="1">
      <c r="A41" s="7" t="s">
        <v>53</v>
      </c>
      <c r="B41" s="7">
        <f>+B40+1</f>
        <v>2015</v>
      </c>
      <c r="C41" s="73" t="s">
        <v>47</v>
      </c>
      <c r="D41" s="57"/>
      <c r="E41" s="55"/>
      <c r="F41" s="65"/>
      <c r="G41" s="56">
        <f t="shared" si="2"/>
        <v>0</v>
      </c>
      <c r="H41" s="56"/>
      <c r="I41" s="57"/>
      <c r="J41" s="56"/>
      <c r="K41" s="30">
        <f t="shared" si="27"/>
        <v>0</v>
      </c>
      <c r="L41" s="30">
        <f>SUM(K$5:K41)</f>
        <v>13896968.880000001</v>
      </c>
      <c r="N41" s="30">
        <f t="shared" si="31"/>
        <v>0</v>
      </c>
      <c r="O41" s="30">
        <f t="shared" si="31"/>
        <v>150</v>
      </c>
      <c r="P41" s="30">
        <f t="shared" si="31"/>
        <v>17363.333333333332</v>
      </c>
      <c r="Q41" s="30">
        <f t="shared" si="31"/>
        <v>12194.166666666666</v>
      </c>
      <c r="R41" s="30">
        <f t="shared" si="31"/>
        <v>15564.674999999999</v>
      </c>
      <c r="S41" s="30">
        <f t="shared" si="23"/>
        <v>11436.666666666666</v>
      </c>
      <c r="T41" s="30">
        <f t="shared" si="23"/>
        <v>12063.333333333334</v>
      </c>
      <c r="U41" s="30">
        <f t="shared" si="23"/>
        <v>13418.733333333334</v>
      </c>
      <c r="V41" s="30">
        <f t="shared" si="23"/>
        <v>10691.666666666666</v>
      </c>
      <c r="W41" s="30">
        <f t="shared" si="23"/>
        <v>11455.341333333334</v>
      </c>
      <c r="X41" s="30">
        <f t="shared" si="23"/>
        <v>8813.3333333333339</v>
      </c>
      <c r="Y41" s="30">
        <f t="shared" si="23"/>
        <v>12825</v>
      </c>
      <c r="Z41" s="30">
        <f t="shared" si="25"/>
        <v>13573.158333333333</v>
      </c>
      <c r="AA41" s="30">
        <f t="shared" si="25"/>
        <v>16461.666666666668</v>
      </c>
      <c r="AB41" s="30">
        <f t="shared" si="25"/>
        <v>18098.424999999999</v>
      </c>
      <c r="AC41" s="30">
        <f t="shared" si="25"/>
        <v>22469.591666666667</v>
      </c>
      <c r="AD41" s="30">
        <f t="shared" si="25"/>
        <v>20230.771000000001</v>
      </c>
      <c r="AE41" s="30">
        <f t="shared" si="25"/>
        <v>14851.285666666667</v>
      </c>
      <c r="AF41" s="30">
        <f t="shared" si="25"/>
        <v>-45</v>
      </c>
      <c r="AG41" s="30">
        <f t="shared" si="20"/>
        <v>231616.14799999999</v>
      </c>
      <c r="AH41" s="30">
        <f>SUM(AG$5:AG41)</f>
        <v>6252089.8200000012</v>
      </c>
      <c r="AI41" s="30">
        <f t="shared" si="29"/>
        <v>7644879.0599999996</v>
      </c>
      <c r="AJ41" s="30">
        <f t="shared" si="30"/>
        <v>7876495.2079999996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>
        <f t="shared" si="26"/>
        <v>0</v>
      </c>
      <c r="BG41" s="22">
        <f t="shared" si="11"/>
        <v>0</v>
      </c>
      <c r="BH41" s="22">
        <f t="shared" si="28"/>
        <v>231616.14799999999</v>
      </c>
      <c r="BI41" s="30">
        <f t="shared" si="12"/>
        <v>231616.14799999999</v>
      </c>
      <c r="BJ41" s="30">
        <f>+BI41*'Capital Structure '!$E$30</f>
        <v>94615.196457999991</v>
      </c>
      <c r="BK41" s="30">
        <f>SUM(BJ$5:BJ41)</f>
        <v>-3122933.0960100032</v>
      </c>
    </row>
    <row r="42" spans="1:64" s="3" customFormat="1" outlineLevel="1">
      <c r="A42" s="7" t="s">
        <v>54</v>
      </c>
      <c r="B42" s="7">
        <f>+B41</f>
        <v>2015</v>
      </c>
      <c r="C42" s="73" t="s">
        <v>47</v>
      </c>
      <c r="D42" s="57"/>
      <c r="E42" s="55"/>
      <c r="F42" s="65"/>
      <c r="G42" s="56">
        <f t="shared" si="2"/>
        <v>0</v>
      </c>
      <c r="H42" s="56"/>
      <c r="I42" s="57"/>
      <c r="J42" s="56"/>
      <c r="K42" s="30">
        <f t="shared" si="27"/>
        <v>0</v>
      </c>
      <c r="L42" s="30">
        <f>SUM(K$5:K42)</f>
        <v>13896968.880000001</v>
      </c>
      <c r="N42" s="30">
        <f t="shared" si="31"/>
        <v>0</v>
      </c>
      <c r="O42" s="30">
        <f t="shared" si="31"/>
        <v>150</v>
      </c>
      <c r="P42" s="30">
        <f t="shared" si="31"/>
        <v>17363.333333333332</v>
      </c>
      <c r="Q42" s="30">
        <f t="shared" si="31"/>
        <v>12194.166666666666</v>
      </c>
      <c r="R42" s="30">
        <f t="shared" si="23"/>
        <v>15564.674999999999</v>
      </c>
      <c r="S42" s="30">
        <f t="shared" si="23"/>
        <v>11436.666666666666</v>
      </c>
      <c r="T42" s="30">
        <f t="shared" si="23"/>
        <v>12063.333333333334</v>
      </c>
      <c r="U42" s="30">
        <f t="shared" si="23"/>
        <v>13418.733333333334</v>
      </c>
      <c r="V42" s="30">
        <f t="shared" si="23"/>
        <v>10691.666666666666</v>
      </c>
      <c r="W42" s="30">
        <f t="shared" si="23"/>
        <v>11455.341333333334</v>
      </c>
      <c r="X42" s="30">
        <f t="shared" si="23"/>
        <v>8813.3333333333339</v>
      </c>
      <c r="Y42" s="30">
        <f t="shared" si="23"/>
        <v>12825</v>
      </c>
      <c r="Z42" s="30">
        <f t="shared" si="25"/>
        <v>13573.158333333333</v>
      </c>
      <c r="AA42" s="30">
        <f t="shared" si="25"/>
        <v>16461.666666666668</v>
      </c>
      <c r="AB42" s="30">
        <f t="shared" si="25"/>
        <v>18098.424999999999</v>
      </c>
      <c r="AC42" s="30">
        <f t="shared" si="25"/>
        <v>22469.591666666667</v>
      </c>
      <c r="AD42" s="30">
        <f t="shared" si="25"/>
        <v>20230.771000000001</v>
      </c>
      <c r="AE42" s="30">
        <f t="shared" si="25"/>
        <v>14851.285666666667</v>
      </c>
      <c r="AF42" s="30">
        <f t="shared" si="25"/>
        <v>-45</v>
      </c>
      <c r="AG42" s="30">
        <f t="shared" si="20"/>
        <v>231616.14799999999</v>
      </c>
      <c r="AH42" s="30">
        <f>SUM(AG$5:AG42)</f>
        <v>6483705.9680000013</v>
      </c>
      <c r="AI42" s="30">
        <f t="shared" si="29"/>
        <v>7413262.9119999995</v>
      </c>
      <c r="AJ42" s="30">
        <f t="shared" si="30"/>
        <v>7644879.0599999996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>
        <f t="shared" si="26"/>
        <v>0</v>
      </c>
      <c r="BG42" s="22">
        <f t="shared" si="11"/>
        <v>0</v>
      </c>
      <c r="BH42" s="22">
        <f t="shared" si="28"/>
        <v>231616.14799999999</v>
      </c>
      <c r="BI42" s="30">
        <f t="shared" si="12"/>
        <v>231616.14799999999</v>
      </c>
      <c r="BJ42" s="30">
        <f>+BI42*'Capital Structure '!$E$30</f>
        <v>94615.196457999991</v>
      </c>
      <c r="BK42" s="30">
        <f>SUM(BJ$5:BJ42)</f>
        <v>-3028317.8995520035</v>
      </c>
    </row>
    <row r="43" spans="1:64" s="3" customFormat="1" outlineLevel="1">
      <c r="A43" s="7" t="s">
        <v>55</v>
      </c>
      <c r="B43" s="7">
        <f>+B42</f>
        <v>2015</v>
      </c>
      <c r="C43" s="73" t="s">
        <v>47</v>
      </c>
      <c r="D43" s="57"/>
      <c r="E43" s="55"/>
      <c r="F43" s="65"/>
      <c r="G43" s="56">
        <f t="shared" si="2"/>
        <v>0</v>
      </c>
      <c r="H43" s="56"/>
      <c r="I43" s="57"/>
      <c r="J43" s="56"/>
      <c r="K43" s="30">
        <f t="shared" si="27"/>
        <v>0</v>
      </c>
      <c r="L43" s="30">
        <f>SUM(K$5:K43)</f>
        <v>13896968.880000001</v>
      </c>
      <c r="N43" s="30">
        <f t="shared" si="31"/>
        <v>0</v>
      </c>
      <c r="O43" s="30">
        <f t="shared" si="31"/>
        <v>150</v>
      </c>
      <c r="P43" s="30">
        <f t="shared" si="31"/>
        <v>17363.333333333332</v>
      </c>
      <c r="Q43" s="30">
        <f t="shared" si="31"/>
        <v>12194.166666666666</v>
      </c>
      <c r="R43" s="30">
        <f t="shared" si="31"/>
        <v>15564.674999999999</v>
      </c>
      <c r="S43" s="30">
        <f t="shared" ref="S43:Y58" si="32">+S42</f>
        <v>11436.666666666666</v>
      </c>
      <c r="T43" s="30">
        <f t="shared" si="32"/>
        <v>12063.333333333334</v>
      </c>
      <c r="U43" s="30">
        <f t="shared" si="32"/>
        <v>13418.733333333334</v>
      </c>
      <c r="V43" s="30">
        <f t="shared" si="32"/>
        <v>10691.666666666666</v>
      </c>
      <c r="W43" s="30">
        <f t="shared" si="32"/>
        <v>11455.341333333334</v>
      </c>
      <c r="X43" s="30">
        <f t="shared" si="32"/>
        <v>8813.3333333333339</v>
      </c>
      <c r="Y43" s="30">
        <f t="shared" si="32"/>
        <v>12825</v>
      </c>
      <c r="Z43" s="30">
        <f t="shared" si="25"/>
        <v>13573.158333333333</v>
      </c>
      <c r="AA43" s="30">
        <f t="shared" si="25"/>
        <v>16461.666666666668</v>
      </c>
      <c r="AB43" s="30">
        <f t="shared" si="25"/>
        <v>18098.424999999999</v>
      </c>
      <c r="AC43" s="30">
        <f t="shared" si="25"/>
        <v>22469.591666666667</v>
      </c>
      <c r="AD43" s="30">
        <f t="shared" si="25"/>
        <v>20230.771000000001</v>
      </c>
      <c r="AE43" s="30">
        <f t="shared" si="25"/>
        <v>14851.285666666667</v>
      </c>
      <c r="AF43" s="30">
        <f t="shared" si="25"/>
        <v>-45</v>
      </c>
      <c r="AG43" s="30">
        <f t="shared" si="20"/>
        <v>231616.14799999999</v>
      </c>
      <c r="AH43" s="30">
        <f>SUM(AG$5:AG43)</f>
        <v>6715322.1160000013</v>
      </c>
      <c r="AI43" s="30">
        <f t="shared" si="29"/>
        <v>7181646.7639999995</v>
      </c>
      <c r="AJ43" s="30">
        <f t="shared" si="30"/>
        <v>7413262.9119999995</v>
      </c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>
        <f t="shared" si="26"/>
        <v>0</v>
      </c>
      <c r="BG43" s="22">
        <f t="shared" si="11"/>
        <v>0</v>
      </c>
      <c r="BH43" s="22">
        <f t="shared" si="28"/>
        <v>231616.14799999999</v>
      </c>
      <c r="BI43" s="30">
        <f t="shared" si="12"/>
        <v>231616.14799999999</v>
      </c>
      <c r="BJ43" s="30">
        <f>+BI43*'Capital Structure '!$E$30</f>
        <v>94615.196457999991</v>
      </c>
      <c r="BK43" s="30">
        <f>SUM(BJ$5:BJ43)</f>
        <v>-2933702.7030940037</v>
      </c>
    </row>
    <row r="44" spans="1:64" s="3" customFormat="1" outlineLevel="1">
      <c r="A44" s="7" t="s">
        <v>56</v>
      </c>
      <c r="B44" s="7">
        <f>+B43</f>
        <v>2015</v>
      </c>
      <c r="C44" s="73" t="s">
        <v>47</v>
      </c>
      <c r="D44" s="57"/>
      <c r="E44" s="55"/>
      <c r="F44" s="65"/>
      <c r="G44" s="56">
        <f t="shared" si="2"/>
        <v>0</v>
      </c>
      <c r="H44" s="56"/>
      <c r="I44" s="57"/>
      <c r="J44" s="56"/>
      <c r="K44" s="30">
        <f t="shared" si="27"/>
        <v>0</v>
      </c>
      <c r="L44" s="30">
        <f>SUM(K$5:K44)</f>
        <v>13896968.880000001</v>
      </c>
      <c r="N44" s="30">
        <f t="shared" si="31"/>
        <v>0</v>
      </c>
      <c r="O44" s="30">
        <f t="shared" si="31"/>
        <v>150</v>
      </c>
      <c r="P44" s="30">
        <f t="shared" si="31"/>
        <v>17363.333333333332</v>
      </c>
      <c r="Q44" s="30">
        <f t="shared" si="31"/>
        <v>12194.166666666666</v>
      </c>
      <c r="R44" s="30">
        <f t="shared" si="31"/>
        <v>15564.674999999999</v>
      </c>
      <c r="S44" s="30">
        <f t="shared" si="32"/>
        <v>11436.666666666666</v>
      </c>
      <c r="T44" s="30">
        <f t="shared" si="32"/>
        <v>12063.333333333334</v>
      </c>
      <c r="U44" s="30">
        <f t="shared" si="32"/>
        <v>13418.733333333334</v>
      </c>
      <c r="V44" s="30">
        <f t="shared" si="32"/>
        <v>10691.666666666666</v>
      </c>
      <c r="W44" s="30">
        <f t="shared" si="32"/>
        <v>11455.341333333334</v>
      </c>
      <c r="X44" s="30">
        <f t="shared" si="32"/>
        <v>8813.3333333333339</v>
      </c>
      <c r="Y44" s="30">
        <f t="shared" si="32"/>
        <v>12825</v>
      </c>
      <c r="Z44" s="30">
        <f t="shared" si="25"/>
        <v>13573.158333333333</v>
      </c>
      <c r="AA44" s="30">
        <f t="shared" si="25"/>
        <v>16461.666666666668</v>
      </c>
      <c r="AB44" s="30">
        <f t="shared" si="25"/>
        <v>18098.424999999999</v>
      </c>
      <c r="AC44" s="30">
        <f t="shared" si="25"/>
        <v>22469.591666666667</v>
      </c>
      <c r="AD44" s="30">
        <f t="shared" si="25"/>
        <v>20230.771000000001</v>
      </c>
      <c r="AE44" s="30">
        <f t="shared" si="25"/>
        <v>14851.285666666667</v>
      </c>
      <c r="AF44" s="30">
        <f t="shared" si="25"/>
        <v>-45</v>
      </c>
      <c r="AG44" s="30">
        <f t="shared" si="20"/>
        <v>231616.14799999999</v>
      </c>
      <c r="AH44" s="30">
        <f>SUM(AG$5:AG44)</f>
        <v>6946938.2640000014</v>
      </c>
      <c r="AI44" s="30">
        <f t="shared" si="29"/>
        <v>6950030.6159999995</v>
      </c>
      <c r="AJ44" s="30">
        <f t="shared" si="30"/>
        <v>7181646.7639999995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>
        <f t="shared" si="26"/>
        <v>0</v>
      </c>
      <c r="BG44" s="22">
        <f t="shared" si="11"/>
        <v>0</v>
      </c>
      <c r="BH44" s="22">
        <f t="shared" si="28"/>
        <v>231616.14799999999</v>
      </c>
      <c r="BI44" s="30">
        <f t="shared" si="12"/>
        <v>231616.14799999999</v>
      </c>
      <c r="BJ44" s="30">
        <f>+BI44*'Capital Structure '!$E$30</f>
        <v>94615.196457999991</v>
      </c>
      <c r="BK44" s="30">
        <f>SUM(BJ$5:BJ44)</f>
        <v>-2839087.506636004</v>
      </c>
    </row>
    <row r="45" spans="1:64" s="3" customFormat="1" outlineLevel="1">
      <c r="A45" s="7" t="s">
        <v>57</v>
      </c>
      <c r="B45" s="7">
        <f>+B44</f>
        <v>2015</v>
      </c>
      <c r="C45" s="73" t="s">
        <v>47</v>
      </c>
      <c r="D45" s="57"/>
      <c r="E45" s="55"/>
      <c r="F45" s="65"/>
      <c r="G45" s="56">
        <f t="shared" si="2"/>
        <v>0</v>
      </c>
      <c r="H45" s="56"/>
      <c r="I45" s="57"/>
      <c r="J45" s="56"/>
      <c r="K45" s="30">
        <f t="shared" si="27"/>
        <v>0</v>
      </c>
      <c r="L45" s="30">
        <f>SUM(K$5:K45)</f>
        <v>13896968.880000001</v>
      </c>
      <c r="N45" s="30">
        <f t="shared" si="31"/>
        <v>0</v>
      </c>
      <c r="O45" s="30">
        <f t="shared" si="31"/>
        <v>150</v>
      </c>
      <c r="P45" s="30">
        <f t="shared" si="31"/>
        <v>17363.333333333332</v>
      </c>
      <c r="Q45" s="30">
        <f t="shared" si="31"/>
        <v>12194.166666666666</v>
      </c>
      <c r="R45" s="30">
        <f t="shared" si="31"/>
        <v>15564.674999999999</v>
      </c>
      <c r="S45" s="30">
        <f t="shared" si="32"/>
        <v>11436.666666666666</v>
      </c>
      <c r="T45" s="30">
        <f t="shared" si="32"/>
        <v>12063.333333333334</v>
      </c>
      <c r="U45" s="30">
        <f t="shared" si="32"/>
        <v>13418.733333333334</v>
      </c>
      <c r="V45" s="30">
        <f t="shared" si="32"/>
        <v>10691.666666666666</v>
      </c>
      <c r="W45" s="30">
        <f t="shared" si="32"/>
        <v>11455.341333333334</v>
      </c>
      <c r="X45" s="30">
        <f t="shared" si="32"/>
        <v>8813.3333333333339</v>
      </c>
      <c r="Y45" s="30">
        <f t="shared" si="32"/>
        <v>12825</v>
      </c>
      <c r="Z45" s="30">
        <f t="shared" si="25"/>
        <v>13573.158333333333</v>
      </c>
      <c r="AA45" s="30">
        <f t="shared" si="25"/>
        <v>16461.666666666668</v>
      </c>
      <c r="AB45" s="30">
        <f t="shared" si="25"/>
        <v>18098.424999999999</v>
      </c>
      <c r="AC45" s="30">
        <f t="shared" si="25"/>
        <v>22469.591666666667</v>
      </c>
      <c r="AD45" s="30">
        <f t="shared" si="25"/>
        <v>20230.771000000001</v>
      </c>
      <c r="AE45" s="30">
        <f t="shared" si="25"/>
        <v>14851.285666666667</v>
      </c>
      <c r="AF45" s="30">
        <f t="shared" si="25"/>
        <v>-45</v>
      </c>
      <c r="AG45" s="30">
        <f t="shared" si="20"/>
        <v>231616.14799999999</v>
      </c>
      <c r="AH45" s="30">
        <f>SUM(AG$5:AG45)</f>
        <v>7178554.4120000014</v>
      </c>
      <c r="AI45" s="30">
        <f t="shared" si="29"/>
        <v>6718414.4679999994</v>
      </c>
      <c r="AJ45" s="30">
        <f t="shared" si="30"/>
        <v>6950030.6159999995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>
        <f t="shared" si="26"/>
        <v>0</v>
      </c>
      <c r="BG45" s="22">
        <f t="shared" si="11"/>
        <v>0</v>
      </c>
      <c r="BH45" s="22">
        <f t="shared" si="28"/>
        <v>231616.14799999999</v>
      </c>
      <c r="BI45" s="30">
        <f t="shared" si="12"/>
        <v>231616.14799999999</v>
      </c>
      <c r="BJ45" s="30">
        <f>+BI45*'Capital Structure '!$E$30</f>
        <v>94615.196457999991</v>
      </c>
      <c r="BK45" s="30">
        <f>SUM(BJ$5:BJ45)</f>
        <v>-2744472.3101780042</v>
      </c>
    </row>
    <row r="46" spans="1:64" s="3" customFormat="1" outlineLevel="1">
      <c r="A46" s="7" t="s">
        <v>58</v>
      </c>
      <c r="B46" s="7">
        <f>+B45</f>
        <v>2015</v>
      </c>
      <c r="C46" s="73" t="s">
        <v>47</v>
      </c>
      <c r="D46" s="57"/>
      <c r="E46" s="55"/>
      <c r="F46" s="65"/>
      <c r="G46" s="56">
        <f t="shared" si="2"/>
        <v>0</v>
      </c>
      <c r="H46" s="56"/>
      <c r="I46" s="57"/>
      <c r="J46" s="56"/>
      <c r="K46" s="30">
        <f t="shared" si="27"/>
        <v>0</v>
      </c>
      <c r="L46" s="30">
        <f>SUM(K$5:K46)</f>
        <v>13896968.880000001</v>
      </c>
      <c r="N46" s="30">
        <f t="shared" si="31"/>
        <v>0</v>
      </c>
      <c r="O46" s="30">
        <f t="shared" si="31"/>
        <v>150</v>
      </c>
      <c r="P46" s="30">
        <f t="shared" si="31"/>
        <v>17363.333333333332</v>
      </c>
      <c r="Q46" s="30">
        <f t="shared" si="31"/>
        <v>12194.166666666666</v>
      </c>
      <c r="R46" s="30">
        <f t="shared" si="31"/>
        <v>15564.674999999999</v>
      </c>
      <c r="S46" s="30">
        <f t="shared" si="32"/>
        <v>11436.666666666666</v>
      </c>
      <c r="T46" s="30">
        <f t="shared" si="32"/>
        <v>12063.333333333334</v>
      </c>
      <c r="U46" s="30">
        <f t="shared" si="32"/>
        <v>13418.733333333334</v>
      </c>
      <c r="V46" s="30">
        <f t="shared" si="32"/>
        <v>10691.666666666666</v>
      </c>
      <c r="W46" s="30">
        <f t="shared" si="32"/>
        <v>11455.341333333334</v>
      </c>
      <c r="X46" s="30">
        <f t="shared" si="32"/>
        <v>8813.3333333333339</v>
      </c>
      <c r="Y46" s="30">
        <f t="shared" si="32"/>
        <v>12825</v>
      </c>
      <c r="Z46" s="30">
        <f t="shared" si="25"/>
        <v>13573.158333333333</v>
      </c>
      <c r="AA46" s="30">
        <f t="shared" si="25"/>
        <v>16461.666666666668</v>
      </c>
      <c r="AB46" s="30">
        <f t="shared" si="25"/>
        <v>18098.424999999999</v>
      </c>
      <c r="AC46" s="30">
        <f t="shared" si="25"/>
        <v>22469.591666666667</v>
      </c>
      <c r="AD46" s="30">
        <f t="shared" si="25"/>
        <v>20230.771000000001</v>
      </c>
      <c r="AE46" s="30">
        <f t="shared" si="25"/>
        <v>14851.285666666667</v>
      </c>
      <c r="AF46" s="30">
        <f t="shared" si="25"/>
        <v>-45</v>
      </c>
      <c r="AG46" s="30">
        <f t="shared" si="20"/>
        <v>231616.14799999999</v>
      </c>
      <c r="AH46" s="30">
        <f>SUM(AG$5:AG46)</f>
        <v>7410170.5600000015</v>
      </c>
      <c r="AI46" s="30">
        <f t="shared" si="29"/>
        <v>6486798.3199999994</v>
      </c>
      <c r="AJ46" s="30">
        <f t="shared" si="30"/>
        <v>6718414.4679999994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>
        <f t="shared" si="26"/>
        <v>0</v>
      </c>
      <c r="BG46" s="22">
        <f t="shared" si="11"/>
        <v>0</v>
      </c>
      <c r="BH46" s="22">
        <f t="shared" si="28"/>
        <v>231616.14799999999</v>
      </c>
      <c r="BI46" s="30">
        <f t="shared" si="12"/>
        <v>231616.14799999999</v>
      </c>
      <c r="BJ46" s="30">
        <f>+BI46*'Capital Structure '!$E$30</f>
        <v>94615.196457999991</v>
      </c>
      <c r="BK46" s="30">
        <f>SUM(BJ$5:BJ46)</f>
        <v>-2649857.1137200044</v>
      </c>
    </row>
    <row r="47" spans="1:64" outlineLevel="1">
      <c r="A47" s="10" t="s">
        <v>59</v>
      </c>
      <c r="B47" s="10">
        <f t="shared" ref="B47:B52" si="33">+B46</f>
        <v>2015</v>
      </c>
      <c r="C47" s="73" t="s">
        <v>47</v>
      </c>
      <c r="D47" s="57"/>
      <c r="E47" s="55"/>
      <c r="F47" s="65"/>
      <c r="G47" s="56">
        <f t="shared" si="2"/>
        <v>0</v>
      </c>
      <c r="H47" s="56"/>
      <c r="I47" s="57"/>
      <c r="J47" s="56"/>
      <c r="K47" s="16">
        <f t="shared" si="27"/>
        <v>0</v>
      </c>
      <c r="L47" s="16">
        <f>SUM(K$5:K47)</f>
        <v>13896968.880000001</v>
      </c>
      <c r="N47" s="16">
        <f t="shared" si="31"/>
        <v>0</v>
      </c>
      <c r="O47" s="16">
        <f t="shared" si="31"/>
        <v>150</v>
      </c>
      <c r="P47" s="16">
        <f t="shared" si="31"/>
        <v>17363.333333333332</v>
      </c>
      <c r="Q47" s="16">
        <f t="shared" si="31"/>
        <v>12194.166666666666</v>
      </c>
      <c r="R47" s="16">
        <f t="shared" si="31"/>
        <v>15564.674999999999</v>
      </c>
      <c r="S47" s="16">
        <f t="shared" si="32"/>
        <v>11436.666666666666</v>
      </c>
      <c r="T47" s="16">
        <f t="shared" si="32"/>
        <v>12063.333333333334</v>
      </c>
      <c r="U47" s="16">
        <f t="shared" si="32"/>
        <v>13418.733333333334</v>
      </c>
      <c r="V47" s="16">
        <f t="shared" si="32"/>
        <v>10691.666666666666</v>
      </c>
      <c r="W47" s="16">
        <f t="shared" si="32"/>
        <v>11455.341333333334</v>
      </c>
      <c r="X47" s="16">
        <f t="shared" si="32"/>
        <v>8813.3333333333339</v>
      </c>
      <c r="Y47" s="16">
        <f t="shared" si="32"/>
        <v>12825</v>
      </c>
      <c r="Z47" s="16">
        <f t="shared" si="25"/>
        <v>13573.158333333333</v>
      </c>
      <c r="AA47" s="30">
        <f t="shared" si="25"/>
        <v>16461.666666666668</v>
      </c>
      <c r="AB47" s="30">
        <f t="shared" si="25"/>
        <v>18098.424999999999</v>
      </c>
      <c r="AC47" s="16">
        <f t="shared" si="25"/>
        <v>22469.591666666667</v>
      </c>
      <c r="AD47" s="16">
        <f t="shared" si="25"/>
        <v>20230.771000000001</v>
      </c>
      <c r="AE47" s="16">
        <f t="shared" si="25"/>
        <v>14851.285666666667</v>
      </c>
      <c r="AF47" s="16">
        <f t="shared" si="25"/>
        <v>-45</v>
      </c>
      <c r="AG47" s="16">
        <f t="shared" si="20"/>
        <v>231616.14799999999</v>
      </c>
      <c r="AH47" s="16">
        <f>SUM(AG$5:AG47)</f>
        <v>7641786.7080000015</v>
      </c>
      <c r="AI47" s="16">
        <f t="shared" si="29"/>
        <v>6255182.1719999993</v>
      </c>
      <c r="AJ47" s="16">
        <f t="shared" si="30"/>
        <v>6486798.3199999994</v>
      </c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>
        <f t="shared" si="26"/>
        <v>0</v>
      </c>
      <c r="BG47" s="21">
        <f t="shared" si="11"/>
        <v>0</v>
      </c>
      <c r="BH47" s="21">
        <f t="shared" si="28"/>
        <v>231616.14799999999</v>
      </c>
      <c r="BI47" s="16">
        <f t="shared" si="12"/>
        <v>231616.14799999999</v>
      </c>
      <c r="BJ47" s="16">
        <f>+BI47*'Capital Structure '!$E$30</f>
        <v>94615.196457999991</v>
      </c>
      <c r="BK47" s="16">
        <f>SUM(BJ$5:BJ47)</f>
        <v>-2555241.9172620047</v>
      </c>
    </row>
    <row r="48" spans="1:64" outlineLevel="1">
      <c r="A48" s="10" t="s">
        <v>46</v>
      </c>
      <c r="B48" s="10">
        <f t="shared" si="33"/>
        <v>2015</v>
      </c>
      <c r="C48" s="73" t="s">
        <v>47</v>
      </c>
      <c r="D48" s="57"/>
      <c r="E48" s="55"/>
      <c r="F48" s="65"/>
      <c r="G48" s="56">
        <f t="shared" si="2"/>
        <v>0</v>
      </c>
      <c r="H48" s="56"/>
      <c r="I48" s="57"/>
      <c r="J48" s="56"/>
      <c r="K48" s="16">
        <f t="shared" si="27"/>
        <v>0</v>
      </c>
      <c r="L48" s="16">
        <f>SUM(K$5:K48)</f>
        <v>13896968.880000001</v>
      </c>
      <c r="N48" s="16">
        <f t="shared" si="31"/>
        <v>0</v>
      </c>
      <c r="O48" s="16">
        <f t="shared" si="31"/>
        <v>150</v>
      </c>
      <c r="P48" s="16">
        <f t="shared" si="31"/>
        <v>17363.333333333332</v>
      </c>
      <c r="Q48" s="16">
        <f t="shared" si="31"/>
        <v>12194.166666666666</v>
      </c>
      <c r="R48" s="16">
        <f t="shared" si="31"/>
        <v>15564.674999999999</v>
      </c>
      <c r="S48" s="16">
        <f t="shared" si="32"/>
        <v>11436.666666666666</v>
      </c>
      <c r="T48" s="16">
        <f t="shared" si="32"/>
        <v>12063.333333333334</v>
      </c>
      <c r="U48" s="16">
        <f t="shared" si="32"/>
        <v>13418.733333333334</v>
      </c>
      <c r="V48" s="16">
        <f t="shared" si="32"/>
        <v>10691.666666666666</v>
      </c>
      <c r="W48" s="16">
        <f t="shared" si="32"/>
        <v>11455.341333333334</v>
      </c>
      <c r="X48" s="16">
        <f t="shared" si="32"/>
        <v>8813.3333333333339</v>
      </c>
      <c r="Y48" s="16">
        <f t="shared" si="32"/>
        <v>12825</v>
      </c>
      <c r="Z48" s="16">
        <f t="shared" si="25"/>
        <v>13573.158333333333</v>
      </c>
      <c r="AA48" s="30">
        <f t="shared" si="25"/>
        <v>16461.666666666668</v>
      </c>
      <c r="AB48" s="30">
        <f t="shared" si="25"/>
        <v>18098.424999999999</v>
      </c>
      <c r="AC48" s="16">
        <f t="shared" si="25"/>
        <v>22469.591666666667</v>
      </c>
      <c r="AD48" s="16">
        <f t="shared" si="25"/>
        <v>20230.771000000001</v>
      </c>
      <c r="AE48" s="16">
        <f t="shared" si="25"/>
        <v>14851.285666666667</v>
      </c>
      <c r="AF48" s="16">
        <f t="shared" si="25"/>
        <v>-45</v>
      </c>
      <c r="AG48" s="16">
        <f t="shared" si="20"/>
        <v>231616.14799999999</v>
      </c>
      <c r="AH48" s="16">
        <f>SUM(AG$5:AG48)</f>
        <v>7873402.8560000015</v>
      </c>
      <c r="AI48" s="16">
        <f t="shared" si="29"/>
        <v>6023566.0239999993</v>
      </c>
      <c r="AJ48" s="16">
        <f t="shared" si="30"/>
        <v>6255182.1719999993</v>
      </c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>
        <f t="shared" si="26"/>
        <v>0</v>
      </c>
      <c r="BG48" s="21">
        <f t="shared" si="11"/>
        <v>0</v>
      </c>
      <c r="BH48" s="21">
        <f t="shared" si="28"/>
        <v>231616.14799999999</v>
      </c>
      <c r="BI48" s="16">
        <f t="shared" si="12"/>
        <v>231616.14799999999</v>
      </c>
      <c r="BJ48" s="16">
        <f>+BI48*'Capital Structure '!$E$30</f>
        <v>94615.196457999991</v>
      </c>
      <c r="BK48" s="16">
        <f>SUM(BJ$5:BJ48)</f>
        <v>-2460626.7208040049</v>
      </c>
    </row>
    <row r="49" spans="1:63" outlineLevel="1">
      <c r="A49" s="10" t="s">
        <v>48</v>
      </c>
      <c r="B49" s="10">
        <f t="shared" si="33"/>
        <v>2015</v>
      </c>
      <c r="C49" s="73" t="s">
        <v>47</v>
      </c>
      <c r="D49" s="57"/>
      <c r="E49" s="55"/>
      <c r="F49" s="65"/>
      <c r="G49" s="56">
        <f t="shared" si="2"/>
        <v>0</v>
      </c>
      <c r="H49" s="56"/>
      <c r="I49" s="57"/>
      <c r="J49" s="56"/>
      <c r="K49" s="16">
        <f t="shared" si="27"/>
        <v>0</v>
      </c>
      <c r="L49" s="16">
        <f>SUM(K$5:K49)</f>
        <v>13896968.880000001</v>
      </c>
      <c r="N49" s="16">
        <f t="shared" si="31"/>
        <v>0</v>
      </c>
      <c r="O49" s="16">
        <f t="shared" si="31"/>
        <v>150</v>
      </c>
      <c r="P49" s="16">
        <f t="shared" si="31"/>
        <v>17363.333333333332</v>
      </c>
      <c r="Q49" s="16">
        <f t="shared" si="31"/>
        <v>12194.166666666666</v>
      </c>
      <c r="R49" s="16">
        <f t="shared" si="31"/>
        <v>15564.674999999999</v>
      </c>
      <c r="S49" s="16">
        <f t="shared" si="32"/>
        <v>11436.666666666666</v>
      </c>
      <c r="T49" s="16">
        <f t="shared" si="32"/>
        <v>12063.333333333334</v>
      </c>
      <c r="U49" s="16">
        <f t="shared" si="32"/>
        <v>13418.733333333334</v>
      </c>
      <c r="V49" s="16">
        <f t="shared" si="32"/>
        <v>10691.666666666666</v>
      </c>
      <c r="W49" s="16">
        <f t="shared" si="32"/>
        <v>11455.341333333334</v>
      </c>
      <c r="X49" s="16">
        <f t="shared" si="32"/>
        <v>8813.3333333333339</v>
      </c>
      <c r="Y49" s="16">
        <f t="shared" si="32"/>
        <v>12825</v>
      </c>
      <c r="Z49" s="16">
        <f t="shared" si="25"/>
        <v>13573.158333333333</v>
      </c>
      <c r="AA49" s="30">
        <f t="shared" si="25"/>
        <v>16461.666666666668</v>
      </c>
      <c r="AB49" s="30">
        <f t="shared" si="25"/>
        <v>18098.424999999999</v>
      </c>
      <c r="AC49" s="16">
        <f t="shared" si="25"/>
        <v>22469.591666666667</v>
      </c>
      <c r="AD49" s="16">
        <f t="shared" si="25"/>
        <v>20230.771000000001</v>
      </c>
      <c r="AE49" s="16">
        <f t="shared" si="25"/>
        <v>14851.285666666667</v>
      </c>
      <c r="AF49" s="16">
        <f t="shared" si="25"/>
        <v>-45</v>
      </c>
      <c r="AG49" s="16">
        <f t="shared" si="20"/>
        <v>231616.14799999999</v>
      </c>
      <c r="AH49" s="16">
        <f>SUM(AG$5:AG49)</f>
        <v>8105019.0040000016</v>
      </c>
      <c r="AI49" s="16">
        <f t="shared" si="29"/>
        <v>5791949.8759999992</v>
      </c>
      <c r="AJ49" s="16">
        <f t="shared" si="30"/>
        <v>6023566.0239999993</v>
      </c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f t="shared" si="26"/>
        <v>0</v>
      </c>
      <c r="BG49" s="21">
        <f t="shared" si="11"/>
        <v>0</v>
      </c>
      <c r="BH49" s="21">
        <f t="shared" si="28"/>
        <v>231616.14799999999</v>
      </c>
      <c r="BI49" s="16">
        <f t="shared" si="12"/>
        <v>231616.14799999999</v>
      </c>
      <c r="BJ49" s="16">
        <f>+BI49*'Capital Structure '!$E$30</f>
        <v>94615.196457999991</v>
      </c>
      <c r="BK49" s="16">
        <f>SUM(BJ$5:BJ49)</f>
        <v>-2366011.5243460052</v>
      </c>
    </row>
    <row r="50" spans="1:63" outlineLevel="1">
      <c r="A50" s="10" t="s">
        <v>50</v>
      </c>
      <c r="B50" s="10">
        <f t="shared" si="33"/>
        <v>2015</v>
      </c>
      <c r="C50" s="73" t="s">
        <v>47</v>
      </c>
      <c r="D50" s="57"/>
      <c r="E50" s="55"/>
      <c r="F50" s="65"/>
      <c r="G50" s="56">
        <f t="shared" si="2"/>
        <v>0</v>
      </c>
      <c r="H50" s="56"/>
      <c r="I50" s="57"/>
      <c r="J50" s="56"/>
      <c r="K50" s="16">
        <f t="shared" si="27"/>
        <v>0</v>
      </c>
      <c r="L50" s="16">
        <f>SUM(K$5:K50)</f>
        <v>13896968.880000001</v>
      </c>
      <c r="N50" s="16">
        <f t="shared" si="31"/>
        <v>0</v>
      </c>
      <c r="O50" s="16">
        <f t="shared" si="31"/>
        <v>150</v>
      </c>
      <c r="P50" s="16">
        <f t="shared" si="31"/>
        <v>17363.333333333332</v>
      </c>
      <c r="Q50" s="16">
        <f t="shared" si="31"/>
        <v>12194.166666666666</v>
      </c>
      <c r="R50" s="16">
        <f t="shared" si="31"/>
        <v>15564.674999999999</v>
      </c>
      <c r="S50" s="16">
        <f t="shared" si="32"/>
        <v>11436.666666666666</v>
      </c>
      <c r="T50" s="16">
        <f t="shared" si="32"/>
        <v>12063.333333333334</v>
      </c>
      <c r="U50" s="16">
        <f t="shared" si="32"/>
        <v>13418.733333333334</v>
      </c>
      <c r="V50" s="16">
        <f t="shared" si="32"/>
        <v>10691.666666666666</v>
      </c>
      <c r="W50" s="16">
        <f t="shared" si="32"/>
        <v>11455.341333333334</v>
      </c>
      <c r="X50" s="16">
        <f t="shared" si="32"/>
        <v>8813.3333333333339</v>
      </c>
      <c r="Y50" s="16">
        <f t="shared" si="32"/>
        <v>12825</v>
      </c>
      <c r="Z50" s="16">
        <f t="shared" si="25"/>
        <v>13573.158333333333</v>
      </c>
      <c r="AA50" s="30">
        <f t="shared" si="25"/>
        <v>16461.666666666668</v>
      </c>
      <c r="AB50" s="30">
        <f t="shared" si="25"/>
        <v>18098.424999999999</v>
      </c>
      <c r="AC50" s="16">
        <f t="shared" si="25"/>
        <v>22469.591666666667</v>
      </c>
      <c r="AD50" s="16">
        <f t="shared" si="25"/>
        <v>20230.771000000001</v>
      </c>
      <c r="AE50" s="16">
        <f t="shared" si="25"/>
        <v>14851.285666666667</v>
      </c>
      <c r="AF50" s="16">
        <f t="shared" si="25"/>
        <v>-45</v>
      </c>
      <c r="AG50" s="16">
        <f t="shared" si="20"/>
        <v>231616.14799999999</v>
      </c>
      <c r="AH50" s="16">
        <f>SUM(AG$5:AG50)</f>
        <v>8336635.1520000016</v>
      </c>
      <c r="AI50" s="16">
        <f t="shared" si="29"/>
        <v>5560333.7279999992</v>
      </c>
      <c r="AJ50" s="16">
        <f t="shared" si="30"/>
        <v>5791949.8759999992</v>
      </c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>
        <f t="shared" si="26"/>
        <v>0</v>
      </c>
      <c r="BG50" s="21">
        <f t="shared" si="11"/>
        <v>0</v>
      </c>
      <c r="BH50" s="21">
        <f t="shared" si="28"/>
        <v>231616.14799999999</v>
      </c>
      <c r="BI50" s="16">
        <f t="shared" si="12"/>
        <v>231616.14799999999</v>
      </c>
      <c r="BJ50" s="16">
        <f>+BI50*'Capital Structure '!$E$30</f>
        <v>94615.196457999991</v>
      </c>
      <c r="BK50" s="16">
        <f>SUM(BJ$5:BJ50)</f>
        <v>-2271396.3278880054</v>
      </c>
    </row>
    <row r="51" spans="1:63" outlineLevel="1">
      <c r="A51" s="10" t="s">
        <v>51</v>
      </c>
      <c r="B51" s="10">
        <f t="shared" si="33"/>
        <v>2015</v>
      </c>
      <c r="C51" s="73" t="s">
        <v>47</v>
      </c>
      <c r="D51" s="57"/>
      <c r="E51" s="55"/>
      <c r="F51" s="65"/>
      <c r="G51" s="56">
        <f t="shared" si="2"/>
        <v>0</v>
      </c>
      <c r="H51" s="56"/>
      <c r="I51" s="57"/>
      <c r="J51" s="56"/>
      <c r="K51" s="16">
        <f t="shared" si="27"/>
        <v>0</v>
      </c>
      <c r="L51" s="16">
        <f>SUM(K$5:K51)</f>
        <v>13896968.880000001</v>
      </c>
      <c r="N51" s="16">
        <f t="shared" si="31"/>
        <v>0</v>
      </c>
      <c r="O51" s="16">
        <f t="shared" si="31"/>
        <v>150</v>
      </c>
      <c r="P51" s="16">
        <f t="shared" si="31"/>
        <v>17363.333333333332</v>
      </c>
      <c r="Q51" s="16">
        <f t="shared" si="31"/>
        <v>12194.166666666666</v>
      </c>
      <c r="R51" s="16">
        <f t="shared" si="31"/>
        <v>15564.674999999999</v>
      </c>
      <c r="S51" s="16">
        <f t="shared" si="32"/>
        <v>11436.666666666666</v>
      </c>
      <c r="T51" s="16">
        <f t="shared" si="32"/>
        <v>12063.333333333334</v>
      </c>
      <c r="U51" s="16">
        <f t="shared" si="32"/>
        <v>13418.733333333334</v>
      </c>
      <c r="V51" s="16">
        <f t="shared" si="32"/>
        <v>10691.666666666666</v>
      </c>
      <c r="W51" s="16">
        <f t="shared" si="32"/>
        <v>11455.341333333334</v>
      </c>
      <c r="X51" s="16">
        <f t="shared" si="32"/>
        <v>8813.3333333333339</v>
      </c>
      <c r="Y51" s="16">
        <f t="shared" si="32"/>
        <v>12825</v>
      </c>
      <c r="Z51" s="16">
        <f t="shared" ref="Z51:AF66" si="34">Z50</f>
        <v>13573.158333333333</v>
      </c>
      <c r="AA51" s="30">
        <f t="shared" si="34"/>
        <v>16461.666666666668</v>
      </c>
      <c r="AB51" s="30">
        <f t="shared" si="34"/>
        <v>18098.424999999999</v>
      </c>
      <c r="AC51" s="16">
        <f t="shared" si="34"/>
        <v>22469.591666666667</v>
      </c>
      <c r="AD51" s="16">
        <f t="shared" si="34"/>
        <v>20230.771000000001</v>
      </c>
      <c r="AE51" s="16">
        <f t="shared" si="34"/>
        <v>14851.285666666667</v>
      </c>
      <c r="AF51" s="16">
        <f t="shared" si="34"/>
        <v>-45</v>
      </c>
      <c r="AG51" s="16">
        <f t="shared" si="20"/>
        <v>231616.14799999999</v>
      </c>
      <c r="AH51" s="16">
        <f>SUM(AG$5:AG51)</f>
        <v>8568251.3000000007</v>
      </c>
      <c r="AI51" s="16">
        <f t="shared" si="29"/>
        <v>5328717.58</v>
      </c>
      <c r="AJ51" s="16">
        <f t="shared" si="30"/>
        <v>5560333.7279999992</v>
      </c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f t="shared" si="26"/>
        <v>0</v>
      </c>
      <c r="BF51" s="6"/>
      <c r="BG51" s="21">
        <f t="shared" si="11"/>
        <v>0</v>
      </c>
      <c r="BH51" s="21">
        <f t="shared" si="28"/>
        <v>231616.14799999999</v>
      </c>
      <c r="BI51" s="16">
        <f t="shared" si="12"/>
        <v>231616.14799999999</v>
      </c>
      <c r="BJ51" s="16">
        <f>+BI51*'Capital Structure '!$E$30</f>
        <v>94615.196457999991</v>
      </c>
      <c r="BK51" s="16">
        <f>SUM(BJ$5:BJ51)</f>
        <v>-2176781.1314300057</v>
      </c>
    </row>
    <row r="52" spans="1:63" outlineLevel="1">
      <c r="A52" s="24" t="s">
        <v>52</v>
      </c>
      <c r="B52" s="24">
        <f t="shared" si="33"/>
        <v>2015</v>
      </c>
      <c r="C52" s="224" t="s">
        <v>47</v>
      </c>
      <c r="D52" s="68"/>
      <c r="E52" s="58"/>
      <c r="F52" s="58"/>
      <c r="G52" s="60">
        <f t="shared" si="2"/>
        <v>0</v>
      </c>
      <c r="H52" s="60"/>
      <c r="I52" s="68"/>
      <c r="J52" s="60"/>
      <c r="K52" s="25">
        <f t="shared" si="27"/>
        <v>0</v>
      </c>
      <c r="L52" s="25">
        <f>SUM(K$5:K52)</f>
        <v>13896968.880000001</v>
      </c>
      <c r="M52" s="26"/>
      <c r="N52" s="25">
        <f t="shared" si="31"/>
        <v>0</v>
      </c>
      <c r="O52" s="25">
        <f t="shared" si="31"/>
        <v>150</v>
      </c>
      <c r="P52" s="25">
        <f t="shared" si="31"/>
        <v>17363.333333333332</v>
      </c>
      <c r="Q52" s="25">
        <f t="shared" si="31"/>
        <v>12194.166666666666</v>
      </c>
      <c r="R52" s="25">
        <f t="shared" si="31"/>
        <v>15564.674999999999</v>
      </c>
      <c r="S52" s="25">
        <f t="shared" si="32"/>
        <v>11436.666666666666</v>
      </c>
      <c r="T52" s="25">
        <f t="shared" si="32"/>
        <v>12063.333333333334</v>
      </c>
      <c r="U52" s="25">
        <f t="shared" si="32"/>
        <v>13418.733333333334</v>
      </c>
      <c r="V52" s="25">
        <f t="shared" si="32"/>
        <v>10691.666666666666</v>
      </c>
      <c r="W52" s="25">
        <f t="shared" si="32"/>
        <v>11455.341333333334</v>
      </c>
      <c r="X52" s="25">
        <f t="shared" si="32"/>
        <v>8813.3333333333339</v>
      </c>
      <c r="Y52" s="25">
        <f t="shared" si="32"/>
        <v>12825</v>
      </c>
      <c r="Z52" s="25">
        <f t="shared" si="34"/>
        <v>13573.158333333333</v>
      </c>
      <c r="AA52" s="59">
        <f t="shared" si="34"/>
        <v>16461.666666666668</v>
      </c>
      <c r="AB52" s="59">
        <f t="shared" si="34"/>
        <v>18098.424999999999</v>
      </c>
      <c r="AC52" s="25">
        <f t="shared" si="34"/>
        <v>22469.591666666667</v>
      </c>
      <c r="AD52" s="25">
        <f t="shared" si="34"/>
        <v>20230.771000000001</v>
      </c>
      <c r="AE52" s="25">
        <f t="shared" si="34"/>
        <v>14851.285666666667</v>
      </c>
      <c r="AF52" s="25">
        <f t="shared" si="34"/>
        <v>-45</v>
      </c>
      <c r="AG52" s="25">
        <f t="shared" si="20"/>
        <v>231616.14799999999</v>
      </c>
      <c r="AH52" s="25">
        <f>SUM(AG$5:AG52)</f>
        <v>8799867.4480000008</v>
      </c>
      <c r="AI52" s="25">
        <f t="shared" si="29"/>
        <v>5097101.432</v>
      </c>
      <c r="AJ52" s="25">
        <f t="shared" si="30"/>
        <v>5328717.58</v>
      </c>
      <c r="AK52" s="26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>
        <f t="shared" si="26"/>
        <v>0</v>
      </c>
      <c r="BF52" s="6"/>
      <c r="BG52" s="81">
        <f t="shared" si="11"/>
        <v>0</v>
      </c>
      <c r="BH52" s="81">
        <f t="shared" si="28"/>
        <v>231616.14799999999</v>
      </c>
      <c r="BI52" s="25">
        <f t="shared" si="12"/>
        <v>231616.14799999999</v>
      </c>
      <c r="BJ52" s="25">
        <f>+BI52*'Capital Structure '!$E$30</f>
        <v>94615.196457999991</v>
      </c>
      <c r="BK52" s="25">
        <f>SUM(BJ$5:BJ52)</f>
        <v>-2082165.9349720057</v>
      </c>
    </row>
    <row r="53" spans="1:63" outlineLevel="1">
      <c r="A53" s="10" t="s">
        <v>53</v>
      </c>
      <c r="B53" s="10">
        <f>+B52+1</f>
        <v>2016</v>
      </c>
      <c r="C53" s="73" t="s">
        <v>47</v>
      </c>
      <c r="D53" s="57"/>
      <c r="E53" s="55"/>
      <c r="F53" s="65"/>
      <c r="G53" s="56">
        <f t="shared" si="2"/>
        <v>0</v>
      </c>
      <c r="H53" s="56"/>
      <c r="I53" s="57"/>
      <c r="J53" s="56"/>
      <c r="K53" s="16">
        <f t="shared" si="27"/>
        <v>0</v>
      </c>
      <c r="L53" s="16">
        <f>SUM(K$5:K53)</f>
        <v>13896968.880000001</v>
      </c>
      <c r="N53" s="16">
        <f t="shared" si="31"/>
        <v>0</v>
      </c>
      <c r="O53" s="16">
        <f t="shared" si="31"/>
        <v>150</v>
      </c>
      <c r="P53" s="16">
        <f t="shared" si="31"/>
        <v>17363.333333333332</v>
      </c>
      <c r="Q53" s="16">
        <f t="shared" si="31"/>
        <v>12194.166666666666</v>
      </c>
      <c r="R53" s="16">
        <f t="shared" si="31"/>
        <v>15564.674999999999</v>
      </c>
      <c r="S53" s="16">
        <f t="shared" si="32"/>
        <v>11436.666666666666</v>
      </c>
      <c r="T53" s="16">
        <f t="shared" si="32"/>
        <v>12063.333333333334</v>
      </c>
      <c r="U53" s="16">
        <f t="shared" si="32"/>
        <v>13418.733333333334</v>
      </c>
      <c r="V53" s="16">
        <f t="shared" si="32"/>
        <v>10691.666666666666</v>
      </c>
      <c r="W53" s="16">
        <f t="shared" si="32"/>
        <v>11455.341333333334</v>
      </c>
      <c r="X53" s="16">
        <f t="shared" si="32"/>
        <v>8813.3333333333339</v>
      </c>
      <c r="Y53" s="16">
        <f t="shared" si="32"/>
        <v>12825</v>
      </c>
      <c r="Z53" s="16">
        <f t="shared" si="34"/>
        <v>13573.158333333333</v>
      </c>
      <c r="AA53" s="30">
        <f t="shared" si="34"/>
        <v>16461.666666666668</v>
      </c>
      <c r="AB53" s="30">
        <f t="shared" si="34"/>
        <v>18098.424999999999</v>
      </c>
      <c r="AC53" s="16">
        <f t="shared" si="34"/>
        <v>22469.591666666667</v>
      </c>
      <c r="AD53" s="16">
        <f t="shared" si="34"/>
        <v>20230.771000000001</v>
      </c>
      <c r="AE53" s="16">
        <f t="shared" si="34"/>
        <v>14851.285666666667</v>
      </c>
      <c r="AF53" s="16">
        <f t="shared" si="34"/>
        <v>-45</v>
      </c>
      <c r="AG53" s="16">
        <f t="shared" si="20"/>
        <v>231616.14799999999</v>
      </c>
      <c r="AH53" s="16">
        <f>SUM(AG$5:AG53)</f>
        <v>9031483.5960000008</v>
      </c>
      <c r="AI53" s="16">
        <f t="shared" si="29"/>
        <v>4865485.284</v>
      </c>
      <c r="AJ53" s="16">
        <f t="shared" si="30"/>
        <v>5097101.432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>
        <f t="shared" si="26"/>
        <v>0</v>
      </c>
      <c r="BF53" s="6"/>
      <c r="BG53" s="21">
        <f t="shared" si="11"/>
        <v>0</v>
      </c>
      <c r="BH53" s="21">
        <f t="shared" si="28"/>
        <v>231616.14799999999</v>
      </c>
      <c r="BI53" s="16">
        <f t="shared" si="12"/>
        <v>231616.14799999999</v>
      </c>
      <c r="BJ53" s="16">
        <f>+BI53*'Capital Structure '!$E$30</f>
        <v>94615.196457999991</v>
      </c>
      <c r="BK53" s="16">
        <f>SUM(BJ$5:BJ53)</f>
        <v>-1987550.7385140057</v>
      </c>
    </row>
    <row r="54" spans="1:63" outlineLevel="1">
      <c r="A54" s="10" t="s">
        <v>54</v>
      </c>
      <c r="B54" s="10">
        <f t="shared" ref="B54:B76" si="35">+B53</f>
        <v>2016</v>
      </c>
      <c r="C54" s="73" t="s">
        <v>47</v>
      </c>
      <c r="D54" s="57"/>
      <c r="E54" s="55"/>
      <c r="F54" s="65"/>
      <c r="G54" s="56">
        <f t="shared" si="2"/>
        <v>0</v>
      </c>
      <c r="H54" s="56"/>
      <c r="I54" s="57"/>
      <c r="J54" s="56"/>
      <c r="K54" s="16">
        <f t="shared" si="27"/>
        <v>0</v>
      </c>
      <c r="L54" s="16">
        <f>SUM(K$5:K54)</f>
        <v>13896968.880000001</v>
      </c>
      <c r="N54" s="16">
        <f t="shared" si="31"/>
        <v>0</v>
      </c>
      <c r="O54" s="16">
        <f t="shared" si="31"/>
        <v>150</v>
      </c>
      <c r="P54" s="16">
        <f t="shared" si="31"/>
        <v>17363.333333333332</v>
      </c>
      <c r="Q54" s="16">
        <f t="shared" si="31"/>
        <v>12194.166666666666</v>
      </c>
      <c r="R54" s="16">
        <f t="shared" si="31"/>
        <v>15564.674999999999</v>
      </c>
      <c r="S54" s="16">
        <f t="shared" si="32"/>
        <v>11436.666666666666</v>
      </c>
      <c r="T54" s="16">
        <f t="shared" si="32"/>
        <v>12063.333333333334</v>
      </c>
      <c r="U54" s="16">
        <f t="shared" si="32"/>
        <v>13418.733333333334</v>
      </c>
      <c r="V54" s="16">
        <f t="shared" si="32"/>
        <v>10691.666666666666</v>
      </c>
      <c r="W54" s="16">
        <f t="shared" si="32"/>
        <v>11455.341333333334</v>
      </c>
      <c r="X54" s="16">
        <f t="shared" si="32"/>
        <v>8813.3333333333339</v>
      </c>
      <c r="Y54" s="16">
        <f t="shared" si="32"/>
        <v>12825</v>
      </c>
      <c r="Z54" s="16">
        <f t="shared" si="34"/>
        <v>13573.158333333333</v>
      </c>
      <c r="AA54" s="30">
        <f t="shared" si="34"/>
        <v>16461.666666666668</v>
      </c>
      <c r="AB54" s="30">
        <f t="shared" si="34"/>
        <v>18098.424999999999</v>
      </c>
      <c r="AC54" s="16">
        <f t="shared" si="34"/>
        <v>22469.591666666667</v>
      </c>
      <c r="AD54" s="16">
        <f t="shared" si="34"/>
        <v>20230.771000000001</v>
      </c>
      <c r="AE54" s="16">
        <f t="shared" si="34"/>
        <v>14851.285666666667</v>
      </c>
      <c r="AF54" s="16">
        <f t="shared" si="34"/>
        <v>-45</v>
      </c>
      <c r="AG54" s="16">
        <f t="shared" si="20"/>
        <v>231616.14799999999</v>
      </c>
      <c r="AH54" s="16">
        <f>SUM(AG$5:AG54)</f>
        <v>9263099.7440000009</v>
      </c>
      <c r="AI54" s="16">
        <f t="shared" si="29"/>
        <v>4633869.1359999999</v>
      </c>
      <c r="AJ54" s="16">
        <f t="shared" si="30"/>
        <v>4865485.284</v>
      </c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>
        <f t="shared" si="26"/>
        <v>0</v>
      </c>
      <c r="BF54" s="6"/>
      <c r="BG54" s="21">
        <f t="shared" si="11"/>
        <v>0</v>
      </c>
      <c r="BH54" s="21">
        <f t="shared" si="28"/>
        <v>231616.14799999999</v>
      </c>
      <c r="BI54" s="16">
        <f t="shared" si="12"/>
        <v>231616.14799999999</v>
      </c>
      <c r="BJ54" s="16">
        <f>+BI54*'Capital Structure '!$E$30</f>
        <v>94615.196457999991</v>
      </c>
      <c r="BK54" s="16">
        <f>SUM(BJ$5:BJ54)</f>
        <v>-1892935.5420560057</v>
      </c>
    </row>
    <row r="55" spans="1:63" outlineLevel="1">
      <c r="A55" s="10" t="s">
        <v>55</v>
      </c>
      <c r="B55" s="10">
        <f t="shared" si="35"/>
        <v>2016</v>
      </c>
      <c r="C55" s="73" t="s">
        <v>47</v>
      </c>
      <c r="D55" s="57"/>
      <c r="E55" s="55"/>
      <c r="F55" s="65"/>
      <c r="G55" s="56">
        <f>SUM(D55:F55)</f>
        <v>0</v>
      </c>
      <c r="H55" s="56"/>
      <c r="I55" s="57"/>
      <c r="J55" s="56"/>
      <c r="K55" s="16">
        <f t="shared" si="27"/>
        <v>0</v>
      </c>
      <c r="L55" s="16">
        <f>SUM(K$5:K55)</f>
        <v>13896968.880000001</v>
      </c>
      <c r="N55" s="16">
        <f t="shared" si="31"/>
        <v>0</v>
      </c>
      <c r="O55" s="16">
        <f t="shared" si="31"/>
        <v>150</v>
      </c>
      <c r="P55" s="16">
        <f t="shared" si="31"/>
        <v>17363.333333333332</v>
      </c>
      <c r="Q55" s="16">
        <f>+Q54</f>
        <v>12194.166666666666</v>
      </c>
      <c r="R55" s="16">
        <f>+R54</f>
        <v>15564.674999999999</v>
      </c>
      <c r="S55" s="16">
        <f t="shared" si="32"/>
        <v>11436.666666666666</v>
      </c>
      <c r="T55" s="16">
        <f t="shared" si="32"/>
        <v>12063.333333333334</v>
      </c>
      <c r="U55" s="16">
        <f t="shared" si="32"/>
        <v>13418.733333333334</v>
      </c>
      <c r="V55" s="16">
        <f t="shared" si="32"/>
        <v>10691.666666666666</v>
      </c>
      <c r="W55" s="16">
        <f t="shared" si="32"/>
        <v>11455.341333333334</v>
      </c>
      <c r="X55" s="16">
        <f t="shared" si="32"/>
        <v>8813.3333333333339</v>
      </c>
      <c r="Y55" s="16">
        <f t="shared" si="32"/>
        <v>12825</v>
      </c>
      <c r="Z55" s="16">
        <f t="shared" si="34"/>
        <v>13573.158333333333</v>
      </c>
      <c r="AA55" s="30">
        <f t="shared" si="34"/>
        <v>16461.666666666668</v>
      </c>
      <c r="AB55" s="30">
        <f t="shared" si="34"/>
        <v>18098.424999999999</v>
      </c>
      <c r="AC55" s="16">
        <f t="shared" si="34"/>
        <v>22469.591666666667</v>
      </c>
      <c r="AD55" s="16">
        <f t="shared" si="34"/>
        <v>20230.771000000001</v>
      </c>
      <c r="AE55" s="16">
        <f t="shared" si="34"/>
        <v>14851.285666666667</v>
      </c>
      <c r="AF55" s="16">
        <f t="shared" si="34"/>
        <v>-45</v>
      </c>
      <c r="AG55" s="16">
        <f t="shared" ref="AG55:AG82" si="36">SUM(N55:AF55)</f>
        <v>231616.14799999999</v>
      </c>
      <c r="AH55" s="16">
        <f>SUM(AG$5:AG55)</f>
        <v>9494715.8920000009</v>
      </c>
      <c r="AI55" s="16">
        <f t="shared" si="29"/>
        <v>4402252.9879999999</v>
      </c>
      <c r="AJ55" s="16">
        <f t="shared" si="30"/>
        <v>4633869.1359999999</v>
      </c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>
        <f t="shared" si="26"/>
        <v>0</v>
      </c>
      <c r="BF55" s="6"/>
      <c r="BG55" s="21">
        <f>+BE55</f>
        <v>0</v>
      </c>
      <c r="BH55" s="21">
        <f t="shared" si="28"/>
        <v>231616.14799999999</v>
      </c>
      <c r="BI55" s="16">
        <f>+BH55-BG55</f>
        <v>231616.14799999999</v>
      </c>
      <c r="BJ55" s="16">
        <f>+BI55*'Capital Structure '!$E$30</f>
        <v>94615.196457999991</v>
      </c>
      <c r="BK55" s="16">
        <f>SUM(BJ$5:BJ55)</f>
        <v>-1798320.3455980057</v>
      </c>
    </row>
    <row r="56" spans="1:63" outlineLevel="1">
      <c r="A56" s="10" t="s">
        <v>56</v>
      </c>
      <c r="B56" s="10">
        <f t="shared" si="35"/>
        <v>2016</v>
      </c>
      <c r="C56" s="73" t="s">
        <v>47</v>
      </c>
      <c r="D56" s="57"/>
      <c r="E56" s="55"/>
      <c r="F56" s="65"/>
      <c r="G56" s="56">
        <f>SUM(D56:F56)</f>
        <v>0</v>
      </c>
      <c r="H56" s="56"/>
      <c r="I56" s="57"/>
      <c r="J56" s="56"/>
      <c r="K56" s="16">
        <f t="shared" si="27"/>
        <v>0</v>
      </c>
      <c r="L56" s="16">
        <f>SUM(K$5:K56)</f>
        <v>13896968.880000001</v>
      </c>
      <c r="N56" s="16">
        <f t="shared" ref="N56:W71" si="37">+N55</f>
        <v>0</v>
      </c>
      <c r="O56" s="16">
        <f t="shared" si="37"/>
        <v>150</v>
      </c>
      <c r="P56" s="16">
        <f t="shared" si="37"/>
        <v>17363.333333333332</v>
      </c>
      <c r="Q56" s="16">
        <f t="shared" si="37"/>
        <v>12194.166666666666</v>
      </c>
      <c r="R56" s="16">
        <f>+R55</f>
        <v>15564.674999999999</v>
      </c>
      <c r="S56" s="16">
        <f t="shared" si="32"/>
        <v>11436.666666666666</v>
      </c>
      <c r="T56" s="16">
        <f t="shared" si="32"/>
        <v>12063.333333333334</v>
      </c>
      <c r="U56" s="16">
        <f t="shared" si="32"/>
        <v>13418.733333333334</v>
      </c>
      <c r="V56" s="16">
        <f t="shared" si="32"/>
        <v>10691.666666666666</v>
      </c>
      <c r="W56" s="16">
        <f t="shared" si="32"/>
        <v>11455.341333333334</v>
      </c>
      <c r="X56" s="16">
        <f t="shared" si="32"/>
        <v>8813.3333333333339</v>
      </c>
      <c r="Y56" s="16">
        <f t="shared" si="32"/>
        <v>12825</v>
      </c>
      <c r="Z56" s="16">
        <f t="shared" si="34"/>
        <v>13573.158333333333</v>
      </c>
      <c r="AA56" s="30">
        <f t="shared" si="34"/>
        <v>16461.666666666668</v>
      </c>
      <c r="AB56" s="30">
        <f t="shared" si="34"/>
        <v>18098.424999999999</v>
      </c>
      <c r="AC56" s="16">
        <f t="shared" si="34"/>
        <v>22469.591666666667</v>
      </c>
      <c r="AD56" s="16">
        <f t="shared" si="34"/>
        <v>20230.771000000001</v>
      </c>
      <c r="AE56" s="16">
        <f t="shared" si="34"/>
        <v>14851.285666666667</v>
      </c>
      <c r="AF56" s="16">
        <f t="shared" si="34"/>
        <v>-45</v>
      </c>
      <c r="AG56" s="16">
        <f t="shared" si="36"/>
        <v>231616.14799999999</v>
      </c>
      <c r="AH56" s="16">
        <f>SUM(AG$5:AG56)</f>
        <v>9726332.040000001</v>
      </c>
      <c r="AI56" s="16">
        <f t="shared" si="29"/>
        <v>4170636.84</v>
      </c>
      <c r="AJ56" s="16">
        <f t="shared" si="30"/>
        <v>4402252.9879999999</v>
      </c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>
        <f t="shared" si="26"/>
        <v>0</v>
      </c>
      <c r="BF56" s="6"/>
      <c r="BG56" s="21">
        <f>+BE56</f>
        <v>0</v>
      </c>
      <c r="BH56" s="21">
        <f t="shared" si="28"/>
        <v>231616.14799999999</v>
      </c>
      <c r="BI56" s="16">
        <f>+BH56-BG56</f>
        <v>231616.14799999999</v>
      </c>
      <c r="BJ56" s="16">
        <f>+BI56*'Capital Structure '!$E$30</f>
        <v>94615.196457999991</v>
      </c>
      <c r="BK56" s="16">
        <f>SUM(BJ$5:BJ56)</f>
        <v>-1703705.1491400057</v>
      </c>
    </row>
    <row r="57" spans="1:63" outlineLevel="1">
      <c r="A57" s="10" t="s">
        <v>57</v>
      </c>
      <c r="B57" s="10">
        <f t="shared" si="35"/>
        <v>2016</v>
      </c>
      <c r="C57" s="10" t="s">
        <v>68</v>
      </c>
      <c r="D57" s="57"/>
      <c r="E57" s="55"/>
      <c r="F57" s="65"/>
      <c r="G57" s="56">
        <f>SUM(D57:F57)</f>
        <v>0</v>
      </c>
      <c r="H57" s="56"/>
      <c r="I57" s="57"/>
      <c r="J57" s="56"/>
      <c r="K57" s="16">
        <f t="shared" si="27"/>
        <v>0</v>
      </c>
      <c r="L57" s="16">
        <f>SUM(K$5:K57)</f>
        <v>13896968.880000001</v>
      </c>
      <c r="N57" s="16">
        <f t="shared" si="37"/>
        <v>0</v>
      </c>
      <c r="O57" s="16">
        <f t="shared" si="37"/>
        <v>150</v>
      </c>
      <c r="P57" s="16">
        <f t="shared" si="37"/>
        <v>17363.333333333332</v>
      </c>
      <c r="Q57" s="16">
        <f t="shared" si="37"/>
        <v>12194.166666666666</v>
      </c>
      <c r="R57" s="16">
        <f t="shared" si="37"/>
        <v>15564.674999999999</v>
      </c>
      <c r="S57" s="16">
        <f t="shared" si="32"/>
        <v>11436.666666666666</v>
      </c>
      <c r="T57" s="16">
        <f t="shared" si="32"/>
        <v>12063.333333333334</v>
      </c>
      <c r="U57" s="16">
        <f t="shared" si="32"/>
        <v>13418.733333333334</v>
      </c>
      <c r="V57" s="16">
        <f t="shared" si="32"/>
        <v>10691.666666666666</v>
      </c>
      <c r="W57" s="16">
        <f t="shared" si="32"/>
        <v>11455.341333333334</v>
      </c>
      <c r="X57" s="16">
        <f t="shared" si="32"/>
        <v>8813.3333333333339</v>
      </c>
      <c r="Y57" s="16">
        <f t="shared" si="32"/>
        <v>12825</v>
      </c>
      <c r="Z57" s="16">
        <f t="shared" si="34"/>
        <v>13573.158333333333</v>
      </c>
      <c r="AA57" s="30">
        <f t="shared" si="34"/>
        <v>16461.666666666668</v>
      </c>
      <c r="AB57" s="30">
        <f t="shared" si="34"/>
        <v>18098.424999999999</v>
      </c>
      <c r="AC57" s="16">
        <f t="shared" si="34"/>
        <v>22469.591666666667</v>
      </c>
      <c r="AD57" s="16">
        <f t="shared" si="34"/>
        <v>20230.771000000001</v>
      </c>
      <c r="AE57" s="16">
        <f t="shared" si="34"/>
        <v>14851.285666666667</v>
      </c>
      <c r="AF57" s="16">
        <f t="shared" si="34"/>
        <v>-45</v>
      </c>
      <c r="AG57" s="16">
        <f t="shared" si="36"/>
        <v>231616.14799999999</v>
      </c>
      <c r="AH57" s="16">
        <f>SUM(AG$5:AG57)</f>
        <v>9957948.188000001</v>
      </c>
      <c r="AI57" s="16">
        <f t="shared" si="29"/>
        <v>3939020.6919999998</v>
      </c>
      <c r="AJ57" s="16">
        <f t="shared" si="30"/>
        <v>4170636.84</v>
      </c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>
        <f t="shared" si="26"/>
        <v>0</v>
      </c>
      <c r="BF57" s="6"/>
      <c r="BG57" s="21">
        <f>+BE57</f>
        <v>0</v>
      </c>
      <c r="BH57" s="21">
        <f t="shared" si="28"/>
        <v>231616.14799999999</v>
      </c>
      <c r="BI57" s="16">
        <f>+BH57-BG57</f>
        <v>231616.14799999999</v>
      </c>
      <c r="BJ57" s="16">
        <f>+BI57*'Capital Structure '!$E$30</f>
        <v>94615.196457999991</v>
      </c>
      <c r="BK57" s="16">
        <f>SUM(BJ$5:BJ57)</f>
        <v>-1609089.9526820057</v>
      </c>
    </row>
    <row r="58" spans="1:63" outlineLevel="1">
      <c r="A58" s="10" t="s">
        <v>58</v>
      </c>
      <c r="B58" s="10">
        <f t="shared" si="35"/>
        <v>2016</v>
      </c>
      <c r="C58" s="10" t="s">
        <v>68</v>
      </c>
      <c r="D58" s="57"/>
      <c r="E58" s="55"/>
      <c r="F58" s="65"/>
      <c r="G58" s="56">
        <f>SUM(D58:F58)</f>
        <v>0</v>
      </c>
      <c r="H58" s="56"/>
      <c r="I58" s="57"/>
      <c r="J58" s="56"/>
      <c r="K58" s="16">
        <f t="shared" si="27"/>
        <v>0</v>
      </c>
      <c r="L58" s="16">
        <f>SUM(K$5:K58)</f>
        <v>13896968.880000001</v>
      </c>
      <c r="N58" s="16">
        <f t="shared" si="37"/>
        <v>0</v>
      </c>
      <c r="O58" s="16">
        <f t="shared" si="37"/>
        <v>150</v>
      </c>
      <c r="P58" s="16">
        <f t="shared" si="37"/>
        <v>17363.333333333332</v>
      </c>
      <c r="Q58" s="16">
        <f t="shared" si="37"/>
        <v>12194.166666666666</v>
      </c>
      <c r="R58" s="16">
        <f t="shared" si="37"/>
        <v>15564.674999999999</v>
      </c>
      <c r="S58" s="16">
        <f t="shared" si="37"/>
        <v>11436.666666666666</v>
      </c>
      <c r="T58" s="16">
        <f t="shared" si="32"/>
        <v>12063.333333333334</v>
      </c>
      <c r="U58" s="16">
        <f t="shared" si="32"/>
        <v>13418.733333333334</v>
      </c>
      <c r="V58" s="16">
        <f t="shared" si="32"/>
        <v>10691.666666666666</v>
      </c>
      <c r="W58" s="16">
        <f t="shared" si="32"/>
        <v>11455.341333333334</v>
      </c>
      <c r="X58" s="16">
        <f t="shared" si="32"/>
        <v>8813.3333333333339</v>
      </c>
      <c r="Y58" s="16">
        <f t="shared" si="32"/>
        <v>12825</v>
      </c>
      <c r="Z58" s="16">
        <f t="shared" si="34"/>
        <v>13573.158333333333</v>
      </c>
      <c r="AA58" s="30">
        <f t="shared" si="34"/>
        <v>16461.666666666668</v>
      </c>
      <c r="AB58" s="30">
        <f t="shared" si="34"/>
        <v>18098.424999999999</v>
      </c>
      <c r="AC58" s="16">
        <f t="shared" si="34"/>
        <v>22469.591666666667</v>
      </c>
      <c r="AD58" s="16">
        <f t="shared" si="34"/>
        <v>20230.771000000001</v>
      </c>
      <c r="AE58" s="16">
        <f t="shared" si="34"/>
        <v>14851.285666666667</v>
      </c>
      <c r="AF58" s="16">
        <f t="shared" si="34"/>
        <v>-45</v>
      </c>
      <c r="AG58" s="16">
        <f t="shared" si="36"/>
        <v>231616.14799999999</v>
      </c>
      <c r="AH58" s="16">
        <f>SUM(AG$5:AG58)</f>
        <v>10189564.336000001</v>
      </c>
      <c r="AI58" s="16">
        <f t="shared" si="29"/>
        <v>3707404.5439999998</v>
      </c>
      <c r="AJ58" s="16">
        <f t="shared" si="30"/>
        <v>3939020.6919999998</v>
      </c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>
        <f t="shared" si="26"/>
        <v>0</v>
      </c>
      <c r="BF58" s="6"/>
      <c r="BG58" s="21">
        <f>+BE58</f>
        <v>0</v>
      </c>
      <c r="BH58" s="21">
        <f t="shared" si="28"/>
        <v>231616.14799999999</v>
      </c>
      <c r="BI58" s="16">
        <f>+BH58-BG58</f>
        <v>231616.14799999999</v>
      </c>
      <c r="BJ58" s="16">
        <f>+BI58*'Capital Structure '!$E$30</f>
        <v>94615.196457999991</v>
      </c>
      <c r="BK58" s="16">
        <f>SUM(BJ$5:BJ58)</f>
        <v>-1514474.7562240057</v>
      </c>
    </row>
    <row r="59" spans="1:63">
      <c r="A59" s="10" t="s">
        <v>59</v>
      </c>
      <c r="B59" s="10">
        <f t="shared" si="35"/>
        <v>2016</v>
      </c>
      <c r="C59" s="10" t="s">
        <v>47</v>
      </c>
      <c r="D59" s="57"/>
      <c r="E59" s="55"/>
      <c r="F59" s="65"/>
      <c r="G59" s="56">
        <f>SUM(D59:F59)</f>
        <v>0</v>
      </c>
      <c r="H59" s="56"/>
      <c r="I59" s="57"/>
      <c r="J59" s="56"/>
      <c r="K59" s="16">
        <f t="shared" si="27"/>
        <v>0</v>
      </c>
      <c r="L59" s="16">
        <f>SUM(K$5:K59)</f>
        <v>13896968.880000001</v>
      </c>
      <c r="N59" s="16">
        <f t="shared" si="37"/>
        <v>0</v>
      </c>
      <c r="O59" s="16">
        <f t="shared" si="37"/>
        <v>150</v>
      </c>
      <c r="P59" s="16">
        <f t="shared" si="37"/>
        <v>17363.333333333332</v>
      </c>
      <c r="Q59" s="16">
        <f t="shared" si="37"/>
        <v>12194.166666666666</v>
      </c>
      <c r="R59" s="16">
        <f t="shared" si="37"/>
        <v>15564.674999999999</v>
      </c>
      <c r="S59" s="16">
        <f t="shared" si="37"/>
        <v>11436.666666666666</v>
      </c>
      <c r="T59" s="16">
        <f t="shared" si="37"/>
        <v>12063.333333333334</v>
      </c>
      <c r="U59" s="16">
        <f>+U58</f>
        <v>13418.733333333334</v>
      </c>
      <c r="V59" s="16">
        <f>+V58</f>
        <v>10691.666666666666</v>
      </c>
      <c r="W59" s="16">
        <f>+W58</f>
        <v>11455.341333333334</v>
      </c>
      <c r="X59" s="16">
        <f>+X58</f>
        <v>8813.3333333333339</v>
      </c>
      <c r="Y59" s="16">
        <f>+Y58</f>
        <v>12825</v>
      </c>
      <c r="Z59" s="16">
        <f t="shared" si="34"/>
        <v>13573.158333333333</v>
      </c>
      <c r="AA59" s="30">
        <f t="shared" si="34"/>
        <v>16461.666666666668</v>
      </c>
      <c r="AB59" s="30">
        <f t="shared" si="34"/>
        <v>18098.424999999999</v>
      </c>
      <c r="AC59" s="16">
        <f t="shared" si="34"/>
        <v>22469.591666666667</v>
      </c>
      <c r="AD59" s="16">
        <f t="shared" si="34"/>
        <v>20230.771000000001</v>
      </c>
      <c r="AE59" s="16">
        <f t="shared" si="34"/>
        <v>14851.285666666667</v>
      </c>
      <c r="AF59" s="16">
        <f t="shared" si="34"/>
        <v>-45</v>
      </c>
      <c r="AG59" s="16">
        <f t="shared" si="36"/>
        <v>231616.14799999999</v>
      </c>
      <c r="AH59" s="16">
        <f>SUM(AG$5:AG59)</f>
        <v>10421180.484000001</v>
      </c>
      <c r="AI59" s="16">
        <f t="shared" si="29"/>
        <v>3475788.3959999997</v>
      </c>
      <c r="AJ59" s="16">
        <f t="shared" si="30"/>
        <v>3707404.5439999998</v>
      </c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>
        <f t="shared" si="26"/>
        <v>0</v>
      </c>
      <c r="BF59" s="6"/>
      <c r="BG59" s="21">
        <f>+BE59</f>
        <v>0</v>
      </c>
      <c r="BH59" s="21">
        <f t="shared" si="28"/>
        <v>231616.14799999999</v>
      </c>
      <c r="BI59" s="16">
        <f>+BH59-BG59</f>
        <v>231616.14799999999</v>
      </c>
      <c r="BJ59" s="16">
        <f>+BI59*'Capital Structure '!$E$30</f>
        <v>94615.196457999991</v>
      </c>
      <c r="BK59" s="16">
        <f>SUM(BJ$5:BJ59)</f>
        <v>-1419859.5597660057</v>
      </c>
    </row>
    <row r="60" spans="1:63">
      <c r="A60" s="10" t="s">
        <v>46</v>
      </c>
      <c r="B60" s="10">
        <f t="shared" si="35"/>
        <v>2016</v>
      </c>
      <c r="C60" s="10" t="s">
        <v>47</v>
      </c>
      <c r="D60" s="57"/>
      <c r="E60" s="55"/>
      <c r="F60" s="65"/>
      <c r="G60" s="56">
        <f t="shared" ref="G60:G82" si="38">SUM(D60:F60)</f>
        <v>0</v>
      </c>
      <c r="H60" s="56"/>
      <c r="I60" s="57"/>
      <c r="J60" s="56"/>
      <c r="K60" s="16">
        <f t="shared" si="27"/>
        <v>0</v>
      </c>
      <c r="L60" s="16">
        <f>SUM(K$5:K60)</f>
        <v>13896968.880000001</v>
      </c>
      <c r="N60" s="16">
        <f t="shared" si="37"/>
        <v>0</v>
      </c>
      <c r="O60" s="16">
        <f t="shared" si="37"/>
        <v>150</v>
      </c>
      <c r="P60" s="16">
        <f t="shared" si="37"/>
        <v>17363.333333333332</v>
      </c>
      <c r="Q60" s="16">
        <f t="shared" si="37"/>
        <v>12194.166666666666</v>
      </c>
      <c r="R60" s="16">
        <f t="shared" si="37"/>
        <v>15564.674999999999</v>
      </c>
      <c r="S60" s="16">
        <f t="shared" si="37"/>
        <v>11436.666666666666</v>
      </c>
      <c r="T60" s="16">
        <f t="shared" si="37"/>
        <v>12063.333333333334</v>
      </c>
      <c r="U60" s="16">
        <f t="shared" si="37"/>
        <v>13418.733333333334</v>
      </c>
      <c r="V60" s="16">
        <f t="shared" si="37"/>
        <v>10691.666666666666</v>
      </c>
      <c r="W60" s="16">
        <f t="shared" si="37"/>
        <v>11455.341333333334</v>
      </c>
      <c r="X60" s="16">
        <f t="shared" ref="X60:Y74" si="39">+X59</f>
        <v>8813.3333333333339</v>
      </c>
      <c r="Y60" s="16">
        <f t="shared" si="39"/>
        <v>12825</v>
      </c>
      <c r="Z60" s="16">
        <f t="shared" si="34"/>
        <v>13573.158333333333</v>
      </c>
      <c r="AA60" s="30">
        <f t="shared" si="34"/>
        <v>16461.666666666668</v>
      </c>
      <c r="AB60" s="30">
        <f t="shared" si="34"/>
        <v>18098.424999999999</v>
      </c>
      <c r="AC60" s="16">
        <f t="shared" si="34"/>
        <v>22469.591666666667</v>
      </c>
      <c r="AD60" s="16">
        <f t="shared" si="34"/>
        <v>20230.771000000001</v>
      </c>
      <c r="AE60" s="16">
        <f t="shared" si="34"/>
        <v>14851.285666666667</v>
      </c>
      <c r="AF60" s="16">
        <f t="shared" si="34"/>
        <v>-45</v>
      </c>
      <c r="AG60" s="16">
        <f t="shared" si="36"/>
        <v>231616.14799999999</v>
      </c>
      <c r="AH60" s="16">
        <f>SUM(AG$5:AG60)</f>
        <v>10652796.632000001</v>
      </c>
      <c r="AI60" s="16">
        <f t="shared" si="29"/>
        <v>3244172.2479999997</v>
      </c>
      <c r="AJ60" s="16">
        <f t="shared" si="30"/>
        <v>3475788.3959999997</v>
      </c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>
        <f t="shared" si="26"/>
        <v>0</v>
      </c>
      <c r="BF60" s="6"/>
      <c r="BG60" s="21">
        <f t="shared" ref="BG60:BG80" si="40">+BE60</f>
        <v>0</v>
      </c>
      <c r="BH60" s="21">
        <f t="shared" si="28"/>
        <v>231616.14799999999</v>
      </c>
      <c r="BI60" s="16">
        <f t="shared" ref="BI60:BI82" si="41">+BH60-BG60</f>
        <v>231616.14799999999</v>
      </c>
      <c r="BJ60" s="16">
        <f>+BI60*'Capital Structure '!$E$30</f>
        <v>94615.196457999991</v>
      </c>
      <c r="BK60" s="16">
        <f>SUM(BJ$5:BJ60)</f>
        <v>-1325244.3633080057</v>
      </c>
    </row>
    <row r="61" spans="1:63">
      <c r="A61" s="10" t="s">
        <v>48</v>
      </c>
      <c r="B61" s="10">
        <f t="shared" si="35"/>
        <v>2016</v>
      </c>
      <c r="C61" s="10" t="s">
        <v>47</v>
      </c>
      <c r="D61" s="57"/>
      <c r="E61" s="55"/>
      <c r="F61" s="65"/>
      <c r="G61" s="56">
        <f t="shared" si="38"/>
        <v>0</v>
      </c>
      <c r="H61" s="56"/>
      <c r="I61" s="57"/>
      <c r="J61" s="56"/>
      <c r="K61" s="16">
        <f t="shared" si="27"/>
        <v>0</v>
      </c>
      <c r="L61" s="16">
        <f>SUM(K$5:K61)</f>
        <v>13896968.880000001</v>
      </c>
      <c r="N61" s="16">
        <f t="shared" si="37"/>
        <v>0</v>
      </c>
      <c r="O61" s="16">
        <f t="shared" si="37"/>
        <v>150</v>
      </c>
      <c r="P61" s="16">
        <f t="shared" si="37"/>
        <v>17363.333333333332</v>
      </c>
      <c r="Q61" s="16">
        <f t="shared" si="37"/>
        <v>12194.166666666666</v>
      </c>
      <c r="R61" s="16">
        <f t="shared" si="37"/>
        <v>15564.674999999999</v>
      </c>
      <c r="S61" s="16">
        <f t="shared" si="37"/>
        <v>11436.666666666666</v>
      </c>
      <c r="T61" s="16">
        <f t="shared" si="37"/>
        <v>12063.333333333334</v>
      </c>
      <c r="U61" s="16">
        <f t="shared" si="37"/>
        <v>13418.733333333334</v>
      </c>
      <c r="V61" s="16">
        <f t="shared" si="37"/>
        <v>10691.666666666666</v>
      </c>
      <c r="W61" s="16">
        <f t="shared" si="37"/>
        <v>11455.341333333334</v>
      </c>
      <c r="X61" s="16">
        <f t="shared" si="39"/>
        <v>8813.3333333333339</v>
      </c>
      <c r="Y61" s="16">
        <f t="shared" si="39"/>
        <v>12825</v>
      </c>
      <c r="Z61" s="16">
        <f t="shared" si="34"/>
        <v>13573.158333333333</v>
      </c>
      <c r="AA61" s="30">
        <f t="shared" si="34"/>
        <v>16461.666666666668</v>
      </c>
      <c r="AB61" s="30">
        <f t="shared" si="34"/>
        <v>18098.424999999999</v>
      </c>
      <c r="AC61" s="16">
        <f t="shared" si="34"/>
        <v>22469.591666666667</v>
      </c>
      <c r="AD61" s="16">
        <f t="shared" si="34"/>
        <v>20230.771000000001</v>
      </c>
      <c r="AE61" s="16">
        <f t="shared" si="34"/>
        <v>14851.285666666667</v>
      </c>
      <c r="AF61" s="16">
        <f t="shared" si="34"/>
        <v>-45</v>
      </c>
      <c r="AG61" s="16">
        <f t="shared" si="36"/>
        <v>231616.14799999999</v>
      </c>
      <c r="AH61" s="16">
        <f>SUM(AG$5:AG61)</f>
        <v>10884412.780000001</v>
      </c>
      <c r="AI61" s="16">
        <f t="shared" si="29"/>
        <v>3012556.0999999996</v>
      </c>
      <c r="AJ61" s="16">
        <f t="shared" si="30"/>
        <v>3244172.2479999997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>
        <f t="shared" si="26"/>
        <v>0</v>
      </c>
      <c r="BF61" s="6"/>
      <c r="BG61" s="21">
        <f t="shared" si="40"/>
        <v>0</v>
      </c>
      <c r="BH61" s="21">
        <f t="shared" si="28"/>
        <v>231616.14799999999</v>
      </c>
      <c r="BI61" s="16">
        <f t="shared" si="41"/>
        <v>231616.14799999999</v>
      </c>
      <c r="BJ61" s="16">
        <f>+BI61*'Capital Structure '!$E$30</f>
        <v>94615.196457999991</v>
      </c>
      <c r="BK61" s="16">
        <f>SUM(BJ$5:BJ61)</f>
        <v>-1230629.1668500057</v>
      </c>
    </row>
    <row r="62" spans="1:63">
      <c r="A62" s="10" t="s">
        <v>50</v>
      </c>
      <c r="B62" s="10">
        <f t="shared" si="35"/>
        <v>2016</v>
      </c>
      <c r="C62" s="10" t="s">
        <v>47</v>
      </c>
      <c r="D62" s="57"/>
      <c r="E62" s="55"/>
      <c r="F62" s="65"/>
      <c r="G62" s="56">
        <f t="shared" si="38"/>
        <v>0</v>
      </c>
      <c r="H62" s="56"/>
      <c r="I62" s="57"/>
      <c r="J62" s="56"/>
      <c r="K62" s="16">
        <f t="shared" si="27"/>
        <v>0</v>
      </c>
      <c r="L62" s="16">
        <f>SUM(K$5:K62)</f>
        <v>13896968.880000001</v>
      </c>
      <c r="N62" s="16">
        <f t="shared" ref="N62:P64" si="42">+N61</f>
        <v>0</v>
      </c>
      <c r="O62" s="16">
        <f t="shared" si="42"/>
        <v>150</v>
      </c>
      <c r="P62" s="16">
        <f t="shared" si="42"/>
        <v>17363.333333333332</v>
      </c>
      <c r="Q62" s="16">
        <f t="shared" si="37"/>
        <v>12194.166666666666</v>
      </c>
      <c r="R62" s="16">
        <f t="shared" si="37"/>
        <v>15564.674999999999</v>
      </c>
      <c r="S62" s="16">
        <f t="shared" si="37"/>
        <v>11436.666666666666</v>
      </c>
      <c r="T62" s="16">
        <f t="shared" si="37"/>
        <v>12063.333333333334</v>
      </c>
      <c r="U62" s="16">
        <f t="shared" si="37"/>
        <v>13418.733333333334</v>
      </c>
      <c r="V62" s="16">
        <f t="shared" si="37"/>
        <v>10691.666666666666</v>
      </c>
      <c r="W62" s="16">
        <f t="shared" si="37"/>
        <v>11455.341333333334</v>
      </c>
      <c r="X62" s="16">
        <f t="shared" si="39"/>
        <v>8813.3333333333339</v>
      </c>
      <c r="Y62" s="16">
        <f t="shared" si="39"/>
        <v>12825</v>
      </c>
      <c r="Z62" s="16">
        <f t="shared" si="34"/>
        <v>13573.158333333333</v>
      </c>
      <c r="AA62" s="30">
        <f t="shared" si="34"/>
        <v>16461.666666666668</v>
      </c>
      <c r="AB62" s="30">
        <f t="shared" si="34"/>
        <v>18098.424999999999</v>
      </c>
      <c r="AC62" s="16">
        <f t="shared" si="34"/>
        <v>22469.591666666667</v>
      </c>
      <c r="AD62" s="16">
        <f t="shared" si="34"/>
        <v>20230.771000000001</v>
      </c>
      <c r="AE62" s="16">
        <f t="shared" si="34"/>
        <v>14851.285666666667</v>
      </c>
      <c r="AF62" s="16">
        <f t="shared" si="34"/>
        <v>-45</v>
      </c>
      <c r="AG62" s="16">
        <f t="shared" si="36"/>
        <v>231616.14799999999</v>
      </c>
      <c r="AH62" s="16">
        <f>SUM(AG$5:AG62)</f>
        <v>11116028.928000001</v>
      </c>
      <c r="AI62" s="16">
        <f t="shared" si="29"/>
        <v>2780939.9519999996</v>
      </c>
      <c r="AJ62" s="16">
        <f t="shared" si="30"/>
        <v>3012556.0999999996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>
        <f t="shared" si="26"/>
        <v>0</v>
      </c>
      <c r="BF62" s="6"/>
      <c r="BG62" s="21">
        <f t="shared" si="40"/>
        <v>0</v>
      </c>
      <c r="BH62" s="21">
        <f t="shared" si="28"/>
        <v>231616.14799999999</v>
      </c>
      <c r="BI62" s="16">
        <f t="shared" si="41"/>
        <v>231616.14799999999</v>
      </c>
      <c r="BJ62" s="16">
        <f>+BI62*'Capital Structure '!$E$30</f>
        <v>94615.196457999991</v>
      </c>
      <c r="BK62" s="16">
        <f>SUM(BJ$5:BJ62)</f>
        <v>-1136013.9703920058</v>
      </c>
    </row>
    <row r="63" spans="1:63">
      <c r="A63" s="10" t="s">
        <v>51</v>
      </c>
      <c r="B63" s="10">
        <f t="shared" si="35"/>
        <v>2016</v>
      </c>
      <c r="C63" s="10" t="s">
        <v>47</v>
      </c>
      <c r="D63" s="57"/>
      <c r="E63" s="55"/>
      <c r="F63" s="65"/>
      <c r="G63" s="56">
        <f t="shared" si="38"/>
        <v>0</v>
      </c>
      <c r="H63" s="56"/>
      <c r="I63" s="57"/>
      <c r="J63" s="56"/>
      <c r="K63" s="16">
        <f t="shared" si="27"/>
        <v>0</v>
      </c>
      <c r="L63" s="16">
        <f>SUM(K$5:K63)</f>
        <v>13896968.880000001</v>
      </c>
      <c r="N63" s="16">
        <f t="shared" si="42"/>
        <v>0</v>
      </c>
      <c r="O63" s="16">
        <f t="shared" si="42"/>
        <v>150</v>
      </c>
      <c r="P63" s="16">
        <f t="shared" si="42"/>
        <v>17363.333333333332</v>
      </c>
      <c r="Q63" s="16">
        <f t="shared" si="37"/>
        <v>12194.166666666666</v>
      </c>
      <c r="R63" s="16">
        <f t="shared" si="37"/>
        <v>15564.674999999999</v>
      </c>
      <c r="S63" s="16">
        <f t="shared" si="37"/>
        <v>11436.666666666666</v>
      </c>
      <c r="T63" s="16">
        <f t="shared" si="37"/>
        <v>12063.333333333334</v>
      </c>
      <c r="U63" s="16">
        <f t="shared" si="37"/>
        <v>13418.733333333334</v>
      </c>
      <c r="V63" s="16">
        <f t="shared" si="37"/>
        <v>10691.666666666666</v>
      </c>
      <c r="W63" s="16">
        <f t="shared" si="37"/>
        <v>11455.341333333334</v>
      </c>
      <c r="X63" s="16">
        <f t="shared" si="39"/>
        <v>8813.3333333333339</v>
      </c>
      <c r="Y63" s="16">
        <f t="shared" si="39"/>
        <v>12825</v>
      </c>
      <c r="Z63" s="16">
        <f t="shared" si="34"/>
        <v>13573.158333333333</v>
      </c>
      <c r="AA63" s="30">
        <f t="shared" si="34"/>
        <v>16461.666666666668</v>
      </c>
      <c r="AB63" s="30">
        <f t="shared" si="34"/>
        <v>18098.424999999999</v>
      </c>
      <c r="AC63" s="16">
        <f t="shared" si="34"/>
        <v>22469.591666666667</v>
      </c>
      <c r="AD63" s="16">
        <f t="shared" si="34"/>
        <v>20230.771000000001</v>
      </c>
      <c r="AE63" s="16">
        <f t="shared" si="34"/>
        <v>14851.285666666667</v>
      </c>
      <c r="AF63" s="16">
        <f t="shared" si="34"/>
        <v>-45</v>
      </c>
      <c r="AG63" s="16">
        <f t="shared" si="36"/>
        <v>231616.14799999999</v>
      </c>
      <c r="AH63" s="16">
        <f>SUM(AG$5:AG63)</f>
        <v>11347645.076000001</v>
      </c>
      <c r="AI63" s="16">
        <f t="shared" si="29"/>
        <v>2549323.8039999995</v>
      </c>
      <c r="AJ63" s="16">
        <f t="shared" si="30"/>
        <v>2780939.9519999996</v>
      </c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>
        <f t="shared" si="26"/>
        <v>0</v>
      </c>
      <c r="BF63" s="6"/>
      <c r="BG63" s="21">
        <f t="shared" si="40"/>
        <v>0</v>
      </c>
      <c r="BH63" s="21">
        <f t="shared" si="28"/>
        <v>231616.14799999999</v>
      </c>
      <c r="BI63" s="16">
        <f t="shared" si="41"/>
        <v>231616.14799999999</v>
      </c>
      <c r="BJ63" s="16">
        <f>+BI63*'Capital Structure '!$E$30</f>
        <v>94615.196457999991</v>
      </c>
      <c r="BK63" s="16">
        <f>SUM(BJ$5:BJ63)</f>
        <v>-1041398.7739340058</v>
      </c>
    </row>
    <row r="64" spans="1:63">
      <c r="A64" s="10" t="s">
        <v>52</v>
      </c>
      <c r="B64" s="10">
        <f t="shared" si="35"/>
        <v>2016</v>
      </c>
      <c r="C64" s="10" t="s">
        <v>47</v>
      </c>
      <c r="D64" s="57"/>
      <c r="E64" s="55"/>
      <c r="F64" s="65"/>
      <c r="G64" s="56">
        <f t="shared" si="38"/>
        <v>0</v>
      </c>
      <c r="H64" s="56"/>
      <c r="I64" s="57"/>
      <c r="J64" s="56"/>
      <c r="K64" s="16">
        <f t="shared" si="27"/>
        <v>0</v>
      </c>
      <c r="L64" s="16">
        <f>SUM(K$5:K64)</f>
        <v>13896968.880000001</v>
      </c>
      <c r="N64" s="16">
        <f t="shared" si="42"/>
        <v>0</v>
      </c>
      <c r="O64" s="16">
        <f t="shared" si="42"/>
        <v>150</v>
      </c>
      <c r="P64" s="16">
        <f t="shared" si="42"/>
        <v>17363.333333333332</v>
      </c>
      <c r="Q64" s="16">
        <f t="shared" si="37"/>
        <v>12194.166666666666</v>
      </c>
      <c r="R64" s="16">
        <f t="shared" si="37"/>
        <v>15564.674999999999</v>
      </c>
      <c r="S64" s="16">
        <f t="shared" si="37"/>
        <v>11436.666666666666</v>
      </c>
      <c r="T64" s="16">
        <f t="shared" si="37"/>
        <v>12063.333333333334</v>
      </c>
      <c r="U64" s="16">
        <f t="shared" si="37"/>
        <v>13418.733333333334</v>
      </c>
      <c r="V64" s="16">
        <f t="shared" si="37"/>
        <v>10691.666666666666</v>
      </c>
      <c r="W64" s="16">
        <f t="shared" si="37"/>
        <v>11455.341333333334</v>
      </c>
      <c r="X64" s="16">
        <f t="shared" si="39"/>
        <v>8813.3333333333339</v>
      </c>
      <c r="Y64" s="16">
        <f t="shared" si="39"/>
        <v>12825</v>
      </c>
      <c r="Z64" s="16">
        <f t="shared" si="34"/>
        <v>13573.158333333333</v>
      </c>
      <c r="AA64" s="30">
        <f t="shared" si="34"/>
        <v>16461.666666666668</v>
      </c>
      <c r="AB64" s="30">
        <f t="shared" si="34"/>
        <v>18098.424999999999</v>
      </c>
      <c r="AC64" s="16">
        <f t="shared" si="34"/>
        <v>22469.591666666667</v>
      </c>
      <c r="AD64" s="16">
        <f t="shared" si="34"/>
        <v>20230.771000000001</v>
      </c>
      <c r="AE64" s="16">
        <f t="shared" si="34"/>
        <v>14851.285666666667</v>
      </c>
      <c r="AF64" s="16">
        <f t="shared" si="34"/>
        <v>-45</v>
      </c>
      <c r="AG64" s="16">
        <f t="shared" si="36"/>
        <v>231616.14799999999</v>
      </c>
      <c r="AH64" s="16">
        <f>SUM(AG$5:AG64)</f>
        <v>11579261.224000001</v>
      </c>
      <c r="AI64" s="16">
        <f t="shared" si="29"/>
        <v>2317707.6559999995</v>
      </c>
      <c r="AJ64" s="16">
        <f t="shared" si="30"/>
        <v>2549323.8039999995</v>
      </c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>
        <f t="shared" si="26"/>
        <v>0</v>
      </c>
      <c r="BF64" s="6"/>
      <c r="BG64" s="21">
        <f t="shared" si="40"/>
        <v>0</v>
      </c>
      <c r="BH64" s="21">
        <f t="shared" si="28"/>
        <v>231616.14799999999</v>
      </c>
      <c r="BI64" s="16">
        <f t="shared" si="41"/>
        <v>231616.14799999999</v>
      </c>
      <c r="BJ64" s="16">
        <f>+BI64*'Capital Structure '!$E$30</f>
        <v>94615.196457999991</v>
      </c>
      <c r="BK64" s="16">
        <f>SUM(BJ$5:BJ64)</f>
        <v>-946783.57747600577</v>
      </c>
    </row>
    <row r="65" spans="1:63">
      <c r="A65" s="10" t="s">
        <v>53</v>
      </c>
      <c r="B65" s="10">
        <f>B64+1</f>
        <v>2017</v>
      </c>
      <c r="C65" s="10" t="s">
        <v>47</v>
      </c>
      <c r="D65" s="57"/>
      <c r="E65" s="55"/>
      <c r="F65" s="65"/>
      <c r="G65" s="56">
        <f t="shared" si="38"/>
        <v>0</v>
      </c>
      <c r="H65" s="56"/>
      <c r="I65" s="57"/>
      <c r="J65" s="56"/>
      <c r="K65" s="16">
        <f t="shared" si="27"/>
        <v>0</v>
      </c>
      <c r="L65" s="16">
        <f>SUM(K$5:K65)</f>
        <v>13896968.880000001</v>
      </c>
      <c r="N65" s="16"/>
      <c r="O65" s="16">
        <f>+O64</f>
        <v>150</v>
      </c>
      <c r="P65" s="16">
        <f>+P64</f>
        <v>17363.333333333332</v>
      </c>
      <c r="Q65" s="16">
        <f t="shared" si="37"/>
        <v>12194.166666666666</v>
      </c>
      <c r="R65" s="16">
        <f t="shared" si="37"/>
        <v>15564.674999999999</v>
      </c>
      <c r="S65" s="16">
        <f t="shared" si="37"/>
        <v>11436.666666666666</v>
      </c>
      <c r="T65" s="16">
        <f t="shared" si="37"/>
        <v>12063.333333333334</v>
      </c>
      <c r="U65" s="16">
        <f t="shared" si="37"/>
        <v>13418.733333333334</v>
      </c>
      <c r="V65" s="16">
        <f t="shared" si="37"/>
        <v>10691.666666666666</v>
      </c>
      <c r="W65" s="16">
        <f t="shared" si="37"/>
        <v>11455.341333333334</v>
      </c>
      <c r="X65" s="16">
        <f t="shared" si="39"/>
        <v>8813.3333333333339</v>
      </c>
      <c r="Y65" s="16">
        <f t="shared" si="39"/>
        <v>12825</v>
      </c>
      <c r="Z65" s="16">
        <f t="shared" si="34"/>
        <v>13573.158333333333</v>
      </c>
      <c r="AA65" s="30">
        <f t="shared" si="34"/>
        <v>16461.666666666668</v>
      </c>
      <c r="AB65" s="30">
        <f t="shared" si="34"/>
        <v>18098.424999999999</v>
      </c>
      <c r="AC65" s="16">
        <f t="shared" si="34"/>
        <v>22469.591666666667</v>
      </c>
      <c r="AD65" s="16">
        <f t="shared" si="34"/>
        <v>20230.771000000001</v>
      </c>
      <c r="AE65" s="16">
        <f t="shared" si="34"/>
        <v>14851.285666666667</v>
      </c>
      <c r="AF65" s="16">
        <f t="shared" si="34"/>
        <v>-45</v>
      </c>
      <c r="AG65" s="16">
        <f t="shared" si="36"/>
        <v>231616.14799999999</v>
      </c>
      <c r="AH65" s="16">
        <f>SUM(AG$5:AG65)</f>
        <v>11810877.372000001</v>
      </c>
      <c r="AI65" s="16">
        <f t="shared" si="29"/>
        <v>2086091.5079999994</v>
      </c>
      <c r="AJ65" s="16">
        <f t="shared" si="30"/>
        <v>2317707.6559999995</v>
      </c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>
        <f t="shared" si="26"/>
        <v>0</v>
      </c>
      <c r="BF65" s="6"/>
      <c r="BG65" s="21">
        <f t="shared" si="40"/>
        <v>0</v>
      </c>
      <c r="BH65" s="21">
        <f t="shared" si="28"/>
        <v>231616.14799999999</v>
      </c>
      <c r="BI65" s="16">
        <f t="shared" si="41"/>
        <v>231616.14799999999</v>
      </c>
      <c r="BJ65" s="16">
        <f>+BI65*'Capital Structure '!$E$30</f>
        <v>94615.196457999991</v>
      </c>
      <c r="BK65" s="16">
        <f>SUM(BJ$5:BJ65)</f>
        <v>-852168.38101800578</v>
      </c>
    </row>
    <row r="66" spans="1:63">
      <c r="A66" s="10" t="s">
        <v>54</v>
      </c>
      <c r="B66" s="10">
        <f t="shared" si="35"/>
        <v>2017</v>
      </c>
      <c r="C66" s="10" t="s">
        <v>47</v>
      </c>
      <c r="D66" s="57"/>
      <c r="E66" s="55"/>
      <c r="F66" s="65"/>
      <c r="G66" s="56">
        <f t="shared" si="38"/>
        <v>0</v>
      </c>
      <c r="H66" s="56"/>
      <c r="I66" s="57"/>
      <c r="J66" s="56"/>
      <c r="K66" s="16">
        <f t="shared" si="27"/>
        <v>0</v>
      </c>
      <c r="L66" s="16">
        <f>SUM(K$5:K66)</f>
        <v>13896968.880000001</v>
      </c>
      <c r="N66" s="16"/>
      <c r="O66" s="16"/>
      <c r="P66" s="16">
        <f>+P65</f>
        <v>17363.333333333332</v>
      </c>
      <c r="Q66" s="16">
        <f t="shared" si="37"/>
        <v>12194.166666666666</v>
      </c>
      <c r="R66" s="16">
        <f t="shared" si="37"/>
        <v>15564.674999999999</v>
      </c>
      <c r="S66" s="16">
        <f t="shared" si="37"/>
        <v>11436.666666666666</v>
      </c>
      <c r="T66" s="16">
        <f t="shared" si="37"/>
        <v>12063.333333333334</v>
      </c>
      <c r="U66" s="16">
        <f t="shared" si="37"/>
        <v>13418.733333333334</v>
      </c>
      <c r="V66" s="16">
        <f t="shared" si="37"/>
        <v>10691.666666666666</v>
      </c>
      <c r="W66" s="16">
        <f t="shared" si="37"/>
        <v>11455.341333333334</v>
      </c>
      <c r="X66" s="16">
        <f t="shared" si="39"/>
        <v>8813.3333333333339</v>
      </c>
      <c r="Y66" s="16">
        <f t="shared" si="39"/>
        <v>12825</v>
      </c>
      <c r="Z66" s="16">
        <f t="shared" si="34"/>
        <v>13573.158333333333</v>
      </c>
      <c r="AA66" s="30">
        <f t="shared" si="34"/>
        <v>16461.666666666668</v>
      </c>
      <c r="AB66" s="30">
        <f t="shared" si="34"/>
        <v>18098.424999999999</v>
      </c>
      <c r="AC66" s="16">
        <f t="shared" si="34"/>
        <v>22469.591666666667</v>
      </c>
      <c r="AD66" s="16">
        <f t="shared" si="34"/>
        <v>20230.771000000001</v>
      </c>
      <c r="AE66" s="16">
        <f t="shared" si="34"/>
        <v>14851.285666666667</v>
      </c>
      <c r="AF66" s="16">
        <f t="shared" si="34"/>
        <v>-45</v>
      </c>
      <c r="AG66" s="16">
        <f t="shared" si="36"/>
        <v>231466.14799999999</v>
      </c>
      <c r="AH66" s="16">
        <f>SUM(AG$5:AG66)</f>
        <v>12042343.520000001</v>
      </c>
      <c r="AI66" s="16">
        <f t="shared" si="29"/>
        <v>1854625.3599999994</v>
      </c>
      <c r="AJ66" s="16">
        <f t="shared" si="30"/>
        <v>2086091.5079999994</v>
      </c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>
        <f t="shared" si="26"/>
        <v>0</v>
      </c>
      <c r="BF66" s="6"/>
      <c r="BG66" s="21">
        <f t="shared" si="40"/>
        <v>0</v>
      </c>
      <c r="BH66" s="21">
        <f t="shared" si="28"/>
        <v>231466.14799999999</v>
      </c>
      <c r="BI66" s="16">
        <f t="shared" si="41"/>
        <v>231466.14799999999</v>
      </c>
      <c r="BJ66" s="16">
        <f>+BI66*'Capital Structure '!$E$30</f>
        <v>94553.921457999983</v>
      </c>
      <c r="BK66" s="16">
        <f>SUM(BJ$5:BJ66)</f>
        <v>-757614.45956000581</v>
      </c>
    </row>
    <row r="67" spans="1:63">
      <c r="A67" s="10" t="s">
        <v>55</v>
      </c>
      <c r="B67" s="10">
        <f t="shared" si="35"/>
        <v>2017</v>
      </c>
      <c r="C67" s="10" t="s">
        <v>47</v>
      </c>
      <c r="D67" s="57"/>
      <c r="E67" s="55"/>
      <c r="F67" s="65"/>
      <c r="G67" s="56">
        <f t="shared" si="38"/>
        <v>0</v>
      </c>
      <c r="H67" s="56"/>
      <c r="I67" s="57"/>
      <c r="J67" s="56"/>
      <c r="K67" s="16">
        <f t="shared" si="27"/>
        <v>0</v>
      </c>
      <c r="L67" s="16">
        <f>SUM(K$5:K67)</f>
        <v>13896968.880000001</v>
      </c>
      <c r="N67" s="16"/>
      <c r="O67" s="16"/>
      <c r="P67" s="16"/>
      <c r="Q67" s="16">
        <f t="shared" si="37"/>
        <v>12194.166666666666</v>
      </c>
      <c r="R67" s="16">
        <f t="shared" si="37"/>
        <v>15564.674999999999</v>
      </c>
      <c r="S67" s="16">
        <f t="shared" si="37"/>
        <v>11436.666666666666</v>
      </c>
      <c r="T67" s="16">
        <f t="shared" si="37"/>
        <v>12063.333333333334</v>
      </c>
      <c r="U67" s="16">
        <f t="shared" si="37"/>
        <v>13418.733333333334</v>
      </c>
      <c r="V67" s="16">
        <f t="shared" si="37"/>
        <v>10691.666666666666</v>
      </c>
      <c r="W67" s="16">
        <f t="shared" si="37"/>
        <v>11455.341333333334</v>
      </c>
      <c r="X67" s="16">
        <f t="shared" si="39"/>
        <v>8813.3333333333339</v>
      </c>
      <c r="Y67" s="16">
        <f t="shared" si="39"/>
        <v>12825</v>
      </c>
      <c r="Z67" s="16">
        <f t="shared" ref="Z67:AF79" si="43">Z66</f>
        <v>13573.158333333333</v>
      </c>
      <c r="AA67" s="30">
        <f t="shared" si="43"/>
        <v>16461.666666666668</v>
      </c>
      <c r="AB67" s="30">
        <f t="shared" si="43"/>
        <v>18098.424999999999</v>
      </c>
      <c r="AC67" s="16">
        <f t="shared" si="43"/>
        <v>22469.591666666667</v>
      </c>
      <c r="AD67" s="16">
        <f t="shared" si="43"/>
        <v>20230.771000000001</v>
      </c>
      <c r="AE67" s="16">
        <f t="shared" si="43"/>
        <v>14851.285666666667</v>
      </c>
      <c r="AF67" s="16">
        <f t="shared" si="43"/>
        <v>-45</v>
      </c>
      <c r="AG67" s="16">
        <f t="shared" si="36"/>
        <v>214102.81466666664</v>
      </c>
      <c r="AH67" s="16">
        <f>SUM(AG$5:AG67)</f>
        <v>12256446.334666668</v>
      </c>
      <c r="AI67" s="16">
        <f t="shared" si="29"/>
        <v>1640522.5453333333</v>
      </c>
      <c r="AJ67" s="16">
        <f t="shared" si="30"/>
        <v>1854625.3599999994</v>
      </c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>
        <f t="shared" si="26"/>
        <v>0</v>
      </c>
      <c r="BF67" s="6"/>
      <c r="BG67" s="21">
        <f t="shared" si="40"/>
        <v>0</v>
      </c>
      <c r="BH67" s="21">
        <f t="shared" si="28"/>
        <v>214102.81466666664</v>
      </c>
      <c r="BI67" s="16">
        <f t="shared" si="41"/>
        <v>214102.81466666664</v>
      </c>
      <c r="BJ67" s="16">
        <f>+BI67*'Capital Structure '!$E$30</f>
        <v>87460.999791333321</v>
      </c>
      <c r="BK67" s="16">
        <f>SUM(BJ$5:BJ67)</f>
        <v>-670153.45976867247</v>
      </c>
    </row>
    <row r="68" spans="1:63">
      <c r="A68" s="10" t="s">
        <v>56</v>
      </c>
      <c r="B68" s="10">
        <f t="shared" si="35"/>
        <v>2017</v>
      </c>
      <c r="C68" s="10" t="s">
        <v>47</v>
      </c>
      <c r="D68" s="57"/>
      <c r="E68" s="55"/>
      <c r="F68" s="65"/>
      <c r="G68" s="56">
        <f t="shared" si="38"/>
        <v>0</v>
      </c>
      <c r="H68" s="56"/>
      <c r="I68" s="57"/>
      <c r="J68" s="56"/>
      <c r="K68" s="16">
        <f t="shared" si="27"/>
        <v>0</v>
      </c>
      <c r="L68" s="16">
        <f>SUM(K$5:K68)</f>
        <v>13896968.880000001</v>
      </c>
      <c r="N68" s="16"/>
      <c r="O68" s="16"/>
      <c r="P68" s="16"/>
      <c r="Q68" s="16"/>
      <c r="R68" s="16">
        <f t="shared" si="37"/>
        <v>15564.674999999999</v>
      </c>
      <c r="S68" s="16">
        <f t="shared" si="37"/>
        <v>11436.666666666666</v>
      </c>
      <c r="T68" s="16">
        <f t="shared" si="37"/>
        <v>12063.333333333334</v>
      </c>
      <c r="U68" s="16">
        <f t="shared" si="37"/>
        <v>13418.733333333334</v>
      </c>
      <c r="V68" s="16">
        <f t="shared" si="37"/>
        <v>10691.666666666666</v>
      </c>
      <c r="W68" s="16">
        <f t="shared" si="37"/>
        <v>11455.341333333334</v>
      </c>
      <c r="X68" s="16">
        <f t="shared" si="39"/>
        <v>8813.3333333333339</v>
      </c>
      <c r="Y68" s="16">
        <f t="shared" si="39"/>
        <v>12825</v>
      </c>
      <c r="Z68" s="16">
        <f t="shared" si="43"/>
        <v>13573.158333333333</v>
      </c>
      <c r="AA68" s="30">
        <f t="shared" si="43"/>
        <v>16461.666666666668</v>
      </c>
      <c r="AB68" s="30">
        <f t="shared" si="43"/>
        <v>18098.424999999999</v>
      </c>
      <c r="AC68" s="16">
        <f t="shared" si="43"/>
        <v>22469.591666666667</v>
      </c>
      <c r="AD68" s="16">
        <f t="shared" si="43"/>
        <v>20230.771000000001</v>
      </c>
      <c r="AE68" s="16">
        <f t="shared" si="43"/>
        <v>14851.285666666667</v>
      </c>
      <c r="AF68" s="16">
        <f t="shared" si="43"/>
        <v>-45</v>
      </c>
      <c r="AG68" s="16">
        <f t="shared" si="36"/>
        <v>201908.64800000002</v>
      </c>
      <c r="AH68" s="16">
        <f>SUM(AG$5:AG68)</f>
        <v>12458354.982666668</v>
      </c>
      <c r="AI68" s="16">
        <f t="shared" si="29"/>
        <v>1438613.8973333333</v>
      </c>
      <c r="AJ68" s="16">
        <f t="shared" si="30"/>
        <v>1640522.5453333333</v>
      </c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>
        <f t="shared" si="26"/>
        <v>0</v>
      </c>
      <c r="BF68" s="6"/>
      <c r="BG68" s="21">
        <f t="shared" si="40"/>
        <v>0</v>
      </c>
      <c r="BH68" s="21">
        <f t="shared" si="28"/>
        <v>201908.64800000002</v>
      </c>
      <c r="BI68" s="16">
        <f t="shared" si="41"/>
        <v>201908.64800000002</v>
      </c>
      <c r="BJ68" s="16">
        <f>+BI68*'Capital Structure '!$E$30</f>
        <v>82479.682708000008</v>
      </c>
      <c r="BK68" s="16">
        <f>SUM(BJ$5:BJ68)</f>
        <v>-587673.77706067241</v>
      </c>
    </row>
    <row r="69" spans="1:63">
      <c r="A69" s="10" t="s">
        <v>57</v>
      </c>
      <c r="B69" s="10">
        <f t="shared" si="35"/>
        <v>2017</v>
      </c>
      <c r="C69" s="10" t="s">
        <v>47</v>
      </c>
      <c r="D69" s="57"/>
      <c r="E69" s="55"/>
      <c r="F69" s="65"/>
      <c r="G69" s="56">
        <f t="shared" si="38"/>
        <v>0</v>
      </c>
      <c r="H69" s="56"/>
      <c r="I69" s="57"/>
      <c r="J69" s="56"/>
      <c r="K69" s="16">
        <f t="shared" ref="K69:K82" si="44">SUM(G69:I69)</f>
        <v>0</v>
      </c>
      <c r="L69" s="16">
        <f>SUM(K$5:K69)</f>
        <v>13896968.880000001</v>
      </c>
      <c r="N69" s="16"/>
      <c r="O69" s="16"/>
      <c r="P69" s="16"/>
      <c r="Q69" s="16"/>
      <c r="R69" s="16"/>
      <c r="S69" s="16">
        <f>+S68</f>
        <v>11436.666666666666</v>
      </c>
      <c r="T69" s="16">
        <f>+T68</f>
        <v>12063.333333333334</v>
      </c>
      <c r="U69" s="16">
        <f t="shared" si="37"/>
        <v>13418.733333333334</v>
      </c>
      <c r="V69" s="16">
        <f t="shared" si="37"/>
        <v>10691.666666666666</v>
      </c>
      <c r="W69" s="16">
        <f t="shared" si="37"/>
        <v>11455.341333333334</v>
      </c>
      <c r="X69" s="16">
        <f t="shared" si="39"/>
        <v>8813.3333333333339</v>
      </c>
      <c r="Y69" s="16">
        <f t="shared" si="39"/>
        <v>12825</v>
      </c>
      <c r="Z69" s="16">
        <f t="shared" si="43"/>
        <v>13573.158333333333</v>
      </c>
      <c r="AA69" s="30">
        <f t="shared" si="43"/>
        <v>16461.666666666668</v>
      </c>
      <c r="AB69" s="30">
        <f t="shared" si="43"/>
        <v>18098.424999999999</v>
      </c>
      <c r="AC69" s="16">
        <f t="shared" si="43"/>
        <v>22469.591666666667</v>
      </c>
      <c r="AD69" s="16">
        <f t="shared" si="43"/>
        <v>20230.771000000001</v>
      </c>
      <c r="AE69" s="16">
        <f t="shared" si="43"/>
        <v>14851.285666666667</v>
      </c>
      <c r="AF69" s="16">
        <f t="shared" si="43"/>
        <v>-45</v>
      </c>
      <c r="AG69" s="16">
        <f t="shared" si="36"/>
        <v>186343.97300000003</v>
      </c>
      <c r="AH69" s="16">
        <f>SUM(AG$5:AG69)</f>
        <v>12644698.955666667</v>
      </c>
      <c r="AI69" s="16">
        <f t="shared" si="29"/>
        <v>1252269.924333334</v>
      </c>
      <c r="AJ69" s="16">
        <f t="shared" si="30"/>
        <v>1438613.8973333333</v>
      </c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>
        <f t="shared" si="26"/>
        <v>0</v>
      </c>
      <c r="BF69" s="6"/>
      <c r="BG69" s="21">
        <f t="shared" si="40"/>
        <v>0</v>
      </c>
      <c r="BH69" s="21">
        <f t="shared" ref="BH69:BH82" si="45">+AG69</f>
        <v>186343.97300000003</v>
      </c>
      <c r="BI69" s="16">
        <f t="shared" si="41"/>
        <v>186343.97300000003</v>
      </c>
      <c r="BJ69" s="16">
        <f>+BI69*'Capital Structure '!$E$30</f>
        <v>76121.5129705</v>
      </c>
      <c r="BK69" s="16">
        <f>SUM(BJ$5:BJ69)</f>
        <v>-511552.26409017242</v>
      </c>
    </row>
    <row r="70" spans="1:63">
      <c r="A70" s="10" t="s">
        <v>58</v>
      </c>
      <c r="B70" s="10">
        <f t="shared" si="35"/>
        <v>2017</v>
      </c>
      <c r="C70" s="10" t="s">
        <v>47</v>
      </c>
      <c r="D70" s="57"/>
      <c r="E70" s="55"/>
      <c r="F70" s="65"/>
      <c r="G70" s="56">
        <f t="shared" si="38"/>
        <v>0</v>
      </c>
      <c r="H70" s="56"/>
      <c r="I70" s="57"/>
      <c r="J70" s="56"/>
      <c r="K70" s="16">
        <f t="shared" si="44"/>
        <v>0</v>
      </c>
      <c r="L70" s="16">
        <f>SUM(K$5:K70)</f>
        <v>13896968.880000001</v>
      </c>
      <c r="N70" s="16"/>
      <c r="O70" s="16"/>
      <c r="P70" s="16"/>
      <c r="Q70" s="16"/>
      <c r="R70" s="16"/>
      <c r="S70" s="16"/>
      <c r="T70" s="16">
        <f>+T69</f>
        <v>12063.333333333334</v>
      </c>
      <c r="U70" s="16">
        <f t="shared" si="37"/>
        <v>13418.733333333334</v>
      </c>
      <c r="V70" s="16">
        <f t="shared" si="37"/>
        <v>10691.666666666666</v>
      </c>
      <c r="W70" s="16">
        <f t="shared" si="37"/>
        <v>11455.341333333334</v>
      </c>
      <c r="X70" s="16">
        <f t="shared" si="39"/>
        <v>8813.3333333333339</v>
      </c>
      <c r="Y70" s="16">
        <f t="shared" si="39"/>
        <v>12825</v>
      </c>
      <c r="Z70" s="16">
        <f t="shared" si="43"/>
        <v>13573.158333333333</v>
      </c>
      <c r="AA70" s="30">
        <f t="shared" si="43"/>
        <v>16461.666666666668</v>
      </c>
      <c r="AB70" s="30">
        <f t="shared" si="43"/>
        <v>18098.424999999999</v>
      </c>
      <c r="AC70" s="16">
        <f t="shared" si="43"/>
        <v>22469.591666666667</v>
      </c>
      <c r="AD70" s="16">
        <f t="shared" si="43"/>
        <v>20230.771000000001</v>
      </c>
      <c r="AE70" s="16">
        <f t="shared" si="43"/>
        <v>14851.285666666667</v>
      </c>
      <c r="AF70" s="16">
        <f t="shared" si="43"/>
        <v>-45</v>
      </c>
      <c r="AG70" s="16">
        <f t="shared" si="36"/>
        <v>174907.30633333334</v>
      </c>
      <c r="AH70" s="16">
        <f>SUM(AG$5:AG70)</f>
        <v>12819606.262</v>
      </c>
      <c r="AI70" s="16">
        <f t="shared" ref="AI70:AI82" si="46">+L70-AH70</f>
        <v>1077362.6180000007</v>
      </c>
      <c r="AJ70" s="16">
        <f t="shared" ref="AJ70:AJ82" si="47">+L70-AH69</f>
        <v>1252269.924333334</v>
      </c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>
        <f t="shared" si="26"/>
        <v>0</v>
      </c>
      <c r="BF70" s="6"/>
      <c r="BG70" s="21">
        <f t="shared" si="40"/>
        <v>0</v>
      </c>
      <c r="BH70" s="21">
        <f t="shared" si="45"/>
        <v>174907.30633333334</v>
      </c>
      <c r="BI70" s="16">
        <f t="shared" si="41"/>
        <v>174907.30633333334</v>
      </c>
      <c r="BJ70" s="16">
        <f>+BI70*'Capital Structure '!$E$30</f>
        <v>71449.634637166659</v>
      </c>
      <c r="BK70" s="16">
        <f>SUM(BJ$5:BJ70)</f>
        <v>-440102.62945300573</v>
      </c>
    </row>
    <row r="71" spans="1:63">
      <c r="A71" s="10" t="s">
        <v>59</v>
      </c>
      <c r="B71" s="10">
        <f t="shared" si="35"/>
        <v>2017</v>
      </c>
      <c r="C71" s="10" t="s">
        <v>47</v>
      </c>
      <c r="D71" s="57"/>
      <c r="E71" s="55"/>
      <c r="F71" s="65"/>
      <c r="G71" s="56">
        <f t="shared" si="38"/>
        <v>0</v>
      </c>
      <c r="H71" s="56"/>
      <c r="I71" s="57"/>
      <c r="J71" s="56"/>
      <c r="K71" s="16">
        <f t="shared" si="44"/>
        <v>0</v>
      </c>
      <c r="L71" s="16">
        <f>SUM(K$5:K71)</f>
        <v>13896968.880000001</v>
      </c>
      <c r="N71" s="16"/>
      <c r="O71" s="16"/>
      <c r="P71" s="16"/>
      <c r="Q71" s="16"/>
      <c r="R71" s="16"/>
      <c r="S71" s="16"/>
      <c r="T71" s="16"/>
      <c r="U71" s="16">
        <f t="shared" si="37"/>
        <v>13418.733333333334</v>
      </c>
      <c r="V71" s="16">
        <f t="shared" si="37"/>
        <v>10691.666666666666</v>
      </c>
      <c r="W71" s="16">
        <f t="shared" si="37"/>
        <v>11455.341333333334</v>
      </c>
      <c r="X71" s="16">
        <f t="shared" si="39"/>
        <v>8813.3333333333339</v>
      </c>
      <c r="Y71" s="16">
        <f t="shared" si="39"/>
        <v>12825</v>
      </c>
      <c r="Z71" s="16">
        <f t="shared" si="43"/>
        <v>13573.158333333333</v>
      </c>
      <c r="AA71" s="30">
        <f t="shared" si="43"/>
        <v>16461.666666666668</v>
      </c>
      <c r="AB71" s="30">
        <f t="shared" si="43"/>
        <v>18098.424999999999</v>
      </c>
      <c r="AC71" s="16">
        <f t="shared" si="43"/>
        <v>22469.591666666667</v>
      </c>
      <c r="AD71" s="16">
        <f t="shared" si="43"/>
        <v>20230.771000000001</v>
      </c>
      <c r="AE71" s="16">
        <f t="shared" si="43"/>
        <v>14851.285666666667</v>
      </c>
      <c r="AF71" s="16">
        <f t="shared" si="43"/>
        <v>-45</v>
      </c>
      <c r="AG71" s="16">
        <f t="shared" si="36"/>
        <v>162843.97300000003</v>
      </c>
      <c r="AH71" s="16">
        <f>SUM(AG$5:AG71)</f>
        <v>12982450.234999999</v>
      </c>
      <c r="AI71" s="16">
        <f t="shared" si="46"/>
        <v>914518.64500000142</v>
      </c>
      <c r="AJ71" s="16">
        <f t="shared" si="47"/>
        <v>1077362.6180000007</v>
      </c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>
        <f t="shared" si="26"/>
        <v>0</v>
      </c>
      <c r="BF71" s="6"/>
      <c r="BG71" s="21">
        <f t="shared" si="40"/>
        <v>0</v>
      </c>
      <c r="BH71" s="21">
        <f t="shared" si="45"/>
        <v>162843.97300000003</v>
      </c>
      <c r="BI71" s="16">
        <f t="shared" si="41"/>
        <v>162843.97300000003</v>
      </c>
      <c r="BJ71" s="16">
        <f>+BI71*'Capital Structure '!$E$30</f>
        <v>66521.7629705</v>
      </c>
      <c r="BK71" s="16">
        <f>SUM(BJ$5:BJ71)</f>
        <v>-373580.86648250575</v>
      </c>
    </row>
    <row r="72" spans="1:63">
      <c r="A72" s="10" t="s">
        <v>46</v>
      </c>
      <c r="B72" s="10">
        <f t="shared" si="35"/>
        <v>2017</v>
      </c>
      <c r="C72" s="10" t="s">
        <v>47</v>
      </c>
      <c r="D72" s="57"/>
      <c r="E72" s="55"/>
      <c r="F72" s="65"/>
      <c r="G72" s="56">
        <f t="shared" si="38"/>
        <v>0</v>
      </c>
      <c r="H72" s="56"/>
      <c r="I72" s="57"/>
      <c r="J72" s="56"/>
      <c r="K72" s="16">
        <f t="shared" si="44"/>
        <v>0</v>
      </c>
      <c r="L72" s="16">
        <f>SUM(K$5:K72)</f>
        <v>13896968.880000001</v>
      </c>
      <c r="N72" s="16"/>
      <c r="O72" s="16"/>
      <c r="P72" s="16"/>
      <c r="Q72" s="16"/>
      <c r="R72" s="16"/>
      <c r="S72" s="16"/>
      <c r="T72" s="16"/>
      <c r="U72" s="16"/>
      <c r="V72" s="16">
        <f>+V71</f>
        <v>10691.666666666666</v>
      </c>
      <c r="W72" s="16">
        <f>+W71</f>
        <v>11455.341333333334</v>
      </c>
      <c r="X72" s="16">
        <f t="shared" si="39"/>
        <v>8813.3333333333339</v>
      </c>
      <c r="Y72" s="16">
        <f t="shared" si="39"/>
        <v>12825</v>
      </c>
      <c r="Z72" s="16">
        <f t="shared" si="43"/>
        <v>13573.158333333333</v>
      </c>
      <c r="AA72" s="30">
        <f t="shared" si="43"/>
        <v>16461.666666666668</v>
      </c>
      <c r="AB72" s="30">
        <f t="shared" si="43"/>
        <v>18098.424999999999</v>
      </c>
      <c r="AC72" s="16">
        <f t="shared" si="43"/>
        <v>22469.591666666667</v>
      </c>
      <c r="AD72" s="16">
        <f t="shared" si="43"/>
        <v>20230.771000000001</v>
      </c>
      <c r="AE72" s="16">
        <f t="shared" si="43"/>
        <v>14851.285666666667</v>
      </c>
      <c r="AF72" s="16">
        <f t="shared" si="43"/>
        <v>-45</v>
      </c>
      <c r="AG72" s="16">
        <f t="shared" si="36"/>
        <v>149425.23966666669</v>
      </c>
      <c r="AH72" s="16">
        <f>SUM(AG$5:AG72)</f>
        <v>13131875.474666666</v>
      </c>
      <c r="AI72" s="16">
        <f t="shared" si="46"/>
        <v>765093.40533333458</v>
      </c>
      <c r="AJ72" s="16">
        <f t="shared" si="47"/>
        <v>914518.64500000142</v>
      </c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>
        <f t="shared" si="26"/>
        <v>0</v>
      </c>
      <c r="BF72" s="6"/>
      <c r="BG72" s="21">
        <f t="shared" si="40"/>
        <v>0</v>
      </c>
      <c r="BH72" s="21">
        <f t="shared" si="45"/>
        <v>149425.23966666669</v>
      </c>
      <c r="BI72" s="16">
        <f t="shared" si="41"/>
        <v>149425.23966666669</v>
      </c>
      <c r="BJ72" s="16">
        <f>+BI72*'Capital Structure '!$E$30</f>
        <v>61040.210403833342</v>
      </c>
      <c r="BK72" s="16">
        <f>SUM(BJ$5:BJ72)</f>
        <v>-312540.65607867239</v>
      </c>
    </row>
    <row r="73" spans="1:63">
      <c r="A73" s="10" t="s">
        <v>48</v>
      </c>
      <c r="B73" s="10">
        <f t="shared" si="35"/>
        <v>2017</v>
      </c>
      <c r="C73" s="10" t="s">
        <v>47</v>
      </c>
      <c r="D73" s="57"/>
      <c r="E73" s="55"/>
      <c r="F73" s="65"/>
      <c r="G73" s="56">
        <f t="shared" si="38"/>
        <v>0</v>
      </c>
      <c r="H73" s="56"/>
      <c r="I73" s="57"/>
      <c r="J73" s="56"/>
      <c r="K73" s="16">
        <f t="shared" si="44"/>
        <v>0</v>
      </c>
      <c r="L73" s="16">
        <f>SUM(K$5:K73)</f>
        <v>13896968.880000001</v>
      </c>
      <c r="N73" s="16"/>
      <c r="O73" s="16"/>
      <c r="P73" s="16"/>
      <c r="Q73" s="16"/>
      <c r="R73" s="16"/>
      <c r="S73" s="16"/>
      <c r="T73" s="16"/>
      <c r="U73" s="16"/>
      <c r="V73" s="16"/>
      <c r="W73" s="16">
        <f>+W72</f>
        <v>11455.341333333334</v>
      </c>
      <c r="X73" s="16">
        <f t="shared" si="39"/>
        <v>8813.3333333333339</v>
      </c>
      <c r="Y73" s="16">
        <f t="shared" si="39"/>
        <v>12825</v>
      </c>
      <c r="Z73" s="16">
        <f t="shared" si="43"/>
        <v>13573.158333333333</v>
      </c>
      <c r="AA73" s="30">
        <f t="shared" si="43"/>
        <v>16461.666666666668</v>
      </c>
      <c r="AB73" s="30">
        <f t="shared" si="43"/>
        <v>18098.424999999999</v>
      </c>
      <c r="AC73" s="16">
        <f t="shared" si="43"/>
        <v>22469.591666666667</v>
      </c>
      <c r="AD73" s="16">
        <f t="shared" si="43"/>
        <v>20230.771000000001</v>
      </c>
      <c r="AE73" s="16">
        <f t="shared" si="43"/>
        <v>14851.285666666667</v>
      </c>
      <c r="AF73" s="16">
        <f t="shared" si="43"/>
        <v>-45</v>
      </c>
      <c r="AG73" s="16">
        <f t="shared" si="36"/>
        <v>138733.573</v>
      </c>
      <c r="AH73" s="16">
        <f>SUM(AG$5:AG73)</f>
        <v>13270609.047666667</v>
      </c>
      <c r="AI73" s="16">
        <f t="shared" si="46"/>
        <v>626359.83233333379</v>
      </c>
      <c r="AJ73" s="16">
        <f t="shared" si="47"/>
        <v>765093.40533333458</v>
      </c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>
        <f t="shared" si="26"/>
        <v>0</v>
      </c>
      <c r="BF73" s="6"/>
      <c r="BG73" s="21">
        <f t="shared" si="40"/>
        <v>0</v>
      </c>
      <c r="BH73" s="21">
        <f t="shared" si="45"/>
        <v>138733.573</v>
      </c>
      <c r="BI73" s="16">
        <f t="shared" si="41"/>
        <v>138733.573</v>
      </c>
      <c r="BJ73" s="16">
        <f>+BI73*'Capital Structure '!$E$30</f>
        <v>56672.664570499997</v>
      </c>
      <c r="BK73" s="16">
        <f>SUM(BJ$5:BJ73)</f>
        <v>-255867.99150817239</v>
      </c>
    </row>
    <row r="74" spans="1:63">
      <c r="A74" s="10" t="s">
        <v>50</v>
      </c>
      <c r="B74" s="10">
        <f t="shared" si="35"/>
        <v>2017</v>
      </c>
      <c r="C74" s="10" t="s">
        <v>47</v>
      </c>
      <c r="D74" s="57"/>
      <c r="E74" s="55"/>
      <c r="F74" s="65"/>
      <c r="G74" s="56">
        <f t="shared" si="38"/>
        <v>0</v>
      </c>
      <c r="H74" s="56"/>
      <c r="I74" s="57"/>
      <c r="J74" s="56"/>
      <c r="K74" s="16">
        <f t="shared" si="44"/>
        <v>0</v>
      </c>
      <c r="L74" s="16">
        <f>SUM(K$5:K74)</f>
        <v>13896968.880000001</v>
      </c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>
        <f t="shared" si="39"/>
        <v>8813.3333333333339</v>
      </c>
      <c r="Y74" s="16">
        <f t="shared" si="39"/>
        <v>12825</v>
      </c>
      <c r="Z74" s="16">
        <f t="shared" si="43"/>
        <v>13573.158333333333</v>
      </c>
      <c r="AA74" s="30">
        <f t="shared" si="43"/>
        <v>16461.666666666668</v>
      </c>
      <c r="AB74" s="30">
        <f t="shared" si="43"/>
        <v>18098.424999999999</v>
      </c>
      <c r="AC74" s="16">
        <f t="shared" si="43"/>
        <v>22469.591666666667</v>
      </c>
      <c r="AD74" s="16">
        <f t="shared" si="43"/>
        <v>20230.771000000001</v>
      </c>
      <c r="AE74" s="16">
        <f t="shared" si="43"/>
        <v>14851.285666666667</v>
      </c>
      <c r="AF74" s="16">
        <f t="shared" si="43"/>
        <v>-45</v>
      </c>
      <c r="AG74" s="16">
        <f t="shared" si="36"/>
        <v>127278.23166666669</v>
      </c>
      <c r="AH74" s="16">
        <f>SUM(AG$5:AG74)</f>
        <v>13397887.279333334</v>
      </c>
      <c r="AI74" s="16">
        <f t="shared" si="46"/>
        <v>499081.6006666664</v>
      </c>
      <c r="AJ74" s="16">
        <f t="shared" si="47"/>
        <v>626359.83233333379</v>
      </c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>
        <f t="shared" si="26"/>
        <v>0</v>
      </c>
      <c r="BF74" s="6"/>
      <c r="BG74" s="21">
        <f t="shared" si="40"/>
        <v>0</v>
      </c>
      <c r="BH74" s="21">
        <f t="shared" si="45"/>
        <v>127278.23166666669</v>
      </c>
      <c r="BI74" s="16">
        <f t="shared" si="41"/>
        <v>127278.23166666669</v>
      </c>
      <c r="BJ74" s="16">
        <f>+BI74*'Capital Structure '!$E$30</f>
        <v>51993.15763583334</v>
      </c>
      <c r="BK74" s="16">
        <f>SUM(BJ$5:BJ74)</f>
        <v>-203874.83387233905</v>
      </c>
    </row>
    <row r="75" spans="1:63">
      <c r="A75" s="10" t="s">
        <v>51</v>
      </c>
      <c r="B75" s="10">
        <f t="shared" si="35"/>
        <v>2017</v>
      </c>
      <c r="C75" s="10" t="s">
        <v>47</v>
      </c>
      <c r="D75" s="57"/>
      <c r="E75" s="55"/>
      <c r="F75" s="65"/>
      <c r="G75" s="56">
        <f t="shared" si="38"/>
        <v>0</v>
      </c>
      <c r="H75" s="56"/>
      <c r="I75" s="57"/>
      <c r="J75" s="56"/>
      <c r="K75" s="16">
        <f t="shared" si="44"/>
        <v>0</v>
      </c>
      <c r="L75" s="16">
        <f>SUM(K$5:K75)</f>
        <v>13896968.880000001</v>
      </c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>
        <f>+Y74</f>
        <v>12825</v>
      </c>
      <c r="Z75" s="16">
        <f t="shared" si="43"/>
        <v>13573.158333333333</v>
      </c>
      <c r="AA75" s="30">
        <f t="shared" si="43"/>
        <v>16461.666666666668</v>
      </c>
      <c r="AB75" s="30">
        <f t="shared" si="43"/>
        <v>18098.424999999999</v>
      </c>
      <c r="AC75" s="16">
        <f t="shared" si="43"/>
        <v>22469.591666666667</v>
      </c>
      <c r="AD75" s="16">
        <f t="shared" si="43"/>
        <v>20230.771000000001</v>
      </c>
      <c r="AE75" s="16">
        <f t="shared" si="43"/>
        <v>14851.285666666667</v>
      </c>
      <c r="AF75" s="16">
        <f t="shared" si="43"/>
        <v>-45</v>
      </c>
      <c r="AG75" s="16">
        <f t="shared" si="36"/>
        <v>118464.89833333335</v>
      </c>
      <c r="AH75" s="16">
        <f>SUM(AG$5:AG75)</f>
        <v>13516352.177666668</v>
      </c>
      <c r="AI75" s="16">
        <f t="shared" si="46"/>
        <v>380616.70233333297</v>
      </c>
      <c r="AJ75" s="16">
        <f t="shared" si="47"/>
        <v>499081.6006666664</v>
      </c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>
        <f t="shared" si="26"/>
        <v>0</v>
      </c>
      <c r="BF75" s="6"/>
      <c r="BG75" s="21">
        <f t="shared" si="40"/>
        <v>0</v>
      </c>
      <c r="BH75" s="21">
        <f t="shared" si="45"/>
        <v>118464.89833333335</v>
      </c>
      <c r="BI75" s="16">
        <f t="shared" si="41"/>
        <v>118464.89833333335</v>
      </c>
      <c r="BJ75" s="16">
        <f>+BI75*'Capital Structure '!$E$30</f>
        <v>48392.910969166667</v>
      </c>
      <c r="BK75" s="16">
        <f>SUM(BJ$5:BJ75)</f>
        <v>-155481.92290317238</v>
      </c>
    </row>
    <row r="76" spans="1:63">
      <c r="A76" s="10" t="s">
        <v>52</v>
      </c>
      <c r="B76" s="10">
        <f t="shared" si="35"/>
        <v>2017</v>
      </c>
      <c r="C76" s="10" t="s">
        <v>47</v>
      </c>
      <c r="D76" s="57"/>
      <c r="E76" s="55"/>
      <c r="F76" s="65"/>
      <c r="G76" s="56">
        <f t="shared" si="38"/>
        <v>0</v>
      </c>
      <c r="H76" s="56"/>
      <c r="I76" s="57"/>
      <c r="J76" s="56"/>
      <c r="K76" s="16">
        <f t="shared" si="44"/>
        <v>0</v>
      </c>
      <c r="L76" s="16">
        <f>SUM(K$5:K76)</f>
        <v>13896968.880000001</v>
      </c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>
        <f t="shared" si="43"/>
        <v>13573.158333333333</v>
      </c>
      <c r="AA76" s="30">
        <f t="shared" si="43"/>
        <v>16461.666666666668</v>
      </c>
      <c r="AB76" s="30">
        <f t="shared" si="43"/>
        <v>18098.424999999999</v>
      </c>
      <c r="AC76" s="16">
        <f t="shared" si="43"/>
        <v>22469.591666666667</v>
      </c>
      <c r="AD76" s="16">
        <f t="shared" si="43"/>
        <v>20230.771000000001</v>
      </c>
      <c r="AE76" s="16">
        <f t="shared" si="43"/>
        <v>14851.285666666667</v>
      </c>
      <c r="AF76" s="16">
        <f t="shared" si="43"/>
        <v>-45</v>
      </c>
      <c r="AG76" s="16">
        <f t="shared" si="36"/>
        <v>105639.89833333335</v>
      </c>
      <c r="AH76" s="16">
        <f>SUM(AG$5:AG76)</f>
        <v>13621992.076000001</v>
      </c>
      <c r="AI76" s="16">
        <f t="shared" si="46"/>
        <v>274976.80399999954</v>
      </c>
      <c r="AJ76" s="16">
        <f t="shared" si="47"/>
        <v>380616.70233333297</v>
      </c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>
        <f t="shared" si="26"/>
        <v>0</v>
      </c>
      <c r="BF76" s="6"/>
      <c r="BG76" s="21">
        <f t="shared" si="40"/>
        <v>0</v>
      </c>
      <c r="BH76" s="21">
        <f t="shared" si="45"/>
        <v>105639.89833333335</v>
      </c>
      <c r="BI76" s="16">
        <f t="shared" si="41"/>
        <v>105639.89833333335</v>
      </c>
      <c r="BJ76" s="16">
        <f>+BI76*'Capital Structure '!$E$30</f>
        <v>43153.89846916667</v>
      </c>
      <c r="BK76" s="16">
        <f>SUM(BJ$5:BJ76)</f>
        <v>-112328.02443400571</v>
      </c>
    </row>
    <row r="77" spans="1:63">
      <c r="A77" s="10" t="s">
        <v>53</v>
      </c>
      <c r="B77" s="10">
        <f>B76+1</f>
        <v>2018</v>
      </c>
      <c r="C77" s="10" t="s">
        <v>47</v>
      </c>
      <c r="D77" s="57"/>
      <c r="E77" s="55"/>
      <c r="F77" s="65"/>
      <c r="G77" s="56">
        <f t="shared" si="38"/>
        <v>0</v>
      </c>
      <c r="H77" s="56"/>
      <c r="I77" s="57"/>
      <c r="J77" s="56"/>
      <c r="K77" s="16">
        <f t="shared" si="44"/>
        <v>0</v>
      </c>
      <c r="L77" s="16">
        <f>SUM(K$5:K77)</f>
        <v>13896968.880000001</v>
      </c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30">
        <f t="shared" si="43"/>
        <v>16461.666666666668</v>
      </c>
      <c r="AB77" s="30">
        <f t="shared" si="43"/>
        <v>18098.424999999999</v>
      </c>
      <c r="AC77" s="16">
        <f t="shared" si="43"/>
        <v>22469.591666666667</v>
      </c>
      <c r="AD77" s="16">
        <f t="shared" si="43"/>
        <v>20230.771000000001</v>
      </c>
      <c r="AE77" s="16">
        <f t="shared" si="43"/>
        <v>14851.285666666667</v>
      </c>
      <c r="AF77" s="16">
        <f t="shared" si="43"/>
        <v>-45</v>
      </c>
      <c r="AG77" s="16">
        <f t="shared" si="36"/>
        <v>92066.739999999991</v>
      </c>
      <c r="AH77" s="16">
        <f>SUM(AG$5:AG77)</f>
        <v>13714058.816000002</v>
      </c>
      <c r="AI77" s="16">
        <f t="shared" si="46"/>
        <v>182910.06399999931</v>
      </c>
      <c r="AJ77" s="16">
        <f t="shared" si="47"/>
        <v>274976.80399999954</v>
      </c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>
        <f t="shared" si="26"/>
        <v>0</v>
      </c>
      <c r="BF77" s="6"/>
      <c r="BG77" s="21">
        <f t="shared" si="40"/>
        <v>0</v>
      </c>
      <c r="BH77" s="21">
        <f t="shared" si="45"/>
        <v>92066.739999999991</v>
      </c>
      <c r="BI77" s="16">
        <f t="shared" si="41"/>
        <v>92066.739999999991</v>
      </c>
      <c r="BJ77" s="16">
        <f>+BI77*'Capital Structure '!$E$30</f>
        <v>37609.263289999995</v>
      </c>
      <c r="BK77" s="16">
        <f>SUM(BJ$5:BJ77)</f>
        <v>-74718.761144005723</v>
      </c>
    </row>
    <row r="78" spans="1:63">
      <c r="A78" s="10" t="s">
        <v>54</v>
      </c>
      <c r="B78" s="10">
        <f>B77</f>
        <v>2018</v>
      </c>
      <c r="C78" s="10" t="s">
        <v>47</v>
      </c>
      <c r="D78" s="57"/>
      <c r="E78" s="55"/>
      <c r="F78" s="65"/>
      <c r="G78" s="56">
        <f t="shared" si="38"/>
        <v>0</v>
      </c>
      <c r="H78" s="56"/>
      <c r="I78" s="57"/>
      <c r="J78" s="56"/>
      <c r="K78" s="16">
        <f t="shared" si="44"/>
        <v>0</v>
      </c>
      <c r="L78" s="16">
        <f>SUM(K$5:K78)</f>
        <v>13896968.880000001</v>
      </c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30">
        <f>AB77</f>
        <v>18098.424999999999</v>
      </c>
      <c r="AC78" s="16">
        <f t="shared" si="43"/>
        <v>22469.591666666667</v>
      </c>
      <c r="AD78" s="16">
        <f t="shared" si="43"/>
        <v>20230.771000000001</v>
      </c>
      <c r="AE78" s="16">
        <f t="shared" si="43"/>
        <v>14851.285666666667</v>
      </c>
      <c r="AF78" s="16">
        <f t="shared" si="43"/>
        <v>-45</v>
      </c>
      <c r="AG78" s="16">
        <f t="shared" si="36"/>
        <v>75605.073333333334</v>
      </c>
      <c r="AH78" s="16">
        <f>SUM(AG$5:AG78)</f>
        <v>13789663.889333336</v>
      </c>
      <c r="AI78" s="16">
        <f t="shared" si="46"/>
        <v>107304.99066666514</v>
      </c>
      <c r="AJ78" s="16">
        <f t="shared" si="47"/>
        <v>182910.06399999931</v>
      </c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>
        <f t="shared" si="26"/>
        <v>0</v>
      </c>
      <c r="BF78" s="6"/>
      <c r="BG78" s="21">
        <f t="shared" si="40"/>
        <v>0</v>
      </c>
      <c r="BH78" s="21">
        <f t="shared" si="45"/>
        <v>75605.073333333334</v>
      </c>
      <c r="BI78" s="16">
        <f t="shared" si="41"/>
        <v>75605.073333333334</v>
      </c>
      <c r="BJ78" s="16">
        <f>+BI78*'Capital Structure '!$E$30</f>
        <v>30884.672456666663</v>
      </c>
      <c r="BK78" s="16">
        <f>SUM(BJ$5:BJ78)</f>
        <v>-43834.088687339055</v>
      </c>
    </row>
    <row r="79" spans="1:63">
      <c r="A79" s="10" t="s">
        <v>55</v>
      </c>
      <c r="B79" s="10">
        <f>B78</f>
        <v>2018</v>
      </c>
      <c r="C79" s="10" t="s">
        <v>47</v>
      </c>
      <c r="D79" s="57"/>
      <c r="E79" s="55"/>
      <c r="F79" s="65"/>
      <c r="G79" s="56">
        <f t="shared" si="38"/>
        <v>0</v>
      </c>
      <c r="H79" s="56"/>
      <c r="I79" s="57"/>
      <c r="J79" s="56"/>
      <c r="K79" s="16">
        <f t="shared" si="44"/>
        <v>0</v>
      </c>
      <c r="L79" s="16">
        <f>SUM(K$5:K79)</f>
        <v>13896968.880000001</v>
      </c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>
        <f t="shared" si="43"/>
        <v>22469.591666666667</v>
      </c>
      <c r="AD79" s="16">
        <f t="shared" si="43"/>
        <v>20230.771000000001</v>
      </c>
      <c r="AE79" s="16">
        <f t="shared" si="43"/>
        <v>14851.285666666667</v>
      </c>
      <c r="AF79" s="16">
        <f t="shared" si="43"/>
        <v>-45</v>
      </c>
      <c r="AG79" s="16">
        <f t="shared" si="36"/>
        <v>57506.648333333331</v>
      </c>
      <c r="AH79" s="16">
        <f>SUM(AG$5:AG79)</f>
        <v>13847170.537666669</v>
      </c>
      <c r="AI79" s="16">
        <f t="shared" si="46"/>
        <v>49798.342333331704</v>
      </c>
      <c r="AJ79" s="16">
        <f t="shared" si="47"/>
        <v>107304.99066666514</v>
      </c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>
        <f t="shared" si="26"/>
        <v>0</v>
      </c>
      <c r="BF79" s="6"/>
      <c r="BG79" s="21">
        <f t="shared" si="40"/>
        <v>0</v>
      </c>
      <c r="BH79" s="21">
        <f t="shared" si="45"/>
        <v>57506.648333333331</v>
      </c>
      <c r="BI79" s="16">
        <f t="shared" si="41"/>
        <v>57506.648333333331</v>
      </c>
      <c r="BJ79" s="16">
        <f>+BI79*'Capital Structure '!$E$30</f>
        <v>23491.465844166665</v>
      </c>
      <c r="BK79" s="16">
        <f>SUM(BJ$5:BJ79)</f>
        <v>-20342.62284317239</v>
      </c>
    </row>
    <row r="80" spans="1:63">
      <c r="A80" s="10" t="s">
        <v>56</v>
      </c>
      <c r="B80" s="10">
        <f>B79</f>
        <v>2018</v>
      </c>
      <c r="C80" s="10" t="s">
        <v>47</v>
      </c>
      <c r="D80" s="57"/>
      <c r="E80" s="55"/>
      <c r="F80" s="65"/>
      <c r="G80" s="56">
        <f t="shared" si="38"/>
        <v>0</v>
      </c>
      <c r="H80" s="56"/>
      <c r="I80" s="57"/>
      <c r="J80" s="56"/>
      <c r="K80" s="16">
        <f t="shared" si="44"/>
        <v>0</v>
      </c>
      <c r="L80" s="16">
        <f>SUM(K$5:K80)</f>
        <v>13896968.880000001</v>
      </c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>
        <f>AD79</f>
        <v>20230.771000000001</v>
      </c>
      <c r="AE80" s="16">
        <f>AE79</f>
        <v>14851.285666666667</v>
      </c>
      <c r="AF80" s="16">
        <f>AF79</f>
        <v>-45</v>
      </c>
      <c r="AG80" s="16">
        <f t="shared" si="36"/>
        <v>35037.056666666671</v>
      </c>
      <c r="AH80" s="16">
        <f>SUM(AG$5:AG80)</f>
        <v>13882207.594333336</v>
      </c>
      <c r="AI80" s="16">
        <f t="shared" si="46"/>
        <v>14761.285666665062</v>
      </c>
      <c r="AJ80" s="16">
        <f t="shared" si="47"/>
        <v>49798.342333331704</v>
      </c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>
        <f t="shared" si="26"/>
        <v>0</v>
      </c>
      <c r="BF80" s="6"/>
      <c r="BG80" s="21">
        <f t="shared" si="40"/>
        <v>0</v>
      </c>
      <c r="BH80" s="21">
        <f t="shared" si="45"/>
        <v>35037.056666666671</v>
      </c>
      <c r="BI80" s="16">
        <f t="shared" si="41"/>
        <v>35037.056666666671</v>
      </c>
      <c r="BJ80" s="16">
        <f>+BI80*'Capital Structure '!$E$30</f>
        <v>14312.637648333333</v>
      </c>
      <c r="BK80" s="16">
        <f>SUM(BJ$5:BJ80)</f>
        <v>-6029.9851948390569</v>
      </c>
    </row>
    <row r="81" spans="1:63">
      <c r="A81" s="10" t="s">
        <v>57</v>
      </c>
      <c r="B81" s="10">
        <f>B80</f>
        <v>2018</v>
      </c>
      <c r="C81" s="10" t="s">
        <v>47</v>
      </c>
      <c r="D81" s="57"/>
      <c r="E81" s="55"/>
      <c r="F81" s="65"/>
      <c r="G81" s="56">
        <f t="shared" si="38"/>
        <v>0</v>
      </c>
      <c r="H81" s="56"/>
      <c r="I81" s="57"/>
      <c r="J81" s="56"/>
      <c r="K81" s="16">
        <f t="shared" si="44"/>
        <v>0</v>
      </c>
      <c r="L81" s="16">
        <f>SUM(K$5:K81)</f>
        <v>13896968.880000001</v>
      </c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>
        <f>AE80</f>
        <v>14851.285666666667</v>
      </c>
      <c r="AF81" s="16">
        <f>AF80</f>
        <v>-45</v>
      </c>
      <c r="AG81" s="16">
        <f t="shared" si="36"/>
        <v>14806.285666666667</v>
      </c>
      <c r="AH81" s="16">
        <f>SUM(AG$5:AG81)</f>
        <v>13897013.880000003</v>
      </c>
      <c r="AI81" s="16">
        <f t="shared" si="46"/>
        <v>-45.000000001862645</v>
      </c>
      <c r="AJ81" s="16">
        <f t="shared" si="47"/>
        <v>14761.285666665062</v>
      </c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6"/>
      <c r="BG81" s="21"/>
      <c r="BH81" s="21">
        <f t="shared" si="45"/>
        <v>14806.285666666667</v>
      </c>
      <c r="BI81" s="16">
        <f t="shared" si="41"/>
        <v>14806.285666666667</v>
      </c>
      <c r="BJ81" s="16">
        <f>+BI81*'Capital Structure '!$E$30</f>
        <v>6048.3676948333332</v>
      </c>
      <c r="BK81" s="16">
        <f>SUM(BJ$5:BJ81)</f>
        <v>18.382499994276259</v>
      </c>
    </row>
    <row r="82" spans="1:63">
      <c r="A82" s="10" t="s">
        <v>58</v>
      </c>
      <c r="B82" s="10">
        <f>B81</f>
        <v>2018</v>
      </c>
      <c r="C82" s="10" t="s">
        <v>47</v>
      </c>
      <c r="D82" s="57"/>
      <c r="E82" s="55"/>
      <c r="F82" s="65"/>
      <c r="G82" s="56">
        <f t="shared" si="38"/>
        <v>0</v>
      </c>
      <c r="H82" s="56"/>
      <c r="I82" s="57"/>
      <c r="J82" s="56"/>
      <c r="K82" s="16">
        <f t="shared" si="44"/>
        <v>0</v>
      </c>
      <c r="L82" s="16">
        <f>SUM(K$5:K82)</f>
        <v>13896968.880000001</v>
      </c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>
        <f>AF81</f>
        <v>-45</v>
      </c>
      <c r="AG82" s="16">
        <f t="shared" si="36"/>
        <v>-45</v>
      </c>
      <c r="AH82" s="16">
        <f>SUM(AG$5:AG82)</f>
        <v>13896968.880000003</v>
      </c>
      <c r="AI82" s="16">
        <f t="shared" si="46"/>
        <v>0</v>
      </c>
      <c r="AJ82" s="16">
        <f t="shared" si="47"/>
        <v>-45.000000001862645</v>
      </c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6"/>
      <c r="BG82" s="21"/>
      <c r="BH82" s="21">
        <f t="shared" si="45"/>
        <v>-45</v>
      </c>
      <c r="BI82" s="16">
        <f t="shared" si="41"/>
        <v>-45</v>
      </c>
      <c r="BJ82" s="16">
        <f>+BI82*'Capital Structure '!$E$30</f>
        <v>-18.3825</v>
      </c>
      <c r="BK82" s="16">
        <f>SUM(BJ$5:BJ82)</f>
        <v>-5.723741480778699E-9</v>
      </c>
    </row>
    <row r="83" spans="1:6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6"/>
      <c r="L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6"/>
      <c r="BG83" s="21"/>
      <c r="BH83" s="21"/>
      <c r="BI83" s="16"/>
      <c r="BJ83" s="16"/>
      <c r="BK83" s="16"/>
    </row>
    <row r="84" spans="1:6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6"/>
      <c r="L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6"/>
      <c r="BG84" s="21"/>
      <c r="BH84" s="21"/>
      <c r="BI84" s="16"/>
      <c r="BJ84" s="16"/>
      <c r="BK84" s="16"/>
    </row>
    <row r="85" spans="1:6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6"/>
      <c r="L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G85" s="21"/>
      <c r="BH85" s="21"/>
      <c r="BI85" s="16"/>
      <c r="BJ85" s="16"/>
      <c r="BK85" s="16"/>
    </row>
    <row r="86" spans="1:63">
      <c r="AH86" s="21"/>
    </row>
    <row r="88" spans="1:63">
      <c r="D88" s="21"/>
      <c r="E88" s="21"/>
      <c r="F88" s="21"/>
      <c r="G88" s="21"/>
      <c r="H88" s="21"/>
      <c r="I88" s="21"/>
      <c r="J88" s="21"/>
      <c r="K88" s="21"/>
    </row>
    <row r="89" spans="1:63">
      <c r="D89" s="21"/>
      <c r="E89" s="21"/>
      <c r="F89" s="21"/>
      <c r="G89" s="21"/>
      <c r="H89" s="21"/>
      <c r="I89" s="21"/>
      <c r="J89" s="21"/>
      <c r="K89" s="21"/>
    </row>
    <row r="90" spans="1:63">
      <c r="D90" s="21"/>
      <c r="E90" s="21"/>
      <c r="F90" s="21"/>
      <c r="G90" s="21"/>
      <c r="H90" s="21"/>
      <c r="I90" s="21"/>
      <c r="J90" s="21"/>
      <c r="K90" s="21"/>
    </row>
    <row r="91" spans="1:63">
      <c r="D91" s="21"/>
      <c r="E91" s="21"/>
      <c r="F91" s="21"/>
      <c r="G91" s="21"/>
      <c r="H91" s="21"/>
      <c r="I91" s="21"/>
      <c r="J91" s="21"/>
      <c r="K91" s="21"/>
    </row>
    <row r="92" spans="1:63">
      <c r="D92" s="21"/>
      <c r="E92" s="21"/>
      <c r="F92" s="21"/>
      <c r="G92" s="21"/>
      <c r="H92" s="21"/>
      <c r="I92" s="21"/>
      <c r="J92" s="21"/>
      <c r="K92" s="21"/>
    </row>
    <row r="93" spans="1:63">
      <c r="D93" s="21"/>
      <c r="E93" s="21"/>
      <c r="F93" s="21"/>
      <c r="G93" s="21"/>
      <c r="H93" s="21"/>
      <c r="I93" s="21"/>
      <c r="J93" s="21"/>
      <c r="K93" s="21"/>
    </row>
    <row r="94" spans="1:63">
      <c r="D94" s="21"/>
      <c r="E94" s="21"/>
      <c r="F94" s="21"/>
      <c r="G94" s="21"/>
      <c r="H94" s="21"/>
      <c r="I94" s="21"/>
      <c r="J94" s="21"/>
      <c r="K94" s="21"/>
    </row>
  </sheetData>
  <mergeCells count="3">
    <mergeCell ref="D1:K1"/>
    <mergeCell ref="N1:AG1"/>
    <mergeCell ref="AL1:BE1"/>
  </mergeCells>
  <pageMargins left="0.45" right="0.2" top="0.75" bottom="0.5" header="0.3" footer="0.3"/>
  <pageSetup scale="3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  <pageSetUpPr fitToPage="1"/>
  </sheetPr>
  <dimension ref="A1:AH143"/>
  <sheetViews>
    <sheetView zoomScaleNormal="100" workbookViewId="0">
      <pane ySplit="3" topLeftCell="A124" activePane="bottomLeft" state="frozen"/>
      <selection pane="bottomLeft" activeCell="J135" sqref="J135"/>
    </sheetView>
  </sheetViews>
  <sheetFormatPr defaultColWidth="9.140625" defaultRowHeight="12.75" outlineLevelRow="1"/>
  <cols>
    <col min="1" max="3" width="9.140625" style="3"/>
    <col min="4" max="4" width="12.85546875" style="3" bestFit="1" customWidth="1"/>
    <col min="5" max="5" width="14" style="3" bestFit="1" customWidth="1"/>
    <col min="6" max="6" width="4.140625" style="3" customWidth="1"/>
    <col min="7" max="7" width="11.42578125" style="3" bestFit="1" customWidth="1"/>
    <col min="8" max="8" width="2.140625" style="3" customWidth="1"/>
    <col min="9" max="9" width="11.7109375" style="92" customWidth="1"/>
    <col min="10" max="10" width="11.5703125" style="3" customWidth="1"/>
    <col min="11" max="11" width="2.85546875" style="3" customWidth="1"/>
    <col min="12" max="12" width="15" style="3" customWidth="1"/>
    <col min="13" max="13" width="3.140625" style="3" customWidth="1"/>
    <col min="14" max="14" width="10.85546875" style="3" customWidth="1"/>
    <col min="15" max="15" width="11.28515625" style="3" customWidth="1"/>
    <col min="16" max="16" width="11.140625" style="3" customWidth="1"/>
    <col min="17" max="17" width="10.5703125" style="3" customWidth="1"/>
    <col min="18" max="18" width="10.42578125" style="3" customWidth="1"/>
    <col min="19" max="19" width="10" style="3" customWidth="1"/>
    <col min="20" max="21" width="11.140625" style="3" customWidth="1"/>
    <col min="22" max="22" width="12.140625" style="3" customWidth="1"/>
    <col min="23" max="25" width="11.42578125" style="3" customWidth="1"/>
    <col min="26" max="26" width="10.28515625" style="3" bestFit="1" customWidth="1"/>
    <col min="27" max="29" width="11.42578125" style="3" customWidth="1"/>
    <col min="30" max="30" width="4.28515625" style="3" customWidth="1"/>
    <col min="31" max="31" width="9.42578125" style="3" bestFit="1" customWidth="1"/>
    <col min="32" max="16384" width="9.140625" style="3"/>
  </cols>
  <sheetData>
    <row r="1" spans="1:34">
      <c r="D1" s="694"/>
      <c r="E1" s="694"/>
      <c r="F1" s="694"/>
      <c r="G1" s="694"/>
      <c r="H1" s="694"/>
      <c r="I1" s="694"/>
      <c r="J1" s="694"/>
      <c r="K1" s="694"/>
      <c r="L1" s="5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</row>
    <row r="2" spans="1:34" ht="38.25">
      <c r="A2" s="325"/>
      <c r="B2" s="325"/>
      <c r="C2" s="7" t="s">
        <v>16</v>
      </c>
      <c r="D2" s="51" t="s">
        <v>97</v>
      </c>
      <c r="E2" s="51" t="s">
        <v>103</v>
      </c>
      <c r="F2" s="51"/>
      <c r="G2" s="51" t="s">
        <v>104</v>
      </c>
      <c r="H2" s="51"/>
      <c r="I2" s="89" t="s">
        <v>99</v>
      </c>
      <c r="J2" s="51" t="s">
        <v>100</v>
      </c>
      <c r="K2" s="52"/>
      <c r="L2" s="52" t="s">
        <v>101</v>
      </c>
      <c r="M2" s="325"/>
      <c r="N2" s="220">
        <v>40969</v>
      </c>
      <c r="O2" s="220">
        <f t="shared" ref="O2:AA2" si="0">+N2+31</f>
        <v>41000</v>
      </c>
      <c r="P2" s="220">
        <f t="shared" si="0"/>
        <v>41031</v>
      </c>
      <c r="Q2" s="220">
        <f t="shared" si="0"/>
        <v>41062</v>
      </c>
      <c r="R2" s="220">
        <f t="shared" si="0"/>
        <v>41093</v>
      </c>
      <c r="S2" s="220">
        <f t="shared" si="0"/>
        <v>41124</v>
      </c>
      <c r="T2" s="220">
        <f t="shared" si="0"/>
        <v>41155</v>
      </c>
      <c r="U2" s="220">
        <f t="shared" si="0"/>
        <v>41186</v>
      </c>
      <c r="V2" s="220">
        <f t="shared" si="0"/>
        <v>41217</v>
      </c>
      <c r="W2" s="220">
        <f t="shared" si="0"/>
        <v>41248</v>
      </c>
      <c r="X2" s="220">
        <f t="shared" si="0"/>
        <v>41279</v>
      </c>
      <c r="Y2" s="220">
        <f t="shared" si="0"/>
        <v>41310</v>
      </c>
      <c r="Z2" s="220">
        <f t="shared" si="0"/>
        <v>41341</v>
      </c>
      <c r="AA2" s="220">
        <f t="shared" si="0"/>
        <v>41372</v>
      </c>
      <c r="AB2" s="220">
        <f>+AA2+31</f>
        <v>41403</v>
      </c>
      <c r="AC2" s="220">
        <f>+AB2+31</f>
        <v>41434</v>
      </c>
      <c r="AD2" s="220"/>
      <c r="AE2" s="325" t="s">
        <v>69</v>
      </c>
      <c r="AF2" s="325"/>
    </row>
    <row r="3" spans="1:34" ht="15.75">
      <c r="A3" s="3" t="s">
        <v>27</v>
      </c>
      <c r="C3" s="7" t="s">
        <v>28</v>
      </c>
      <c r="D3" s="54" t="s">
        <v>67</v>
      </c>
      <c r="E3" s="54"/>
      <c r="F3" s="54"/>
      <c r="G3" s="54"/>
      <c r="H3" s="12"/>
      <c r="I3" s="90" t="s">
        <v>67</v>
      </c>
      <c r="J3" s="54"/>
      <c r="K3" s="12"/>
      <c r="L3" s="9"/>
    </row>
    <row r="4" spans="1:34" s="335" customFormat="1">
      <c r="A4" s="327"/>
      <c r="B4" s="327"/>
      <c r="C4" s="327"/>
      <c r="D4" s="583"/>
      <c r="E4" s="92"/>
      <c r="F4" s="92"/>
      <c r="G4" s="92"/>
      <c r="H4" s="583"/>
      <c r="I4" s="583"/>
      <c r="J4" s="92"/>
      <c r="K4" s="583"/>
      <c r="L4" s="584"/>
    </row>
    <row r="5" spans="1:34" s="335" customFormat="1" outlineLevel="1">
      <c r="A5" s="327" t="s">
        <v>53</v>
      </c>
      <c r="B5" s="327">
        <v>2012</v>
      </c>
      <c r="C5" s="327" t="s">
        <v>47</v>
      </c>
      <c r="D5" s="583">
        <v>0</v>
      </c>
      <c r="E5" s="92">
        <v>0</v>
      </c>
      <c r="F5" s="92"/>
      <c r="G5" s="92">
        <f t="shared" ref="G5:G47" si="1">SUM(E5:F5)</f>
        <v>0</v>
      </c>
      <c r="H5" s="583"/>
      <c r="I5" s="583">
        <v>0</v>
      </c>
      <c r="J5" s="92">
        <f>SUM(I$5:I5)</f>
        <v>0</v>
      </c>
      <c r="K5" s="583"/>
      <c r="L5" s="92">
        <f>+G5-J5</f>
        <v>0</v>
      </c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>
        <f>SUM(N5:W5)</f>
        <v>0</v>
      </c>
    </row>
    <row r="6" spans="1:34" s="335" customFormat="1" outlineLevel="1">
      <c r="A6" s="308" t="s">
        <v>54</v>
      </c>
      <c r="B6" s="327">
        <v>2012</v>
      </c>
      <c r="C6" s="327" t="s">
        <v>47</v>
      </c>
      <c r="D6" s="583">
        <v>0</v>
      </c>
      <c r="E6" s="92">
        <f t="shared" ref="E6:E69" si="2">D6+E5</f>
        <v>0</v>
      </c>
      <c r="F6" s="92"/>
      <c r="G6" s="92">
        <f t="shared" si="1"/>
        <v>0</v>
      </c>
      <c r="H6" s="583"/>
      <c r="I6" s="583">
        <v>0</v>
      </c>
      <c r="J6" s="583">
        <f>I6+J5</f>
        <v>0</v>
      </c>
      <c r="K6" s="583"/>
      <c r="L6" s="92">
        <f t="shared" ref="L6:L69" si="3">+G6-J6</f>
        <v>0</v>
      </c>
      <c r="M6" s="585"/>
      <c r="N6" s="583"/>
      <c r="O6" s="583"/>
      <c r="P6" s="583"/>
      <c r="Q6" s="583"/>
      <c r="R6" s="583"/>
      <c r="S6" s="583"/>
      <c r="T6" s="583"/>
      <c r="U6" s="583"/>
      <c r="V6" s="583"/>
      <c r="W6" s="583"/>
      <c r="X6" s="583"/>
      <c r="Y6" s="583"/>
      <c r="Z6" s="583"/>
      <c r="AA6" s="583"/>
      <c r="AB6" s="583"/>
      <c r="AC6" s="583"/>
      <c r="AD6" s="583"/>
      <c r="AE6" s="92">
        <f>SUM(N6:W6)</f>
        <v>0</v>
      </c>
      <c r="AF6" s="585"/>
    </row>
    <row r="7" spans="1:34" s="335" customFormat="1" outlineLevel="1">
      <c r="A7" s="327" t="s">
        <v>55</v>
      </c>
      <c r="B7" s="327">
        <v>2012</v>
      </c>
      <c r="C7" s="327" t="s">
        <v>47</v>
      </c>
      <c r="D7" s="583">
        <v>2875</v>
      </c>
      <c r="E7" s="92">
        <f t="shared" si="2"/>
        <v>2875</v>
      </c>
      <c r="F7" s="92"/>
      <c r="G7" s="92">
        <f t="shared" si="1"/>
        <v>2875</v>
      </c>
      <c r="H7" s="583"/>
      <c r="I7" s="583">
        <v>0</v>
      </c>
      <c r="J7" s="583">
        <f>I7+J6</f>
        <v>0</v>
      </c>
      <c r="K7" s="583"/>
      <c r="L7" s="92">
        <f t="shared" si="3"/>
        <v>2875</v>
      </c>
      <c r="N7" s="92">
        <f>(G7-G6)/120</f>
        <v>23.958333333333332</v>
      </c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>
        <f t="shared" ref="AE7:AE38" si="4">SUM(N7:AC7)</f>
        <v>23.958333333333332</v>
      </c>
      <c r="AG7" s="92"/>
      <c r="AH7" s="586"/>
    </row>
    <row r="8" spans="1:34" s="335" customFormat="1" outlineLevel="1">
      <c r="A8" s="327" t="s">
        <v>56</v>
      </c>
      <c r="B8" s="327">
        <v>2012</v>
      </c>
      <c r="C8" s="327" t="s">
        <v>47</v>
      </c>
      <c r="D8" s="583">
        <f>8543.5+486252.53</f>
        <v>494796.03</v>
      </c>
      <c r="E8" s="92">
        <f t="shared" si="2"/>
        <v>497671.03</v>
      </c>
      <c r="F8" s="92"/>
      <c r="G8" s="92">
        <f t="shared" si="1"/>
        <v>497671.03</v>
      </c>
      <c r="H8" s="583"/>
      <c r="I8" s="583">
        <v>1940.72</v>
      </c>
      <c r="J8" s="583">
        <f>I8+J7</f>
        <v>1940.72</v>
      </c>
      <c r="K8" s="583"/>
      <c r="L8" s="92">
        <f>+G8-J8</f>
        <v>495730.31000000006</v>
      </c>
      <c r="N8" s="92">
        <f t="shared" ref="N8:P10" si="5">+N7</f>
        <v>23.958333333333332</v>
      </c>
      <c r="O8" s="92">
        <f>(G8-G7)/120</f>
        <v>4123.3002500000002</v>
      </c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>
        <f t="shared" si="4"/>
        <v>4147.2585833333333</v>
      </c>
      <c r="AG8" s="92"/>
      <c r="AH8" s="586"/>
    </row>
    <row r="9" spans="1:34" s="335" customFormat="1" outlineLevel="1">
      <c r="A9" s="327" t="s">
        <v>57</v>
      </c>
      <c r="B9" s="327">
        <v>2012</v>
      </c>
      <c r="C9" s="327" t="s">
        <v>47</v>
      </c>
      <c r="D9" s="583">
        <f>462863.12+5000</f>
        <v>467863.12</v>
      </c>
      <c r="E9" s="92">
        <f>D9+E8</f>
        <v>965534.15</v>
      </c>
      <c r="F9" s="92"/>
      <c r="G9" s="92">
        <f t="shared" si="1"/>
        <v>965534.15</v>
      </c>
      <c r="H9" s="583"/>
      <c r="I9" s="583">
        <v>6468.53</v>
      </c>
      <c r="J9" s="583">
        <f t="shared" ref="J9:J72" si="6">I9+J8</f>
        <v>8409.25</v>
      </c>
      <c r="K9" s="583"/>
      <c r="L9" s="92">
        <f t="shared" si="3"/>
        <v>957124.9</v>
      </c>
      <c r="N9" s="92">
        <f t="shared" si="5"/>
        <v>23.958333333333332</v>
      </c>
      <c r="O9" s="92">
        <f t="shared" si="5"/>
        <v>4123.3002500000002</v>
      </c>
      <c r="P9" s="92">
        <f>(G9-G8)/120</f>
        <v>3898.8593333333333</v>
      </c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>
        <f t="shared" si="4"/>
        <v>8046.1179166666661</v>
      </c>
      <c r="AG9" s="92"/>
      <c r="AH9" s="586"/>
    </row>
    <row r="10" spans="1:34" s="335" customFormat="1" outlineLevel="1">
      <c r="A10" s="327" t="s">
        <v>58</v>
      </c>
      <c r="B10" s="327">
        <v>2012</v>
      </c>
      <c r="C10" s="327" t="s">
        <v>47</v>
      </c>
      <c r="D10" s="583">
        <v>557895.18999999994</v>
      </c>
      <c r="E10" s="92">
        <f t="shared" si="2"/>
        <v>1523429.3399999999</v>
      </c>
      <c r="F10" s="92"/>
      <c r="G10" s="92">
        <f t="shared" si="1"/>
        <v>1523429.3399999999</v>
      </c>
      <c r="H10" s="583"/>
      <c r="I10" s="583">
        <v>10298.33</v>
      </c>
      <c r="J10" s="583">
        <f t="shared" si="6"/>
        <v>18707.580000000002</v>
      </c>
      <c r="K10" s="583"/>
      <c r="L10" s="92">
        <f t="shared" si="3"/>
        <v>1504721.7599999998</v>
      </c>
      <c r="N10" s="92">
        <f t="shared" si="5"/>
        <v>23.958333333333332</v>
      </c>
      <c r="O10" s="92">
        <f t="shared" si="5"/>
        <v>4123.3002500000002</v>
      </c>
      <c r="P10" s="92">
        <f t="shared" si="5"/>
        <v>3898.8593333333333</v>
      </c>
      <c r="Q10" s="92">
        <f>(G10-G9)/120</f>
        <v>4649.1265833333318</v>
      </c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>
        <f t="shared" si="4"/>
        <v>12695.244499999997</v>
      </c>
      <c r="AG10" s="92"/>
      <c r="AH10" s="586"/>
    </row>
    <row r="11" spans="1:34" s="335" customFormat="1" outlineLevel="1">
      <c r="A11" s="327" t="s">
        <v>59</v>
      </c>
      <c r="B11" s="327">
        <v>2012</v>
      </c>
      <c r="C11" s="327" t="s">
        <v>47</v>
      </c>
      <c r="D11" s="583">
        <f>414902+4585.4</f>
        <v>419487.4</v>
      </c>
      <c r="E11" s="92">
        <f t="shared" si="2"/>
        <v>1942916.7399999998</v>
      </c>
      <c r="F11" s="92"/>
      <c r="G11" s="92">
        <f t="shared" si="1"/>
        <v>1942916.7399999998</v>
      </c>
      <c r="H11" s="583"/>
      <c r="I11" s="583">
        <v>14312.8</v>
      </c>
      <c r="J11" s="583">
        <f>I11+J10</f>
        <v>33020.380000000005</v>
      </c>
      <c r="K11" s="583"/>
      <c r="L11" s="92">
        <f t="shared" si="3"/>
        <v>1909896.3599999999</v>
      </c>
      <c r="N11" s="92">
        <f t="shared" ref="N11:Q24" si="7">+N10</f>
        <v>23.958333333333332</v>
      </c>
      <c r="O11" s="92">
        <f t="shared" si="7"/>
        <v>4123.3002500000002</v>
      </c>
      <c r="P11" s="92">
        <f t="shared" si="7"/>
        <v>3898.8593333333333</v>
      </c>
      <c r="Q11" s="92">
        <f t="shared" si="7"/>
        <v>4649.1265833333318</v>
      </c>
      <c r="R11" s="92">
        <f>(G11-G10)/120</f>
        <v>3495.7283333333326</v>
      </c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>
        <f t="shared" si="4"/>
        <v>16190.97283333333</v>
      </c>
      <c r="AG11" s="92"/>
      <c r="AH11" s="586"/>
    </row>
    <row r="12" spans="1:34" s="335" customFormat="1" outlineLevel="1">
      <c r="A12" s="327" t="s">
        <v>46</v>
      </c>
      <c r="B12" s="327">
        <v>2012</v>
      </c>
      <c r="C12" s="327" t="s">
        <v>47</v>
      </c>
      <c r="D12" s="583">
        <f>527848.75+7925</f>
        <v>535773.75</v>
      </c>
      <c r="E12" s="92">
        <f t="shared" si="2"/>
        <v>2478690.4899999998</v>
      </c>
      <c r="F12" s="92"/>
      <c r="G12" s="92">
        <f t="shared" si="1"/>
        <v>2478690.4899999998</v>
      </c>
      <c r="H12" s="583"/>
      <c r="I12" s="583">
        <v>23072.26</v>
      </c>
      <c r="J12" s="583">
        <f t="shared" si="6"/>
        <v>56092.639999999999</v>
      </c>
      <c r="K12" s="583"/>
      <c r="L12" s="92">
        <f t="shared" si="3"/>
        <v>2422597.8499999996</v>
      </c>
      <c r="N12" s="92">
        <f t="shared" si="7"/>
        <v>23.958333333333332</v>
      </c>
      <c r="O12" s="92">
        <f t="shared" si="7"/>
        <v>4123.3002500000002</v>
      </c>
      <c r="P12" s="92">
        <f t="shared" si="7"/>
        <v>3898.8593333333333</v>
      </c>
      <c r="Q12" s="92">
        <f t="shared" si="7"/>
        <v>4649.1265833333318</v>
      </c>
      <c r="R12" s="92">
        <f t="shared" ref="R12:W27" si="8">+R11</f>
        <v>3495.7283333333326</v>
      </c>
      <c r="S12" s="92">
        <f>(G12-G11)/120</f>
        <v>4464.78125</v>
      </c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>
        <f t="shared" si="4"/>
        <v>20655.75408333333</v>
      </c>
      <c r="AG12" s="92"/>
      <c r="AH12" s="586"/>
    </row>
    <row r="13" spans="1:34" s="335" customFormat="1" outlineLevel="1">
      <c r="A13" s="327" t="s">
        <v>48</v>
      </c>
      <c r="B13" s="327">
        <v>2012</v>
      </c>
      <c r="C13" s="327" t="s">
        <v>47</v>
      </c>
      <c r="D13" s="583">
        <v>539619</v>
      </c>
      <c r="E13" s="92">
        <f t="shared" si="2"/>
        <v>3018309.4899999998</v>
      </c>
      <c r="F13" s="92"/>
      <c r="G13" s="92">
        <f t="shared" si="1"/>
        <v>3018309.4899999998</v>
      </c>
      <c r="H13" s="583"/>
      <c r="I13" s="587">
        <f>18198.68+305.02</f>
        <v>18503.7</v>
      </c>
      <c r="J13" s="583">
        <f t="shared" si="6"/>
        <v>74596.34</v>
      </c>
      <c r="K13" s="583"/>
      <c r="L13" s="92">
        <f t="shared" si="3"/>
        <v>2943713.15</v>
      </c>
      <c r="N13" s="92">
        <f t="shared" si="7"/>
        <v>23.958333333333332</v>
      </c>
      <c r="O13" s="92">
        <f t="shared" si="7"/>
        <v>4123.3002500000002</v>
      </c>
      <c r="P13" s="92">
        <f t="shared" si="7"/>
        <v>3898.8593333333333</v>
      </c>
      <c r="Q13" s="92">
        <f t="shared" si="7"/>
        <v>4649.1265833333318</v>
      </c>
      <c r="R13" s="92">
        <f t="shared" si="8"/>
        <v>3495.7283333333326</v>
      </c>
      <c r="S13" s="92">
        <f t="shared" si="8"/>
        <v>4464.78125</v>
      </c>
      <c r="T13" s="92">
        <f>(G13-G12)/120</f>
        <v>4496.8249999999998</v>
      </c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>
        <f t="shared" si="4"/>
        <v>25152.57908333333</v>
      </c>
      <c r="AG13" s="92"/>
      <c r="AH13" s="586"/>
    </row>
    <row r="14" spans="1:34" s="335" customFormat="1" outlineLevel="1">
      <c r="A14" s="327" t="s">
        <v>50</v>
      </c>
      <c r="B14" s="327">
        <v>2012</v>
      </c>
      <c r="C14" s="327" t="s">
        <v>47</v>
      </c>
      <c r="D14" s="583">
        <v>672934.72</v>
      </c>
      <c r="E14" s="92">
        <f>D14+E13</f>
        <v>3691244.21</v>
      </c>
      <c r="F14" s="92"/>
      <c r="G14" s="92">
        <f t="shared" si="1"/>
        <v>3691244.21</v>
      </c>
      <c r="H14" s="583"/>
      <c r="I14" s="587">
        <f>28362.67+1409.26</f>
        <v>29771.929999999997</v>
      </c>
      <c r="J14" s="583">
        <f t="shared" si="6"/>
        <v>104368.26999999999</v>
      </c>
      <c r="K14" s="583"/>
      <c r="L14" s="92">
        <f t="shared" si="3"/>
        <v>3586875.94</v>
      </c>
      <c r="N14" s="92">
        <f t="shared" si="7"/>
        <v>23.958333333333332</v>
      </c>
      <c r="O14" s="92">
        <f t="shared" si="7"/>
        <v>4123.3002500000002</v>
      </c>
      <c r="P14" s="92">
        <f t="shared" si="7"/>
        <v>3898.8593333333333</v>
      </c>
      <c r="Q14" s="92">
        <f t="shared" si="7"/>
        <v>4649.1265833333318</v>
      </c>
      <c r="R14" s="92">
        <f t="shared" si="8"/>
        <v>3495.7283333333326</v>
      </c>
      <c r="S14" s="92">
        <f t="shared" si="8"/>
        <v>4464.78125</v>
      </c>
      <c r="T14" s="92">
        <f t="shared" si="8"/>
        <v>4496.8249999999998</v>
      </c>
      <c r="U14" s="92">
        <f>(G14-G13)/120</f>
        <v>5607.789333333335</v>
      </c>
      <c r="V14" s="92"/>
      <c r="W14" s="92"/>
      <c r="X14" s="92"/>
      <c r="Y14" s="92"/>
      <c r="Z14" s="92"/>
      <c r="AA14" s="92"/>
      <c r="AB14" s="92"/>
      <c r="AC14" s="92"/>
      <c r="AD14" s="92"/>
      <c r="AE14" s="92">
        <f t="shared" si="4"/>
        <v>30760.368416666664</v>
      </c>
      <c r="AG14" s="92"/>
      <c r="AH14" s="586"/>
    </row>
    <row r="15" spans="1:34" s="335" customFormat="1" outlineLevel="1">
      <c r="A15" s="327" t="s">
        <v>51</v>
      </c>
      <c r="B15" s="327">
        <v>2012</v>
      </c>
      <c r="C15" s="327" t="s">
        <v>47</v>
      </c>
      <c r="D15" s="583">
        <f>534144.74+4452.99</f>
        <v>538597.73</v>
      </c>
      <c r="E15" s="92">
        <f t="shared" si="2"/>
        <v>4229841.9399999995</v>
      </c>
      <c r="F15" s="92"/>
      <c r="G15" s="92">
        <f t="shared" si="1"/>
        <v>4229841.9399999995</v>
      </c>
      <c r="H15" s="583"/>
      <c r="I15" s="587">
        <f>27478.76+2555.21</f>
        <v>30033.969999999998</v>
      </c>
      <c r="J15" s="583">
        <f t="shared" si="6"/>
        <v>134402.23999999999</v>
      </c>
      <c r="K15" s="583"/>
      <c r="L15" s="92">
        <f t="shared" si="3"/>
        <v>4095439.6999999993</v>
      </c>
      <c r="N15" s="92">
        <f t="shared" si="7"/>
        <v>23.958333333333332</v>
      </c>
      <c r="O15" s="92">
        <f t="shared" si="7"/>
        <v>4123.3002500000002</v>
      </c>
      <c r="P15" s="92">
        <f t="shared" si="7"/>
        <v>3898.8593333333333</v>
      </c>
      <c r="Q15" s="92">
        <f t="shared" si="7"/>
        <v>4649.1265833333318</v>
      </c>
      <c r="R15" s="92">
        <f t="shared" si="8"/>
        <v>3495.7283333333326</v>
      </c>
      <c r="S15" s="92">
        <f t="shared" si="8"/>
        <v>4464.78125</v>
      </c>
      <c r="T15" s="92">
        <f t="shared" si="8"/>
        <v>4496.8249999999998</v>
      </c>
      <c r="U15" s="92">
        <f t="shared" si="8"/>
        <v>5607.789333333335</v>
      </c>
      <c r="V15" s="92">
        <f>(G15-G14)/120</f>
        <v>4488.3144166666625</v>
      </c>
      <c r="W15" s="92"/>
      <c r="X15" s="92"/>
      <c r="Y15" s="92"/>
      <c r="Z15" s="92"/>
      <c r="AA15" s="92"/>
      <c r="AB15" s="92"/>
      <c r="AC15" s="92"/>
      <c r="AD15" s="92"/>
      <c r="AE15" s="92">
        <f t="shared" si="4"/>
        <v>35248.682833333325</v>
      </c>
      <c r="AF15" s="585"/>
      <c r="AG15" s="583"/>
      <c r="AH15" s="519"/>
    </row>
    <row r="16" spans="1:34" s="335" customFormat="1" outlineLevel="1">
      <c r="A16" s="332" t="s">
        <v>52</v>
      </c>
      <c r="B16" s="332">
        <v>2012</v>
      </c>
      <c r="C16" s="332" t="s">
        <v>47</v>
      </c>
      <c r="D16" s="588">
        <v>557867</v>
      </c>
      <c r="E16" s="588">
        <f t="shared" si="2"/>
        <v>4787708.9399999995</v>
      </c>
      <c r="F16" s="588"/>
      <c r="G16" s="588">
        <f t="shared" si="1"/>
        <v>4787708.9399999995</v>
      </c>
      <c r="H16" s="588"/>
      <c r="I16" s="589">
        <f>32293.48+3556.07</f>
        <v>35849.550000000003</v>
      </c>
      <c r="J16" s="588">
        <f t="shared" si="6"/>
        <v>170251.78999999998</v>
      </c>
      <c r="K16" s="588"/>
      <c r="L16" s="588">
        <f t="shared" si="3"/>
        <v>4617457.1499999994</v>
      </c>
      <c r="M16" s="333"/>
      <c r="N16" s="588">
        <f t="shared" si="7"/>
        <v>23.958333333333332</v>
      </c>
      <c r="O16" s="588">
        <f t="shared" si="7"/>
        <v>4123.3002500000002</v>
      </c>
      <c r="P16" s="588">
        <f t="shared" si="7"/>
        <v>3898.8593333333333</v>
      </c>
      <c r="Q16" s="588">
        <f t="shared" si="7"/>
        <v>4649.1265833333318</v>
      </c>
      <c r="R16" s="588">
        <f t="shared" si="8"/>
        <v>3495.7283333333326</v>
      </c>
      <c r="S16" s="588">
        <f t="shared" si="8"/>
        <v>4464.78125</v>
      </c>
      <c r="T16" s="588">
        <f t="shared" si="8"/>
        <v>4496.8249999999998</v>
      </c>
      <c r="U16" s="588">
        <f t="shared" si="8"/>
        <v>5607.789333333335</v>
      </c>
      <c r="V16" s="588">
        <f t="shared" si="8"/>
        <v>4488.3144166666625</v>
      </c>
      <c r="W16" s="588">
        <f>(G16-G15)/120</f>
        <v>4648.8916666666664</v>
      </c>
      <c r="X16" s="588"/>
      <c r="Y16" s="588"/>
      <c r="Z16" s="588"/>
      <c r="AA16" s="588"/>
      <c r="AB16" s="588"/>
      <c r="AC16" s="588"/>
      <c r="AD16" s="588"/>
      <c r="AE16" s="588">
        <f t="shared" si="4"/>
        <v>39897.574499999988</v>
      </c>
      <c r="AF16" s="585"/>
      <c r="AG16" s="583"/>
      <c r="AH16" s="519"/>
    </row>
    <row r="17" spans="1:34" s="335" customFormat="1" outlineLevel="1">
      <c r="A17" s="327" t="s">
        <v>53</v>
      </c>
      <c r="B17" s="327">
        <f t="shared" ref="B17:B69" si="9">+B5+1</f>
        <v>2013</v>
      </c>
      <c r="C17" s="327" t="s">
        <v>47</v>
      </c>
      <c r="D17" s="583">
        <f>680007.28+7736</f>
        <v>687743.28</v>
      </c>
      <c r="E17" s="92">
        <f t="shared" si="2"/>
        <v>5475452.2199999997</v>
      </c>
      <c r="F17" s="92"/>
      <c r="G17" s="92">
        <f t="shared" si="1"/>
        <v>5475452.2199999997</v>
      </c>
      <c r="H17" s="583"/>
      <c r="I17" s="587">
        <f>38227.1+8056.49</f>
        <v>46283.59</v>
      </c>
      <c r="J17" s="583">
        <f t="shared" si="6"/>
        <v>216535.37999999998</v>
      </c>
      <c r="K17" s="583"/>
      <c r="L17" s="92">
        <f t="shared" si="3"/>
        <v>5258916.84</v>
      </c>
      <c r="N17" s="92">
        <f t="shared" si="7"/>
        <v>23.958333333333332</v>
      </c>
      <c r="O17" s="92">
        <f t="shared" si="7"/>
        <v>4123.3002500000002</v>
      </c>
      <c r="P17" s="92">
        <f t="shared" si="7"/>
        <v>3898.8593333333333</v>
      </c>
      <c r="Q17" s="92">
        <f t="shared" si="7"/>
        <v>4649.1265833333318</v>
      </c>
      <c r="R17" s="92">
        <f t="shared" si="8"/>
        <v>3495.7283333333326</v>
      </c>
      <c r="S17" s="92">
        <f t="shared" si="8"/>
        <v>4464.78125</v>
      </c>
      <c r="T17" s="92">
        <f t="shared" si="8"/>
        <v>4496.8249999999998</v>
      </c>
      <c r="U17" s="92">
        <f t="shared" si="8"/>
        <v>5607.789333333335</v>
      </c>
      <c r="V17" s="92">
        <f t="shared" si="8"/>
        <v>4488.3144166666625</v>
      </c>
      <c r="W17" s="92">
        <f t="shared" si="8"/>
        <v>4648.8916666666664</v>
      </c>
      <c r="X17" s="583">
        <f>(G17-G16)/120</f>
        <v>5731.1940000000022</v>
      </c>
      <c r="Y17" s="92"/>
      <c r="Z17" s="92"/>
      <c r="AA17" s="92"/>
      <c r="AB17" s="92"/>
      <c r="AC17" s="92"/>
      <c r="AD17" s="92"/>
      <c r="AE17" s="92">
        <f t="shared" si="4"/>
        <v>45628.768499999991</v>
      </c>
      <c r="AF17" s="585"/>
      <c r="AG17" s="583"/>
      <c r="AH17" s="519"/>
    </row>
    <row r="18" spans="1:34" s="335" customFormat="1" outlineLevel="1">
      <c r="A18" s="308" t="s">
        <v>54</v>
      </c>
      <c r="B18" s="308">
        <f t="shared" si="9"/>
        <v>2013</v>
      </c>
      <c r="C18" s="327" t="s">
        <v>47</v>
      </c>
      <c r="D18" s="583">
        <f>885263.4+7930</f>
        <v>893193.4</v>
      </c>
      <c r="E18" s="92">
        <f>D18+E17</f>
        <v>6368645.6200000001</v>
      </c>
      <c r="F18" s="583"/>
      <c r="G18" s="92">
        <f t="shared" si="1"/>
        <v>6368645.6200000001</v>
      </c>
      <c r="H18" s="583"/>
      <c r="I18" s="587">
        <f>34738+9146.29</f>
        <v>43884.29</v>
      </c>
      <c r="J18" s="583">
        <f>I18+J17</f>
        <v>260419.66999999998</v>
      </c>
      <c r="K18" s="583"/>
      <c r="L18" s="92">
        <f>+G18-J18</f>
        <v>6108225.9500000002</v>
      </c>
      <c r="M18" s="585"/>
      <c r="N18" s="583">
        <f t="shared" si="7"/>
        <v>23.958333333333332</v>
      </c>
      <c r="O18" s="583">
        <f t="shared" si="7"/>
        <v>4123.3002500000002</v>
      </c>
      <c r="P18" s="583">
        <f t="shared" si="7"/>
        <v>3898.8593333333333</v>
      </c>
      <c r="Q18" s="583">
        <f t="shared" si="7"/>
        <v>4649.1265833333318</v>
      </c>
      <c r="R18" s="583">
        <f t="shared" si="8"/>
        <v>3495.7283333333326</v>
      </c>
      <c r="S18" s="583">
        <f t="shared" si="8"/>
        <v>4464.78125</v>
      </c>
      <c r="T18" s="583">
        <f t="shared" si="8"/>
        <v>4496.8249999999998</v>
      </c>
      <c r="U18" s="583">
        <f t="shared" si="8"/>
        <v>5607.789333333335</v>
      </c>
      <c r="V18" s="583">
        <f t="shared" si="8"/>
        <v>4488.3144166666625</v>
      </c>
      <c r="W18" s="583">
        <f t="shared" si="8"/>
        <v>4648.8916666666664</v>
      </c>
      <c r="X18" s="583">
        <f>X17</f>
        <v>5731.1940000000022</v>
      </c>
      <c r="Y18" s="583">
        <f>(G18-G17)/120</f>
        <v>7443.2783333333364</v>
      </c>
      <c r="Z18" s="583"/>
      <c r="AA18" s="583"/>
      <c r="AB18" s="583"/>
      <c r="AC18" s="583"/>
      <c r="AD18" s="583"/>
      <c r="AE18" s="92">
        <f t="shared" si="4"/>
        <v>53072.046833333327</v>
      </c>
      <c r="AF18" s="585"/>
      <c r="AG18" s="583"/>
      <c r="AH18" s="519"/>
    </row>
    <row r="19" spans="1:34" s="335" customFormat="1" outlineLevel="1">
      <c r="A19" s="327" t="s">
        <v>55</v>
      </c>
      <c r="B19" s="327">
        <f t="shared" si="9"/>
        <v>2013</v>
      </c>
      <c r="C19" s="327" t="s">
        <v>47</v>
      </c>
      <c r="D19" s="583">
        <f>1110338.85+27214.66</f>
        <v>1137553.51</v>
      </c>
      <c r="E19" s="92">
        <f t="shared" si="2"/>
        <v>7506199.1299999999</v>
      </c>
      <c r="F19" s="92"/>
      <c r="G19" s="92">
        <f t="shared" si="1"/>
        <v>7506199.1299999999</v>
      </c>
      <c r="H19" s="583"/>
      <c r="I19" s="587">
        <f>41835.63+19647.32</f>
        <v>61482.95</v>
      </c>
      <c r="J19" s="583">
        <f t="shared" si="6"/>
        <v>321902.62</v>
      </c>
      <c r="K19" s="583"/>
      <c r="L19" s="92">
        <f t="shared" si="3"/>
        <v>7184296.5099999998</v>
      </c>
      <c r="N19" s="92">
        <f t="shared" si="7"/>
        <v>23.958333333333332</v>
      </c>
      <c r="O19" s="92">
        <f t="shared" si="7"/>
        <v>4123.3002500000002</v>
      </c>
      <c r="P19" s="92">
        <f t="shared" si="7"/>
        <v>3898.8593333333333</v>
      </c>
      <c r="Q19" s="92">
        <f t="shared" si="7"/>
        <v>4649.1265833333318</v>
      </c>
      <c r="R19" s="92">
        <f t="shared" si="8"/>
        <v>3495.7283333333326</v>
      </c>
      <c r="S19" s="92">
        <f t="shared" si="8"/>
        <v>4464.78125</v>
      </c>
      <c r="T19" s="92">
        <f t="shared" si="8"/>
        <v>4496.8249999999998</v>
      </c>
      <c r="U19" s="92">
        <f t="shared" si="8"/>
        <v>5607.789333333335</v>
      </c>
      <c r="V19" s="92">
        <f t="shared" si="8"/>
        <v>4488.3144166666625</v>
      </c>
      <c r="W19" s="92">
        <f t="shared" si="8"/>
        <v>4648.8916666666664</v>
      </c>
      <c r="X19" s="583">
        <f t="shared" ref="X19:AC34" si="10">X18</f>
        <v>5731.1940000000022</v>
      </c>
      <c r="Y19" s="583">
        <f>Y18</f>
        <v>7443.2783333333364</v>
      </c>
      <c r="Z19" s="583">
        <f>(G19-G18)/120</f>
        <v>9479.6125833333317</v>
      </c>
      <c r="AA19" s="92"/>
      <c r="AB19" s="92"/>
      <c r="AC19" s="92"/>
      <c r="AD19" s="92"/>
      <c r="AE19" s="92">
        <f t="shared" si="4"/>
        <v>62551.659416666662</v>
      </c>
      <c r="AF19" s="585"/>
      <c r="AG19" s="583"/>
      <c r="AH19" s="519"/>
    </row>
    <row r="20" spans="1:34" s="335" customFormat="1" outlineLevel="1">
      <c r="A20" s="327" t="s">
        <v>56</v>
      </c>
      <c r="B20" s="327">
        <f t="shared" si="9"/>
        <v>2013</v>
      </c>
      <c r="C20" s="327" t="s">
        <v>47</v>
      </c>
      <c r="D20" s="583">
        <f>1218412.17+17384</f>
        <v>1235796.17</v>
      </c>
      <c r="E20" s="92">
        <f>D20+E19</f>
        <v>8741995.3000000007</v>
      </c>
      <c r="F20" s="92"/>
      <c r="G20" s="92">
        <f t="shared" si="1"/>
        <v>8741995.3000000007</v>
      </c>
      <c r="H20" s="583"/>
      <c r="I20" s="587">
        <f>61728.66+21646.41</f>
        <v>83375.070000000007</v>
      </c>
      <c r="J20" s="583">
        <f t="shared" si="6"/>
        <v>405277.69</v>
      </c>
      <c r="K20" s="583"/>
      <c r="L20" s="92">
        <f>+G20-J20</f>
        <v>8336717.6100000003</v>
      </c>
      <c r="N20" s="92">
        <f t="shared" si="7"/>
        <v>23.958333333333332</v>
      </c>
      <c r="O20" s="92">
        <f t="shared" si="7"/>
        <v>4123.3002500000002</v>
      </c>
      <c r="P20" s="92">
        <f t="shared" si="7"/>
        <v>3898.8593333333333</v>
      </c>
      <c r="Q20" s="92">
        <f t="shared" si="7"/>
        <v>4649.1265833333318</v>
      </c>
      <c r="R20" s="92">
        <f t="shared" si="8"/>
        <v>3495.7283333333326</v>
      </c>
      <c r="S20" s="92">
        <f t="shared" si="8"/>
        <v>4464.78125</v>
      </c>
      <c r="T20" s="92">
        <f t="shared" si="8"/>
        <v>4496.8249999999998</v>
      </c>
      <c r="U20" s="92">
        <f t="shared" si="8"/>
        <v>5607.789333333335</v>
      </c>
      <c r="V20" s="92">
        <f t="shared" si="8"/>
        <v>4488.3144166666625</v>
      </c>
      <c r="W20" s="92">
        <f t="shared" si="8"/>
        <v>4648.8916666666664</v>
      </c>
      <c r="X20" s="583">
        <f t="shared" si="10"/>
        <v>5731.1940000000022</v>
      </c>
      <c r="Y20" s="583">
        <f t="shared" si="10"/>
        <v>7443.2783333333364</v>
      </c>
      <c r="Z20" s="583">
        <f>Z19</f>
        <v>9479.6125833333317</v>
      </c>
      <c r="AA20" s="583">
        <f>(G20-G19)/120</f>
        <v>10298.301416666674</v>
      </c>
      <c r="AB20" s="583"/>
      <c r="AC20" s="583"/>
      <c r="AD20" s="583"/>
      <c r="AE20" s="92">
        <f t="shared" si="4"/>
        <v>72849.960833333331</v>
      </c>
      <c r="AF20" s="585"/>
      <c r="AG20" s="583"/>
      <c r="AH20" s="519"/>
    </row>
    <row r="21" spans="1:34" s="335" customFormat="1" outlineLevel="1">
      <c r="A21" s="327" t="s">
        <v>57</v>
      </c>
      <c r="B21" s="327">
        <f t="shared" si="9"/>
        <v>2013</v>
      </c>
      <c r="C21" s="327" t="s">
        <v>47</v>
      </c>
      <c r="D21" s="583">
        <f>1206262.1+6696.55</f>
        <v>1212958.6500000001</v>
      </c>
      <c r="E21" s="92">
        <f>D21+E20</f>
        <v>9954953.9500000011</v>
      </c>
      <c r="F21" s="92"/>
      <c r="G21" s="92">
        <f t="shared" si="1"/>
        <v>9954953.9500000011</v>
      </c>
      <c r="H21" s="583"/>
      <c r="I21" s="587">
        <f>60587.12+13025.7</f>
        <v>73612.820000000007</v>
      </c>
      <c r="J21" s="583">
        <f>I21+J20</f>
        <v>478890.51</v>
      </c>
      <c r="K21" s="583"/>
      <c r="L21" s="92">
        <f t="shared" si="3"/>
        <v>9476063.4400000013</v>
      </c>
      <c r="N21" s="92">
        <f t="shared" si="7"/>
        <v>23.958333333333332</v>
      </c>
      <c r="O21" s="92">
        <f t="shared" si="7"/>
        <v>4123.3002500000002</v>
      </c>
      <c r="P21" s="92">
        <f t="shared" si="7"/>
        <v>3898.8593333333333</v>
      </c>
      <c r="Q21" s="92">
        <f t="shared" si="7"/>
        <v>4649.1265833333318</v>
      </c>
      <c r="R21" s="92">
        <f t="shared" si="8"/>
        <v>3495.7283333333326</v>
      </c>
      <c r="S21" s="92">
        <f t="shared" si="8"/>
        <v>4464.78125</v>
      </c>
      <c r="T21" s="92">
        <f t="shared" si="8"/>
        <v>4496.8249999999998</v>
      </c>
      <c r="U21" s="92">
        <f t="shared" si="8"/>
        <v>5607.789333333335</v>
      </c>
      <c r="V21" s="92">
        <f t="shared" si="8"/>
        <v>4488.3144166666625</v>
      </c>
      <c r="W21" s="92">
        <f t="shared" si="8"/>
        <v>4648.8916666666664</v>
      </c>
      <c r="X21" s="583">
        <f t="shared" si="10"/>
        <v>5731.1940000000022</v>
      </c>
      <c r="Y21" s="583">
        <f t="shared" si="10"/>
        <v>7443.2783333333364</v>
      </c>
      <c r="Z21" s="583">
        <f t="shared" si="10"/>
        <v>9479.6125833333317</v>
      </c>
      <c r="AA21" s="583">
        <f>AA20</f>
        <v>10298.301416666674</v>
      </c>
      <c r="AB21" s="583">
        <f>(G21-G20)/120</f>
        <v>10107.988750000002</v>
      </c>
      <c r="AC21" s="583"/>
      <c r="AD21" s="583"/>
      <c r="AE21" s="92">
        <f t="shared" si="4"/>
        <v>82957.949583333335</v>
      </c>
      <c r="AF21" s="585"/>
      <c r="AG21" s="583"/>
      <c r="AH21" s="519"/>
    </row>
    <row r="22" spans="1:34" s="335" customFormat="1" outlineLevel="1">
      <c r="A22" s="327" t="s">
        <v>58</v>
      </c>
      <c r="B22" s="327">
        <f t="shared" si="9"/>
        <v>2013</v>
      </c>
      <c r="C22" s="327" t="s">
        <v>47</v>
      </c>
      <c r="D22" s="583">
        <v>866950.14</v>
      </c>
      <c r="E22" s="92">
        <f t="shared" si="2"/>
        <v>10821904.090000002</v>
      </c>
      <c r="F22" s="92"/>
      <c r="G22" s="92">
        <f t="shared" si="1"/>
        <v>10821904.090000002</v>
      </c>
      <c r="H22" s="583"/>
      <c r="I22" s="587">
        <f>70191.9+22606.85</f>
        <v>92798.75</v>
      </c>
      <c r="J22" s="583">
        <f>I22+J21</f>
        <v>571689.26</v>
      </c>
      <c r="K22" s="583"/>
      <c r="L22" s="92">
        <f>+G22-J22</f>
        <v>10250214.830000002</v>
      </c>
      <c r="N22" s="92">
        <f t="shared" si="7"/>
        <v>23.958333333333332</v>
      </c>
      <c r="O22" s="92">
        <f t="shared" si="7"/>
        <v>4123.3002500000002</v>
      </c>
      <c r="P22" s="92">
        <f t="shared" si="7"/>
        <v>3898.8593333333333</v>
      </c>
      <c r="Q22" s="92">
        <f t="shared" si="7"/>
        <v>4649.1265833333318</v>
      </c>
      <c r="R22" s="92">
        <f t="shared" si="8"/>
        <v>3495.7283333333326</v>
      </c>
      <c r="S22" s="92">
        <f t="shared" si="8"/>
        <v>4464.78125</v>
      </c>
      <c r="T22" s="92">
        <f t="shared" si="8"/>
        <v>4496.8249999999998</v>
      </c>
      <c r="U22" s="92">
        <f t="shared" si="8"/>
        <v>5607.789333333335</v>
      </c>
      <c r="V22" s="92">
        <f t="shared" si="8"/>
        <v>4488.3144166666625</v>
      </c>
      <c r="W22" s="92">
        <f t="shared" si="8"/>
        <v>4648.8916666666664</v>
      </c>
      <c r="X22" s="583">
        <f t="shared" si="10"/>
        <v>5731.1940000000022</v>
      </c>
      <c r="Y22" s="583">
        <f t="shared" si="10"/>
        <v>7443.2783333333364</v>
      </c>
      <c r="Z22" s="583">
        <f t="shared" si="10"/>
        <v>9479.6125833333317</v>
      </c>
      <c r="AA22" s="583">
        <f t="shared" si="10"/>
        <v>10298.301416666674</v>
      </c>
      <c r="AB22" s="583">
        <f>AB21</f>
        <v>10107.988750000002</v>
      </c>
      <c r="AC22" s="583">
        <f>(G22-G21)/120</f>
        <v>7224.5845000000054</v>
      </c>
      <c r="AD22" s="583"/>
      <c r="AE22" s="92">
        <f t="shared" si="4"/>
        <v>90182.534083333347</v>
      </c>
      <c r="AF22" s="585"/>
      <c r="AG22" s="583"/>
      <c r="AH22" s="519"/>
    </row>
    <row r="23" spans="1:34" s="335" customFormat="1" outlineLevel="1">
      <c r="A23" s="327" t="s">
        <v>59</v>
      </c>
      <c r="B23" s="327">
        <f t="shared" si="9"/>
        <v>2013</v>
      </c>
      <c r="C23" s="327" t="s">
        <v>47</v>
      </c>
      <c r="D23" s="583"/>
      <c r="E23" s="92">
        <f t="shared" si="2"/>
        <v>10821904.090000002</v>
      </c>
      <c r="F23" s="92"/>
      <c r="G23" s="92">
        <f t="shared" si="1"/>
        <v>10821904.090000002</v>
      </c>
      <c r="H23" s="583"/>
      <c r="I23" s="587">
        <f>82004.27+17178.65</f>
        <v>99182.920000000013</v>
      </c>
      <c r="J23" s="583">
        <f t="shared" si="6"/>
        <v>670872.18000000005</v>
      </c>
      <c r="K23" s="583"/>
      <c r="L23" s="92">
        <f>+G23-J23</f>
        <v>10151031.910000002</v>
      </c>
      <c r="N23" s="92">
        <f t="shared" si="7"/>
        <v>23.958333333333332</v>
      </c>
      <c r="O23" s="92">
        <f t="shared" si="7"/>
        <v>4123.3002500000002</v>
      </c>
      <c r="P23" s="92">
        <f t="shared" si="7"/>
        <v>3898.8593333333333</v>
      </c>
      <c r="Q23" s="92">
        <f t="shared" si="7"/>
        <v>4649.1265833333318</v>
      </c>
      <c r="R23" s="92">
        <f t="shared" si="8"/>
        <v>3495.7283333333326</v>
      </c>
      <c r="S23" s="92">
        <f t="shared" si="8"/>
        <v>4464.78125</v>
      </c>
      <c r="T23" s="92">
        <f t="shared" si="8"/>
        <v>4496.8249999999998</v>
      </c>
      <c r="U23" s="92">
        <f t="shared" si="8"/>
        <v>5607.789333333335</v>
      </c>
      <c r="V23" s="92">
        <f t="shared" si="8"/>
        <v>4488.3144166666625</v>
      </c>
      <c r="W23" s="92">
        <f t="shared" si="8"/>
        <v>4648.8916666666664</v>
      </c>
      <c r="X23" s="583">
        <f t="shared" si="10"/>
        <v>5731.1940000000022</v>
      </c>
      <c r="Y23" s="583">
        <f t="shared" si="10"/>
        <v>7443.2783333333364</v>
      </c>
      <c r="Z23" s="583">
        <f t="shared" si="10"/>
        <v>9479.6125833333317</v>
      </c>
      <c r="AA23" s="583">
        <f t="shared" si="10"/>
        <v>10298.301416666674</v>
      </c>
      <c r="AB23" s="583">
        <f t="shared" si="10"/>
        <v>10107.988750000002</v>
      </c>
      <c r="AC23" s="583">
        <f>AC22</f>
        <v>7224.5845000000054</v>
      </c>
      <c r="AD23" s="583"/>
      <c r="AE23" s="92">
        <f t="shared" si="4"/>
        <v>90182.534083333347</v>
      </c>
      <c r="AF23" s="585"/>
      <c r="AG23" s="583"/>
      <c r="AH23" s="519"/>
    </row>
    <row r="24" spans="1:34" s="335" customFormat="1" outlineLevel="1">
      <c r="A24" s="327" t="s">
        <v>46</v>
      </c>
      <c r="B24" s="327">
        <f t="shared" si="9"/>
        <v>2013</v>
      </c>
      <c r="C24" s="327" t="s">
        <v>47</v>
      </c>
      <c r="D24" s="583"/>
      <c r="E24" s="92">
        <f t="shared" si="2"/>
        <v>10821904.090000002</v>
      </c>
      <c r="F24" s="92"/>
      <c r="G24" s="92">
        <f t="shared" si="1"/>
        <v>10821904.090000002</v>
      </c>
      <c r="H24" s="583"/>
      <c r="I24" s="587">
        <f>87727.63+22511.15</f>
        <v>110238.78</v>
      </c>
      <c r="J24" s="583">
        <f t="shared" si="6"/>
        <v>781110.96000000008</v>
      </c>
      <c r="K24" s="583"/>
      <c r="L24" s="92">
        <f t="shared" si="3"/>
        <v>10040793.130000001</v>
      </c>
      <c r="N24" s="92">
        <f t="shared" si="7"/>
        <v>23.958333333333332</v>
      </c>
      <c r="O24" s="92">
        <f t="shared" si="7"/>
        <v>4123.3002500000002</v>
      </c>
      <c r="P24" s="92">
        <f t="shared" si="7"/>
        <v>3898.8593333333333</v>
      </c>
      <c r="Q24" s="92">
        <f t="shared" si="7"/>
        <v>4649.1265833333318</v>
      </c>
      <c r="R24" s="92">
        <f t="shared" si="8"/>
        <v>3495.7283333333326</v>
      </c>
      <c r="S24" s="92">
        <f t="shared" si="8"/>
        <v>4464.78125</v>
      </c>
      <c r="T24" s="92">
        <f t="shared" si="8"/>
        <v>4496.8249999999998</v>
      </c>
      <c r="U24" s="92">
        <f t="shared" si="8"/>
        <v>5607.789333333335</v>
      </c>
      <c r="V24" s="92">
        <f t="shared" si="8"/>
        <v>4488.3144166666625</v>
      </c>
      <c r="W24" s="92">
        <f t="shared" si="8"/>
        <v>4648.8916666666664</v>
      </c>
      <c r="X24" s="583">
        <f t="shared" si="10"/>
        <v>5731.1940000000022</v>
      </c>
      <c r="Y24" s="583">
        <f t="shared" si="10"/>
        <v>7443.2783333333364</v>
      </c>
      <c r="Z24" s="583">
        <f t="shared" si="10"/>
        <v>9479.6125833333317</v>
      </c>
      <c r="AA24" s="92">
        <f t="shared" si="10"/>
        <v>10298.301416666674</v>
      </c>
      <c r="AB24" s="583">
        <f t="shared" si="10"/>
        <v>10107.988750000002</v>
      </c>
      <c r="AC24" s="92">
        <f t="shared" si="10"/>
        <v>7224.5845000000054</v>
      </c>
      <c r="AD24" s="92"/>
      <c r="AE24" s="92">
        <f t="shared" si="4"/>
        <v>90182.534083333347</v>
      </c>
      <c r="AF24" s="585"/>
      <c r="AG24" s="583"/>
      <c r="AH24" s="519"/>
    </row>
    <row r="25" spans="1:34" s="335" customFormat="1" outlineLevel="1">
      <c r="A25" s="327" t="s">
        <v>48</v>
      </c>
      <c r="B25" s="327">
        <f t="shared" si="9"/>
        <v>2013</v>
      </c>
      <c r="C25" s="327" t="s">
        <v>47</v>
      </c>
      <c r="D25" s="583"/>
      <c r="E25" s="92">
        <f t="shared" si="2"/>
        <v>10821904.090000002</v>
      </c>
      <c r="F25" s="92"/>
      <c r="G25" s="92">
        <f t="shared" si="1"/>
        <v>10821904.090000002</v>
      </c>
      <c r="H25" s="583"/>
      <c r="I25" s="587">
        <f>82635+11624.04</f>
        <v>94259.040000000008</v>
      </c>
      <c r="J25" s="583">
        <f t="shared" si="6"/>
        <v>875370.00000000012</v>
      </c>
      <c r="K25" s="583"/>
      <c r="L25" s="92">
        <f t="shared" si="3"/>
        <v>9946534.0900000017</v>
      </c>
      <c r="N25" s="92">
        <f t="shared" ref="N25:T37" si="11">+N24</f>
        <v>23.958333333333332</v>
      </c>
      <c r="O25" s="92">
        <f t="shared" si="11"/>
        <v>4123.3002500000002</v>
      </c>
      <c r="P25" s="92">
        <f t="shared" si="11"/>
        <v>3898.8593333333333</v>
      </c>
      <c r="Q25" s="92">
        <f t="shared" si="11"/>
        <v>4649.1265833333318</v>
      </c>
      <c r="R25" s="92">
        <f t="shared" si="8"/>
        <v>3495.7283333333326</v>
      </c>
      <c r="S25" s="92">
        <f t="shared" si="8"/>
        <v>4464.78125</v>
      </c>
      <c r="T25" s="92">
        <f t="shared" si="8"/>
        <v>4496.8249999999998</v>
      </c>
      <c r="U25" s="92">
        <f t="shared" si="8"/>
        <v>5607.789333333335</v>
      </c>
      <c r="V25" s="92">
        <f t="shared" si="8"/>
        <v>4488.3144166666625</v>
      </c>
      <c r="W25" s="92">
        <f t="shared" si="8"/>
        <v>4648.8916666666664</v>
      </c>
      <c r="X25" s="583">
        <f t="shared" si="10"/>
        <v>5731.1940000000022</v>
      </c>
      <c r="Y25" s="583">
        <f t="shared" si="10"/>
        <v>7443.2783333333364</v>
      </c>
      <c r="Z25" s="583">
        <f t="shared" si="10"/>
        <v>9479.6125833333317</v>
      </c>
      <c r="AA25" s="92">
        <f t="shared" si="10"/>
        <v>10298.301416666674</v>
      </c>
      <c r="AB25" s="583">
        <f t="shared" si="10"/>
        <v>10107.988750000002</v>
      </c>
      <c r="AC25" s="92">
        <f t="shared" si="10"/>
        <v>7224.5845000000054</v>
      </c>
      <c r="AD25" s="92"/>
      <c r="AE25" s="92">
        <f t="shared" si="4"/>
        <v>90182.534083333347</v>
      </c>
      <c r="AF25" s="585"/>
      <c r="AG25" s="583"/>
      <c r="AH25" s="519"/>
    </row>
    <row r="26" spans="1:34" s="335" customFormat="1" outlineLevel="1">
      <c r="A26" s="327" t="s">
        <v>50</v>
      </c>
      <c r="B26" s="327">
        <f t="shared" si="9"/>
        <v>2013</v>
      </c>
      <c r="C26" s="327" t="s">
        <v>47</v>
      </c>
      <c r="D26" s="583"/>
      <c r="E26" s="92">
        <f t="shared" si="2"/>
        <v>10821904.090000002</v>
      </c>
      <c r="F26" s="92"/>
      <c r="G26" s="92">
        <f t="shared" si="1"/>
        <v>10821904.090000002</v>
      </c>
      <c r="H26" s="583"/>
      <c r="I26" s="587">
        <f>81870.88+15604</f>
        <v>97474.880000000005</v>
      </c>
      <c r="J26" s="583">
        <f t="shared" si="6"/>
        <v>972844.88000000012</v>
      </c>
      <c r="K26" s="583"/>
      <c r="L26" s="92">
        <f t="shared" si="3"/>
        <v>9849059.2100000009</v>
      </c>
      <c r="N26" s="92">
        <f t="shared" si="11"/>
        <v>23.958333333333332</v>
      </c>
      <c r="O26" s="92">
        <f t="shared" si="11"/>
        <v>4123.3002500000002</v>
      </c>
      <c r="P26" s="92">
        <f t="shared" si="11"/>
        <v>3898.8593333333333</v>
      </c>
      <c r="Q26" s="92">
        <f t="shared" si="11"/>
        <v>4649.1265833333318</v>
      </c>
      <c r="R26" s="92">
        <f t="shared" si="8"/>
        <v>3495.7283333333326</v>
      </c>
      <c r="S26" s="92">
        <f t="shared" si="8"/>
        <v>4464.78125</v>
      </c>
      <c r="T26" s="92">
        <f t="shared" si="8"/>
        <v>4496.8249999999998</v>
      </c>
      <c r="U26" s="92">
        <f t="shared" si="8"/>
        <v>5607.789333333335</v>
      </c>
      <c r="V26" s="92">
        <f t="shared" si="8"/>
        <v>4488.3144166666625</v>
      </c>
      <c r="W26" s="92">
        <f t="shared" si="8"/>
        <v>4648.8916666666664</v>
      </c>
      <c r="X26" s="583">
        <f t="shared" si="10"/>
        <v>5731.1940000000022</v>
      </c>
      <c r="Y26" s="583">
        <f t="shared" si="10"/>
        <v>7443.2783333333364</v>
      </c>
      <c r="Z26" s="583">
        <f t="shared" si="10"/>
        <v>9479.6125833333317</v>
      </c>
      <c r="AA26" s="92">
        <f t="shared" si="10"/>
        <v>10298.301416666674</v>
      </c>
      <c r="AB26" s="583">
        <f t="shared" si="10"/>
        <v>10107.988750000002</v>
      </c>
      <c r="AC26" s="92">
        <f t="shared" si="10"/>
        <v>7224.5845000000054</v>
      </c>
      <c r="AD26" s="92"/>
      <c r="AE26" s="92">
        <f t="shared" si="4"/>
        <v>90182.534083333347</v>
      </c>
      <c r="AF26" s="585"/>
      <c r="AG26" s="583"/>
      <c r="AH26" s="519"/>
    </row>
    <row r="27" spans="1:34" s="335" customFormat="1" outlineLevel="1">
      <c r="A27" s="327" t="s">
        <v>51</v>
      </c>
      <c r="B27" s="327">
        <f t="shared" si="9"/>
        <v>2013</v>
      </c>
      <c r="C27" s="327" t="s">
        <v>47</v>
      </c>
      <c r="D27" s="583"/>
      <c r="E27" s="92">
        <f t="shared" si="2"/>
        <v>10821904.090000002</v>
      </c>
      <c r="F27" s="92"/>
      <c r="G27" s="92">
        <f t="shared" si="1"/>
        <v>10821904.090000002</v>
      </c>
      <c r="H27" s="583"/>
      <c r="I27" s="583">
        <v>120021.18</v>
      </c>
      <c r="J27" s="583">
        <f t="shared" si="6"/>
        <v>1092866.06</v>
      </c>
      <c r="K27" s="583"/>
      <c r="L27" s="92">
        <f t="shared" si="3"/>
        <v>9729038.0300000012</v>
      </c>
      <c r="N27" s="92">
        <f t="shared" si="11"/>
        <v>23.958333333333332</v>
      </c>
      <c r="O27" s="92">
        <f t="shared" si="11"/>
        <v>4123.3002500000002</v>
      </c>
      <c r="P27" s="92">
        <f t="shared" si="11"/>
        <v>3898.8593333333333</v>
      </c>
      <c r="Q27" s="92">
        <f t="shared" si="11"/>
        <v>4649.1265833333318</v>
      </c>
      <c r="R27" s="92">
        <f t="shared" si="8"/>
        <v>3495.7283333333326</v>
      </c>
      <c r="S27" s="92">
        <f t="shared" si="8"/>
        <v>4464.78125</v>
      </c>
      <c r="T27" s="92">
        <f t="shared" si="8"/>
        <v>4496.8249999999998</v>
      </c>
      <c r="U27" s="92">
        <f t="shared" si="8"/>
        <v>5607.789333333335</v>
      </c>
      <c r="V27" s="92">
        <f t="shared" si="8"/>
        <v>4488.3144166666625</v>
      </c>
      <c r="W27" s="92">
        <f t="shared" si="8"/>
        <v>4648.8916666666664</v>
      </c>
      <c r="X27" s="583">
        <f t="shared" si="10"/>
        <v>5731.1940000000022</v>
      </c>
      <c r="Y27" s="583">
        <f t="shared" si="10"/>
        <v>7443.2783333333364</v>
      </c>
      <c r="Z27" s="583">
        <f t="shared" si="10"/>
        <v>9479.6125833333317</v>
      </c>
      <c r="AA27" s="92">
        <f t="shared" si="10"/>
        <v>10298.301416666674</v>
      </c>
      <c r="AB27" s="583">
        <f t="shared" si="10"/>
        <v>10107.988750000002</v>
      </c>
      <c r="AC27" s="92">
        <f t="shared" si="10"/>
        <v>7224.5845000000054</v>
      </c>
      <c r="AD27" s="92"/>
      <c r="AE27" s="92">
        <f t="shared" si="4"/>
        <v>90182.534083333347</v>
      </c>
      <c r="AF27" s="585"/>
      <c r="AG27" s="583"/>
      <c r="AH27" s="519"/>
    </row>
    <row r="28" spans="1:34" s="335" customFormat="1" outlineLevel="1">
      <c r="A28" s="332" t="s">
        <v>52</v>
      </c>
      <c r="B28" s="332">
        <f t="shared" si="9"/>
        <v>2013</v>
      </c>
      <c r="C28" s="332" t="s">
        <v>47</v>
      </c>
      <c r="D28" s="588"/>
      <c r="E28" s="588">
        <f t="shared" si="2"/>
        <v>10821904.090000002</v>
      </c>
      <c r="F28" s="588"/>
      <c r="G28" s="588">
        <f t="shared" si="1"/>
        <v>10821904.090000002</v>
      </c>
      <c r="H28" s="588"/>
      <c r="I28" s="588">
        <v>89371.85</v>
      </c>
      <c r="J28" s="588">
        <f t="shared" si="6"/>
        <v>1182237.9100000001</v>
      </c>
      <c r="K28" s="588"/>
      <c r="L28" s="588">
        <f t="shared" si="3"/>
        <v>9639666.1800000016</v>
      </c>
      <c r="M28" s="333"/>
      <c r="N28" s="588">
        <f t="shared" si="11"/>
        <v>23.958333333333332</v>
      </c>
      <c r="O28" s="588">
        <f t="shared" si="11"/>
        <v>4123.3002500000002</v>
      </c>
      <c r="P28" s="588">
        <f t="shared" si="11"/>
        <v>3898.8593333333333</v>
      </c>
      <c r="Q28" s="588">
        <f t="shared" si="11"/>
        <v>4649.1265833333318</v>
      </c>
      <c r="R28" s="588">
        <f t="shared" si="11"/>
        <v>3495.7283333333326</v>
      </c>
      <c r="S28" s="588">
        <f t="shared" si="11"/>
        <v>4464.78125</v>
      </c>
      <c r="T28" s="588">
        <f t="shared" si="11"/>
        <v>4496.8249999999998</v>
      </c>
      <c r="U28" s="588">
        <f t="shared" ref="T28:W43" si="12">+U27</f>
        <v>5607.789333333335</v>
      </c>
      <c r="V28" s="588">
        <f t="shared" si="12"/>
        <v>4488.3144166666625</v>
      </c>
      <c r="W28" s="588">
        <f t="shared" si="12"/>
        <v>4648.8916666666664</v>
      </c>
      <c r="X28" s="588">
        <f t="shared" si="10"/>
        <v>5731.1940000000022</v>
      </c>
      <c r="Y28" s="588">
        <f t="shared" si="10"/>
        <v>7443.2783333333364</v>
      </c>
      <c r="Z28" s="588">
        <f t="shared" si="10"/>
        <v>9479.6125833333317</v>
      </c>
      <c r="AA28" s="588">
        <f t="shared" si="10"/>
        <v>10298.301416666674</v>
      </c>
      <c r="AB28" s="588">
        <f t="shared" si="10"/>
        <v>10107.988750000002</v>
      </c>
      <c r="AC28" s="588">
        <f t="shared" si="10"/>
        <v>7224.5845000000054</v>
      </c>
      <c r="AD28" s="588"/>
      <c r="AE28" s="588">
        <f t="shared" si="4"/>
        <v>90182.534083333347</v>
      </c>
      <c r="AF28" s="585"/>
      <c r="AG28" s="583"/>
      <c r="AH28" s="519"/>
    </row>
    <row r="29" spans="1:34" s="335" customFormat="1" outlineLevel="1">
      <c r="A29" s="327" t="s">
        <v>53</v>
      </c>
      <c r="B29" s="327">
        <f t="shared" si="9"/>
        <v>2014</v>
      </c>
      <c r="C29" s="327" t="s">
        <v>47</v>
      </c>
      <c r="D29" s="583"/>
      <c r="E29" s="92">
        <f t="shared" si="2"/>
        <v>10821904.090000002</v>
      </c>
      <c r="F29" s="92"/>
      <c r="G29" s="92">
        <f t="shared" si="1"/>
        <v>10821904.090000002</v>
      </c>
      <c r="H29" s="583"/>
      <c r="I29" s="583">
        <v>95800.81</v>
      </c>
      <c r="J29" s="583">
        <f>I29+J28</f>
        <v>1278038.7200000002</v>
      </c>
      <c r="K29" s="583"/>
      <c r="L29" s="92">
        <f t="shared" si="3"/>
        <v>9543865.370000001</v>
      </c>
      <c r="N29" s="92">
        <f t="shared" si="11"/>
        <v>23.958333333333332</v>
      </c>
      <c r="O29" s="92">
        <f t="shared" si="11"/>
        <v>4123.3002500000002</v>
      </c>
      <c r="P29" s="92">
        <f t="shared" si="11"/>
        <v>3898.8593333333333</v>
      </c>
      <c r="Q29" s="92">
        <f t="shared" si="11"/>
        <v>4649.1265833333318</v>
      </c>
      <c r="R29" s="92">
        <f t="shared" si="11"/>
        <v>3495.7283333333326</v>
      </c>
      <c r="S29" s="92">
        <f t="shared" si="11"/>
        <v>4464.78125</v>
      </c>
      <c r="T29" s="92">
        <f t="shared" si="11"/>
        <v>4496.8249999999998</v>
      </c>
      <c r="U29" s="92">
        <f t="shared" si="12"/>
        <v>5607.789333333335</v>
      </c>
      <c r="V29" s="92">
        <f t="shared" si="12"/>
        <v>4488.3144166666625</v>
      </c>
      <c r="W29" s="92">
        <f t="shared" si="12"/>
        <v>4648.8916666666664</v>
      </c>
      <c r="X29" s="583">
        <f t="shared" si="10"/>
        <v>5731.1940000000022</v>
      </c>
      <c r="Y29" s="583">
        <f t="shared" si="10"/>
        <v>7443.2783333333364</v>
      </c>
      <c r="Z29" s="583">
        <f t="shared" si="10"/>
        <v>9479.6125833333317</v>
      </c>
      <c r="AA29" s="92">
        <f t="shared" si="10"/>
        <v>10298.301416666674</v>
      </c>
      <c r="AB29" s="583">
        <f t="shared" si="10"/>
        <v>10107.988750000002</v>
      </c>
      <c r="AC29" s="92">
        <f t="shared" si="10"/>
        <v>7224.5845000000054</v>
      </c>
      <c r="AD29" s="92"/>
      <c r="AE29" s="92">
        <f t="shared" si="4"/>
        <v>90182.534083333347</v>
      </c>
      <c r="AF29" s="585"/>
      <c r="AG29" s="583"/>
      <c r="AH29" s="519"/>
    </row>
    <row r="30" spans="1:34" s="335" customFormat="1" outlineLevel="1">
      <c r="A30" s="308" t="s">
        <v>54</v>
      </c>
      <c r="B30" s="308">
        <f t="shared" si="9"/>
        <v>2014</v>
      </c>
      <c r="C30" s="327" t="s">
        <v>47</v>
      </c>
      <c r="D30" s="583"/>
      <c r="E30" s="92">
        <f t="shared" si="2"/>
        <v>10821904.090000002</v>
      </c>
      <c r="F30" s="583"/>
      <c r="G30" s="92">
        <f t="shared" si="1"/>
        <v>10821904.090000002</v>
      </c>
      <c r="H30" s="583"/>
      <c r="I30" s="583">
        <v>86105.279999999999</v>
      </c>
      <c r="J30" s="583">
        <f>I30+J29</f>
        <v>1364144.0000000002</v>
      </c>
      <c r="K30" s="583"/>
      <c r="L30" s="92">
        <f t="shared" si="3"/>
        <v>9457760.0900000017</v>
      </c>
      <c r="M30" s="585"/>
      <c r="N30" s="583">
        <f t="shared" si="11"/>
        <v>23.958333333333332</v>
      </c>
      <c r="O30" s="583">
        <f t="shared" si="11"/>
        <v>4123.3002500000002</v>
      </c>
      <c r="P30" s="583">
        <f t="shared" si="11"/>
        <v>3898.8593333333333</v>
      </c>
      <c r="Q30" s="583">
        <f t="shared" si="11"/>
        <v>4649.1265833333318</v>
      </c>
      <c r="R30" s="583">
        <f t="shared" si="11"/>
        <v>3495.7283333333326</v>
      </c>
      <c r="S30" s="583">
        <f t="shared" si="11"/>
        <v>4464.78125</v>
      </c>
      <c r="T30" s="583">
        <f t="shared" si="12"/>
        <v>4496.8249999999998</v>
      </c>
      <c r="U30" s="583">
        <f t="shared" si="12"/>
        <v>5607.789333333335</v>
      </c>
      <c r="V30" s="583">
        <f t="shared" si="12"/>
        <v>4488.3144166666625</v>
      </c>
      <c r="W30" s="583">
        <f t="shared" si="12"/>
        <v>4648.8916666666664</v>
      </c>
      <c r="X30" s="583">
        <f t="shared" si="10"/>
        <v>5731.1940000000022</v>
      </c>
      <c r="Y30" s="583">
        <f t="shared" si="10"/>
        <v>7443.2783333333364</v>
      </c>
      <c r="Z30" s="583">
        <f t="shared" si="10"/>
        <v>9479.6125833333317</v>
      </c>
      <c r="AA30" s="92">
        <f t="shared" si="10"/>
        <v>10298.301416666674</v>
      </c>
      <c r="AB30" s="583">
        <f t="shared" si="10"/>
        <v>10107.988750000002</v>
      </c>
      <c r="AC30" s="92">
        <f t="shared" si="10"/>
        <v>7224.5845000000054</v>
      </c>
      <c r="AD30" s="92"/>
      <c r="AE30" s="92">
        <f t="shared" si="4"/>
        <v>90182.534083333347</v>
      </c>
      <c r="AF30" s="585"/>
      <c r="AG30" s="583"/>
      <c r="AH30" s="519"/>
    </row>
    <row r="31" spans="1:34" s="335" customFormat="1" outlineLevel="1">
      <c r="A31" s="308" t="s">
        <v>55</v>
      </c>
      <c r="B31" s="308">
        <f t="shared" si="9"/>
        <v>2014</v>
      </c>
      <c r="C31" s="327" t="s">
        <v>47</v>
      </c>
      <c r="D31" s="583"/>
      <c r="E31" s="92">
        <f t="shared" si="2"/>
        <v>10821904.090000002</v>
      </c>
      <c r="F31" s="583"/>
      <c r="G31" s="92">
        <f t="shared" si="1"/>
        <v>10821904.090000002</v>
      </c>
      <c r="H31" s="583"/>
      <c r="I31" s="583">
        <v>109205.85</v>
      </c>
      <c r="J31" s="583">
        <f>I31+J30</f>
        <v>1473349.8500000003</v>
      </c>
      <c r="K31" s="583"/>
      <c r="L31" s="92">
        <f t="shared" si="3"/>
        <v>9348554.2400000021</v>
      </c>
      <c r="M31" s="585"/>
      <c r="N31" s="583">
        <f t="shared" si="11"/>
        <v>23.958333333333332</v>
      </c>
      <c r="O31" s="583">
        <f t="shared" si="11"/>
        <v>4123.3002500000002</v>
      </c>
      <c r="P31" s="583">
        <f t="shared" si="11"/>
        <v>3898.8593333333333</v>
      </c>
      <c r="Q31" s="583">
        <f t="shared" si="11"/>
        <v>4649.1265833333318</v>
      </c>
      <c r="R31" s="583">
        <f t="shared" si="11"/>
        <v>3495.7283333333326</v>
      </c>
      <c r="S31" s="583">
        <f t="shared" si="11"/>
        <v>4464.78125</v>
      </c>
      <c r="T31" s="583">
        <f t="shared" si="12"/>
        <v>4496.8249999999998</v>
      </c>
      <c r="U31" s="583">
        <f t="shared" si="12"/>
        <v>5607.789333333335</v>
      </c>
      <c r="V31" s="583">
        <f t="shared" si="12"/>
        <v>4488.3144166666625</v>
      </c>
      <c r="W31" s="583">
        <f t="shared" si="12"/>
        <v>4648.8916666666664</v>
      </c>
      <c r="X31" s="583">
        <f t="shared" si="10"/>
        <v>5731.1940000000022</v>
      </c>
      <c r="Y31" s="583">
        <f t="shared" si="10"/>
        <v>7443.2783333333364</v>
      </c>
      <c r="Z31" s="583">
        <f t="shared" si="10"/>
        <v>9479.6125833333317</v>
      </c>
      <c r="AA31" s="92">
        <f t="shared" si="10"/>
        <v>10298.301416666674</v>
      </c>
      <c r="AB31" s="583">
        <f t="shared" si="10"/>
        <v>10107.988750000002</v>
      </c>
      <c r="AC31" s="92">
        <f t="shared" si="10"/>
        <v>7224.5845000000054</v>
      </c>
      <c r="AD31" s="92"/>
      <c r="AE31" s="92">
        <f t="shared" si="4"/>
        <v>90182.534083333347</v>
      </c>
      <c r="AF31" s="585"/>
      <c r="AG31" s="583"/>
      <c r="AH31" s="519"/>
    </row>
    <row r="32" spans="1:34" s="335" customFormat="1" outlineLevel="1">
      <c r="A32" s="327" t="s">
        <v>56</v>
      </c>
      <c r="B32" s="327">
        <f t="shared" si="9"/>
        <v>2014</v>
      </c>
      <c r="C32" s="327" t="s">
        <v>47</v>
      </c>
      <c r="D32" s="583"/>
      <c r="E32" s="92">
        <f t="shared" si="2"/>
        <v>10821904.090000002</v>
      </c>
      <c r="F32" s="92"/>
      <c r="G32" s="92">
        <f t="shared" si="1"/>
        <v>10821904.090000002</v>
      </c>
      <c r="H32" s="583"/>
      <c r="I32" s="583">
        <v>97205.85</v>
      </c>
      <c r="J32" s="583">
        <f>I32+J31</f>
        <v>1570555.7000000004</v>
      </c>
      <c r="K32" s="583"/>
      <c r="L32" s="92">
        <f t="shared" si="3"/>
        <v>9251348.3900000006</v>
      </c>
      <c r="N32" s="92">
        <f t="shared" si="11"/>
        <v>23.958333333333332</v>
      </c>
      <c r="O32" s="92">
        <f t="shared" si="11"/>
        <v>4123.3002500000002</v>
      </c>
      <c r="P32" s="92">
        <f t="shared" si="11"/>
        <v>3898.8593333333333</v>
      </c>
      <c r="Q32" s="92">
        <f t="shared" si="11"/>
        <v>4649.1265833333318</v>
      </c>
      <c r="R32" s="92">
        <f t="shared" si="11"/>
        <v>3495.7283333333326</v>
      </c>
      <c r="S32" s="92">
        <f t="shared" si="11"/>
        <v>4464.78125</v>
      </c>
      <c r="T32" s="92">
        <f t="shared" si="12"/>
        <v>4496.8249999999998</v>
      </c>
      <c r="U32" s="92">
        <f t="shared" si="12"/>
        <v>5607.789333333335</v>
      </c>
      <c r="V32" s="92">
        <f t="shared" si="12"/>
        <v>4488.3144166666625</v>
      </c>
      <c r="W32" s="92">
        <f t="shared" si="12"/>
        <v>4648.8916666666664</v>
      </c>
      <c r="X32" s="583">
        <f t="shared" si="10"/>
        <v>5731.1940000000022</v>
      </c>
      <c r="Y32" s="583">
        <f t="shared" si="10"/>
        <v>7443.2783333333364</v>
      </c>
      <c r="Z32" s="583">
        <f t="shared" si="10"/>
        <v>9479.6125833333317</v>
      </c>
      <c r="AA32" s="92">
        <f t="shared" si="10"/>
        <v>10298.301416666674</v>
      </c>
      <c r="AB32" s="583">
        <f t="shared" si="10"/>
        <v>10107.988750000002</v>
      </c>
      <c r="AC32" s="92">
        <f t="shared" si="10"/>
        <v>7224.5845000000054</v>
      </c>
      <c r="AD32" s="92"/>
      <c r="AE32" s="92">
        <f t="shared" si="4"/>
        <v>90182.534083333347</v>
      </c>
      <c r="AG32" s="92"/>
      <c r="AH32" s="586"/>
    </row>
    <row r="33" spans="1:34" s="335" customFormat="1" outlineLevel="1">
      <c r="A33" s="327" t="s">
        <v>57</v>
      </c>
      <c r="B33" s="327">
        <f t="shared" si="9"/>
        <v>2014</v>
      </c>
      <c r="C33" s="327" t="s">
        <v>47</v>
      </c>
      <c r="D33" s="583"/>
      <c r="E33" s="92">
        <f t="shared" si="2"/>
        <v>10821904.090000002</v>
      </c>
      <c r="F33" s="92"/>
      <c r="G33" s="92">
        <f t="shared" si="1"/>
        <v>10821904.090000002</v>
      </c>
      <c r="H33" s="583"/>
      <c r="I33" s="583">
        <v>89039.33</v>
      </c>
      <c r="J33" s="583">
        <f t="shared" si="6"/>
        <v>1659595.0300000005</v>
      </c>
      <c r="K33" s="583"/>
      <c r="L33" s="92">
        <f>+G33-J33</f>
        <v>9162309.0600000005</v>
      </c>
      <c r="N33" s="92">
        <f t="shared" si="11"/>
        <v>23.958333333333332</v>
      </c>
      <c r="O33" s="92">
        <f t="shared" si="11"/>
        <v>4123.3002500000002</v>
      </c>
      <c r="P33" s="92">
        <f t="shared" si="11"/>
        <v>3898.8593333333333</v>
      </c>
      <c r="Q33" s="92">
        <f t="shared" si="11"/>
        <v>4649.1265833333318</v>
      </c>
      <c r="R33" s="92">
        <f t="shared" si="11"/>
        <v>3495.7283333333326</v>
      </c>
      <c r="S33" s="92">
        <f t="shared" si="11"/>
        <v>4464.78125</v>
      </c>
      <c r="T33" s="92">
        <f t="shared" si="12"/>
        <v>4496.8249999999998</v>
      </c>
      <c r="U33" s="92">
        <f t="shared" si="12"/>
        <v>5607.789333333335</v>
      </c>
      <c r="V33" s="92">
        <f t="shared" si="12"/>
        <v>4488.3144166666625</v>
      </c>
      <c r="W33" s="92">
        <f t="shared" si="12"/>
        <v>4648.8916666666664</v>
      </c>
      <c r="X33" s="583">
        <f t="shared" si="10"/>
        <v>5731.1940000000022</v>
      </c>
      <c r="Y33" s="583">
        <f t="shared" si="10"/>
        <v>7443.2783333333364</v>
      </c>
      <c r="Z33" s="583">
        <f t="shared" si="10"/>
        <v>9479.6125833333317</v>
      </c>
      <c r="AA33" s="92">
        <f t="shared" si="10"/>
        <v>10298.301416666674</v>
      </c>
      <c r="AB33" s="583">
        <f t="shared" si="10"/>
        <v>10107.988750000002</v>
      </c>
      <c r="AC33" s="92">
        <f t="shared" si="10"/>
        <v>7224.5845000000054</v>
      </c>
      <c r="AD33" s="92"/>
      <c r="AE33" s="92">
        <f t="shared" si="4"/>
        <v>90182.534083333347</v>
      </c>
      <c r="AG33" s="92"/>
      <c r="AH33" s="586"/>
    </row>
    <row r="34" spans="1:34" s="335" customFormat="1" outlineLevel="1">
      <c r="A34" s="327" t="s">
        <v>58</v>
      </c>
      <c r="B34" s="327">
        <f t="shared" si="9"/>
        <v>2014</v>
      </c>
      <c r="C34" s="327" t="s">
        <v>47</v>
      </c>
      <c r="D34" s="583"/>
      <c r="E34" s="92">
        <f t="shared" si="2"/>
        <v>10821904.090000002</v>
      </c>
      <c r="F34" s="92"/>
      <c r="G34" s="92">
        <f t="shared" si="1"/>
        <v>10821904.090000002</v>
      </c>
      <c r="H34" s="583"/>
      <c r="I34" s="583">
        <v>89039.33</v>
      </c>
      <c r="J34" s="583">
        <f t="shared" si="6"/>
        <v>1748634.3600000006</v>
      </c>
      <c r="K34" s="583"/>
      <c r="L34" s="92">
        <f t="shared" si="3"/>
        <v>9073269.7300000004</v>
      </c>
      <c r="N34" s="92">
        <f t="shared" si="11"/>
        <v>23.958333333333332</v>
      </c>
      <c r="O34" s="92">
        <f t="shared" si="11"/>
        <v>4123.3002500000002</v>
      </c>
      <c r="P34" s="92">
        <f t="shared" si="11"/>
        <v>3898.8593333333333</v>
      </c>
      <c r="Q34" s="92">
        <f t="shared" si="11"/>
        <v>4649.1265833333318</v>
      </c>
      <c r="R34" s="92">
        <f t="shared" si="11"/>
        <v>3495.7283333333326</v>
      </c>
      <c r="S34" s="92">
        <f t="shared" si="11"/>
        <v>4464.78125</v>
      </c>
      <c r="T34" s="92">
        <f t="shared" si="12"/>
        <v>4496.8249999999998</v>
      </c>
      <c r="U34" s="92">
        <f t="shared" si="12"/>
        <v>5607.789333333335</v>
      </c>
      <c r="V34" s="92">
        <f t="shared" si="12"/>
        <v>4488.3144166666625</v>
      </c>
      <c r="W34" s="92">
        <f t="shared" si="12"/>
        <v>4648.8916666666664</v>
      </c>
      <c r="X34" s="583">
        <f t="shared" si="10"/>
        <v>5731.1940000000022</v>
      </c>
      <c r="Y34" s="583">
        <f t="shared" si="10"/>
        <v>7443.2783333333364</v>
      </c>
      <c r="Z34" s="583">
        <f t="shared" si="10"/>
        <v>9479.6125833333317</v>
      </c>
      <c r="AA34" s="92">
        <f t="shared" si="10"/>
        <v>10298.301416666674</v>
      </c>
      <c r="AB34" s="583">
        <f t="shared" si="10"/>
        <v>10107.988750000002</v>
      </c>
      <c r="AC34" s="92">
        <f t="shared" si="10"/>
        <v>7224.5845000000054</v>
      </c>
      <c r="AD34" s="92"/>
      <c r="AE34" s="92">
        <f t="shared" si="4"/>
        <v>90182.534083333347</v>
      </c>
      <c r="AG34" s="92"/>
      <c r="AH34" s="586"/>
    </row>
    <row r="35" spans="1:34" s="335" customFormat="1" outlineLevel="1">
      <c r="A35" s="327" t="s">
        <v>59</v>
      </c>
      <c r="B35" s="327">
        <f t="shared" si="9"/>
        <v>2014</v>
      </c>
      <c r="C35" s="327" t="s">
        <v>47</v>
      </c>
      <c r="D35" s="583"/>
      <c r="E35" s="92">
        <f t="shared" si="2"/>
        <v>10821904.090000002</v>
      </c>
      <c r="F35" s="92"/>
      <c r="G35" s="92">
        <f t="shared" si="1"/>
        <v>10821904.090000002</v>
      </c>
      <c r="H35" s="583"/>
      <c r="I35" s="583">
        <v>94604.44</v>
      </c>
      <c r="J35" s="583">
        <f t="shared" si="6"/>
        <v>1843238.8000000005</v>
      </c>
      <c r="K35" s="583"/>
      <c r="L35" s="92">
        <f t="shared" si="3"/>
        <v>8978665.290000001</v>
      </c>
      <c r="N35" s="92">
        <f t="shared" si="11"/>
        <v>23.958333333333332</v>
      </c>
      <c r="O35" s="92">
        <f t="shared" si="11"/>
        <v>4123.3002500000002</v>
      </c>
      <c r="P35" s="92">
        <f t="shared" si="11"/>
        <v>3898.8593333333333</v>
      </c>
      <c r="Q35" s="92">
        <f t="shared" si="11"/>
        <v>4649.1265833333318</v>
      </c>
      <c r="R35" s="92">
        <f t="shared" si="11"/>
        <v>3495.7283333333326</v>
      </c>
      <c r="S35" s="92">
        <f t="shared" si="11"/>
        <v>4464.78125</v>
      </c>
      <c r="T35" s="92">
        <f t="shared" si="12"/>
        <v>4496.8249999999998</v>
      </c>
      <c r="U35" s="92">
        <f t="shared" si="12"/>
        <v>5607.789333333335</v>
      </c>
      <c r="V35" s="92">
        <f t="shared" si="12"/>
        <v>4488.3144166666625</v>
      </c>
      <c r="W35" s="92">
        <f t="shared" si="12"/>
        <v>4648.8916666666664</v>
      </c>
      <c r="X35" s="583">
        <f t="shared" ref="X35:AC50" si="13">X34</f>
        <v>5731.1940000000022</v>
      </c>
      <c r="Y35" s="583">
        <f t="shared" si="13"/>
        <v>7443.2783333333364</v>
      </c>
      <c r="Z35" s="583">
        <f t="shared" si="13"/>
        <v>9479.6125833333317</v>
      </c>
      <c r="AA35" s="92">
        <f t="shared" si="13"/>
        <v>10298.301416666674</v>
      </c>
      <c r="AB35" s="583">
        <f t="shared" si="13"/>
        <v>10107.988750000002</v>
      </c>
      <c r="AC35" s="92">
        <f t="shared" si="13"/>
        <v>7224.5845000000054</v>
      </c>
      <c r="AD35" s="92"/>
      <c r="AE35" s="92">
        <f t="shared" si="4"/>
        <v>90182.534083333347</v>
      </c>
      <c r="AG35" s="92"/>
      <c r="AH35" s="586"/>
    </row>
    <row r="36" spans="1:34" s="335" customFormat="1" outlineLevel="1">
      <c r="A36" s="327" t="s">
        <v>46</v>
      </c>
      <c r="B36" s="327">
        <f t="shared" si="9"/>
        <v>2014</v>
      </c>
      <c r="C36" s="327" t="s">
        <v>47</v>
      </c>
      <c r="D36" s="583"/>
      <c r="E36" s="92">
        <f t="shared" si="2"/>
        <v>10821904.090000002</v>
      </c>
      <c r="F36" s="92"/>
      <c r="G36" s="92">
        <f t="shared" si="1"/>
        <v>10821904.090000002</v>
      </c>
      <c r="H36" s="583"/>
      <c r="I36" s="583">
        <v>120634.57</v>
      </c>
      <c r="J36" s="583">
        <f t="shared" si="6"/>
        <v>1963873.3700000006</v>
      </c>
      <c r="K36" s="583"/>
      <c r="L36" s="92">
        <f t="shared" si="3"/>
        <v>8858030.7200000007</v>
      </c>
      <c r="N36" s="92">
        <f t="shared" si="11"/>
        <v>23.958333333333332</v>
      </c>
      <c r="O36" s="92">
        <f t="shared" si="11"/>
        <v>4123.3002500000002</v>
      </c>
      <c r="P36" s="92">
        <f t="shared" si="11"/>
        <v>3898.8593333333333</v>
      </c>
      <c r="Q36" s="92">
        <f t="shared" si="11"/>
        <v>4649.1265833333318</v>
      </c>
      <c r="R36" s="92">
        <f t="shared" si="11"/>
        <v>3495.7283333333326</v>
      </c>
      <c r="S36" s="92">
        <f t="shared" si="11"/>
        <v>4464.78125</v>
      </c>
      <c r="T36" s="92">
        <f t="shared" si="12"/>
        <v>4496.8249999999998</v>
      </c>
      <c r="U36" s="92">
        <f t="shared" si="12"/>
        <v>5607.789333333335</v>
      </c>
      <c r="V36" s="92">
        <f t="shared" si="12"/>
        <v>4488.3144166666625</v>
      </c>
      <c r="W36" s="92">
        <f t="shared" si="12"/>
        <v>4648.8916666666664</v>
      </c>
      <c r="X36" s="583">
        <f t="shared" si="13"/>
        <v>5731.1940000000022</v>
      </c>
      <c r="Y36" s="583">
        <f t="shared" si="13"/>
        <v>7443.2783333333364</v>
      </c>
      <c r="Z36" s="583">
        <f t="shared" si="13"/>
        <v>9479.6125833333317</v>
      </c>
      <c r="AA36" s="92">
        <f t="shared" si="13"/>
        <v>10298.301416666674</v>
      </c>
      <c r="AB36" s="583">
        <f t="shared" si="13"/>
        <v>10107.988750000002</v>
      </c>
      <c r="AC36" s="92">
        <f t="shared" si="13"/>
        <v>7224.5845000000054</v>
      </c>
      <c r="AD36" s="92"/>
      <c r="AE36" s="92">
        <f t="shared" si="4"/>
        <v>90182.534083333347</v>
      </c>
      <c r="AG36" s="92"/>
      <c r="AH36" s="586"/>
    </row>
    <row r="37" spans="1:34" s="335" customFormat="1" outlineLevel="1">
      <c r="A37" s="327" t="s">
        <v>48</v>
      </c>
      <c r="B37" s="327">
        <f t="shared" si="9"/>
        <v>2014</v>
      </c>
      <c r="C37" s="327" t="s">
        <v>47</v>
      </c>
      <c r="D37" s="583"/>
      <c r="E37" s="92">
        <f t="shared" si="2"/>
        <v>10821904.090000002</v>
      </c>
      <c r="F37" s="92"/>
      <c r="G37" s="92">
        <f t="shared" si="1"/>
        <v>10821904.090000002</v>
      </c>
      <c r="H37" s="583"/>
      <c r="I37" s="583">
        <v>97455.87</v>
      </c>
      <c r="J37" s="583">
        <f>I37+J36</f>
        <v>2061329.2400000007</v>
      </c>
      <c r="K37" s="583"/>
      <c r="L37" s="92">
        <f>+G37-J37</f>
        <v>8760574.8500000015</v>
      </c>
      <c r="N37" s="92">
        <f t="shared" si="11"/>
        <v>23.958333333333332</v>
      </c>
      <c r="O37" s="92">
        <f t="shared" si="11"/>
        <v>4123.3002500000002</v>
      </c>
      <c r="P37" s="92">
        <f t="shared" si="11"/>
        <v>3898.8593333333333</v>
      </c>
      <c r="Q37" s="92">
        <f t="shared" si="11"/>
        <v>4649.1265833333318</v>
      </c>
      <c r="R37" s="92">
        <f t="shared" si="11"/>
        <v>3495.7283333333326</v>
      </c>
      <c r="S37" s="92">
        <f t="shared" si="11"/>
        <v>4464.78125</v>
      </c>
      <c r="T37" s="92">
        <f t="shared" si="12"/>
        <v>4496.8249999999998</v>
      </c>
      <c r="U37" s="92">
        <f t="shared" si="12"/>
        <v>5607.789333333335</v>
      </c>
      <c r="V37" s="92">
        <f t="shared" si="12"/>
        <v>4488.3144166666625</v>
      </c>
      <c r="W37" s="92">
        <f t="shared" si="12"/>
        <v>4648.8916666666664</v>
      </c>
      <c r="X37" s="583">
        <f t="shared" si="13"/>
        <v>5731.1940000000022</v>
      </c>
      <c r="Y37" s="583">
        <f t="shared" si="13"/>
        <v>7443.2783333333364</v>
      </c>
      <c r="Z37" s="583">
        <f t="shared" si="13"/>
        <v>9479.6125833333317</v>
      </c>
      <c r="AA37" s="92">
        <f t="shared" si="13"/>
        <v>10298.301416666674</v>
      </c>
      <c r="AB37" s="583">
        <f t="shared" si="13"/>
        <v>10107.988750000002</v>
      </c>
      <c r="AC37" s="92">
        <f t="shared" si="13"/>
        <v>7224.5845000000054</v>
      </c>
      <c r="AD37" s="92"/>
      <c r="AE37" s="92">
        <f t="shared" si="4"/>
        <v>90182.534083333347</v>
      </c>
      <c r="AG37" s="92"/>
      <c r="AH37" s="586"/>
    </row>
    <row r="38" spans="1:34" s="335" customFormat="1" outlineLevel="1">
      <c r="A38" s="327" t="s">
        <v>50</v>
      </c>
      <c r="B38" s="327">
        <f t="shared" si="9"/>
        <v>2014</v>
      </c>
      <c r="C38" s="327" t="s">
        <v>47</v>
      </c>
      <c r="D38" s="583"/>
      <c r="E38" s="92">
        <f t="shared" si="2"/>
        <v>10821904.090000002</v>
      </c>
      <c r="F38" s="92"/>
      <c r="G38" s="92">
        <f t="shared" si="1"/>
        <v>10821904.090000002</v>
      </c>
      <c r="H38" s="583"/>
      <c r="I38" s="583">
        <v>104801.43</v>
      </c>
      <c r="J38" s="583">
        <f t="shared" si="6"/>
        <v>2166130.6700000009</v>
      </c>
      <c r="K38" s="583"/>
      <c r="L38" s="92">
        <f t="shared" si="3"/>
        <v>8655773.4200000018</v>
      </c>
      <c r="N38" s="92">
        <f t="shared" ref="N38:U53" si="14">+N37</f>
        <v>23.958333333333332</v>
      </c>
      <c r="O38" s="92">
        <f t="shared" si="14"/>
        <v>4123.3002500000002</v>
      </c>
      <c r="P38" s="92">
        <f t="shared" si="14"/>
        <v>3898.8593333333333</v>
      </c>
      <c r="Q38" s="92">
        <f t="shared" si="14"/>
        <v>4649.1265833333318</v>
      </c>
      <c r="R38" s="92">
        <f t="shared" si="14"/>
        <v>3495.7283333333326</v>
      </c>
      <c r="S38" s="92">
        <f t="shared" si="14"/>
        <v>4464.78125</v>
      </c>
      <c r="T38" s="92">
        <f t="shared" si="12"/>
        <v>4496.8249999999998</v>
      </c>
      <c r="U38" s="92">
        <f t="shared" si="12"/>
        <v>5607.789333333335</v>
      </c>
      <c r="V38" s="92">
        <f t="shared" si="12"/>
        <v>4488.3144166666625</v>
      </c>
      <c r="W38" s="92">
        <f t="shared" si="12"/>
        <v>4648.8916666666664</v>
      </c>
      <c r="X38" s="583">
        <f t="shared" si="13"/>
        <v>5731.1940000000022</v>
      </c>
      <c r="Y38" s="583">
        <f t="shared" si="13"/>
        <v>7443.2783333333364</v>
      </c>
      <c r="Z38" s="583">
        <f t="shared" si="13"/>
        <v>9479.6125833333317</v>
      </c>
      <c r="AA38" s="92">
        <f t="shared" si="13"/>
        <v>10298.301416666674</v>
      </c>
      <c r="AB38" s="583">
        <f t="shared" si="13"/>
        <v>10107.988750000002</v>
      </c>
      <c r="AC38" s="92">
        <f t="shared" si="13"/>
        <v>7224.5845000000054</v>
      </c>
      <c r="AD38" s="92"/>
      <c r="AE38" s="92">
        <f t="shared" si="4"/>
        <v>90182.534083333347</v>
      </c>
      <c r="AG38" s="92"/>
      <c r="AH38" s="586"/>
    </row>
    <row r="39" spans="1:34" s="335" customFormat="1" outlineLevel="1">
      <c r="A39" s="327" t="s">
        <v>51</v>
      </c>
      <c r="B39" s="327">
        <f t="shared" si="9"/>
        <v>2014</v>
      </c>
      <c r="C39" s="327" t="s">
        <v>47</v>
      </c>
      <c r="D39" s="583"/>
      <c r="E39" s="92">
        <f t="shared" si="2"/>
        <v>10821904.090000002</v>
      </c>
      <c r="F39" s="92"/>
      <c r="G39" s="92">
        <f t="shared" si="1"/>
        <v>10821904.090000002</v>
      </c>
      <c r="H39" s="583"/>
      <c r="I39" s="583">
        <v>72254.490000000005</v>
      </c>
      <c r="J39" s="583">
        <f t="shared" si="6"/>
        <v>2238385.1600000011</v>
      </c>
      <c r="K39" s="583"/>
      <c r="L39" s="92">
        <f t="shared" si="3"/>
        <v>8583518.9299999997</v>
      </c>
      <c r="N39" s="92">
        <f t="shared" ref="N39:P53" si="15">+N38</f>
        <v>23.958333333333332</v>
      </c>
      <c r="O39" s="92">
        <f t="shared" si="15"/>
        <v>4123.3002500000002</v>
      </c>
      <c r="P39" s="92">
        <f t="shared" si="15"/>
        <v>3898.8593333333333</v>
      </c>
      <c r="Q39" s="92">
        <f t="shared" si="14"/>
        <v>4649.1265833333318</v>
      </c>
      <c r="R39" s="92">
        <f t="shared" si="14"/>
        <v>3495.7283333333326</v>
      </c>
      <c r="S39" s="92">
        <f t="shared" si="14"/>
        <v>4464.78125</v>
      </c>
      <c r="T39" s="92">
        <f t="shared" si="12"/>
        <v>4496.8249999999998</v>
      </c>
      <c r="U39" s="92">
        <f t="shared" si="12"/>
        <v>5607.789333333335</v>
      </c>
      <c r="V39" s="92">
        <f t="shared" si="12"/>
        <v>4488.3144166666625</v>
      </c>
      <c r="W39" s="92">
        <f t="shared" si="12"/>
        <v>4648.8916666666664</v>
      </c>
      <c r="X39" s="583">
        <f t="shared" si="13"/>
        <v>5731.1940000000022</v>
      </c>
      <c r="Y39" s="583">
        <f t="shared" si="13"/>
        <v>7443.2783333333364</v>
      </c>
      <c r="Z39" s="583">
        <f t="shared" si="13"/>
        <v>9479.6125833333317</v>
      </c>
      <c r="AA39" s="92">
        <f t="shared" si="13"/>
        <v>10298.301416666674</v>
      </c>
      <c r="AB39" s="583">
        <f t="shared" si="13"/>
        <v>10107.988750000002</v>
      </c>
      <c r="AC39" s="92">
        <f t="shared" si="13"/>
        <v>7224.5845000000054</v>
      </c>
      <c r="AD39" s="92"/>
      <c r="AE39" s="92">
        <f t="shared" ref="AE39:AE70" si="16">SUM(N39:AC39)</f>
        <v>90182.534083333347</v>
      </c>
      <c r="AG39" s="92"/>
      <c r="AH39" s="586"/>
    </row>
    <row r="40" spans="1:34" s="335" customFormat="1" outlineLevel="1">
      <c r="A40" s="332" t="s">
        <v>52</v>
      </c>
      <c r="B40" s="332">
        <f t="shared" si="9"/>
        <v>2014</v>
      </c>
      <c r="C40" s="332" t="s">
        <v>47</v>
      </c>
      <c r="D40" s="588"/>
      <c r="E40" s="588">
        <f t="shared" si="2"/>
        <v>10821904.090000002</v>
      </c>
      <c r="F40" s="588"/>
      <c r="G40" s="588">
        <f t="shared" si="1"/>
        <v>10821904.090000002</v>
      </c>
      <c r="H40" s="588"/>
      <c r="I40" s="588">
        <v>104729.72</v>
      </c>
      <c r="J40" s="588">
        <f t="shared" si="6"/>
        <v>2343114.8800000013</v>
      </c>
      <c r="K40" s="588"/>
      <c r="L40" s="588">
        <f t="shared" si="3"/>
        <v>8478789.2100000009</v>
      </c>
      <c r="M40" s="333"/>
      <c r="N40" s="588">
        <f t="shared" si="15"/>
        <v>23.958333333333332</v>
      </c>
      <c r="O40" s="588">
        <f t="shared" si="15"/>
        <v>4123.3002500000002</v>
      </c>
      <c r="P40" s="588">
        <f t="shared" si="15"/>
        <v>3898.8593333333333</v>
      </c>
      <c r="Q40" s="588">
        <f t="shared" si="14"/>
        <v>4649.1265833333318</v>
      </c>
      <c r="R40" s="588">
        <f t="shared" si="14"/>
        <v>3495.7283333333326</v>
      </c>
      <c r="S40" s="588">
        <f t="shared" si="14"/>
        <v>4464.78125</v>
      </c>
      <c r="T40" s="588">
        <f t="shared" si="12"/>
        <v>4496.8249999999998</v>
      </c>
      <c r="U40" s="588">
        <f t="shared" si="12"/>
        <v>5607.789333333335</v>
      </c>
      <c r="V40" s="588">
        <f t="shared" si="12"/>
        <v>4488.3144166666625</v>
      </c>
      <c r="W40" s="588">
        <f t="shared" si="12"/>
        <v>4648.8916666666664</v>
      </c>
      <c r="X40" s="588">
        <f t="shared" si="13"/>
        <v>5731.1940000000022</v>
      </c>
      <c r="Y40" s="588">
        <f t="shared" si="13"/>
        <v>7443.2783333333364</v>
      </c>
      <c r="Z40" s="588">
        <f t="shared" si="13"/>
        <v>9479.6125833333317</v>
      </c>
      <c r="AA40" s="588">
        <f t="shared" si="13"/>
        <v>10298.301416666674</v>
      </c>
      <c r="AB40" s="588">
        <f t="shared" si="13"/>
        <v>10107.988750000002</v>
      </c>
      <c r="AC40" s="588">
        <f t="shared" si="13"/>
        <v>7224.5845000000054</v>
      </c>
      <c r="AD40" s="588"/>
      <c r="AE40" s="588">
        <f t="shared" si="16"/>
        <v>90182.534083333347</v>
      </c>
      <c r="AG40" s="92"/>
      <c r="AH40" s="586"/>
    </row>
    <row r="41" spans="1:34" s="335" customFormat="1" outlineLevel="1">
      <c r="A41" s="327" t="s">
        <v>53</v>
      </c>
      <c r="B41" s="327">
        <f t="shared" si="9"/>
        <v>2015</v>
      </c>
      <c r="C41" s="327" t="s">
        <v>47</v>
      </c>
      <c r="D41" s="583"/>
      <c r="E41" s="92">
        <f t="shared" si="2"/>
        <v>10821904.090000002</v>
      </c>
      <c r="F41" s="92"/>
      <c r="G41" s="92">
        <f t="shared" si="1"/>
        <v>10821904.090000002</v>
      </c>
      <c r="H41" s="583"/>
      <c r="I41" s="583">
        <v>88583.09</v>
      </c>
      <c r="J41" s="583">
        <f t="shared" si="6"/>
        <v>2431697.9700000011</v>
      </c>
      <c r="K41" s="583"/>
      <c r="L41" s="92">
        <f t="shared" si="3"/>
        <v>8390206.120000001</v>
      </c>
      <c r="N41" s="92">
        <f t="shared" si="15"/>
        <v>23.958333333333332</v>
      </c>
      <c r="O41" s="92">
        <f t="shared" si="15"/>
        <v>4123.3002500000002</v>
      </c>
      <c r="P41" s="92">
        <f t="shared" si="15"/>
        <v>3898.8593333333333</v>
      </c>
      <c r="Q41" s="92">
        <f t="shared" si="14"/>
        <v>4649.1265833333318</v>
      </c>
      <c r="R41" s="92">
        <f t="shared" si="14"/>
        <v>3495.7283333333326</v>
      </c>
      <c r="S41" s="92">
        <f t="shared" si="14"/>
        <v>4464.78125</v>
      </c>
      <c r="T41" s="92">
        <f t="shared" si="12"/>
        <v>4496.8249999999998</v>
      </c>
      <c r="U41" s="92">
        <f t="shared" si="12"/>
        <v>5607.789333333335</v>
      </c>
      <c r="V41" s="92">
        <f t="shared" si="12"/>
        <v>4488.3144166666625</v>
      </c>
      <c r="W41" s="92">
        <f t="shared" si="12"/>
        <v>4648.8916666666664</v>
      </c>
      <c r="X41" s="583">
        <f t="shared" si="13"/>
        <v>5731.1940000000022</v>
      </c>
      <c r="Y41" s="583">
        <f t="shared" si="13"/>
        <v>7443.2783333333364</v>
      </c>
      <c r="Z41" s="583">
        <f t="shared" si="13"/>
        <v>9479.6125833333317</v>
      </c>
      <c r="AA41" s="92">
        <f t="shared" si="13"/>
        <v>10298.301416666674</v>
      </c>
      <c r="AB41" s="583">
        <f t="shared" si="13"/>
        <v>10107.988750000002</v>
      </c>
      <c r="AC41" s="92">
        <f t="shared" si="13"/>
        <v>7224.5845000000054</v>
      </c>
      <c r="AD41" s="92"/>
      <c r="AE41" s="92">
        <f t="shared" si="16"/>
        <v>90182.534083333347</v>
      </c>
      <c r="AG41" s="92"/>
      <c r="AH41" s="586"/>
    </row>
    <row r="42" spans="1:34" s="335" customFormat="1" outlineLevel="1">
      <c r="A42" s="308" t="s">
        <v>54</v>
      </c>
      <c r="B42" s="308">
        <f t="shared" si="9"/>
        <v>2015</v>
      </c>
      <c r="C42" s="327" t="s">
        <v>47</v>
      </c>
      <c r="D42" s="583"/>
      <c r="E42" s="92">
        <f t="shared" si="2"/>
        <v>10821904.090000002</v>
      </c>
      <c r="F42" s="583"/>
      <c r="G42" s="92">
        <f t="shared" si="1"/>
        <v>10821904.090000002</v>
      </c>
      <c r="H42" s="583"/>
      <c r="I42" s="583">
        <v>82191.34</v>
      </c>
      <c r="J42" s="583">
        <f t="shared" si="6"/>
        <v>2513889.310000001</v>
      </c>
      <c r="K42" s="583"/>
      <c r="L42" s="92">
        <f t="shared" si="3"/>
        <v>8308014.7800000012</v>
      </c>
      <c r="M42" s="585"/>
      <c r="N42" s="583">
        <f t="shared" si="15"/>
        <v>23.958333333333332</v>
      </c>
      <c r="O42" s="583">
        <f t="shared" si="15"/>
        <v>4123.3002500000002</v>
      </c>
      <c r="P42" s="583">
        <f t="shared" si="14"/>
        <v>3898.8593333333333</v>
      </c>
      <c r="Q42" s="583">
        <f t="shared" si="14"/>
        <v>4649.1265833333318</v>
      </c>
      <c r="R42" s="583">
        <f t="shared" si="14"/>
        <v>3495.7283333333326</v>
      </c>
      <c r="S42" s="583">
        <f t="shared" si="14"/>
        <v>4464.78125</v>
      </c>
      <c r="T42" s="583">
        <f t="shared" si="12"/>
        <v>4496.8249999999998</v>
      </c>
      <c r="U42" s="583">
        <f t="shared" si="12"/>
        <v>5607.789333333335</v>
      </c>
      <c r="V42" s="583">
        <f t="shared" si="12"/>
        <v>4488.3144166666625</v>
      </c>
      <c r="W42" s="583">
        <f t="shared" si="12"/>
        <v>4648.8916666666664</v>
      </c>
      <c r="X42" s="583">
        <f t="shared" si="13"/>
        <v>5731.1940000000022</v>
      </c>
      <c r="Y42" s="583">
        <f t="shared" si="13"/>
        <v>7443.2783333333364</v>
      </c>
      <c r="Z42" s="583">
        <f t="shared" si="13"/>
        <v>9479.6125833333317</v>
      </c>
      <c r="AA42" s="92">
        <f t="shared" si="13"/>
        <v>10298.301416666674</v>
      </c>
      <c r="AB42" s="583">
        <f t="shared" si="13"/>
        <v>10107.988750000002</v>
      </c>
      <c r="AC42" s="92">
        <f t="shared" si="13"/>
        <v>7224.5845000000054</v>
      </c>
      <c r="AD42" s="92"/>
      <c r="AE42" s="92">
        <f t="shared" si="16"/>
        <v>90182.534083333347</v>
      </c>
      <c r="AF42" s="585"/>
      <c r="AG42" s="92"/>
      <c r="AH42" s="586"/>
    </row>
    <row r="43" spans="1:34" s="335" customFormat="1" outlineLevel="1">
      <c r="A43" s="308" t="s">
        <v>55</v>
      </c>
      <c r="B43" s="308">
        <f t="shared" si="9"/>
        <v>2015</v>
      </c>
      <c r="C43" s="327" t="s">
        <v>47</v>
      </c>
      <c r="D43" s="583"/>
      <c r="E43" s="92">
        <f t="shared" si="2"/>
        <v>10821904.090000002</v>
      </c>
      <c r="F43" s="583"/>
      <c r="G43" s="92">
        <f t="shared" si="1"/>
        <v>10821904.090000002</v>
      </c>
      <c r="H43" s="583"/>
      <c r="I43" s="583">
        <v>99827.19</v>
      </c>
      <c r="J43" s="583">
        <f t="shared" si="6"/>
        <v>2613716.5000000009</v>
      </c>
      <c r="K43" s="583"/>
      <c r="L43" s="92">
        <f t="shared" si="3"/>
        <v>8208187.5900000008</v>
      </c>
      <c r="M43" s="585"/>
      <c r="N43" s="583">
        <f t="shared" si="15"/>
        <v>23.958333333333332</v>
      </c>
      <c r="O43" s="583">
        <f t="shared" si="15"/>
        <v>4123.3002500000002</v>
      </c>
      <c r="P43" s="583">
        <f t="shared" si="15"/>
        <v>3898.8593333333333</v>
      </c>
      <c r="Q43" s="583">
        <f t="shared" si="14"/>
        <v>4649.1265833333318</v>
      </c>
      <c r="R43" s="583">
        <f t="shared" si="14"/>
        <v>3495.7283333333326</v>
      </c>
      <c r="S43" s="583">
        <f t="shared" si="14"/>
        <v>4464.78125</v>
      </c>
      <c r="T43" s="583">
        <f t="shared" si="12"/>
        <v>4496.8249999999998</v>
      </c>
      <c r="U43" s="583">
        <f t="shared" si="12"/>
        <v>5607.789333333335</v>
      </c>
      <c r="V43" s="583">
        <f t="shared" si="12"/>
        <v>4488.3144166666625</v>
      </c>
      <c r="W43" s="583">
        <f t="shared" si="12"/>
        <v>4648.8916666666664</v>
      </c>
      <c r="X43" s="583">
        <f t="shared" si="13"/>
        <v>5731.1940000000022</v>
      </c>
      <c r="Y43" s="583">
        <f t="shared" si="13"/>
        <v>7443.2783333333364</v>
      </c>
      <c r="Z43" s="583">
        <f t="shared" si="13"/>
        <v>9479.6125833333317</v>
      </c>
      <c r="AA43" s="92">
        <f t="shared" si="13"/>
        <v>10298.301416666674</v>
      </c>
      <c r="AB43" s="583">
        <f t="shared" si="13"/>
        <v>10107.988750000002</v>
      </c>
      <c r="AC43" s="92">
        <f t="shared" si="13"/>
        <v>7224.5845000000054</v>
      </c>
      <c r="AD43" s="92"/>
      <c r="AE43" s="92">
        <f t="shared" si="16"/>
        <v>90182.534083333347</v>
      </c>
      <c r="AF43" s="585"/>
      <c r="AG43" s="92"/>
      <c r="AH43" s="586"/>
    </row>
    <row r="44" spans="1:34" s="335" customFormat="1" outlineLevel="1">
      <c r="A44" s="308" t="s">
        <v>56</v>
      </c>
      <c r="B44" s="308">
        <f t="shared" si="9"/>
        <v>2015</v>
      </c>
      <c r="C44" s="327" t="s">
        <v>47</v>
      </c>
      <c r="D44" s="583"/>
      <c r="E44" s="92">
        <f t="shared" si="2"/>
        <v>10821904.090000002</v>
      </c>
      <c r="F44" s="583"/>
      <c r="G44" s="92">
        <f t="shared" si="1"/>
        <v>10821904.090000002</v>
      </c>
      <c r="H44" s="583"/>
      <c r="I44" s="583">
        <v>104475.18</v>
      </c>
      <c r="J44" s="583">
        <f>I44+J43</f>
        <v>2718191.6800000011</v>
      </c>
      <c r="K44" s="583"/>
      <c r="L44" s="92">
        <f>+G44-J44</f>
        <v>8103712.4100000001</v>
      </c>
      <c r="M44" s="585"/>
      <c r="N44" s="583">
        <f t="shared" si="15"/>
        <v>23.958333333333332</v>
      </c>
      <c r="O44" s="583">
        <f t="shared" si="15"/>
        <v>4123.3002500000002</v>
      </c>
      <c r="P44" s="583">
        <f t="shared" si="15"/>
        <v>3898.8593333333333</v>
      </c>
      <c r="Q44" s="583">
        <f t="shared" si="14"/>
        <v>4649.1265833333318</v>
      </c>
      <c r="R44" s="583">
        <f t="shared" si="14"/>
        <v>3495.7283333333326</v>
      </c>
      <c r="S44" s="583">
        <f t="shared" si="14"/>
        <v>4464.78125</v>
      </c>
      <c r="T44" s="583">
        <f t="shared" si="14"/>
        <v>4496.8249999999998</v>
      </c>
      <c r="U44" s="583">
        <f t="shared" si="14"/>
        <v>5607.789333333335</v>
      </c>
      <c r="V44" s="583">
        <f t="shared" ref="T44:W59" si="17">+V43</f>
        <v>4488.3144166666625</v>
      </c>
      <c r="W44" s="583">
        <f t="shared" si="17"/>
        <v>4648.8916666666664</v>
      </c>
      <c r="X44" s="583">
        <f t="shared" si="13"/>
        <v>5731.1940000000022</v>
      </c>
      <c r="Y44" s="583">
        <f t="shared" si="13"/>
        <v>7443.2783333333364</v>
      </c>
      <c r="Z44" s="583">
        <f t="shared" si="13"/>
        <v>9479.6125833333317</v>
      </c>
      <c r="AA44" s="92">
        <f t="shared" si="13"/>
        <v>10298.301416666674</v>
      </c>
      <c r="AB44" s="583">
        <f t="shared" si="13"/>
        <v>10107.988750000002</v>
      </c>
      <c r="AC44" s="92">
        <f t="shared" si="13"/>
        <v>7224.5845000000054</v>
      </c>
      <c r="AD44" s="92"/>
      <c r="AE44" s="92">
        <f t="shared" si="16"/>
        <v>90182.534083333347</v>
      </c>
      <c r="AF44" s="585"/>
      <c r="AG44" s="92"/>
      <c r="AH44" s="586"/>
    </row>
    <row r="45" spans="1:34" s="335" customFormat="1" outlineLevel="1">
      <c r="A45" s="308" t="s">
        <v>57</v>
      </c>
      <c r="B45" s="308">
        <f t="shared" si="9"/>
        <v>2015</v>
      </c>
      <c r="C45" s="327" t="s">
        <v>47</v>
      </c>
      <c r="D45" s="583"/>
      <c r="E45" s="92">
        <f t="shared" si="2"/>
        <v>10821904.090000002</v>
      </c>
      <c r="F45" s="583"/>
      <c r="G45" s="92">
        <f t="shared" si="1"/>
        <v>10821904.090000002</v>
      </c>
      <c r="H45" s="583"/>
      <c r="I45" s="583">
        <v>86421.43</v>
      </c>
      <c r="J45" s="583">
        <f t="shared" si="6"/>
        <v>2804613.1100000013</v>
      </c>
      <c r="K45" s="583"/>
      <c r="L45" s="92">
        <f t="shared" si="3"/>
        <v>8017290.9800000004</v>
      </c>
      <c r="M45" s="585"/>
      <c r="N45" s="583">
        <f t="shared" si="15"/>
        <v>23.958333333333332</v>
      </c>
      <c r="O45" s="583">
        <f t="shared" si="15"/>
        <v>4123.3002500000002</v>
      </c>
      <c r="P45" s="583">
        <f t="shared" si="15"/>
        <v>3898.8593333333333</v>
      </c>
      <c r="Q45" s="583">
        <f t="shared" si="14"/>
        <v>4649.1265833333318</v>
      </c>
      <c r="R45" s="583">
        <f t="shared" si="14"/>
        <v>3495.7283333333326</v>
      </c>
      <c r="S45" s="583">
        <f t="shared" si="14"/>
        <v>4464.78125</v>
      </c>
      <c r="T45" s="583">
        <f t="shared" si="14"/>
        <v>4496.8249999999998</v>
      </c>
      <c r="U45" s="583">
        <f t="shared" si="14"/>
        <v>5607.789333333335</v>
      </c>
      <c r="V45" s="583">
        <f t="shared" si="17"/>
        <v>4488.3144166666625</v>
      </c>
      <c r="W45" s="583">
        <f t="shared" si="17"/>
        <v>4648.8916666666664</v>
      </c>
      <c r="X45" s="583">
        <f t="shared" si="13"/>
        <v>5731.1940000000022</v>
      </c>
      <c r="Y45" s="583">
        <f t="shared" si="13"/>
        <v>7443.2783333333364</v>
      </c>
      <c r="Z45" s="583">
        <f t="shared" si="13"/>
        <v>9479.6125833333317</v>
      </c>
      <c r="AA45" s="92">
        <f t="shared" si="13"/>
        <v>10298.301416666674</v>
      </c>
      <c r="AB45" s="583">
        <f t="shared" si="13"/>
        <v>10107.988750000002</v>
      </c>
      <c r="AC45" s="92">
        <f t="shared" si="13"/>
        <v>7224.5845000000054</v>
      </c>
      <c r="AD45" s="92"/>
      <c r="AE45" s="92">
        <f t="shared" si="16"/>
        <v>90182.534083333347</v>
      </c>
      <c r="AF45" s="585"/>
      <c r="AG45" s="92"/>
      <c r="AH45" s="586"/>
    </row>
    <row r="46" spans="1:34" s="335" customFormat="1" outlineLevel="1">
      <c r="A46" s="308" t="s">
        <v>58</v>
      </c>
      <c r="B46" s="308">
        <f t="shared" si="9"/>
        <v>2015</v>
      </c>
      <c r="C46" s="327" t="s">
        <v>47</v>
      </c>
      <c r="D46" s="583"/>
      <c r="E46" s="92">
        <f t="shared" si="2"/>
        <v>10821904.090000002</v>
      </c>
      <c r="F46" s="583"/>
      <c r="G46" s="92">
        <f t="shared" si="1"/>
        <v>10821904.090000002</v>
      </c>
      <c r="H46" s="583"/>
      <c r="I46" s="583">
        <v>109837.92</v>
      </c>
      <c r="J46" s="583">
        <f t="shared" si="6"/>
        <v>2914451.0300000012</v>
      </c>
      <c r="K46" s="583"/>
      <c r="L46" s="92">
        <f t="shared" si="3"/>
        <v>7907453.0600000005</v>
      </c>
      <c r="M46" s="585"/>
      <c r="N46" s="583">
        <f t="shared" si="15"/>
        <v>23.958333333333332</v>
      </c>
      <c r="O46" s="583">
        <f t="shared" si="15"/>
        <v>4123.3002500000002</v>
      </c>
      <c r="P46" s="583">
        <f t="shared" si="15"/>
        <v>3898.8593333333333</v>
      </c>
      <c r="Q46" s="583">
        <f t="shared" si="14"/>
        <v>4649.1265833333318</v>
      </c>
      <c r="R46" s="583">
        <f t="shared" si="14"/>
        <v>3495.7283333333326</v>
      </c>
      <c r="S46" s="583">
        <f t="shared" si="14"/>
        <v>4464.78125</v>
      </c>
      <c r="T46" s="583">
        <f t="shared" si="14"/>
        <v>4496.8249999999998</v>
      </c>
      <c r="U46" s="583">
        <f t="shared" si="14"/>
        <v>5607.789333333335</v>
      </c>
      <c r="V46" s="583">
        <f t="shared" si="17"/>
        <v>4488.3144166666625</v>
      </c>
      <c r="W46" s="583">
        <f t="shared" si="17"/>
        <v>4648.8916666666664</v>
      </c>
      <c r="X46" s="583">
        <f t="shared" si="13"/>
        <v>5731.1940000000022</v>
      </c>
      <c r="Y46" s="583">
        <f t="shared" si="13"/>
        <v>7443.2783333333364</v>
      </c>
      <c r="Z46" s="583">
        <f t="shared" si="13"/>
        <v>9479.6125833333317</v>
      </c>
      <c r="AA46" s="92">
        <f t="shared" si="13"/>
        <v>10298.301416666674</v>
      </c>
      <c r="AB46" s="583">
        <f t="shared" si="13"/>
        <v>10107.988750000002</v>
      </c>
      <c r="AC46" s="92">
        <f t="shared" si="13"/>
        <v>7224.5845000000054</v>
      </c>
      <c r="AD46" s="92"/>
      <c r="AE46" s="92">
        <f t="shared" si="16"/>
        <v>90182.534083333347</v>
      </c>
      <c r="AF46" s="585"/>
      <c r="AG46" s="92"/>
      <c r="AH46" s="586"/>
    </row>
    <row r="47" spans="1:34" s="335" customFormat="1" outlineLevel="1">
      <c r="A47" s="327" t="s">
        <v>59</v>
      </c>
      <c r="B47" s="327">
        <f t="shared" si="9"/>
        <v>2015</v>
      </c>
      <c r="C47" s="327" t="s">
        <v>47</v>
      </c>
      <c r="D47" s="583"/>
      <c r="E47" s="92">
        <f t="shared" si="2"/>
        <v>10821904.090000002</v>
      </c>
      <c r="F47" s="92"/>
      <c r="G47" s="92">
        <f t="shared" si="1"/>
        <v>10821904.090000002</v>
      </c>
      <c r="H47" s="583"/>
      <c r="I47" s="583">
        <v>123594.86</v>
      </c>
      <c r="J47" s="583">
        <f t="shared" si="6"/>
        <v>3038045.8900000011</v>
      </c>
      <c r="K47" s="583"/>
      <c r="L47" s="92">
        <f t="shared" si="3"/>
        <v>7783858.2000000011</v>
      </c>
      <c r="N47" s="92">
        <f t="shared" si="15"/>
        <v>23.958333333333332</v>
      </c>
      <c r="O47" s="92">
        <f t="shared" si="15"/>
        <v>4123.3002500000002</v>
      </c>
      <c r="P47" s="92">
        <f t="shared" si="15"/>
        <v>3898.8593333333333</v>
      </c>
      <c r="Q47" s="92">
        <f t="shared" si="14"/>
        <v>4649.1265833333318</v>
      </c>
      <c r="R47" s="92">
        <f t="shared" si="14"/>
        <v>3495.7283333333326</v>
      </c>
      <c r="S47" s="92">
        <f t="shared" si="14"/>
        <v>4464.78125</v>
      </c>
      <c r="T47" s="92">
        <f t="shared" si="14"/>
        <v>4496.8249999999998</v>
      </c>
      <c r="U47" s="92">
        <f t="shared" si="14"/>
        <v>5607.789333333335</v>
      </c>
      <c r="V47" s="92">
        <f t="shared" si="17"/>
        <v>4488.3144166666625</v>
      </c>
      <c r="W47" s="92">
        <f t="shared" si="17"/>
        <v>4648.8916666666664</v>
      </c>
      <c r="X47" s="583">
        <f t="shared" si="13"/>
        <v>5731.1940000000022</v>
      </c>
      <c r="Y47" s="583">
        <f t="shared" si="13"/>
        <v>7443.2783333333364</v>
      </c>
      <c r="Z47" s="583">
        <f t="shared" si="13"/>
        <v>9479.6125833333317</v>
      </c>
      <c r="AA47" s="92">
        <f t="shared" si="13"/>
        <v>10298.301416666674</v>
      </c>
      <c r="AB47" s="583">
        <f t="shared" si="13"/>
        <v>10107.988750000002</v>
      </c>
      <c r="AC47" s="92">
        <f t="shared" si="13"/>
        <v>7224.5845000000054</v>
      </c>
      <c r="AD47" s="92"/>
      <c r="AE47" s="92">
        <f t="shared" si="16"/>
        <v>90182.534083333347</v>
      </c>
      <c r="AG47" s="92"/>
      <c r="AH47" s="586"/>
    </row>
    <row r="48" spans="1:34" s="335" customFormat="1" outlineLevel="1">
      <c r="A48" s="327" t="s">
        <v>46</v>
      </c>
      <c r="B48" s="327">
        <f t="shared" si="9"/>
        <v>2015</v>
      </c>
      <c r="C48" s="327" t="s">
        <v>47</v>
      </c>
      <c r="D48" s="583"/>
      <c r="E48" s="92">
        <f t="shared" si="2"/>
        <v>10821904.090000002</v>
      </c>
      <c r="F48" s="92"/>
      <c r="G48" s="92">
        <f t="shared" ref="G48:G111" si="18">G47</f>
        <v>10821904.090000002</v>
      </c>
      <c r="H48" s="583"/>
      <c r="I48" s="583">
        <v>104850.02</v>
      </c>
      <c r="J48" s="583">
        <f t="shared" si="6"/>
        <v>3142895.9100000011</v>
      </c>
      <c r="K48" s="583"/>
      <c r="L48" s="92">
        <f t="shared" si="3"/>
        <v>7679008.1800000006</v>
      </c>
      <c r="N48" s="92">
        <f t="shared" si="15"/>
        <v>23.958333333333332</v>
      </c>
      <c r="O48" s="92">
        <f t="shared" si="15"/>
        <v>4123.3002500000002</v>
      </c>
      <c r="P48" s="92">
        <f t="shared" si="15"/>
        <v>3898.8593333333333</v>
      </c>
      <c r="Q48" s="92">
        <f t="shared" si="14"/>
        <v>4649.1265833333318</v>
      </c>
      <c r="R48" s="92">
        <f t="shared" si="14"/>
        <v>3495.7283333333326</v>
      </c>
      <c r="S48" s="92">
        <f t="shared" si="14"/>
        <v>4464.78125</v>
      </c>
      <c r="T48" s="92">
        <f t="shared" si="14"/>
        <v>4496.8249999999998</v>
      </c>
      <c r="U48" s="92">
        <f t="shared" si="14"/>
        <v>5607.789333333335</v>
      </c>
      <c r="V48" s="92">
        <f t="shared" si="17"/>
        <v>4488.3144166666625</v>
      </c>
      <c r="W48" s="92">
        <f t="shared" si="17"/>
        <v>4648.8916666666664</v>
      </c>
      <c r="X48" s="583">
        <f t="shared" si="13"/>
        <v>5731.1940000000022</v>
      </c>
      <c r="Y48" s="583">
        <f t="shared" si="13"/>
        <v>7443.2783333333364</v>
      </c>
      <c r="Z48" s="583">
        <f t="shared" si="13"/>
        <v>9479.6125833333317</v>
      </c>
      <c r="AA48" s="92">
        <f t="shared" si="13"/>
        <v>10298.301416666674</v>
      </c>
      <c r="AB48" s="583">
        <f t="shared" si="13"/>
        <v>10107.988750000002</v>
      </c>
      <c r="AC48" s="92">
        <f t="shared" si="13"/>
        <v>7224.5845000000054</v>
      </c>
      <c r="AD48" s="92"/>
      <c r="AE48" s="92">
        <f t="shared" si="16"/>
        <v>90182.534083333347</v>
      </c>
      <c r="AG48" s="92"/>
      <c r="AH48" s="586"/>
    </row>
    <row r="49" spans="1:34" s="335" customFormat="1" outlineLevel="1">
      <c r="A49" s="327" t="s">
        <v>48</v>
      </c>
      <c r="B49" s="327">
        <f t="shared" si="9"/>
        <v>2015</v>
      </c>
      <c r="C49" s="327" t="s">
        <v>47</v>
      </c>
      <c r="D49" s="583"/>
      <c r="E49" s="92">
        <f t="shared" si="2"/>
        <v>10821904.090000002</v>
      </c>
      <c r="F49" s="92"/>
      <c r="G49" s="92">
        <f t="shared" si="18"/>
        <v>10821904.090000002</v>
      </c>
      <c r="H49" s="583"/>
      <c r="I49" s="583">
        <v>91015.8</v>
      </c>
      <c r="J49" s="583">
        <f t="shared" si="6"/>
        <v>3233911.7100000009</v>
      </c>
      <c r="K49" s="583"/>
      <c r="L49" s="92">
        <f t="shared" si="3"/>
        <v>7587992.3800000008</v>
      </c>
      <c r="N49" s="92">
        <f t="shared" si="15"/>
        <v>23.958333333333332</v>
      </c>
      <c r="O49" s="92">
        <f t="shared" si="15"/>
        <v>4123.3002500000002</v>
      </c>
      <c r="P49" s="92">
        <f t="shared" si="15"/>
        <v>3898.8593333333333</v>
      </c>
      <c r="Q49" s="92">
        <f t="shared" si="14"/>
        <v>4649.1265833333318</v>
      </c>
      <c r="R49" s="92">
        <f t="shared" si="14"/>
        <v>3495.7283333333326</v>
      </c>
      <c r="S49" s="92">
        <f t="shared" si="14"/>
        <v>4464.78125</v>
      </c>
      <c r="T49" s="92">
        <f t="shared" si="14"/>
        <v>4496.8249999999998</v>
      </c>
      <c r="U49" s="92">
        <f t="shared" si="14"/>
        <v>5607.789333333335</v>
      </c>
      <c r="V49" s="92">
        <f t="shared" si="17"/>
        <v>4488.3144166666625</v>
      </c>
      <c r="W49" s="92">
        <f t="shared" si="17"/>
        <v>4648.8916666666664</v>
      </c>
      <c r="X49" s="583">
        <f t="shared" si="13"/>
        <v>5731.1940000000022</v>
      </c>
      <c r="Y49" s="583">
        <f t="shared" si="13"/>
        <v>7443.2783333333364</v>
      </c>
      <c r="Z49" s="583">
        <f t="shared" si="13"/>
        <v>9479.6125833333317</v>
      </c>
      <c r="AA49" s="92">
        <f t="shared" si="13"/>
        <v>10298.301416666674</v>
      </c>
      <c r="AB49" s="583">
        <f t="shared" si="13"/>
        <v>10107.988750000002</v>
      </c>
      <c r="AC49" s="92">
        <f t="shared" si="13"/>
        <v>7224.5845000000054</v>
      </c>
      <c r="AD49" s="92"/>
      <c r="AE49" s="92">
        <f t="shared" si="16"/>
        <v>90182.534083333347</v>
      </c>
      <c r="AG49" s="92"/>
      <c r="AH49" s="586"/>
    </row>
    <row r="50" spans="1:34" s="335" customFormat="1" outlineLevel="1">
      <c r="A50" s="327" t="s">
        <v>50</v>
      </c>
      <c r="B50" s="327">
        <f t="shared" si="9"/>
        <v>2015</v>
      </c>
      <c r="C50" s="327" t="s">
        <v>47</v>
      </c>
      <c r="D50" s="583"/>
      <c r="E50" s="92">
        <f t="shared" si="2"/>
        <v>10821904.090000002</v>
      </c>
      <c r="F50" s="92"/>
      <c r="G50" s="92">
        <f t="shared" si="18"/>
        <v>10821904.090000002</v>
      </c>
      <c r="H50" s="583"/>
      <c r="I50" s="590">
        <v>88087.48</v>
      </c>
      <c r="J50" s="583">
        <f t="shared" si="6"/>
        <v>3321999.1900000009</v>
      </c>
      <c r="K50" s="583"/>
      <c r="L50" s="92">
        <f t="shared" si="3"/>
        <v>7499904.9000000004</v>
      </c>
      <c r="N50" s="92">
        <f t="shared" si="15"/>
        <v>23.958333333333332</v>
      </c>
      <c r="O50" s="92">
        <f t="shared" si="15"/>
        <v>4123.3002500000002</v>
      </c>
      <c r="P50" s="92">
        <f t="shared" si="15"/>
        <v>3898.8593333333333</v>
      </c>
      <c r="Q50" s="92">
        <f t="shared" si="14"/>
        <v>4649.1265833333318</v>
      </c>
      <c r="R50" s="92">
        <f t="shared" si="14"/>
        <v>3495.7283333333326</v>
      </c>
      <c r="S50" s="92">
        <f t="shared" si="14"/>
        <v>4464.78125</v>
      </c>
      <c r="T50" s="92">
        <f t="shared" si="14"/>
        <v>4496.8249999999998</v>
      </c>
      <c r="U50" s="92">
        <f t="shared" si="14"/>
        <v>5607.789333333335</v>
      </c>
      <c r="V50" s="92">
        <f t="shared" si="17"/>
        <v>4488.3144166666625</v>
      </c>
      <c r="W50" s="92">
        <f t="shared" si="17"/>
        <v>4648.8916666666664</v>
      </c>
      <c r="X50" s="583">
        <f t="shared" si="13"/>
        <v>5731.1940000000022</v>
      </c>
      <c r="Y50" s="583">
        <f t="shared" si="13"/>
        <v>7443.2783333333364</v>
      </c>
      <c r="Z50" s="583">
        <f t="shared" si="13"/>
        <v>9479.6125833333317</v>
      </c>
      <c r="AA50" s="92">
        <f t="shared" si="13"/>
        <v>10298.301416666674</v>
      </c>
      <c r="AB50" s="583">
        <f t="shared" si="13"/>
        <v>10107.988750000002</v>
      </c>
      <c r="AC50" s="92">
        <f t="shared" si="13"/>
        <v>7224.5845000000054</v>
      </c>
      <c r="AD50" s="92"/>
      <c r="AE50" s="92">
        <f t="shared" si="16"/>
        <v>90182.534083333347</v>
      </c>
      <c r="AG50" s="92"/>
      <c r="AH50" s="586"/>
    </row>
    <row r="51" spans="1:34" s="335" customFormat="1" outlineLevel="1">
      <c r="A51" s="327" t="s">
        <v>51</v>
      </c>
      <c r="B51" s="327">
        <f t="shared" si="9"/>
        <v>2015</v>
      </c>
      <c r="C51" s="327" t="s">
        <v>47</v>
      </c>
      <c r="D51" s="583"/>
      <c r="E51" s="92">
        <f t="shared" si="2"/>
        <v>10821904.090000002</v>
      </c>
      <c r="F51" s="92"/>
      <c r="G51" s="92">
        <f t="shared" si="18"/>
        <v>10821904.090000002</v>
      </c>
      <c r="H51" s="583"/>
      <c r="I51" s="590">
        <v>80948.039999999994</v>
      </c>
      <c r="J51" s="583">
        <f t="shared" si="6"/>
        <v>3402947.2300000009</v>
      </c>
      <c r="K51" s="583"/>
      <c r="L51" s="92">
        <f t="shared" si="3"/>
        <v>7418956.8600000013</v>
      </c>
      <c r="N51" s="92">
        <f t="shared" si="15"/>
        <v>23.958333333333332</v>
      </c>
      <c r="O51" s="92">
        <f t="shared" si="15"/>
        <v>4123.3002500000002</v>
      </c>
      <c r="P51" s="92">
        <f t="shared" si="15"/>
        <v>3898.8593333333333</v>
      </c>
      <c r="Q51" s="92">
        <f t="shared" si="14"/>
        <v>4649.1265833333318</v>
      </c>
      <c r="R51" s="92">
        <f t="shared" si="14"/>
        <v>3495.7283333333326</v>
      </c>
      <c r="S51" s="92">
        <f t="shared" si="14"/>
        <v>4464.78125</v>
      </c>
      <c r="T51" s="92">
        <f t="shared" si="14"/>
        <v>4496.8249999999998</v>
      </c>
      <c r="U51" s="92">
        <f t="shared" si="14"/>
        <v>5607.789333333335</v>
      </c>
      <c r="V51" s="92">
        <f t="shared" si="17"/>
        <v>4488.3144166666625</v>
      </c>
      <c r="W51" s="92">
        <f t="shared" si="17"/>
        <v>4648.8916666666664</v>
      </c>
      <c r="X51" s="583">
        <f t="shared" ref="X51:AC66" si="19">X50</f>
        <v>5731.1940000000022</v>
      </c>
      <c r="Y51" s="583">
        <f t="shared" si="19"/>
        <v>7443.2783333333364</v>
      </c>
      <c r="Z51" s="583">
        <f t="shared" si="19"/>
        <v>9479.6125833333317</v>
      </c>
      <c r="AA51" s="92">
        <f t="shared" si="19"/>
        <v>10298.301416666674</v>
      </c>
      <c r="AB51" s="583">
        <f t="shared" si="19"/>
        <v>10107.988750000002</v>
      </c>
      <c r="AC51" s="92">
        <f t="shared" si="19"/>
        <v>7224.5845000000054</v>
      </c>
      <c r="AD51" s="92"/>
      <c r="AE51" s="92">
        <f t="shared" si="16"/>
        <v>90182.534083333347</v>
      </c>
      <c r="AG51" s="92"/>
      <c r="AH51" s="586"/>
    </row>
    <row r="52" spans="1:34" s="335" customFormat="1" outlineLevel="1">
      <c r="A52" s="332" t="s">
        <v>52</v>
      </c>
      <c r="B52" s="332">
        <f t="shared" si="9"/>
        <v>2015</v>
      </c>
      <c r="C52" s="332" t="s">
        <v>47</v>
      </c>
      <c r="D52" s="588"/>
      <c r="E52" s="588">
        <f t="shared" si="2"/>
        <v>10821904.090000002</v>
      </c>
      <c r="F52" s="588"/>
      <c r="G52" s="588">
        <f t="shared" si="18"/>
        <v>10821904.090000002</v>
      </c>
      <c r="H52" s="588"/>
      <c r="I52" s="591">
        <v>127542.84</v>
      </c>
      <c r="J52" s="588">
        <f t="shared" si="6"/>
        <v>3530490.0700000008</v>
      </c>
      <c r="K52" s="588"/>
      <c r="L52" s="588">
        <f t="shared" si="3"/>
        <v>7291414.0200000014</v>
      </c>
      <c r="M52" s="333"/>
      <c r="N52" s="588">
        <f t="shared" si="15"/>
        <v>23.958333333333332</v>
      </c>
      <c r="O52" s="588">
        <f t="shared" si="15"/>
        <v>4123.3002500000002</v>
      </c>
      <c r="P52" s="588">
        <f t="shared" si="15"/>
        <v>3898.8593333333333</v>
      </c>
      <c r="Q52" s="588">
        <f t="shared" si="14"/>
        <v>4649.1265833333318</v>
      </c>
      <c r="R52" s="588">
        <f t="shared" si="14"/>
        <v>3495.7283333333326</v>
      </c>
      <c r="S52" s="588">
        <f t="shared" si="14"/>
        <v>4464.78125</v>
      </c>
      <c r="T52" s="588">
        <f t="shared" si="14"/>
        <v>4496.8249999999998</v>
      </c>
      <c r="U52" s="588">
        <f t="shared" si="14"/>
        <v>5607.789333333335</v>
      </c>
      <c r="V52" s="588">
        <f t="shared" si="17"/>
        <v>4488.3144166666625</v>
      </c>
      <c r="W52" s="588">
        <f t="shared" si="17"/>
        <v>4648.8916666666664</v>
      </c>
      <c r="X52" s="588">
        <f t="shared" si="19"/>
        <v>5731.1940000000022</v>
      </c>
      <c r="Y52" s="588">
        <f t="shared" si="19"/>
        <v>7443.2783333333364</v>
      </c>
      <c r="Z52" s="588">
        <f t="shared" si="19"/>
        <v>9479.6125833333317</v>
      </c>
      <c r="AA52" s="588">
        <f t="shared" si="19"/>
        <v>10298.301416666674</v>
      </c>
      <c r="AB52" s="588">
        <f t="shared" si="19"/>
        <v>10107.988750000002</v>
      </c>
      <c r="AC52" s="588">
        <f t="shared" si="19"/>
        <v>7224.5845000000054</v>
      </c>
      <c r="AD52" s="588"/>
      <c r="AE52" s="588">
        <f t="shared" si="16"/>
        <v>90182.534083333347</v>
      </c>
      <c r="AG52" s="92"/>
      <c r="AH52" s="586"/>
    </row>
    <row r="53" spans="1:34" s="335" customFormat="1" outlineLevel="1">
      <c r="A53" s="327" t="s">
        <v>53</v>
      </c>
      <c r="B53" s="327">
        <f t="shared" si="9"/>
        <v>2016</v>
      </c>
      <c r="C53" s="308" t="s">
        <v>47</v>
      </c>
      <c r="D53" s="583"/>
      <c r="E53" s="92">
        <f t="shared" si="2"/>
        <v>10821904.090000002</v>
      </c>
      <c r="F53" s="92"/>
      <c r="G53" s="92">
        <f t="shared" si="18"/>
        <v>10821904.090000002</v>
      </c>
      <c r="H53" s="583"/>
      <c r="I53" s="590">
        <v>75938.289999999994</v>
      </c>
      <c r="J53" s="583">
        <f t="shared" si="6"/>
        <v>3606428.3600000008</v>
      </c>
      <c r="K53" s="583"/>
      <c r="L53" s="92">
        <f t="shared" si="3"/>
        <v>7215475.7300000004</v>
      </c>
      <c r="N53" s="92">
        <f t="shared" si="15"/>
        <v>23.958333333333332</v>
      </c>
      <c r="O53" s="92">
        <f t="shared" si="15"/>
        <v>4123.3002500000002</v>
      </c>
      <c r="P53" s="92">
        <f t="shared" si="15"/>
        <v>3898.8593333333333</v>
      </c>
      <c r="Q53" s="92">
        <f t="shared" si="14"/>
        <v>4649.1265833333318</v>
      </c>
      <c r="R53" s="92">
        <f t="shared" si="14"/>
        <v>3495.7283333333326</v>
      </c>
      <c r="S53" s="92">
        <f t="shared" si="14"/>
        <v>4464.78125</v>
      </c>
      <c r="T53" s="92">
        <f t="shared" si="14"/>
        <v>4496.8249999999998</v>
      </c>
      <c r="U53" s="92">
        <f t="shared" si="14"/>
        <v>5607.789333333335</v>
      </c>
      <c r="V53" s="92">
        <f t="shared" si="17"/>
        <v>4488.3144166666625</v>
      </c>
      <c r="W53" s="92">
        <f t="shared" si="17"/>
        <v>4648.8916666666664</v>
      </c>
      <c r="X53" s="583">
        <f t="shared" si="19"/>
        <v>5731.1940000000022</v>
      </c>
      <c r="Y53" s="583">
        <f t="shared" si="19"/>
        <v>7443.2783333333364</v>
      </c>
      <c r="Z53" s="583">
        <f t="shared" si="19"/>
        <v>9479.6125833333317</v>
      </c>
      <c r="AA53" s="92">
        <f t="shared" si="19"/>
        <v>10298.301416666674</v>
      </c>
      <c r="AB53" s="583">
        <f t="shared" si="19"/>
        <v>10107.988750000002</v>
      </c>
      <c r="AC53" s="92">
        <f t="shared" si="19"/>
        <v>7224.5845000000054</v>
      </c>
      <c r="AD53" s="92"/>
      <c r="AE53" s="92">
        <f t="shared" si="16"/>
        <v>90182.534083333347</v>
      </c>
      <c r="AG53" s="92"/>
      <c r="AH53" s="586"/>
    </row>
    <row r="54" spans="1:34" s="335" customFormat="1" outlineLevel="1">
      <c r="A54" s="327" t="s">
        <v>54</v>
      </c>
      <c r="B54" s="327">
        <f t="shared" si="9"/>
        <v>2016</v>
      </c>
      <c r="C54" s="308" t="s">
        <v>47</v>
      </c>
      <c r="D54" s="583"/>
      <c r="E54" s="92">
        <f t="shared" si="2"/>
        <v>10821904.090000002</v>
      </c>
      <c r="F54" s="92"/>
      <c r="G54" s="92">
        <f t="shared" si="18"/>
        <v>10821904.090000002</v>
      </c>
      <c r="H54" s="583"/>
      <c r="I54" s="590">
        <v>80100.56</v>
      </c>
      <c r="J54" s="583">
        <f t="shared" si="6"/>
        <v>3686528.9200000009</v>
      </c>
      <c r="K54" s="583"/>
      <c r="L54" s="92">
        <f t="shared" si="3"/>
        <v>7135375.1700000009</v>
      </c>
      <c r="N54" s="92">
        <f t="shared" ref="N54:S66" si="20">+N53</f>
        <v>23.958333333333332</v>
      </c>
      <c r="O54" s="92">
        <f t="shared" si="20"/>
        <v>4123.3002500000002</v>
      </c>
      <c r="P54" s="92">
        <f t="shared" si="20"/>
        <v>3898.8593333333333</v>
      </c>
      <c r="Q54" s="92">
        <f t="shared" si="20"/>
        <v>4649.1265833333318</v>
      </c>
      <c r="R54" s="92">
        <f t="shared" si="20"/>
        <v>3495.7283333333326</v>
      </c>
      <c r="S54" s="92">
        <f t="shared" si="20"/>
        <v>4464.78125</v>
      </c>
      <c r="T54" s="92">
        <f t="shared" si="17"/>
        <v>4496.8249999999998</v>
      </c>
      <c r="U54" s="92">
        <f t="shared" si="17"/>
        <v>5607.789333333335</v>
      </c>
      <c r="V54" s="92">
        <f t="shared" si="17"/>
        <v>4488.3144166666625</v>
      </c>
      <c r="W54" s="92">
        <f t="shared" si="17"/>
        <v>4648.8916666666664</v>
      </c>
      <c r="X54" s="583">
        <f t="shared" si="19"/>
        <v>5731.1940000000022</v>
      </c>
      <c r="Y54" s="583">
        <f t="shared" si="19"/>
        <v>7443.2783333333364</v>
      </c>
      <c r="Z54" s="583">
        <f t="shared" si="19"/>
        <v>9479.6125833333317</v>
      </c>
      <c r="AA54" s="92">
        <f t="shared" si="19"/>
        <v>10298.301416666674</v>
      </c>
      <c r="AB54" s="583">
        <f t="shared" si="19"/>
        <v>10107.988750000002</v>
      </c>
      <c r="AC54" s="92">
        <f t="shared" si="19"/>
        <v>7224.5845000000054</v>
      </c>
      <c r="AD54" s="92"/>
      <c r="AE54" s="92">
        <f t="shared" si="16"/>
        <v>90182.534083333347</v>
      </c>
      <c r="AG54" s="92"/>
      <c r="AH54" s="586"/>
    </row>
    <row r="55" spans="1:34" s="335" customFormat="1" outlineLevel="1">
      <c r="A55" s="327" t="s">
        <v>55</v>
      </c>
      <c r="B55" s="327">
        <f t="shared" si="9"/>
        <v>2016</v>
      </c>
      <c r="C55" s="308" t="s">
        <v>47</v>
      </c>
      <c r="D55" s="583"/>
      <c r="E55" s="92">
        <f t="shared" si="2"/>
        <v>10821904.090000002</v>
      </c>
      <c r="F55" s="92"/>
      <c r="G55" s="92">
        <f t="shared" si="18"/>
        <v>10821904.090000002</v>
      </c>
      <c r="H55" s="583"/>
      <c r="I55" s="590">
        <v>132314.29</v>
      </c>
      <c r="J55" s="583">
        <f t="shared" si="6"/>
        <v>3818843.2100000009</v>
      </c>
      <c r="K55" s="583"/>
      <c r="L55" s="92">
        <f t="shared" si="3"/>
        <v>7003060.8800000008</v>
      </c>
      <c r="N55" s="92">
        <f t="shared" si="20"/>
        <v>23.958333333333332</v>
      </c>
      <c r="O55" s="92">
        <f t="shared" si="20"/>
        <v>4123.3002500000002</v>
      </c>
      <c r="P55" s="92">
        <f t="shared" si="20"/>
        <v>3898.8593333333333</v>
      </c>
      <c r="Q55" s="92">
        <f t="shared" si="20"/>
        <v>4649.1265833333318</v>
      </c>
      <c r="R55" s="92">
        <f t="shared" si="20"/>
        <v>3495.7283333333326</v>
      </c>
      <c r="S55" s="92">
        <f t="shared" si="20"/>
        <v>4464.78125</v>
      </c>
      <c r="T55" s="92">
        <f t="shared" si="17"/>
        <v>4496.8249999999998</v>
      </c>
      <c r="U55" s="92">
        <f t="shared" si="17"/>
        <v>5607.789333333335</v>
      </c>
      <c r="V55" s="92">
        <f t="shared" si="17"/>
        <v>4488.3144166666625</v>
      </c>
      <c r="W55" s="92">
        <f t="shared" si="17"/>
        <v>4648.8916666666664</v>
      </c>
      <c r="X55" s="583">
        <f t="shared" si="19"/>
        <v>5731.1940000000022</v>
      </c>
      <c r="Y55" s="583">
        <f t="shared" si="19"/>
        <v>7443.2783333333364</v>
      </c>
      <c r="Z55" s="583">
        <f t="shared" si="19"/>
        <v>9479.6125833333317</v>
      </c>
      <c r="AA55" s="92">
        <f t="shared" si="19"/>
        <v>10298.301416666674</v>
      </c>
      <c r="AB55" s="583">
        <f t="shared" si="19"/>
        <v>10107.988750000002</v>
      </c>
      <c r="AC55" s="92">
        <f t="shared" si="19"/>
        <v>7224.5845000000054</v>
      </c>
      <c r="AD55" s="92"/>
      <c r="AE55" s="92">
        <f t="shared" si="16"/>
        <v>90182.534083333347</v>
      </c>
      <c r="AG55" s="92"/>
      <c r="AH55" s="586"/>
    </row>
    <row r="56" spans="1:34" s="335" customFormat="1" outlineLevel="1">
      <c r="A56" s="327" t="s">
        <v>56</v>
      </c>
      <c r="B56" s="327">
        <f t="shared" si="9"/>
        <v>2016</v>
      </c>
      <c r="C56" s="308" t="s">
        <v>47</v>
      </c>
      <c r="D56" s="583"/>
      <c r="E56" s="92">
        <f t="shared" si="2"/>
        <v>10821904.090000002</v>
      </c>
      <c r="F56" s="92"/>
      <c r="G56" s="92">
        <f t="shared" si="18"/>
        <v>10821904.090000002</v>
      </c>
      <c r="H56" s="583"/>
      <c r="I56" s="590">
        <v>90025.64</v>
      </c>
      <c r="J56" s="583">
        <f t="shared" si="6"/>
        <v>3908868.850000001</v>
      </c>
      <c r="K56" s="583"/>
      <c r="L56" s="92">
        <f t="shared" si="3"/>
        <v>6913035.2400000002</v>
      </c>
      <c r="N56" s="92">
        <f t="shared" si="20"/>
        <v>23.958333333333332</v>
      </c>
      <c r="O56" s="92">
        <f t="shared" si="20"/>
        <v>4123.3002500000002</v>
      </c>
      <c r="P56" s="92">
        <f t="shared" si="20"/>
        <v>3898.8593333333333</v>
      </c>
      <c r="Q56" s="92">
        <f t="shared" si="20"/>
        <v>4649.1265833333318</v>
      </c>
      <c r="R56" s="92">
        <f t="shared" si="20"/>
        <v>3495.7283333333326</v>
      </c>
      <c r="S56" s="92">
        <f t="shared" si="20"/>
        <v>4464.78125</v>
      </c>
      <c r="T56" s="92">
        <f t="shared" si="17"/>
        <v>4496.8249999999998</v>
      </c>
      <c r="U56" s="92">
        <f t="shared" si="17"/>
        <v>5607.789333333335</v>
      </c>
      <c r="V56" s="92">
        <f t="shared" si="17"/>
        <v>4488.3144166666625</v>
      </c>
      <c r="W56" s="92">
        <f t="shared" si="17"/>
        <v>4648.8916666666664</v>
      </c>
      <c r="X56" s="583">
        <f t="shared" si="19"/>
        <v>5731.1940000000022</v>
      </c>
      <c r="Y56" s="583">
        <f t="shared" si="19"/>
        <v>7443.2783333333364</v>
      </c>
      <c r="Z56" s="583">
        <f t="shared" si="19"/>
        <v>9479.6125833333317</v>
      </c>
      <c r="AA56" s="92">
        <f t="shared" si="19"/>
        <v>10298.301416666674</v>
      </c>
      <c r="AB56" s="583">
        <f t="shared" si="19"/>
        <v>10107.988750000002</v>
      </c>
      <c r="AC56" s="92">
        <f t="shared" si="19"/>
        <v>7224.5845000000054</v>
      </c>
      <c r="AD56" s="92"/>
      <c r="AE56" s="92">
        <f t="shared" si="16"/>
        <v>90182.534083333347</v>
      </c>
      <c r="AG56" s="92"/>
      <c r="AH56" s="586"/>
    </row>
    <row r="57" spans="1:34" s="335" customFormat="1" outlineLevel="1">
      <c r="A57" s="327" t="s">
        <v>57</v>
      </c>
      <c r="B57" s="327">
        <f t="shared" si="9"/>
        <v>2016</v>
      </c>
      <c r="C57" s="308" t="s">
        <v>47</v>
      </c>
      <c r="D57" s="583"/>
      <c r="E57" s="92">
        <f t="shared" si="2"/>
        <v>10821904.090000002</v>
      </c>
      <c r="F57" s="92"/>
      <c r="G57" s="92">
        <f t="shared" si="18"/>
        <v>10821904.090000002</v>
      </c>
      <c r="H57" s="583"/>
      <c r="I57" s="590">
        <v>119007.83</v>
      </c>
      <c r="J57" s="583">
        <f t="shared" si="6"/>
        <v>4027876.6800000011</v>
      </c>
      <c r="K57" s="583"/>
      <c r="L57" s="92">
        <f t="shared" si="3"/>
        <v>6794027.4100000001</v>
      </c>
      <c r="N57" s="92">
        <f t="shared" si="20"/>
        <v>23.958333333333332</v>
      </c>
      <c r="O57" s="92">
        <f t="shared" si="20"/>
        <v>4123.3002500000002</v>
      </c>
      <c r="P57" s="92">
        <f t="shared" si="20"/>
        <v>3898.8593333333333</v>
      </c>
      <c r="Q57" s="92">
        <f t="shared" si="20"/>
        <v>4649.1265833333318</v>
      </c>
      <c r="R57" s="92">
        <f t="shared" si="20"/>
        <v>3495.7283333333326</v>
      </c>
      <c r="S57" s="92">
        <f t="shared" si="20"/>
        <v>4464.78125</v>
      </c>
      <c r="T57" s="92">
        <f t="shared" si="17"/>
        <v>4496.8249999999998</v>
      </c>
      <c r="U57" s="92">
        <f t="shared" si="17"/>
        <v>5607.789333333335</v>
      </c>
      <c r="V57" s="92">
        <f t="shared" si="17"/>
        <v>4488.3144166666625</v>
      </c>
      <c r="W57" s="92">
        <f t="shared" si="17"/>
        <v>4648.8916666666664</v>
      </c>
      <c r="X57" s="583">
        <f t="shared" si="19"/>
        <v>5731.1940000000022</v>
      </c>
      <c r="Y57" s="583">
        <f t="shared" si="19"/>
        <v>7443.2783333333364</v>
      </c>
      <c r="Z57" s="583">
        <f t="shared" si="19"/>
        <v>9479.6125833333317</v>
      </c>
      <c r="AA57" s="92">
        <f t="shared" si="19"/>
        <v>10298.301416666674</v>
      </c>
      <c r="AB57" s="583">
        <f t="shared" si="19"/>
        <v>10107.988750000002</v>
      </c>
      <c r="AC57" s="92">
        <f t="shared" si="19"/>
        <v>7224.5845000000054</v>
      </c>
      <c r="AD57" s="92"/>
      <c r="AE57" s="92">
        <f t="shared" si="16"/>
        <v>90182.534083333347</v>
      </c>
      <c r="AG57" s="92"/>
      <c r="AH57" s="586"/>
    </row>
    <row r="58" spans="1:34" s="335" customFormat="1" outlineLevel="1">
      <c r="A58" s="327" t="s">
        <v>58</v>
      </c>
      <c r="B58" s="327">
        <f t="shared" si="9"/>
        <v>2016</v>
      </c>
      <c r="C58" s="308" t="s">
        <v>47</v>
      </c>
      <c r="D58" s="583"/>
      <c r="E58" s="92">
        <f t="shared" si="2"/>
        <v>10821904.090000002</v>
      </c>
      <c r="F58" s="92"/>
      <c r="G58" s="92">
        <f t="shared" si="18"/>
        <v>10821904.090000002</v>
      </c>
      <c r="H58" s="583"/>
      <c r="I58" s="590">
        <v>98397.72</v>
      </c>
      <c r="J58" s="583">
        <f t="shared" si="6"/>
        <v>4126274.4000000013</v>
      </c>
      <c r="K58" s="583"/>
      <c r="L58" s="92">
        <f t="shared" si="3"/>
        <v>6695629.6900000004</v>
      </c>
      <c r="N58" s="92">
        <f t="shared" si="20"/>
        <v>23.958333333333332</v>
      </c>
      <c r="O58" s="92">
        <f t="shared" si="20"/>
        <v>4123.3002500000002</v>
      </c>
      <c r="P58" s="92">
        <f t="shared" si="20"/>
        <v>3898.8593333333333</v>
      </c>
      <c r="Q58" s="92">
        <f t="shared" si="20"/>
        <v>4649.1265833333318</v>
      </c>
      <c r="R58" s="92">
        <f t="shared" si="20"/>
        <v>3495.7283333333326</v>
      </c>
      <c r="S58" s="92">
        <f t="shared" si="20"/>
        <v>4464.78125</v>
      </c>
      <c r="T58" s="92">
        <f t="shared" si="17"/>
        <v>4496.8249999999998</v>
      </c>
      <c r="U58" s="92">
        <f t="shared" si="17"/>
        <v>5607.789333333335</v>
      </c>
      <c r="V58" s="92">
        <f t="shared" si="17"/>
        <v>4488.3144166666625</v>
      </c>
      <c r="W58" s="92">
        <f t="shared" si="17"/>
        <v>4648.8916666666664</v>
      </c>
      <c r="X58" s="583">
        <f t="shared" si="19"/>
        <v>5731.1940000000022</v>
      </c>
      <c r="Y58" s="583">
        <f t="shared" si="19"/>
        <v>7443.2783333333364</v>
      </c>
      <c r="Z58" s="583">
        <f t="shared" si="19"/>
        <v>9479.6125833333317</v>
      </c>
      <c r="AA58" s="92">
        <f t="shared" si="19"/>
        <v>10298.301416666674</v>
      </c>
      <c r="AB58" s="583">
        <f t="shared" si="19"/>
        <v>10107.988750000002</v>
      </c>
      <c r="AC58" s="92">
        <f t="shared" si="19"/>
        <v>7224.5845000000054</v>
      </c>
      <c r="AD58" s="92"/>
      <c r="AE58" s="92">
        <f t="shared" si="16"/>
        <v>90182.534083333347</v>
      </c>
      <c r="AG58" s="92"/>
      <c r="AH58" s="586"/>
    </row>
    <row r="59" spans="1:34" s="335" customFormat="1">
      <c r="A59" s="327" t="s">
        <v>59</v>
      </c>
      <c r="B59" s="327">
        <f t="shared" si="9"/>
        <v>2016</v>
      </c>
      <c r="C59" s="308" t="s">
        <v>47</v>
      </c>
      <c r="D59" s="583"/>
      <c r="E59" s="92">
        <f t="shared" si="2"/>
        <v>10821904.090000002</v>
      </c>
      <c r="F59" s="92"/>
      <c r="G59" s="92">
        <f t="shared" si="18"/>
        <v>10821904.090000002</v>
      </c>
      <c r="H59" s="583"/>
      <c r="I59" s="590">
        <v>110187.74</v>
      </c>
      <c r="J59" s="583">
        <f t="shared" si="6"/>
        <v>4236462.1400000015</v>
      </c>
      <c r="K59" s="583"/>
      <c r="L59" s="92">
        <f t="shared" si="3"/>
        <v>6585441.9500000002</v>
      </c>
      <c r="N59" s="92">
        <f t="shared" si="20"/>
        <v>23.958333333333332</v>
      </c>
      <c r="O59" s="92">
        <f t="shared" si="20"/>
        <v>4123.3002500000002</v>
      </c>
      <c r="P59" s="92">
        <f t="shared" si="20"/>
        <v>3898.8593333333333</v>
      </c>
      <c r="Q59" s="92">
        <f t="shared" si="20"/>
        <v>4649.1265833333318</v>
      </c>
      <c r="R59" s="92">
        <f t="shared" si="20"/>
        <v>3495.7283333333326</v>
      </c>
      <c r="S59" s="92">
        <f t="shared" si="20"/>
        <v>4464.78125</v>
      </c>
      <c r="T59" s="92">
        <f t="shared" si="17"/>
        <v>4496.8249999999998</v>
      </c>
      <c r="U59" s="92">
        <f t="shared" si="17"/>
        <v>5607.789333333335</v>
      </c>
      <c r="V59" s="92">
        <f t="shared" si="17"/>
        <v>4488.3144166666625</v>
      </c>
      <c r="W59" s="92">
        <f t="shared" si="17"/>
        <v>4648.8916666666664</v>
      </c>
      <c r="X59" s="583">
        <f t="shared" si="19"/>
        <v>5731.1940000000022</v>
      </c>
      <c r="Y59" s="583">
        <f t="shared" si="19"/>
        <v>7443.2783333333364</v>
      </c>
      <c r="Z59" s="583">
        <f t="shared" si="19"/>
        <v>9479.6125833333317</v>
      </c>
      <c r="AA59" s="92">
        <f t="shared" si="19"/>
        <v>10298.301416666674</v>
      </c>
      <c r="AB59" s="583">
        <f t="shared" si="19"/>
        <v>10107.988750000002</v>
      </c>
      <c r="AC59" s="92">
        <f t="shared" si="19"/>
        <v>7224.5845000000054</v>
      </c>
      <c r="AD59" s="92"/>
      <c r="AE59" s="92">
        <f t="shared" si="16"/>
        <v>90182.534083333347</v>
      </c>
      <c r="AG59" s="92"/>
      <c r="AH59" s="586"/>
    </row>
    <row r="60" spans="1:34" s="335" customFormat="1">
      <c r="A60" s="327" t="s">
        <v>46</v>
      </c>
      <c r="B60" s="327">
        <f t="shared" si="9"/>
        <v>2016</v>
      </c>
      <c r="C60" s="308" t="s">
        <v>47</v>
      </c>
      <c r="D60" s="583"/>
      <c r="E60" s="92">
        <f t="shared" si="2"/>
        <v>10821904.090000002</v>
      </c>
      <c r="F60" s="92"/>
      <c r="G60" s="92">
        <f t="shared" si="18"/>
        <v>10821904.090000002</v>
      </c>
      <c r="H60" s="583"/>
      <c r="I60" s="590">
        <v>108674.78</v>
      </c>
      <c r="J60" s="583">
        <f t="shared" si="6"/>
        <v>4345136.9200000018</v>
      </c>
      <c r="K60" s="583"/>
      <c r="L60" s="92">
        <f t="shared" si="3"/>
        <v>6476767.1699999999</v>
      </c>
      <c r="N60" s="92">
        <f t="shared" si="20"/>
        <v>23.958333333333332</v>
      </c>
      <c r="O60" s="92">
        <f t="shared" si="20"/>
        <v>4123.3002500000002</v>
      </c>
      <c r="P60" s="92">
        <f t="shared" si="20"/>
        <v>3898.8593333333333</v>
      </c>
      <c r="Q60" s="92">
        <f t="shared" si="20"/>
        <v>4649.1265833333318</v>
      </c>
      <c r="R60" s="92">
        <f t="shared" si="20"/>
        <v>3495.7283333333326</v>
      </c>
      <c r="S60" s="92">
        <f t="shared" si="20"/>
        <v>4464.78125</v>
      </c>
      <c r="T60" s="92">
        <f t="shared" ref="T60:W75" si="21">+T59</f>
        <v>4496.8249999999998</v>
      </c>
      <c r="U60" s="92">
        <f t="shared" si="21"/>
        <v>5607.789333333335</v>
      </c>
      <c r="V60" s="92">
        <f t="shared" si="21"/>
        <v>4488.3144166666625</v>
      </c>
      <c r="W60" s="92">
        <f t="shared" si="21"/>
        <v>4648.8916666666664</v>
      </c>
      <c r="X60" s="583">
        <f t="shared" si="19"/>
        <v>5731.1940000000022</v>
      </c>
      <c r="Y60" s="583">
        <f t="shared" si="19"/>
        <v>7443.2783333333364</v>
      </c>
      <c r="Z60" s="583">
        <f t="shared" si="19"/>
        <v>9479.6125833333317</v>
      </c>
      <c r="AA60" s="92">
        <f t="shared" si="19"/>
        <v>10298.301416666674</v>
      </c>
      <c r="AB60" s="583">
        <f t="shared" si="19"/>
        <v>10107.988750000002</v>
      </c>
      <c r="AC60" s="92">
        <f t="shared" si="19"/>
        <v>7224.5845000000054</v>
      </c>
      <c r="AD60" s="92"/>
      <c r="AE60" s="92">
        <f t="shared" si="16"/>
        <v>90182.534083333347</v>
      </c>
      <c r="AG60" s="92"/>
      <c r="AH60" s="586"/>
    </row>
    <row r="61" spans="1:34" s="335" customFormat="1">
      <c r="A61" s="327" t="s">
        <v>48</v>
      </c>
      <c r="B61" s="327">
        <f t="shared" si="9"/>
        <v>2016</v>
      </c>
      <c r="C61" s="308" t="s">
        <v>47</v>
      </c>
      <c r="D61" s="583"/>
      <c r="E61" s="92">
        <f t="shared" si="2"/>
        <v>10821904.090000002</v>
      </c>
      <c r="F61" s="92"/>
      <c r="G61" s="92">
        <f t="shared" si="18"/>
        <v>10821904.090000002</v>
      </c>
      <c r="H61" s="583"/>
      <c r="I61" s="590">
        <v>141421.26999999999</v>
      </c>
      <c r="J61" s="583">
        <f t="shared" si="6"/>
        <v>4486558.1900000013</v>
      </c>
      <c r="K61" s="583"/>
      <c r="L61" s="92">
        <f t="shared" si="3"/>
        <v>6335345.9000000004</v>
      </c>
      <c r="N61" s="92">
        <f t="shared" si="20"/>
        <v>23.958333333333332</v>
      </c>
      <c r="O61" s="92">
        <f t="shared" si="20"/>
        <v>4123.3002500000002</v>
      </c>
      <c r="P61" s="92">
        <f t="shared" si="20"/>
        <v>3898.8593333333333</v>
      </c>
      <c r="Q61" s="92">
        <f t="shared" si="20"/>
        <v>4649.1265833333318</v>
      </c>
      <c r="R61" s="92">
        <f t="shared" si="20"/>
        <v>3495.7283333333326</v>
      </c>
      <c r="S61" s="92">
        <f t="shared" si="20"/>
        <v>4464.78125</v>
      </c>
      <c r="T61" s="92">
        <f t="shared" si="21"/>
        <v>4496.8249999999998</v>
      </c>
      <c r="U61" s="92">
        <f t="shared" si="21"/>
        <v>5607.789333333335</v>
      </c>
      <c r="V61" s="92">
        <f t="shared" si="21"/>
        <v>4488.3144166666625</v>
      </c>
      <c r="W61" s="92">
        <f t="shared" si="21"/>
        <v>4648.8916666666664</v>
      </c>
      <c r="X61" s="583">
        <f t="shared" si="19"/>
        <v>5731.1940000000022</v>
      </c>
      <c r="Y61" s="583">
        <f t="shared" si="19"/>
        <v>7443.2783333333364</v>
      </c>
      <c r="Z61" s="583">
        <f t="shared" si="19"/>
        <v>9479.6125833333317</v>
      </c>
      <c r="AA61" s="92">
        <f t="shared" si="19"/>
        <v>10298.301416666674</v>
      </c>
      <c r="AB61" s="583">
        <f t="shared" si="19"/>
        <v>10107.988750000002</v>
      </c>
      <c r="AC61" s="92">
        <f t="shared" si="19"/>
        <v>7224.5845000000054</v>
      </c>
      <c r="AD61" s="92"/>
      <c r="AE61" s="92">
        <f t="shared" si="16"/>
        <v>90182.534083333347</v>
      </c>
      <c r="AG61" s="92"/>
      <c r="AH61" s="586"/>
    </row>
    <row r="62" spans="1:34" s="335" customFormat="1">
      <c r="A62" s="327" t="s">
        <v>50</v>
      </c>
      <c r="B62" s="327">
        <f t="shared" si="9"/>
        <v>2016</v>
      </c>
      <c r="C62" s="308" t="s">
        <v>47</v>
      </c>
      <c r="D62" s="583"/>
      <c r="E62" s="92">
        <f t="shared" si="2"/>
        <v>10821904.090000002</v>
      </c>
      <c r="F62" s="92"/>
      <c r="G62" s="92">
        <f t="shared" si="18"/>
        <v>10821904.090000002</v>
      </c>
      <c r="H62" s="583"/>
      <c r="I62" s="590">
        <v>102665.83</v>
      </c>
      <c r="J62" s="583">
        <f t="shared" si="6"/>
        <v>4589224.0200000014</v>
      </c>
      <c r="K62" s="583"/>
      <c r="L62" s="92">
        <f t="shared" si="3"/>
        <v>6232680.0700000003</v>
      </c>
      <c r="N62" s="92">
        <f t="shared" si="20"/>
        <v>23.958333333333332</v>
      </c>
      <c r="O62" s="92">
        <f t="shared" si="20"/>
        <v>4123.3002500000002</v>
      </c>
      <c r="P62" s="92">
        <f t="shared" si="20"/>
        <v>3898.8593333333333</v>
      </c>
      <c r="Q62" s="92">
        <f t="shared" si="20"/>
        <v>4649.1265833333318</v>
      </c>
      <c r="R62" s="92">
        <f t="shared" si="20"/>
        <v>3495.7283333333326</v>
      </c>
      <c r="S62" s="92">
        <f t="shared" si="20"/>
        <v>4464.78125</v>
      </c>
      <c r="T62" s="92">
        <f t="shared" si="21"/>
        <v>4496.8249999999998</v>
      </c>
      <c r="U62" s="92">
        <f t="shared" si="21"/>
        <v>5607.789333333335</v>
      </c>
      <c r="V62" s="92">
        <f t="shared" si="21"/>
        <v>4488.3144166666625</v>
      </c>
      <c r="W62" s="92">
        <f t="shared" si="21"/>
        <v>4648.8916666666664</v>
      </c>
      <c r="X62" s="583">
        <f t="shared" si="19"/>
        <v>5731.1940000000022</v>
      </c>
      <c r="Y62" s="583">
        <f t="shared" si="19"/>
        <v>7443.2783333333364</v>
      </c>
      <c r="Z62" s="583">
        <f t="shared" si="19"/>
        <v>9479.6125833333317</v>
      </c>
      <c r="AA62" s="92">
        <f t="shared" si="19"/>
        <v>10298.301416666674</v>
      </c>
      <c r="AB62" s="583">
        <f t="shared" si="19"/>
        <v>10107.988750000002</v>
      </c>
      <c r="AC62" s="92">
        <f t="shared" si="19"/>
        <v>7224.5845000000054</v>
      </c>
      <c r="AD62" s="92"/>
      <c r="AE62" s="92">
        <f t="shared" si="16"/>
        <v>90182.534083333347</v>
      </c>
      <c r="AG62" s="92"/>
      <c r="AH62" s="586"/>
    </row>
    <row r="63" spans="1:34" s="335" customFormat="1">
      <c r="A63" s="327" t="s">
        <v>51</v>
      </c>
      <c r="B63" s="327">
        <f t="shared" si="9"/>
        <v>2016</v>
      </c>
      <c r="C63" s="308" t="s">
        <v>47</v>
      </c>
      <c r="D63" s="583"/>
      <c r="E63" s="92">
        <f t="shared" si="2"/>
        <v>10821904.090000002</v>
      </c>
      <c r="F63" s="92"/>
      <c r="G63" s="92">
        <f t="shared" si="18"/>
        <v>10821904.090000002</v>
      </c>
      <c r="H63" s="583"/>
      <c r="I63" s="590">
        <v>85525.15</v>
      </c>
      <c r="J63" s="583">
        <f t="shared" si="6"/>
        <v>4674749.1700000018</v>
      </c>
      <c r="K63" s="583"/>
      <c r="L63" s="92">
        <f t="shared" si="3"/>
        <v>6147154.9199999999</v>
      </c>
      <c r="N63" s="92">
        <f t="shared" si="20"/>
        <v>23.958333333333332</v>
      </c>
      <c r="O63" s="92">
        <f t="shared" si="20"/>
        <v>4123.3002500000002</v>
      </c>
      <c r="P63" s="92">
        <f t="shared" si="20"/>
        <v>3898.8593333333333</v>
      </c>
      <c r="Q63" s="92">
        <f t="shared" si="20"/>
        <v>4649.1265833333318</v>
      </c>
      <c r="R63" s="92">
        <f t="shared" si="20"/>
        <v>3495.7283333333326</v>
      </c>
      <c r="S63" s="92">
        <f t="shared" si="20"/>
        <v>4464.78125</v>
      </c>
      <c r="T63" s="92">
        <f t="shared" si="21"/>
        <v>4496.8249999999998</v>
      </c>
      <c r="U63" s="92">
        <f t="shared" si="21"/>
        <v>5607.789333333335</v>
      </c>
      <c r="V63" s="92">
        <f t="shared" si="21"/>
        <v>4488.3144166666625</v>
      </c>
      <c r="W63" s="92">
        <f t="shared" si="21"/>
        <v>4648.8916666666664</v>
      </c>
      <c r="X63" s="583">
        <f t="shared" si="19"/>
        <v>5731.1940000000022</v>
      </c>
      <c r="Y63" s="583">
        <f t="shared" si="19"/>
        <v>7443.2783333333364</v>
      </c>
      <c r="Z63" s="583">
        <f t="shared" si="19"/>
        <v>9479.6125833333317</v>
      </c>
      <c r="AA63" s="92">
        <f t="shared" si="19"/>
        <v>10298.301416666674</v>
      </c>
      <c r="AB63" s="583">
        <f t="shared" si="19"/>
        <v>10107.988750000002</v>
      </c>
      <c r="AC63" s="92">
        <f t="shared" si="19"/>
        <v>7224.5845000000054</v>
      </c>
      <c r="AD63" s="92"/>
      <c r="AE63" s="92">
        <f t="shared" si="16"/>
        <v>90182.534083333347</v>
      </c>
      <c r="AG63" s="92"/>
      <c r="AH63" s="586"/>
    </row>
    <row r="64" spans="1:34" s="335" customFormat="1">
      <c r="A64" s="327" t="s">
        <v>52</v>
      </c>
      <c r="B64" s="327">
        <f t="shared" si="9"/>
        <v>2016</v>
      </c>
      <c r="C64" s="308" t="s">
        <v>47</v>
      </c>
      <c r="D64" s="583"/>
      <c r="E64" s="92">
        <f t="shared" si="2"/>
        <v>10821904.090000002</v>
      </c>
      <c r="F64" s="92"/>
      <c r="G64" s="92">
        <f t="shared" si="18"/>
        <v>10821904.090000002</v>
      </c>
      <c r="H64" s="583"/>
      <c r="I64" s="590">
        <v>106497.59</v>
      </c>
      <c r="J64" s="583">
        <f t="shared" si="6"/>
        <v>4781246.7600000016</v>
      </c>
      <c r="K64" s="583"/>
      <c r="L64" s="92">
        <f t="shared" si="3"/>
        <v>6040657.3300000001</v>
      </c>
      <c r="N64" s="92">
        <f t="shared" si="20"/>
        <v>23.958333333333332</v>
      </c>
      <c r="O64" s="92">
        <f t="shared" si="20"/>
        <v>4123.3002500000002</v>
      </c>
      <c r="P64" s="92">
        <f t="shared" si="20"/>
        <v>3898.8593333333333</v>
      </c>
      <c r="Q64" s="92">
        <f t="shared" si="20"/>
        <v>4649.1265833333318</v>
      </c>
      <c r="R64" s="92">
        <f t="shared" si="20"/>
        <v>3495.7283333333326</v>
      </c>
      <c r="S64" s="92">
        <f t="shared" si="20"/>
        <v>4464.78125</v>
      </c>
      <c r="T64" s="92">
        <f t="shared" si="21"/>
        <v>4496.8249999999998</v>
      </c>
      <c r="U64" s="92">
        <f t="shared" si="21"/>
        <v>5607.789333333335</v>
      </c>
      <c r="V64" s="92">
        <f t="shared" si="21"/>
        <v>4488.3144166666625</v>
      </c>
      <c r="W64" s="92">
        <f t="shared" si="21"/>
        <v>4648.8916666666664</v>
      </c>
      <c r="X64" s="583">
        <f t="shared" si="19"/>
        <v>5731.1940000000022</v>
      </c>
      <c r="Y64" s="583">
        <f t="shared" si="19"/>
        <v>7443.2783333333364</v>
      </c>
      <c r="Z64" s="583">
        <f t="shared" si="19"/>
        <v>9479.6125833333317</v>
      </c>
      <c r="AA64" s="92">
        <f t="shared" si="19"/>
        <v>10298.301416666674</v>
      </c>
      <c r="AB64" s="583">
        <f t="shared" si="19"/>
        <v>10107.988750000002</v>
      </c>
      <c r="AC64" s="92">
        <f t="shared" si="19"/>
        <v>7224.5845000000054</v>
      </c>
      <c r="AD64" s="92"/>
      <c r="AE64" s="92">
        <f t="shared" si="16"/>
        <v>90182.534083333347</v>
      </c>
      <c r="AG64" s="92"/>
      <c r="AH64" s="586"/>
    </row>
    <row r="65" spans="1:34" s="335" customFormat="1">
      <c r="A65" s="327" t="s">
        <v>53</v>
      </c>
      <c r="B65" s="327">
        <f t="shared" si="9"/>
        <v>2017</v>
      </c>
      <c r="C65" s="308" t="s">
        <v>47</v>
      </c>
      <c r="D65" s="583"/>
      <c r="E65" s="92">
        <f t="shared" si="2"/>
        <v>10821904.090000002</v>
      </c>
      <c r="F65" s="92"/>
      <c r="G65" s="92">
        <f t="shared" si="18"/>
        <v>10821904.090000002</v>
      </c>
      <c r="H65" s="583"/>
      <c r="I65" s="590">
        <v>88508.83</v>
      </c>
      <c r="J65" s="583">
        <f t="shared" si="6"/>
        <v>4869755.5900000017</v>
      </c>
      <c r="K65" s="583"/>
      <c r="L65" s="92">
        <f t="shared" si="3"/>
        <v>5952148.5</v>
      </c>
      <c r="N65" s="92">
        <f t="shared" si="20"/>
        <v>23.958333333333332</v>
      </c>
      <c r="O65" s="92">
        <f t="shared" si="20"/>
        <v>4123.3002500000002</v>
      </c>
      <c r="P65" s="92">
        <f t="shared" si="20"/>
        <v>3898.8593333333333</v>
      </c>
      <c r="Q65" s="92">
        <f t="shared" si="20"/>
        <v>4649.1265833333318</v>
      </c>
      <c r="R65" s="92">
        <f t="shared" si="20"/>
        <v>3495.7283333333326</v>
      </c>
      <c r="S65" s="92">
        <f t="shared" si="20"/>
        <v>4464.78125</v>
      </c>
      <c r="T65" s="92">
        <f t="shared" si="21"/>
        <v>4496.8249999999998</v>
      </c>
      <c r="U65" s="92">
        <f t="shared" si="21"/>
        <v>5607.789333333335</v>
      </c>
      <c r="V65" s="92">
        <f t="shared" si="21"/>
        <v>4488.3144166666625</v>
      </c>
      <c r="W65" s="92">
        <f t="shared" si="21"/>
        <v>4648.8916666666664</v>
      </c>
      <c r="X65" s="583">
        <f t="shared" si="19"/>
        <v>5731.1940000000022</v>
      </c>
      <c r="Y65" s="583">
        <f t="shared" si="19"/>
        <v>7443.2783333333364</v>
      </c>
      <c r="Z65" s="583">
        <f t="shared" si="19"/>
        <v>9479.6125833333317</v>
      </c>
      <c r="AA65" s="92">
        <f t="shared" si="19"/>
        <v>10298.301416666674</v>
      </c>
      <c r="AB65" s="583">
        <f t="shared" si="19"/>
        <v>10107.988750000002</v>
      </c>
      <c r="AC65" s="92">
        <f t="shared" si="19"/>
        <v>7224.5845000000054</v>
      </c>
      <c r="AD65" s="92"/>
      <c r="AE65" s="92">
        <f t="shared" si="16"/>
        <v>90182.534083333347</v>
      </c>
      <c r="AG65" s="92"/>
      <c r="AH65" s="586"/>
    </row>
    <row r="66" spans="1:34" s="335" customFormat="1" ht="13.5" customHeight="1">
      <c r="A66" s="327" t="s">
        <v>54</v>
      </c>
      <c r="B66" s="327">
        <f t="shared" si="9"/>
        <v>2017</v>
      </c>
      <c r="C66" s="308" t="s">
        <v>47</v>
      </c>
      <c r="D66" s="583"/>
      <c r="E66" s="92">
        <f t="shared" si="2"/>
        <v>10821904.090000002</v>
      </c>
      <c r="F66" s="92"/>
      <c r="G66" s="92">
        <f t="shared" si="18"/>
        <v>10821904.090000002</v>
      </c>
      <c r="H66" s="583"/>
      <c r="I66" s="590">
        <v>82646.06</v>
      </c>
      <c r="J66" s="583">
        <f t="shared" si="6"/>
        <v>4952401.6500000013</v>
      </c>
      <c r="K66" s="583"/>
      <c r="L66" s="92">
        <f t="shared" si="3"/>
        <v>5869502.4400000004</v>
      </c>
      <c r="N66" s="92">
        <f t="shared" si="20"/>
        <v>23.958333333333332</v>
      </c>
      <c r="O66" s="92">
        <f>+O65</f>
        <v>4123.3002500000002</v>
      </c>
      <c r="P66" s="92">
        <f>+P65</f>
        <v>3898.8593333333333</v>
      </c>
      <c r="Q66" s="92">
        <f>+Q65</f>
        <v>4649.1265833333318</v>
      </c>
      <c r="R66" s="92">
        <f>+R65</f>
        <v>3495.7283333333326</v>
      </c>
      <c r="S66" s="92">
        <f>+S65</f>
        <v>4464.78125</v>
      </c>
      <c r="T66" s="92">
        <f t="shared" si="21"/>
        <v>4496.8249999999998</v>
      </c>
      <c r="U66" s="92">
        <f t="shared" si="21"/>
        <v>5607.789333333335</v>
      </c>
      <c r="V66" s="92">
        <f t="shared" si="21"/>
        <v>4488.3144166666625</v>
      </c>
      <c r="W66" s="92">
        <f t="shared" si="21"/>
        <v>4648.8916666666664</v>
      </c>
      <c r="X66" s="583">
        <f t="shared" si="19"/>
        <v>5731.1940000000022</v>
      </c>
      <c r="Y66" s="583">
        <f t="shared" si="19"/>
        <v>7443.2783333333364</v>
      </c>
      <c r="Z66" s="583">
        <f t="shared" si="19"/>
        <v>9479.6125833333317</v>
      </c>
      <c r="AA66" s="92">
        <f t="shared" si="19"/>
        <v>10298.301416666674</v>
      </c>
      <c r="AB66" s="583">
        <f t="shared" si="19"/>
        <v>10107.988750000002</v>
      </c>
      <c r="AC66" s="92">
        <f t="shared" si="19"/>
        <v>7224.5845000000054</v>
      </c>
      <c r="AD66" s="92"/>
      <c r="AE66" s="92">
        <f t="shared" si="16"/>
        <v>90182.534083333347</v>
      </c>
      <c r="AG66" s="92"/>
      <c r="AH66" s="586"/>
    </row>
    <row r="67" spans="1:34" s="335" customFormat="1" ht="13.5" customHeight="1">
      <c r="A67" s="327" t="s">
        <v>55</v>
      </c>
      <c r="B67" s="327">
        <f t="shared" si="9"/>
        <v>2017</v>
      </c>
      <c r="C67" s="308" t="s">
        <v>47</v>
      </c>
      <c r="D67" s="583"/>
      <c r="E67" s="92">
        <f t="shared" si="2"/>
        <v>10821904.090000002</v>
      </c>
      <c r="F67" s="92"/>
      <c r="G67" s="92">
        <f t="shared" si="18"/>
        <v>10821904.090000002</v>
      </c>
      <c r="H67" s="583"/>
      <c r="I67" s="590">
        <v>143632.68</v>
      </c>
      <c r="J67" s="583">
        <f t="shared" si="6"/>
        <v>5096034.330000001</v>
      </c>
      <c r="K67" s="583"/>
      <c r="L67" s="92">
        <f t="shared" si="3"/>
        <v>5725869.7600000007</v>
      </c>
      <c r="N67" s="92">
        <f t="shared" ref="N67:S79" si="22">+N66</f>
        <v>23.958333333333332</v>
      </c>
      <c r="O67" s="92">
        <f t="shared" si="22"/>
        <v>4123.3002500000002</v>
      </c>
      <c r="P67" s="92">
        <f t="shared" si="22"/>
        <v>3898.8593333333333</v>
      </c>
      <c r="Q67" s="92">
        <f t="shared" si="22"/>
        <v>4649.1265833333318</v>
      </c>
      <c r="R67" s="92">
        <f t="shared" si="22"/>
        <v>3495.7283333333326</v>
      </c>
      <c r="S67" s="92">
        <f t="shared" si="22"/>
        <v>4464.78125</v>
      </c>
      <c r="T67" s="92">
        <f t="shared" si="21"/>
        <v>4496.8249999999998</v>
      </c>
      <c r="U67" s="92">
        <f t="shared" si="21"/>
        <v>5607.789333333335</v>
      </c>
      <c r="V67" s="92">
        <f t="shared" si="21"/>
        <v>4488.3144166666625</v>
      </c>
      <c r="W67" s="92">
        <f t="shared" si="21"/>
        <v>4648.8916666666664</v>
      </c>
      <c r="X67" s="583">
        <f t="shared" ref="X67:AC82" si="23">X66</f>
        <v>5731.1940000000022</v>
      </c>
      <c r="Y67" s="583">
        <f t="shared" si="23"/>
        <v>7443.2783333333364</v>
      </c>
      <c r="Z67" s="583">
        <f t="shared" si="23"/>
        <v>9479.6125833333317</v>
      </c>
      <c r="AA67" s="92">
        <f t="shared" si="23"/>
        <v>10298.301416666674</v>
      </c>
      <c r="AB67" s="583">
        <f t="shared" si="23"/>
        <v>10107.988750000002</v>
      </c>
      <c r="AC67" s="92">
        <f t="shared" si="23"/>
        <v>7224.5845000000054</v>
      </c>
      <c r="AD67" s="92"/>
      <c r="AE67" s="92">
        <f t="shared" si="16"/>
        <v>90182.534083333347</v>
      </c>
      <c r="AG67" s="92"/>
      <c r="AH67" s="586"/>
    </row>
    <row r="68" spans="1:34" s="335" customFormat="1">
      <c r="A68" s="327" t="s">
        <v>56</v>
      </c>
      <c r="B68" s="327">
        <f t="shared" si="9"/>
        <v>2017</v>
      </c>
      <c r="C68" s="308" t="s">
        <v>47</v>
      </c>
      <c r="D68" s="583"/>
      <c r="E68" s="92">
        <f t="shared" si="2"/>
        <v>10821904.090000002</v>
      </c>
      <c r="F68" s="92"/>
      <c r="G68" s="92">
        <f t="shared" si="18"/>
        <v>10821904.090000002</v>
      </c>
      <c r="H68" s="583"/>
      <c r="I68" s="590">
        <v>73027.820000000007</v>
      </c>
      <c r="J68" s="583">
        <f t="shared" si="6"/>
        <v>5169062.1500000013</v>
      </c>
      <c r="K68" s="583"/>
      <c r="L68" s="92">
        <f t="shared" si="3"/>
        <v>5652841.9400000004</v>
      </c>
      <c r="N68" s="92">
        <f t="shared" si="22"/>
        <v>23.958333333333332</v>
      </c>
      <c r="O68" s="92">
        <f t="shared" si="22"/>
        <v>4123.3002500000002</v>
      </c>
      <c r="P68" s="92">
        <f t="shared" si="22"/>
        <v>3898.8593333333333</v>
      </c>
      <c r="Q68" s="92">
        <f t="shared" si="22"/>
        <v>4649.1265833333318</v>
      </c>
      <c r="R68" s="92">
        <f t="shared" si="22"/>
        <v>3495.7283333333326</v>
      </c>
      <c r="S68" s="92">
        <f t="shared" si="22"/>
        <v>4464.78125</v>
      </c>
      <c r="T68" s="92">
        <f t="shared" si="21"/>
        <v>4496.8249999999998</v>
      </c>
      <c r="U68" s="92">
        <f t="shared" si="21"/>
        <v>5607.789333333335</v>
      </c>
      <c r="V68" s="92">
        <f t="shared" si="21"/>
        <v>4488.3144166666625</v>
      </c>
      <c r="W68" s="92">
        <f t="shared" si="21"/>
        <v>4648.8916666666664</v>
      </c>
      <c r="X68" s="583">
        <f t="shared" si="23"/>
        <v>5731.1940000000022</v>
      </c>
      <c r="Y68" s="583">
        <f t="shared" si="23"/>
        <v>7443.2783333333364</v>
      </c>
      <c r="Z68" s="583">
        <f t="shared" si="23"/>
        <v>9479.6125833333317</v>
      </c>
      <c r="AA68" s="92">
        <f t="shared" si="23"/>
        <v>10298.301416666674</v>
      </c>
      <c r="AB68" s="583">
        <f t="shared" si="23"/>
        <v>10107.988750000002</v>
      </c>
      <c r="AC68" s="92">
        <f t="shared" si="23"/>
        <v>7224.5845000000054</v>
      </c>
      <c r="AD68" s="92"/>
      <c r="AE68" s="92">
        <f t="shared" si="16"/>
        <v>90182.534083333347</v>
      </c>
      <c r="AG68" s="92"/>
      <c r="AH68" s="586"/>
    </row>
    <row r="69" spans="1:34" s="335" customFormat="1">
      <c r="A69" s="327" t="s">
        <v>57</v>
      </c>
      <c r="B69" s="327">
        <f t="shared" si="9"/>
        <v>2017</v>
      </c>
      <c r="C69" s="308" t="s">
        <v>47</v>
      </c>
      <c r="D69" s="583"/>
      <c r="E69" s="92">
        <f t="shared" si="2"/>
        <v>10821904.090000002</v>
      </c>
      <c r="F69" s="92"/>
      <c r="G69" s="92">
        <f t="shared" si="18"/>
        <v>10821904.090000002</v>
      </c>
      <c r="H69" s="583"/>
      <c r="I69" s="590">
        <v>97677.45</v>
      </c>
      <c r="J69" s="583">
        <f t="shared" si="6"/>
        <v>5266739.6000000015</v>
      </c>
      <c r="K69" s="583"/>
      <c r="L69" s="92">
        <f t="shared" si="3"/>
        <v>5555164.4900000002</v>
      </c>
      <c r="N69" s="92">
        <f t="shared" si="22"/>
        <v>23.958333333333332</v>
      </c>
      <c r="O69" s="92">
        <f t="shared" si="22"/>
        <v>4123.3002500000002</v>
      </c>
      <c r="P69" s="92">
        <f t="shared" si="22"/>
        <v>3898.8593333333333</v>
      </c>
      <c r="Q69" s="92">
        <f t="shared" si="22"/>
        <v>4649.1265833333318</v>
      </c>
      <c r="R69" s="92">
        <f t="shared" si="22"/>
        <v>3495.7283333333326</v>
      </c>
      <c r="S69" s="92">
        <f t="shared" si="22"/>
        <v>4464.78125</v>
      </c>
      <c r="T69" s="92">
        <f t="shared" si="21"/>
        <v>4496.8249999999998</v>
      </c>
      <c r="U69" s="92">
        <f t="shared" si="21"/>
        <v>5607.789333333335</v>
      </c>
      <c r="V69" s="92">
        <f t="shared" si="21"/>
        <v>4488.3144166666625</v>
      </c>
      <c r="W69" s="92">
        <f t="shared" si="21"/>
        <v>4648.8916666666664</v>
      </c>
      <c r="X69" s="583">
        <f t="shared" si="23"/>
        <v>5731.1940000000022</v>
      </c>
      <c r="Y69" s="583">
        <f t="shared" si="23"/>
        <v>7443.2783333333364</v>
      </c>
      <c r="Z69" s="583">
        <f t="shared" si="23"/>
        <v>9479.6125833333317</v>
      </c>
      <c r="AA69" s="92">
        <f t="shared" si="23"/>
        <v>10298.301416666674</v>
      </c>
      <c r="AB69" s="583">
        <f t="shared" si="23"/>
        <v>10107.988750000002</v>
      </c>
      <c r="AC69" s="92">
        <f t="shared" si="23"/>
        <v>7224.5845000000054</v>
      </c>
      <c r="AD69" s="92"/>
      <c r="AE69" s="92">
        <f t="shared" si="16"/>
        <v>90182.534083333347</v>
      </c>
      <c r="AG69" s="92"/>
      <c r="AH69" s="586"/>
    </row>
    <row r="70" spans="1:34" s="335" customFormat="1">
      <c r="A70" s="327" t="s">
        <v>58</v>
      </c>
      <c r="B70" s="327">
        <f t="shared" ref="B70:B133" si="24">+B58+1</f>
        <v>2017</v>
      </c>
      <c r="C70" s="308" t="s">
        <v>47</v>
      </c>
      <c r="D70" s="583"/>
      <c r="E70" s="92">
        <f t="shared" ref="E70:E133" si="25">D70+E69</f>
        <v>10821904.090000002</v>
      </c>
      <c r="F70" s="92"/>
      <c r="G70" s="92">
        <f t="shared" si="18"/>
        <v>10821904.090000002</v>
      </c>
      <c r="H70" s="583"/>
      <c r="I70" s="590">
        <v>121389.64</v>
      </c>
      <c r="J70" s="583">
        <f t="shared" si="6"/>
        <v>5388129.2400000012</v>
      </c>
      <c r="K70" s="583"/>
      <c r="L70" s="92">
        <f t="shared" ref="L70:L133" si="26">+G70-J70</f>
        <v>5433774.8500000006</v>
      </c>
      <c r="N70" s="92">
        <f t="shared" si="22"/>
        <v>23.958333333333332</v>
      </c>
      <c r="O70" s="92">
        <f t="shared" si="22"/>
        <v>4123.3002500000002</v>
      </c>
      <c r="P70" s="92">
        <f t="shared" si="22"/>
        <v>3898.8593333333333</v>
      </c>
      <c r="Q70" s="92">
        <f t="shared" si="22"/>
        <v>4649.1265833333318</v>
      </c>
      <c r="R70" s="92">
        <f t="shared" si="22"/>
        <v>3495.7283333333326</v>
      </c>
      <c r="S70" s="92">
        <f t="shared" si="22"/>
        <v>4464.78125</v>
      </c>
      <c r="T70" s="92">
        <f t="shared" si="21"/>
        <v>4496.8249999999998</v>
      </c>
      <c r="U70" s="92">
        <f t="shared" si="21"/>
        <v>5607.789333333335</v>
      </c>
      <c r="V70" s="92">
        <f t="shared" si="21"/>
        <v>4488.3144166666625</v>
      </c>
      <c r="W70" s="92">
        <f t="shared" si="21"/>
        <v>4648.8916666666664</v>
      </c>
      <c r="X70" s="583">
        <f t="shared" si="23"/>
        <v>5731.1940000000022</v>
      </c>
      <c r="Y70" s="583">
        <f t="shared" si="23"/>
        <v>7443.2783333333364</v>
      </c>
      <c r="Z70" s="583">
        <f t="shared" si="23"/>
        <v>9479.6125833333317</v>
      </c>
      <c r="AA70" s="92">
        <f t="shared" si="23"/>
        <v>10298.301416666674</v>
      </c>
      <c r="AB70" s="583">
        <f t="shared" si="23"/>
        <v>10107.988750000002</v>
      </c>
      <c r="AC70" s="92">
        <f t="shared" si="23"/>
        <v>7224.5845000000054</v>
      </c>
      <c r="AD70" s="92"/>
      <c r="AE70" s="92">
        <f t="shared" si="16"/>
        <v>90182.534083333347</v>
      </c>
      <c r="AG70" s="92"/>
      <c r="AH70" s="586"/>
    </row>
    <row r="71" spans="1:34" s="335" customFormat="1">
      <c r="A71" s="327" t="s">
        <v>59</v>
      </c>
      <c r="B71" s="327">
        <f t="shared" si="24"/>
        <v>2017</v>
      </c>
      <c r="C71" s="308" t="s">
        <v>47</v>
      </c>
      <c r="D71" s="583"/>
      <c r="E71" s="92">
        <f t="shared" si="25"/>
        <v>10821904.090000002</v>
      </c>
      <c r="F71" s="92"/>
      <c r="G71" s="92">
        <f t="shared" si="18"/>
        <v>10821904.090000002</v>
      </c>
      <c r="H71" s="583"/>
      <c r="I71" s="590">
        <v>116477.78</v>
      </c>
      <c r="J71" s="583">
        <f t="shared" si="6"/>
        <v>5504607.0200000014</v>
      </c>
      <c r="K71" s="583"/>
      <c r="L71" s="92">
        <f t="shared" si="26"/>
        <v>5317297.07</v>
      </c>
      <c r="N71" s="92">
        <f t="shared" si="22"/>
        <v>23.958333333333332</v>
      </c>
      <c r="O71" s="92">
        <f t="shared" si="22"/>
        <v>4123.3002500000002</v>
      </c>
      <c r="P71" s="92">
        <f t="shared" si="22"/>
        <v>3898.8593333333333</v>
      </c>
      <c r="Q71" s="92">
        <f t="shared" si="22"/>
        <v>4649.1265833333318</v>
      </c>
      <c r="R71" s="92">
        <f t="shared" si="22"/>
        <v>3495.7283333333326</v>
      </c>
      <c r="S71" s="92">
        <f t="shared" si="22"/>
        <v>4464.78125</v>
      </c>
      <c r="T71" s="92">
        <f t="shared" si="21"/>
        <v>4496.8249999999998</v>
      </c>
      <c r="U71" s="92">
        <f t="shared" si="21"/>
        <v>5607.789333333335</v>
      </c>
      <c r="V71" s="92">
        <f t="shared" si="21"/>
        <v>4488.3144166666625</v>
      </c>
      <c r="W71" s="92">
        <f t="shared" si="21"/>
        <v>4648.8916666666664</v>
      </c>
      <c r="X71" s="583">
        <f t="shared" si="23"/>
        <v>5731.1940000000022</v>
      </c>
      <c r="Y71" s="583">
        <f t="shared" si="23"/>
        <v>7443.2783333333364</v>
      </c>
      <c r="Z71" s="583">
        <f t="shared" si="23"/>
        <v>9479.6125833333317</v>
      </c>
      <c r="AA71" s="92">
        <f t="shared" si="23"/>
        <v>10298.301416666674</v>
      </c>
      <c r="AB71" s="583">
        <f t="shared" si="23"/>
        <v>10107.988750000002</v>
      </c>
      <c r="AC71" s="92">
        <f t="shared" si="23"/>
        <v>7224.5845000000054</v>
      </c>
      <c r="AD71" s="92"/>
      <c r="AE71" s="92">
        <f t="shared" ref="AE71:AE102" si="27">SUM(N71:AC71)</f>
        <v>90182.534083333347</v>
      </c>
      <c r="AG71" s="92"/>
      <c r="AH71" s="586"/>
    </row>
    <row r="72" spans="1:34" s="335" customFormat="1">
      <c r="A72" s="327" t="s">
        <v>46</v>
      </c>
      <c r="B72" s="327">
        <f t="shared" si="24"/>
        <v>2017</v>
      </c>
      <c r="C72" s="308" t="s">
        <v>47</v>
      </c>
      <c r="D72" s="583"/>
      <c r="E72" s="92">
        <f t="shared" si="25"/>
        <v>10821904.090000002</v>
      </c>
      <c r="F72" s="92"/>
      <c r="G72" s="92">
        <f t="shared" si="18"/>
        <v>10821904.090000002</v>
      </c>
      <c r="H72" s="583"/>
      <c r="I72" s="590">
        <v>129127.23</v>
      </c>
      <c r="J72" s="583">
        <f t="shared" si="6"/>
        <v>5633734.2500000019</v>
      </c>
      <c r="K72" s="583"/>
      <c r="L72" s="92">
        <f t="shared" si="26"/>
        <v>5188169.84</v>
      </c>
      <c r="N72" s="92">
        <f t="shared" si="22"/>
        <v>23.958333333333332</v>
      </c>
      <c r="O72" s="92">
        <f t="shared" si="22"/>
        <v>4123.3002500000002</v>
      </c>
      <c r="P72" s="92">
        <f t="shared" si="22"/>
        <v>3898.8593333333333</v>
      </c>
      <c r="Q72" s="92">
        <f t="shared" si="22"/>
        <v>4649.1265833333318</v>
      </c>
      <c r="R72" s="92">
        <f t="shared" si="22"/>
        <v>3495.7283333333326</v>
      </c>
      <c r="S72" s="92">
        <f t="shared" si="22"/>
        <v>4464.78125</v>
      </c>
      <c r="T72" s="92">
        <f t="shared" si="21"/>
        <v>4496.8249999999998</v>
      </c>
      <c r="U72" s="92">
        <f t="shared" si="21"/>
        <v>5607.789333333335</v>
      </c>
      <c r="V72" s="92">
        <f t="shared" si="21"/>
        <v>4488.3144166666625</v>
      </c>
      <c r="W72" s="92">
        <f t="shared" si="21"/>
        <v>4648.8916666666664</v>
      </c>
      <c r="X72" s="583">
        <f t="shared" si="23"/>
        <v>5731.1940000000022</v>
      </c>
      <c r="Y72" s="583">
        <f t="shared" si="23"/>
        <v>7443.2783333333364</v>
      </c>
      <c r="Z72" s="583">
        <f t="shared" si="23"/>
        <v>9479.6125833333317</v>
      </c>
      <c r="AA72" s="92">
        <f t="shared" si="23"/>
        <v>10298.301416666674</v>
      </c>
      <c r="AB72" s="583">
        <f t="shared" si="23"/>
        <v>10107.988750000002</v>
      </c>
      <c r="AC72" s="92">
        <f t="shared" si="23"/>
        <v>7224.5845000000054</v>
      </c>
      <c r="AD72" s="92"/>
      <c r="AE72" s="92">
        <f t="shared" si="27"/>
        <v>90182.534083333347</v>
      </c>
      <c r="AG72" s="92"/>
      <c r="AH72" s="586"/>
    </row>
    <row r="73" spans="1:34" s="335" customFormat="1">
      <c r="A73" s="327" t="s">
        <v>48</v>
      </c>
      <c r="B73" s="327">
        <f t="shared" si="24"/>
        <v>2017</v>
      </c>
      <c r="C73" s="308" t="s">
        <v>47</v>
      </c>
      <c r="D73" s="583"/>
      <c r="E73" s="92">
        <f t="shared" si="25"/>
        <v>10821904.090000002</v>
      </c>
      <c r="F73" s="92"/>
      <c r="G73" s="92">
        <f t="shared" si="18"/>
        <v>10821904.090000002</v>
      </c>
      <c r="H73" s="583"/>
      <c r="I73" s="590">
        <v>94337.07</v>
      </c>
      <c r="J73" s="583">
        <f t="shared" ref="J73:J133" si="28">I73+J72</f>
        <v>5728071.3200000022</v>
      </c>
      <c r="K73" s="583"/>
      <c r="L73" s="92">
        <f t="shared" si="26"/>
        <v>5093832.7699999996</v>
      </c>
      <c r="N73" s="92">
        <f t="shared" si="22"/>
        <v>23.958333333333332</v>
      </c>
      <c r="O73" s="92">
        <f t="shared" si="22"/>
        <v>4123.3002500000002</v>
      </c>
      <c r="P73" s="92">
        <f t="shared" si="22"/>
        <v>3898.8593333333333</v>
      </c>
      <c r="Q73" s="92">
        <f t="shared" si="22"/>
        <v>4649.1265833333318</v>
      </c>
      <c r="R73" s="92">
        <f t="shared" si="22"/>
        <v>3495.7283333333326</v>
      </c>
      <c r="S73" s="92">
        <f t="shared" si="22"/>
        <v>4464.78125</v>
      </c>
      <c r="T73" s="92">
        <f t="shared" si="21"/>
        <v>4496.8249999999998</v>
      </c>
      <c r="U73" s="92">
        <f t="shared" si="21"/>
        <v>5607.789333333335</v>
      </c>
      <c r="V73" s="92">
        <f t="shared" si="21"/>
        <v>4488.3144166666625</v>
      </c>
      <c r="W73" s="92">
        <f t="shared" si="21"/>
        <v>4648.8916666666664</v>
      </c>
      <c r="X73" s="583">
        <f t="shared" si="23"/>
        <v>5731.1940000000022</v>
      </c>
      <c r="Y73" s="583">
        <f t="shared" si="23"/>
        <v>7443.2783333333364</v>
      </c>
      <c r="Z73" s="583">
        <f t="shared" si="23"/>
        <v>9479.6125833333317</v>
      </c>
      <c r="AA73" s="92">
        <f t="shared" si="23"/>
        <v>10298.301416666674</v>
      </c>
      <c r="AB73" s="583">
        <f t="shared" si="23"/>
        <v>10107.988750000002</v>
      </c>
      <c r="AC73" s="92">
        <f t="shared" si="23"/>
        <v>7224.5845000000054</v>
      </c>
      <c r="AD73" s="92"/>
      <c r="AE73" s="92">
        <f t="shared" si="27"/>
        <v>90182.534083333347</v>
      </c>
      <c r="AG73" s="92"/>
      <c r="AH73" s="586"/>
    </row>
    <row r="74" spans="1:34" s="335" customFormat="1">
      <c r="A74" s="327" t="s">
        <v>50</v>
      </c>
      <c r="B74" s="327">
        <f t="shared" si="24"/>
        <v>2017</v>
      </c>
      <c r="C74" s="308" t="s">
        <v>47</v>
      </c>
      <c r="D74" s="583"/>
      <c r="E74" s="92">
        <f t="shared" si="25"/>
        <v>10821904.090000002</v>
      </c>
      <c r="F74" s="92"/>
      <c r="G74" s="92">
        <f t="shared" si="18"/>
        <v>10821904.090000002</v>
      </c>
      <c r="H74" s="583"/>
      <c r="I74" s="590">
        <v>111052.41</v>
      </c>
      <c r="J74" s="583">
        <f t="shared" si="28"/>
        <v>5839123.7300000023</v>
      </c>
      <c r="K74" s="583"/>
      <c r="L74" s="92">
        <f t="shared" si="26"/>
        <v>4982780.3599999994</v>
      </c>
      <c r="N74" s="92">
        <f t="shared" si="22"/>
        <v>23.958333333333332</v>
      </c>
      <c r="O74" s="92">
        <f t="shared" si="22"/>
        <v>4123.3002500000002</v>
      </c>
      <c r="P74" s="92">
        <f t="shared" si="22"/>
        <v>3898.8593333333333</v>
      </c>
      <c r="Q74" s="92">
        <f t="shared" si="22"/>
        <v>4649.1265833333318</v>
      </c>
      <c r="R74" s="92">
        <f t="shared" si="22"/>
        <v>3495.7283333333326</v>
      </c>
      <c r="S74" s="92">
        <f t="shared" si="22"/>
        <v>4464.78125</v>
      </c>
      <c r="T74" s="92">
        <f t="shared" si="21"/>
        <v>4496.8249999999998</v>
      </c>
      <c r="U74" s="92">
        <f t="shared" si="21"/>
        <v>5607.789333333335</v>
      </c>
      <c r="V74" s="92">
        <f t="shared" si="21"/>
        <v>4488.3144166666625</v>
      </c>
      <c r="W74" s="92">
        <f t="shared" si="21"/>
        <v>4648.8916666666664</v>
      </c>
      <c r="X74" s="583">
        <f t="shared" si="23"/>
        <v>5731.1940000000022</v>
      </c>
      <c r="Y74" s="583">
        <f t="shared" si="23"/>
        <v>7443.2783333333364</v>
      </c>
      <c r="Z74" s="583">
        <f t="shared" si="23"/>
        <v>9479.6125833333317</v>
      </c>
      <c r="AA74" s="92">
        <f t="shared" si="23"/>
        <v>10298.301416666674</v>
      </c>
      <c r="AB74" s="583">
        <f t="shared" si="23"/>
        <v>10107.988750000002</v>
      </c>
      <c r="AC74" s="92">
        <f t="shared" si="23"/>
        <v>7224.5845000000054</v>
      </c>
      <c r="AD74" s="92"/>
      <c r="AE74" s="92">
        <f t="shared" si="27"/>
        <v>90182.534083333347</v>
      </c>
      <c r="AG74" s="92"/>
      <c r="AH74" s="586"/>
    </row>
    <row r="75" spans="1:34" s="335" customFormat="1">
      <c r="A75" s="327" t="s">
        <v>51</v>
      </c>
      <c r="B75" s="327">
        <f t="shared" si="24"/>
        <v>2017</v>
      </c>
      <c r="C75" s="308" t="s">
        <v>47</v>
      </c>
      <c r="D75" s="583"/>
      <c r="E75" s="92">
        <f t="shared" si="25"/>
        <v>10821904.090000002</v>
      </c>
      <c r="F75" s="92"/>
      <c r="G75" s="92">
        <f t="shared" si="18"/>
        <v>10821904.090000002</v>
      </c>
      <c r="H75" s="583"/>
      <c r="I75" s="590">
        <v>92602.5</v>
      </c>
      <c r="J75" s="583">
        <f t="shared" si="28"/>
        <v>5931726.2300000023</v>
      </c>
      <c r="K75" s="583"/>
      <c r="L75" s="92">
        <f t="shared" si="26"/>
        <v>4890177.8599999994</v>
      </c>
      <c r="N75" s="92">
        <f t="shared" si="22"/>
        <v>23.958333333333332</v>
      </c>
      <c r="O75" s="92">
        <f t="shared" si="22"/>
        <v>4123.3002500000002</v>
      </c>
      <c r="P75" s="92">
        <f t="shared" si="22"/>
        <v>3898.8593333333333</v>
      </c>
      <c r="Q75" s="92">
        <f t="shared" si="22"/>
        <v>4649.1265833333318</v>
      </c>
      <c r="R75" s="92">
        <f t="shared" si="22"/>
        <v>3495.7283333333326</v>
      </c>
      <c r="S75" s="92">
        <f t="shared" si="22"/>
        <v>4464.78125</v>
      </c>
      <c r="T75" s="92">
        <f t="shared" si="21"/>
        <v>4496.8249999999998</v>
      </c>
      <c r="U75" s="92">
        <f t="shared" si="21"/>
        <v>5607.789333333335</v>
      </c>
      <c r="V75" s="92">
        <f t="shared" si="21"/>
        <v>4488.3144166666625</v>
      </c>
      <c r="W75" s="92">
        <f t="shared" si="21"/>
        <v>4648.8916666666664</v>
      </c>
      <c r="X75" s="583">
        <f t="shared" si="23"/>
        <v>5731.1940000000022</v>
      </c>
      <c r="Y75" s="583">
        <f t="shared" si="23"/>
        <v>7443.2783333333364</v>
      </c>
      <c r="Z75" s="583">
        <f t="shared" si="23"/>
        <v>9479.6125833333317</v>
      </c>
      <c r="AA75" s="92">
        <f t="shared" si="23"/>
        <v>10298.301416666674</v>
      </c>
      <c r="AB75" s="583">
        <f t="shared" si="23"/>
        <v>10107.988750000002</v>
      </c>
      <c r="AC75" s="92">
        <f t="shared" si="23"/>
        <v>7224.5845000000054</v>
      </c>
      <c r="AD75" s="92"/>
      <c r="AE75" s="92">
        <f t="shared" si="27"/>
        <v>90182.534083333347</v>
      </c>
      <c r="AG75" s="92"/>
      <c r="AH75" s="586"/>
    </row>
    <row r="76" spans="1:34" s="335" customFormat="1">
      <c r="A76" s="327" t="s">
        <v>52</v>
      </c>
      <c r="B76" s="327">
        <f t="shared" si="24"/>
        <v>2017</v>
      </c>
      <c r="C76" s="308" t="s">
        <v>47</v>
      </c>
      <c r="D76" s="583"/>
      <c r="E76" s="92">
        <f t="shared" si="25"/>
        <v>10821904.090000002</v>
      </c>
      <c r="F76" s="92"/>
      <c r="G76" s="92">
        <f t="shared" si="18"/>
        <v>10821904.090000002</v>
      </c>
      <c r="H76" s="583"/>
      <c r="I76" s="590">
        <v>92411.88</v>
      </c>
      <c r="J76" s="583">
        <f t="shared" si="28"/>
        <v>6024138.1100000022</v>
      </c>
      <c r="K76" s="583"/>
      <c r="L76" s="92">
        <f t="shared" si="26"/>
        <v>4797765.9799999995</v>
      </c>
      <c r="N76" s="92">
        <f t="shared" si="22"/>
        <v>23.958333333333332</v>
      </c>
      <c r="O76" s="92">
        <f t="shared" si="22"/>
        <v>4123.3002500000002</v>
      </c>
      <c r="P76" s="92">
        <f t="shared" si="22"/>
        <v>3898.8593333333333</v>
      </c>
      <c r="Q76" s="92">
        <f t="shared" si="22"/>
        <v>4649.1265833333318</v>
      </c>
      <c r="R76" s="92">
        <f t="shared" si="22"/>
        <v>3495.7283333333326</v>
      </c>
      <c r="S76" s="92">
        <f t="shared" si="22"/>
        <v>4464.78125</v>
      </c>
      <c r="T76" s="92">
        <f t="shared" ref="T76:W91" si="29">+T75</f>
        <v>4496.8249999999998</v>
      </c>
      <c r="U76" s="92">
        <f t="shared" si="29"/>
        <v>5607.789333333335</v>
      </c>
      <c r="V76" s="92">
        <f t="shared" si="29"/>
        <v>4488.3144166666625</v>
      </c>
      <c r="W76" s="92">
        <f t="shared" si="29"/>
        <v>4648.8916666666664</v>
      </c>
      <c r="X76" s="583">
        <f t="shared" si="23"/>
        <v>5731.1940000000022</v>
      </c>
      <c r="Y76" s="583">
        <f t="shared" si="23"/>
        <v>7443.2783333333364</v>
      </c>
      <c r="Z76" s="583">
        <f t="shared" si="23"/>
        <v>9479.6125833333317</v>
      </c>
      <c r="AA76" s="92">
        <f t="shared" si="23"/>
        <v>10298.301416666674</v>
      </c>
      <c r="AB76" s="583">
        <f t="shared" si="23"/>
        <v>10107.988750000002</v>
      </c>
      <c r="AC76" s="92">
        <f t="shared" si="23"/>
        <v>7224.5845000000054</v>
      </c>
      <c r="AD76" s="92"/>
      <c r="AE76" s="92">
        <f t="shared" si="27"/>
        <v>90182.534083333347</v>
      </c>
      <c r="AG76" s="92"/>
      <c r="AH76" s="586"/>
    </row>
    <row r="77" spans="1:34" s="335" customFormat="1">
      <c r="A77" s="327" t="s">
        <v>53</v>
      </c>
      <c r="B77" s="327">
        <f t="shared" si="24"/>
        <v>2018</v>
      </c>
      <c r="C77" s="308" t="s">
        <v>47</v>
      </c>
      <c r="D77" s="583"/>
      <c r="E77" s="92">
        <f t="shared" si="25"/>
        <v>10821904.090000002</v>
      </c>
      <c r="F77" s="92"/>
      <c r="G77" s="92">
        <f t="shared" si="18"/>
        <v>10821904.090000002</v>
      </c>
      <c r="H77" s="583"/>
      <c r="I77" s="590">
        <v>100965.98</v>
      </c>
      <c r="J77" s="583">
        <f t="shared" si="28"/>
        <v>6125104.0900000026</v>
      </c>
      <c r="K77" s="583"/>
      <c r="L77" s="92">
        <f t="shared" si="26"/>
        <v>4696799.9999999991</v>
      </c>
      <c r="N77" s="92">
        <f t="shared" si="22"/>
        <v>23.958333333333332</v>
      </c>
      <c r="O77" s="92">
        <f t="shared" si="22"/>
        <v>4123.3002500000002</v>
      </c>
      <c r="P77" s="92">
        <f t="shared" si="22"/>
        <v>3898.8593333333333</v>
      </c>
      <c r="Q77" s="92">
        <f t="shared" si="22"/>
        <v>4649.1265833333318</v>
      </c>
      <c r="R77" s="92">
        <f t="shared" si="22"/>
        <v>3495.7283333333326</v>
      </c>
      <c r="S77" s="92">
        <f t="shared" si="22"/>
        <v>4464.78125</v>
      </c>
      <c r="T77" s="92">
        <f t="shared" si="29"/>
        <v>4496.8249999999998</v>
      </c>
      <c r="U77" s="92">
        <f t="shared" si="29"/>
        <v>5607.789333333335</v>
      </c>
      <c r="V77" s="92">
        <f t="shared" si="29"/>
        <v>4488.3144166666625</v>
      </c>
      <c r="W77" s="92">
        <f t="shared" si="29"/>
        <v>4648.8916666666664</v>
      </c>
      <c r="X77" s="583">
        <f t="shared" si="23"/>
        <v>5731.1940000000022</v>
      </c>
      <c r="Y77" s="583">
        <f t="shared" si="23"/>
        <v>7443.2783333333364</v>
      </c>
      <c r="Z77" s="583">
        <f t="shared" si="23"/>
        <v>9479.6125833333317</v>
      </c>
      <c r="AA77" s="92">
        <f t="shared" si="23"/>
        <v>10298.301416666674</v>
      </c>
      <c r="AB77" s="583">
        <f t="shared" si="23"/>
        <v>10107.988750000002</v>
      </c>
      <c r="AC77" s="92">
        <f t="shared" si="23"/>
        <v>7224.5845000000054</v>
      </c>
      <c r="AD77" s="92"/>
      <c r="AE77" s="92">
        <f t="shared" si="27"/>
        <v>90182.534083333347</v>
      </c>
      <c r="AG77" s="92"/>
      <c r="AH77" s="586"/>
    </row>
    <row r="78" spans="1:34" s="335" customFormat="1">
      <c r="A78" s="327" t="s">
        <v>54</v>
      </c>
      <c r="B78" s="327">
        <f t="shared" si="24"/>
        <v>2018</v>
      </c>
      <c r="C78" s="308" t="s">
        <v>47</v>
      </c>
      <c r="D78" s="583"/>
      <c r="E78" s="92">
        <f t="shared" si="25"/>
        <v>10821904.090000002</v>
      </c>
      <c r="F78" s="92"/>
      <c r="G78" s="92">
        <f t="shared" si="18"/>
        <v>10821904.090000002</v>
      </c>
      <c r="H78" s="583"/>
      <c r="I78" s="590">
        <v>80714.27</v>
      </c>
      <c r="J78" s="583">
        <f t="shared" si="28"/>
        <v>6205818.3600000022</v>
      </c>
      <c r="K78" s="583"/>
      <c r="L78" s="92">
        <f t="shared" si="26"/>
        <v>4616085.7299999995</v>
      </c>
      <c r="N78" s="92">
        <f t="shared" si="22"/>
        <v>23.958333333333332</v>
      </c>
      <c r="O78" s="92">
        <f t="shared" si="22"/>
        <v>4123.3002500000002</v>
      </c>
      <c r="P78" s="92">
        <f t="shared" si="22"/>
        <v>3898.8593333333333</v>
      </c>
      <c r="Q78" s="92">
        <f t="shared" si="22"/>
        <v>4649.1265833333318</v>
      </c>
      <c r="R78" s="92">
        <f t="shared" si="22"/>
        <v>3495.7283333333326</v>
      </c>
      <c r="S78" s="92">
        <f t="shared" si="22"/>
        <v>4464.78125</v>
      </c>
      <c r="T78" s="92">
        <f t="shared" si="29"/>
        <v>4496.8249999999998</v>
      </c>
      <c r="U78" s="92">
        <f t="shared" si="29"/>
        <v>5607.789333333335</v>
      </c>
      <c r="V78" s="92">
        <f t="shared" si="29"/>
        <v>4488.3144166666625</v>
      </c>
      <c r="W78" s="92">
        <f t="shared" si="29"/>
        <v>4648.8916666666664</v>
      </c>
      <c r="X78" s="583">
        <f t="shared" si="23"/>
        <v>5731.1940000000022</v>
      </c>
      <c r="Y78" s="583">
        <f t="shared" si="23"/>
        <v>7443.2783333333364</v>
      </c>
      <c r="Z78" s="583">
        <f t="shared" si="23"/>
        <v>9479.6125833333317</v>
      </c>
      <c r="AA78" s="92">
        <f t="shared" si="23"/>
        <v>10298.301416666674</v>
      </c>
      <c r="AB78" s="583">
        <f t="shared" si="23"/>
        <v>10107.988750000002</v>
      </c>
      <c r="AC78" s="92">
        <f t="shared" si="23"/>
        <v>7224.5845000000054</v>
      </c>
      <c r="AD78" s="92"/>
      <c r="AE78" s="92">
        <f t="shared" si="27"/>
        <v>90182.534083333347</v>
      </c>
      <c r="AG78" s="92"/>
      <c r="AH78" s="586"/>
    </row>
    <row r="79" spans="1:34" s="335" customFormat="1">
      <c r="A79" s="327" t="s">
        <v>55</v>
      </c>
      <c r="B79" s="327">
        <f t="shared" si="24"/>
        <v>2018</v>
      </c>
      <c r="C79" s="308" t="s">
        <v>47</v>
      </c>
      <c r="D79" s="583"/>
      <c r="E79" s="92">
        <f>D79+E78</f>
        <v>10821904.090000002</v>
      </c>
      <c r="F79" s="92"/>
      <c r="G79" s="92">
        <f t="shared" si="18"/>
        <v>10821904.090000002</v>
      </c>
      <c r="H79" s="583"/>
      <c r="I79" s="590">
        <v>84948.81</v>
      </c>
      <c r="J79" s="583">
        <f t="shared" si="28"/>
        <v>6290767.1700000018</v>
      </c>
      <c r="K79" s="583"/>
      <c r="L79" s="92">
        <f t="shared" si="26"/>
        <v>4531136.92</v>
      </c>
      <c r="N79" s="92">
        <f t="shared" si="22"/>
        <v>23.958333333333332</v>
      </c>
      <c r="O79" s="92">
        <f>+O78</f>
        <v>4123.3002500000002</v>
      </c>
      <c r="P79" s="92">
        <f>+P78</f>
        <v>3898.8593333333333</v>
      </c>
      <c r="Q79" s="92">
        <f>+Q78</f>
        <v>4649.1265833333318</v>
      </c>
      <c r="R79" s="92">
        <f>+R78</f>
        <v>3495.7283333333326</v>
      </c>
      <c r="S79" s="92">
        <f>+S78</f>
        <v>4464.78125</v>
      </c>
      <c r="T79" s="92">
        <f t="shared" si="29"/>
        <v>4496.8249999999998</v>
      </c>
      <c r="U79" s="92">
        <f t="shared" si="29"/>
        <v>5607.789333333335</v>
      </c>
      <c r="V79" s="92">
        <f t="shared" si="29"/>
        <v>4488.3144166666625</v>
      </c>
      <c r="W79" s="92">
        <f t="shared" si="29"/>
        <v>4648.8916666666664</v>
      </c>
      <c r="X79" s="583">
        <f t="shared" si="23"/>
        <v>5731.1940000000022</v>
      </c>
      <c r="Y79" s="583">
        <f t="shared" si="23"/>
        <v>7443.2783333333364</v>
      </c>
      <c r="Z79" s="583">
        <f t="shared" si="23"/>
        <v>9479.6125833333317</v>
      </c>
      <c r="AA79" s="92">
        <f t="shared" si="23"/>
        <v>10298.301416666674</v>
      </c>
      <c r="AB79" s="583">
        <f t="shared" si="23"/>
        <v>10107.988750000002</v>
      </c>
      <c r="AC79" s="92">
        <f t="shared" si="23"/>
        <v>7224.5845000000054</v>
      </c>
      <c r="AD79" s="92"/>
      <c r="AE79" s="92">
        <f t="shared" si="27"/>
        <v>90182.534083333347</v>
      </c>
      <c r="AG79" s="92"/>
      <c r="AH79" s="586"/>
    </row>
    <row r="80" spans="1:34" s="335" customFormat="1">
      <c r="A80" s="327" t="s">
        <v>56</v>
      </c>
      <c r="B80" s="327">
        <f t="shared" si="24"/>
        <v>2018</v>
      </c>
      <c r="C80" s="308" t="s">
        <v>47</v>
      </c>
      <c r="D80" s="583"/>
      <c r="E80" s="92">
        <f t="shared" si="25"/>
        <v>10821904.090000002</v>
      </c>
      <c r="F80" s="92"/>
      <c r="G80" s="92">
        <f t="shared" si="18"/>
        <v>10821904.090000002</v>
      </c>
      <c r="H80" s="583"/>
      <c r="I80" s="590">
        <v>100219.14</v>
      </c>
      <c r="J80" s="583">
        <f t="shared" si="28"/>
        <v>6390986.3100000015</v>
      </c>
      <c r="K80" s="583"/>
      <c r="L80" s="92">
        <f t="shared" si="26"/>
        <v>4430917.78</v>
      </c>
      <c r="N80" s="92">
        <f t="shared" ref="N80:S92" si="30">+N79</f>
        <v>23.958333333333332</v>
      </c>
      <c r="O80" s="92">
        <f t="shared" si="30"/>
        <v>4123.3002500000002</v>
      </c>
      <c r="P80" s="92">
        <f t="shared" si="30"/>
        <v>3898.8593333333333</v>
      </c>
      <c r="Q80" s="92">
        <f t="shared" si="30"/>
        <v>4649.1265833333318</v>
      </c>
      <c r="R80" s="92">
        <f t="shared" si="30"/>
        <v>3495.7283333333326</v>
      </c>
      <c r="S80" s="92">
        <f t="shared" si="30"/>
        <v>4464.78125</v>
      </c>
      <c r="T80" s="92">
        <f t="shared" si="29"/>
        <v>4496.8249999999998</v>
      </c>
      <c r="U80" s="92">
        <f t="shared" si="29"/>
        <v>5607.789333333335</v>
      </c>
      <c r="V80" s="92">
        <f t="shared" si="29"/>
        <v>4488.3144166666625</v>
      </c>
      <c r="W80" s="92">
        <f t="shared" si="29"/>
        <v>4648.8916666666664</v>
      </c>
      <c r="X80" s="583">
        <f t="shared" si="23"/>
        <v>5731.1940000000022</v>
      </c>
      <c r="Y80" s="583">
        <f t="shared" si="23"/>
        <v>7443.2783333333364</v>
      </c>
      <c r="Z80" s="583">
        <f t="shared" si="23"/>
        <v>9479.6125833333317</v>
      </c>
      <c r="AA80" s="92">
        <f t="shared" si="23"/>
        <v>10298.301416666674</v>
      </c>
      <c r="AB80" s="583">
        <f t="shared" si="23"/>
        <v>10107.988750000002</v>
      </c>
      <c r="AC80" s="92">
        <f t="shared" si="23"/>
        <v>7224.5845000000054</v>
      </c>
      <c r="AD80" s="92"/>
      <c r="AE80" s="92">
        <f t="shared" si="27"/>
        <v>90182.534083333347</v>
      </c>
      <c r="AG80" s="92"/>
      <c r="AH80" s="586"/>
    </row>
    <row r="81" spans="1:34" s="335" customFormat="1">
      <c r="A81" s="327" t="s">
        <v>57</v>
      </c>
      <c r="B81" s="327">
        <f t="shared" si="24"/>
        <v>2018</v>
      </c>
      <c r="C81" s="308" t="s">
        <v>47</v>
      </c>
      <c r="D81" s="583"/>
      <c r="E81" s="92">
        <f t="shared" si="25"/>
        <v>10821904.090000002</v>
      </c>
      <c r="F81" s="92"/>
      <c r="G81" s="92">
        <f t="shared" si="18"/>
        <v>10821904.090000002</v>
      </c>
      <c r="H81" s="583"/>
      <c r="I81" s="590">
        <v>119999.12</v>
      </c>
      <c r="J81" s="583">
        <f t="shared" si="28"/>
        <v>6510985.4300000016</v>
      </c>
      <c r="K81" s="583"/>
      <c r="L81" s="92">
        <f t="shared" si="26"/>
        <v>4310918.66</v>
      </c>
      <c r="N81" s="92">
        <f t="shared" si="30"/>
        <v>23.958333333333332</v>
      </c>
      <c r="O81" s="92">
        <f t="shared" si="30"/>
        <v>4123.3002500000002</v>
      </c>
      <c r="P81" s="92">
        <f t="shared" si="30"/>
        <v>3898.8593333333333</v>
      </c>
      <c r="Q81" s="92">
        <f t="shared" si="30"/>
        <v>4649.1265833333318</v>
      </c>
      <c r="R81" s="92">
        <f t="shared" si="30"/>
        <v>3495.7283333333326</v>
      </c>
      <c r="S81" s="92">
        <f t="shared" si="30"/>
        <v>4464.78125</v>
      </c>
      <c r="T81" s="92">
        <f t="shared" si="29"/>
        <v>4496.8249999999998</v>
      </c>
      <c r="U81" s="92">
        <f t="shared" si="29"/>
        <v>5607.789333333335</v>
      </c>
      <c r="V81" s="92">
        <f t="shared" si="29"/>
        <v>4488.3144166666625</v>
      </c>
      <c r="W81" s="92">
        <f t="shared" si="29"/>
        <v>4648.8916666666664</v>
      </c>
      <c r="X81" s="583">
        <f t="shared" si="23"/>
        <v>5731.1940000000022</v>
      </c>
      <c r="Y81" s="583">
        <f t="shared" si="23"/>
        <v>7443.2783333333364</v>
      </c>
      <c r="Z81" s="583">
        <f t="shared" si="23"/>
        <v>9479.6125833333317</v>
      </c>
      <c r="AA81" s="92">
        <f t="shared" si="23"/>
        <v>10298.301416666674</v>
      </c>
      <c r="AB81" s="583">
        <f t="shared" si="23"/>
        <v>10107.988750000002</v>
      </c>
      <c r="AC81" s="92">
        <f t="shared" si="23"/>
        <v>7224.5845000000054</v>
      </c>
      <c r="AD81" s="92"/>
      <c r="AE81" s="92">
        <f t="shared" si="27"/>
        <v>90182.534083333347</v>
      </c>
      <c r="AG81" s="92"/>
      <c r="AH81" s="586"/>
    </row>
    <row r="82" spans="1:34" s="335" customFormat="1">
      <c r="A82" s="327" t="s">
        <v>58</v>
      </c>
      <c r="B82" s="327">
        <f t="shared" si="24"/>
        <v>2018</v>
      </c>
      <c r="C82" s="308" t="s">
        <v>47</v>
      </c>
      <c r="D82" s="583"/>
      <c r="E82" s="92">
        <f t="shared" si="25"/>
        <v>10821904.090000002</v>
      </c>
      <c r="F82" s="92"/>
      <c r="G82" s="92">
        <f t="shared" si="18"/>
        <v>10821904.090000002</v>
      </c>
      <c r="H82" s="583"/>
      <c r="I82" s="590">
        <v>99094.16</v>
      </c>
      <c r="J82" s="583">
        <f t="shared" si="28"/>
        <v>6610079.5900000017</v>
      </c>
      <c r="K82" s="583"/>
      <c r="L82" s="92">
        <f t="shared" si="26"/>
        <v>4211824.5</v>
      </c>
      <c r="N82" s="92">
        <f t="shared" si="30"/>
        <v>23.958333333333332</v>
      </c>
      <c r="O82" s="92">
        <f t="shared" si="30"/>
        <v>4123.3002500000002</v>
      </c>
      <c r="P82" s="92">
        <f t="shared" si="30"/>
        <v>3898.8593333333333</v>
      </c>
      <c r="Q82" s="92">
        <f t="shared" si="30"/>
        <v>4649.1265833333318</v>
      </c>
      <c r="R82" s="92">
        <f t="shared" si="30"/>
        <v>3495.7283333333326</v>
      </c>
      <c r="S82" s="92">
        <f t="shared" si="30"/>
        <v>4464.78125</v>
      </c>
      <c r="T82" s="92">
        <f t="shared" si="29"/>
        <v>4496.8249999999998</v>
      </c>
      <c r="U82" s="92">
        <f t="shared" si="29"/>
        <v>5607.789333333335</v>
      </c>
      <c r="V82" s="92">
        <f t="shared" si="29"/>
        <v>4488.3144166666625</v>
      </c>
      <c r="W82" s="92">
        <f t="shared" si="29"/>
        <v>4648.8916666666664</v>
      </c>
      <c r="X82" s="583">
        <f t="shared" si="23"/>
        <v>5731.1940000000022</v>
      </c>
      <c r="Y82" s="583">
        <f t="shared" si="23"/>
        <v>7443.2783333333364</v>
      </c>
      <c r="Z82" s="583">
        <f t="shared" si="23"/>
        <v>9479.6125833333317</v>
      </c>
      <c r="AA82" s="92">
        <f t="shared" si="23"/>
        <v>10298.301416666674</v>
      </c>
      <c r="AB82" s="583">
        <f t="shared" si="23"/>
        <v>10107.988750000002</v>
      </c>
      <c r="AC82" s="92">
        <f t="shared" si="23"/>
        <v>7224.5845000000054</v>
      </c>
      <c r="AD82" s="92"/>
      <c r="AE82" s="92">
        <f t="shared" si="27"/>
        <v>90182.534083333347</v>
      </c>
      <c r="AG82" s="92"/>
      <c r="AH82" s="586"/>
    </row>
    <row r="83" spans="1:34" s="335" customFormat="1">
      <c r="A83" s="327" t="s">
        <v>59</v>
      </c>
      <c r="B83" s="327">
        <f t="shared" si="24"/>
        <v>2018</v>
      </c>
      <c r="C83" s="308" t="s">
        <v>47</v>
      </c>
      <c r="D83" s="583"/>
      <c r="E83" s="92">
        <f t="shared" si="25"/>
        <v>10821904.090000002</v>
      </c>
      <c r="F83" s="92"/>
      <c r="G83" s="92">
        <f t="shared" si="18"/>
        <v>10821904.090000002</v>
      </c>
      <c r="H83" s="583"/>
      <c r="I83" s="590">
        <v>101623.69</v>
      </c>
      <c r="J83" s="583">
        <f t="shared" si="28"/>
        <v>6711703.2800000021</v>
      </c>
      <c r="K83" s="583"/>
      <c r="L83" s="92">
        <f t="shared" si="26"/>
        <v>4110200.8099999996</v>
      </c>
      <c r="N83" s="92">
        <f t="shared" si="30"/>
        <v>23.958333333333332</v>
      </c>
      <c r="O83" s="92">
        <f t="shared" si="30"/>
        <v>4123.3002500000002</v>
      </c>
      <c r="P83" s="92">
        <f t="shared" si="30"/>
        <v>3898.8593333333333</v>
      </c>
      <c r="Q83" s="92">
        <f t="shared" si="30"/>
        <v>4649.1265833333318</v>
      </c>
      <c r="R83" s="92">
        <f t="shared" si="30"/>
        <v>3495.7283333333326</v>
      </c>
      <c r="S83" s="92">
        <f t="shared" si="30"/>
        <v>4464.78125</v>
      </c>
      <c r="T83" s="92">
        <f t="shared" si="29"/>
        <v>4496.8249999999998</v>
      </c>
      <c r="U83" s="92">
        <f t="shared" si="29"/>
        <v>5607.789333333335</v>
      </c>
      <c r="V83" s="92">
        <f t="shared" si="29"/>
        <v>4488.3144166666625</v>
      </c>
      <c r="W83" s="92">
        <f t="shared" si="29"/>
        <v>4648.8916666666664</v>
      </c>
      <c r="X83" s="583">
        <f t="shared" ref="X83:AC98" si="31">X82</f>
        <v>5731.1940000000022</v>
      </c>
      <c r="Y83" s="583">
        <f t="shared" si="31"/>
        <v>7443.2783333333364</v>
      </c>
      <c r="Z83" s="583">
        <f t="shared" si="31"/>
        <v>9479.6125833333317</v>
      </c>
      <c r="AA83" s="92">
        <f t="shared" si="31"/>
        <v>10298.301416666674</v>
      </c>
      <c r="AB83" s="583">
        <f t="shared" si="31"/>
        <v>10107.988750000002</v>
      </c>
      <c r="AC83" s="92">
        <f t="shared" si="31"/>
        <v>7224.5845000000054</v>
      </c>
      <c r="AD83" s="92"/>
      <c r="AE83" s="92">
        <f t="shared" si="27"/>
        <v>90182.534083333347</v>
      </c>
      <c r="AG83" s="92"/>
      <c r="AH83" s="586"/>
    </row>
    <row r="84" spans="1:34" s="335" customFormat="1">
      <c r="A84" s="327" t="s">
        <v>46</v>
      </c>
      <c r="B84" s="327">
        <f t="shared" si="24"/>
        <v>2018</v>
      </c>
      <c r="C84" s="327" t="s">
        <v>47</v>
      </c>
      <c r="D84" s="583"/>
      <c r="E84" s="92">
        <f t="shared" si="25"/>
        <v>10821904.090000002</v>
      </c>
      <c r="F84" s="92"/>
      <c r="G84" s="92">
        <f t="shared" si="18"/>
        <v>10821904.090000002</v>
      </c>
      <c r="H84" s="583"/>
      <c r="I84" s="590">
        <v>117082.65</v>
      </c>
      <c r="J84" s="583">
        <f t="shared" si="28"/>
        <v>6828785.9300000025</v>
      </c>
      <c r="K84" s="583"/>
      <c r="L84" s="92">
        <f t="shared" si="26"/>
        <v>3993118.1599999992</v>
      </c>
      <c r="N84" s="92">
        <f t="shared" si="30"/>
        <v>23.958333333333332</v>
      </c>
      <c r="O84" s="92">
        <f t="shared" si="30"/>
        <v>4123.3002500000002</v>
      </c>
      <c r="P84" s="92">
        <f t="shared" si="30"/>
        <v>3898.8593333333333</v>
      </c>
      <c r="Q84" s="92">
        <f t="shared" si="30"/>
        <v>4649.1265833333318</v>
      </c>
      <c r="R84" s="92">
        <f t="shared" si="30"/>
        <v>3495.7283333333326</v>
      </c>
      <c r="S84" s="92">
        <f t="shared" si="30"/>
        <v>4464.78125</v>
      </c>
      <c r="T84" s="92">
        <f t="shared" si="29"/>
        <v>4496.8249999999998</v>
      </c>
      <c r="U84" s="92">
        <f t="shared" si="29"/>
        <v>5607.789333333335</v>
      </c>
      <c r="V84" s="92">
        <f t="shared" si="29"/>
        <v>4488.3144166666625</v>
      </c>
      <c r="W84" s="92">
        <f t="shared" si="29"/>
        <v>4648.8916666666664</v>
      </c>
      <c r="X84" s="583">
        <f t="shared" si="31"/>
        <v>5731.1940000000022</v>
      </c>
      <c r="Y84" s="583">
        <f t="shared" si="31"/>
        <v>7443.2783333333364</v>
      </c>
      <c r="Z84" s="583">
        <f t="shared" si="31"/>
        <v>9479.6125833333317</v>
      </c>
      <c r="AA84" s="92">
        <f t="shared" si="31"/>
        <v>10298.301416666674</v>
      </c>
      <c r="AB84" s="583">
        <f t="shared" si="31"/>
        <v>10107.988750000002</v>
      </c>
      <c r="AC84" s="92">
        <f t="shared" si="31"/>
        <v>7224.5845000000054</v>
      </c>
      <c r="AD84" s="92"/>
      <c r="AE84" s="92">
        <f t="shared" si="27"/>
        <v>90182.534083333347</v>
      </c>
      <c r="AG84" s="92"/>
      <c r="AH84" s="586"/>
    </row>
    <row r="85" spans="1:34" s="335" customFormat="1">
      <c r="A85" s="327" t="s">
        <v>48</v>
      </c>
      <c r="B85" s="327">
        <f t="shared" si="24"/>
        <v>2018</v>
      </c>
      <c r="C85" s="327" t="s">
        <v>47</v>
      </c>
      <c r="D85" s="583"/>
      <c r="E85" s="92">
        <f t="shared" si="25"/>
        <v>10821904.090000002</v>
      </c>
      <c r="F85" s="92"/>
      <c r="G85" s="92">
        <f t="shared" si="18"/>
        <v>10821904.090000002</v>
      </c>
      <c r="H85" s="583"/>
      <c r="I85" s="590">
        <v>73440.929999999993</v>
      </c>
      <c r="J85" s="583">
        <f t="shared" si="28"/>
        <v>6902226.8600000022</v>
      </c>
      <c r="K85" s="583"/>
      <c r="L85" s="92">
        <f t="shared" si="26"/>
        <v>3919677.2299999995</v>
      </c>
      <c r="N85" s="92">
        <f t="shared" si="30"/>
        <v>23.958333333333332</v>
      </c>
      <c r="O85" s="92">
        <f t="shared" si="30"/>
        <v>4123.3002500000002</v>
      </c>
      <c r="P85" s="92">
        <f t="shared" si="30"/>
        <v>3898.8593333333333</v>
      </c>
      <c r="Q85" s="92">
        <f t="shared" si="30"/>
        <v>4649.1265833333318</v>
      </c>
      <c r="R85" s="92">
        <f t="shared" si="30"/>
        <v>3495.7283333333326</v>
      </c>
      <c r="S85" s="92">
        <f t="shared" si="30"/>
        <v>4464.78125</v>
      </c>
      <c r="T85" s="92">
        <f t="shared" si="29"/>
        <v>4496.8249999999998</v>
      </c>
      <c r="U85" s="92">
        <f t="shared" si="29"/>
        <v>5607.789333333335</v>
      </c>
      <c r="V85" s="92">
        <f t="shared" si="29"/>
        <v>4488.3144166666625</v>
      </c>
      <c r="W85" s="92">
        <f t="shared" si="29"/>
        <v>4648.8916666666664</v>
      </c>
      <c r="X85" s="583">
        <f t="shared" si="31"/>
        <v>5731.1940000000022</v>
      </c>
      <c r="Y85" s="583">
        <f t="shared" si="31"/>
        <v>7443.2783333333364</v>
      </c>
      <c r="Z85" s="583">
        <f t="shared" si="31"/>
        <v>9479.6125833333317</v>
      </c>
      <c r="AA85" s="92">
        <f t="shared" si="31"/>
        <v>10298.301416666674</v>
      </c>
      <c r="AB85" s="583">
        <f t="shared" si="31"/>
        <v>10107.988750000002</v>
      </c>
      <c r="AC85" s="92">
        <f t="shared" si="31"/>
        <v>7224.5845000000054</v>
      </c>
      <c r="AD85" s="92"/>
      <c r="AE85" s="92">
        <f t="shared" si="27"/>
        <v>90182.534083333347</v>
      </c>
      <c r="AG85" s="92"/>
      <c r="AH85" s="586"/>
    </row>
    <row r="86" spans="1:34" s="335" customFormat="1" outlineLevel="1">
      <c r="A86" s="327" t="s">
        <v>50</v>
      </c>
      <c r="B86" s="327">
        <f t="shared" si="24"/>
        <v>2018</v>
      </c>
      <c r="C86" s="327" t="s">
        <v>47</v>
      </c>
      <c r="D86" s="583"/>
      <c r="E86" s="92">
        <f t="shared" si="25"/>
        <v>10821904.090000002</v>
      </c>
      <c r="F86" s="92"/>
      <c r="G86" s="92">
        <f t="shared" si="18"/>
        <v>10821904.090000002</v>
      </c>
      <c r="H86" s="583"/>
      <c r="I86" s="590">
        <v>94678.68</v>
      </c>
      <c r="J86" s="583">
        <f t="shared" si="28"/>
        <v>6996905.5400000019</v>
      </c>
      <c r="K86" s="583"/>
      <c r="L86" s="92">
        <f t="shared" si="26"/>
        <v>3824998.55</v>
      </c>
      <c r="N86" s="92">
        <f t="shared" si="30"/>
        <v>23.958333333333332</v>
      </c>
      <c r="O86" s="92">
        <f t="shared" si="30"/>
        <v>4123.3002500000002</v>
      </c>
      <c r="P86" s="92">
        <f t="shared" si="30"/>
        <v>3898.8593333333333</v>
      </c>
      <c r="Q86" s="92">
        <f t="shared" si="30"/>
        <v>4649.1265833333318</v>
      </c>
      <c r="R86" s="92">
        <f t="shared" si="30"/>
        <v>3495.7283333333326</v>
      </c>
      <c r="S86" s="92">
        <f t="shared" si="30"/>
        <v>4464.78125</v>
      </c>
      <c r="T86" s="92">
        <f t="shared" si="29"/>
        <v>4496.8249999999998</v>
      </c>
      <c r="U86" s="92">
        <f t="shared" si="29"/>
        <v>5607.789333333335</v>
      </c>
      <c r="V86" s="92">
        <f t="shared" si="29"/>
        <v>4488.3144166666625</v>
      </c>
      <c r="W86" s="92">
        <f t="shared" si="29"/>
        <v>4648.8916666666664</v>
      </c>
      <c r="X86" s="583">
        <f t="shared" si="31"/>
        <v>5731.1940000000022</v>
      </c>
      <c r="Y86" s="583">
        <f t="shared" si="31"/>
        <v>7443.2783333333364</v>
      </c>
      <c r="Z86" s="583">
        <f t="shared" si="31"/>
        <v>9479.6125833333317</v>
      </c>
      <c r="AA86" s="92">
        <f t="shared" si="31"/>
        <v>10298.301416666674</v>
      </c>
      <c r="AB86" s="583">
        <f t="shared" si="31"/>
        <v>10107.988750000002</v>
      </c>
      <c r="AC86" s="92">
        <f t="shared" si="31"/>
        <v>7224.5845000000054</v>
      </c>
      <c r="AD86" s="92"/>
      <c r="AE86" s="92">
        <f t="shared" si="27"/>
        <v>90182.534083333347</v>
      </c>
      <c r="AG86" s="92"/>
      <c r="AH86" s="586"/>
    </row>
    <row r="87" spans="1:34" s="335" customFormat="1" outlineLevel="1">
      <c r="A87" s="327" t="s">
        <v>51</v>
      </c>
      <c r="B87" s="327">
        <f t="shared" si="24"/>
        <v>2018</v>
      </c>
      <c r="C87" s="327" t="s">
        <v>47</v>
      </c>
      <c r="D87" s="583"/>
      <c r="E87" s="92">
        <f t="shared" si="25"/>
        <v>10821904.090000002</v>
      </c>
      <c r="F87" s="92"/>
      <c r="G87" s="92">
        <f t="shared" si="18"/>
        <v>10821904.090000002</v>
      </c>
      <c r="H87" s="583"/>
      <c r="I87" s="590">
        <v>93189.84</v>
      </c>
      <c r="J87" s="583">
        <f t="shared" si="28"/>
        <v>7090095.3800000018</v>
      </c>
      <c r="K87" s="583"/>
      <c r="L87" s="92">
        <f t="shared" si="26"/>
        <v>3731808.71</v>
      </c>
      <c r="N87" s="92">
        <f t="shared" si="30"/>
        <v>23.958333333333332</v>
      </c>
      <c r="O87" s="92">
        <f t="shared" si="30"/>
        <v>4123.3002500000002</v>
      </c>
      <c r="P87" s="92">
        <f t="shared" si="30"/>
        <v>3898.8593333333333</v>
      </c>
      <c r="Q87" s="92">
        <f t="shared" si="30"/>
        <v>4649.1265833333318</v>
      </c>
      <c r="R87" s="92">
        <f t="shared" si="30"/>
        <v>3495.7283333333326</v>
      </c>
      <c r="S87" s="92">
        <f t="shared" si="30"/>
        <v>4464.78125</v>
      </c>
      <c r="T87" s="92">
        <f t="shared" si="29"/>
        <v>4496.8249999999998</v>
      </c>
      <c r="U87" s="92">
        <f t="shared" si="29"/>
        <v>5607.789333333335</v>
      </c>
      <c r="V87" s="92">
        <f t="shared" si="29"/>
        <v>4488.3144166666625</v>
      </c>
      <c r="W87" s="92">
        <f t="shared" si="29"/>
        <v>4648.8916666666664</v>
      </c>
      <c r="X87" s="583">
        <f t="shared" si="31"/>
        <v>5731.1940000000022</v>
      </c>
      <c r="Y87" s="583">
        <f t="shared" si="31"/>
        <v>7443.2783333333364</v>
      </c>
      <c r="Z87" s="583">
        <f t="shared" si="31"/>
        <v>9479.6125833333317</v>
      </c>
      <c r="AA87" s="92">
        <f t="shared" si="31"/>
        <v>10298.301416666674</v>
      </c>
      <c r="AB87" s="583">
        <f t="shared" si="31"/>
        <v>10107.988750000002</v>
      </c>
      <c r="AC87" s="92">
        <f t="shared" si="31"/>
        <v>7224.5845000000054</v>
      </c>
      <c r="AD87" s="92"/>
      <c r="AE87" s="92">
        <f t="shared" si="27"/>
        <v>90182.534083333347</v>
      </c>
      <c r="AG87" s="92"/>
      <c r="AH87" s="586"/>
    </row>
    <row r="88" spans="1:34" s="335" customFormat="1" outlineLevel="1">
      <c r="A88" s="327" t="s">
        <v>52</v>
      </c>
      <c r="B88" s="327">
        <f t="shared" si="24"/>
        <v>2018</v>
      </c>
      <c r="C88" s="327" t="s">
        <v>47</v>
      </c>
      <c r="D88" s="583"/>
      <c r="E88" s="92">
        <f t="shared" si="25"/>
        <v>10821904.090000002</v>
      </c>
      <c r="F88" s="92"/>
      <c r="G88" s="92">
        <f t="shared" si="18"/>
        <v>10821904.090000002</v>
      </c>
      <c r="H88" s="583"/>
      <c r="I88" s="590">
        <v>94378.3</v>
      </c>
      <c r="J88" s="583">
        <f t="shared" si="28"/>
        <v>7184473.6800000016</v>
      </c>
      <c r="K88" s="583"/>
      <c r="L88" s="92">
        <f t="shared" si="26"/>
        <v>3637430.41</v>
      </c>
      <c r="N88" s="92">
        <f t="shared" si="30"/>
        <v>23.958333333333332</v>
      </c>
      <c r="O88" s="92">
        <f t="shared" si="30"/>
        <v>4123.3002500000002</v>
      </c>
      <c r="P88" s="92">
        <f t="shared" si="30"/>
        <v>3898.8593333333333</v>
      </c>
      <c r="Q88" s="92">
        <f t="shared" si="30"/>
        <v>4649.1265833333318</v>
      </c>
      <c r="R88" s="92">
        <f t="shared" si="30"/>
        <v>3495.7283333333326</v>
      </c>
      <c r="S88" s="92">
        <f t="shared" si="30"/>
        <v>4464.78125</v>
      </c>
      <c r="T88" s="92">
        <f t="shared" si="29"/>
        <v>4496.8249999999998</v>
      </c>
      <c r="U88" s="92">
        <f t="shared" si="29"/>
        <v>5607.789333333335</v>
      </c>
      <c r="V88" s="92">
        <f t="shared" si="29"/>
        <v>4488.3144166666625</v>
      </c>
      <c r="W88" s="92">
        <f t="shared" si="29"/>
        <v>4648.8916666666664</v>
      </c>
      <c r="X88" s="583">
        <f t="shared" si="31"/>
        <v>5731.1940000000022</v>
      </c>
      <c r="Y88" s="583">
        <f t="shared" si="31"/>
        <v>7443.2783333333364</v>
      </c>
      <c r="Z88" s="583">
        <f t="shared" si="31"/>
        <v>9479.6125833333317</v>
      </c>
      <c r="AA88" s="92">
        <f t="shared" si="31"/>
        <v>10298.301416666674</v>
      </c>
      <c r="AB88" s="583">
        <f t="shared" si="31"/>
        <v>10107.988750000002</v>
      </c>
      <c r="AC88" s="92">
        <f t="shared" si="31"/>
        <v>7224.5845000000054</v>
      </c>
      <c r="AD88" s="92"/>
      <c r="AE88" s="92">
        <f t="shared" si="27"/>
        <v>90182.534083333347</v>
      </c>
      <c r="AG88" s="92"/>
      <c r="AH88" s="586"/>
    </row>
    <row r="89" spans="1:34" s="335" customFormat="1" outlineLevel="1">
      <c r="A89" s="327" t="s">
        <v>53</v>
      </c>
      <c r="B89" s="327">
        <f t="shared" si="24"/>
        <v>2019</v>
      </c>
      <c r="C89" s="327" t="s">
        <v>47</v>
      </c>
      <c r="D89" s="583"/>
      <c r="E89" s="92">
        <f t="shared" si="25"/>
        <v>10821904.090000002</v>
      </c>
      <c r="F89" s="92"/>
      <c r="G89" s="92">
        <f t="shared" si="18"/>
        <v>10821904.090000002</v>
      </c>
      <c r="H89" s="583"/>
      <c r="I89" s="590">
        <v>82011.73</v>
      </c>
      <c r="J89" s="583">
        <f t="shared" si="28"/>
        <v>7266485.410000002</v>
      </c>
      <c r="K89" s="583"/>
      <c r="L89" s="92">
        <f t="shared" si="26"/>
        <v>3555418.6799999997</v>
      </c>
      <c r="N89" s="92">
        <f t="shared" si="30"/>
        <v>23.958333333333332</v>
      </c>
      <c r="O89" s="92">
        <f t="shared" si="30"/>
        <v>4123.3002500000002</v>
      </c>
      <c r="P89" s="92">
        <f t="shared" si="30"/>
        <v>3898.8593333333333</v>
      </c>
      <c r="Q89" s="92">
        <f t="shared" si="30"/>
        <v>4649.1265833333318</v>
      </c>
      <c r="R89" s="92">
        <f t="shared" si="30"/>
        <v>3495.7283333333326</v>
      </c>
      <c r="S89" s="92">
        <f t="shared" si="30"/>
        <v>4464.78125</v>
      </c>
      <c r="T89" s="92">
        <f t="shared" si="29"/>
        <v>4496.8249999999998</v>
      </c>
      <c r="U89" s="92">
        <f t="shared" si="29"/>
        <v>5607.789333333335</v>
      </c>
      <c r="V89" s="92">
        <f t="shared" si="29"/>
        <v>4488.3144166666625</v>
      </c>
      <c r="W89" s="92">
        <f t="shared" si="29"/>
        <v>4648.8916666666664</v>
      </c>
      <c r="X89" s="583">
        <f t="shared" si="31"/>
        <v>5731.1940000000022</v>
      </c>
      <c r="Y89" s="583">
        <f t="shared" si="31"/>
        <v>7443.2783333333364</v>
      </c>
      <c r="Z89" s="583">
        <f t="shared" si="31"/>
        <v>9479.6125833333317</v>
      </c>
      <c r="AA89" s="92">
        <f t="shared" si="31"/>
        <v>10298.301416666674</v>
      </c>
      <c r="AB89" s="583">
        <f t="shared" si="31"/>
        <v>10107.988750000002</v>
      </c>
      <c r="AC89" s="92">
        <f t="shared" si="31"/>
        <v>7224.5845000000054</v>
      </c>
      <c r="AD89" s="92"/>
      <c r="AE89" s="92">
        <f t="shared" si="27"/>
        <v>90182.534083333347</v>
      </c>
      <c r="AG89" s="92"/>
      <c r="AH89" s="586"/>
    </row>
    <row r="90" spans="1:34" s="335" customFormat="1" outlineLevel="1">
      <c r="A90" s="327" t="s">
        <v>54</v>
      </c>
      <c r="B90" s="327">
        <f t="shared" si="24"/>
        <v>2019</v>
      </c>
      <c r="C90" s="327" t="s">
        <v>47</v>
      </c>
      <c r="D90" s="583"/>
      <c r="E90" s="92">
        <f t="shared" si="25"/>
        <v>10821904.090000002</v>
      </c>
      <c r="F90" s="92"/>
      <c r="G90" s="92">
        <f t="shared" si="18"/>
        <v>10821904.090000002</v>
      </c>
      <c r="H90" s="583"/>
      <c r="I90" s="590">
        <v>70218.899999999994</v>
      </c>
      <c r="J90" s="583">
        <f t="shared" si="28"/>
        <v>7336704.3100000024</v>
      </c>
      <c r="K90" s="583"/>
      <c r="L90" s="92">
        <f t="shared" si="26"/>
        <v>3485199.7799999993</v>
      </c>
      <c r="N90" s="92">
        <f t="shared" si="30"/>
        <v>23.958333333333332</v>
      </c>
      <c r="O90" s="92">
        <f t="shared" si="30"/>
        <v>4123.3002500000002</v>
      </c>
      <c r="P90" s="92">
        <f t="shared" si="30"/>
        <v>3898.8593333333333</v>
      </c>
      <c r="Q90" s="92">
        <f t="shared" si="30"/>
        <v>4649.1265833333318</v>
      </c>
      <c r="R90" s="92">
        <f t="shared" si="30"/>
        <v>3495.7283333333326</v>
      </c>
      <c r="S90" s="92">
        <f t="shared" si="30"/>
        <v>4464.78125</v>
      </c>
      <c r="T90" s="92">
        <f t="shared" si="29"/>
        <v>4496.8249999999998</v>
      </c>
      <c r="U90" s="92">
        <f t="shared" si="29"/>
        <v>5607.789333333335</v>
      </c>
      <c r="V90" s="92">
        <f t="shared" si="29"/>
        <v>4488.3144166666625</v>
      </c>
      <c r="W90" s="92">
        <f t="shared" si="29"/>
        <v>4648.8916666666664</v>
      </c>
      <c r="X90" s="583">
        <f t="shared" si="31"/>
        <v>5731.1940000000022</v>
      </c>
      <c r="Y90" s="583">
        <f t="shared" si="31"/>
        <v>7443.2783333333364</v>
      </c>
      <c r="Z90" s="583">
        <f t="shared" si="31"/>
        <v>9479.6125833333317</v>
      </c>
      <c r="AA90" s="92">
        <f t="shared" si="31"/>
        <v>10298.301416666674</v>
      </c>
      <c r="AB90" s="583">
        <f t="shared" si="31"/>
        <v>10107.988750000002</v>
      </c>
      <c r="AC90" s="92">
        <f t="shared" si="31"/>
        <v>7224.5845000000054</v>
      </c>
      <c r="AD90" s="92"/>
      <c r="AE90" s="92">
        <f t="shared" si="27"/>
        <v>90182.534083333347</v>
      </c>
      <c r="AG90" s="92"/>
      <c r="AH90" s="586"/>
    </row>
    <row r="91" spans="1:34" s="335" customFormat="1" outlineLevel="1">
      <c r="A91" s="327" t="s">
        <v>55</v>
      </c>
      <c r="B91" s="327">
        <f t="shared" si="24"/>
        <v>2019</v>
      </c>
      <c r="C91" s="327" t="s">
        <v>47</v>
      </c>
      <c r="D91" s="583"/>
      <c r="E91" s="92">
        <f t="shared" si="25"/>
        <v>10821904.090000002</v>
      </c>
      <c r="F91" s="92"/>
      <c r="G91" s="92">
        <f t="shared" si="18"/>
        <v>10821904.090000002</v>
      </c>
      <c r="H91" s="583"/>
      <c r="I91" s="590">
        <v>82740.05</v>
      </c>
      <c r="J91" s="583">
        <f t="shared" si="28"/>
        <v>7419444.3600000022</v>
      </c>
      <c r="K91" s="583"/>
      <c r="L91" s="92">
        <f t="shared" si="26"/>
        <v>3402459.7299999995</v>
      </c>
      <c r="N91" s="92">
        <f t="shared" si="30"/>
        <v>23.958333333333332</v>
      </c>
      <c r="O91" s="92">
        <f t="shared" si="30"/>
        <v>4123.3002500000002</v>
      </c>
      <c r="P91" s="92">
        <f t="shared" si="30"/>
        <v>3898.8593333333333</v>
      </c>
      <c r="Q91" s="92">
        <f t="shared" si="30"/>
        <v>4649.1265833333318</v>
      </c>
      <c r="R91" s="92">
        <f t="shared" si="30"/>
        <v>3495.7283333333326</v>
      </c>
      <c r="S91" s="92">
        <f t="shared" si="30"/>
        <v>4464.78125</v>
      </c>
      <c r="T91" s="92">
        <f t="shared" si="29"/>
        <v>4496.8249999999998</v>
      </c>
      <c r="U91" s="92">
        <f t="shared" si="29"/>
        <v>5607.789333333335</v>
      </c>
      <c r="V91" s="92">
        <f t="shared" si="29"/>
        <v>4488.3144166666625</v>
      </c>
      <c r="W91" s="92">
        <f t="shared" si="29"/>
        <v>4648.8916666666664</v>
      </c>
      <c r="X91" s="583">
        <f t="shared" si="31"/>
        <v>5731.1940000000022</v>
      </c>
      <c r="Y91" s="583">
        <f t="shared" si="31"/>
        <v>7443.2783333333364</v>
      </c>
      <c r="Z91" s="583">
        <f t="shared" si="31"/>
        <v>9479.6125833333317</v>
      </c>
      <c r="AA91" s="92">
        <f t="shared" si="31"/>
        <v>10298.301416666674</v>
      </c>
      <c r="AB91" s="583">
        <f t="shared" si="31"/>
        <v>10107.988750000002</v>
      </c>
      <c r="AC91" s="92">
        <f t="shared" si="31"/>
        <v>7224.5845000000054</v>
      </c>
      <c r="AD91" s="92"/>
      <c r="AE91" s="92">
        <f t="shared" si="27"/>
        <v>90182.534083333347</v>
      </c>
      <c r="AG91" s="92"/>
      <c r="AH91" s="586"/>
    </row>
    <row r="92" spans="1:34" s="335" customFormat="1" outlineLevel="1">
      <c r="A92" s="327" t="s">
        <v>56</v>
      </c>
      <c r="B92" s="327">
        <f t="shared" si="24"/>
        <v>2019</v>
      </c>
      <c r="C92" s="327" t="s">
        <v>47</v>
      </c>
      <c r="D92" s="583"/>
      <c r="E92" s="92">
        <f t="shared" si="25"/>
        <v>10821904.090000002</v>
      </c>
      <c r="F92" s="92"/>
      <c r="G92" s="92">
        <f t="shared" si="18"/>
        <v>10821904.090000002</v>
      </c>
      <c r="H92" s="583"/>
      <c r="I92" s="590">
        <v>75666.539999999994</v>
      </c>
      <c r="J92" s="583">
        <f t="shared" si="28"/>
        <v>7495110.9000000022</v>
      </c>
      <c r="K92" s="583"/>
      <c r="L92" s="92">
        <f t="shared" si="26"/>
        <v>3326793.1899999995</v>
      </c>
      <c r="N92" s="92">
        <f t="shared" si="30"/>
        <v>23.958333333333332</v>
      </c>
      <c r="O92" s="92">
        <f>+O91</f>
        <v>4123.3002500000002</v>
      </c>
      <c r="P92" s="92">
        <f>+P91</f>
        <v>3898.8593333333333</v>
      </c>
      <c r="Q92" s="92">
        <f>+Q91</f>
        <v>4649.1265833333318</v>
      </c>
      <c r="R92" s="92">
        <f>+R91</f>
        <v>3495.7283333333326</v>
      </c>
      <c r="S92" s="92">
        <f>+S91</f>
        <v>4464.78125</v>
      </c>
      <c r="T92" s="92">
        <f t="shared" ref="T92:W107" si="32">+T91</f>
        <v>4496.8249999999998</v>
      </c>
      <c r="U92" s="92">
        <f t="shared" si="32"/>
        <v>5607.789333333335</v>
      </c>
      <c r="V92" s="92">
        <f t="shared" si="32"/>
        <v>4488.3144166666625</v>
      </c>
      <c r="W92" s="92">
        <f t="shared" si="32"/>
        <v>4648.8916666666664</v>
      </c>
      <c r="X92" s="583">
        <f t="shared" si="31"/>
        <v>5731.1940000000022</v>
      </c>
      <c r="Y92" s="583">
        <f t="shared" si="31"/>
        <v>7443.2783333333364</v>
      </c>
      <c r="Z92" s="583">
        <f t="shared" si="31"/>
        <v>9479.6125833333317</v>
      </c>
      <c r="AA92" s="92">
        <f t="shared" si="31"/>
        <v>10298.301416666674</v>
      </c>
      <c r="AB92" s="583">
        <f t="shared" si="31"/>
        <v>10107.988750000002</v>
      </c>
      <c r="AC92" s="92">
        <f t="shared" si="31"/>
        <v>7224.5845000000054</v>
      </c>
      <c r="AD92" s="92"/>
      <c r="AE92" s="92">
        <f t="shared" si="27"/>
        <v>90182.534083333347</v>
      </c>
      <c r="AG92" s="92"/>
      <c r="AH92" s="586"/>
    </row>
    <row r="93" spans="1:34" s="335" customFormat="1" outlineLevel="1">
      <c r="A93" s="327" t="s">
        <v>57</v>
      </c>
      <c r="B93" s="327">
        <f t="shared" si="24"/>
        <v>2019</v>
      </c>
      <c r="C93" s="327" t="s">
        <v>47</v>
      </c>
      <c r="D93" s="583"/>
      <c r="E93" s="92">
        <f t="shared" si="25"/>
        <v>10821904.090000002</v>
      </c>
      <c r="F93" s="92"/>
      <c r="G93" s="92">
        <f t="shared" si="18"/>
        <v>10821904.090000002</v>
      </c>
      <c r="H93" s="583"/>
      <c r="I93" s="590">
        <v>93979.08</v>
      </c>
      <c r="J93" s="583">
        <f t="shared" si="28"/>
        <v>7589089.9800000023</v>
      </c>
      <c r="K93" s="583"/>
      <c r="L93" s="92">
        <f t="shared" si="26"/>
        <v>3232814.1099999994</v>
      </c>
      <c r="N93" s="92">
        <f t="shared" ref="N93:S105" si="33">+N92</f>
        <v>23.958333333333332</v>
      </c>
      <c r="O93" s="92">
        <f t="shared" si="33"/>
        <v>4123.3002500000002</v>
      </c>
      <c r="P93" s="92">
        <f t="shared" si="33"/>
        <v>3898.8593333333333</v>
      </c>
      <c r="Q93" s="92">
        <f t="shared" si="33"/>
        <v>4649.1265833333318</v>
      </c>
      <c r="R93" s="92">
        <f t="shared" si="33"/>
        <v>3495.7283333333326</v>
      </c>
      <c r="S93" s="92">
        <f t="shared" si="33"/>
        <v>4464.78125</v>
      </c>
      <c r="T93" s="92">
        <f t="shared" si="32"/>
        <v>4496.8249999999998</v>
      </c>
      <c r="U93" s="92">
        <f t="shared" si="32"/>
        <v>5607.789333333335</v>
      </c>
      <c r="V93" s="92">
        <f t="shared" si="32"/>
        <v>4488.3144166666625</v>
      </c>
      <c r="W93" s="92">
        <f t="shared" si="32"/>
        <v>4648.8916666666664</v>
      </c>
      <c r="X93" s="583">
        <f t="shared" si="31"/>
        <v>5731.1940000000022</v>
      </c>
      <c r="Y93" s="583">
        <f t="shared" si="31"/>
        <v>7443.2783333333364</v>
      </c>
      <c r="Z93" s="583">
        <f t="shared" si="31"/>
        <v>9479.6125833333317</v>
      </c>
      <c r="AA93" s="92">
        <f t="shared" si="31"/>
        <v>10298.301416666674</v>
      </c>
      <c r="AB93" s="583">
        <f t="shared" si="31"/>
        <v>10107.988750000002</v>
      </c>
      <c r="AC93" s="92">
        <f t="shared" si="31"/>
        <v>7224.5845000000054</v>
      </c>
      <c r="AD93" s="92"/>
      <c r="AE93" s="92">
        <f t="shared" si="27"/>
        <v>90182.534083333347</v>
      </c>
      <c r="AG93" s="92"/>
      <c r="AH93" s="586"/>
    </row>
    <row r="94" spans="1:34" s="335" customFormat="1" outlineLevel="1">
      <c r="A94" s="327" t="s">
        <v>58</v>
      </c>
      <c r="B94" s="327">
        <f t="shared" si="24"/>
        <v>2019</v>
      </c>
      <c r="C94" s="327" t="s">
        <v>47</v>
      </c>
      <c r="D94" s="583"/>
      <c r="E94" s="92">
        <f t="shared" si="25"/>
        <v>10821904.090000002</v>
      </c>
      <c r="F94" s="92"/>
      <c r="G94" s="92">
        <f t="shared" si="18"/>
        <v>10821904.090000002</v>
      </c>
      <c r="H94" s="583"/>
      <c r="I94" s="590">
        <v>75833.63</v>
      </c>
      <c r="J94" s="583">
        <f t="shared" si="28"/>
        <v>7664923.6100000022</v>
      </c>
      <c r="K94" s="583"/>
      <c r="L94" s="92">
        <f t="shared" si="26"/>
        <v>3156980.4799999995</v>
      </c>
      <c r="N94" s="92">
        <f t="shared" si="33"/>
        <v>23.958333333333332</v>
      </c>
      <c r="O94" s="92">
        <f t="shared" si="33"/>
        <v>4123.3002500000002</v>
      </c>
      <c r="P94" s="92">
        <f t="shared" si="33"/>
        <v>3898.8593333333333</v>
      </c>
      <c r="Q94" s="92">
        <f t="shared" si="33"/>
        <v>4649.1265833333318</v>
      </c>
      <c r="R94" s="92">
        <f t="shared" si="33"/>
        <v>3495.7283333333326</v>
      </c>
      <c r="S94" s="92">
        <f t="shared" si="33"/>
        <v>4464.78125</v>
      </c>
      <c r="T94" s="92">
        <f t="shared" si="32"/>
        <v>4496.8249999999998</v>
      </c>
      <c r="U94" s="92">
        <f t="shared" si="32"/>
        <v>5607.789333333335</v>
      </c>
      <c r="V94" s="92">
        <f t="shared" si="32"/>
        <v>4488.3144166666625</v>
      </c>
      <c r="W94" s="92">
        <f t="shared" si="32"/>
        <v>4648.8916666666664</v>
      </c>
      <c r="X94" s="583">
        <f t="shared" si="31"/>
        <v>5731.1940000000022</v>
      </c>
      <c r="Y94" s="583">
        <f t="shared" si="31"/>
        <v>7443.2783333333364</v>
      </c>
      <c r="Z94" s="583">
        <f t="shared" si="31"/>
        <v>9479.6125833333317</v>
      </c>
      <c r="AA94" s="92">
        <f t="shared" si="31"/>
        <v>10298.301416666674</v>
      </c>
      <c r="AB94" s="583">
        <f t="shared" si="31"/>
        <v>10107.988750000002</v>
      </c>
      <c r="AC94" s="92">
        <f t="shared" si="31"/>
        <v>7224.5845000000054</v>
      </c>
      <c r="AD94" s="92"/>
      <c r="AE94" s="92">
        <f t="shared" si="27"/>
        <v>90182.534083333347</v>
      </c>
      <c r="AG94" s="92"/>
      <c r="AH94" s="586"/>
    </row>
    <row r="95" spans="1:34" s="335" customFormat="1" outlineLevel="1">
      <c r="A95" s="327" t="s">
        <v>59</v>
      </c>
      <c r="B95" s="327">
        <f t="shared" si="24"/>
        <v>2019</v>
      </c>
      <c r="C95" s="327" t="s">
        <v>47</v>
      </c>
      <c r="D95" s="583"/>
      <c r="E95" s="92">
        <f t="shared" si="25"/>
        <v>10821904.090000002</v>
      </c>
      <c r="F95" s="92"/>
      <c r="G95" s="92">
        <f t="shared" si="18"/>
        <v>10821904.090000002</v>
      </c>
      <c r="H95" s="583"/>
      <c r="I95" s="590">
        <v>102258.25</v>
      </c>
      <c r="J95" s="583">
        <f t="shared" si="28"/>
        <v>7767181.8600000022</v>
      </c>
      <c r="K95" s="583"/>
      <c r="L95" s="92">
        <f t="shared" si="26"/>
        <v>3054722.2299999995</v>
      </c>
      <c r="N95" s="92">
        <f t="shared" si="33"/>
        <v>23.958333333333332</v>
      </c>
      <c r="O95" s="92">
        <f t="shared" si="33"/>
        <v>4123.3002500000002</v>
      </c>
      <c r="P95" s="92">
        <f t="shared" si="33"/>
        <v>3898.8593333333333</v>
      </c>
      <c r="Q95" s="92">
        <f t="shared" si="33"/>
        <v>4649.1265833333318</v>
      </c>
      <c r="R95" s="92">
        <f t="shared" si="33"/>
        <v>3495.7283333333326</v>
      </c>
      <c r="S95" s="92">
        <f t="shared" si="33"/>
        <v>4464.78125</v>
      </c>
      <c r="T95" s="92">
        <f t="shared" si="32"/>
        <v>4496.8249999999998</v>
      </c>
      <c r="U95" s="92">
        <f t="shared" si="32"/>
        <v>5607.789333333335</v>
      </c>
      <c r="V95" s="92">
        <f t="shared" si="32"/>
        <v>4488.3144166666625</v>
      </c>
      <c r="W95" s="92">
        <f t="shared" si="32"/>
        <v>4648.8916666666664</v>
      </c>
      <c r="X95" s="583">
        <f t="shared" si="31"/>
        <v>5731.1940000000022</v>
      </c>
      <c r="Y95" s="583">
        <f t="shared" si="31"/>
        <v>7443.2783333333364</v>
      </c>
      <c r="Z95" s="583">
        <f t="shared" si="31"/>
        <v>9479.6125833333317</v>
      </c>
      <c r="AA95" s="92">
        <f t="shared" si="31"/>
        <v>10298.301416666674</v>
      </c>
      <c r="AB95" s="583">
        <f t="shared" si="31"/>
        <v>10107.988750000002</v>
      </c>
      <c r="AC95" s="92">
        <f t="shared" si="31"/>
        <v>7224.5845000000054</v>
      </c>
      <c r="AD95" s="92"/>
      <c r="AE95" s="92">
        <f t="shared" si="27"/>
        <v>90182.534083333347</v>
      </c>
      <c r="AG95" s="92"/>
      <c r="AH95" s="586"/>
    </row>
    <row r="96" spans="1:34" s="335" customFormat="1" outlineLevel="1">
      <c r="A96" s="327" t="s">
        <v>46</v>
      </c>
      <c r="B96" s="327">
        <f t="shared" si="24"/>
        <v>2019</v>
      </c>
      <c r="C96" s="327" t="s">
        <v>47</v>
      </c>
      <c r="D96" s="583"/>
      <c r="E96" s="92">
        <f t="shared" si="25"/>
        <v>10821904.090000002</v>
      </c>
      <c r="F96" s="92"/>
      <c r="G96" s="92">
        <f t="shared" si="18"/>
        <v>10821904.090000002</v>
      </c>
      <c r="H96" s="583"/>
      <c r="I96" s="590">
        <v>104956.26</v>
      </c>
      <c r="J96" s="583">
        <f t="shared" si="28"/>
        <v>7872138.120000002</v>
      </c>
      <c r="K96" s="583"/>
      <c r="L96" s="92">
        <f t="shared" si="26"/>
        <v>2949765.9699999997</v>
      </c>
      <c r="N96" s="92">
        <f t="shared" si="33"/>
        <v>23.958333333333332</v>
      </c>
      <c r="O96" s="92">
        <f t="shared" si="33"/>
        <v>4123.3002500000002</v>
      </c>
      <c r="P96" s="92">
        <f t="shared" si="33"/>
        <v>3898.8593333333333</v>
      </c>
      <c r="Q96" s="92">
        <f t="shared" si="33"/>
        <v>4649.1265833333318</v>
      </c>
      <c r="R96" s="92">
        <f t="shared" si="33"/>
        <v>3495.7283333333326</v>
      </c>
      <c r="S96" s="92">
        <f t="shared" si="33"/>
        <v>4464.78125</v>
      </c>
      <c r="T96" s="92">
        <f t="shared" si="32"/>
        <v>4496.8249999999998</v>
      </c>
      <c r="U96" s="92">
        <f t="shared" si="32"/>
        <v>5607.789333333335</v>
      </c>
      <c r="V96" s="92">
        <f t="shared" si="32"/>
        <v>4488.3144166666625</v>
      </c>
      <c r="W96" s="92">
        <f t="shared" si="32"/>
        <v>4648.8916666666664</v>
      </c>
      <c r="X96" s="583">
        <f t="shared" si="31"/>
        <v>5731.1940000000022</v>
      </c>
      <c r="Y96" s="583">
        <f t="shared" si="31"/>
        <v>7443.2783333333364</v>
      </c>
      <c r="Z96" s="583">
        <f t="shared" si="31"/>
        <v>9479.6125833333317</v>
      </c>
      <c r="AA96" s="92">
        <f t="shared" si="31"/>
        <v>10298.301416666674</v>
      </c>
      <c r="AB96" s="583">
        <f t="shared" si="31"/>
        <v>10107.988750000002</v>
      </c>
      <c r="AC96" s="92">
        <f t="shared" si="31"/>
        <v>7224.5845000000054</v>
      </c>
      <c r="AD96" s="92"/>
      <c r="AE96" s="92">
        <f t="shared" si="27"/>
        <v>90182.534083333347</v>
      </c>
      <c r="AG96" s="92"/>
      <c r="AH96" s="586"/>
    </row>
    <row r="97" spans="1:34" s="335" customFormat="1" outlineLevel="1">
      <c r="A97" s="327" t="s">
        <v>48</v>
      </c>
      <c r="B97" s="327">
        <f t="shared" si="24"/>
        <v>2019</v>
      </c>
      <c r="C97" s="327" t="s">
        <v>47</v>
      </c>
      <c r="D97" s="583"/>
      <c r="E97" s="92">
        <f t="shared" si="25"/>
        <v>10821904.090000002</v>
      </c>
      <c r="F97" s="92"/>
      <c r="G97" s="92">
        <f t="shared" si="18"/>
        <v>10821904.090000002</v>
      </c>
      <c r="H97" s="583"/>
      <c r="I97" s="590">
        <v>91075.25</v>
      </c>
      <c r="J97" s="583">
        <f t="shared" si="28"/>
        <v>7963213.370000002</v>
      </c>
      <c r="K97" s="583"/>
      <c r="L97" s="92">
        <f t="shared" si="26"/>
        <v>2858690.7199999997</v>
      </c>
      <c r="N97" s="92">
        <f t="shared" si="33"/>
        <v>23.958333333333332</v>
      </c>
      <c r="O97" s="92">
        <f t="shared" si="33"/>
        <v>4123.3002500000002</v>
      </c>
      <c r="P97" s="92">
        <f t="shared" si="33"/>
        <v>3898.8593333333333</v>
      </c>
      <c r="Q97" s="92">
        <f t="shared" si="33"/>
        <v>4649.1265833333318</v>
      </c>
      <c r="R97" s="92">
        <f t="shared" si="33"/>
        <v>3495.7283333333326</v>
      </c>
      <c r="S97" s="92">
        <f t="shared" si="33"/>
        <v>4464.78125</v>
      </c>
      <c r="T97" s="92">
        <f t="shared" si="32"/>
        <v>4496.8249999999998</v>
      </c>
      <c r="U97" s="92">
        <f t="shared" si="32"/>
        <v>5607.789333333335</v>
      </c>
      <c r="V97" s="92">
        <f t="shared" si="32"/>
        <v>4488.3144166666625</v>
      </c>
      <c r="W97" s="92">
        <f t="shared" si="32"/>
        <v>4648.8916666666664</v>
      </c>
      <c r="X97" s="583">
        <f t="shared" si="31"/>
        <v>5731.1940000000022</v>
      </c>
      <c r="Y97" s="583">
        <f t="shared" si="31"/>
        <v>7443.2783333333364</v>
      </c>
      <c r="Z97" s="583">
        <f t="shared" si="31"/>
        <v>9479.6125833333317</v>
      </c>
      <c r="AA97" s="92">
        <f t="shared" si="31"/>
        <v>10298.301416666674</v>
      </c>
      <c r="AB97" s="583">
        <f t="shared" si="31"/>
        <v>10107.988750000002</v>
      </c>
      <c r="AC97" s="92">
        <f t="shared" si="31"/>
        <v>7224.5845000000054</v>
      </c>
      <c r="AD97" s="92"/>
      <c r="AE97" s="92">
        <f t="shared" si="27"/>
        <v>90182.534083333347</v>
      </c>
      <c r="AG97" s="92"/>
      <c r="AH97" s="586"/>
    </row>
    <row r="98" spans="1:34" s="335" customFormat="1" outlineLevel="1">
      <c r="A98" s="327" t="s">
        <v>50</v>
      </c>
      <c r="B98" s="327">
        <f t="shared" si="24"/>
        <v>2019</v>
      </c>
      <c r="C98" s="327" t="s">
        <v>47</v>
      </c>
      <c r="D98" s="583"/>
      <c r="E98" s="92">
        <f t="shared" si="25"/>
        <v>10821904.090000002</v>
      </c>
      <c r="F98" s="92"/>
      <c r="G98" s="92">
        <f t="shared" si="18"/>
        <v>10821904.090000002</v>
      </c>
      <c r="H98" s="583"/>
      <c r="I98" s="590">
        <v>93534.49</v>
      </c>
      <c r="J98" s="583">
        <f t="shared" si="28"/>
        <v>8056747.8600000022</v>
      </c>
      <c r="K98" s="583"/>
      <c r="L98" s="92">
        <f t="shared" si="26"/>
        <v>2765156.2299999995</v>
      </c>
      <c r="N98" s="92">
        <f t="shared" si="33"/>
        <v>23.958333333333332</v>
      </c>
      <c r="O98" s="92">
        <f t="shared" si="33"/>
        <v>4123.3002500000002</v>
      </c>
      <c r="P98" s="92">
        <f t="shared" si="33"/>
        <v>3898.8593333333333</v>
      </c>
      <c r="Q98" s="92">
        <f t="shared" si="33"/>
        <v>4649.1265833333318</v>
      </c>
      <c r="R98" s="92">
        <f t="shared" si="33"/>
        <v>3495.7283333333326</v>
      </c>
      <c r="S98" s="92">
        <f t="shared" si="33"/>
        <v>4464.78125</v>
      </c>
      <c r="T98" s="92">
        <f t="shared" si="32"/>
        <v>4496.8249999999998</v>
      </c>
      <c r="U98" s="92">
        <f t="shared" si="32"/>
        <v>5607.789333333335</v>
      </c>
      <c r="V98" s="92">
        <f t="shared" si="32"/>
        <v>4488.3144166666625</v>
      </c>
      <c r="W98" s="92">
        <f t="shared" si="32"/>
        <v>4648.8916666666664</v>
      </c>
      <c r="X98" s="583">
        <f t="shared" si="31"/>
        <v>5731.1940000000022</v>
      </c>
      <c r="Y98" s="583">
        <f t="shared" si="31"/>
        <v>7443.2783333333364</v>
      </c>
      <c r="Z98" s="583">
        <f t="shared" si="31"/>
        <v>9479.6125833333317</v>
      </c>
      <c r="AA98" s="92">
        <f t="shared" si="31"/>
        <v>10298.301416666674</v>
      </c>
      <c r="AB98" s="583">
        <f t="shared" si="31"/>
        <v>10107.988750000002</v>
      </c>
      <c r="AC98" s="92">
        <f t="shared" si="31"/>
        <v>7224.5845000000054</v>
      </c>
      <c r="AD98" s="92"/>
      <c r="AE98" s="92">
        <f t="shared" si="27"/>
        <v>90182.534083333347</v>
      </c>
      <c r="AG98" s="92"/>
      <c r="AH98" s="586"/>
    </row>
    <row r="99" spans="1:34" s="335" customFormat="1" outlineLevel="1">
      <c r="A99" s="327" t="s">
        <v>51</v>
      </c>
      <c r="B99" s="327">
        <f t="shared" si="24"/>
        <v>2019</v>
      </c>
      <c r="C99" s="327" t="s">
        <v>47</v>
      </c>
      <c r="D99" s="583"/>
      <c r="E99" s="92">
        <f t="shared" si="25"/>
        <v>10821904.090000002</v>
      </c>
      <c r="F99" s="92"/>
      <c r="G99" s="92">
        <f t="shared" si="18"/>
        <v>10821904.090000002</v>
      </c>
      <c r="H99" s="583"/>
      <c r="I99" s="590">
        <v>64043.69</v>
      </c>
      <c r="J99" s="583">
        <f t="shared" si="28"/>
        <v>8120791.5500000026</v>
      </c>
      <c r="K99" s="583"/>
      <c r="L99" s="92">
        <f t="shared" si="26"/>
        <v>2701112.5399999991</v>
      </c>
      <c r="N99" s="92">
        <f t="shared" si="33"/>
        <v>23.958333333333332</v>
      </c>
      <c r="O99" s="92">
        <f t="shared" si="33"/>
        <v>4123.3002500000002</v>
      </c>
      <c r="P99" s="92">
        <f t="shared" si="33"/>
        <v>3898.8593333333333</v>
      </c>
      <c r="Q99" s="92">
        <f t="shared" si="33"/>
        <v>4649.1265833333318</v>
      </c>
      <c r="R99" s="92">
        <f t="shared" si="33"/>
        <v>3495.7283333333326</v>
      </c>
      <c r="S99" s="92">
        <f t="shared" si="33"/>
        <v>4464.78125</v>
      </c>
      <c r="T99" s="92">
        <f t="shared" si="32"/>
        <v>4496.8249999999998</v>
      </c>
      <c r="U99" s="92">
        <f t="shared" si="32"/>
        <v>5607.789333333335</v>
      </c>
      <c r="V99" s="92">
        <f t="shared" si="32"/>
        <v>4488.3144166666625</v>
      </c>
      <c r="W99" s="92">
        <f t="shared" si="32"/>
        <v>4648.8916666666664</v>
      </c>
      <c r="X99" s="583">
        <f t="shared" ref="X99:AC114" si="34">X98</f>
        <v>5731.1940000000022</v>
      </c>
      <c r="Y99" s="583">
        <f t="shared" si="34"/>
        <v>7443.2783333333364</v>
      </c>
      <c r="Z99" s="583">
        <f t="shared" si="34"/>
        <v>9479.6125833333317</v>
      </c>
      <c r="AA99" s="92">
        <f t="shared" si="34"/>
        <v>10298.301416666674</v>
      </c>
      <c r="AB99" s="583">
        <f t="shared" si="34"/>
        <v>10107.988750000002</v>
      </c>
      <c r="AC99" s="92">
        <f t="shared" si="34"/>
        <v>7224.5845000000054</v>
      </c>
      <c r="AD99" s="92"/>
      <c r="AE99" s="92">
        <f t="shared" si="27"/>
        <v>90182.534083333347</v>
      </c>
      <c r="AG99" s="92"/>
      <c r="AH99" s="586"/>
    </row>
    <row r="100" spans="1:34" s="335" customFormat="1" outlineLevel="1">
      <c r="A100" s="327" t="s">
        <v>52</v>
      </c>
      <c r="B100" s="327">
        <f t="shared" si="24"/>
        <v>2019</v>
      </c>
      <c r="C100" s="327" t="s">
        <v>47</v>
      </c>
      <c r="D100" s="583"/>
      <c r="E100" s="92">
        <f t="shared" si="25"/>
        <v>10821904.090000002</v>
      </c>
      <c r="F100" s="92"/>
      <c r="G100" s="92">
        <f t="shared" si="18"/>
        <v>10821904.090000002</v>
      </c>
      <c r="H100" s="583"/>
      <c r="I100" s="590">
        <v>82006.73</v>
      </c>
      <c r="J100" s="583">
        <f t="shared" si="28"/>
        <v>8202798.2800000031</v>
      </c>
      <c r="K100" s="583"/>
      <c r="L100" s="92">
        <f t="shared" si="26"/>
        <v>2619105.8099999987</v>
      </c>
      <c r="N100" s="92">
        <f t="shared" si="33"/>
        <v>23.958333333333332</v>
      </c>
      <c r="O100" s="92">
        <f t="shared" si="33"/>
        <v>4123.3002500000002</v>
      </c>
      <c r="P100" s="92">
        <f t="shared" si="33"/>
        <v>3898.8593333333333</v>
      </c>
      <c r="Q100" s="92">
        <f t="shared" si="33"/>
        <v>4649.1265833333318</v>
      </c>
      <c r="R100" s="92">
        <f t="shared" si="33"/>
        <v>3495.7283333333326</v>
      </c>
      <c r="S100" s="92">
        <f t="shared" si="33"/>
        <v>4464.78125</v>
      </c>
      <c r="T100" s="92">
        <f t="shared" si="32"/>
        <v>4496.8249999999998</v>
      </c>
      <c r="U100" s="92">
        <f t="shared" si="32"/>
        <v>5607.789333333335</v>
      </c>
      <c r="V100" s="92">
        <f t="shared" si="32"/>
        <v>4488.3144166666625</v>
      </c>
      <c r="W100" s="92">
        <f t="shared" si="32"/>
        <v>4648.8916666666664</v>
      </c>
      <c r="X100" s="583">
        <f t="shared" si="34"/>
        <v>5731.1940000000022</v>
      </c>
      <c r="Y100" s="583">
        <f t="shared" si="34"/>
        <v>7443.2783333333364</v>
      </c>
      <c r="Z100" s="583">
        <f t="shared" si="34"/>
        <v>9479.6125833333317</v>
      </c>
      <c r="AA100" s="92">
        <f t="shared" si="34"/>
        <v>10298.301416666674</v>
      </c>
      <c r="AB100" s="583">
        <f t="shared" si="34"/>
        <v>10107.988750000002</v>
      </c>
      <c r="AC100" s="92">
        <f t="shared" si="34"/>
        <v>7224.5845000000054</v>
      </c>
      <c r="AD100" s="92"/>
      <c r="AE100" s="92">
        <f t="shared" si="27"/>
        <v>90182.534083333347</v>
      </c>
      <c r="AG100" s="92"/>
      <c r="AH100" s="586"/>
    </row>
    <row r="101" spans="1:34" s="335" customFormat="1" outlineLevel="1">
      <c r="A101" s="327" t="s">
        <v>53</v>
      </c>
      <c r="B101" s="327">
        <f t="shared" si="24"/>
        <v>2020</v>
      </c>
      <c r="C101" s="327" t="s">
        <v>47</v>
      </c>
      <c r="D101" s="583"/>
      <c r="E101" s="92">
        <f t="shared" si="25"/>
        <v>10821904.090000002</v>
      </c>
      <c r="F101" s="92"/>
      <c r="G101" s="92">
        <f t="shared" si="18"/>
        <v>10821904.090000002</v>
      </c>
      <c r="H101" s="583"/>
      <c r="I101" s="590">
        <v>86585.1</v>
      </c>
      <c r="J101" s="583">
        <f t="shared" si="28"/>
        <v>8289383.3800000027</v>
      </c>
      <c r="K101" s="583"/>
      <c r="L101" s="92">
        <f t="shared" si="26"/>
        <v>2532520.709999999</v>
      </c>
      <c r="N101" s="92">
        <f t="shared" si="33"/>
        <v>23.958333333333332</v>
      </c>
      <c r="O101" s="92">
        <f t="shared" si="33"/>
        <v>4123.3002500000002</v>
      </c>
      <c r="P101" s="92">
        <f t="shared" si="33"/>
        <v>3898.8593333333333</v>
      </c>
      <c r="Q101" s="92">
        <f t="shared" si="33"/>
        <v>4649.1265833333318</v>
      </c>
      <c r="R101" s="92">
        <f t="shared" si="33"/>
        <v>3495.7283333333326</v>
      </c>
      <c r="S101" s="92">
        <f t="shared" si="33"/>
        <v>4464.78125</v>
      </c>
      <c r="T101" s="92">
        <f t="shared" si="32"/>
        <v>4496.8249999999998</v>
      </c>
      <c r="U101" s="92">
        <f t="shared" si="32"/>
        <v>5607.789333333335</v>
      </c>
      <c r="V101" s="92">
        <f t="shared" si="32"/>
        <v>4488.3144166666625</v>
      </c>
      <c r="W101" s="92">
        <f t="shared" si="32"/>
        <v>4648.8916666666664</v>
      </c>
      <c r="X101" s="583">
        <f t="shared" si="34"/>
        <v>5731.1940000000022</v>
      </c>
      <c r="Y101" s="583">
        <f t="shared" si="34"/>
        <v>7443.2783333333364</v>
      </c>
      <c r="Z101" s="583">
        <f t="shared" si="34"/>
        <v>9479.6125833333317</v>
      </c>
      <c r="AA101" s="92">
        <f t="shared" si="34"/>
        <v>10298.301416666674</v>
      </c>
      <c r="AB101" s="583">
        <f t="shared" si="34"/>
        <v>10107.988750000002</v>
      </c>
      <c r="AC101" s="92">
        <f t="shared" si="34"/>
        <v>7224.5845000000054</v>
      </c>
      <c r="AD101" s="92"/>
      <c r="AE101" s="92">
        <f t="shared" si="27"/>
        <v>90182.534083333347</v>
      </c>
      <c r="AG101" s="92"/>
      <c r="AH101" s="586"/>
    </row>
    <row r="102" spans="1:34" s="335" customFormat="1" outlineLevel="1">
      <c r="A102" s="327" t="s">
        <v>54</v>
      </c>
      <c r="B102" s="327">
        <f t="shared" si="24"/>
        <v>2020</v>
      </c>
      <c r="C102" s="327" t="s">
        <v>47</v>
      </c>
      <c r="D102" s="583"/>
      <c r="E102" s="92">
        <f t="shared" si="25"/>
        <v>10821904.090000002</v>
      </c>
      <c r="F102" s="92"/>
      <c r="G102" s="92">
        <f t="shared" si="18"/>
        <v>10821904.090000002</v>
      </c>
      <c r="H102" s="583"/>
      <c r="I102" s="590">
        <v>74732.789999999994</v>
      </c>
      <c r="J102" s="583">
        <f t="shared" si="28"/>
        <v>8364116.1700000027</v>
      </c>
      <c r="K102" s="583"/>
      <c r="L102" s="92">
        <f t="shared" si="26"/>
        <v>2457787.919999999</v>
      </c>
      <c r="N102" s="92">
        <f t="shared" si="33"/>
        <v>23.958333333333332</v>
      </c>
      <c r="O102" s="92">
        <f t="shared" si="33"/>
        <v>4123.3002500000002</v>
      </c>
      <c r="P102" s="92">
        <f t="shared" si="33"/>
        <v>3898.8593333333333</v>
      </c>
      <c r="Q102" s="92">
        <f t="shared" si="33"/>
        <v>4649.1265833333318</v>
      </c>
      <c r="R102" s="92">
        <f t="shared" si="33"/>
        <v>3495.7283333333326</v>
      </c>
      <c r="S102" s="92">
        <f t="shared" si="33"/>
        <v>4464.78125</v>
      </c>
      <c r="T102" s="92">
        <f t="shared" si="32"/>
        <v>4496.8249999999998</v>
      </c>
      <c r="U102" s="92">
        <f t="shared" si="32"/>
        <v>5607.789333333335</v>
      </c>
      <c r="V102" s="92">
        <f t="shared" si="32"/>
        <v>4488.3144166666625</v>
      </c>
      <c r="W102" s="92">
        <f t="shared" si="32"/>
        <v>4648.8916666666664</v>
      </c>
      <c r="X102" s="583">
        <f t="shared" si="34"/>
        <v>5731.1940000000022</v>
      </c>
      <c r="Y102" s="583">
        <f t="shared" si="34"/>
        <v>7443.2783333333364</v>
      </c>
      <c r="Z102" s="583">
        <f t="shared" si="34"/>
        <v>9479.6125833333317</v>
      </c>
      <c r="AA102" s="92">
        <f t="shared" si="34"/>
        <v>10298.301416666674</v>
      </c>
      <c r="AB102" s="583">
        <f t="shared" si="34"/>
        <v>10107.988750000002</v>
      </c>
      <c r="AC102" s="92">
        <f t="shared" si="34"/>
        <v>7224.5845000000054</v>
      </c>
      <c r="AD102" s="92"/>
      <c r="AE102" s="92">
        <f t="shared" si="27"/>
        <v>90182.534083333347</v>
      </c>
      <c r="AG102" s="92"/>
      <c r="AH102" s="586"/>
    </row>
    <row r="103" spans="1:34" s="335" customFormat="1" outlineLevel="1">
      <c r="A103" s="327" t="s">
        <v>55</v>
      </c>
      <c r="B103" s="327">
        <f t="shared" si="24"/>
        <v>2020</v>
      </c>
      <c r="C103" s="327" t="s">
        <v>47</v>
      </c>
      <c r="D103" s="583"/>
      <c r="E103" s="92">
        <f t="shared" si="25"/>
        <v>10821904.090000002</v>
      </c>
      <c r="F103" s="92"/>
      <c r="G103" s="92">
        <f t="shared" si="18"/>
        <v>10821904.090000002</v>
      </c>
      <c r="H103" s="583"/>
      <c r="I103" s="590">
        <v>82070.64</v>
      </c>
      <c r="J103" s="583">
        <f t="shared" si="28"/>
        <v>8446186.8100000024</v>
      </c>
      <c r="K103" s="583"/>
      <c r="L103" s="92">
        <f t="shared" si="26"/>
        <v>2375717.2799999993</v>
      </c>
      <c r="N103" s="92">
        <f t="shared" si="33"/>
        <v>23.958333333333332</v>
      </c>
      <c r="O103" s="92">
        <f t="shared" si="33"/>
        <v>4123.3002500000002</v>
      </c>
      <c r="P103" s="92">
        <f t="shared" si="33"/>
        <v>3898.8593333333333</v>
      </c>
      <c r="Q103" s="92">
        <f t="shared" si="33"/>
        <v>4649.1265833333318</v>
      </c>
      <c r="R103" s="92">
        <f t="shared" si="33"/>
        <v>3495.7283333333326</v>
      </c>
      <c r="S103" s="92">
        <f t="shared" si="33"/>
        <v>4464.78125</v>
      </c>
      <c r="T103" s="92">
        <f t="shared" si="32"/>
        <v>4496.8249999999998</v>
      </c>
      <c r="U103" s="92">
        <f t="shared" si="32"/>
        <v>5607.789333333335</v>
      </c>
      <c r="V103" s="92">
        <f t="shared" si="32"/>
        <v>4488.3144166666625</v>
      </c>
      <c r="W103" s="92">
        <f t="shared" si="32"/>
        <v>4648.8916666666664</v>
      </c>
      <c r="X103" s="583">
        <f t="shared" si="34"/>
        <v>5731.1940000000022</v>
      </c>
      <c r="Y103" s="583">
        <f t="shared" si="34"/>
        <v>7443.2783333333364</v>
      </c>
      <c r="Z103" s="583">
        <f t="shared" si="34"/>
        <v>9479.6125833333317</v>
      </c>
      <c r="AA103" s="92">
        <f t="shared" si="34"/>
        <v>10298.301416666674</v>
      </c>
      <c r="AB103" s="583">
        <f t="shared" si="34"/>
        <v>10107.988750000002</v>
      </c>
      <c r="AC103" s="92">
        <f t="shared" si="34"/>
        <v>7224.5845000000054</v>
      </c>
      <c r="AD103" s="92"/>
      <c r="AE103" s="92">
        <f t="shared" ref="AE103:AE134" si="35">SUM(N103:AC103)</f>
        <v>90182.534083333347</v>
      </c>
      <c r="AG103" s="92"/>
      <c r="AH103" s="586"/>
    </row>
    <row r="104" spans="1:34" s="335" customFormat="1" outlineLevel="1">
      <c r="A104" s="327" t="s">
        <v>56</v>
      </c>
      <c r="B104" s="327">
        <f t="shared" si="24"/>
        <v>2020</v>
      </c>
      <c r="C104" s="327" t="s">
        <v>47</v>
      </c>
      <c r="D104" s="583"/>
      <c r="E104" s="92">
        <f t="shared" si="25"/>
        <v>10821904.090000002</v>
      </c>
      <c r="F104" s="92"/>
      <c r="G104" s="92">
        <f t="shared" si="18"/>
        <v>10821904.090000002</v>
      </c>
      <c r="H104" s="583"/>
      <c r="I104" s="590">
        <v>84909.43</v>
      </c>
      <c r="J104" s="583">
        <f t="shared" si="28"/>
        <v>8531096.2400000021</v>
      </c>
      <c r="K104" s="583"/>
      <c r="L104" s="92">
        <f t="shared" si="26"/>
        <v>2290807.8499999996</v>
      </c>
      <c r="N104" s="92">
        <f t="shared" si="33"/>
        <v>23.958333333333332</v>
      </c>
      <c r="O104" s="92">
        <f t="shared" si="33"/>
        <v>4123.3002500000002</v>
      </c>
      <c r="P104" s="92">
        <f t="shared" si="33"/>
        <v>3898.8593333333333</v>
      </c>
      <c r="Q104" s="92">
        <f t="shared" si="33"/>
        <v>4649.1265833333318</v>
      </c>
      <c r="R104" s="92">
        <f t="shared" si="33"/>
        <v>3495.7283333333326</v>
      </c>
      <c r="S104" s="92">
        <f t="shared" si="33"/>
        <v>4464.78125</v>
      </c>
      <c r="T104" s="92">
        <f t="shared" si="32"/>
        <v>4496.8249999999998</v>
      </c>
      <c r="U104" s="92">
        <f t="shared" si="32"/>
        <v>5607.789333333335</v>
      </c>
      <c r="V104" s="92">
        <f t="shared" si="32"/>
        <v>4488.3144166666625</v>
      </c>
      <c r="W104" s="92">
        <f t="shared" si="32"/>
        <v>4648.8916666666664</v>
      </c>
      <c r="X104" s="583">
        <f t="shared" si="34"/>
        <v>5731.1940000000022</v>
      </c>
      <c r="Y104" s="583">
        <f t="shared" si="34"/>
        <v>7443.2783333333364</v>
      </c>
      <c r="Z104" s="583">
        <f t="shared" si="34"/>
        <v>9479.6125833333317</v>
      </c>
      <c r="AA104" s="92">
        <f t="shared" si="34"/>
        <v>10298.301416666674</v>
      </c>
      <c r="AB104" s="583">
        <f t="shared" si="34"/>
        <v>10107.988750000002</v>
      </c>
      <c r="AC104" s="92">
        <f t="shared" si="34"/>
        <v>7224.5845000000054</v>
      </c>
      <c r="AD104" s="92"/>
      <c r="AE104" s="92">
        <f t="shared" si="35"/>
        <v>90182.534083333347</v>
      </c>
      <c r="AG104" s="92"/>
      <c r="AH104" s="586"/>
    </row>
    <row r="105" spans="1:34" s="335" customFormat="1" outlineLevel="1">
      <c r="A105" s="327" t="s">
        <v>57</v>
      </c>
      <c r="B105" s="327">
        <f t="shared" si="24"/>
        <v>2020</v>
      </c>
      <c r="C105" s="327" t="s">
        <v>47</v>
      </c>
      <c r="D105" s="583"/>
      <c r="E105" s="92">
        <f t="shared" si="25"/>
        <v>10821904.090000002</v>
      </c>
      <c r="F105" s="92"/>
      <c r="G105" s="92">
        <f t="shared" si="18"/>
        <v>10821904.090000002</v>
      </c>
      <c r="H105" s="583"/>
      <c r="I105" s="590">
        <v>71813.460000000006</v>
      </c>
      <c r="J105" s="583">
        <f t="shared" si="28"/>
        <v>8602909.700000003</v>
      </c>
      <c r="K105" s="583"/>
      <c r="L105" s="92">
        <f t="shared" si="26"/>
        <v>2218994.3899999987</v>
      </c>
      <c r="N105" s="92">
        <f t="shared" si="33"/>
        <v>23.958333333333332</v>
      </c>
      <c r="O105" s="92">
        <f>+O104</f>
        <v>4123.3002500000002</v>
      </c>
      <c r="P105" s="92">
        <f>+P104</f>
        <v>3898.8593333333333</v>
      </c>
      <c r="Q105" s="92">
        <f>+Q104</f>
        <v>4649.1265833333318</v>
      </c>
      <c r="R105" s="92">
        <f>+R104</f>
        <v>3495.7283333333326</v>
      </c>
      <c r="S105" s="92">
        <f>+S104</f>
        <v>4464.78125</v>
      </c>
      <c r="T105" s="92">
        <f t="shared" si="32"/>
        <v>4496.8249999999998</v>
      </c>
      <c r="U105" s="92">
        <f t="shared" si="32"/>
        <v>5607.789333333335</v>
      </c>
      <c r="V105" s="92">
        <f t="shared" si="32"/>
        <v>4488.3144166666625</v>
      </c>
      <c r="W105" s="92">
        <f t="shared" si="32"/>
        <v>4648.8916666666664</v>
      </c>
      <c r="X105" s="583">
        <f t="shared" si="34"/>
        <v>5731.1940000000022</v>
      </c>
      <c r="Y105" s="583">
        <f t="shared" si="34"/>
        <v>7443.2783333333364</v>
      </c>
      <c r="Z105" s="583">
        <f t="shared" si="34"/>
        <v>9479.6125833333317</v>
      </c>
      <c r="AA105" s="92">
        <f t="shared" si="34"/>
        <v>10298.301416666674</v>
      </c>
      <c r="AB105" s="583">
        <f t="shared" si="34"/>
        <v>10107.988750000002</v>
      </c>
      <c r="AC105" s="92">
        <f t="shared" si="34"/>
        <v>7224.5845000000054</v>
      </c>
      <c r="AD105" s="92"/>
      <c r="AE105" s="92">
        <f t="shared" si="35"/>
        <v>90182.534083333347</v>
      </c>
      <c r="AG105" s="92"/>
      <c r="AH105" s="586"/>
    </row>
    <row r="106" spans="1:34" s="335" customFormat="1" outlineLevel="1">
      <c r="A106" s="327" t="s">
        <v>58</v>
      </c>
      <c r="B106" s="327">
        <f t="shared" si="24"/>
        <v>2020</v>
      </c>
      <c r="C106" s="327" t="s">
        <v>47</v>
      </c>
      <c r="D106" s="583"/>
      <c r="E106" s="92">
        <f t="shared" si="25"/>
        <v>10821904.090000002</v>
      </c>
      <c r="F106" s="92"/>
      <c r="G106" s="92">
        <f t="shared" si="18"/>
        <v>10821904.090000002</v>
      </c>
      <c r="H106" s="583"/>
      <c r="I106" s="590">
        <v>86028.44</v>
      </c>
      <c r="J106" s="583">
        <f t="shared" si="28"/>
        <v>8688938.1400000025</v>
      </c>
      <c r="K106" s="583"/>
      <c r="L106" s="92">
        <f t="shared" si="26"/>
        <v>2132965.9499999993</v>
      </c>
      <c r="N106" s="92">
        <f t="shared" ref="N106:S119" si="36">+N105</f>
        <v>23.958333333333332</v>
      </c>
      <c r="O106" s="92">
        <f t="shared" si="36"/>
        <v>4123.3002500000002</v>
      </c>
      <c r="P106" s="92">
        <f t="shared" si="36"/>
        <v>3898.8593333333333</v>
      </c>
      <c r="Q106" s="92">
        <f t="shared" si="36"/>
        <v>4649.1265833333318</v>
      </c>
      <c r="R106" s="92">
        <f t="shared" si="36"/>
        <v>3495.7283333333326</v>
      </c>
      <c r="S106" s="92">
        <f t="shared" si="36"/>
        <v>4464.78125</v>
      </c>
      <c r="T106" s="92">
        <f t="shared" si="32"/>
        <v>4496.8249999999998</v>
      </c>
      <c r="U106" s="92">
        <f t="shared" si="32"/>
        <v>5607.789333333335</v>
      </c>
      <c r="V106" s="92">
        <f t="shared" si="32"/>
        <v>4488.3144166666625</v>
      </c>
      <c r="W106" s="92">
        <f t="shared" si="32"/>
        <v>4648.8916666666664</v>
      </c>
      <c r="X106" s="583">
        <f t="shared" si="34"/>
        <v>5731.1940000000022</v>
      </c>
      <c r="Y106" s="583">
        <f t="shared" si="34"/>
        <v>7443.2783333333364</v>
      </c>
      <c r="Z106" s="583">
        <f t="shared" si="34"/>
        <v>9479.6125833333317</v>
      </c>
      <c r="AA106" s="92">
        <f t="shared" si="34"/>
        <v>10298.301416666674</v>
      </c>
      <c r="AB106" s="583">
        <f t="shared" si="34"/>
        <v>10107.988750000002</v>
      </c>
      <c r="AC106" s="92">
        <f t="shared" si="34"/>
        <v>7224.5845000000054</v>
      </c>
      <c r="AD106" s="92"/>
      <c r="AE106" s="92">
        <f t="shared" si="35"/>
        <v>90182.534083333347</v>
      </c>
      <c r="AG106" s="92"/>
      <c r="AH106" s="586"/>
    </row>
    <row r="107" spans="1:34" s="335" customFormat="1" outlineLevel="1">
      <c r="A107" s="327" t="s">
        <v>59</v>
      </c>
      <c r="B107" s="327">
        <f t="shared" si="24"/>
        <v>2020</v>
      </c>
      <c r="C107" s="327" t="s">
        <v>47</v>
      </c>
      <c r="D107" s="583"/>
      <c r="E107" s="92">
        <f t="shared" si="25"/>
        <v>10821904.090000002</v>
      </c>
      <c r="F107" s="92"/>
      <c r="G107" s="92">
        <f t="shared" si="18"/>
        <v>10821904.090000002</v>
      </c>
      <c r="H107" s="583"/>
      <c r="I107" s="590">
        <v>84006.69</v>
      </c>
      <c r="J107" s="583">
        <f t="shared" si="28"/>
        <v>8772944.8300000019</v>
      </c>
      <c r="K107" s="583"/>
      <c r="L107" s="92">
        <f t="shared" si="26"/>
        <v>2048959.2599999998</v>
      </c>
      <c r="N107" s="92">
        <f t="shared" si="36"/>
        <v>23.958333333333332</v>
      </c>
      <c r="O107" s="92">
        <f t="shared" si="36"/>
        <v>4123.3002500000002</v>
      </c>
      <c r="P107" s="92">
        <f t="shared" si="36"/>
        <v>3898.8593333333333</v>
      </c>
      <c r="Q107" s="92">
        <f t="shared" si="36"/>
        <v>4649.1265833333318</v>
      </c>
      <c r="R107" s="92">
        <f t="shared" si="36"/>
        <v>3495.7283333333326</v>
      </c>
      <c r="S107" s="92">
        <f t="shared" si="36"/>
        <v>4464.78125</v>
      </c>
      <c r="T107" s="92">
        <f t="shared" si="32"/>
        <v>4496.8249999999998</v>
      </c>
      <c r="U107" s="92">
        <f t="shared" si="32"/>
        <v>5607.789333333335</v>
      </c>
      <c r="V107" s="92">
        <f t="shared" si="32"/>
        <v>4488.3144166666625</v>
      </c>
      <c r="W107" s="92">
        <f t="shared" si="32"/>
        <v>4648.8916666666664</v>
      </c>
      <c r="X107" s="583">
        <f t="shared" si="34"/>
        <v>5731.1940000000022</v>
      </c>
      <c r="Y107" s="583">
        <f t="shared" si="34"/>
        <v>7443.2783333333364</v>
      </c>
      <c r="Z107" s="583">
        <f t="shared" si="34"/>
        <v>9479.6125833333317</v>
      </c>
      <c r="AA107" s="92">
        <f t="shared" si="34"/>
        <v>10298.301416666674</v>
      </c>
      <c r="AB107" s="583">
        <f t="shared" si="34"/>
        <v>10107.988750000002</v>
      </c>
      <c r="AC107" s="92">
        <f t="shared" si="34"/>
        <v>7224.5845000000054</v>
      </c>
      <c r="AD107" s="92"/>
      <c r="AE107" s="92">
        <f t="shared" si="35"/>
        <v>90182.534083333347</v>
      </c>
      <c r="AG107" s="92"/>
      <c r="AH107" s="586"/>
    </row>
    <row r="108" spans="1:34" s="335" customFormat="1" outlineLevel="1">
      <c r="A108" s="327" t="s">
        <v>46</v>
      </c>
      <c r="B108" s="327">
        <f t="shared" si="24"/>
        <v>2020</v>
      </c>
      <c r="C108" s="327" t="s">
        <v>47</v>
      </c>
      <c r="D108" s="583"/>
      <c r="E108" s="92">
        <f t="shared" si="25"/>
        <v>10821904.090000002</v>
      </c>
      <c r="F108" s="92"/>
      <c r="G108" s="92">
        <f t="shared" si="18"/>
        <v>10821904.090000002</v>
      </c>
      <c r="H108" s="583"/>
      <c r="I108" s="590">
        <v>83579.56</v>
      </c>
      <c r="J108" s="583">
        <f t="shared" si="28"/>
        <v>8856524.3900000025</v>
      </c>
      <c r="K108" s="583"/>
      <c r="L108" s="92">
        <f t="shared" si="26"/>
        <v>1965379.6999999993</v>
      </c>
      <c r="N108" s="92">
        <f t="shared" si="36"/>
        <v>23.958333333333332</v>
      </c>
      <c r="O108" s="92">
        <f t="shared" si="36"/>
        <v>4123.3002500000002</v>
      </c>
      <c r="P108" s="92">
        <f t="shared" si="36"/>
        <v>3898.8593333333333</v>
      </c>
      <c r="Q108" s="92">
        <f t="shared" si="36"/>
        <v>4649.1265833333318</v>
      </c>
      <c r="R108" s="92">
        <f t="shared" si="36"/>
        <v>3495.7283333333326</v>
      </c>
      <c r="S108" s="92">
        <f t="shared" si="36"/>
        <v>4464.78125</v>
      </c>
      <c r="T108" s="92">
        <f t="shared" ref="T108:W123" si="37">+T107</f>
        <v>4496.8249999999998</v>
      </c>
      <c r="U108" s="92">
        <f t="shared" si="37"/>
        <v>5607.789333333335</v>
      </c>
      <c r="V108" s="92">
        <f t="shared" si="37"/>
        <v>4488.3144166666625</v>
      </c>
      <c r="W108" s="92">
        <f t="shared" si="37"/>
        <v>4648.8916666666664</v>
      </c>
      <c r="X108" s="583">
        <f t="shared" si="34"/>
        <v>5731.1940000000022</v>
      </c>
      <c r="Y108" s="583">
        <f t="shared" si="34"/>
        <v>7443.2783333333364</v>
      </c>
      <c r="Z108" s="583">
        <f t="shared" si="34"/>
        <v>9479.6125833333317</v>
      </c>
      <c r="AA108" s="92">
        <f t="shared" si="34"/>
        <v>10298.301416666674</v>
      </c>
      <c r="AB108" s="583">
        <f t="shared" si="34"/>
        <v>10107.988750000002</v>
      </c>
      <c r="AC108" s="92">
        <f t="shared" si="34"/>
        <v>7224.5845000000054</v>
      </c>
      <c r="AD108" s="92"/>
      <c r="AE108" s="92">
        <f t="shared" si="35"/>
        <v>90182.534083333347</v>
      </c>
      <c r="AG108" s="92"/>
      <c r="AH108" s="586"/>
    </row>
    <row r="109" spans="1:34" s="335" customFormat="1" outlineLevel="1">
      <c r="A109" s="327" t="s">
        <v>48</v>
      </c>
      <c r="B109" s="327">
        <f t="shared" si="24"/>
        <v>2020</v>
      </c>
      <c r="C109" s="327" t="s">
        <v>47</v>
      </c>
      <c r="D109" s="583"/>
      <c r="E109" s="92">
        <f t="shared" si="25"/>
        <v>10821904.090000002</v>
      </c>
      <c r="F109" s="92"/>
      <c r="G109" s="92">
        <f t="shared" si="18"/>
        <v>10821904.090000002</v>
      </c>
      <c r="H109" s="583"/>
      <c r="I109" s="590">
        <v>85076.160000000003</v>
      </c>
      <c r="J109" s="583">
        <f t="shared" si="28"/>
        <v>8941600.5500000026</v>
      </c>
      <c r="K109" s="583"/>
      <c r="L109" s="92">
        <f t="shared" si="26"/>
        <v>1880303.5399999991</v>
      </c>
      <c r="N109" s="92">
        <f t="shared" si="36"/>
        <v>23.958333333333332</v>
      </c>
      <c r="O109" s="92">
        <f t="shared" si="36"/>
        <v>4123.3002500000002</v>
      </c>
      <c r="P109" s="92">
        <f t="shared" si="36"/>
        <v>3898.8593333333333</v>
      </c>
      <c r="Q109" s="92">
        <f t="shared" si="36"/>
        <v>4649.1265833333318</v>
      </c>
      <c r="R109" s="92">
        <f t="shared" si="36"/>
        <v>3495.7283333333326</v>
      </c>
      <c r="S109" s="92">
        <f t="shared" si="36"/>
        <v>4464.78125</v>
      </c>
      <c r="T109" s="92">
        <f t="shared" si="37"/>
        <v>4496.8249999999998</v>
      </c>
      <c r="U109" s="92">
        <f t="shared" si="37"/>
        <v>5607.789333333335</v>
      </c>
      <c r="V109" s="92">
        <f t="shared" si="37"/>
        <v>4488.3144166666625</v>
      </c>
      <c r="W109" s="92">
        <f t="shared" si="37"/>
        <v>4648.8916666666664</v>
      </c>
      <c r="X109" s="583">
        <f t="shared" si="34"/>
        <v>5731.1940000000022</v>
      </c>
      <c r="Y109" s="583">
        <f t="shared" si="34"/>
        <v>7443.2783333333364</v>
      </c>
      <c r="Z109" s="583">
        <f t="shared" si="34"/>
        <v>9479.6125833333317</v>
      </c>
      <c r="AA109" s="92">
        <f t="shared" si="34"/>
        <v>10298.301416666674</v>
      </c>
      <c r="AB109" s="583">
        <f t="shared" si="34"/>
        <v>10107.988750000002</v>
      </c>
      <c r="AC109" s="92">
        <f t="shared" si="34"/>
        <v>7224.5845000000054</v>
      </c>
      <c r="AD109" s="92"/>
      <c r="AE109" s="92">
        <f t="shared" si="35"/>
        <v>90182.534083333347</v>
      </c>
      <c r="AG109" s="92"/>
      <c r="AH109" s="586"/>
    </row>
    <row r="110" spans="1:34" s="335" customFormat="1" outlineLevel="1">
      <c r="A110" s="327" t="s">
        <v>50</v>
      </c>
      <c r="B110" s="327">
        <f t="shared" si="24"/>
        <v>2020</v>
      </c>
      <c r="C110" s="327" t="s">
        <v>47</v>
      </c>
      <c r="D110" s="583"/>
      <c r="E110" s="92">
        <f t="shared" si="25"/>
        <v>10821904.090000002</v>
      </c>
      <c r="F110" s="92"/>
      <c r="G110" s="92">
        <f t="shared" si="18"/>
        <v>10821904.090000002</v>
      </c>
      <c r="H110" s="583"/>
      <c r="I110" s="590">
        <v>83217.740000000005</v>
      </c>
      <c r="J110" s="583">
        <f t="shared" si="28"/>
        <v>9024818.2900000028</v>
      </c>
      <c r="K110" s="583"/>
      <c r="L110" s="92">
        <f t="shared" si="26"/>
        <v>1797085.7999999989</v>
      </c>
      <c r="N110" s="92">
        <f t="shared" si="36"/>
        <v>23.958333333333332</v>
      </c>
      <c r="O110" s="92">
        <f t="shared" si="36"/>
        <v>4123.3002500000002</v>
      </c>
      <c r="P110" s="92">
        <f t="shared" si="36"/>
        <v>3898.8593333333333</v>
      </c>
      <c r="Q110" s="92">
        <f t="shared" si="36"/>
        <v>4649.1265833333318</v>
      </c>
      <c r="R110" s="92">
        <f t="shared" si="36"/>
        <v>3495.7283333333326</v>
      </c>
      <c r="S110" s="92">
        <f t="shared" si="36"/>
        <v>4464.78125</v>
      </c>
      <c r="T110" s="92">
        <f t="shared" si="37"/>
        <v>4496.8249999999998</v>
      </c>
      <c r="U110" s="92">
        <f t="shared" si="37"/>
        <v>5607.789333333335</v>
      </c>
      <c r="V110" s="92">
        <f t="shared" si="37"/>
        <v>4488.3144166666625</v>
      </c>
      <c r="W110" s="92">
        <f t="shared" si="37"/>
        <v>4648.8916666666664</v>
      </c>
      <c r="X110" s="583">
        <f t="shared" si="34"/>
        <v>5731.1940000000022</v>
      </c>
      <c r="Y110" s="583">
        <f t="shared" si="34"/>
        <v>7443.2783333333364</v>
      </c>
      <c r="Z110" s="583">
        <f t="shared" si="34"/>
        <v>9479.6125833333317</v>
      </c>
      <c r="AA110" s="92">
        <f t="shared" si="34"/>
        <v>10298.301416666674</v>
      </c>
      <c r="AB110" s="583">
        <f t="shared" si="34"/>
        <v>10107.988750000002</v>
      </c>
      <c r="AC110" s="92">
        <f t="shared" si="34"/>
        <v>7224.5845000000054</v>
      </c>
      <c r="AD110" s="92"/>
      <c r="AE110" s="92">
        <f t="shared" si="35"/>
        <v>90182.534083333347</v>
      </c>
      <c r="AG110" s="92"/>
      <c r="AH110" s="586"/>
    </row>
    <row r="111" spans="1:34" s="335" customFormat="1" outlineLevel="1">
      <c r="A111" s="327" t="s">
        <v>51</v>
      </c>
      <c r="B111" s="327">
        <f t="shared" si="24"/>
        <v>2020</v>
      </c>
      <c r="C111" s="327" t="s">
        <v>47</v>
      </c>
      <c r="D111" s="583"/>
      <c r="E111" s="92">
        <f t="shared" si="25"/>
        <v>10821904.090000002</v>
      </c>
      <c r="F111" s="92"/>
      <c r="G111" s="92">
        <f t="shared" si="18"/>
        <v>10821904.090000002</v>
      </c>
      <c r="H111" s="583"/>
      <c r="I111" s="590">
        <v>61121.73</v>
      </c>
      <c r="J111" s="583">
        <f t="shared" si="28"/>
        <v>9085940.0200000033</v>
      </c>
      <c r="K111" s="583"/>
      <c r="L111" s="92">
        <f t="shared" si="26"/>
        <v>1735964.0699999984</v>
      </c>
      <c r="N111" s="92">
        <f t="shared" si="36"/>
        <v>23.958333333333332</v>
      </c>
      <c r="O111" s="92">
        <f t="shared" si="36"/>
        <v>4123.3002500000002</v>
      </c>
      <c r="P111" s="92">
        <f t="shared" si="36"/>
        <v>3898.8593333333333</v>
      </c>
      <c r="Q111" s="92">
        <f t="shared" si="36"/>
        <v>4649.1265833333318</v>
      </c>
      <c r="R111" s="92">
        <f t="shared" si="36"/>
        <v>3495.7283333333326</v>
      </c>
      <c r="S111" s="92">
        <f t="shared" si="36"/>
        <v>4464.78125</v>
      </c>
      <c r="T111" s="92">
        <f t="shared" si="37"/>
        <v>4496.8249999999998</v>
      </c>
      <c r="U111" s="92">
        <f t="shared" si="37"/>
        <v>5607.789333333335</v>
      </c>
      <c r="V111" s="92">
        <f t="shared" si="37"/>
        <v>4488.3144166666625</v>
      </c>
      <c r="W111" s="92">
        <f t="shared" si="37"/>
        <v>4648.8916666666664</v>
      </c>
      <c r="X111" s="583">
        <f t="shared" si="34"/>
        <v>5731.1940000000022</v>
      </c>
      <c r="Y111" s="583">
        <f t="shared" si="34"/>
        <v>7443.2783333333364</v>
      </c>
      <c r="Z111" s="583">
        <f t="shared" si="34"/>
        <v>9479.6125833333317</v>
      </c>
      <c r="AA111" s="92">
        <f t="shared" si="34"/>
        <v>10298.301416666674</v>
      </c>
      <c r="AB111" s="583">
        <f t="shared" si="34"/>
        <v>10107.988750000002</v>
      </c>
      <c r="AC111" s="92">
        <f t="shared" si="34"/>
        <v>7224.5845000000054</v>
      </c>
      <c r="AD111" s="92"/>
      <c r="AE111" s="92">
        <f t="shared" si="35"/>
        <v>90182.534083333347</v>
      </c>
      <c r="AG111" s="92"/>
      <c r="AH111" s="586"/>
    </row>
    <row r="112" spans="1:34" s="335" customFormat="1" outlineLevel="1">
      <c r="A112" s="327" t="s">
        <v>52</v>
      </c>
      <c r="B112" s="327">
        <f t="shared" si="24"/>
        <v>2020</v>
      </c>
      <c r="C112" s="327" t="s">
        <v>47</v>
      </c>
      <c r="D112" s="583"/>
      <c r="E112" s="92">
        <f t="shared" si="25"/>
        <v>10821904.090000002</v>
      </c>
      <c r="F112" s="92"/>
      <c r="G112" s="92">
        <f t="shared" ref="G112:G140" si="38">G111</f>
        <v>10821904.090000002</v>
      </c>
      <c r="H112" s="583"/>
      <c r="I112" s="590">
        <v>93066.47</v>
      </c>
      <c r="J112" s="583">
        <f t="shared" si="28"/>
        <v>9179006.4900000039</v>
      </c>
      <c r="K112" s="583"/>
      <c r="L112" s="92">
        <f t="shared" si="26"/>
        <v>1642897.5999999978</v>
      </c>
      <c r="N112" s="92">
        <f t="shared" si="36"/>
        <v>23.958333333333332</v>
      </c>
      <c r="O112" s="92">
        <f t="shared" si="36"/>
        <v>4123.3002500000002</v>
      </c>
      <c r="P112" s="92">
        <f t="shared" si="36"/>
        <v>3898.8593333333333</v>
      </c>
      <c r="Q112" s="92">
        <f t="shared" si="36"/>
        <v>4649.1265833333318</v>
      </c>
      <c r="R112" s="92">
        <f t="shared" si="36"/>
        <v>3495.7283333333326</v>
      </c>
      <c r="S112" s="92">
        <f t="shared" si="36"/>
        <v>4464.78125</v>
      </c>
      <c r="T112" s="92">
        <f t="shared" si="37"/>
        <v>4496.8249999999998</v>
      </c>
      <c r="U112" s="92">
        <f t="shared" si="37"/>
        <v>5607.789333333335</v>
      </c>
      <c r="V112" s="92">
        <f t="shared" si="37"/>
        <v>4488.3144166666625</v>
      </c>
      <c r="W112" s="92">
        <f t="shared" si="37"/>
        <v>4648.8916666666664</v>
      </c>
      <c r="X112" s="583">
        <f t="shared" si="34"/>
        <v>5731.1940000000022</v>
      </c>
      <c r="Y112" s="583">
        <f t="shared" si="34"/>
        <v>7443.2783333333364</v>
      </c>
      <c r="Z112" s="583">
        <f t="shared" si="34"/>
        <v>9479.6125833333317</v>
      </c>
      <c r="AA112" s="92">
        <f t="shared" si="34"/>
        <v>10298.301416666674</v>
      </c>
      <c r="AB112" s="583">
        <f t="shared" si="34"/>
        <v>10107.988750000002</v>
      </c>
      <c r="AC112" s="92">
        <f t="shared" si="34"/>
        <v>7224.5845000000054</v>
      </c>
      <c r="AD112" s="92"/>
      <c r="AE112" s="92">
        <f t="shared" si="35"/>
        <v>90182.534083333347</v>
      </c>
      <c r="AG112" s="92"/>
      <c r="AH112" s="586"/>
    </row>
    <row r="113" spans="1:34" s="335" customFormat="1" outlineLevel="1">
      <c r="A113" s="327" t="s">
        <v>53</v>
      </c>
      <c r="B113" s="327">
        <f t="shared" si="24"/>
        <v>2021</v>
      </c>
      <c r="C113" s="327" t="s">
        <v>47</v>
      </c>
      <c r="D113" s="583"/>
      <c r="E113" s="92">
        <f t="shared" si="25"/>
        <v>10821904.090000002</v>
      </c>
      <c r="F113" s="92"/>
      <c r="G113" s="92">
        <f t="shared" si="38"/>
        <v>10821904.090000002</v>
      </c>
      <c r="H113" s="583"/>
      <c r="I113" s="590">
        <v>71718.91</v>
      </c>
      <c r="J113" s="583">
        <f t="shared" si="28"/>
        <v>9250725.4000000041</v>
      </c>
      <c r="K113" s="583"/>
      <c r="L113" s="92">
        <f t="shared" si="26"/>
        <v>1571178.6899999976</v>
      </c>
      <c r="N113" s="92">
        <f t="shared" si="36"/>
        <v>23.958333333333332</v>
      </c>
      <c r="O113" s="92">
        <f t="shared" si="36"/>
        <v>4123.3002500000002</v>
      </c>
      <c r="P113" s="92">
        <f t="shared" si="36"/>
        <v>3898.8593333333333</v>
      </c>
      <c r="Q113" s="92">
        <f t="shared" si="36"/>
        <v>4649.1265833333318</v>
      </c>
      <c r="R113" s="92">
        <f t="shared" si="36"/>
        <v>3495.7283333333326</v>
      </c>
      <c r="S113" s="92">
        <f t="shared" si="36"/>
        <v>4464.78125</v>
      </c>
      <c r="T113" s="92">
        <f t="shared" si="37"/>
        <v>4496.8249999999998</v>
      </c>
      <c r="U113" s="92">
        <f t="shared" si="37"/>
        <v>5607.789333333335</v>
      </c>
      <c r="V113" s="92">
        <f t="shared" si="37"/>
        <v>4488.3144166666625</v>
      </c>
      <c r="W113" s="92">
        <f t="shared" si="37"/>
        <v>4648.8916666666664</v>
      </c>
      <c r="X113" s="583">
        <f t="shared" si="34"/>
        <v>5731.1940000000022</v>
      </c>
      <c r="Y113" s="583">
        <f t="shared" si="34"/>
        <v>7443.2783333333364</v>
      </c>
      <c r="Z113" s="583">
        <f t="shared" si="34"/>
        <v>9479.6125833333317</v>
      </c>
      <c r="AA113" s="92">
        <f t="shared" si="34"/>
        <v>10298.301416666674</v>
      </c>
      <c r="AB113" s="583">
        <f t="shared" si="34"/>
        <v>10107.988750000002</v>
      </c>
      <c r="AC113" s="92">
        <f t="shared" si="34"/>
        <v>7224.5845000000054</v>
      </c>
      <c r="AD113" s="92"/>
      <c r="AE113" s="92">
        <f t="shared" si="35"/>
        <v>90182.534083333347</v>
      </c>
      <c r="AG113" s="92"/>
      <c r="AH113" s="586"/>
    </row>
    <row r="114" spans="1:34" s="335" customFormat="1" outlineLevel="1">
      <c r="A114" s="327" t="s">
        <v>54</v>
      </c>
      <c r="B114" s="327">
        <f t="shared" si="24"/>
        <v>2021</v>
      </c>
      <c r="C114" s="327" t="s">
        <v>47</v>
      </c>
      <c r="D114" s="583"/>
      <c r="E114" s="92">
        <f t="shared" si="25"/>
        <v>10821904.090000002</v>
      </c>
      <c r="F114" s="92"/>
      <c r="G114" s="92">
        <f t="shared" si="38"/>
        <v>10821904.090000002</v>
      </c>
      <c r="H114" s="583"/>
      <c r="I114" s="590">
        <v>71610.929999999993</v>
      </c>
      <c r="J114" s="583">
        <f t="shared" si="28"/>
        <v>9322336.3300000038</v>
      </c>
      <c r="K114" s="583"/>
      <c r="L114" s="92">
        <f t="shared" si="26"/>
        <v>1499567.7599999979</v>
      </c>
      <c r="N114" s="92">
        <f t="shared" si="36"/>
        <v>23.958333333333332</v>
      </c>
      <c r="O114" s="92">
        <f t="shared" si="36"/>
        <v>4123.3002500000002</v>
      </c>
      <c r="P114" s="92">
        <f t="shared" si="36"/>
        <v>3898.8593333333333</v>
      </c>
      <c r="Q114" s="92">
        <f t="shared" si="36"/>
        <v>4649.1265833333318</v>
      </c>
      <c r="R114" s="92">
        <f t="shared" si="36"/>
        <v>3495.7283333333326</v>
      </c>
      <c r="S114" s="92">
        <f t="shared" si="36"/>
        <v>4464.78125</v>
      </c>
      <c r="T114" s="92">
        <f t="shared" si="37"/>
        <v>4496.8249999999998</v>
      </c>
      <c r="U114" s="92">
        <f t="shared" si="37"/>
        <v>5607.789333333335</v>
      </c>
      <c r="V114" s="92">
        <f t="shared" si="37"/>
        <v>4488.3144166666625</v>
      </c>
      <c r="W114" s="92">
        <f t="shared" si="37"/>
        <v>4648.8916666666664</v>
      </c>
      <c r="X114" s="583">
        <f t="shared" si="34"/>
        <v>5731.1940000000022</v>
      </c>
      <c r="Y114" s="583">
        <f t="shared" si="34"/>
        <v>7443.2783333333364</v>
      </c>
      <c r="Z114" s="583">
        <f t="shared" si="34"/>
        <v>9479.6125833333317</v>
      </c>
      <c r="AA114" s="92">
        <f t="shared" si="34"/>
        <v>10298.301416666674</v>
      </c>
      <c r="AB114" s="583">
        <f t="shared" si="34"/>
        <v>10107.988750000002</v>
      </c>
      <c r="AC114" s="92">
        <f t="shared" si="34"/>
        <v>7224.5845000000054</v>
      </c>
      <c r="AD114" s="92"/>
      <c r="AE114" s="92">
        <f t="shared" si="35"/>
        <v>90182.534083333347</v>
      </c>
      <c r="AG114" s="92"/>
      <c r="AH114" s="586"/>
    </row>
    <row r="115" spans="1:34" s="335" customFormat="1" outlineLevel="1">
      <c r="A115" s="327" t="s">
        <v>55</v>
      </c>
      <c r="B115" s="327">
        <f t="shared" si="24"/>
        <v>2021</v>
      </c>
      <c r="C115" s="327" t="s">
        <v>47</v>
      </c>
      <c r="D115" s="583"/>
      <c r="E115" s="92">
        <f t="shared" si="25"/>
        <v>10821904.090000002</v>
      </c>
      <c r="F115" s="92"/>
      <c r="G115" s="92">
        <f t="shared" si="38"/>
        <v>10821904.090000002</v>
      </c>
      <c r="H115" s="583"/>
      <c r="I115" s="590">
        <v>91120.5</v>
      </c>
      <c r="J115" s="583">
        <f t="shared" si="28"/>
        <v>9413456.8300000038</v>
      </c>
      <c r="K115" s="583"/>
      <c r="L115" s="92">
        <f t="shared" si="26"/>
        <v>1408447.2599999979</v>
      </c>
      <c r="N115" s="92">
        <f t="shared" si="36"/>
        <v>23.958333333333332</v>
      </c>
      <c r="O115" s="92">
        <f t="shared" si="36"/>
        <v>4123.3002500000002</v>
      </c>
      <c r="P115" s="92">
        <f t="shared" si="36"/>
        <v>3898.8593333333333</v>
      </c>
      <c r="Q115" s="92">
        <f t="shared" si="36"/>
        <v>4649.1265833333318</v>
      </c>
      <c r="R115" s="92">
        <f t="shared" si="36"/>
        <v>3495.7283333333326</v>
      </c>
      <c r="S115" s="92">
        <f t="shared" si="36"/>
        <v>4464.78125</v>
      </c>
      <c r="T115" s="92">
        <f t="shared" si="37"/>
        <v>4496.8249999999998</v>
      </c>
      <c r="U115" s="92">
        <f t="shared" si="37"/>
        <v>5607.789333333335</v>
      </c>
      <c r="V115" s="92">
        <f t="shared" si="37"/>
        <v>4488.3144166666625</v>
      </c>
      <c r="W115" s="92">
        <f t="shared" si="37"/>
        <v>4648.8916666666664</v>
      </c>
      <c r="X115" s="583">
        <f t="shared" ref="X115:AC130" si="39">X114</f>
        <v>5731.1940000000022</v>
      </c>
      <c r="Y115" s="583">
        <f t="shared" si="39"/>
        <v>7443.2783333333364</v>
      </c>
      <c r="Z115" s="583">
        <f t="shared" si="39"/>
        <v>9479.6125833333317</v>
      </c>
      <c r="AA115" s="92">
        <f t="shared" si="39"/>
        <v>10298.301416666674</v>
      </c>
      <c r="AB115" s="583">
        <f t="shared" si="39"/>
        <v>10107.988750000002</v>
      </c>
      <c r="AC115" s="92">
        <f t="shared" si="39"/>
        <v>7224.5845000000054</v>
      </c>
      <c r="AD115" s="92"/>
      <c r="AE115" s="92">
        <f t="shared" si="35"/>
        <v>90182.534083333347</v>
      </c>
      <c r="AG115" s="92"/>
      <c r="AH115" s="586"/>
    </row>
    <row r="116" spans="1:34" s="335" customFormat="1" outlineLevel="1">
      <c r="A116" s="327" t="s">
        <v>56</v>
      </c>
      <c r="B116" s="327">
        <f t="shared" si="24"/>
        <v>2021</v>
      </c>
      <c r="C116" s="327" t="s">
        <v>47</v>
      </c>
      <c r="D116" s="583"/>
      <c r="E116" s="92">
        <f t="shared" si="25"/>
        <v>10821904.090000002</v>
      </c>
      <c r="F116" s="92"/>
      <c r="G116" s="92">
        <f t="shared" si="38"/>
        <v>10821904.090000002</v>
      </c>
      <c r="H116" s="583"/>
      <c r="I116" s="590">
        <v>72683.360000000001</v>
      </c>
      <c r="J116" s="583">
        <f t="shared" si="28"/>
        <v>9486140.1900000032</v>
      </c>
      <c r="K116" s="583"/>
      <c r="L116" s="92">
        <f t="shared" si="26"/>
        <v>1335763.8999999985</v>
      </c>
      <c r="N116" s="92">
        <f t="shared" si="36"/>
        <v>23.958333333333332</v>
      </c>
      <c r="O116" s="92">
        <f t="shared" si="36"/>
        <v>4123.3002500000002</v>
      </c>
      <c r="P116" s="92">
        <f t="shared" si="36"/>
        <v>3898.8593333333333</v>
      </c>
      <c r="Q116" s="92">
        <f t="shared" si="36"/>
        <v>4649.1265833333318</v>
      </c>
      <c r="R116" s="92">
        <f t="shared" si="36"/>
        <v>3495.7283333333326</v>
      </c>
      <c r="S116" s="92">
        <f t="shared" si="36"/>
        <v>4464.78125</v>
      </c>
      <c r="T116" s="92">
        <f t="shared" si="37"/>
        <v>4496.8249999999998</v>
      </c>
      <c r="U116" s="92">
        <f t="shared" si="37"/>
        <v>5607.789333333335</v>
      </c>
      <c r="V116" s="92">
        <f t="shared" si="37"/>
        <v>4488.3144166666625</v>
      </c>
      <c r="W116" s="92">
        <f t="shared" si="37"/>
        <v>4648.8916666666664</v>
      </c>
      <c r="X116" s="583">
        <f t="shared" si="39"/>
        <v>5731.1940000000022</v>
      </c>
      <c r="Y116" s="583">
        <f t="shared" si="39"/>
        <v>7443.2783333333364</v>
      </c>
      <c r="Z116" s="583">
        <f t="shared" si="39"/>
        <v>9479.6125833333317</v>
      </c>
      <c r="AA116" s="92">
        <f t="shared" si="39"/>
        <v>10298.301416666674</v>
      </c>
      <c r="AB116" s="583">
        <f t="shared" si="39"/>
        <v>10107.988750000002</v>
      </c>
      <c r="AC116" s="92">
        <f t="shared" si="39"/>
        <v>7224.5845000000054</v>
      </c>
      <c r="AD116" s="92"/>
      <c r="AE116" s="92">
        <f t="shared" si="35"/>
        <v>90182.534083333347</v>
      </c>
      <c r="AG116" s="92"/>
      <c r="AH116" s="586"/>
    </row>
    <row r="117" spans="1:34" s="335" customFormat="1" outlineLevel="1">
      <c r="A117" s="327" t="s">
        <v>57</v>
      </c>
      <c r="B117" s="327">
        <f t="shared" si="24"/>
        <v>2021</v>
      </c>
      <c r="C117" s="327" t="s">
        <v>47</v>
      </c>
      <c r="D117" s="583"/>
      <c r="E117" s="92">
        <f t="shared" si="25"/>
        <v>10821904.090000002</v>
      </c>
      <c r="F117" s="92"/>
      <c r="G117" s="92">
        <f t="shared" si="38"/>
        <v>10821904.090000002</v>
      </c>
      <c r="H117" s="583"/>
      <c r="I117" s="590">
        <v>74459.25</v>
      </c>
      <c r="J117" s="583">
        <f t="shared" si="28"/>
        <v>9560599.4400000032</v>
      </c>
      <c r="K117" s="583"/>
      <c r="L117" s="92">
        <f t="shared" si="26"/>
        <v>1261304.6499999985</v>
      </c>
      <c r="N117" s="92">
        <f t="shared" si="36"/>
        <v>23.958333333333332</v>
      </c>
      <c r="O117" s="92">
        <f t="shared" si="36"/>
        <v>4123.3002500000002</v>
      </c>
      <c r="P117" s="92">
        <f t="shared" si="36"/>
        <v>3898.8593333333333</v>
      </c>
      <c r="Q117" s="92">
        <f t="shared" si="36"/>
        <v>4649.1265833333318</v>
      </c>
      <c r="R117" s="92">
        <f t="shared" si="36"/>
        <v>3495.7283333333326</v>
      </c>
      <c r="S117" s="92">
        <f t="shared" si="36"/>
        <v>4464.78125</v>
      </c>
      <c r="T117" s="92">
        <f t="shared" si="37"/>
        <v>4496.8249999999998</v>
      </c>
      <c r="U117" s="92">
        <f t="shared" si="37"/>
        <v>5607.789333333335</v>
      </c>
      <c r="V117" s="92">
        <f t="shared" si="37"/>
        <v>4488.3144166666625</v>
      </c>
      <c r="W117" s="92">
        <f t="shared" si="37"/>
        <v>4648.8916666666664</v>
      </c>
      <c r="X117" s="583">
        <f t="shared" si="39"/>
        <v>5731.1940000000022</v>
      </c>
      <c r="Y117" s="583">
        <f t="shared" si="39"/>
        <v>7443.2783333333364</v>
      </c>
      <c r="Z117" s="583">
        <f t="shared" si="39"/>
        <v>9479.6125833333317</v>
      </c>
      <c r="AA117" s="92">
        <f t="shared" si="39"/>
        <v>10298.301416666674</v>
      </c>
      <c r="AB117" s="583">
        <f t="shared" si="39"/>
        <v>10107.988750000002</v>
      </c>
      <c r="AC117" s="92">
        <f t="shared" si="39"/>
        <v>7224.5845000000054</v>
      </c>
      <c r="AD117" s="92"/>
      <c r="AE117" s="92">
        <f t="shared" si="35"/>
        <v>90182.534083333347</v>
      </c>
      <c r="AG117" s="92"/>
      <c r="AH117" s="586"/>
    </row>
    <row r="118" spans="1:34" s="335" customFormat="1" outlineLevel="1">
      <c r="A118" s="327" t="s">
        <v>58</v>
      </c>
      <c r="B118" s="327">
        <f t="shared" si="24"/>
        <v>2021</v>
      </c>
      <c r="C118" s="327" t="s">
        <v>47</v>
      </c>
      <c r="D118" s="583"/>
      <c r="E118" s="92">
        <f t="shared" si="25"/>
        <v>10821904.090000002</v>
      </c>
      <c r="F118" s="92"/>
      <c r="G118" s="92">
        <f t="shared" si="38"/>
        <v>10821904.090000002</v>
      </c>
      <c r="H118" s="583"/>
      <c r="I118" s="590">
        <v>86876.75</v>
      </c>
      <c r="J118" s="583">
        <f t="shared" si="28"/>
        <v>9647476.1900000032</v>
      </c>
      <c r="K118" s="583"/>
      <c r="L118" s="92">
        <f t="shared" si="26"/>
        <v>1174427.8999999985</v>
      </c>
      <c r="N118" s="92">
        <f t="shared" si="36"/>
        <v>23.958333333333332</v>
      </c>
      <c r="O118" s="92">
        <f t="shared" si="36"/>
        <v>4123.3002500000002</v>
      </c>
      <c r="P118" s="92">
        <f t="shared" si="36"/>
        <v>3898.8593333333333</v>
      </c>
      <c r="Q118" s="92">
        <f t="shared" si="36"/>
        <v>4649.1265833333318</v>
      </c>
      <c r="R118" s="92">
        <f t="shared" si="36"/>
        <v>3495.7283333333326</v>
      </c>
      <c r="S118" s="92">
        <f t="shared" si="36"/>
        <v>4464.78125</v>
      </c>
      <c r="T118" s="92">
        <f t="shared" si="37"/>
        <v>4496.8249999999998</v>
      </c>
      <c r="U118" s="92">
        <f t="shared" si="37"/>
        <v>5607.789333333335</v>
      </c>
      <c r="V118" s="92">
        <f t="shared" si="37"/>
        <v>4488.3144166666625</v>
      </c>
      <c r="W118" s="92">
        <f t="shared" si="37"/>
        <v>4648.8916666666664</v>
      </c>
      <c r="X118" s="583">
        <f t="shared" si="39"/>
        <v>5731.1940000000022</v>
      </c>
      <c r="Y118" s="583">
        <f t="shared" si="39"/>
        <v>7443.2783333333364</v>
      </c>
      <c r="Z118" s="583">
        <f t="shared" si="39"/>
        <v>9479.6125833333317</v>
      </c>
      <c r="AA118" s="92">
        <f t="shared" si="39"/>
        <v>10298.301416666674</v>
      </c>
      <c r="AB118" s="583">
        <f t="shared" si="39"/>
        <v>10107.988750000002</v>
      </c>
      <c r="AC118" s="92">
        <f t="shared" si="39"/>
        <v>7224.5845000000054</v>
      </c>
      <c r="AD118" s="92"/>
      <c r="AE118" s="92">
        <f t="shared" si="35"/>
        <v>90182.534083333347</v>
      </c>
      <c r="AG118" s="92"/>
      <c r="AH118" s="586"/>
    </row>
    <row r="119" spans="1:34" s="335" customFormat="1" outlineLevel="1">
      <c r="A119" s="327" t="s">
        <v>59</v>
      </c>
      <c r="B119" s="327">
        <f t="shared" si="24"/>
        <v>2021</v>
      </c>
      <c r="C119" s="327" t="s">
        <v>47</v>
      </c>
      <c r="D119" s="583"/>
      <c r="E119" s="92">
        <f t="shared" si="25"/>
        <v>10821904.090000002</v>
      </c>
      <c r="F119" s="92"/>
      <c r="G119" s="92">
        <f t="shared" si="38"/>
        <v>10821904.090000002</v>
      </c>
      <c r="H119" s="583"/>
      <c r="I119" s="590">
        <v>72839.48</v>
      </c>
      <c r="J119" s="583">
        <f t="shared" si="28"/>
        <v>9720315.6700000037</v>
      </c>
      <c r="K119" s="583"/>
      <c r="L119" s="92">
        <f t="shared" si="26"/>
        <v>1101588.4199999981</v>
      </c>
      <c r="N119" s="92">
        <f t="shared" si="36"/>
        <v>23.958333333333332</v>
      </c>
      <c r="O119" s="92">
        <f t="shared" si="36"/>
        <v>4123.3002500000002</v>
      </c>
      <c r="P119" s="92">
        <f t="shared" si="36"/>
        <v>3898.8593333333333</v>
      </c>
      <c r="Q119" s="92">
        <f t="shared" si="36"/>
        <v>4649.1265833333318</v>
      </c>
      <c r="R119" s="92">
        <f t="shared" si="36"/>
        <v>3495.7283333333326</v>
      </c>
      <c r="S119" s="92">
        <f t="shared" si="36"/>
        <v>4464.78125</v>
      </c>
      <c r="T119" s="92">
        <f t="shared" si="37"/>
        <v>4496.8249999999998</v>
      </c>
      <c r="U119" s="92">
        <f t="shared" si="37"/>
        <v>5607.789333333335</v>
      </c>
      <c r="V119" s="92">
        <f t="shared" si="37"/>
        <v>4488.3144166666625</v>
      </c>
      <c r="W119" s="92">
        <f t="shared" si="37"/>
        <v>4648.8916666666664</v>
      </c>
      <c r="X119" s="583">
        <f t="shared" si="39"/>
        <v>5731.1940000000022</v>
      </c>
      <c r="Y119" s="583">
        <f t="shared" si="39"/>
        <v>7443.2783333333364</v>
      </c>
      <c r="Z119" s="583">
        <f t="shared" si="39"/>
        <v>9479.6125833333317</v>
      </c>
      <c r="AA119" s="92">
        <f t="shared" si="39"/>
        <v>10298.301416666674</v>
      </c>
      <c r="AB119" s="583">
        <f t="shared" si="39"/>
        <v>10107.988750000002</v>
      </c>
      <c r="AC119" s="92">
        <f t="shared" si="39"/>
        <v>7224.5845000000054</v>
      </c>
      <c r="AD119" s="92"/>
      <c r="AE119" s="92">
        <f t="shared" si="35"/>
        <v>90182.534083333347</v>
      </c>
      <c r="AG119" s="92"/>
      <c r="AH119" s="586"/>
    </row>
    <row r="120" spans="1:34" s="335" customFormat="1" outlineLevel="1">
      <c r="A120" s="327" t="s">
        <v>46</v>
      </c>
      <c r="B120" s="327">
        <f t="shared" si="24"/>
        <v>2021</v>
      </c>
      <c r="C120" s="327" t="s">
        <v>47</v>
      </c>
      <c r="D120" s="583"/>
      <c r="E120" s="92">
        <f t="shared" si="25"/>
        <v>10821904.090000002</v>
      </c>
      <c r="F120" s="92"/>
      <c r="G120" s="92">
        <f t="shared" si="38"/>
        <v>10821904.090000002</v>
      </c>
      <c r="H120" s="583"/>
      <c r="I120" s="590">
        <v>80608.58</v>
      </c>
      <c r="J120" s="583">
        <f t="shared" si="28"/>
        <v>9800924.2500000037</v>
      </c>
      <c r="K120" s="583"/>
      <c r="L120" s="92">
        <f t="shared" si="26"/>
        <v>1020979.839999998</v>
      </c>
      <c r="N120" s="92">
        <f t="shared" ref="N120:S120" si="40">+N119</f>
        <v>23.958333333333332</v>
      </c>
      <c r="O120" s="92">
        <f t="shared" si="40"/>
        <v>4123.3002500000002</v>
      </c>
      <c r="P120" s="92">
        <f t="shared" si="40"/>
        <v>3898.8593333333333</v>
      </c>
      <c r="Q120" s="92">
        <f t="shared" si="40"/>
        <v>4649.1265833333318</v>
      </c>
      <c r="R120" s="92">
        <f t="shared" si="40"/>
        <v>3495.7283333333326</v>
      </c>
      <c r="S120" s="92">
        <f t="shared" si="40"/>
        <v>4464.78125</v>
      </c>
      <c r="T120" s="92">
        <f t="shared" si="37"/>
        <v>4496.8249999999998</v>
      </c>
      <c r="U120" s="92">
        <f t="shared" si="37"/>
        <v>5607.789333333335</v>
      </c>
      <c r="V120" s="92">
        <f t="shared" si="37"/>
        <v>4488.3144166666625</v>
      </c>
      <c r="W120" s="92">
        <f t="shared" si="37"/>
        <v>4648.8916666666664</v>
      </c>
      <c r="X120" s="583">
        <f t="shared" si="39"/>
        <v>5731.1940000000022</v>
      </c>
      <c r="Y120" s="583">
        <f t="shared" si="39"/>
        <v>7443.2783333333364</v>
      </c>
      <c r="Z120" s="583">
        <f t="shared" si="39"/>
        <v>9479.6125833333317</v>
      </c>
      <c r="AA120" s="92">
        <f t="shared" si="39"/>
        <v>10298.301416666674</v>
      </c>
      <c r="AB120" s="583">
        <f t="shared" si="39"/>
        <v>10107.988750000002</v>
      </c>
      <c r="AC120" s="92">
        <f t="shared" si="39"/>
        <v>7224.5845000000054</v>
      </c>
      <c r="AD120" s="92"/>
      <c r="AE120" s="92">
        <f t="shared" si="35"/>
        <v>90182.534083333347</v>
      </c>
      <c r="AG120" s="92"/>
      <c r="AH120" s="586"/>
    </row>
    <row r="121" spans="1:34" s="335" customFormat="1" outlineLevel="1">
      <c r="A121" s="327" t="s">
        <v>48</v>
      </c>
      <c r="B121" s="327">
        <f t="shared" si="24"/>
        <v>2021</v>
      </c>
      <c r="C121" s="327" t="s">
        <v>47</v>
      </c>
      <c r="D121" s="583"/>
      <c r="E121" s="92">
        <f t="shared" si="25"/>
        <v>10821904.090000002</v>
      </c>
      <c r="F121" s="92"/>
      <c r="G121" s="92">
        <f t="shared" si="38"/>
        <v>10821904.090000002</v>
      </c>
      <c r="H121" s="583"/>
      <c r="I121" s="590">
        <v>69885.73</v>
      </c>
      <c r="J121" s="583">
        <f t="shared" si="28"/>
        <v>9870809.9800000042</v>
      </c>
      <c r="K121" s="583"/>
      <c r="L121" s="92">
        <f t="shared" si="26"/>
        <v>951094.10999999754</v>
      </c>
      <c r="N121" s="92">
        <f t="shared" ref="N121:W134" si="41">+N120</f>
        <v>23.958333333333332</v>
      </c>
      <c r="O121" s="92">
        <f t="shared" si="41"/>
        <v>4123.3002500000002</v>
      </c>
      <c r="P121" s="92">
        <f t="shared" si="41"/>
        <v>3898.8593333333333</v>
      </c>
      <c r="Q121" s="92">
        <f t="shared" si="41"/>
        <v>4649.1265833333318</v>
      </c>
      <c r="R121" s="92">
        <f t="shared" si="41"/>
        <v>3495.7283333333326</v>
      </c>
      <c r="S121" s="92">
        <f t="shared" si="41"/>
        <v>4464.78125</v>
      </c>
      <c r="T121" s="92">
        <f t="shared" si="37"/>
        <v>4496.8249999999998</v>
      </c>
      <c r="U121" s="92">
        <f t="shared" si="37"/>
        <v>5607.789333333335</v>
      </c>
      <c r="V121" s="92">
        <f t="shared" si="37"/>
        <v>4488.3144166666625</v>
      </c>
      <c r="W121" s="92">
        <f t="shared" si="37"/>
        <v>4648.8916666666664</v>
      </c>
      <c r="X121" s="583">
        <f t="shared" si="39"/>
        <v>5731.1940000000022</v>
      </c>
      <c r="Y121" s="583">
        <f t="shared" si="39"/>
        <v>7443.2783333333364</v>
      </c>
      <c r="Z121" s="583">
        <f t="shared" si="39"/>
        <v>9479.6125833333317</v>
      </c>
      <c r="AA121" s="92">
        <f t="shared" si="39"/>
        <v>10298.301416666674</v>
      </c>
      <c r="AB121" s="583">
        <f t="shared" si="39"/>
        <v>10107.988750000002</v>
      </c>
      <c r="AC121" s="92">
        <f t="shared" si="39"/>
        <v>7224.5845000000054</v>
      </c>
      <c r="AD121" s="92"/>
      <c r="AE121" s="92">
        <f t="shared" si="35"/>
        <v>90182.534083333347</v>
      </c>
      <c r="AG121" s="92"/>
      <c r="AH121" s="586"/>
    </row>
    <row r="122" spans="1:34" s="335" customFormat="1" outlineLevel="1">
      <c r="A122" s="327" t="s">
        <v>50</v>
      </c>
      <c r="B122" s="327">
        <f t="shared" si="24"/>
        <v>2021</v>
      </c>
      <c r="C122" s="327" t="s">
        <v>47</v>
      </c>
      <c r="D122" s="583"/>
      <c r="E122" s="92">
        <f t="shared" si="25"/>
        <v>10821904.090000002</v>
      </c>
      <c r="F122" s="92"/>
      <c r="G122" s="92">
        <f t="shared" si="38"/>
        <v>10821904.090000002</v>
      </c>
      <c r="H122" s="583"/>
      <c r="I122" s="590">
        <v>63178.09</v>
      </c>
      <c r="J122" s="583">
        <f t="shared" si="28"/>
        <v>9933988.070000004</v>
      </c>
      <c r="K122" s="583"/>
      <c r="L122" s="92">
        <f t="shared" si="26"/>
        <v>887916.01999999769</v>
      </c>
      <c r="N122" s="92">
        <f t="shared" si="41"/>
        <v>23.958333333333332</v>
      </c>
      <c r="O122" s="92">
        <f t="shared" si="41"/>
        <v>4123.3002500000002</v>
      </c>
      <c r="P122" s="92">
        <f t="shared" si="41"/>
        <v>3898.8593333333333</v>
      </c>
      <c r="Q122" s="92">
        <f t="shared" si="41"/>
        <v>4649.1265833333318</v>
      </c>
      <c r="R122" s="92">
        <f t="shared" si="41"/>
        <v>3495.7283333333326</v>
      </c>
      <c r="S122" s="92">
        <f t="shared" si="41"/>
        <v>4464.78125</v>
      </c>
      <c r="T122" s="92">
        <f t="shared" si="37"/>
        <v>4496.8249999999998</v>
      </c>
      <c r="U122" s="92">
        <f t="shared" si="37"/>
        <v>5607.789333333335</v>
      </c>
      <c r="V122" s="92">
        <f t="shared" si="37"/>
        <v>4488.3144166666625</v>
      </c>
      <c r="W122" s="92">
        <f t="shared" si="37"/>
        <v>4648.8916666666664</v>
      </c>
      <c r="X122" s="583">
        <f t="shared" si="39"/>
        <v>5731.1940000000022</v>
      </c>
      <c r="Y122" s="583">
        <f t="shared" si="39"/>
        <v>7443.2783333333364</v>
      </c>
      <c r="Z122" s="583">
        <f t="shared" si="39"/>
        <v>9479.6125833333317</v>
      </c>
      <c r="AA122" s="92">
        <f t="shared" si="39"/>
        <v>10298.301416666674</v>
      </c>
      <c r="AB122" s="583">
        <f t="shared" si="39"/>
        <v>10107.988750000002</v>
      </c>
      <c r="AC122" s="92">
        <f t="shared" si="39"/>
        <v>7224.5845000000054</v>
      </c>
      <c r="AD122" s="92"/>
      <c r="AE122" s="92">
        <f t="shared" si="35"/>
        <v>90182.534083333347</v>
      </c>
      <c r="AG122" s="92"/>
      <c r="AH122" s="586"/>
    </row>
    <row r="123" spans="1:34" s="335" customFormat="1" outlineLevel="1">
      <c r="A123" s="327" t="s">
        <v>51</v>
      </c>
      <c r="B123" s="327">
        <f t="shared" si="24"/>
        <v>2021</v>
      </c>
      <c r="C123" s="327" t="s">
        <v>47</v>
      </c>
      <c r="D123" s="583"/>
      <c r="E123" s="92">
        <f t="shared" si="25"/>
        <v>10821904.090000002</v>
      </c>
      <c r="F123" s="92"/>
      <c r="G123" s="92">
        <f t="shared" si="38"/>
        <v>10821904.090000002</v>
      </c>
      <c r="H123" s="583"/>
      <c r="I123" s="590">
        <v>66166.179999999993</v>
      </c>
      <c r="J123" s="583">
        <f t="shared" si="28"/>
        <v>10000154.250000004</v>
      </c>
      <c r="K123" s="583"/>
      <c r="L123" s="92">
        <f t="shared" si="26"/>
        <v>821749.83999999799</v>
      </c>
      <c r="N123" s="92">
        <f t="shared" si="41"/>
        <v>23.958333333333332</v>
      </c>
      <c r="O123" s="92">
        <f t="shared" si="41"/>
        <v>4123.3002500000002</v>
      </c>
      <c r="P123" s="92">
        <f t="shared" si="41"/>
        <v>3898.8593333333333</v>
      </c>
      <c r="Q123" s="92">
        <f t="shared" si="41"/>
        <v>4649.1265833333318</v>
      </c>
      <c r="R123" s="92">
        <f t="shared" si="41"/>
        <v>3495.7283333333326</v>
      </c>
      <c r="S123" s="92">
        <f t="shared" si="41"/>
        <v>4464.78125</v>
      </c>
      <c r="T123" s="92">
        <f t="shared" si="37"/>
        <v>4496.8249999999998</v>
      </c>
      <c r="U123" s="92">
        <f t="shared" si="37"/>
        <v>5607.789333333335</v>
      </c>
      <c r="V123" s="92">
        <f t="shared" si="37"/>
        <v>4488.3144166666625</v>
      </c>
      <c r="W123" s="92">
        <f t="shared" si="37"/>
        <v>4648.8916666666664</v>
      </c>
      <c r="X123" s="583">
        <f t="shared" si="39"/>
        <v>5731.1940000000022</v>
      </c>
      <c r="Y123" s="583">
        <f t="shared" si="39"/>
        <v>7443.2783333333364</v>
      </c>
      <c r="Z123" s="583">
        <f t="shared" si="39"/>
        <v>9479.6125833333317</v>
      </c>
      <c r="AA123" s="92">
        <f t="shared" si="39"/>
        <v>10298.301416666674</v>
      </c>
      <c r="AB123" s="583">
        <f t="shared" si="39"/>
        <v>10107.988750000002</v>
      </c>
      <c r="AC123" s="92">
        <f t="shared" si="39"/>
        <v>7224.5845000000054</v>
      </c>
      <c r="AD123" s="92"/>
      <c r="AE123" s="92">
        <f t="shared" si="35"/>
        <v>90182.534083333347</v>
      </c>
      <c r="AG123" s="92"/>
      <c r="AH123" s="586"/>
    </row>
    <row r="124" spans="1:34" s="335" customFormat="1" outlineLevel="1">
      <c r="A124" s="327" t="s">
        <v>52</v>
      </c>
      <c r="B124" s="327">
        <f t="shared" si="24"/>
        <v>2021</v>
      </c>
      <c r="C124" s="327" t="s">
        <v>47</v>
      </c>
      <c r="D124" s="583"/>
      <c r="E124" s="92">
        <f t="shared" si="25"/>
        <v>10821904.090000002</v>
      </c>
      <c r="F124" s="92"/>
      <c r="G124" s="92">
        <f t="shared" si="38"/>
        <v>10821904.090000002</v>
      </c>
      <c r="H124" s="583"/>
      <c r="I124" s="590">
        <v>68490.67</v>
      </c>
      <c r="J124" s="583">
        <f t="shared" si="28"/>
        <v>10068644.920000004</v>
      </c>
      <c r="K124" s="583"/>
      <c r="L124" s="92">
        <f t="shared" si="26"/>
        <v>753259.16999999806</v>
      </c>
      <c r="N124" s="92">
        <f t="shared" si="41"/>
        <v>23.958333333333332</v>
      </c>
      <c r="O124" s="92">
        <f t="shared" si="41"/>
        <v>4123.3002500000002</v>
      </c>
      <c r="P124" s="92">
        <f t="shared" si="41"/>
        <v>3898.8593333333333</v>
      </c>
      <c r="Q124" s="92">
        <f t="shared" si="41"/>
        <v>4649.1265833333318</v>
      </c>
      <c r="R124" s="92">
        <f t="shared" si="41"/>
        <v>3495.7283333333326</v>
      </c>
      <c r="S124" s="92">
        <f t="shared" si="41"/>
        <v>4464.78125</v>
      </c>
      <c r="T124" s="92">
        <f t="shared" si="41"/>
        <v>4496.8249999999998</v>
      </c>
      <c r="U124" s="92">
        <f t="shared" si="41"/>
        <v>5607.789333333335</v>
      </c>
      <c r="V124" s="92">
        <f t="shared" si="41"/>
        <v>4488.3144166666625</v>
      </c>
      <c r="W124" s="92">
        <f t="shared" si="41"/>
        <v>4648.8916666666664</v>
      </c>
      <c r="X124" s="583">
        <f t="shared" si="39"/>
        <v>5731.1940000000022</v>
      </c>
      <c r="Y124" s="583">
        <f t="shared" si="39"/>
        <v>7443.2783333333364</v>
      </c>
      <c r="Z124" s="583">
        <f t="shared" si="39"/>
        <v>9479.6125833333317</v>
      </c>
      <c r="AA124" s="92">
        <f t="shared" si="39"/>
        <v>10298.301416666674</v>
      </c>
      <c r="AB124" s="583">
        <f t="shared" si="39"/>
        <v>10107.988750000002</v>
      </c>
      <c r="AC124" s="92">
        <f t="shared" si="39"/>
        <v>7224.5845000000054</v>
      </c>
      <c r="AD124" s="92"/>
      <c r="AE124" s="92">
        <f t="shared" si="35"/>
        <v>90182.534083333347</v>
      </c>
      <c r="AG124" s="92"/>
      <c r="AH124" s="586"/>
    </row>
    <row r="125" spans="1:34" s="335" customFormat="1" outlineLevel="1">
      <c r="A125" s="327" t="s">
        <v>53</v>
      </c>
      <c r="B125" s="327">
        <f t="shared" si="24"/>
        <v>2022</v>
      </c>
      <c r="C125" s="327" t="s">
        <v>47</v>
      </c>
      <c r="D125" s="583"/>
      <c r="E125" s="92">
        <f t="shared" si="25"/>
        <v>10821904.090000002</v>
      </c>
      <c r="F125" s="92"/>
      <c r="G125" s="92">
        <f t="shared" si="38"/>
        <v>10821904.090000002</v>
      </c>
      <c r="H125" s="583"/>
      <c r="I125" s="590">
        <v>68063.48</v>
      </c>
      <c r="J125" s="583">
        <f t="shared" si="28"/>
        <v>10136708.400000004</v>
      </c>
      <c r="K125" s="583"/>
      <c r="L125" s="92">
        <f t="shared" si="26"/>
        <v>685195.68999999762</v>
      </c>
      <c r="N125" s="92">
        <f t="shared" si="41"/>
        <v>23.958333333333332</v>
      </c>
      <c r="O125" s="92">
        <f t="shared" si="41"/>
        <v>4123.3002500000002</v>
      </c>
      <c r="P125" s="92">
        <f t="shared" si="41"/>
        <v>3898.8593333333333</v>
      </c>
      <c r="Q125" s="92">
        <f t="shared" si="41"/>
        <v>4649.1265833333318</v>
      </c>
      <c r="R125" s="92">
        <f t="shared" si="41"/>
        <v>3495.7283333333326</v>
      </c>
      <c r="S125" s="92">
        <f t="shared" si="41"/>
        <v>4464.78125</v>
      </c>
      <c r="T125" s="92">
        <f t="shared" si="41"/>
        <v>4496.8249999999998</v>
      </c>
      <c r="U125" s="92">
        <f t="shared" si="41"/>
        <v>5607.789333333335</v>
      </c>
      <c r="V125" s="92">
        <f t="shared" si="41"/>
        <v>4488.3144166666625</v>
      </c>
      <c r="W125" s="92">
        <f t="shared" si="41"/>
        <v>4648.8916666666664</v>
      </c>
      <c r="X125" s="583">
        <f t="shared" si="39"/>
        <v>5731.1940000000022</v>
      </c>
      <c r="Y125" s="583">
        <f t="shared" si="39"/>
        <v>7443.2783333333364</v>
      </c>
      <c r="Z125" s="583">
        <f t="shared" si="39"/>
        <v>9479.6125833333317</v>
      </c>
      <c r="AA125" s="92">
        <f t="shared" si="39"/>
        <v>10298.301416666674</v>
      </c>
      <c r="AB125" s="583">
        <f t="shared" si="39"/>
        <v>10107.988750000002</v>
      </c>
      <c r="AC125" s="92">
        <f t="shared" si="39"/>
        <v>7224.5845000000054</v>
      </c>
      <c r="AD125" s="92"/>
      <c r="AE125" s="92">
        <f t="shared" si="35"/>
        <v>90182.534083333347</v>
      </c>
      <c r="AG125" s="92"/>
      <c r="AH125" s="586"/>
    </row>
    <row r="126" spans="1:34" s="335" customFormat="1" outlineLevel="1">
      <c r="A126" s="327" t="s">
        <v>54</v>
      </c>
      <c r="B126" s="327">
        <f t="shared" si="24"/>
        <v>2022</v>
      </c>
      <c r="C126" s="327" t="s">
        <v>47</v>
      </c>
      <c r="D126" s="583"/>
      <c r="E126" s="92">
        <f t="shared" si="25"/>
        <v>10821904.090000002</v>
      </c>
      <c r="F126" s="92"/>
      <c r="G126" s="92">
        <f t="shared" si="38"/>
        <v>10821904.090000002</v>
      </c>
      <c r="H126" s="583"/>
      <c r="I126" s="590">
        <v>54497.06</v>
      </c>
      <c r="J126" s="583">
        <f t="shared" si="28"/>
        <v>10191205.460000005</v>
      </c>
      <c r="K126" s="583"/>
      <c r="L126" s="92">
        <f t="shared" si="26"/>
        <v>630698.62999999709</v>
      </c>
      <c r="N126" s="92">
        <f t="shared" si="41"/>
        <v>23.958333333333332</v>
      </c>
      <c r="O126" s="92">
        <f t="shared" si="41"/>
        <v>4123.3002500000002</v>
      </c>
      <c r="P126" s="92">
        <f t="shared" si="41"/>
        <v>3898.8593333333333</v>
      </c>
      <c r="Q126" s="92">
        <f t="shared" si="41"/>
        <v>4649.1265833333318</v>
      </c>
      <c r="R126" s="92">
        <f t="shared" si="41"/>
        <v>3495.7283333333326</v>
      </c>
      <c r="S126" s="92">
        <f t="shared" si="41"/>
        <v>4464.78125</v>
      </c>
      <c r="T126" s="92">
        <f t="shared" si="41"/>
        <v>4496.8249999999998</v>
      </c>
      <c r="U126" s="92">
        <f t="shared" si="41"/>
        <v>5607.789333333335</v>
      </c>
      <c r="V126" s="92">
        <f t="shared" si="41"/>
        <v>4488.3144166666625</v>
      </c>
      <c r="W126" s="92">
        <f t="shared" si="41"/>
        <v>4648.8916666666664</v>
      </c>
      <c r="X126" s="583">
        <f t="shared" si="39"/>
        <v>5731.1940000000022</v>
      </c>
      <c r="Y126" s="583">
        <f t="shared" si="39"/>
        <v>7443.2783333333364</v>
      </c>
      <c r="Z126" s="583">
        <f t="shared" si="39"/>
        <v>9479.6125833333317</v>
      </c>
      <c r="AA126" s="92">
        <f t="shared" si="39"/>
        <v>10298.301416666674</v>
      </c>
      <c r="AB126" s="583">
        <f t="shared" si="39"/>
        <v>10107.988750000002</v>
      </c>
      <c r="AC126" s="92">
        <f t="shared" si="39"/>
        <v>7224.5845000000054</v>
      </c>
      <c r="AD126" s="92"/>
      <c r="AE126" s="92">
        <f t="shared" si="35"/>
        <v>90182.534083333347</v>
      </c>
      <c r="AG126" s="92"/>
      <c r="AH126" s="586"/>
    </row>
    <row r="127" spans="1:34" s="335" customFormat="1" outlineLevel="1">
      <c r="A127" s="327" t="s">
        <v>55</v>
      </c>
      <c r="B127" s="327">
        <f t="shared" si="24"/>
        <v>2022</v>
      </c>
      <c r="C127" s="327" t="s">
        <v>47</v>
      </c>
      <c r="D127" s="583"/>
      <c r="E127" s="92">
        <f t="shared" si="25"/>
        <v>10821904.090000002</v>
      </c>
      <c r="F127" s="92"/>
      <c r="G127" s="92">
        <f t="shared" si="38"/>
        <v>10821904.090000002</v>
      </c>
      <c r="H127" s="583"/>
      <c r="I127" s="590">
        <v>78831.850000000006</v>
      </c>
      <c r="J127" s="583">
        <f t="shared" si="28"/>
        <v>10270037.310000004</v>
      </c>
      <c r="K127" s="583"/>
      <c r="L127" s="92">
        <f t="shared" si="26"/>
        <v>551866.77999999747</v>
      </c>
      <c r="O127" s="92">
        <f t="shared" si="41"/>
        <v>4123.3002500000002</v>
      </c>
      <c r="P127" s="92">
        <f t="shared" si="41"/>
        <v>3898.8593333333333</v>
      </c>
      <c r="Q127" s="92">
        <f t="shared" si="41"/>
        <v>4649.1265833333318</v>
      </c>
      <c r="R127" s="92">
        <f t="shared" si="41"/>
        <v>3495.7283333333326</v>
      </c>
      <c r="S127" s="92">
        <f t="shared" si="41"/>
        <v>4464.78125</v>
      </c>
      <c r="T127" s="92">
        <f t="shared" si="41"/>
        <v>4496.8249999999998</v>
      </c>
      <c r="U127" s="92">
        <f t="shared" si="41"/>
        <v>5607.789333333335</v>
      </c>
      <c r="V127" s="92">
        <f t="shared" si="41"/>
        <v>4488.3144166666625</v>
      </c>
      <c r="W127" s="92">
        <f t="shared" si="41"/>
        <v>4648.8916666666664</v>
      </c>
      <c r="X127" s="583">
        <f t="shared" si="39"/>
        <v>5731.1940000000022</v>
      </c>
      <c r="Y127" s="583">
        <f t="shared" si="39"/>
        <v>7443.2783333333364</v>
      </c>
      <c r="Z127" s="583">
        <f t="shared" si="39"/>
        <v>9479.6125833333317</v>
      </c>
      <c r="AA127" s="92">
        <f t="shared" si="39"/>
        <v>10298.301416666674</v>
      </c>
      <c r="AB127" s="583">
        <f t="shared" si="39"/>
        <v>10107.988750000002</v>
      </c>
      <c r="AC127" s="92">
        <f t="shared" si="39"/>
        <v>7224.5845000000054</v>
      </c>
      <c r="AD127" s="92"/>
      <c r="AE127" s="92">
        <f t="shared" si="35"/>
        <v>90158.575750000018</v>
      </c>
      <c r="AG127" s="92"/>
      <c r="AH127" s="586"/>
    </row>
    <row r="128" spans="1:34" s="335" customFormat="1" outlineLevel="1">
      <c r="A128" s="327" t="s">
        <v>56</v>
      </c>
      <c r="B128" s="327">
        <f t="shared" si="24"/>
        <v>2022</v>
      </c>
      <c r="C128" s="327" t="s">
        <v>47</v>
      </c>
      <c r="D128" s="583"/>
      <c r="E128" s="92">
        <f t="shared" si="25"/>
        <v>10821904.090000002</v>
      </c>
      <c r="F128" s="92"/>
      <c r="G128" s="92">
        <f t="shared" si="38"/>
        <v>10821904.090000002</v>
      </c>
      <c r="H128" s="583"/>
      <c r="I128" s="590">
        <v>53930.35</v>
      </c>
      <c r="J128" s="583">
        <f t="shared" si="28"/>
        <v>10323967.660000004</v>
      </c>
      <c r="K128" s="583"/>
      <c r="L128" s="92">
        <f t="shared" si="26"/>
        <v>497936.42999999784</v>
      </c>
      <c r="P128" s="92">
        <f>+P127</f>
        <v>3898.8593333333333</v>
      </c>
      <c r="Q128" s="92">
        <f t="shared" si="41"/>
        <v>4649.1265833333318</v>
      </c>
      <c r="R128" s="92">
        <f t="shared" si="41"/>
        <v>3495.7283333333326</v>
      </c>
      <c r="S128" s="92">
        <f t="shared" si="41"/>
        <v>4464.78125</v>
      </c>
      <c r="T128" s="92">
        <f t="shared" si="41"/>
        <v>4496.8249999999998</v>
      </c>
      <c r="U128" s="92">
        <f t="shared" si="41"/>
        <v>5607.789333333335</v>
      </c>
      <c r="V128" s="92">
        <f t="shared" si="41"/>
        <v>4488.3144166666625</v>
      </c>
      <c r="W128" s="92">
        <f t="shared" si="41"/>
        <v>4648.8916666666664</v>
      </c>
      <c r="X128" s="583">
        <f t="shared" si="39"/>
        <v>5731.1940000000022</v>
      </c>
      <c r="Y128" s="583">
        <f t="shared" si="39"/>
        <v>7443.2783333333364</v>
      </c>
      <c r="Z128" s="583">
        <f t="shared" si="39"/>
        <v>9479.6125833333317</v>
      </c>
      <c r="AA128" s="92">
        <f t="shared" si="39"/>
        <v>10298.301416666674</v>
      </c>
      <c r="AB128" s="583">
        <f t="shared" si="39"/>
        <v>10107.988750000002</v>
      </c>
      <c r="AC128" s="92">
        <f t="shared" si="39"/>
        <v>7224.5845000000054</v>
      </c>
      <c r="AD128" s="92"/>
      <c r="AE128" s="92">
        <f t="shared" si="35"/>
        <v>86035.275500000018</v>
      </c>
      <c r="AG128" s="92"/>
      <c r="AH128" s="586"/>
    </row>
    <row r="129" spans="1:34" s="335" customFormat="1" outlineLevel="1">
      <c r="A129" s="327" t="s">
        <v>57</v>
      </c>
      <c r="B129" s="327">
        <f t="shared" si="24"/>
        <v>2022</v>
      </c>
      <c r="C129" s="327" t="s">
        <v>47</v>
      </c>
      <c r="D129" s="583"/>
      <c r="E129" s="92">
        <f t="shared" si="25"/>
        <v>10821904.090000002</v>
      </c>
      <c r="F129" s="92"/>
      <c r="G129" s="92">
        <f t="shared" si="38"/>
        <v>10821904.090000002</v>
      </c>
      <c r="H129" s="583"/>
      <c r="I129" s="590">
        <v>60041.749999999302</v>
      </c>
      <c r="J129" s="583">
        <f t="shared" si="28"/>
        <v>10384009.410000004</v>
      </c>
      <c r="K129" s="583"/>
      <c r="L129" s="92">
        <f t="shared" si="26"/>
        <v>437894.67999999784</v>
      </c>
      <c r="Q129" s="92">
        <f t="shared" si="41"/>
        <v>4649.1265833333318</v>
      </c>
      <c r="R129" s="92">
        <f t="shared" si="41"/>
        <v>3495.7283333333326</v>
      </c>
      <c r="S129" s="92">
        <f t="shared" si="41"/>
        <v>4464.78125</v>
      </c>
      <c r="T129" s="92">
        <f t="shared" si="41"/>
        <v>4496.8249999999998</v>
      </c>
      <c r="U129" s="92">
        <f t="shared" si="41"/>
        <v>5607.789333333335</v>
      </c>
      <c r="V129" s="92">
        <f t="shared" si="41"/>
        <v>4488.3144166666625</v>
      </c>
      <c r="W129" s="92">
        <f t="shared" si="41"/>
        <v>4648.8916666666664</v>
      </c>
      <c r="X129" s="583">
        <f t="shared" si="39"/>
        <v>5731.1940000000022</v>
      </c>
      <c r="Y129" s="583">
        <f t="shared" si="39"/>
        <v>7443.2783333333364</v>
      </c>
      <c r="Z129" s="583">
        <f t="shared" si="39"/>
        <v>9479.6125833333317</v>
      </c>
      <c r="AA129" s="92">
        <f t="shared" si="39"/>
        <v>10298.301416666674</v>
      </c>
      <c r="AB129" s="583">
        <f t="shared" si="39"/>
        <v>10107.988750000002</v>
      </c>
      <c r="AC129" s="92">
        <f t="shared" si="39"/>
        <v>7224.5845000000054</v>
      </c>
      <c r="AD129" s="92"/>
      <c r="AE129" s="92">
        <f t="shared" si="35"/>
        <v>82136.416166666677</v>
      </c>
      <c r="AG129" s="92"/>
      <c r="AH129" s="586"/>
    </row>
    <row r="130" spans="1:34" s="335" customFormat="1" outlineLevel="1">
      <c r="A130" s="327" t="s">
        <v>58</v>
      </c>
      <c r="B130" s="327">
        <f t="shared" si="24"/>
        <v>2022</v>
      </c>
      <c r="C130" s="327" t="s">
        <v>47</v>
      </c>
      <c r="D130" s="583"/>
      <c r="E130" s="92">
        <f t="shared" si="25"/>
        <v>10821904.090000002</v>
      </c>
      <c r="F130" s="92"/>
      <c r="G130" s="92">
        <f t="shared" si="38"/>
        <v>10821904.090000002</v>
      </c>
      <c r="H130" s="583"/>
      <c r="I130" s="590">
        <v>62507.669999999096</v>
      </c>
      <c r="J130" s="583">
        <f t="shared" si="28"/>
        <v>10446517.080000004</v>
      </c>
      <c r="K130" s="583"/>
      <c r="L130" s="92">
        <f t="shared" si="26"/>
        <v>375387.00999999791</v>
      </c>
      <c r="R130" s="92">
        <f t="shared" si="41"/>
        <v>3495.7283333333326</v>
      </c>
      <c r="S130" s="92">
        <f t="shared" si="41"/>
        <v>4464.78125</v>
      </c>
      <c r="T130" s="92">
        <f t="shared" si="41"/>
        <v>4496.8249999999998</v>
      </c>
      <c r="U130" s="92">
        <f t="shared" si="41"/>
        <v>5607.789333333335</v>
      </c>
      <c r="V130" s="92">
        <f t="shared" si="41"/>
        <v>4488.3144166666625</v>
      </c>
      <c r="W130" s="92">
        <f t="shared" si="41"/>
        <v>4648.8916666666664</v>
      </c>
      <c r="X130" s="583">
        <f t="shared" si="39"/>
        <v>5731.1940000000022</v>
      </c>
      <c r="Y130" s="583">
        <f t="shared" si="39"/>
        <v>7443.2783333333364</v>
      </c>
      <c r="Z130" s="583">
        <f t="shared" si="39"/>
        <v>9479.6125833333317</v>
      </c>
      <c r="AA130" s="92">
        <f t="shared" si="39"/>
        <v>10298.301416666674</v>
      </c>
      <c r="AB130" s="583">
        <f t="shared" si="39"/>
        <v>10107.988750000002</v>
      </c>
      <c r="AC130" s="92">
        <f t="shared" si="39"/>
        <v>7224.5845000000054</v>
      </c>
      <c r="AD130" s="92"/>
      <c r="AE130" s="92">
        <f t="shared" si="35"/>
        <v>77487.289583333346</v>
      </c>
      <c r="AG130" s="92"/>
      <c r="AH130" s="586"/>
    </row>
    <row r="131" spans="1:34" s="335" customFormat="1" outlineLevel="1">
      <c r="A131" s="327" t="s">
        <v>59</v>
      </c>
      <c r="B131" s="327">
        <f t="shared" si="24"/>
        <v>2022</v>
      </c>
      <c r="C131" s="327" t="s">
        <v>47</v>
      </c>
      <c r="D131" s="583"/>
      <c r="E131" s="92">
        <f t="shared" si="25"/>
        <v>10821904.090000002</v>
      </c>
      <c r="F131" s="92"/>
      <c r="G131" s="92">
        <f t="shared" si="38"/>
        <v>10821904.090000002</v>
      </c>
      <c r="H131" s="583"/>
      <c r="I131" s="590">
        <v>45319.529999999693</v>
      </c>
      <c r="J131" s="583">
        <f t="shared" si="28"/>
        <v>10491836.610000003</v>
      </c>
      <c r="K131" s="583"/>
      <c r="L131" s="92">
        <f t="shared" si="26"/>
        <v>330067.47999999858</v>
      </c>
      <c r="S131" s="92">
        <f>+S130</f>
        <v>4464.78125</v>
      </c>
      <c r="T131" s="92">
        <f t="shared" si="41"/>
        <v>4496.8249999999998</v>
      </c>
      <c r="U131" s="92">
        <f t="shared" si="41"/>
        <v>5607.789333333335</v>
      </c>
      <c r="V131" s="92">
        <f t="shared" si="41"/>
        <v>4488.3144166666625</v>
      </c>
      <c r="W131" s="92">
        <f t="shared" si="41"/>
        <v>4648.8916666666664</v>
      </c>
      <c r="X131" s="583">
        <f t="shared" ref="X131:AC140" si="42">X130</f>
        <v>5731.1940000000022</v>
      </c>
      <c r="Y131" s="583">
        <f t="shared" si="42"/>
        <v>7443.2783333333364</v>
      </c>
      <c r="Z131" s="583">
        <f t="shared" si="42"/>
        <v>9479.6125833333317</v>
      </c>
      <c r="AA131" s="92">
        <f t="shared" si="42"/>
        <v>10298.301416666674</v>
      </c>
      <c r="AB131" s="583">
        <f t="shared" si="42"/>
        <v>10107.988750000002</v>
      </c>
      <c r="AC131" s="92">
        <f t="shared" si="42"/>
        <v>7224.5845000000054</v>
      </c>
      <c r="AD131" s="92"/>
      <c r="AE131" s="92">
        <f t="shared" si="35"/>
        <v>73991.561250000028</v>
      </c>
      <c r="AG131" s="92"/>
      <c r="AH131" s="586"/>
    </row>
    <row r="132" spans="1:34" s="335" customFormat="1" outlineLevel="1">
      <c r="A132" s="327" t="s">
        <v>46</v>
      </c>
      <c r="B132" s="327">
        <f t="shared" si="24"/>
        <v>2022</v>
      </c>
      <c r="C132" s="327" t="s">
        <v>47</v>
      </c>
      <c r="D132" s="583"/>
      <c r="E132" s="92">
        <f t="shared" si="25"/>
        <v>10821904.090000002</v>
      </c>
      <c r="F132" s="92"/>
      <c r="G132" s="92">
        <f t="shared" si="38"/>
        <v>10821904.090000002</v>
      </c>
      <c r="H132" s="583"/>
      <c r="I132" s="590">
        <v>63795.949999999095</v>
      </c>
      <c r="J132" s="583">
        <f t="shared" si="28"/>
        <v>10555632.560000002</v>
      </c>
      <c r="K132" s="583"/>
      <c r="L132" s="92">
        <f t="shared" si="26"/>
        <v>266271.52999999933</v>
      </c>
      <c r="T132" s="92">
        <f t="shared" si="41"/>
        <v>4496.8249999999998</v>
      </c>
      <c r="U132" s="92">
        <f t="shared" si="41"/>
        <v>5607.789333333335</v>
      </c>
      <c r="V132" s="92">
        <f t="shared" si="41"/>
        <v>4488.3144166666625</v>
      </c>
      <c r="W132" s="92">
        <f t="shared" si="41"/>
        <v>4648.8916666666664</v>
      </c>
      <c r="X132" s="583">
        <f t="shared" si="42"/>
        <v>5731.1940000000022</v>
      </c>
      <c r="Y132" s="583">
        <f t="shared" si="42"/>
        <v>7443.2783333333364</v>
      </c>
      <c r="Z132" s="583">
        <f t="shared" si="42"/>
        <v>9479.6125833333317</v>
      </c>
      <c r="AA132" s="92">
        <f t="shared" si="42"/>
        <v>10298.301416666674</v>
      </c>
      <c r="AB132" s="583">
        <f t="shared" si="42"/>
        <v>10107.988750000002</v>
      </c>
      <c r="AC132" s="92">
        <f t="shared" si="42"/>
        <v>7224.5845000000054</v>
      </c>
      <c r="AD132" s="92"/>
      <c r="AE132" s="92">
        <f t="shared" si="35"/>
        <v>69526.780000000013</v>
      </c>
      <c r="AG132" s="92"/>
      <c r="AH132" s="586"/>
    </row>
    <row r="133" spans="1:34" s="335" customFormat="1" outlineLevel="1">
      <c r="A133" s="327" t="s">
        <v>48</v>
      </c>
      <c r="B133" s="327">
        <f t="shared" si="24"/>
        <v>2022</v>
      </c>
      <c r="C133" s="327" t="s">
        <v>47</v>
      </c>
      <c r="D133" s="583"/>
      <c r="E133" s="92">
        <f t="shared" si="25"/>
        <v>10821904.090000002</v>
      </c>
      <c r="F133" s="92"/>
      <c r="G133" s="92">
        <f t="shared" si="38"/>
        <v>10821904.090000002</v>
      </c>
      <c r="H133" s="583"/>
      <c r="I133" s="590">
        <v>45469.099999999693</v>
      </c>
      <c r="J133" s="583">
        <f t="shared" si="28"/>
        <v>10601101.660000002</v>
      </c>
      <c r="K133" s="583"/>
      <c r="L133" s="92">
        <f t="shared" si="26"/>
        <v>220802.4299999997</v>
      </c>
      <c r="U133" s="92">
        <f t="shared" si="41"/>
        <v>5607.789333333335</v>
      </c>
      <c r="V133" s="92">
        <f t="shared" si="41"/>
        <v>4488.3144166666625</v>
      </c>
      <c r="W133" s="92">
        <f t="shared" si="41"/>
        <v>4648.8916666666664</v>
      </c>
      <c r="X133" s="583">
        <f t="shared" si="42"/>
        <v>5731.1940000000022</v>
      </c>
      <c r="Y133" s="583">
        <f t="shared" si="42"/>
        <v>7443.2783333333364</v>
      </c>
      <c r="Z133" s="583">
        <f t="shared" si="42"/>
        <v>9479.6125833333317</v>
      </c>
      <c r="AA133" s="92">
        <f t="shared" si="42"/>
        <v>10298.301416666674</v>
      </c>
      <c r="AB133" s="583">
        <f t="shared" si="42"/>
        <v>10107.988750000002</v>
      </c>
      <c r="AC133" s="92">
        <f t="shared" si="42"/>
        <v>7224.5845000000054</v>
      </c>
      <c r="AD133" s="92"/>
      <c r="AE133" s="92">
        <f t="shared" si="35"/>
        <v>65029.955000000016</v>
      </c>
      <c r="AG133" s="92"/>
      <c r="AH133" s="586"/>
    </row>
    <row r="134" spans="1:34" s="335" customFormat="1" outlineLevel="1">
      <c r="A134" s="327" t="s">
        <v>50</v>
      </c>
      <c r="B134" s="327">
        <f>+B122+1</f>
        <v>2022</v>
      </c>
      <c r="C134" s="327" t="s">
        <v>47</v>
      </c>
      <c r="D134" s="583"/>
      <c r="E134" s="92">
        <f>D134+E133</f>
        <v>10821904.090000002</v>
      </c>
      <c r="F134" s="92"/>
      <c r="G134" s="92">
        <f t="shared" si="38"/>
        <v>10821904.090000002</v>
      </c>
      <c r="H134" s="583"/>
      <c r="I134" s="590">
        <v>39334.869999999893</v>
      </c>
      <c r="J134" s="583">
        <f t="shared" ref="J134" si="43">I134+J133</f>
        <v>10640436.530000001</v>
      </c>
      <c r="K134" s="583"/>
      <c r="L134" s="92">
        <f t="shared" ref="L134" si="44">+G134-J134</f>
        <v>181467.56000000052</v>
      </c>
      <c r="V134" s="92">
        <f t="shared" si="41"/>
        <v>4488.3144166666625</v>
      </c>
      <c r="W134" s="92">
        <f t="shared" si="41"/>
        <v>4648.8916666666664</v>
      </c>
      <c r="X134" s="583">
        <f t="shared" si="42"/>
        <v>5731.1940000000022</v>
      </c>
      <c r="Y134" s="583">
        <f t="shared" si="42"/>
        <v>7443.2783333333364</v>
      </c>
      <c r="Z134" s="583">
        <f t="shared" si="42"/>
        <v>9479.6125833333317</v>
      </c>
      <c r="AA134" s="92">
        <f t="shared" si="42"/>
        <v>10298.301416666674</v>
      </c>
      <c r="AB134" s="583">
        <f t="shared" si="42"/>
        <v>10107.988750000002</v>
      </c>
      <c r="AC134" s="92">
        <f t="shared" si="42"/>
        <v>7224.5845000000054</v>
      </c>
      <c r="AD134" s="92"/>
      <c r="AE134" s="92">
        <f t="shared" si="35"/>
        <v>59422.165666666682</v>
      </c>
      <c r="AG134" s="92"/>
      <c r="AH134" s="586"/>
    </row>
    <row r="135" spans="1:34" s="335" customFormat="1" outlineLevel="1">
      <c r="A135" s="327" t="s">
        <v>51</v>
      </c>
      <c r="B135" s="327">
        <f t="shared" ref="B135:B140" si="45">+B123+1</f>
        <v>2022</v>
      </c>
      <c r="C135" s="327" t="s">
        <v>47</v>
      </c>
      <c r="D135" s="583"/>
      <c r="E135" s="92">
        <f t="shared" ref="E135:E140" si="46">D135+E134</f>
        <v>10821904.090000002</v>
      </c>
      <c r="F135" s="92"/>
      <c r="G135" s="92">
        <f t="shared" si="38"/>
        <v>10821904.090000002</v>
      </c>
      <c r="H135" s="583"/>
      <c r="I135" s="590">
        <v>34961.160000000003</v>
      </c>
      <c r="J135" s="583">
        <f t="shared" ref="J135:J139" si="47">I135+J134</f>
        <v>10675397.690000001</v>
      </c>
      <c r="K135" s="583"/>
      <c r="L135" s="92">
        <f t="shared" ref="L135:L139" si="48">+G135-J135</f>
        <v>146506.40000000037</v>
      </c>
      <c r="N135" s="585"/>
      <c r="O135" s="585"/>
      <c r="P135" s="585"/>
      <c r="Q135" s="585"/>
      <c r="R135" s="585"/>
      <c r="S135" s="585"/>
      <c r="T135" s="585"/>
      <c r="U135" s="585"/>
      <c r="V135" s="585"/>
      <c r="W135" s="583">
        <f>+W133</f>
        <v>4648.8916666666664</v>
      </c>
      <c r="X135" s="583">
        <f t="shared" si="42"/>
        <v>5731.1940000000022</v>
      </c>
      <c r="Y135" s="583">
        <f t="shared" si="42"/>
        <v>7443.2783333333364</v>
      </c>
      <c r="Z135" s="583">
        <f t="shared" si="42"/>
        <v>9479.6125833333317</v>
      </c>
      <c r="AA135" s="92">
        <f t="shared" si="42"/>
        <v>10298.301416666674</v>
      </c>
      <c r="AB135" s="583">
        <f t="shared" si="42"/>
        <v>10107.988750000002</v>
      </c>
      <c r="AC135" s="92">
        <f t="shared" si="42"/>
        <v>7224.5845000000054</v>
      </c>
      <c r="AD135" s="92"/>
      <c r="AE135" s="92">
        <f t="shared" ref="AE135:AE140" si="49">SUM(N135:AC135)</f>
        <v>54933.851250000022</v>
      </c>
      <c r="AG135" s="92"/>
      <c r="AH135" s="586"/>
    </row>
    <row r="136" spans="1:34" s="335" customFormat="1" outlineLevel="1">
      <c r="A136" s="327" t="s">
        <v>52</v>
      </c>
      <c r="B136" s="327">
        <f t="shared" si="45"/>
        <v>2022</v>
      </c>
      <c r="C136" s="327" t="s">
        <v>47</v>
      </c>
      <c r="D136" s="583"/>
      <c r="E136" s="92">
        <f t="shared" si="46"/>
        <v>10821904.090000002</v>
      </c>
      <c r="F136" s="92"/>
      <c r="G136" s="92">
        <f t="shared" si="38"/>
        <v>10821904.090000002</v>
      </c>
      <c r="H136" s="583"/>
      <c r="I136" s="590">
        <v>35241.1</v>
      </c>
      <c r="J136" s="583">
        <f t="shared" si="47"/>
        <v>10710638.790000001</v>
      </c>
      <c r="K136" s="583"/>
      <c r="L136" s="92">
        <f t="shared" si="48"/>
        <v>111265.30000000075</v>
      </c>
      <c r="N136" s="585"/>
      <c r="O136" s="585"/>
      <c r="P136" s="585"/>
      <c r="Q136" s="585"/>
      <c r="R136" s="585"/>
      <c r="S136" s="585"/>
      <c r="T136" s="585"/>
      <c r="U136" s="585"/>
      <c r="V136" s="585"/>
      <c r="W136" s="583"/>
      <c r="X136" s="583">
        <f t="shared" si="42"/>
        <v>5731.1940000000022</v>
      </c>
      <c r="Y136" s="583">
        <f t="shared" si="42"/>
        <v>7443.2783333333364</v>
      </c>
      <c r="Z136" s="583">
        <f t="shared" si="42"/>
        <v>9479.6125833333317</v>
      </c>
      <c r="AA136" s="92">
        <f t="shared" si="42"/>
        <v>10298.301416666674</v>
      </c>
      <c r="AB136" s="583">
        <f t="shared" si="42"/>
        <v>10107.988750000002</v>
      </c>
      <c r="AC136" s="92">
        <f t="shared" si="42"/>
        <v>7224.5845000000054</v>
      </c>
      <c r="AD136" s="92"/>
      <c r="AE136" s="92">
        <f t="shared" si="49"/>
        <v>50284.959583333351</v>
      </c>
      <c r="AG136" s="92"/>
      <c r="AH136" s="586"/>
    </row>
    <row r="137" spans="1:34" s="335" customFormat="1" outlineLevel="1">
      <c r="A137" s="327" t="s">
        <v>53</v>
      </c>
      <c r="B137" s="327">
        <f t="shared" si="45"/>
        <v>2023</v>
      </c>
      <c r="C137" s="327" t="s">
        <v>47</v>
      </c>
      <c r="D137" s="583"/>
      <c r="E137" s="92">
        <f t="shared" si="46"/>
        <v>10821904.090000002</v>
      </c>
      <c r="F137" s="92"/>
      <c r="G137" s="92">
        <f t="shared" si="38"/>
        <v>10821904.090000002</v>
      </c>
      <c r="H137" s="583"/>
      <c r="I137" s="590">
        <f>6380+32148</f>
        <v>38528</v>
      </c>
      <c r="J137" s="583">
        <f t="shared" si="47"/>
        <v>10749166.790000001</v>
      </c>
      <c r="K137" s="583"/>
      <c r="L137" s="92">
        <f t="shared" si="48"/>
        <v>72737.300000000745</v>
      </c>
      <c r="N137" s="585"/>
      <c r="O137" s="585"/>
      <c r="P137" s="585"/>
      <c r="Q137" s="585"/>
      <c r="R137" s="585"/>
      <c r="S137" s="585"/>
      <c r="T137" s="585"/>
      <c r="U137" s="585"/>
      <c r="V137" s="585"/>
      <c r="W137" s="583"/>
      <c r="X137" s="583"/>
      <c r="Y137" s="583">
        <f t="shared" si="42"/>
        <v>7443.2783333333364</v>
      </c>
      <c r="Z137" s="583">
        <f t="shared" si="42"/>
        <v>9479.6125833333317</v>
      </c>
      <c r="AA137" s="92">
        <f t="shared" si="42"/>
        <v>10298.301416666674</v>
      </c>
      <c r="AB137" s="583">
        <f t="shared" si="42"/>
        <v>10107.988750000002</v>
      </c>
      <c r="AC137" s="92">
        <f t="shared" si="42"/>
        <v>7224.5845000000054</v>
      </c>
      <c r="AD137" s="92"/>
      <c r="AE137" s="92">
        <f t="shared" si="49"/>
        <v>44553.765583333348</v>
      </c>
      <c r="AG137" s="92"/>
      <c r="AH137" s="586"/>
    </row>
    <row r="138" spans="1:34" s="335" customFormat="1" outlineLevel="1">
      <c r="A138" s="327" t="s">
        <v>54</v>
      </c>
      <c r="B138" s="327">
        <f t="shared" si="45"/>
        <v>2023</v>
      </c>
      <c r="C138" s="327" t="s">
        <v>47</v>
      </c>
      <c r="D138" s="583"/>
      <c r="E138" s="92">
        <f t="shared" si="46"/>
        <v>10821904.090000002</v>
      </c>
      <c r="F138" s="92"/>
      <c r="G138" s="92">
        <f t="shared" si="38"/>
        <v>10821904.090000002</v>
      </c>
      <c r="H138" s="583"/>
      <c r="I138" s="590">
        <v>20314.59</v>
      </c>
      <c r="J138" s="583">
        <f t="shared" si="47"/>
        <v>10769481.380000001</v>
      </c>
      <c r="K138" s="583"/>
      <c r="L138" s="92">
        <f>L137-I138</f>
        <v>52422.710000000749</v>
      </c>
      <c r="N138" s="585"/>
      <c r="O138" s="585"/>
      <c r="P138" s="585"/>
      <c r="Q138" s="585"/>
      <c r="R138" s="585"/>
      <c r="S138" s="585"/>
      <c r="T138" s="585"/>
      <c r="U138" s="585"/>
      <c r="V138" s="585"/>
      <c r="W138" s="583"/>
      <c r="X138" s="583"/>
      <c r="Y138" s="583"/>
      <c r="Z138" s="583">
        <f>Z137</f>
        <v>9479.6125833333317</v>
      </c>
      <c r="AA138" s="92">
        <f>AA137</f>
        <v>10298.301416666674</v>
      </c>
      <c r="AB138" s="583">
        <f>AB137</f>
        <v>10107.988750000002</v>
      </c>
      <c r="AC138" s="92">
        <f t="shared" si="42"/>
        <v>7224.5845000000054</v>
      </c>
      <c r="AD138" s="92"/>
      <c r="AE138" s="92">
        <f t="shared" si="49"/>
        <v>37110.487250000013</v>
      </c>
      <c r="AG138" s="92"/>
      <c r="AH138" s="586"/>
    </row>
    <row r="139" spans="1:34" s="335" customFormat="1" outlineLevel="1">
      <c r="A139" s="327" t="s">
        <v>55</v>
      </c>
      <c r="B139" s="327">
        <f t="shared" si="45"/>
        <v>2023</v>
      </c>
      <c r="C139" s="327" t="s">
        <v>47</v>
      </c>
      <c r="D139" s="583"/>
      <c r="E139" s="92">
        <f t="shared" si="46"/>
        <v>10821904.090000002</v>
      </c>
      <c r="F139" s="92"/>
      <c r="G139" s="92">
        <f t="shared" si="38"/>
        <v>10821904.090000002</v>
      </c>
      <c r="H139" s="583"/>
      <c r="I139" s="590">
        <v>27374.860000000099</v>
      </c>
      <c r="J139" s="583">
        <f t="shared" si="47"/>
        <v>10796856.24</v>
      </c>
      <c r="K139" s="583"/>
      <c r="L139" s="92">
        <f t="shared" si="48"/>
        <v>25047.85000000149</v>
      </c>
      <c r="N139" s="585"/>
      <c r="O139" s="585"/>
      <c r="P139" s="585"/>
      <c r="Q139" s="585"/>
      <c r="R139" s="585"/>
      <c r="S139" s="585"/>
      <c r="T139" s="585"/>
      <c r="U139" s="585"/>
      <c r="V139" s="585"/>
      <c r="W139" s="583"/>
      <c r="X139" s="583"/>
      <c r="Y139" s="583"/>
      <c r="Z139" s="583"/>
      <c r="AA139" s="92">
        <f>AA138</f>
        <v>10298.301416666674</v>
      </c>
      <c r="AB139" s="583">
        <f>AB138</f>
        <v>10107.988750000002</v>
      </c>
      <c r="AC139" s="92">
        <f t="shared" si="42"/>
        <v>7224.5845000000054</v>
      </c>
      <c r="AD139" s="92"/>
      <c r="AE139" s="92">
        <f t="shared" si="49"/>
        <v>27630.874666666681</v>
      </c>
      <c r="AG139" s="92"/>
      <c r="AH139" s="586"/>
    </row>
    <row r="140" spans="1:34" s="335" customFormat="1" outlineLevel="1">
      <c r="A140" s="327" t="s">
        <v>56</v>
      </c>
      <c r="B140" s="327">
        <f t="shared" si="45"/>
        <v>2023</v>
      </c>
      <c r="C140" s="327" t="s">
        <v>68</v>
      </c>
      <c r="D140" s="583"/>
      <c r="E140" s="92">
        <f t="shared" si="46"/>
        <v>10821904.090000002</v>
      </c>
      <c r="F140" s="92"/>
      <c r="G140" s="92">
        <f t="shared" si="38"/>
        <v>10821904.090000002</v>
      </c>
      <c r="H140" s="583"/>
      <c r="I140" s="590">
        <f>L139</f>
        <v>25047.85000000149</v>
      </c>
      <c r="J140" s="583">
        <f t="shared" ref="J140" si="50">I140+J139</f>
        <v>10821904.090000002</v>
      </c>
      <c r="K140" s="583"/>
      <c r="L140" s="92">
        <f t="shared" ref="L140" si="51">+G140-J140</f>
        <v>0</v>
      </c>
      <c r="N140" s="585"/>
      <c r="O140" s="585"/>
      <c r="P140" s="585"/>
      <c r="Q140" s="585"/>
      <c r="R140" s="585"/>
      <c r="S140" s="585"/>
      <c r="T140" s="585"/>
      <c r="U140" s="585"/>
      <c r="V140" s="585"/>
      <c r="W140" s="583"/>
      <c r="X140" s="583"/>
      <c r="Y140" s="583"/>
      <c r="Z140" s="583"/>
      <c r="AA140" s="583"/>
      <c r="AB140" s="583">
        <f>AB139</f>
        <v>10107.988750000002</v>
      </c>
      <c r="AC140" s="92">
        <f t="shared" si="42"/>
        <v>7224.5845000000054</v>
      </c>
      <c r="AD140" s="92"/>
      <c r="AE140" s="92">
        <f t="shared" si="49"/>
        <v>17332.573250000009</v>
      </c>
      <c r="AG140" s="92"/>
      <c r="AH140" s="586"/>
    </row>
    <row r="141" spans="1:34" s="335" customFormat="1">
      <c r="A141" s="327"/>
      <c r="B141" s="327"/>
      <c r="C141" s="327"/>
      <c r="D141" s="583"/>
      <c r="E141" s="92"/>
      <c r="F141" s="92"/>
      <c r="G141" s="92"/>
      <c r="H141" s="583"/>
      <c r="I141" s="590"/>
      <c r="J141" s="583"/>
      <c r="K141" s="583"/>
      <c r="L141" s="92"/>
    </row>
    <row r="142" spans="1:34">
      <c r="A142" s="7"/>
      <c r="B142" s="7"/>
      <c r="C142" s="7"/>
      <c r="D142" s="56"/>
      <c r="E142" s="30"/>
      <c r="F142" s="30"/>
      <c r="G142" s="30"/>
      <c r="H142" s="56"/>
      <c r="I142" s="328"/>
      <c r="J142" s="31"/>
      <c r="K142" s="56"/>
      <c r="L142" s="30"/>
    </row>
    <row r="143" spans="1:34">
      <c r="A143" s="7"/>
      <c r="B143" s="7"/>
      <c r="C143" s="7"/>
      <c r="D143" s="56"/>
      <c r="E143" s="30"/>
      <c r="F143" s="30"/>
      <c r="G143" s="30"/>
      <c r="H143" s="56"/>
      <c r="I143" s="328"/>
      <c r="J143" s="31"/>
      <c r="K143" s="56"/>
      <c r="L143" s="30"/>
    </row>
  </sheetData>
  <mergeCells count="2">
    <mergeCell ref="D1:K1"/>
    <mergeCell ref="N1:AE1"/>
  </mergeCells>
  <pageMargins left="0.45" right="0.2" top="0.75" bottom="0.5" header="0.3" footer="0.3"/>
  <pageSetup scale="4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FFFF00"/>
    <pageSetUpPr fitToPage="1"/>
  </sheetPr>
  <dimension ref="A1:Y47"/>
  <sheetViews>
    <sheetView zoomScaleNormal="100" workbookViewId="0">
      <pane xSplit="2" ySplit="12" topLeftCell="D31" activePane="bottomRight" state="frozen"/>
      <selection activeCell="C23" sqref="C23"/>
      <selection pane="topRight" activeCell="C23" sqref="C23"/>
      <selection pane="bottomLeft" activeCell="C23" sqref="C23"/>
      <selection pane="bottomRight" activeCell="I37" sqref="I37"/>
    </sheetView>
  </sheetViews>
  <sheetFormatPr defaultColWidth="9.140625" defaultRowHeight="12.75"/>
  <cols>
    <col min="1" max="1" width="6.140625" style="1" customWidth="1"/>
    <col min="2" max="2" width="24.140625" style="1" customWidth="1"/>
    <col min="3" max="6" width="11.140625" style="1" customWidth="1"/>
    <col min="7" max="7" width="2.28515625" style="1" customWidth="1"/>
    <col min="8" max="8" width="10.5703125" style="1" customWidth="1"/>
    <col min="9" max="9" width="4.140625" style="1" customWidth="1"/>
    <col min="10" max="10" width="11.7109375" style="1" customWidth="1"/>
    <col min="11" max="11" width="4.5703125" style="1" customWidth="1"/>
    <col min="12" max="12" width="12.28515625" style="1" bestFit="1" customWidth="1"/>
    <col min="13" max="13" width="4" style="1" customWidth="1"/>
    <col min="14" max="14" width="9.140625" style="1"/>
    <col min="15" max="15" width="2.85546875" style="1" customWidth="1"/>
    <col min="16" max="16" width="9.140625" style="1"/>
    <col min="17" max="17" width="3.5703125" style="1" customWidth="1"/>
    <col min="18" max="18" width="10.28515625" style="1" customWidth="1"/>
    <col min="19" max="19" width="3" style="1" customWidth="1"/>
    <col min="20" max="20" width="9.140625" style="476"/>
    <col min="21" max="21" width="9.140625" style="1"/>
    <col min="22" max="22" width="9.5703125" style="1" bestFit="1" customWidth="1"/>
    <col min="23" max="16384" width="9.140625" style="1"/>
  </cols>
  <sheetData>
    <row r="1" spans="1:24">
      <c r="A1" s="93"/>
      <c r="B1" s="14"/>
    </row>
    <row r="2" spans="1:24" s="94" customFormat="1" ht="15.75">
      <c r="A2" s="93"/>
      <c r="B2" s="14"/>
      <c r="C2" s="1"/>
      <c r="D2" s="1"/>
      <c r="E2" s="1"/>
      <c r="F2" s="1"/>
      <c r="G2" s="1"/>
      <c r="T2" s="477"/>
    </row>
    <row r="3" spans="1:24" s="94" customFormat="1" ht="15.75">
      <c r="A3" s="695" t="s">
        <v>115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T3" s="477"/>
    </row>
    <row r="4" spans="1:24" s="94" customFormat="1" ht="15.75">
      <c r="A4" s="696" t="s">
        <v>116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T4" s="477"/>
    </row>
    <row r="5" spans="1:24" s="94" customFormat="1" ht="15.75">
      <c r="A5" s="95"/>
      <c r="B5" s="96"/>
      <c r="C5" s="97"/>
      <c r="D5" s="97"/>
      <c r="E5" s="97"/>
      <c r="F5" s="97"/>
      <c r="G5" s="97"/>
      <c r="T5" s="477"/>
    </row>
    <row r="6" spans="1:24" s="93" customFormat="1">
      <c r="A6" s="95"/>
      <c r="B6" s="96"/>
      <c r="C6" s="97"/>
      <c r="D6" s="97"/>
      <c r="E6" s="97"/>
      <c r="F6" s="97"/>
      <c r="G6" s="97"/>
      <c r="T6" s="478"/>
    </row>
    <row r="7" spans="1:24" s="93" customFormat="1">
      <c r="A7" s="695" t="s">
        <v>117</v>
      </c>
      <c r="B7" s="695"/>
      <c r="C7" s="695"/>
      <c r="D7" s="695"/>
      <c r="E7" s="695"/>
      <c r="F7" s="695"/>
      <c r="G7" s="695"/>
      <c r="H7" s="695"/>
      <c r="I7" s="695"/>
      <c r="J7" s="695"/>
      <c r="K7" s="695"/>
      <c r="L7" s="695"/>
      <c r="T7" s="478"/>
    </row>
    <row r="8" spans="1:24">
      <c r="A8" s="98"/>
      <c r="B8" s="99"/>
      <c r="C8" s="97"/>
      <c r="D8" s="97"/>
      <c r="E8" s="97"/>
      <c r="F8" s="97"/>
      <c r="G8" s="97"/>
    </row>
    <row r="9" spans="1:24">
      <c r="B9" s="100"/>
      <c r="C9" s="93"/>
      <c r="D9" s="93"/>
      <c r="E9" s="93"/>
      <c r="F9" s="93"/>
      <c r="H9" s="100" t="s">
        <v>118</v>
      </c>
      <c r="J9" s="100" t="s">
        <v>118</v>
      </c>
      <c r="L9" s="100" t="s">
        <v>118</v>
      </c>
      <c r="N9" s="247" t="s">
        <v>118</v>
      </c>
      <c r="P9" s="253" t="s">
        <v>118</v>
      </c>
      <c r="R9" s="303" t="s">
        <v>118</v>
      </c>
      <c r="T9" s="476" t="s">
        <v>118</v>
      </c>
      <c r="V9" s="476" t="s">
        <v>118</v>
      </c>
      <c r="W9" s="476" t="s">
        <v>118</v>
      </c>
    </row>
    <row r="10" spans="1:24">
      <c r="B10" s="100"/>
      <c r="C10" s="93"/>
      <c r="D10" s="93"/>
      <c r="E10" s="93"/>
      <c r="F10" s="93"/>
      <c r="H10" s="101">
        <v>40909</v>
      </c>
      <c r="J10" s="101">
        <v>41456</v>
      </c>
      <c r="L10" s="101">
        <v>42217</v>
      </c>
      <c r="N10" s="101">
        <v>42644</v>
      </c>
      <c r="P10" s="101">
        <v>43101</v>
      </c>
      <c r="R10" s="303" t="s">
        <v>316</v>
      </c>
      <c r="T10" s="476" t="s">
        <v>330</v>
      </c>
      <c r="V10" s="476" t="s">
        <v>340</v>
      </c>
      <c r="W10" s="476" t="s">
        <v>340</v>
      </c>
    </row>
    <row r="11" spans="1:24">
      <c r="B11" s="102"/>
      <c r="C11" s="100"/>
      <c r="D11" s="100"/>
      <c r="E11" s="100"/>
      <c r="F11" s="100" t="s">
        <v>119</v>
      </c>
      <c r="H11" s="100" t="s">
        <v>119</v>
      </c>
      <c r="J11" s="100" t="s">
        <v>119</v>
      </c>
      <c r="L11" s="100" t="s">
        <v>119</v>
      </c>
      <c r="N11" s="247" t="s">
        <v>119</v>
      </c>
      <c r="P11" s="253" t="s">
        <v>119</v>
      </c>
      <c r="R11" s="303" t="s">
        <v>264</v>
      </c>
      <c r="T11" s="476" t="s">
        <v>119</v>
      </c>
      <c r="V11" s="476" t="s">
        <v>119</v>
      </c>
      <c r="W11" s="476" t="s">
        <v>119</v>
      </c>
    </row>
    <row r="12" spans="1:24">
      <c r="B12" s="13" t="s">
        <v>120</v>
      </c>
      <c r="C12" s="13" t="s">
        <v>121</v>
      </c>
      <c r="D12" s="13" t="s">
        <v>122</v>
      </c>
      <c r="E12" s="13" t="s">
        <v>123</v>
      </c>
      <c r="F12" s="13" t="s">
        <v>123</v>
      </c>
      <c r="H12" s="13" t="s">
        <v>123</v>
      </c>
      <c r="J12" s="13" t="s">
        <v>123</v>
      </c>
      <c r="L12" s="180" t="s">
        <v>123</v>
      </c>
      <c r="N12" s="246" t="s">
        <v>123</v>
      </c>
      <c r="P12" s="252" t="s">
        <v>123</v>
      </c>
      <c r="R12" s="303" t="s">
        <v>123</v>
      </c>
      <c r="T12" s="476" t="s">
        <v>123</v>
      </c>
      <c r="V12" s="476" t="s">
        <v>123</v>
      </c>
      <c r="W12" s="476" t="s">
        <v>123</v>
      </c>
    </row>
    <row r="13" spans="1:24" ht="21.75" customHeight="1">
      <c r="C13" s="103"/>
      <c r="D13" s="592"/>
      <c r="E13" s="592"/>
      <c r="F13" s="59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594"/>
      <c r="U13" s="3"/>
      <c r="V13" s="3"/>
      <c r="W13" s="3"/>
      <c r="X13" s="3"/>
    </row>
    <row r="14" spans="1:24" ht="21.75" customHeight="1">
      <c r="A14" s="104"/>
      <c r="B14" s="104" t="s">
        <v>124</v>
      </c>
      <c r="C14" s="103"/>
      <c r="D14" s="592"/>
      <c r="E14" s="592"/>
      <c r="F14" s="59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594"/>
      <c r="U14" s="3"/>
      <c r="V14" s="3"/>
      <c r="W14" s="3"/>
      <c r="X14" s="3"/>
    </row>
    <row r="15" spans="1:24" ht="21.75" customHeight="1">
      <c r="B15" s="42" t="s">
        <v>125</v>
      </c>
      <c r="C15" s="105">
        <v>411344</v>
      </c>
      <c r="D15" s="595">
        <f>+C15/$C$19</f>
        <v>0.41628825561190258</v>
      </c>
      <c r="E15" s="595">
        <v>5.4399999999999997E-2</v>
      </c>
      <c r="F15" s="595">
        <f>E15*D15</f>
        <v>2.2646081105287499E-2</v>
      </c>
      <c r="G15" s="3"/>
      <c r="H15" s="596">
        <v>1.7579999999999998E-2</v>
      </c>
      <c r="I15" s="3"/>
      <c r="J15" s="596">
        <v>1.6160000000000001E-2</v>
      </c>
      <c r="K15" s="3"/>
      <c r="L15" s="596">
        <v>1.4500000000000001E-2</v>
      </c>
      <c r="M15" s="3"/>
      <c r="N15" s="596">
        <v>1.7600000000000001E-2</v>
      </c>
      <c r="O15" s="3"/>
      <c r="P15" s="596">
        <v>1.7600000000000001E-2</v>
      </c>
      <c r="Q15" s="3"/>
      <c r="R15" s="596">
        <v>1.7630958200000001E-2</v>
      </c>
      <c r="S15" s="3"/>
      <c r="T15" s="596">
        <v>1.6559999999999998E-2</v>
      </c>
      <c r="U15" s="3"/>
      <c r="V15" s="3"/>
      <c r="W15" s="3"/>
      <c r="X15" s="3"/>
    </row>
    <row r="16" spans="1:24" ht="21.75" customHeight="1">
      <c r="B16" s="42" t="s">
        <v>126</v>
      </c>
      <c r="C16" s="108">
        <v>66000</v>
      </c>
      <c r="D16" s="595">
        <f>+C16/$C$19</f>
        <v>6.6793304072468709E-2</v>
      </c>
      <c r="E16" s="595">
        <v>2.9000000000000001E-2</v>
      </c>
      <c r="F16" s="595">
        <f>E16*D16</f>
        <v>1.9370058181015927E-3</v>
      </c>
      <c r="G16" s="3"/>
      <c r="H16" s="596">
        <v>6.7000000000000002E-4</v>
      </c>
      <c r="I16" s="3"/>
      <c r="J16" s="596">
        <v>6.7000000000000002E-4</v>
      </c>
      <c r="K16" s="3"/>
      <c r="L16" s="596">
        <v>5.0000000000000001E-4</v>
      </c>
      <c r="M16" s="3"/>
      <c r="N16" s="596">
        <v>2.0000000000000001E-4</v>
      </c>
      <c r="O16" s="3"/>
      <c r="P16" s="596">
        <v>2.0000000000000001E-4</v>
      </c>
      <c r="Q16" s="3"/>
      <c r="R16" s="596">
        <v>0</v>
      </c>
      <c r="S16" s="3"/>
      <c r="T16" s="596">
        <v>0</v>
      </c>
      <c r="U16" s="3"/>
      <c r="V16" s="3"/>
      <c r="W16" s="3"/>
      <c r="X16" s="3"/>
    </row>
    <row r="17" spans="2:25" ht="21.75" customHeight="1">
      <c r="B17" s="42" t="s">
        <v>127</v>
      </c>
      <c r="C17" s="108">
        <v>4447</v>
      </c>
      <c r="D17" s="595">
        <f>+C17/$C$19</f>
        <v>4.5004518668222476E-3</v>
      </c>
      <c r="E17" s="595">
        <v>4.7899999999999998E-2</v>
      </c>
      <c r="F17" s="595">
        <f>E17*D17</f>
        <v>2.1557164442078565E-4</v>
      </c>
      <c r="G17" s="3"/>
      <c r="H17" s="596">
        <f>(0.0019*0.0045)</f>
        <v>8.5499999999999995E-6</v>
      </c>
      <c r="I17" s="3"/>
      <c r="J17" s="596">
        <v>1.0000000000000001E-5</v>
      </c>
      <c r="K17" s="3"/>
      <c r="L17" s="596">
        <v>0</v>
      </c>
      <c r="M17" s="3"/>
      <c r="N17" s="596">
        <v>0</v>
      </c>
      <c r="O17" s="3"/>
      <c r="P17" s="596">
        <v>0</v>
      </c>
      <c r="Q17" s="3"/>
      <c r="R17" s="596">
        <v>0</v>
      </c>
      <c r="S17" s="3"/>
      <c r="T17" s="596">
        <v>0</v>
      </c>
      <c r="U17" s="3"/>
      <c r="V17" s="3"/>
      <c r="W17" s="3"/>
      <c r="X17" s="3"/>
    </row>
    <row r="18" spans="2:25" ht="21.75" customHeight="1">
      <c r="B18" s="42" t="s">
        <v>128</v>
      </c>
      <c r="C18" s="109">
        <v>506332</v>
      </c>
      <c r="D18" s="112">
        <f>+C18/$C$19</f>
        <v>0.51241798844880648</v>
      </c>
      <c r="E18" s="595">
        <v>0.10299999999999999</v>
      </c>
      <c r="F18" s="112">
        <f>E18*D18</f>
        <v>5.2779052810227066E-2</v>
      </c>
      <c r="G18" s="3"/>
      <c r="H18" s="597">
        <f>F18</f>
        <v>5.2779052810227066E-2</v>
      </c>
      <c r="I18" s="3"/>
      <c r="J18" s="597">
        <v>5.2159999999999998E-2</v>
      </c>
      <c r="K18" s="3"/>
      <c r="L18" s="597">
        <v>5.1900000000000002E-2</v>
      </c>
      <c r="M18" s="3"/>
      <c r="N18" s="597">
        <v>5.1200000000000002E-2</v>
      </c>
      <c r="O18" s="3"/>
      <c r="P18" s="597">
        <v>5.1200000000000002E-2</v>
      </c>
      <c r="Q18" s="3"/>
      <c r="R18" s="598">
        <v>5.1840000000000004E-2</v>
      </c>
      <c r="S18" s="3"/>
      <c r="T18" s="597">
        <v>5.1840000000000004E-2</v>
      </c>
      <c r="U18" s="3"/>
      <c r="V18" s="3"/>
      <c r="W18" s="3"/>
      <c r="X18" s="3"/>
    </row>
    <row r="19" spans="2:25" ht="21.75" customHeight="1">
      <c r="B19" s="93" t="s">
        <v>69</v>
      </c>
      <c r="C19" s="110">
        <f>SUM(C15:C18)</f>
        <v>988123</v>
      </c>
      <c r="D19" s="599">
        <f>+C19/$C$19</f>
        <v>1</v>
      </c>
      <c r="E19" s="600"/>
      <c r="F19" s="601">
        <f>SUM(F15:F18)</f>
        <v>7.7577711378036943E-2</v>
      </c>
      <c r="G19" s="3"/>
      <c r="H19" s="602">
        <f>SUM(H15:H18)</f>
        <v>7.1037602810227057E-2</v>
      </c>
      <c r="I19" s="3"/>
      <c r="J19" s="603">
        <f>SUM(J15:J18)</f>
        <v>6.9000000000000006E-2</v>
      </c>
      <c r="K19" s="3"/>
      <c r="L19" s="603">
        <f>SUM(L15:L18)</f>
        <v>6.6900000000000001E-2</v>
      </c>
      <c r="M19" s="3"/>
      <c r="N19" s="603">
        <f>SUM(N15:N18)</f>
        <v>6.9000000000000006E-2</v>
      </c>
      <c r="O19" s="3"/>
      <c r="P19" s="603">
        <f>SUM(P15:P18)</f>
        <v>6.9000000000000006E-2</v>
      </c>
      <c r="Q19" s="3"/>
      <c r="R19" s="603">
        <v>6.9470958200000002E-2</v>
      </c>
      <c r="S19" s="3"/>
      <c r="T19" s="596">
        <f>SUM(T15:T18)</f>
        <v>6.8400000000000002E-2</v>
      </c>
      <c r="U19" s="3"/>
      <c r="V19" s="3"/>
      <c r="W19" s="3"/>
      <c r="X19" s="3"/>
    </row>
    <row r="20" spans="2:25" ht="21.75" customHeight="1">
      <c r="C20" s="103"/>
      <c r="D20" s="592"/>
      <c r="E20" s="592"/>
      <c r="F20" s="59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596"/>
      <c r="U20" s="3"/>
      <c r="V20" s="3"/>
      <c r="W20" s="3"/>
      <c r="X20" s="3"/>
    </row>
    <row r="21" spans="2:25" ht="21.75" customHeight="1">
      <c r="D21" s="593"/>
      <c r="E21" s="604" t="s">
        <v>129</v>
      </c>
      <c r="F21" s="605">
        <f>+F17+F16+F15</f>
        <v>2.4798658567809877E-2</v>
      </c>
      <c r="G21" s="3"/>
      <c r="H21" s="605">
        <f>+H17+H16+H15</f>
        <v>1.8258549999999998E-2</v>
      </c>
      <c r="I21" s="3"/>
      <c r="J21" s="605">
        <f>+J17+J16+J15</f>
        <v>1.6840000000000001E-2</v>
      </c>
      <c r="K21" s="3"/>
      <c r="L21" s="605">
        <f>+L17+L16+L15</f>
        <v>1.5000000000000001E-2</v>
      </c>
      <c r="M21" s="3"/>
      <c r="N21" s="605">
        <f>+N17+N16+N15</f>
        <v>1.78E-2</v>
      </c>
      <c r="O21" s="3"/>
      <c r="P21" s="605">
        <f>+P17+P16+P15</f>
        <v>1.78E-2</v>
      </c>
      <c r="Q21" s="3"/>
      <c r="R21" s="606">
        <f>+R17+R16+R15</f>
        <v>1.7630958200000001E-2</v>
      </c>
      <c r="S21" s="3"/>
      <c r="T21" s="606">
        <f>+T17+T16+T15</f>
        <v>1.6559999999999998E-2</v>
      </c>
      <c r="U21" s="3"/>
      <c r="V21" s="3"/>
      <c r="W21" s="3"/>
      <c r="X21" s="3"/>
    </row>
    <row r="22" spans="2:25">
      <c r="B22" s="42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596"/>
      <c r="U22" s="3"/>
      <c r="V22" s="3"/>
      <c r="W22" s="3"/>
      <c r="X22" s="3"/>
    </row>
    <row r="23" spans="2:25">
      <c r="B23" s="42"/>
      <c r="D23" s="3"/>
      <c r="E23" s="3"/>
      <c r="F23" s="607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596"/>
      <c r="U23" s="3"/>
      <c r="V23" s="3"/>
      <c r="W23" s="3"/>
      <c r="X23" s="3"/>
    </row>
    <row r="24" spans="2:25">
      <c r="B24" s="42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596"/>
      <c r="U24" s="3"/>
      <c r="V24" s="3"/>
      <c r="W24" s="3"/>
      <c r="X24" s="3"/>
    </row>
    <row r="25" spans="2:25">
      <c r="B25" s="104" t="s">
        <v>130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596"/>
      <c r="U25" s="3"/>
      <c r="V25" s="3"/>
      <c r="W25" s="3"/>
      <c r="X25" s="3"/>
    </row>
    <row r="26" spans="2:25">
      <c r="D26" s="3"/>
      <c r="E26" s="3" t="s">
        <v>335</v>
      </c>
      <c r="F26" s="3"/>
      <c r="G26" s="3"/>
      <c r="H26" s="3" t="s">
        <v>336</v>
      </c>
      <c r="I26" s="3"/>
      <c r="J26" s="3" t="s">
        <v>337</v>
      </c>
      <c r="K26" s="3"/>
      <c r="L26" s="3" t="s">
        <v>338</v>
      </c>
      <c r="M26" s="3"/>
      <c r="N26" s="3" t="s">
        <v>338</v>
      </c>
      <c r="O26" s="3"/>
      <c r="P26" s="3" t="s">
        <v>338</v>
      </c>
      <c r="Q26" s="3"/>
      <c r="R26" s="3" t="s">
        <v>338</v>
      </c>
      <c r="S26" s="3"/>
      <c r="T26" s="3" t="s">
        <v>338</v>
      </c>
      <c r="U26" s="3"/>
      <c r="V26" s="3" t="s">
        <v>337</v>
      </c>
      <c r="W26" s="3" t="s">
        <v>336</v>
      </c>
      <c r="X26" s="3"/>
    </row>
    <row r="27" spans="2:25">
      <c r="B27" s="1" t="s">
        <v>131</v>
      </c>
      <c r="D27" s="3"/>
      <c r="E27" s="608">
        <v>0.35</v>
      </c>
      <c r="F27" s="3"/>
      <c r="G27" s="3"/>
      <c r="H27" s="3"/>
      <c r="I27" s="3"/>
      <c r="J27" s="609">
        <v>0.35</v>
      </c>
      <c r="K27" s="3"/>
      <c r="L27" s="609">
        <v>0.35</v>
      </c>
      <c r="M27" s="3"/>
      <c r="N27" s="609">
        <v>0.35</v>
      </c>
      <c r="O27" s="3"/>
      <c r="P27" s="609">
        <v>0.21</v>
      </c>
      <c r="Q27" s="3"/>
      <c r="R27" s="609">
        <v>0.21</v>
      </c>
      <c r="S27" s="3"/>
      <c r="T27" s="609">
        <v>0.21</v>
      </c>
      <c r="U27" s="3"/>
      <c r="V27" s="3" t="s">
        <v>339</v>
      </c>
      <c r="W27" s="3"/>
      <c r="X27" s="3"/>
    </row>
    <row r="28" spans="2:25">
      <c r="B28" s="1" t="s">
        <v>132</v>
      </c>
      <c r="D28" s="3"/>
      <c r="E28" s="112">
        <f>9.36%-0.36%</f>
        <v>8.9999999999999983E-2</v>
      </c>
      <c r="F28" s="3"/>
      <c r="G28" s="3"/>
      <c r="H28" s="3"/>
      <c r="I28" s="3"/>
      <c r="J28" s="113">
        <f>9.36%-0.36%</f>
        <v>8.9999999999999983E-2</v>
      </c>
      <c r="K28" s="3"/>
      <c r="L28" s="113">
        <f>9.36%-0.36%</f>
        <v>8.9999999999999983E-2</v>
      </c>
      <c r="M28" s="3"/>
      <c r="N28" s="113">
        <f>9.36%-0.36%</f>
        <v>8.9999999999999983E-2</v>
      </c>
      <c r="O28" s="3"/>
      <c r="P28" s="113">
        <f>9.36%-0.36%</f>
        <v>8.9999999999999983E-2</v>
      </c>
      <c r="Q28" s="3"/>
      <c r="R28" s="609">
        <v>0.09</v>
      </c>
      <c r="S28" s="3"/>
      <c r="T28" s="609">
        <v>0.09</v>
      </c>
      <c r="U28" s="3"/>
      <c r="V28" s="610"/>
      <c r="W28" s="611"/>
      <c r="X28" s="610"/>
      <c r="Y28" s="513"/>
    </row>
    <row r="29" spans="2:25"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609"/>
      <c r="S29" s="3"/>
      <c r="T29" s="609"/>
      <c r="U29" s="3"/>
      <c r="V29" s="3"/>
      <c r="W29" s="3"/>
      <c r="X29" s="3"/>
    </row>
    <row r="30" spans="2:25">
      <c r="B30" s="104" t="s">
        <v>133</v>
      </c>
      <c r="D30" s="3"/>
      <c r="E30" s="608">
        <f>E28+(1-E28)*E27</f>
        <v>0.40849999999999997</v>
      </c>
      <c r="F30" s="3"/>
      <c r="G30" s="3"/>
      <c r="H30" s="3"/>
      <c r="I30" s="3"/>
      <c r="J30" s="609">
        <f>J28+(1-J28)*J27</f>
        <v>0.40849999999999997</v>
      </c>
      <c r="K30" s="3"/>
      <c r="L30" s="609">
        <f>L28+(1-L28)*L27</f>
        <v>0.40849999999999997</v>
      </c>
      <c r="M30" s="3"/>
      <c r="N30" s="609">
        <f>N28+(1-N28)*N27</f>
        <v>0.40849999999999997</v>
      </c>
      <c r="O30" s="3"/>
      <c r="P30" s="609">
        <f>P28+(1-P28)*P27</f>
        <v>0.28109999999999996</v>
      </c>
      <c r="Q30" s="3"/>
      <c r="R30" s="609">
        <v>0.28110000000000002</v>
      </c>
      <c r="S30" s="3"/>
      <c r="T30" s="609">
        <v>0.28110000000000002</v>
      </c>
      <c r="U30" s="3"/>
      <c r="V30" s="607">
        <f>P30</f>
        <v>0.28109999999999996</v>
      </c>
      <c r="W30" s="607">
        <f>V30</f>
        <v>0.28109999999999996</v>
      </c>
      <c r="X30" s="607"/>
      <c r="Y30" s="106"/>
    </row>
    <row r="31" spans="2:25"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609"/>
      <c r="S31" s="3"/>
      <c r="T31" s="609"/>
      <c r="U31" s="3"/>
      <c r="V31" s="3"/>
      <c r="W31" s="3"/>
      <c r="X31" s="3"/>
    </row>
    <row r="32" spans="2:25">
      <c r="B32" s="42" t="s">
        <v>134</v>
      </c>
      <c r="D32" s="3"/>
      <c r="E32" s="607">
        <f>+F18</f>
        <v>5.2779052810227066E-2</v>
      </c>
      <c r="F32" s="3"/>
      <c r="G32" s="3"/>
      <c r="H32" s="3"/>
      <c r="I32" s="3"/>
      <c r="J32" s="607">
        <f>+J18</f>
        <v>5.2159999999999998E-2</v>
      </c>
      <c r="K32" s="3"/>
      <c r="L32" s="607">
        <f>+L18</f>
        <v>5.1900000000000002E-2</v>
      </c>
      <c r="M32" s="3"/>
      <c r="N32" s="607">
        <f>+N18</f>
        <v>5.1200000000000002E-2</v>
      </c>
      <c r="O32" s="3"/>
      <c r="P32" s="607">
        <f>+P18</f>
        <v>5.1200000000000002E-2</v>
      </c>
      <c r="Q32" s="3"/>
      <c r="R32" s="609">
        <v>5.1840000000000004E-2</v>
      </c>
      <c r="S32" s="3"/>
      <c r="T32" s="609">
        <v>5.1840000000000004E-2</v>
      </c>
      <c r="U32" s="3"/>
      <c r="V32" s="607">
        <f>J32</f>
        <v>5.2159999999999998E-2</v>
      </c>
      <c r="W32" s="607">
        <f>E32</f>
        <v>5.2779052810227066E-2</v>
      </c>
      <c r="X32" s="607"/>
      <c r="Y32" s="106"/>
    </row>
    <row r="33" spans="2:25"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609"/>
      <c r="S33" s="3"/>
      <c r="T33" s="609"/>
      <c r="U33" s="3"/>
      <c r="V33" s="3"/>
      <c r="W33" s="3"/>
      <c r="X33" s="3"/>
    </row>
    <row r="34" spans="2:25">
      <c r="B34" s="42" t="s">
        <v>135</v>
      </c>
      <c r="D34" s="3"/>
      <c r="E34" s="608">
        <f>+E32/(1-E30)*E30</f>
        <v>3.6450115085338554E-2</v>
      </c>
      <c r="F34" s="3"/>
      <c r="G34" s="3"/>
      <c r="H34" s="607">
        <f>E34</f>
        <v>3.6450115085338554E-2</v>
      </c>
      <c r="I34" s="3"/>
      <c r="J34" s="609">
        <f>+J32/(1-J30)*J30</f>
        <v>3.6022586644125096E-2</v>
      </c>
      <c r="K34" s="3"/>
      <c r="L34" s="609">
        <f>+L32/(1-L30)*L30</f>
        <v>3.5843026204564664E-2</v>
      </c>
      <c r="M34" s="3"/>
      <c r="N34" s="609">
        <f>+N32/(1-N30)*N30</f>
        <v>3.5359594251901945E-2</v>
      </c>
      <c r="O34" s="3"/>
      <c r="P34" s="609">
        <f>+P32/(1-P30)*P30</f>
        <v>2.0019919321185142E-2</v>
      </c>
      <c r="Q34" s="3"/>
      <c r="R34" s="609">
        <v>2.0270168312699961E-2</v>
      </c>
      <c r="S34" s="3"/>
      <c r="T34" s="609">
        <v>2.0270168312699961E-2</v>
      </c>
      <c r="U34" s="3"/>
      <c r="V34" s="609">
        <f>+V32/(1-V30)*V30</f>
        <v>2.0395292808457359E-2</v>
      </c>
      <c r="W34" s="609">
        <f>+W32/(1-W30)*W30</f>
        <v>2.063735115447882E-2</v>
      </c>
      <c r="X34" s="609"/>
      <c r="Y34" s="111"/>
    </row>
    <row r="35" spans="2:25"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609"/>
      <c r="S35" s="3"/>
      <c r="T35" s="609"/>
      <c r="U35" s="3"/>
      <c r="V35" s="3"/>
      <c r="W35" s="3"/>
      <c r="X35" s="3"/>
    </row>
    <row r="36" spans="2:25">
      <c r="B36" s="104" t="s">
        <v>136</v>
      </c>
      <c r="D36" s="3"/>
      <c r="E36" s="3"/>
      <c r="F36" s="605">
        <f>+E34+F19</f>
        <v>0.1140278264633755</v>
      </c>
      <c r="G36" s="3"/>
      <c r="H36" s="607">
        <f>H34+H19</f>
        <v>0.1074877178955656</v>
      </c>
      <c r="I36" s="3"/>
      <c r="J36" s="607">
        <f>J34+J19</f>
        <v>0.1050225866441251</v>
      </c>
      <c r="K36" s="3"/>
      <c r="L36" s="607">
        <f>L34+L19</f>
        <v>0.10274302620456466</v>
      </c>
      <c r="M36" s="3"/>
      <c r="N36" s="607">
        <f>N34+N19</f>
        <v>0.10435959425190194</v>
      </c>
      <c r="O36" s="3"/>
      <c r="P36" s="607">
        <f>P34+P19</f>
        <v>8.9019919321185151E-2</v>
      </c>
      <c r="Q36" s="3"/>
      <c r="R36" s="607">
        <v>8.974112651269997E-2</v>
      </c>
      <c r="S36" s="3"/>
      <c r="T36" s="612">
        <f>T19+T34</f>
        <v>8.8670168312699971E-2</v>
      </c>
      <c r="U36" s="3"/>
      <c r="V36" s="3"/>
      <c r="W36" s="3"/>
      <c r="X36" s="3"/>
    </row>
    <row r="37" spans="2:25"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596"/>
      <c r="U37" s="3"/>
      <c r="V37" s="3"/>
      <c r="W37" s="3"/>
      <c r="X37" s="3"/>
    </row>
    <row r="38" spans="2:25"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>
        <f>R36/12</f>
        <v>7.4784272093916639E-3</v>
      </c>
      <c r="S38" s="3"/>
      <c r="T38" s="3">
        <f>T36/12</f>
        <v>7.3891806927249976E-3</v>
      </c>
      <c r="U38" s="3"/>
      <c r="V38" s="3"/>
      <c r="W38" s="3"/>
      <c r="X38" s="3"/>
    </row>
    <row r="39" spans="2:25"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596"/>
      <c r="U39" s="3"/>
      <c r="V39" s="3"/>
      <c r="W39" s="3"/>
      <c r="X39" s="3"/>
    </row>
    <row r="40" spans="2:25"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596"/>
      <c r="U40" s="3"/>
      <c r="V40" s="3"/>
      <c r="W40" s="3"/>
      <c r="X40" s="3"/>
    </row>
    <row r="41" spans="2:25"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596"/>
      <c r="U41" s="3"/>
      <c r="V41" s="3"/>
      <c r="W41" s="3"/>
      <c r="X41" s="3"/>
    </row>
    <row r="42" spans="2:25">
      <c r="D42" s="3" t="s">
        <v>137</v>
      </c>
      <c r="E42" s="3">
        <f>(1-0.35)*9</f>
        <v>5.8500000000000005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596"/>
      <c r="U42" s="3"/>
      <c r="V42" s="3"/>
      <c r="W42" s="3"/>
      <c r="X42" s="3"/>
    </row>
    <row r="43" spans="2:25">
      <c r="D43" s="3" t="s">
        <v>138</v>
      </c>
      <c r="E43" s="3">
        <v>35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596"/>
      <c r="U43" s="3"/>
      <c r="V43" s="3"/>
      <c r="W43" s="3"/>
      <c r="X43" s="3"/>
    </row>
    <row r="44" spans="2:25">
      <c r="D44" s="3" t="s">
        <v>139</v>
      </c>
      <c r="E44" s="3">
        <f>E42+E43</f>
        <v>40.85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596"/>
      <c r="U44" s="3"/>
      <c r="V44" s="3"/>
      <c r="W44" s="3"/>
      <c r="X44" s="3"/>
    </row>
    <row r="45" spans="2:25"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596"/>
      <c r="U45" s="3"/>
      <c r="V45" s="3"/>
      <c r="W45" s="3"/>
      <c r="X45" s="3"/>
    </row>
    <row r="46" spans="2:25"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596"/>
      <c r="U46" s="3"/>
      <c r="V46" s="3"/>
      <c r="W46" s="3"/>
      <c r="X46" s="3"/>
    </row>
    <row r="47" spans="2:25">
      <c r="T47" s="107"/>
    </row>
  </sheetData>
  <mergeCells count="3">
    <mergeCell ref="A3:L3"/>
    <mergeCell ref="A4:L4"/>
    <mergeCell ref="A7:L7"/>
  </mergeCells>
  <pageMargins left="0.84" right="0.66" top="1.33" bottom="1" header="0.5" footer="0.5"/>
  <pageSetup scale="7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tabColor theme="0" tint="-0.249977111117893"/>
    <pageSetUpPr fitToPage="1"/>
  </sheetPr>
  <dimension ref="A1:CR98"/>
  <sheetViews>
    <sheetView zoomScaleNormal="100" workbookViewId="0">
      <pane xSplit="3" ySplit="3" topLeftCell="D88" activePane="bottomRight" state="frozen"/>
      <selection activeCell="C23" sqref="C23"/>
      <selection pane="topRight" activeCell="C23" sqref="C23"/>
      <selection pane="bottomLeft" activeCell="C23" sqref="C23"/>
      <selection pane="bottomRight" activeCell="G101" sqref="G101"/>
    </sheetView>
  </sheetViews>
  <sheetFormatPr defaultColWidth="9.140625" defaultRowHeight="12.75" outlineLevelRow="1" outlineLevelCol="1"/>
  <cols>
    <col min="1" max="1" width="10" style="3" bestFit="1" customWidth="1"/>
    <col min="2" max="3" width="9.140625" style="3"/>
    <col min="4" max="4" width="10.28515625" style="3" customWidth="1"/>
    <col min="5" max="5" width="11.28515625" style="3" bestFit="1" customWidth="1"/>
    <col min="6" max="6" width="2.140625" style="3" customWidth="1"/>
    <col min="7" max="7" width="10" style="3" customWidth="1"/>
    <col min="8" max="8" width="2.42578125" style="3" customWidth="1"/>
    <col min="9" max="9" width="10.28515625" style="3" customWidth="1"/>
    <col min="10" max="10" width="1.5703125" style="3" customWidth="1"/>
    <col min="11" max="11" width="11.28515625" style="3" bestFit="1" customWidth="1"/>
    <col min="12" max="12" width="11.85546875" style="3" customWidth="1"/>
    <col min="13" max="13" width="7.28515625" style="3" customWidth="1"/>
    <col min="14" max="43" width="11.7109375" style="3" hidden="1" customWidth="1" outlineLevel="1"/>
    <col min="44" max="44" width="11.7109375" style="3" customWidth="1" collapsed="1"/>
    <col min="45" max="47" width="11.7109375" style="3" customWidth="1"/>
    <col min="48" max="48" width="5.5703125" style="3" customWidth="1"/>
    <col min="49" max="49" width="11.7109375" style="39" customWidth="1"/>
    <col min="50" max="52" width="11.7109375" style="3" customWidth="1"/>
    <col min="53" max="83" width="11.7109375" style="3" customWidth="1" outlineLevel="1"/>
    <col min="84" max="87" width="11.7109375" style="3" customWidth="1"/>
    <col min="88" max="88" width="4.7109375" style="3" customWidth="1"/>
    <col min="89" max="89" width="11.7109375" style="3" customWidth="1"/>
    <col min="90" max="90" width="7.28515625" style="3" customWidth="1"/>
    <col min="91" max="95" width="11.7109375" style="3" customWidth="1"/>
    <col min="96" max="16384" width="9.140625" style="3"/>
  </cols>
  <sheetData>
    <row r="1" spans="1:96">
      <c r="D1" s="694" t="s">
        <v>77</v>
      </c>
      <c r="E1" s="694"/>
      <c r="F1" s="694"/>
      <c r="G1" s="694"/>
      <c r="H1" s="694"/>
      <c r="I1" s="694"/>
      <c r="J1" s="694"/>
      <c r="K1" s="694"/>
      <c r="L1" s="5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  <c r="AV1" s="694"/>
      <c r="AW1" s="694"/>
      <c r="AX1" s="5"/>
      <c r="AY1" s="5"/>
      <c r="AZ1" s="5"/>
      <c r="BB1" s="694"/>
      <c r="BC1" s="694"/>
      <c r="BD1" s="694"/>
      <c r="BE1" s="694"/>
      <c r="BF1" s="694"/>
      <c r="BG1" s="694"/>
      <c r="BH1" s="694"/>
      <c r="BI1" s="694"/>
      <c r="BJ1" s="694"/>
      <c r="BK1" s="694"/>
      <c r="BL1" s="694"/>
      <c r="BM1" s="694"/>
      <c r="BN1" s="694"/>
      <c r="BO1" s="694"/>
      <c r="BP1" s="694"/>
      <c r="BQ1" s="694"/>
      <c r="BR1" s="694"/>
      <c r="BS1" s="694"/>
      <c r="BT1" s="694"/>
      <c r="BU1" s="694"/>
      <c r="BV1" s="694"/>
      <c r="BW1" s="694"/>
      <c r="BX1" s="694"/>
      <c r="BY1" s="694"/>
      <c r="BZ1" s="694"/>
      <c r="CA1" s="694"/>
      <c r="CB1" s="694"/>
      <c r="CC1" s="694"/>
      <c r="CD1" s="694"/>
      <c r="CE1" s="694"/>
      <c r="CF1" s="694"/>
      <c r="CG1" s="694"/>
      <c r="CH1" s="694"/>
      <c r="CI1" s="694"/>
      <c r="CJ1" s="694"/>
      <c r="CK1" s="694"/>
    </row>
    <row r="2" spans="1:96" ht="76.5">
      <c r="A2" s="325"/>
      <c r="B2" s="325"/>
      <c r="C2" s="7" t="s">
        <v>16</v>
      </c>
      <c r="D2" s="51" t="s">
        <v>224</v>
      </c>
      <c r="E2" s="51" t="s">
        <v>225</v>
      </c>
      <c r="F2" s="51"/>
      <c r="G2" s="52" t="s">
        <v>226</v>
      </c>
      <c r="H2" s="51"/>
      <c r="I2" s="52" t="s">
        <v>140</v>
      </c>
      <c r="J2" s="52"/>
      <c r="K2" s="52" t="s">
        <v>69</v>
      </c>
      <c r="L2" s="52" t="s">
        <v>86</v>
      </c>
      <c r="M2" s="325"/>
      <c r="N2" s="220">
        <v>41456</v>
      </c>
      <c r="O2" s="220">
        <f t="shared" ref="O2:AA2" si="0">+N2+31</f>
        <v>41487</v>
      </c>
      <c r="P2" s="220">
        <f t="shared" si="0"/>
        <v>41518</v>
      </c>
      <c r="Q2" s="220">
        <f t="shared" si="0"/>
        <v>41549</v>
      </c>
      <c r="R2" s="220">
        <f t="shared" si="0"/>
        <v>41580</v>
      </c>
      <c r="S2" s="220">
        <f t="shared" si="0"/>
        <v>41611</v>
      </c>
      <c r="T2" s="220">
        <f t="shared" si="0"/>
        <v>41642</v>
      </c>
      <c r="U2" s="220">
        <f t="shared" si="0"/>
        <v>41673</v>
      </c>
      <c r="V2" s="220">
        <f t="shared" si="0"/>
        <v>41704</v>
      </c>
      <c r="W2" s="220">
        <f t="shared" si="0"/>
        <v>41735</v>
      </c>
      <c r="X2" s="220">
        <f t="shared" si="0"/>
        <v>41766</v>
      </c>
      <c r="Y2" s="220">
        <f t="shared" si="0"/>
        <v>41797</v>
      </c>
      <c r="Z2" s="220">
        <f t="shared" si="0"/>
        <v>41828</v>
      </c>
      <c r="AA2" s="220">
        <f t="shared" si="0"/>
        <v>41859</v>
      </c>
      <c r="AB2" s="220">
        <f>+AA2+31</f>
        <v>41890</v>
      </c>
      <c r="AC2" s="220">
        <f>+AB2+31</f>
        <v>41921</v>
      </c>
      <c r="AD2" s="220">
        <f>+AC2+31</f>
        <v>41952</v>
      </c>
      <c r="AE2" s="220">
        <f>+AD2+31</f>
        <v>41983</v>
      </c>
      <c r="AF2" s="220">
        <f t="shared" ref="AF2:AN2" si="1">+AE2+31</f>
        <v>42014</v>
      </c>
      <c r="AG2" s="220">
        <f t="shared" si="1"/>
        <v>42045</v>
      </c>
      <c r="AH2" s="220">
        <f t="shared" si="1"/>
        <v>42076</v>
      </c>
      <c r="AI2" s="220">
        <f t="shared" si="1"/>
        <v>42107</v>
      </c>
      <c r="AJ2" s="220">
        <f t="shared" si="1"/>
        <v>42138</v>
      </c>
      <c r="AK2" s="220">
        <f t="shared" si="1"/>
        <v>42169</v>
      </c>
      <c r="AL2" s="220">
        <f t="shared" si="1"/>
        <v>42200</v>
      </c>
      <c r="AM2" s="220">
        <f t="shared" si="1"/>
        <v>42231</v>
      </c>
      <c r="AN2" s="220">
        <f t="shared" si="1"/>
        <v>42262</v>
      </c>
      <c r="AO2" s="220">
        <f t="shared" ref="AO2:AU2" si="2">+AN2+31</f>
        <v>42293</v>
      </c>
      <c r="AP2" s="220">
        <f t="shared" si="2"/>
        <v>42324</v>
      </c>
      <c r="AQ2" s="220">
        <f t="shared" si="2"/>
        <v>42355</v>
      </c>
      <c r="AR2" s="220">
        <f t="shared" si="2"/>
        <v>42386</v>
      </c>
      <c r="AS2" s="220">
        <f t="shared" si="2"/>
        <v>42417</v>
      </c>
      <c r="AT2" s="220">
        <f t="shared" si="2"/>
        <v>42448</v>
      </c>
      <c r="AU2" s="220">
        <f t="shared" si="2"/>
        <v>42479</v>
      </c>
      <c r="AV2" s="220"/>
      <c r="AW2" s="329" t="s">
        <v>69</v>
      </c>
      <c r="AX2" s="325" t="s">
        <v>87</v>
      </c>
      <c r="AY2" s="325" t="s">
        <v>32</v>
      </c>
      <c r="AZ2" s="325" t="s">
        <v>88</v>
      </c>
      <c r="BA2" s="325"/>
      <c r="BB2" s="220">
        <v>41456</v>
      </c>
      <c r="BC2" s="220">
        <f t="shared" ref="BC2:BO2" si="3">+BB2+31</f>
        <v>41487</v>
      </c>
      <c r="BD2" s="220">
        <f t="shared" si="3"/>
        <v>41518</v>
      </c>
      <c r="BE2" s="220">
        <f t="shared" si="3"/>
        <v>41549</v>
      </c>
      <c r="BF2" s="220">
        <f t="shared" si="3"/>
        <v>41580</v>
      </c>
      <c r="BG2" s="220">
        <f t="shared" si="3"/>
        <v>41611</v>
      </c>
      <c r="BH2" s="220">
        <f t="shared" si="3"/>
        <v>41642</v>
      </c>
      <c r="BI2" s="220">
        <f t="shared" si="3"/>
        <v>41673</v>
      </c>
      <c r="BJ2" s="220">
        <f t="shared" si="3"/>
        <v>41704</v>
      </c>
      <c r="BK2" s="220">
        <f t="shared" si="3"/>
        <v>41735</v>
      </c>
      <c r="BL2" s="220">
        <f t="shared" si="3"/>
        <v>41766</v>
      </c>
      <c r="BM2" s="220">
        <f t="shared" si="3"/>
        <v>41797</v>
      </c>
      <c r="BN2" s="220">
        <f t="shared" si="3"/>
        <v>41828</v>
      </c>
      <c r="BO2" s="220">
        <f t="shared" si="3"/>
        <v>41859</v>
      </c>
      <c r="BP2" s="220">
        <f>+BO2+31</f>
        <v>41890</v>
      </c>
      <c r="BQ2" s="220">
        <f>+BP2+31</f>
        <v>41921</v>
      </c>
      <c r="BR2" s="220">
        <f>+BQ2+31</f>
        <v>41952</v>
      </c>
      <c r="BS2" s="220">
        <f>+BR2+31</f>
        <v>41983</v>
      </c>
      <c r="BT2" s="220">
        <f t="shared" ref="BT2:CB2" si="4">+BS2+31</f>
        <v>42014</v>
      </c>
      <c r="BU2" s="220">
        <f t="shared" si="4"/>
        <v>42045</v>
      </c>
      <c r="BV2" s="220">
        <f t="shared" si="4"/>
        <v>42076</v>
      </c>
      <c r="BW2" s="220">
        <f t="shared" si="4"/>
        <v>42107</v>
      </c>
      <c r="BX2" s="220">
        <f t="shared" si="4"/>
        <v>42138</v>
      </c>
      <c r="BY2" s="220">
        <f t="shared" si="4"/>
        <v>42169</v>
      </c>
      <c r="BZ2" s="220">
        <f t="shared" si="4"/>
        <v>42200</v>
      </c>
      <c r="CA2" s="220">
        <f t="shared" si="4"/>
        <v>42231</v>
      </c>
      <c r="CB2" s="220">
        <f t="shared" si="4"/>
        <v>42262</v>
      </c>
      <c r="CC2" s="220">
        <f t="shared" ref="CC2:CI2" si="5">+CB2+31</f>
        <v>42293</v>
      </c>
      <c r="CD2" s="220">
        <f t="shared" si="5"/>
        <v>42324</v>
      </c>
      <c r="CE2" s="220">
        <f t="shared" si="5"/>
        <v>42355</v>
      </c>
      <c r="CF2" s="220">
        <f t="shared" si="5"/>
        <v>42386</v>
      </c>
      <c r="CG2" s="220">
        <f t="shared" si="5"/>
        <v>42417</v>
      </c>
      <c r="CH2" s="220">
        <f t="shared" si="5"/>
        <v>42448</v>
      </c>
      <c r="CI2" s="220">
        <f t="shared" si="5"/>
        <v>42479</v>
      </c>
      <c r="CJ2" s="220"/>
      <c r="CK2" s="325" t="s">
        <v>69</v>
      </c>
      <c r="CL2" s="325"/>
      <c r="CM2" s="330" t="s">
        <v>89</v>
      </c>
      <c r="CN2" s="330" t="s">
        <v>90</v>
      </c>
      <c r="CO2" s="330" t="s">
        <v>91</v>
      </c>
      <c r="CP2" s="330" t="s">
        <v>92</v>
      </c>
      <c r="CQ2" s="330" t="s">
        <v>12</v>
      </c>
      <c r="CR2" s="325"/>
    </row>
    <row r="3" spans="1:96" ht="15.75">
      <c r="A3" s="3" t="s">
        <v>27</v>
      </c>
      <c r="C3" s="7" t="s">
        <v>28</v>
      </c>
      <c r="D3" s="54" t="s">
        <v>67</v>
      </c>
      <c r="E3" s="54" t="s">
        <v>67</v>
      </c>
      <c r="F3" s="54"/>
      <c r="G3" s="12"/>
      <c r="H3" s="12"/>
      <c r="I3" s="54" t="s">
        <v>67</v>
      </c>
      <c r="J3" s="12"/>
      <c r="K3" s="12"/>
      <c r="L3" s="9"/>
    </row>
    <row r="4" spans="1:96">
      <c r="A4" s="7"/>
      <c r="B4" s="7"/>
      <c r="C4" s="7"/>
      <c r="D4" s="114"/>
      <c r="E4" s="18"/>
      <c r="F4" s="20"/>
      <c r="G4" s="114"/>
      <c r="H4" s="114"/>
      <c r="I4" s="114"/>
      <c r="J4" s="114"/>
      <c r="K4" s="18"/>
      <c r="L4" s="23"/>
    </row>
    <row r="5" spans="1:96" outlineLevel="1">
      <c r="A5" s="7" t="s">
        <v>59</v>
      </c>
      <c r="B5" s="7">
        <v>2013</v>
      </c>
      <c r="C5" s="7" t="s">
        <v>47</v>
      </c>
      <c r="D5" s="114">
        <v>12000</v>
      </c>
      <c r="E5" s="18">
        <v>815523</v>
      </c>
      <c r="F5" s="114"/>
      <c r="G5" s="114">
        <f>SUM(D5:F5)</f>
        <v>827523</v>
      </c>
      <c r="H5" s="114"/>
      <c r="I5" s="114">
        <f>510300+900</f>
        <v>511200</v>
      </c>
      <c r="J5" s="114"/>
      <c r="K5" s="18">
        <f t="shared" ref="K5:K36" si="6">SUM(G5:I5)</f>
        <v>1338723</v>
      </c>
      <c r="L5" s="18">
        <f>SUM(K$5:K5)</f>
        <v>1338723</v>
      </c>
      <c r="N5" s="18">
        <f>+$K5/60</f>
        <v>22312.05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>
        <f t="shared" ref="AW5:AW36" si="7">SUM(N5:AV5)</f>
        <v>22312.05</v>
      </c>
      <c r="AX5" s="18">
        <f>SUM(AW$5:AW5)</f>
        <v>22312.05</v>
      </c>
      <c r="AY5" s="18">
        <f t="shared" ref="AY5:AY36" si="8">+L5-AX5</f>
        <v>1316410.95</v>
      </c>
      <c r="AZ5" s="18">
        <f>+L5-AX4</f>
        <v>1338723</v>
      </c>
      <c r="BB5" s="18">
        <f>+$K5/12</f>
        <v>111560.25</v>
      </c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>
        <f t="shared" ref="CK5:CK36" si="9">SUM(BB5:CJ5)</f>
        <v>111560.25</v>
      </c>
      <c r="CM5" s="22">
        <f t="shared" ref="CM5:CM60" si="10">+CK5</f>
        <v>111560.25</v>
      </c>
      <c r="CN5" s="22">
        <f t="shared" ref="CN5:CN36" si="11">+AW5</f>
        <v>22312.05</v>
      </c>
      <c r="CO5" s="18">
        <f t="shared" ref="CO5:CO60" si="12">+CN5-CM5</f>
        <v>-89248.2</v>
      </c>
      <c r="CP5" s="18">
        <f>+CO5*'Capital Structure '!$E$30</f>
        <v>-36457.8897</v>
      </c>
      <c r="CQ5" s="18">
        <f>SUM(CP$5:CP5)</f>
        <v>-36457.8897</v>
      </c>
    </row>
    <row r="6" spans="1:96" outlineLevel="1">
      <c r="A6" s="7" t="s">
        <v>46</v>
      </c>
      <c r="B6" s="7">
        <f t="shared" ref="B6:B22" si="13">+B5</f>
        <v>2013</v>
      </c>
      <c r="C6" s="7" t="s">
        <v>47</v>
      </c>
      <c r="D6" s="114">
        <v>12000</v>
      </c>
      <c r="E6" s="18">
        <v>563867</v>
      </c>
      <c r="F6" s="114"/>
      <c r="G6" s="114">
        <f>SUM(D6:F6)</f>
        <v>575867</v>
      </c>
      <c r="H6" s="114"/>
      <c r="I6" s="114">
        <v>416300</v>
      </c>
      <c r="J6" s="114"/>
      <c r="K6" s="18">
        <f t="shared" si="6"/>
        <v>992167</v>
      </c>
      <c r="L6" s="18">
        <f>SUM(K$5:K6)</f>
        <v>2330890</v>
      </c>
      <c r="N6" s="18">
        <f t="shared" ref="N6:W15" si="14">+N5</f>
        <v>22312.05</v>
      </c>
      <c r="O6" s="18">
        <f>+$K6/60</f>
        <v>16536.116666666665</v>
      </c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>
        <f t="shared" si="7"/>
        <v>38848.166666666664</v>
      </c>
      <c r="AX6" s="18">
        <f>SUM(AW$5:AW6)</f>
        <v>61160.21666666666</v>
      </c>
      <c r="AY6" s="18">
        <f t="shared" si="8"/>
        <v>2269729.7833333332</v>
      </c>
      <c r="AZ6" s="18">
        <f t="shared" ref="AZ6:AZ37" si="15">+L6-AX5</f>
        <v>2308577.9500000002</v>
      </c>
      <c r="BB6" s="18">
        <f t="shared" ref="BB6:BF15" si="16">+BB5</f>
        <v>111560.25</v>
      </c>
      <c r="BC6" s="18">
        <f>+$K6/12</f>
        <v>82680.583333333328</v>
      </c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>
        <f t="shared" si="9"/>
        <v>194240.83333333331</v>
      </c>
      <c r="CM6" s="22">
        <f t="shared" si="10"/>
        <v>194240.83333333331</v>
      </c>
      <c r="CN6" s="22">
        <f t="shared" si="11"/>
        <v>38848.166666666664</v>
      </c>
      <c r="CO6" s="18">
        <f t="shared" si="12"/>
        <v>-155392.66666666666</v>
      </c>
      <c r="CP6" s="18">
        <f>+CO6*'Capital Structure '!$E$30</f>
        <v>-63477.904333333325</v>
      </c>
      <c r="CQ6" s="18">
        <f>SUM(CP$5:CP6)</f>
        <v>-99935.794033333324</v>
      </c>
    </row>
    <row r="7" spans="1:96" outlineLevel="1">
      <c r="A7" s="7" t="s">
        <v>48</v>
      </c>
      <c r="B7" s="7">
        <f t="shared" si="13"/>
        <v>2013</v>
      </c>
      <c r="C7" s="7" t="s">
        <v>47</v>
      </c>
      <c r="D7" s="114">
        <v>16000</v>
      </c>
      <c r="E7" s="18">
        <v>720461.87</v>
      </c>
      <c r="F7" s="114"/>
      <c r="G7" s="114">
        <f t="shared" ref="G7:G12" si="17">SUM(D7:F7)</f>
        <v>736461.87</v>
      </c>
      <c r="H7" s="114"/>
      <c r="I7" s="114">
        <v>499300</v>
      </c>
      <c r="J7" s="114"/>
      <c r="K7" s="18">
        <f t="shared" si="6"/>
        <v>1235761.8700000001</v>
      </c>
      <c r="L7" s="18">
        <f>SUM(K$5:K7)</f>
        <v>3566651.87</v>
      </c>
      <c r="N7" s="18">
        <f t="shared" si="14"/>
        <v>22312.05</v>
      </c>
      <c r="O7" s="18">
        <f t="shared" si="14"/>
        <v>16536.116666666665</v>
      </c>
      <c r="P7" s="18">
        <f>+$K7/60</f>
        <v>20596.031166666668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>
        <f t="shared" si="7"/>
        <v>59444.197833333332</v>
      </c>
      <c r="AX7" s="18">
        <f>SUM(AW$5:AW7)</f>
        <v>120604.41449999998</v>
      </c>
      <c r="AY7" s="18">
        <f t="shared" si="8"/>
        <v>3446047.4555000002</v>
      </c>
      <c r="AZ7" s="18">
        <f t="shared" si="15"/>
        <v>3505491.6533333333</v>
      </c>
      <c r="BB7" s="18">
        <f t="shared" si="16"/>
        <v>111560.25</v>
      </c>
      <c r="BC7" s="18">
        <f t="shared" si="16"/>
        <v>82680.583333333328</v>
      </c>
      <c r="BD7" s="18">
        <f>+$K7/12</f>
        <v>102980.15583333334</v>
      </c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>
        <f t="shared" si="9"/>
        <v>297220.98916666664</v>
      </c>
      <c r="CM7" s="22">
        <f>+CK7</f>
        <v>297220.98916666664</v>
      </c>
      <c r="CN7" s="22">
        <f t="shared" si="11"/>
        <v>59444.197833333332</v>
      </c>
      <c r="CO7" s="18">
        <f>+CN7-CM7</f>
        <v>-237776.7913333333</v>
      </c>
      <c r="CP7" s="18">
        <f>+CO7*'Capital Structure '!$E$30</f>
        <v>-97131.819259666649</v>
      </c>
      <c r="CQ7" s="18">
        <f>SUM(CP$5:CP7)</f>
        <v>-197067.61329299997</v>
      </c>
    </row>
    <row r="8" spans="1:96" outlineLevel="1">
      <c r="A8" s="7" t="s">
        <v>50</v>
      </c>
      <c r="B8" s="7">
        <f t="shared" si="13"/>
        <v>2013</v>
      </c>
      <c r="C8" s="7" t="s">
        <v>47</v>
      </c>
      <c r="D8" s="114">
        <v>4000</v>
      </c>
      <c r="E8" s="18">
        <v>899500</v>
      </c>
      <c r="F8" s="331"/>
      <c r="G8" s="114">
        <f t="shared" si="17"/>
        <v>903500</v>
      </c>
      <c r="H8" s="114"/>
      <c r="I8" s="114">
        <v>523200</v>
      </c>
      <c r="J8" s="114"/>
      <c r="K8" s="18">
        <f t="shared" si="6"/>
        <v>1426700</v>
      </c>
      <c r="L8" s="18">
        <f>SUM(K$5:K8)</f>
        <v>4993351.87</v>
      </c>
      <c r="N8" s="18">
        <f t="shared" si="14"/>
        <v>22312.05</v>
      </c>
      <c r="O8" s="18">
        <f t="shared" si="14"/>
        <v>16536.116666666665</v>
      </c>
      <c r="P8" s="18">
        <f>+P7</f>
        <v>20596.031166666668</v>
      </c>
      <c r="Q8" s="18">
        <f>+$K8/60</f>
        <v>23778.333333333332</v>
      </c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>
        <f t="shared" si="7"/>
        <v>83222.531166666668</v>
      </c>
      <c r="AX8" s="18">
        <f>SUM(AW$5:AW8)</f>
        <v>203826.94566666667</v>
      </c>
      <c r="AY8" s="18">
        <f t="shared" si="8"/>
        <v>4789524.924333333</v>
      </c>
      <c r="AZ8" s="18">
        <f t="shared" si="15"/>
        <v>4872747.4555000002</v>
      </c>
      <c r="BB8" s="18">
        <f t="shared" si="16"/>
        <v>111560.25</v>
      </c>
      <c r="BC8" s="18">
        <f t="shared" si="16"/>
        <v>82680.583333333328</v>
      </c>
      <c r="BD8" s="18">
        <f t="shared" si="16"/>
        <v>102980.15583333334</v>
      </c>
      <c r="BE8" s="18">
        <f>+$K8/12</f>
        <v>118891.66666666667</v>
      </c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>
        <f t="shared" si="9"/>
        <v>416112.65583333332</v>
      </c>
      <c r="CM8" s="22">
        <f>+CK8</f>
        <v>416112.65583333332</v>
      </c>
      <c r="CN8" s="22">
        <f t="shared" si="11"/>
        <v>83222.531166666668</v>
      </c>
      <c r="CO8" s="18">
        <f>+CN8-CM8</f>
        <v>-332890.12466666667</v>
      </c>
      <c r="CP8" s="18">
        <f>+CO8*'Capital Structure '!$E$30</f>
        <v>-135985.61592633332</v>
      </c>
      <c r="CQ8" s="18">
        <f>SUM(CP$5:CP8)</f>
        <v>-333053.22921933327</v>
      </c>
    </row>
    <row r="9" spans="1:96" outlineLevel="1">
      <c r="A9" s="7" t="s">
        <v>51</v>
      </c>
      <c r="B9" s="7">
        <f t="shared" si="13"/>
        <v>2013</v>
      </c>
      <c r="C9" s="7" t="s">
        <v>47</v>
      </c>
      <c r="D9" s="114">
        <v>6000</v>
      </c>
      <c r="E9" s="18">
        <v>944850</v>
      </c>
      <c r="F9" s="331"/>
      <c r="G9" s="114">
        <f t="shared" si="17"/>
        <v>950850</v>
      </c>
      <c r="H9" s="114"/>
      <c r="I9" s="114">
        <v>238100</v>
      </c>
      <c r="J9" s="114"/>
      <c r="K9" s="18">
        <f t="shared" si="6"/>
        <v>1188950</v>
      </c>
      <c r="L9" s="18">
        <f>SUM(K$5:K9)</f>
        <v>6182301.8700000001</v>
      </c>
      <c r="N9" s="18">
        <f t="shared" si="14"/>
        <v>22312.05</v>
      </c>
      <c r="O9" s="18">
        <f t="shared" si="14"/>
        <v>16536.116666666665</v>
      </c>
      <c r="P9" s="18">
        <f t="shared" si="14"/>
        <v>20596.031166666668</v>
      </c>
      <c r="Q9" s="18">
        <f t="shared" si="14"/>
        <v>23778.333333333332</v>
      </c>
      <c r="R9" s="18">
        <f>+$K9/60</f>
        <v>19815.833333333332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>
        <f t="shared" si="7"/>
        <v>103038.3645</v>
      </c>
      <c r="AX9" s="18">
        <f>SUM(AW$5:AW9)</f>
        <v>306865.31016666663</v>
      </c>
      <c r="AY9" s="18">
        <f t="shared" si="8"/>
        <v>5875436.5598333338</v>
      </c>
      <c r="AZ9" s="18">
        <f t="shared" si="15"/>
        <v>5978474.924333333</v>
      </c>
      <c r="BB9" s="18">
        <f t="shared" si="16"/>
        <v>111560.25</v>
      </c>
      <c r="BC9" s="18">
        <f t="shared" si="16"/>
        <v>82680.583333333328</v>
      </c>
      <c r="BD9" s="18">
        <f t="shared" si="16"/>
        <v>102980.15583333334</v>
      </c>
      <c r="BE9" s="18">
        <f t="shared" si="16"/>
        <v>118891.66666666667</v>
      </c>
      <c r="BF9" s="18">
        <f>+$K9/12</f>
        <v>99079.166666666672</v>
      </c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>
        <f t="shared" si="9"/>
        <v>515191.82250000001</v>
      </c>
      <c r="CM9" s="22">
        <f t="shared" si="10"/>
        <v>515191.82250000001</v>
      </c>
      <c r="CN9" s="22">
        <f t="shared" si="11"/>
        <v>103038.3645</v>
      </c>
      <c r="CO9" s="18">
        <f t="shared" si="12"/>
        <v>-412153.45799999998</v>
      </c>
      <c r="CP9" s="18">
        <f>+CO9*'Capital Structure '!$E$30</f>
        <v>-168364.68759299998</v>
      </c>
      <c r="CQ9" s="18">
        <f>SUM(CP$5:CP9)</f>
        <v>-501417.91681233328</v>
      </c>
    </row>
    <row r="10" spans="1:96" outlineLevel="1">
      <c r="A10" s="124" t="s">
        <v>52</v>
      </c>
      <c r="B10" s="124">
        <f t="shared" si="13"/>
        <v>2013</v>
      </c>
      <c r="C10" s="124" t="s">
        <v>47</v>
      </c>
      <c r="D10" s="116">
        <v>20000</v>
      </c>
      <c r="E10" s="121">
        <v>1013870</v>
      </c>
      <c r="F10" s="116"/>
      <c r="G10" s="116">
        <f t="shared" si="17"/>
        <v>1033870</v>
      </c>
      <c r="H10" s="116"/>
      <c r="I10" s="116">
        <v>182900</v>
      </c>
      <c r="J10" s="116"/>
      <c r="K10" s="121">
        <f t="shared" si="6"/>
        <v>1216770</v>
      </c>
      <c r="L10" s="121">
        <f>SUM(K$5:K10)</f>
        <v>7399071.8700000001</v>
      </c>
      <c r="M10" s="211"/>
      <c r="N10" s="121">
        <f t="shared" si="14"/>
        <v>22312.05</v>
      </c>
      <c r="O10" s="121">
        <f t="shared" si="14"/>
        <v>16536.116666666665</v>
      </c>
      <c r="P10" s="121">
        <f t="shared" si="14"/>
        <v>20596.031166666668</v>
      </c>
      <c r="Q10" s="121">
        <f t="shared" si="14"/>
        <v>23778.333333333332</v>
      </c>
      <c r="R10" s="121">
        <f t="shared" si="14"/>
        <v>19815.833333333332</v>
      </c>
      <c r="S10" s="121">
        <f>+$K10/60</f>
        <v>20279.5</v>
      </c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>
        <f t="shared" si="7"/>
        <v>123317.8645</v>
      </c>
      <c r="AX10" s="121">
        <f>SUM(AW$5:AW10)</f>
        <v>430183.17466666666</v>
      </c>
      <c r="AY10" s="121">
        <f t="shared" si="8"/>
        <v>6968888.6953333337</v>
      </c>
      <c r="AZ10" s="121">
        <f t="shared" si="15"/>
        <v>7092206.5598333338</v>
      </c>
      <c r="BA10" s="126"/>
      <c r="BB10" s="121">
        <f t="shared" si="16"/>
        <v>111560.25</v>
      </c>
      <c r="BC10" s="121">
        <f t="shared" si="16"/>
        <v>82680.583333333328</v>
      </c>
      <c r="BD10" s="121">
        <f t="shared" si="16"/>
        <v>102980.15583333334</v>
      </c>
      <c r="BE10" s="121">
        <f t="shared" si="16"/>
        <v>118891.66666666667</v>
      </c>
      <c r="BF10" s="121">
        <f t="shared" si="16"/>
        <v>99079.166666666672</v>
      </c>
      <c r="BG10" s="121">
        <f>+$K10/12</f>
        <v>101397.5</v>
      </c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>
        <f t="shared" si="9"/>
        <v>616589.32250000001</v>
      </c>
      <c r="CL10" s="126"/>
      <c r="CM10" s="211">
        <f>+CK10</f>
        <v>616589.32250000001</v>
      </c>
      <c r="CN10" s="211">
        <f t="shared" si="11"/>
        <v>123317.8645</v>
      </c>
      <c r="CO10" s="121">
        <f t="shared" si="12"/>
        <v>-493271.45799999998</v>
      </c>
      <c r="CP10" s="121">
        <f>+CO10*'Capital Structure '!$E$30</f>
        <v>-201501.39059299999</v>
      </c>
      <c r="CQ10" s="121">
        <f>SUM(CP$5:CP10)</f>
        <v>-702919.30740533327</v>
      </c>
      <c r="CR10" s="4"/>
    </row>
    <row r="11" spans="1:96" outlineLevel="1">
      <c r="A11" s="7" t="s">
        <v>53</v>
      </c>
      <c r="B11" s="7">
        <f>+B10+1</f>
        <v>2014</v>
      </c>
      <c r="C11" s="73" t="s">
        <v>47</v>
      </c>
      <c r="D11" s="114">
        <v>17000</v>
      </c>
      <c r="E11" s="18">
        <v>629539.5</v>
      </c>
      <c r="F11" s="114"/>
      <c r="G11" s="114">
        <f t="shared" si="17"/>
        <v>646539.5</v>
      </c>
      <c r="H11" s="114"/>
      <c r="I11" s="114">
        <v>252900</v>
      </c>
      <c r="J11" s="114"/>
      <c r="K11" s="18">
        <f t="shared" si="6"/>
        <v>899439.5</v>
      </c>
      <c r="L11" s="18">
        <f>SUM(K$5:K11)</f>
        <v>8298511.3700000001</v>
      </c>
      <c r="N11" s="18">
        <f t="shared" si="14"/>
        <v>22312.05</v>
      </c>
      <c r="O11" s="18">
        <f t="shared" si="14"/>
        <v>16536.116666666665</v>
      </c>
      <c r="P11" s="18">
        <f t="shared" si="14"/>
        <v>20596.031166666668</v>
      </c>
      <c r="Q11" s="18">
        <f t="shared" si="14"/>
        <v>23778.333333333332</v>
      </c>
      <c r="R11" s="18">
        <f t="shared" si="14"/>
        <v>19815.833333333332</v>
      </c>
      <c r="S11" s="18">
        <f t="shared" si="14"/>
        <v>20279.5</v>
      </c>
      <c r="T11" s="18">
        <f>+$K11/60</f>
        <v>14990.658333333333</v>
      </c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>
        <f t="shared" si="7"/>
        <v>138308.52283333332</v>
      </c>
      <c r="AX11" s="18">
        <f>SUM(AW$5:AW11)</f>
        <v>568491.69750000001</v>
      </c>
      <c r="AY11" s="18">
        <f t="shared" si="8"/>
        <v>7730019.6725000003</v>
      </c>
      <c r="AZ11" s="18">
        <f t="shared" si="15"/>
        <v>7868328.1953333337</v>
      </c>
      <c r="BB11" s="18">
        <f t="shared" si="16"/>
        <v>111560.25</v>
      </c>
      <c r="BC11" s="18">
        <f t="shared" si="16"/>
        <v>82680.583333333328</v>
      </c>
      <c r="BD11" s="18">
        <f t="shared" si="16"/>
        <v>102980.15583333334</v>
      </c>
      <c r="BE11" s="18">
        <f t="shared" si="16"/>
        <v>118891.66666666667</v>
      </c>
      <c r="BF11" s="18">
        <f t="shared" si="16"/>
        <v>99079.166666666672</v>
      </c>
      <c r="BG11" s="18">
        <f>+BG10</f>
        <v>101397.5</v>
      </c>
      <c r="BH11" s="18">
        <f>+$K11/12</f>
        <v>74953.291666666672</v>
      </c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>
        <f t="shared" si="9"/>
        <v>691542.61416666664</v>
      </c>
      <c r="CM11" s="22">
        <f>+CK11</f>
        <v>691542.61416666664</v>
      </c>
      <c r="CN11" s="22">
        <f t="shared" si="11"/>
        <v>138308.52283333332</v>
      </c>
      <c r="CO11" s="18">
        <f>+CN11-CM11</f>
        <v>-553234.09133333329</v>
      </c>
      <c r="CP11" s="18">
        <f>+CO11*'Capital Structure '!$E$30</f>
        <v>-225996.12630966664</v>
      </c>
      <c r="CQ11" s="18">
        <f>SUM(CP$5:CP11)</f>
        <v>-928915.43371499993</v>
      </c>
    </row>
    <row r="12" spans="1:96" outlineLevel="1">
      <c r="A12" s="7" t="s">
        <v>54</v>
      </c>
      <c r="B12" s="7">
        <f>+B11</f>
        <v>2014</v>
      </c>
      <c r="C12" s="73" t="s">
        <v>47</v>
      </c>
      <c r="D12" s="114">
        <v>14000</v>
      </c>
      <c r="E12" s="18">
        <v>891202</v>
      </c>
      <c r="F12" s="114"/>
      <c r="G12" s="114">
        <f t="shared" si="17"/>
        <v>905202</v>
      </c>
      <c r="H12" s="114"/>
      <c r="I12" s="114">
        <v>257600</v>
      </c>
      <c r="J12" s="114"/>
      <c r="K12" s="18">
        <f t="shared" si="6"/>
        <v>1162802</v>
      </c>
      <c r="L12" s="18">
        <f>SUM(K$5:K12)</f>
        <v>9461313.370000001</v>
      </c>
      <c r="N12" s="18">
        <f t="shared" si="14"/>
        <v>22312.05</v>
      </c>
      <c r="O12" s="18">
        <f t="shared" si="14"/>
        <v>16536.116666666665</v>
      </c>
      <c r="P12" s="18">
        <f t="shared" si="14"/>
        <v>20596.031166666668</v>
      </c>
      <c r="Q12" s="18">
        <f t="shared" si="14"/>
        <v>23778.333333333332</v>
      </c>
      <c r="R12" s="18">
        <f t="shared" si="14"/>
        <v>19815.833333333332</v>
      </c>
      <c r="S12" s="18">
        <f t="shared" si="14"/>
        <v>20279.5</v>
      </c>
      <c r="T12" s="18">
        <f t="shared" si="14"/>
        <v>14990.658333333333</v>
      </c>
      <c r="U12" s="18">
        <f>+$K12/60</f>
        <v>19380.033333333333</v>
      </c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>
        <f t="shared" si="7"/>
        <v>157688.55616666665</v>
      </c>
      <c r="AX12" s="18">
        <f>SUM(AW$5:AW12)</f>
        <v>726180.25366666669</v>
      </c>
      <c r="AY12" s="18">
        <f t="shared" si="8"/>
        <v>8735133.1163333338</v>
      </c>
      <c r="AZ12" s="18">
        <f t="shared" si="15"/>
        <v>8892821.6725000013</v>
      </c>
      <c r="BB12" s="18">
        <f t="shared" si="16"/>
        <v>111560.25</v>
      </c>
      <c r="BC12" s="18">
        <f t="shared" si="16"/>
        <v>82680.583333333328</v>
      </c>
      <c r="BD12" s="18">
        <f t="shared" si="16"/>
        <v>102980.15583333334</v>
      </c>
      <c r="BE12" s="18">
        <f t="shared" si="16"/>
        <v>118891.66666666667</v>
      </c>
      <c r="BF12" s="18">
        <f t="shared" si="16"/>
        <v>99079.166666666672</v>
      </c>
      <c r="BG12" s="18">
        <f>+BG11</f>
        <v>101397.5</v>
      </c>
      <c r="BH12" s="18">
        <f>+BH11</f>
        <v>74953.291666666672</v>
      </c>
      <c r="BI12" s="18">
        <f>+$K12/12</f>
        <v>96900.166666666672</v>
      </c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>
        <f t="shared" si="9"/>
        <v>788442.78083333327</v>
      </c>
      <c r="CM12" s="22">
        <f t="shared" si="10"/>
        <v>788442.78083333327</v>
      </c>
      <c r="CN12" s="22">
        <f t="shared" si="11"/>
        <v>157688.55616666665</v>
      </c>
      <c r="CO12" s="18">
        <f t="shared" si="12"/>
        <v>-630754.22466666659</v>
      </c>
      <c r="CP12" s="18">
        <f>+CO12*'Capital Structure '!$E$30</f>
        <v>-257663.10077633327</v>
      </c>
      <c r="CQ12" s="18">
        <f>SUM(CP$5:CP12)</f>
        <v>-1186578.5344913332</v>
      </c>
    </row>
    <row r="13" spans="1:96" outlineLevel="1">
      <c r="A13" s="7" t="s">
        <v>55</v>
      </c>
      <c r="B13" s="7">
        <f>+B12</f>
        <v>2014</v>
      </c>
      <c r="C13" s="73" t="s">
        <v>47</v>
      </c>
      <c r="D13" s="114">
        <v>24000</v>
      </c>
      <c r="E13" s="18">
        <v>634108</v>
      </c>
      <c r="F13" s="114"/>
      <c r="G13" s="114">
        <f>SUM(D13:F13)</f>
        <v>658108</v>
      </c>
      <c r="H13" s="114"/>
      <c r="I13" s="114">
        <v>188000</v>
      </c>
      <c r="J13" s="114"/>
      <c r="K13" s="18">
        <f t="shared" si="6"/>
        <v>846108</v>
      </c>
      <c r="L13" s="18">
        <f>SUM(K$5:K13)</f>
        <v>10307421.370000001</v>
      </c>
      <c r="N13" s="18">
        <f t="shared" si="14"/>
        <v>22312.05</v>
      </c>
      <c r="O13" s="18">
        <f t="shared" si="14"/>
        <v>16536.116666666665</v>
      </c>
      <c r="P13" s="18">
        <f t="shared" si="14"/>
        <v>20596.031166666668</v>
      </c>
      <c r="Q13" s="18">
        <f t="shared" si="14"/>
        <v>23778.333333333332</v>
      </c>
      <c r="R13" s="18">
        <f t="shared" si="14"/>
        <v>19815.833333333332</v>
      </c>
      <c r="S13" s="18">
        <f t="shared" si="14"/>
        <v>20279.5</v>
      </c>
      <c r="T13" s="18">
        <f t="shared" si="14"/>
        <v>14990.658333333333</v>
      </c>
      <c r="U13" s="18">
        <f t="shared" si="14"/>
        <v>19380.033333333333</v>
      </c>
      <c r="V13" s="18">
        <f>+$K13/60</f>
        <v>14101.8</v>
      </c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>
        <f t="shared" si="7"/>
        <v>171790.35616666664</v>
      </c>
      <c r="AX13" s="18">
        <f>SUM(AW$5:AW13)</f>
        <v>897970.60983333329</v>
      </c>
      <c r="AY13" s="18">
        <f t="shared" si="8"/>
        <v>9409450.7601666674</v>
      </c>
      <c r="AZ13" s="18">
        <f t="shared" si="15"/>
        <v>9581241.1163333338</v>
      </c>
      <c r="BB13" s="18">
        <f t="shared" si="16"/>
        <v>111560.25</v>
      </c>
      <c r="BC13" s="18">
        <f t="shared" si="16"/>
        <v>82680.583333333328</v>
      </c>
      <c r="BD13" s="18">
        <f t="shared" si="16"/>
        <v>102980.15583333334</v>
      </c>
      <c r="BE13" s="18">
        <f t="shared" si="16"/>
        <v>118891.66666666667</v>
      </c>
      <c r="BF13" s="18">
        <f t="shared" si="16"/>
        <v>99079.166666666672</v>
      </c>
      <c r="BG13" s="18">
        <f>+BG12</f>
        <v>101397.5</v>
      </c>
      <c r="BH13" s="18">
        <f>+BH12</f>
        <v>74953.291666666672</v>
      </c>
      <c r="BI13" s="18">
        <f>+BI12</f>
        <v>96900.166666666672</v>
      </c>
      <c r="BJ13" s="18">
        <f>+$K13/12</f>
        <v>70509</v>
      </c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>
        <f t="shared" si="9"/>
        <v>858951.78083333327</v>
      </c>
      <c r="CM13" s="22">
        <f t="shared" si="10"/>
        <v>858951.78083333327</v>
      </c>
      <c r="CN13" s="22">
        <f t="shared" si="11"/>
        <v>171790.35616666664</v>
      </c>
      <c r="CO13" s="18">
        <f>+CN13-CM13</f>
        <v>-687161.42466666666</v>
      </c>
      <c r="CP13" s="18">
        <f>+CO13*'Capital Structure '!$E$30</f>
        <v>-280705.44197633333</v>
      </c>
      <c r="CQ13" s="18">
        <f>SUM(CP$5:CP13)</f>
        <v>-1467283.9764676664</v>
      </c>
    </row>
    <row r="14" spans="1:96" outlineLevel="1">
      <c r="A14" s="7" t="s">
        <v>56</v>
      </c>
      <c r="B14" s="7">
        <f>+B13</f>
        <v>2014</v>
      </c>
      <c r="C14" s="73" t="s">
        <v>47</v>
      </c>
      <c r="D14" s="114">
        <v>32000</v>
      </c>
      <c r="E14" s="18">
        <v>1000715.06</v>
      </c>
      <c r="F14" s="114"/>
      <c r="G14" s="114">
        <f>SUM(D14:F14)</f>
        <v>1032715.06</v>
      </c>
      <c r="H14" s="114"/>
      <c r="I14" s="114">
        <v>219600</v>
      </c>
      <c r="J14" s="114"/>
      <c r="K14" s="18">
        <f t="shared" si="6"/>
        <v>1252315.06</v>
      </c>
      <c r="L14" s="18">
        <f>SUM(K$5:K14)</f>
        <v>11559736.430000002</v>
      </c>
      <c r="N14" s="18">
        <f t="shared" si="14"/>
        <v>22312.05</v>
      </c>
      <c r="O14" s="18">
        <f t="shared" si="14"/>
        <v>16536.116666666665</v>
      </c>
      <c r="P14" s="18">
        <f t="shared" si="14"/>
        <v>20596.031166666668</v>
      </c>
      <c r="Q14" s="18">
        <f t="shared" si="14"/>
        <v>23778.333333333332</v>
      </c>
      <c r="R14" s="18">
        <f t="shared" si="14"/>
        <v>19815.833333333332</v>
      </c>
      <c r="S14" s="18">
        <f t="shared" si="14"/>
        <v>20279.5</v>
      </c>
      <c r="T14" s="18">
        <f t="shared" si="14"/>
        <v>14990.658333333333</v>
      </c>
      <c r="U14" s="18">
        <f t="shared" si="14"/>
        <v>19380.033333333333</v>
      </c>
      <c r="V14" s="18">
        <f t="shared" si="14"/>
        <v>14101.8</v>
      </c>
      <c r="W14" s="18">
        <f>+$K14/60</f>
        <v>20871.917666666668</v>
      </c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>
        <f t="shared" si="7"/>
        <v>192662.27383333331</v>
      </c>
      <c r="AX14" s="18">
        <f>SUM(AW$5:AW14)</f>
        <v>1090632.8836666667</v>
      </c>
      <c r="AY14" s="18">
        <f t="shared" si="8"/>
        <v>10469103.546333335</v>
      </c>
      <c r="AZ14" s="18">
        <f t="shared" si="15"/>
        <v>10661765.820166668</v>
      </c>
      <c r="BB14" s="18">
        <f t="shared" si="16"/>
        <v>111560.25</v>
      </c>
      <c r="BC14" s="18">
        <f t="shared" si="16"/>
        <v>82680.583333333328</v>
      </c>
      <c r="BD14" s="18">
        <f t="shared" si="16"/>
        <v>102980.15583333334</v>
      </c>
      <c r="BE14" s="18">
        <f t="shared" si="16"/>
        <v>118891.66666666667</v>
      </c>
      <c r="BF14" s="18">
        <f t="shared" si="16"/>
        <v>99079.166666666672</v>
      </c>
      <c r="BG14" s="18">
        <f>+BG13</f>
        <v>101397.5</v>
      </c>
      <c r="BH14" s="18">
        <f>+BH13</f>
        <v>74953.291666666672</v>
      </c>
      <c r="BI14" s="18">
        <f>+BI13</f>
        <v>96900.166666666672</v>
      </c>
      <c r="BJ14" s="18">
        <f>+BJ13</f>
        <v>70509</v>
      </c>
      <c r="BK14" s="18">
        <f>+$K14/12</f>
        <v>104359.58833333333</v>
      </c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>
        <f t="shared" si="9"/>
        <v>963311.36916666664</v>
      </c>
      <c r="CM14" s="22">
        <f>+CK14</f>
        <v>963311.36916666664</v>
      </c>
      <c r="CN14" s="22">
        <f t="shared" si="11"/>
        <v>192662.27383333331</v>
      </c>
      <c r="CO14" s="18">
        <f t="shared" si="12"/>
        <v>-770649.09533333336</v>
      </c>
      <c r="CP14" s="18">
        <f>+CO14*'Capital Structure '!$E$30</f>
        <v>-314810.15544366668</v>
      </c>
      <c r="CQ14" s="18">
        <f>SUM(CP$5:CP14)</f>
        <v>-1782094.1319113332</v>
      </c>
    </row>
    <row r="15" spans="1:96" outlineLevel="1">
      <c r="A15" s="7" t="s">
        <v>57</v>
      </c>
      <c r="B15" s="7">
        <f>+B14</f>
        <v>2014</v>
      </c>
      <c r="C15" s="73" t="s">
        <v>47</v>
      </c>
      <c r="D15" s="114">
        <v>30000</v>
      </c>
      <c r="E15" s="18">
        <v>601500</v>
      </c>
      <c r="F15" s="114"/>
      <c r="G15" s="114">
        <f>SUM(D15:F15)</f>
        <v>631500</v>
      </c>
      <c r="H15" s="114"/>
      <c r="I15" s="114">
        <v>137400</v>
      </c>
      <c r="J15" s="114"/>
      <c r="K15" s="18">
        <f t="shared" si="6"/>
        <v>768900</v>
      </c>
      <c r="L15" s="18">
        <f>SUM(K$5:K15)</f>
        <v>12328636.430000002</v>
      </c>
      <c r="N15" s="18">
        <f t="shared" si="14"/>
        <v>22312.05</v>
      </c>
      <c r="O15" s="18">
        <f t="shared" si="14"/>
        <v>16536.116666666665</v>
      </c>
      <c r="P15" s="18">
        <f t="shared" si="14"/>
        <v>20596.031166666668</v>
      </c>
      <c r="Q15" s="18">
        <f t="shared" si="14"/>
        <v>23778.333333333332</v>
      </c>
      <c r="R15" s="18">
        <f t="shared" si="14"/>
        <v>19815.833333333332</v>
      </c>
      <c r="S15" s="18">
        <f t="shared" si="14"/>
        <v>20279.5</v>
      </c>
      <c r="T15" s="18">
        <f t="shared" si="14"/>
        <v>14990.658333333333</v>
      </c>
      <c r="U15" s="18">
        <f t="shared" si="14"/>
        <v>19380.033333333333</v>
      </c>
      <c r="V15" s="18">
        <f t="shared" si="14"/>
        <v>14101.8</v>
      </c>
      <c r="W15" s="18">
        <f t="shared" si="14"/>
        <v>20871.917666666668</v>
      </c>
      <c r="X15" s="18">
        <f>+$K15/60</f>
        <v>12815</v>
      </c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>
        <f t="shared" si="7"/>
        <v>205477.27383333331</v>
      </c>
      <c r="AX15" s="18">
        <f>SUM(AW$5:AW15)</f>
        <v>1296110.1575</v>
      </c>
      <c r="AY15" s="18">
        <f t="shared" si="8"/>
        <v>11032526.272500001</v>
      </c>
      <c r="AZ15" s="18">
        <f t="shared" si="15"/>
        <v>11238003.546333335</v>
      </c>
      <c r="BB15" s="18">
        <f t="shared" si="16"/>
        <v>111560.25</v>
      </c>
      <c r="BC15" s="18">
        <f t="shared" si="16"/>
        <v>82680.583333333328</v>
      </c>
      <c r="BD15" s="18">
        <f t="shared" si="16"/>
        <v>102980.15583333334</v>
      </c>
      <c r="BE15" s="18">
        <f t="shared" si="16"/>
        <v>118891.66666666667</v>
      </c>
      <c r="BF15" s="18">
        <f t="shared" si="16"/>
        <v>99079.166666666672</v>
      </c>
      <c r="BG15" s="18">
        <f>+BG14</f>
        <v>101397.5</v>
      </c>
      <c r="BH15" s="18">
        <f>+BH14</f>
        <v>74953.291666666672</v>
      </c>
      <c r="BI15" s="18">
        <f>+BI14</f>
        <v>96900.166666666672</v>
      </c>
      <c r="BJ15" s="18">
        <f>+BJ14</f>
        <v>70509</v>
      </c>
      <c r="BK15" s="18">
        <f>+BK14</f>
        <v>104359.58833333333</v>
      </c>
      <c r="BL15" s="18">
        <f>+$K15/12</f>
        <v>64075</v>
      </c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>
        <f t="shared" si="9"/>
        <v>1027386.3691666666</v>
      </c>
      <c r="CM15" s="22">
        <f>+CK15</f>
        <v>1027386.3691666666</v>
      </c>
      <c r="CN15" s="22">
        <f t="shared" si="11"/>
        <v>205477.27383333331</v>
      </c>
      <c r="CO15" s="18">
        <f>+CN15-CM15</f>
        <v>-821909.09533333336</v>
      </c>
      <c r="CP15" s="18">
        <f>+CO15*'Capital Structure '!$E$30</f>
        <v>-335749.86544366664</v>
      </c>
      <c r="CQ15" s="18">
        <f>SUM(CP$5:CP15)</f>
        <v>-2117843.9973549997</v>
      </c>
    </row>
    <row r="16" spans="1:96" outlineLevel="1">
      <c r="A16" s="7" t="s">
        <v>58</v>
      </c>
      <c r="B16" s="7">
        <f>+B15</f>
        <v>2014</v>
      </c>
      <c r="C16" s="73" t="s">
        <v>47</v>
      </c>
      <c r="D16" s="114">
        <v>22000</v>
      </c>
      <c r="E16" s="18">
        <v>422950</v>
      </c>
      <c r="F16" s="114"/>
      <c r="G16" s="114">
        <f t="shared" ref="G16:G79" si="18">SUM(D16:F16)</f>
        <v>444950</v>
      </c>
      <c r="H16" s="114"/>
      <c r="I16" s="114">
        <v>151000</v>
      </c>
      <c r="J16" s="114"/>
      <c r="K16" s="18">
        <f t="shared" si="6"/>
        <v>595950</v>
      </c>
      <c r="L16" s="18">
        <f>SUM(K$5:K16)</f>
        <v>12924586.430000002</v>
      </c>
      <c r="N16" s="18">
        <f t="shared" ref="N16:X30" si="19">+N15</f>
        <v>22312.05</v>
      </c>
      <c r="O16" s="18">
        <f t="shared" si="19"/>
        <v>16536.116666666665</v>
      </c>
      <c r="P16" s="18">
        <f t="shared" si="19"/>
        <v>20596.031166666668</v>
      </c>
      <c r="Q16" s="18">
        <f t="shared" si="19"/>
        <v>23778.333333333332</v>
      </c>
      <c r="R16" s="18">
        <f t="shared" si="19"/>
        <v>19815.833333333332</v>
      </c>
      <c r="S16" s="18">
        <f t="shared" si="19"/>
        <v>20279.5</v>
      </c>
      <c r="T16" s="18">
        <f t="shared" si="19"/>
        <v>14990.658333333333</v>
      </c>
      <c r="U16" s="18">
        <f t="shared" si="19"/>
        <v>19380.033333333333</v>
      </c>
      <c r="V16" s="18">
        <f t="shared" si="19"/>
        <v>14101.8</v>
      </c>
      <c r="W16" s="18">
        <f t="shared" si="19"/>
        <v>20871.917666666668</v>
      </c>
      <c r="X16" s="18">
        <f t="shared" si="19"/>
        <v>12815</v>
      </c>
      <c r="Y16" s="18">
        <f>+$K16/60</f>
        <v>9932.5</v>
      </c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>
        <f t="shared" si="7"/>
        <v>215409.77383333331</v>
      </c>
      <c r="AX16" s="18">
        <f>SUM(AW$5:AW16)</f>
        <v>1511519.9313333333</v>
      </c>
      <c r="AY16" s="18">
        <f t="shared" si="8"/>
        <v>11413066.498666668</v>
      </c>
      <c r="AZ16" s="18">
        <f t="shared" si="15"/>
        <v>11628476.272500001</v>
      </c>
      <c r="BB16" s="18">
        <f t="shared" ref="BB16:BQ26" si="20">+BB15</f>
        <v>111560.25</v>
      </c>
      <c r="BC16" s="18">
        <f t="shared" si="20"/>
        <v>82680.583333333328</v>
      </c>
      <c r="BD16" s="18">
        <f t="shared" si="20"/>
        <v>102980.15583333334</v>
      </c>
      <c r="BE16" s="18">
        <f t="shared" si="20"/>
        <v>118891.66666666667</v>
      </c>
      <c r="BF16" s="18">
        <f t="shared" si="20"/>
        <v>99079.166666666672</v>
      </c>
      <c r="BG16" s="18">
        <f t="shared" si="20"/>
        <v>101397.5</v>
      </c>
      <c r="BH16" s="18">
        <f t="shared" si="20"/>
        <v>74953.291666666672</v>
      </c>
      <c r="BI16" s="18">
        <f t="shared" si="20"/>
        <v>96900.166666666672</v>
      </c>
      <c r="BJ16" s="18">
        <f t="shared" si="20"/>
        <v>70509</v>
      </c>
      <c r="BK16" s="18">
        <f t="shared" si="20"/>
        <v>104359.58833333333</v>
      </c>
      <c r="BL16" s="18">
        <f t="shared" si="20"/>
        <v>64075</v>
      </c>
      <c r="BM16" s="18">
        <f>+$K16/12</f>
        <v>49662.5</v>
      </c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>
        <f t="shared" si="9"/>
        <v>1077048.8691666666</v>
      </c>
      <c r="CM16" s="22">
        <f>+CK16</f>
        <v>1077048.8691666666</v>
      </c>
      <c r="CN16" s="22">
        <f t="shared" si="11"/>
        <v>215409.77383333331</v>
      </c>
      <c r="CO16" s="18">
        <f t="shared" si="12"/>
        <v>-861639.09533333336</v>
      </c>
      <c r="CP16" s="18">
        <f>+CO16*'Capital Structure '!$E$30</f>
        <v>-351979.57044366666</v>
      </c>
      <c r="CQ16" s="18">
        <f>SUM(CP$5:CP16)</f>
        <v>-2469823.5677986662</v>
      </c>
    </row>
    <row r="17" spans="1:95" outlineLevel="1">
      <c r="A17" s="7" t="s">
        <v>59</v>
      </c>
      <c r="B17" s="7">
        <f t="shared" si="13"/>
        <v>2014</v>
      </c>
      <c r="C17" s="73" t="s">
        <v>47</v>
      </c>
      <c r="D17" s="114">
        <v>18000</v>
      </c>
      <c r="E17" s="18">
        <v>475015</v>
      </c>
      <c r="F17" s="114"/>
      <c r="G17" s="114">
        <f>SUM(D17:F17)</f>
        <v>493015</v>
      </c>
      <c r="H17" s="114"/>
      <c r="I17" s="114">
        <v>164400</v>
      </c>
      <c r="J17" s="114"/>
      <c r="K17" s="18">
        <f t="shared" si="6"/>
        <v>657415</v>
      </c>
      <c r="L17" s="18">
        <f>SUM(K$5:K17)</f>
        <v>13582001.430000002</v>
      </c>
      <c r="N17" s="18">
        <f t="shared" si="19"/>
        <v>22312.05</v>
      </c>
      <c r="O17" s="18">
        <f t="shared" si="19"/>
        <v>16536.116666666665</v>
      </c>
      <c r="P17" s="18">
        <f t="shared" si="19"/>
        <v>20596.031166666668</v>
      </c>
      <c r="Q17" s="18">
        <f t="shared" si="19"/>
        <v>23778.333333333332</v>
      </c>
      <c r="R17" s="18">
        <f t="shared" si="19"/>
        <v>19815.833333333332</v>
      </c>
      <c r="S17" s="18">
        <f t="shared" si="19"/>
        <v>20279.5</v>
      </c>
      <c r="T17" s="18">
        <f t="shared" si="19"/>
        <v>14990.658333333333</v>
      </c>
      <c r="U17" s="18">
        <f t="shared" si="19"/>
        <v>19380.033333333333</v>
      </c>
      <c r="V17" s="18">
        <f t="shared" si="19"/>
        <v>14101.8</v>
      </c>
      <c r="W17" s="18">
        <f t="shared" si="19"/>
        <v>20871.917666666668</v>
      </c>
      <c r="X17" s="18">
        <f t="shared" si="19"/>
        <v>12815</v>
      </c>
      <c r="Y17" s="18">
        <f t="shared" ref="Y17:AJ32" si="21">+Y16</f>
        <v>9932.5</v>
      </c>
      <c r="Z17" s="18">
        <f>+$K17/60</f>
        <v>10956.916666666666</v>
      </c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>
        <f t="shared" si="7"/>
        <v>226366.69049999997</v>
      </c>
      <c r="AX17" s="18">
        <f>SUM(AW$5:AW17)</f>
        <v>1737886.6218333333</v>
      </c>
      <c r="AY17" s="18">
        <f t="shared" si="8"/>
        <v>11844114.808166668</v>
      </c>
      <c r="AZ17" s="18">
        <f t="shared" si="15"/>
        <v>12070481.498666668</v>
      </c>
      <c r="BB17" s="18"/>
      <c r="BC17" s="18">
        <f t="shared" si="20"/>
        <v>82680.583333333328</v>
      </c>
      <c r="BD17" s="18">
        <f t="shared" si="20"/>
        <v>102980.15583333334</v>
      </c>
      <c r="BE17" s="18">
        <f t="shared" si="20"/>
        <v>118891.66666666667</v>
      </c>
      <c r="BF17" s="18">
        <f t="shared" si="20"/>
        <v>99079.166666666672</v>
      </c>
      <c r="BG17" s="18">
        <f t="shared" si="20"/>
        <v>101397.5</v>
      </c>
      <c r="BH17" s="18">
        <f t="shared" si="20"/>
        <v>74953.291666666672</v>
      </c>
      <c r="BI17" s="18">
        <f t="shared" si="20"/>
        <v>96900.166666666672</v>
      </c>
      <c r="BJ17" s="18">
        <f t="shared" si="20"/>
        <v>70509</v>
      </c>
      <c r="BK17" s="18">
        <f t="shared" si="20"/>
        <v>104359.58833333333</v>
      </c>
      <c r="BL17" s="18">
        <f t="shared" si="20"/>
        <v>64075</v>
      </c>
      <c r="BM17" s="18">
        <f t="shared" si="20"/>
        <v>49662.5</v>
      </c>
      <c r="BN17" s="18">
        <f>+$K17/12</f>
        <v>54784.583333333336</v>
      </c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>
        <f t="shared" si="9"/>
        <v>1020273.2025</v>
      </c>
      <c r="CM17" s="22">
        <f>+CK17</f>
        <v>1020273.2025</v>
      </c>
      <c r="CN17" s="22">
        <f t="shared" si="11"/>
        <v>226366.69049999997</v>
      </c>
      <c r="CO17" s="18">
        <f>+CN17-CM17</f>
        <v>-793906.5120000001</v>
      </c>
      <c r="CP17" s="18">
        <f>+CO17*'Capital Structure '!$E$30</f>
        <v>-324310.81015200005</v>
      </c>
      <c r="CQ17" s="18">
        <f>SUM(CP$5:CP17)</f>
        <v>-2794134.3779506665</v>
      </c>
    </row>
    <row r="18" spans="1:95" outlineLevel="1">
      <c r="A18" s="7" t="s">
        <v>46</v>
      </c>
      <c r="B18" s="7">
        <f t="shared" si="13"/>
        <v>2014</v>
      </c>
      <c r="C18" s="73" t="s">
        <v>47</v>
      </c>
      <c r="D18" s="114">
        <v>18000</v>
      </c>
      <c r="E18" s="18">
        <v>480493.5</v>
      </c>
      <c r="F18" s="114"/>
      <c r="G18" s="114">
        <f>SUM(D18:F18)</f>
        <v>498493.5</v>
      </c>
      <c r="H18" s="114"/>
      <c r="I18" s="114">
        <v>147500</v>
      </c>
      <c r="J18" s="114"/>
      <c r="K18" s="18">
        <f t="shared" si="6"/>
        <v>645993.5</v>
      </c>
      <c r="L18" s="18">
        <f>SUM(K$5:K18)</f>
        <v>14227994.930000002</v>
      </c>
      <c r="N18" s="18">
        <f t="shared" si="19"/>
        <v>22312.05</v>
      </c>
      <c r="O18" s="18">
        <f t="shared" si="19"/>
        <v>16536.116666666665</v>
      </c>
      <c r="P18" s="18">
        <f t="shared" si="19"/>
        <v>20596.031166666668</v>
      </c>
      <c r="Q18" s="18">
        <f t="shared" si="19"/>
        <v>23778.333333333332</v>
      </c>
      <c r="R18" s="18">
        <f t="shared" si="19"/>
        <v>19815.833333333332</v>
      </c>
      <c r="S18" s="18">
        <f t="shared" si="19"/>
        <v>20279.5</v>
      </c>
      <c r="T18" s="18">
        <f t="shared" si="19"/>
        <v>14990.658333333333</v>
      </c>
      <c r="U18" s="18">
        <f t="shared" si="19"/>
        <v>19380.033333333333</v>
      </c>
      <c r="V18" s="18">
        <f t="shared" si="19"/>
        <v>14101.8</v>
      </c>
      <c r="W18" s="18">
        <f t="shared" si="19"/>
        <v>20871.917666666668</v>
      </c>
      <c r="X18" s="18">
        <f t="shared" si="19"/>
        <v>12815</v>
      </c>
      <c r="Y18" s="18">
        <f t="shared" si="21"/>
        <v>9932.5</v>
      </c>
      <c r="Z18" s="18">
        <f t="shared" si="21"/>
        <v>10956.916666666666</v>
      </c>
      <c r="AA18" s="18">
        <f>+$K18/60</f>
        <v>10766.558333333332</v>
      </c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>
        <f t="shared" si="7"/>
        <v>237133.24883333329</v>
      </c>
      <c r="AX18" s="18">
        <f>SUM(AW$5:AW18)</f>
        <v>1975019.8706666667</v>
      </c>
      <c r="AY18" s="18">
        <f t="shared" si="8"/>
        <v>12252975.059333336</v>
      </c>
      <c r="AZ18" s="18">
        <f t="shared" si="15"/>
        <v>12490108.308166668</v>
      </c>
      <c r="BB18" s="18"/>
      <c r="BC18" s="18"/>
      <c r="BD18" s="18">
        <f t="shared" si="20"/>
        <v>102980.15583333334</v>
      </c>
      <c r="BE18" s="18">
        <f t="shared" si="20"/>
        <v>118891.66666666667</v>
      </c>
      <c r="BF18" s="18">
        <f t="shared" si="20"/>
        <v>99079.166666666672</v>
      </c>
      <c r="BG18" s="18">
        <f t="shared" si="20"/>
        <v>101397.5</v>
      </c>
      <c r="BH18" s="18">
        <f t="shared" si="20"/>
        <v>74953.291666666672</v>
      </c>
      <c r="BI18" s="18">
        <f t="shared" si="20"/>
        <v>96900.166666666672</v>
      </c>
      <c r="BJ18" s="18">
        <f t="shared" si="20"/>
        <v>70509</v>
      </c>
      <c r="BK18" s="18">
        <f t="shared" si="20"/>
        <v>104359.58833333333</v>
      </c>
      <c r="BL18" s="18">
        <f t="shared" si="20"/>
        <v>64075</v>
      </c>
      <c r="BM18" s="18">
        <f t="shared" si="20"/>
        <v>49662.5</v>
      </c>
      <c r="BN18" s="18">
        <f t="shared" si="20"/>
        <v>54784.583333333336</v>
      </c>
      <c r="BO18" s="18">
        <f>+$K18/12</f>
        <v>53832.791666666664</v>
      </c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>
        <f t="shared" si="9"/>
        <v>991425.41083333339</v>
      </c>
      <c r="CM18" s="22">
        <f t="shared" si="10"/>
        <v>991425.41083333339</v>
      </c>
      <c r="CN18" s="22">
        <f t="shared" si="11"/>
        <v>237133.24883333329</v>
      </c>
      <c r="CO18" s="18">
        <f t="shared" si="12"/>
        <v>-754292.16200000013</v>
      </c>
      <c r="CP18" s="18">
        <f>+CO18*'Capital Structure '!$E$30</f>
        <v>-308128.34817700001</v>
      </c>
      <c r="CQ18" s="18">
        <f>SUM(CP$5:CP18)</f>
        <v>-3102262.7261276664</v>
      </c>
    </row>
    <row r="19" spans="1:95" outlineLevel="1">
      <c r="A19" s="7" t="s">
        <v>48</v>
      </c>
      <c r="B19" s="7">
        <f t="shared" si="13"/>
        <v>2014</v>
      </c>
      <c r="C19" s="73" t="s">
        <v>47</v>
      </c>
      <c r="D19" s="114">
        <v>22000</v>
      </c>
      <c r="E19" s="18">
        <v>804380</v>
      </c>
      <c r="F19" s="114"/>
      <c r="G19" s="114">
        <f t="shared" si="18"/>
        <v>826380</v>
      </c>
      <c r="H19" s="114"/>
      <c r="I19" s="114">
        <v>163500</v>
      </c>
      <c r="J19" s="114"/>
      <c r="K19" s="18">
        <f t="shared" si="6"/>
        <v>989880</v>
      </c>
      <c r="L19" s="18">
        <f>SUM(K$5:K19)</f>
        <v>15217874.930000002</v>
      </c>
      <c r="N19" s="18">
        <f t="shared" si="19"/>
        <v>22312.05</v>
      </c>
      <c r="O19" s="18">
        <f t="shared" si="19"/>
        <v>16536.116666666665</v>
      </c>
      <c r="P19" s="18">
        <f t="shared" si="19"/>
        <v>20596.031166666668</v>
      </c>
      <c r="Q19" s="18">
        <f t="shared" si="19"/>
        <v>23778.333333333332</v>
      </c>
      <c r="R19" s="18">
        <f t="shared" si="19"/>
        <v>19815.833333333332</v>
      </c>
      <c r="S19" s="18">
        <f t="shared" si="19"/>
        <v>20279.5</v>
      </c>
      <c r="T19" s="18">
        <f t="shared" si="19"/>
        <v>14990.658333333333</v>
      </c>
      <c r="U19" s="18">
        <f t="shared" si="19"/>
        <v>19380.033333333333</v>
      </c>
      <c r="V19" s="18">
        <f t="shared" si="19"/>
        <v>14101.8</v>
      </c>
      <c r="W19" s="18">
        <f t="shared" si="19"/>
        <v>20871.917666666668</v>
      </c>
      <c r="X19" s="18">
        <f t="shared" si="19"/>
        <v>12815</v>
      </c>
      <c r="Y19" s="18">
        <f t="shared" si="21"/>
        <v>9932.5</v>
      </c>
      <c r="Z19" s="18">
        <f t="shared" si="21"/>
        <v>10956.916666666666</v>
      </c>
      <c r="AA19" s="18">
        <f t="shared" si="21"/>
        <v>10766.558333333332</v>
      </c>
      <c r="AB19" s="18">
        <f>+$K19/60</f>
        <v>16498</v>
      </c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>
        <f t="shared" si="7"/>
        <v>253631.24883333329</v>
      </c>
      <c r="AX19" s="18">
        <f>SUM(AW$5:AW19)</f>
        <v>2228651.1195</v>
      </c>
      <c r="AY19" s="18">
        <f t="shared" si="8"/>
        <v>12989223.810500002</v>
      </c>
      <c r="AZ19" s="18">
        <f t="shared" si="15"/>
        <v>13242855.059333336</v>
      </c>
      <c r="BB19" s="18"/>
      <c r="BC19" s="18"/>
      <c r="BD19" s="18"/>
      <c r="BE19" s="18">
        <f t="shared" si="20"/>
        <v>118891.66666666667</v>
      </c>
      <c r="BF19" s="18">
        <f t="shared" si="20"/>
        <v>99079.166666666672</v>
      </c>
      <c r="BG19" s="18">
        <f t="shared" si="20"/>
        <v>101397.5</v>
      </c>
      <c r="BH19" s="18">
        <f t="shared" si="20"/>
        <v>74953.291666666672</v>
      </c>
      <c r="BI19" s="18">
        <f t="shared" si="20"/>
        <v>96900.166666666672</v>
      </c>
      <c r="BJ19" s="18">
        <f t="shared" si="20"/>
        <v>70509</v>
      </c>
      <c r="BK19" s="18">
        <f t="shared" si="20"/>
        <v>104359.58833333333</v>
      </c>
      <c r="BL19" s="18">
        <f t="shared" si="20"/>
        <v>64075</v>
      </c>
      <c r="BM19" s="18">
        <f t="shared" si="20"/>
        <v>49662.5</v>
      </c>
      <c r="BN19" s="18">
        <f t="shared" si="20"/>
        <v>54784.583333333336</v>
      </c>
      <c r="BO19" s="18">
        <f t="shared" si="20"/>
        <v>53832.791666666664</v>
      </c>
      <c r="BP19" s="18">
        <f>$K19/12</f>
        <v>82490</v>
      </c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>
        <f t="shared" si="9"/>
        <v>970935.25500000012</v>
      </c>
      <c r="CM19" s="22">
        <f t="shared" si="10"/>
        <v>970935.25500000012</v>
      </c>
      <c r="CN19" s="22">
        <f t="shared" si="11"/>
        <v>253631.24883333329</v>
      </c>
      <c r="CO19" s="18">
        <f t="shared" si="12"/>
        <v>-717304.00616666686</v>
      </c>
      <c r="CP19" s="18">
        <f>+CO19*'Capital Structure '!$E$30</f>
        <v>-293018.68651908339</v>
      </c>
      <c r="CQ19" s="18">
        <f>SUM(CP$5:CP19)</f>
        <v>-3395281.41264675</v>
      </c>
    </row>
    <row r="20" spans="1:95" outlineLevel="1">
      <c r="A20" s="7" t="s">
        <v>50</v>
      </c>
      <c r="B20" s="7">
        <f t="shared" si="13"/>
        <v>2014</v>
      </c>
      <c r="C20" s="73" t="s">
        <v>47</v>
      </c>
      <c r="D20" s="114">
        <v>9671</v>
      </c>
      <c r="E20" s="18">
        <v>501782.69</v>
      </c>
      <c r="F20" s="114"/>
      <c r="G20" s="114">
        <f>SUM(D20:F20)</f>
        <v>511453.69</v>
      </c>
      <c r="H20" s="114"/>
      <c r="I20" s="114">
        <v>123500</v>
      </c>
      <c r="J20" s="114"/>
      <c r="K20" s="18">
        <f t="shared" si="6"/>
        <v>634953.68999999994</v>
      </c>
      <c r="L20" s="18">
        <f>SUM(K$5:K20)</f>
        <v>15852828.620000001</v>
      </c>
      <c r="N20" s="18">
        <f t="shared" si="19"/>
        <v>22312.05</v>
      </c>
      <c r="O20" s="18">
        <f t="shared" si="19"/>
        <v>16536.116666666665</v>
      </c>
      <c r="P20" s="18">
        <f t="shared" si="19"/>
        <v>20596.031166666668</v>
      </c>
      <c r="Q20" s="18">
        <f t="shared" si="19"/>
        <v>23778.333333333332</v>
      </c>
      <c r="R20" s="18">
        <f t="shared" si="19"/>
        <v>19815.833333333332</v>
      </c>
      <c r="S20" s="18">
        <f t="shared" si="19"/>
        <v>20279.5</v>
      </c>
      <c r="T20" s="18">
        <f t="shared" si="19"/>
        <v>14990.658333333333</v>
      </c>
      <c r="U20" s="18">
        <f t="shared" si="19"/>
        <v>19380.033333333333</v>
      </c>
      <c r="V20" s="18">
        <f t="shared" si="19"/>
        <v>14101.8</v>
      </c>
      <c r="W20" s="18">
        <f t="shared" si="19"/>
        <v>20871.917666666668</v>
      </c>
      <c r="X20" s="18">
        <f t="shared" si="19"/>
        <v>12815</v>
      </c>
      <c r="Y20" s="18">
        <f t="shared" si="21"/>
        <v>9932.5</v>
      </c>
      <c r="Z20" s="18">
        <f t="shared" si="21"/>
        <v>10956.916666666666</v>
      </c>
      <c r="AA20" s="18">
        <f t="shared" si="21"/>
        <v>10766.558333333332</v>
      </c>
      <c r="AB20" s="18">
        <f t="shared" si="21"/>
        <v>16498</v>
      </c>
      <c r="AC20" s="18">
        <f>+$K20/60</f>
        <v>10582.5615</v>
      </c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>
        <f t="shared" si="7"/>
        <v>264213.81033333327</v>
      </c>
      <c r="AX20" s="18">
        <f>SUM(AW$5:AW20)</f>
        <v>2492864.9298333335</v>
      </c>
      <c r="AY20" s="18">
        <f t="shared" si="8"/>
        <v>13359963.690166667</v>
      </c>
      <c r="AZ20" s="18">
        <f t="shared" si="15"/>
        <v>13624177.500500001</v>
      </c>
      <c r="BB20" s="18"/>
      <c r="BC20" s="18"/>
      <c r="BD20" s="18"/>
      <c r="BE20" s="18"/>
      <c r="BF20" s="18">
        <f t="shared" si="20"/>
        <v>99079.166666666672</v>
      </c>
      <c r="BG20" s="18">
        <f t="shared" si="20"/>
        <v>101397.5</v>
      </c>
      <c r="BH20" s="18">
        <f t="shared" si="20"/>
        <v>74953.291666666672</v>
      </c>
      <c r="BI20" s="18">
        <f t="shared" si="20"/>
        <v>96900.166666666672</v>
      </c>
      <c r="BJ20" s="18">
        <f t="shared" si="20"/>
        <v>70509</v>
      </c>
      <c r="BK20" s="18">
        <f t="shared" si="20"/>
        <v>104359.58833333333</v>
      </c>
      <c r="BL20" s="18">
        <f t="shared" si="20"/>
        <v>64075</v>
      </c>
      <c r="BM20" s="18">
        <f t="shared" si="20"/>
        <v>49662.5</v>
      </c>
      <c r="BN20" s="18">
        <f t="shared" si="20"/>
        <v>54784.583333333336</v>
      </c>
      <c r="BO20" s="18">
        <f t="shared" si="20"/>
        <v>53832.791666666664</v>
      </c>
      <c r="BP20" s="18">
        <f t="shared" si="20"/>
        <v>82490</v>
      </c>
      <c r="BQ20" s="18">
        <f>$K20/12</f>
        <v>52912.807499999995</v>
      </c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>
        <f t="shared" si="9"/>
        <v>904956.39583333337</v>
      </c>
      <c r="CM20" s="22">
        <f t="shared" si="10"/>
        <v>904956.39583333337</v>
      </c>
      <c r="CN20" s="22">
        <f t="shared" si="11"/>
        <v>264213.81033333327</v>
      </c>
      <c r="CO20" s="18">
        <f t="shared" si="12"/>
        <v>-640742.58550000004</v>
      </c>
      <c r="CP20" s="18">
        <f>+CO20*'Capital Structure '!$E$30</f>
        <v>-261743.34617675</v>
      </c>
      <c r="CQ20" s="18">
        <f>SUM(CP$5:CP20)</f>
        <v>-3657024.7588235</v>
      </c>
    </row>
    <row r="21" spans="1:95" outlineLevel="1">
      <c r="A21" s="7" t="s">
        <v>51</v>
      </c>
      <c r="B21" s="7">
        <f t="shared" si="13"/>
        <v>2014</v>
      </c>
      <c r="C21" s="73" t="s">
        <v>47</v>
      </c>
      <c r="D21" s="114">
        <v>14000</v>
      </c>
      <c r="E21" s="18">
        <v>569000</v>
      </c>
      <c r="F21" s="114"/>
      <c r="G21" s="114">
        <f t="shared" si="18"/>
        <v>583000</v>
      </c>
      <c r="H21" s="114"/>
      <c r="I21" s="114">
        <v>124500</v>
      </c>
      <c r="J21" s="114"/>
      <c r="K21" s="18">
        <f t="shared" si="6"/>
        <v>707500</v>
      </c>
      <c r="L21" s="18">
        <f>SUM(K$5:K21)</f>
        <v>16560328.620000001</v>
      </c>
      <c r="N21" s="18">
        <f t="shared" si="19"/>
        <v>22312.05</v>
      </c>
      <c r="O21" s="18">
        <f t="shared" si="19"/>
        <v>16536.116666666665</v>
      </c>
      <c r="P21" s="18">
        <f t="shared" si="19"/>
        <v>20596.031166666668</v>
      </c>
      <c r="Q21" s="18">
        <f t="shared" si="19"/>
        <v>23778.333333333332</v>
      </c>
      <c r="R21" s="18">
        <f t="shared" si="19"/>
        <v>19815.833333333332</v>
      </c>
      <c r="S21" s="18">
        <f t="shared" si="19"/>
        <v>20279.5</v>
      </c>
      <c r="T21" s="18">
        <f t="shared" si="19"/>
        <v>14990.658333333333</v>
      </c>
      <c r="U21" s="18">
        <f t="shared" si="19"/>
        <v>19380.033333333333</v>
      </c>
      <c r="V21" s="18">
        <f t="shared" si="19"/>
        <v>14101.8</v>
      </c>
      <c r="W21" s="18">
        <f t="shared" si="19"/>
        <v>20871.917666666668</v>
      </c>
      <c r="X21" s="18">
        <f t="shared" si="19"/>
        <v>12815</v>
      </c>
      <c r="Y21" s="18">
        <f t="shared" si="21"/>
        <v>9932.5</v>
      </c>
      <c r="Z21" s="18">
        <f t="shared" si="21"/>
        <v>10956.916666666666</v>
      </c>
      <c r="AA21" s="18">
        <f t="shared" si="21"/>
        <v>10766.558333333332</v>
      </c>
      <c r="AB21" s="18">
        <f t="shared" si="21"/>
        <v>16498</v>
      </c>
      <c r="AC21" s="18">
        <f t="shared" si="21"/>
        <v>10582.5615</v>
      </c>
      <c r="AD21" s="18">
        <f>+$K21/60</f>
        <v>11791.666666666666</v>
      </c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>
        <f t="shared" si="7"/>
        <v>276005.47699999996</v>
      </c>
      <c r="AX21" s="18">
        <f>SUM(AW$5:AW21)</f>
        <v>2768870.4068333334</v>
      </c>
      <c r="AY21" s="18">
        <f t="shared" si="8"/>
        <v>13791458.213166667</v>
      </c>
      <c r="AZ21" s="18">
        <f t="shared" si="15"/>
        <v>14067463.690166667</v>
      </c>
      <c r="BB21" s="18"/>
      <c r="BC21" s="18"/>
      <c r="BD21" s="18"/>
      <c r="BE21" s="18"/>
      <c r="BF21" s="18"/>
      <c r="BG21" s="18">
        <f t="shared" si="20"/>
        <v>101397.5</v>
      </c>
      <c r="BH21" s="18">
        <f t="shared" si="20"/>
        <v>74953.291666666672</v>
      </c>
      <c r="BI21" s="18">
        <f t="shared" si="20"/>
        <v>96900.166666666672</v>
      </c>
      <c r="BJ21" s="18">
        <f t="shared" si="20"/>
        <v>70509</v>
      </c>
      <c r="BK21" s="18">
        <f t="shared" si="20"/>
        <v>104359.58833333333</v>
      </c>
      <c r="BL21" s="18">
        <f t="shared" si="20"/>
        <v>64075</v>
      </c>
      <c r="BM21" s="18">
        <f t="shared" si="20"/>
        <v>49662.5</v>
      </c>
      <c r="BN21" s="18">
        <f t="shared" si="20"/>
        <v>54784.583333333336</v>
      </c>
      <c r="BO21" s="18">
        <f t="shared" si="20"/>
        <v>53832.791666666664</v>
      </c>
      <c r="BP21" s="18">
        <f t="shared" si="20"/>
        <v>82490</v>
      </c>
      <c r="BQ21" s="18">
        <f t="shared" si="20"/>
        <v>52912.807499999995</v>
      </c>
      <c r="BR21" s="18">
        <f>$K21/12</f>
        <v>58958.333333333336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>
        <f t="shared" si="9"/>
        <v>864835.5625</v>
      </c>
      <c r="CM21" s="22">
        <f t="shared" si="10"/>
        <v>864835.5625</v>
      </c>
      <c r="CN21" s="22">
        <f t="shared" si="11"/>
        <v>276005.47699999996</v>
      </c>
      <c r="CO21" s="18">
        <f t="shared" si="12"/>
        <v>-588830.08550000004</v>
      </c>
      <c r="CP21" s="18">
        <f>+CO21*'Capital Structure '!$E$30</f>
        <v>-240537.08992674999</v>
      </c>
      <c r="CQ21" s="18">
        <f>SUM(CP$5:CP21)</f>
        <v>-3897561.8487502499</v>
      </c>
    </row>
    <row r="22" spans="1:95" outlineLevel="1">
      <c r="A22" s="124" t="s">
        <v>52</v>
      </c>
      <c r="B22" s="124">
        <f t="shared" si="13"/>
        <v>2014</v>
      </c>
      <c r="C22" s="322" t="s">
        <v>47</v>
      </c>
      <c r="D22" s="116">
        <v>10000</v>
      </c>
      <c r="E22" s="121">
        <v>607650</v>
      </c>
      <c r="F22" s="116"/>
      <c r="G22" s="116">
        <f t="shared" si="18"/>
        <v>617650</v>
      </c>
      <c r="H22" s="116"/>
      <c r="I22" s="116">
        <v>192900</v>
      </c>
      <c r="J22" s="116"/>
      <c r="K22" s="121">
        <f t="shared" si="6"/>
        <v>810550</v>
      </c>
      <c r="L22" s="121">
        <f>SUM(K$5:K22)</f>
        <v>17370878.620000001</v>
      </c>
      <c r="M22" s="126"/>
      <c r="N22" s="121">
        <f t="shared" si="19"/>
        <v>22312.05</v>
      </c>
      <c r="O22" s="121">
        <f t="shared" si="19"/>
        <v>16536.116666666665</v>
      </c>
      <c r="P22" s="121">
        <f t="shared" si="19"/>
        <v>20596.031166666668</v>
      </c>
      <c r="Q22" s="121">
        <f t="shared" si="19"/>
        <v>23778.333333333332</v>
      </c>
      <c r="R22" s="121">
        <f t="shared" si="19"/>
        <v>19815.833333333332</v>
      </c>
      <c r="S22" s="121">
        <f t="shared" si="19"/>
        <v>20279.5</v>
      </c>
      <c r="T22" s="121">
        <f t="shared" si="19"/>
        <v>14990.658333333333</v>
      </c>
      <c r="U22" s="121">
        <f t="shared" si="19"/>
        <v>19380.033333333333</v>
      </c>
      <c r="V22" s="121">
        <f t="shared" si="19"/>
        <v>14101.8</v>
      </c>
      <c r="W22" s="121">
        <f t="shared" si="19"/>
        <v>20871.917666666668</v>
      </c>
      <c r="X22" s="121">
        <f t="shared" si="19"/>
        <v>12815</v>
      </c>
      <c r="Y22" s="121">
        <f t="shared" si="21"/>
        <v>9932.5</v>
      </c>
      <c r="Z22" s="121">
        <f t="shared" si="21"/>
        <v>10956.916666666666</v>
      </c>
      <c r="AA22" s="121">
        <f t="shared" si="21"/>
        <v>10766.558333333332</v>
      </c>
      <c r="AB22" s="121">
        <f t="shared" si="21"/>
        <v>16498</v>
      </c>
      <c r="AC22" s="121">
        <f t="shared" si="21"/>
        <v>10582.5615</v>
      </c>
      <c r="AD22" s="121">
        <f t="shared" si="21"/>
        <v>11791.666666666666</v>
      </c>
      <c r="AE22" s="121">
        <f>+$K22/60</f>
        <v>13509.166666666666</v>
      </c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>
        <f t="shared" si="7"/>
        <v>289514.64366666664</v>
      </c>
      <c r="AX22" s="121">
        <f>SUM(AW$5:AW22)</f>
        <v>3058385.0504999999</v>
      </c>
      <c r="AY22" s="121">
        <f t="shared" si="8"/>
        <v>14312493.569500001</v>
      </c>
      <c r="AZ22" s="121">
        <f t="shared" si="15"/>
        <v>14602008.213166667</v>
      </c>
      <c r="BA22" s="126"/>
      <c r="BB22" s="121"/>
      <c r="BC22" s="121"/>
      <c r="BD22" s="121"/>
      <c r="BE22" s="121"/>
      <c r="BF22" s="121"/>
      <c r="BG22" s="121"/>
      <c r="BH22" s="121">
        <f t="shared" si="20"/>
        <v>74953.291666666672</v>
      </c>
      <c r="BI22" s="121">
        <f t="shared" si="20"/>
        <v>96900.166666666672</v>
      </c>
      <c r="BJ22" s="121">
        <f t="shared" si="20"/>
        <v>70509</v>
      </c>
      <c r="BK22" s="121">
        <f t="shared" si="20"/>
        <v>104359.58833333333</v>
      </c>
      <c r="BL22" s="121">
        <f t="shared" si="20"/>
        <v>64075</v>
      </c>
      <c r="BM22" s="121">
        <f t="shared" si="20"/>
        <v>49662.5</v>
      </c>
      <c r="BN22" s="121">
        <f t="shared" si="20"/>
        <v>54784.583333333336</v>
      </c>
      <c r="BO22" s="121">
        <f t="shared" si="20"/>
        <v>53832.791666666664</v>
      </c>
      <c r="BP22" s="121">
        <f t="shared" si="20"/>
        <v>82490</v>
      </c>
      <c r="BQ22" s="121">
        <f t="shared" si="20"/>
        <v>52912.807499999995</v>
      </c>
      <c r="BR22" s="121">
        <f t="shared" ref="BR22:CB37" si="22">+BR21</f>
        <v>58958.333333333336</v>
      </c>
      <c r="BS22" s="121">
        <f>$K22/12</f>
        <v>67545.833333333328</v>
      </c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>
        <f t="shared" si="9"/>
        <v>830983.89583333337</v>
      </c>
      <c r="CL22" s="126"/>
      <c r="CM22" s="211">
        <f t="shared" si="10"/>
        <v>830983.89583333337</v>
      </c>
      <c r="CN22" s="211">
        <f t="shared" si="11"/>
        <v>289514.64366666664</v>
      </c>
      <c r="CO22" s="121">
        <f t="shared" si="12"/>
        <v>-541469.25216666679</v>
      </c>
      <c r="CP22" s="121">
        <f>+CO22*'Capital Structure '!$E$30</f>
        <v>-221190.18951008338</v>
      </c>
      <c r="CQ22" s="121">
        <f>SUM(CP$5:CP22)</f>
        <v>-4118752.0382603332</v>
      </c>
    </row>
    <row r="23" spans="1:95" s="4" customFormat="1" outlineLevel="1">
      <c r="A23" s="29" t="s">
        <v>53</v>
      </c>
      <c r="B23" s="29">
        <f>+B22+1</f>
        <v>2015</v>
      </c>
      <c r="C23" s="33" t="s">
        <v>47</v>
      </c>
      <c r="D23" s="114">
        <v>24000</v>
      </c>
      <c r="E23" s="20">
        <v>610405.5</v>
      </c>
      <c r="F23" s="114"/>
      <c r="G23" s="114">
        <f t="shared" si="18"/>
        <v>634405.5</v>
      </c>
      <c r="H23" s="114"/>
      <c r="I23" s="114">
        <v>178500</v>
      </c>
      <c r="J23" s="114"/>
      <c r="K23" s="20">
        <f t="shared" si="6"/>
        <v>812905.5</v>
      </c>
      <c r="L23" s="20">
        <f>SUM(K$5:K23)</f>
        <v>18183784.120000001</v>
      </c>
      <c r="N23" s="20">
        <f t="shared" si="19"/>
        <v>22312.05</v>
      </c>
      <c r="O23" s="20">
        <f t="shared" si="19"/>
        <v>16536.116666666665</v>
      </c>
      <c r="P23" s="20">
        <f t="shared" si="19"/>
        <v>20596.031166666668</v>
      </c>
      <c r="Q23" s="20">
        <f t="shared" si="19"/>
        <v>23778.333333333332</v>
      </c>
      <c r="R23" s="20">
        <f t="shared" si="19"/>
        <v>19815.833333333332</v>
      </c>
      <c r="S23" s="20">
        <f t="shared" si="19"/>
        <v>20279.5</v>
      </c>
      <c r="T23" s="20">
        <f t="shared" si="19"/>
        <v>14990.658333333333</v>
      </c>
      <c r="U23" s="20">
        <f t="shared" si="19"/>
        <v>19380.033333333333</v>
      </c>
      <c r="V23" s="20">
        <f t="shared" si="19"/>
        <v>14101.8</v>
      </c>
      <c r="W23" s="20">
        <f t="shared" si="19"/>
        <v>20871.917666666668</v>
      </c>
      <c r="X23" s="20">
        <f t="shared" si="19"/>
        <v>12815</v>
      </c>
      <c r="Y23" s="20">
        <f t="shared" si="21"/>
        <v>9932.5</v>
      </c>
      <c r="Z23" s="20">
        <f t="shared" si="21"/>
        <v>10956.916666666666</v>
      </c>
      <c r="AA23" s="20">
        <f t="shared" si="21"/>
        <v>10766.558333333332</v>
      </c>
      <c r="AB23" s="20">
        <f t="shared" si="21"/>
        <v>16498</v>
      </c>
      <c r="AC23" s="20">
        <f t="shared" si="21"/>
        <v>10582.5615</v>
      </c>
      <c r="AD23" s="20">
        <f t="shared" si="21"/>
        <v>11791.666666666666</v>
      </c>
      <c r="AE23" s="20">
        <f t="shared" si="21"/>
        <v>13509.166666666666</v>
      </c>
      <c r="AF23" s="20">
        <f>+$K23/60</f>
        <v>13548.424999999999</v>
      </c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>
        <f t="shared" si="7"/>
        <v>303063.06866666663</v>
      </c>
      <c r="AX23" s="20">
        <f>SUM(AW$5:AW23)</f>
        <v>3361448.1191666666</v>
      </c>
      <c r="AY23" s="20">
        <f t="shared" si="8"/>
        <v>14822336.000833334</v>
      </c>
      <c r="AZ23" s="20">
        <f t="shared" si="15"/>
        <v>15125399.069500001</v>
      </c>
      <c r="BB23" s="20"/>
      <c r="BC23" s="20"/>
      <c r="BD23" s="20"/>
      <c r="BE23" s="20"/>
      <c r="BF23" s="20"/>
      <c r="BG23" s="20"/>
      <c r="BH23" s="20"/>
      <c r="BI23" s="20">
        <f t="shared" si="20"/>
        <v>96900.166666666672</v>
      </c>
      <c r="BJ23" s="20">
        <f t="shared" si="20"/>
        <v>70509</v>
      </c>
      <c r="BK23" s="20">
        <f t="shared" si="20"/>
        <v>104359.58833333333</v>
      </c>
      <c r="BL23" s="20">
        <f t="shared" si="20"/>
        <v>64075</v>
      </c>
      <c r="BM23" s="20">
        <f t="shared" si="20"/>
        <v>49662.5</v>
      </c>
      <c r="BN23" s="20">
        <f t="shared" si="20"/>
        <v>54784.583333333336</v>
      </c>
      <c r="BO23" s="20">
        <f t="shared" si="20"/>
        <v>53832.791666666664</v>
      </c>
      <c r="BP23" s="20">
        <f t="shared" si="20"/>
        <v>82490</v>
      </c>
      <c r="BQ23" s="20">
        <f t="shared" si="20"/>
        <v>52912.807499999995</v>
      </c>
      <c r="BR23" s="20">
        <f t="shared" si="22"/>
        <v>58958.333333333336</v>
      </c>
      <c r="BS23" s="20">
        <f t="shared" si="22"/>
        <v>67545.833333333328</v>
      </c>
      <c r="BT23" s="20">
        <f>+$K23/12</f>
        <v>67742.125</v>
      </c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>
        <f t="shared" si="9"/>
        <v>823772.72916666674</v>
      </c>
      <c r="CM23" s="35">
        <f t="shared" si="10"/>
        <v>823772.72916666674</v>
      </c>
      <c r="CN23" s="35">
        <f t="shared" si="11"/>
        <v>303063.06866666663</v>
      </c>
      <c r="CO23" s="20">
        <f t="shared" si="12"/>
        <v>-520709.66050000011</v>
      </c>
      <c r="CP23" s="20">
        <f>+CO23*'Capital Structure '!$E$30</f>
        <v>-212709.89631425004</v>
      </c>
      <c r="CQ23" s="20">
        <f>SUM(CP$5:CP23)</f>
        <v>-4331461.9345745835</v>
      </c>
    </row>
    <row r="24" spans="1:95" outlineLevel="1">
      <c r="A24" s="7" t="s">
        <v>54</v>
      </c>
      <c r="B24" s="7">
        <f>+B23</f>
        <v>2015</v>
      </c>
      <c r="C24" s="73" t="s">
        <v>47</v>
      </c>
      <c r="D24" s="114">
        <v>20000</v>
      </c>
      <c r="E24" s="18">
        <v>510470</v>
      </c>
      <c r="F24" s="114"/>
      <c r="G24" s="114">
        <f t="shared" si="18"/>
        <v>530470</v>
      </c>
      <c r="H24" s="114"/>
      <c r="I24" s="114">
        <v>148500</v>
      </c>
      <c r="J24" s="114"/>
      <c r="K24" s="18">
        <f t="shared" si="6"/>
        <v>678970</v>
      </c>
      <c r="L24" s="18">
        <f>SUM(K$5:K24)</f>
        <v>18862754.120000001</v>
      </c>
      <c r="N24" s="18">
        <f t="shared" si="19"/>
        <v>22312.05</v>
      </c>
      <c r="O24" s="18">
        <f t="shared" si="19"/>
        <v>16536.116666666665</v>
      </c>
      <c r="P24" s="18">
        <f t="shared" si="19"/>
        <v>20596.031166666668</v>
      </c>
      <c r="Q24" s="18">
        <f t="shared" si="19"/>
        <v>23778.333333333332</v>
      </c>
      <c r="R24" s="18">
        <f t="shared" si="19"/>
        <v>19815.833333333332</v>
      </c>
      <c r="S24" s="18">
        <f t="shared" si="19"/>
        <v>20279.5</v>
      </c>
      <c r="T24" s="18">
        <f t="shared" si="19"/>
        <v>14990.658333333333</v>
      </c>
      <c r="U24" s="18">
        <f t="shared" si="19"/>
        <v>19380.033333333333</v>
      </c>
      <c r="V24" s="18">
        <f t="shared" si="19"/>
        <v>14101.8</v>
      </c>
      <c r="W24" s="18">
        <f t="shared" si="19"/>
        <v>20871.917666666668</v>
      </c>
      <c r="X24" s="18">
        <f t="shared" si="19"/>
        <v>12815</v>
      </c>
      <c r="Y24" s="18">
        <f t="shared" si="21"/>
        <v>9932.5</v>
      </c>
      <c r="Z24" s="18">
        <f t="shared" si="21"/>
        <v>10956.916666666666</v>
      </c>
      <c r="AA24" s="18">
        <f t="shared" si="21"/>
        <v>10766.558333333332</v>
      </c>
      <c r="AB24" s="18">
        <f t="shared" si="21"/>
        <v>16498</v>
      </c>
      <c r="AC24" s="18">
        <f t="shared" si="21"/>
        <v>10582.5615</v>
      </c>
      <c r="AD24" s="18">
        <f t="shared" si="21"/>
        <v>11791.666666666666</v>
      </c>
      <c r="AE24" s="18">
        <f t="shared" si="21"/>
        <v>13509.166666666666</v>
      </c>
      <c r="AF24" s="18">
        <f t="shared" si="21"/>
        <v>13548.424999999999</v>
      </c>
      <c r="AG24" s="18">
        <f>+$K24/60</f>
        <v>11316.166666666666</v>
      </c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>
        <f t="shared" si="7"/>
        <v>314379.23533333332</v>
      </c>
      <c r="AX24" s="18">
        <f>SUM(AW$5:AW24)</f>
        <v>3675827.3544999999</v>
      </c>
      <c r="AY24" s="18">
        <f t="shared" si="8"/>
        <v>15186926.765500002</v>
      </c>
      <c r="AZ24" s="18">
        <f t="shared" si="15"/>
        <v>15501306.000833334</v>
      </c>
      <c r="BB24" s="18"/>
      <c r="BC24" s="18"/>
      <c r="BD24" s="18"/>
      <c r="BE24" s="18"/>
      <c r="BF24" s="18"/>
      <c r="BG24" s="18"/>
      <c r="BH24" s="18"/>
      <c r="BI24" s="18"/>
      <c r="BJ24" s="18">
        <f t="shared" si="20"/>
        <v>70509</v>
      </c>
      <c r="BK24" s="18">
        <f t="shared" si="20"/>
        <v>104359.58833333333</v>
      </c>
      <c r="BL24" s="18">
        <f t="shared" si="20"/>
        <v>64075</v>
      </c>
      <c r="BM24" s="18">
        <f t="shared" si="20"/>
        <v>49662.5</v>
      </c>
      <c r="BN24" s="18">
        <f t="shared" si="20"/>
        <v>54784.583333333336</v>
      </c>
      <c r="BO24" s="18">
        <f t="shared" si="20"/>
        <v>53832.791666666664</v>
      </c>
      <c r="BP24" s="18">
        <f t="shared" si="20"/>
        <v>82490</v>
      </c>
      <c r="BQ24" s="18">
        <f t="shared" si="20"/>
        <v>52912.807499999995</v>
      </c>
      <c r="BR24" s="18">
        <f t="shared" si="22"/>
        <v>58958.333333333336</v>
      </c>
      <c r="BS24" s="18">
        <f t="shared" si="22"/>
        <v>67545.833333333328</v>
      </c>
      <c r="BT24" s="18">
        <f t="shared" si="22"/>
        <v>67742.125</v>
      </c>
      <c r="BU24" s="18">
        <f>+$K24/12</f>
        <v>56580.833333333336</v>
      </c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>
        <f t="shared" si="9"/>
        <v>783453.39583333337</v>
      </c>
      <c r="CM24" s="22">
        <f t="shared" si="10"/>
        <v>783453.39583333337</v>
      </c>
      <c r="CN24" s="22">
        <f t="shared" si="11"/>
        <v>314379.23533333332</v>
      </c>
      <c r="CO24" s="18">
        <f t="shared" si="12"/>
        <v>-469074.16050000006</v>
      </c>
      <c r="CP24" s="18">
        <f>+CO24*'Capital Structure '!$E$30</f>
        <v>-191616.79456425001</v>
      </c>
      <c r="CQ24" s="18">
        <f>SUM(CP$5:CP24)</f>
        <v>-4523078.7291388335</v>
      </c>
    </row>
    <row r="25" spans="1:95" outlineLevel="1">
      <c r="A25" s="7" t="s">
        <v>55</v>
      </c>
      <c r="B25" s="7">
        <f>+B24</f>
        <v>2015</v>
      </c>
      <c r="C25" s="73" t="s">
        <v>47</v>
      </c>
      <c r="D25" s="114">
        <v>16000</v>
      </c>
      <c r="E25" s="18">
        <v>602613</v>
      </c>
      <c r="F25" s="114"/>
      <c r="G25" s="114">
        <f t="shared" si="18"/>
        <v>618613</v>
      </c>
      <c r="H25" s="114"/>
      <c r="I25" s="114">
        <v>201500</v>
      </c>
      <c r="J25" s="114"/>
      <c r="K25" s="18">
        <f t="shared" si="6"/>
        <v>820113</v>
      </c>
      <c r="L25" s="18">
        <f>SUM(K$5:K25)</f>
        <v>19682867.120000001</v>
      </c>
      <c r="N25" s="18">
        <f t="shared" si="19"/>
        <v>22312.05</v>
      </c>
      <c r="O25" s="18">
        <f t="shared" si="19"/>
        <v>16536.116666666665</v>
      </c>
      <c r="P25" s="18">
        <f t="shared" si="19"/>
        <v>20596.031166666668</v>
      </c>
      <c r="Q25" s="18">
        <f t="shared" si="19"/>
        <v>23778.333333333332</v>
      </c>
      <c r="R25" s="18">
        <f t="shared" si="19"/>
        <v>19815.833333333332</v>
      </c>
      <c r="S25" s="18">
        <f t="shared" si="19"/>
        <v>20279.5</v>
      </c>
      <c r="T25" s="18">
        <f t="shared" si="19"/>
        <v>14990.658333333333</v>
      </c>
      <c r="U25" s="18">
        <f t="shared" si="19"/>
        <v>19380.033333333333</v>
      </c>
      <c r="V25" s="18">
        <f t="shared" si="19"/>
        <v>14101.8</v>
      </c>
      <c r="W25" s="18">
        <f t="shared" si="19"/>
        <v>20871.917666666668</v>
      </c>
      <c r="X25" s="18">
        <f t="shared" si="19"/>
        <v>12815</v>
      </c>
      <c r="Y25" s="18">
        <f t="shared" si="21"/>
        <v>9932.5</v>
      </c>
      <c r="Z25" s="18">
        <f t="shared" si="21"/>
        <v>10956.916666666666</v>
      </c>
      <c r="AA25" s="18">
        <f t="shared" si="21"/>
        <v>10766.558333333332</v>
      </c>
      <c r="AB25" s="18">
        <f t="shared" si="21"/>
        <v>16498</v>
      </c>
      <c r="AC25" s="18">
        <f t="shared" si="21"/>
        <v>10582.5615</v>
      </c>
      <c r="AD25" s="18">
        <f t="shared" si="21"/>
        <v>11791.666666666666</v>
      </c>
      <c r="AE25" s="18">
        <f t="shared" si="21"/>
        <v>13509.166666666666</v>
      </c>
      <c r="AF25" s="18">
        <f t="shared" si="21"/>
        <v>13548.424999999999</v>
      </c>
      <c r="AG25" s="18">
        <f t="shared" si="21"/>
        <v>11316.166666666666</v>
      </c>
      <c r="AH25" s="18">
        <f>+$K25/60</f>
        <v>13668.55</v>
      </c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>
        <f t="shared" si="7"/>
        <v>328047.7853333333</v>
      </c>
      <c r="AX25" s="18">
        <f>SUM(AW$5:AW25)</f>
        <v>4003875.139833333</v>
      </c>
      <c r="AY25" s="18">
        <f t="shared" si="8"/>
        <v>15678991.980166668</v>
      </c>
      <c r="AZ25" s="18">
        <f t="shared" si="15"/>
        <v>16007039.765500002</v>
      </c>
      <c r="BB25" s="18"/>
      <c r="BC25" s="18"/>
      <c r="BD25" s="18"/>
      <c r="BE25" s="18"/>
      <c r="BF25" s="18"/>
      <c r="BG25" s="18"/>
      <c r="BH25" s="18"/>
      <c r="BI25" s="18"/>
      <c r="BJ25" s="18"/>
      <c r="BK25" s="18">
        <f t="shared" si="20"/>
        <v>104359.58833333333</v>
      </c>
      <c r="BL25" s="18">
        <f t="shared" si="20"/>
        <v>64075</v>
      </c>
      <c r="BM25" s="18">
        <f t="shared" si="20"/>
        <v>49662.5</v>
      </c>
      <c r="BN25" s="18">
        <f t="shared" si="20"/>
        <v>54784.583333333336</v>
      </c>
      <c r="BO25" s="18">
        <f t="shared" si="20"/>
        <v>53832.791666666664</v>
      </c>
      <c r="BP25" s="18">
        <f t="shared" si="20"/>
        <v>82490</v>
      </c>
      <c r="BQ25" s="18">
        <f t="shared" si="20"/>
        <v>52912.807499999995</v>
      </c>
      <c r="BR25" s="18">
        <f t="shared" si="22"/>
        <v>58958.333333333336</v>
      </c>
      <c r="BS25" s="18">
        <f t="shared" si="22"/>
        <v>67545.833333333328</v>
      </c>
      <c r="BT25" s="18">
        <f t="shared" si="22"/>
        <v>67742.125</v>
      </c>
      <c r="BU25" s="18">
        <f t="shared" si="22"/>
        <v>56580.833333333336</v>
      </c>
      <c r="BV25" s="18">
        <f>+$K25/12</f>
        <v>68342.75</v>
      </c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>
        <f t="shared" si="9"/>
        <v>781287.14583333337</v>
      </c>
      <c r="CM25" s="22">
        <f t="shared" si="10"/>
        <v>781287.14583333337</v>
      </c>
      <c r="CN25" s="22">
        <f t="shared" si="11"/>
        <v>328047.7853333333</v>
      </c>
      <c r="CO25" s="18">
        <f t="shared" si="12"/>
        <v>-453239.36050000007</v>
      </c>
      <c r="CP25" s="18">
        <f>+CO25*'Capital Structure '!$E$30</f>
        <v>-185148.27876425002</v>
      </c>
      <c r="CQ25" s="18">
        <f>SUM(CP$5:CP25)</f>
        <v>-4708227.0079030832</v>
      </c>
    </row>
    <row r="26" spans="1:95" outlineLevel="1">
      <c r="A26" s="7" t="s">
        <v>56</v>
      </c>
      <c r="B26" s="7">
        <f>+B25</f>
        <v>2015</v>
      </c>
      <c r="C26" s="73" t="s">
        <v>47</v>
      </c>
      <c r="D26" s="114">
        <v>30000</v>
      </c>
      <c r="E26" s="18">
        <v>480171</v>
      </c>
      <c r="F26" s="114"/>
      <c r="G26" s="114">
        <f t="shared" si="18"/>
        <v>510171</v>
      </c>
      <c r="H26" s="114"/>
      <c r="I26" s="114">
        <v>171500</v>
      </c>
      <c r="J26" s="114"/>
      <c r="K26" s="18">
        <f t="shared" si="6"/>
        <v>681671</v>
      </c>
      <c r="L26" s="18">
        <f>SUM(K$5:K26)</f>
        <v>20364538.120000001</v>
      </c>
      <c r="N26" s="18">
        <f t="shared" si="19"/>
        <v>22312.05</v>
      </c>
      <c r="O26" s="18">
        <f t="shared" si="19"/>
        <v>16536.116666666665</v>
      </c>
      <c r="P26" s="18">
        <f t="shared" si="19"/>
        <v>20596.031166666668</v>
      </c>
      <c r="Q26" s="18">
        <f t="shared" si="19"/>
        <v>23778.333333333332</v>
      </c>
      <c r="R26" s="18">
        <f t="shared" si="19"/>
        <v>19815.833333333332</v>
      </c>
      <c r="S26" s="18">
        <f t="shared" si="19"/>
        <v>20279.5</v>
      </c>
      <c r="T26" s="18">
        <f t="shared" si="19"/>
        <v>14990.658333333333</v>
      </c>
      <c r="U26" s="18">
        <f t="shared" si="19"/>
        <v>19380.033333333333</v>
      </c>
      <c r="V26" s="18">
        <f t="shared" si="19"/>
        <v>14101.8</v>
      </c>
      <c r="W26" s="18">
        <f t="shared" si="19"/>
        <v>20871.917666666668</v>
      </c>
      <c r="X26" s="18">
        <f t="shared" si="19"/>
        <v>12815</v>
      </c>
      <c r="Y26" s="18">
        <f t="shared" si="21"/>
        <v>9932.5</v>
      </c>
      <c r="Z26" s="18">
        <f t="shared" si="21"/>
        <v>10956.916666666666</v>
      </c>
      <c r="AA26" s="18">
        <f t="shared" si="21"/>
        <v>10766.558333333332</v>
      </c>
      <c r="AB26" s="18">
        <f t="shared" si="21"/>
        <v>16498</v>
      </c>
      <c r="AC26" s="18">
        <f t="shared" si="21"/>
        <v>10582.5615</v>
      </c>
      <c r="AD26" s="18">
        <f t="shared" si="21"/>
        <v>11791.666666666666</v>
      </c>
      <c r="AE26" s="18">
        <f t="shared" si="21"/>
        <v>13509.166666666666</v>
      </c>
      <c r="AF26" s="18">
        <f t="shared" si="21"/>
        <v>13548.424999999999</v>
      </c>
      <c r="AG26" s="18">
        <f t="shared" si="21"/>
        <v>11316.166666666666</v>
      </c>
      <c r="AH26" s="18">
        <f t="shared" si="21"/>
        <v>13668.55</v>
      </c>
      <c r="AI26" s="18">
        <f>+$K26/60</f>
        <v>11361.183333333332</v>
      </c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>
        <f t="shared" si="7"/>
        <v>339408.96866666665</v>
      </c>
      <c r="AX26" s="18">
        <f>SUM(AW$5:AW26)</f>
        <v>4343284.1085000001</v>
      </c>
      <c r="AY26" s="18">
        <f t="shared" si="8"/>
        <v>16021254.011500001</v>
      </c>
      <c r="AZ26" s="18">
        <f t="shared" si="15"/>
        <v>16360662.980166668</v>
      </c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>
        <f t="shared" si="20"/>
        <v>64075</v>
      </c>
      <c r="BM26" s="18">
        <f t="shared" si="20"/>
        <v>49662.5</v>
      </c>
      <c r="BN26" s="18">
        <f t="shared" si="20"/>
        <v>54784.583333333336</v>
      </c>
      <c r="BO26" s="18">
        <f t="shared" si="20"/>
        <v>53832.791666666664</v>
      </c>
      <c r="BP26" s="18">
        <f t="shared" si="20"/>
        <v>82490</v>
      </c>
      <c r="BQ26" s="18">
        <f t="shared" si="20"/>
        <v>52912.807499999995</v>
      </c>
      <c r="BR26" s="18">
        <f t="shared" si="22"/>
        <v>58958.333333333336</v>
      </c>
      <c r="BS26" s="18">
        <f t="shared" si="22"/>
        <v>67545.833333333328</v>
      </c>
      <c r="BT26" s="18">
        <f t="shared" si="22"/>
        <v>67742.125</v>
      </c>
      <c r="BU26" s="18">
        <f t="shared" si="22"/>
        <v>56580.833333333336</v>
      </c>
      <c r="BV26" s="18">
        <f t="shared" si="22"/>
        <v>68342.75</v>
      </c>
      <c r="BW26" s="18">
        <f>+$K26/12</f>
        <v>56805.916666666664</v>
      </c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>
        <f t="shared" si="9"/>
        <v>733733.47416666662</v>
      </c>
      <c r="CM26" s="22">
        <f t="shared" si="10"/>
        <v>733733.47416666662</v>
      </c>
      <c r="CN26" s="22">
        <f t="shared" si="11"/>
        <v>339408.96866666665</v>
      </c>
      <c r="CO26" s="18">
        <f t="shared" si="12"/>
        <v>-394324.50549999997</v>
      </c>
      <c r="CP26" s="18">
        <f>+CO26*'Capital Structure '!$E$30</f>
        <v>-161081.56049674997</v>
      </c>
      <c r="CQ26" s="18">
        <f>SUM(CP$5:CP26)</f>
        <v>-4869308.5683998335</v>
      </c>
    </row>
    <row r="27" spans="1:95" outlineLevel="1">
      <c r="A27" s="7" t="s">
        <v>57</v>
      </c>
      <c r="B27" s="7">
        <f>+B26</f>
        <v>2015</v>
      </c>
      <c r="C27" s="73" t="s">
        <v>47</v>
      </c>
      <c r="D27" s="114">
        <v>26000</v>
      </c>
      <c r="E27" s="18">
        <v>491547.2</v>
      </c>
      <c r="F27" s="114"/>
      <c r="G27" s="114">
        <f t="shared" si="18"/>
        <v>517547.2</v>
      </c>
      <c r="H27" s="114"/>
      <c r="I27" s="114">
        <v>184500</v>
      </c>
      <c r="J27" s="114"/>
      <c r="K27" s="18">
        <f t="shared" si="6"/>
        <v>702047.2</v>
      </c>
      <c r="L27" s="18">
        <f>SUM(K$5:K27)</f>
        <v>21066585.32</v>
      </c>
      <c r="N27" s="18">
        <f t="shared" si="19"/>
        <v>22312.05</v>
      </c>
      <c r="O27" s="18">
        <f t="shared" si="19"/>
        <v>16536.116666666665</v>
      </c>
      <c r="P27" s="18">
        <f t="shared" si="19"/>
        <v>20596.031166666668</v>
      </c>
      <c r="Q27" s="18">
        <f t="shared" si="19"/>
        <v>23778.333333333332</v>
      </c>
      <c r="R27" s="18">
        <f t="shared" si="19"/>
        <v>19815.833333333332</v>
      </c>
      <c r="S27" s="18">
        <f t="shared" si="19"/>
        <v>20279.5</v>
      </c>
      <c r="T27" s="18">
        <f t="shared" si="19"/>
        <v>14990.658333333333</v>
      </c>
      <c r="U27" s="18">
        <f t="shared" si="19"/>
        <v>19380.033333333333</v>
      </c>
      <c r="V27" s="18">
        <f t="shared" si="19"/>
        <v>14101.8</v>
      </c>
      <c r="W27" s="18">
        <f t="shared" si="19"/>
        <v>20871.917666666668</v>
      </c>
      <c r="X27" s="18">
        <f t="shared" si="19"/>
        <v>12815</v>
      </c>
      <c r="Y27" s="18">
        <f t="shared" si="21"/>
        <v>9932.5</v>
      </c>
      <c r="Z27" s="18">
        <f t="shared" si="21"/>
        <v>10956.916666666666</v>
      </c>
      <c r="AA27" s="18">
        <f t="shared" si="21"/>
        <v>10766.558333333332</v>
      </c>
      <c r="AB27" s="18">
        <f t="shared" si="21"/>
        <v>16498</v>
      </c>
      <c r="AC27" s="18">
        <f t="shared" si="21"/>
        <v>10582.5615</v>
      </c>
      <c r="AD27" s="18">
        <f t="shared" si="21"/>
        <v>11791.666666666666</v>
      </c>
      <c r="AE27" s="18">
        <f t="shared" si="21"/>
        <v>13509.166666666666</v>
      </c>
      <c r="AF27" s="18">
        <f t="shared" si="21"/>
        <v>13548.424999999999</v>
      </c>
      <c r="AG27" s="18">
        <f t="shared" si="21"/>
        <v>11316.166666666666</v>
      </c>
      <c r="AH27" s="18">
        <f t="shared" si="21"/>
        <v>13668.55</v>
      </c>
      <c r="AI27" s="18">
        <f t="shared" si="21"/>
        <v>11361.183333333332</v>
      </c>
      <c r="AJ27" s="18">
        <f>+$K27/60</f>
        <v>11700.786666666665</v>
      </c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>
        <f t="shared" si="7"/>
        <v>351109.75533333333</v>
      </c>
      <c r="AX27" s="18">
        <f>SUM(AW$5:AW27)</f>
        <v>4694393.8638333334</v>
      </c>
      <c r="AY27" s="18">
        <f t="shared" si="8"/>
        <v>16372191.456166666</v>
      </c>
      <c r="AZ27" s="18">
        <f t="shared" si="15"/>
        <v>16723301.2115</v>
      </c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>
        <f>+BM26</f>
        <v>49662.5</v>
      </c>
      <c r="BN27" s="18">
        <f>+BN26</f>
        <v>54784.583333333336</v>
      </c>
      <c r="BO27" s="18">
        <f>+BO26</f>
        <v>53832.791666666664</v>
      </c>
      <c r="BP27" s="18">
        <f>+BP26</f>
        <v>82490</v>
      </c>
      <c r="BQ27" s="18">
        <f>+BQ26</f>
        <v>52912.807499999995</v>
      </c>
      <c r="BR27" s="18">
        <f t="shared" si="22"/>
        <v>58958.333333333336</v>
      </c>
      <c r="BS27" s="18">
        <f t="shared" si="22"/>
        <v>67545.833333333328</v>
      </c>
      <c r="BT27" s="18">
        <f t="shared" si="22"/>
        <v>67742.125</v>
      </c>
      <c r="BU27" s="18">
        <f t="shared" si="22"/>
        <v>56580.833333333336</v>
      </c>
      <c r="BV27" s="18">
        <f t="shared" si="22"/>
        <v>68342.75</v>
      </c>
      <c r="BW27" s="18">
        <f t="shared" si="22"/>
        <v>56805.916666666664</v>
      </c>
      <c r="BX27" s="18">
        <f>+$K27/12</f>
        <v>58503.933333333327</v>
      </c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>
        <f t="shared" si="9"/>
        <v>728162.40749999997</v>
      </c>
      <c r="CM27" s="22">
        <f t="shared" si="10"/>
        <v>728162.40749999997</v>
      </c>
      <c r="CN27" s="22">
        <f t="shared" si="11"/>
        <v>351109.75533333333</v>
      </c>
      <c r="CO27" s="18">
        <f t="shared" si="12"/>
        <v>-377052.65216666664</v>
      </c>
      <c r="CP27" s="18">
        <f>+CO27*'Capital Structure '!$E$30</f>
        <v>-154026.0084100833</v>
      </c>
      <c r="CQ27" s="18">
        <f>SUM(CP$5:CP27)</f>
        <v>-5023334.5768099166</v>
      </c>
    </row>
    <row r="28" spans="1:95" outlineLevel="1">
      <c r="A28" s="7" t="s">
        <v>58</v>
      </c>
      <c r="B28" s="7">
        <f>+B27</f>
        <v>2015</v>
      </c>
      <c r="C28" s="73" t="s">
        <v>47</v>
      </c>
      <c r="D28" s="114">
        <v>12000</v>
      </c>
      <c r="E28" s="18">
        <v>510000</v>
      </c>
      <c r="F28" s="114"/>
      <c r="G28" s="114">
        <f t="shared" si="18"/>
        <v>522000</v>
      </c>
      <c r="H28" s="114"/>
      <c r="I28" s="114">
        <v>191500</v>
      </c>
      <c r="J28" s="114"/>
      <c r="K28" s="18">
        <f t="shared" si="6"/>
        <v>713500</v>
      </c>
      <c r="L28" s="18">
        <f>SUM(K$5:K28)</f>
        <v>21780085.32</v>
      </c>
      <c r="N28" s="18">
        <f t="shared" si="19"/>
        <v>22312.05</v>
      </c>
      <c r="O28" s="18">
        <f t="shared" si="19"/>
        <v>16536.116666666665</v>
      </c>
      <c r="P28" s="18">
        <f t="shared" si="19"/>
        <v>20596.031166666668</v>
      </c>
      <c r="Q28" s="18">
        <f t="shared" si="19"/>
        <v>23778.333333333332</v>
      </c>
      <c r="R28" s="18">
        <f t="shared" si="19"/>
        <v>19815.833333333332</v>
      </c>
      <c r="S28" s="18">
        <f t="shared" si="19"/>
        <v>20279.5</v>
      </c>
      <c r="T28" s="18">
        <f t="shared" si="19"/>
        <v>14990.658333333333</v>
      </c>
      <c r="U28" s="18">
        <f t="shared" si="19"/>
        <v>19380.033333333333</v>
      </c>
      <c r="V28" s="18">
        <f t="shared" si="19"/>
        <v>14101.8</v>
      </c>
      <c r="W28" s="18">
        <f t="shared" si="19"/>
        <v>20871.917666666668</v>
      </c>
      <c r="X28" s="18">
        <f t="shared" si="19"/>
        <v>12815</v>
      </c>
      <c r="Y28" s="18">
        <f t="shared" si="21"/>
        <v>9932.5</v>
      </c>
      <c r="Z28" s="18">
        <f t="shared" si="21"/>
        <v>10956.916666666666</v>
      </c>
      <c r="AA28" s="18">
        <f t="shared" si="21"/>
        <v>10766.558333333332</v>
      </c>
      <c r="AB28" s="18">
        <f t="shared" si="21"/>
        <v>16498</v>
      </c>
      <c r="AC28" s="18">
        <f t="shared" si="21"/>
        <v>10582.5615</v>
      </c>
      <c r="AD28" s="18">
        <f t="shared" si="21"/>
        <v>11791.666666666666</v>
      </c>
      <c r="AE28" s="18">
        <f t="shared" si="21"/>
        <v>13509.166666666666</v>
      </c>
      <c r="AF28" s="18">
        <f t="shared" si="21"/>
        <v>13548.424999999999</v>
      </c>
      <c r="AG28" s="18">
        <f t="shared" si="21"/>
        <v>11316.166666666666</v>
      </c>
      <c r="AH28" s="18">
        <f t="shared" si="21"/>
        <v>13668.55</v>
      </c>
      <c r="AI28" s="18">
        <f t="shared" si="21"/>
        <v>11361.183333333332</v>
      </c>
      <c r="AJ28" s="18">
        <f t="shared" si="21"/>
        <v>11700.786666666665</v>
      </c>
      <c r="AK28" s="18">
        <f>+$K28/60</f>
        <v>11891.666666666666</v>
      </c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>
        <f t="shared" si="7"/>
        <v>363001.42200000002</v>
      </c>
      <c r="AX28" s="18">
        <f>SUM(AW$5:AW28)</f>
        <v>5057395.2858333336</v>
      </c>
      <c r="AY28" s="18">
        <f t="shared" si="8"/>
        <v>16722690.034166668</v>
      </c>
      <c r="AZ28" s="18">
        <f t="shared" si="15"/>
        <v>17085691.456166666</v>
      </c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>
        <f>+BN27</f>
        <v>54784.583333333336</v>
      </c>
      <c r="BO28" s="18">
        <f>+BO27</f>
        <v>53832.791666666664</v>
      </c>
      <c r="BP28" s="18">
        <f>+BP27</f>
        <v>82490</v>
      </c>
      <c r="BQ28" s="18">
        <f>+BQ27</f>
        <v>52912.807499999995</v>
      </c>
      <c r="BR28" s="18">
        <f t="shared" si="22"/>
        <v>58958.333333333336</v>
      </c>
      <c r="BS28" s="18">
        <f t="shared" si="22"/>
        <v>67545.833333333328</v>
      </c>
      <c r="BT28" s="18">
        <f t="shared" si="22"/>
        <v>67742.125</v>
      </c>
      <c r="BU28" s="18">
        <f t="shared" si="22"/>
        <v>56580.833333333336</v>
      </c>
      <c r="BV28" s="18">
        <f t="shared" si="22"/>
        <v>68342.75</v>
      </c>
      <c r="BW28" s="18">
        <f t="shared" si="22"/>
        <v>56805.916666666664</v>
      </c>
      <c r="BX28" s="18">
        <f t="shared" si="22"/>
        <v>58503.933333333327</v>
      </c>
      <c r="BY28" s="18">
        <f>+$K28/12</f>
        <v>59458.333333333336</v>
      </c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>
        <f t="shared" si="9"/>
        <v>737958.24083333323</v>
      </c>
      <c r="CM28" s="22">
        <f t="shared" si="10"/>
        <v>737958.24083333323</v>
      </c>
      <c r="CN28" s="22">
        <f t="shared" si="11"/>
        <v>363001.42200000002</v>
      </c>
      <c r="CO28" s="18">
        <f t="shared" si="12"/>
        <v>-374956.81883333321</v>
      </c>
      <c r="CP28" s="18">
        <f>+CO28*'Capital Structure '!$E$30</f>
        <v>-153169.86049341661</v>
      </c>
      <c r="CQ28" s="18">
        <f>SUM(CP$5:CP28)</f>
        <v>-5176504.4373033335</v>
      </c>
    </row>
    <row r="29" spans="1:95" outlineLevel="1">
      <c r="A29" s="7" t="s">
        <v>59</v>
      </c>
      <c r="B29" s="7">
        <f t="shared" ref="B29:B34" si="23">+B28</f>
        <v>2015</v>
      </c>
      <c r="C29" s="73" t="s">
        <v>47</v>
      </c>
      <c r="D29" s="114">
        <v>10000</v>
      </c>
      <c r="E29" s="18">
        <v>272105.34999999998</v>
      </c>
      <c r="F29" s="114"/>
      <c r="G29" s="114">
        <f t="shared" si="18"/>
        <v>282105.34999999998</v>
      </c>
      <c r="H29" s="114"/>
      <c r="I29" s="18">
        <v>124000</v>
      </c>
      <c r="J29" s="114"/>
      <c r="K29" s="18">
        <f t="shared" si="6"/>
        <v>406105.35</v>
      </c>
      <c r="L29" s="18">
        <f>SUM(K$5:K29)</f>
        <v>22186190.670000002</v>
      </c>
      <c r="N29" s="18">
        <f t="shared" si="19"/>
        <v>22312.05</v>
      </c>
      <c r="O29" s="18">
        <f t="shared" si="19"/>
        <v>16536.116666666665</v>
      </c>
      <c r="P29" s="18">
        <f t="shared" si="19"/>
        <v>20596.031166666668</v>
      </c>
      <c r="Q29" s="18">
        <f t="shared" si="19"/>
        <v>23778.333333333332</v>
      </c>
      <c r="R29" s="18">
        <f t="shared" si="19"/>
        <v>19815.833333333332</v>
      </c>
      <c r="S29" s="18">
        <f t="shared" si="19"/>
        <v>20279.5</v>
      </c>
      <c r="T29" s="18">
        <f t="shared" si="19"/>
        <v>14990.658333333333</v>
      </c>
      <c r="U29" s="18">
        <f t="shared" si="19"/>
        <v>19380.033333333333</v>
      </c>
      <c r="V29" s="18">
        <f t="shared" si="19"/>
        <v>14101.8</v>
      </c>
      <c r="W29" s="18">
        <f t="shared" si="19"/>
        <v>20871.917666666668</v>
      </c>
      <c r="X29" s="18">
        <f t="shared" si="19"/>
        <v>12815</v>
      </c>
      <c r="Y29" s="18">
        <f t="shared" si="21"/>
        <v>9932.5</v>
      </c>
      <c r="Z29" s="18">
        <f t="shared" si="21"/>
        <v>10956.916666666666</v>
      </c>
      <c r="AA29" s="18">
        <f t="shared" si="21"/>
        <v>10766.558333333332</v>
      </c>
      <c r="AB29" s="18">
        <f t="shared" si="21"/>
        <v>16498</v>
      </c>
      <c r="AC29" s="18">
        <f t="shared" si="21"/>
        <v>10582.5615</v>
      </c>
      <c r="AD29" s="18">
        <f t="shared" si="21"/>
        <v>11791.666666666666</v>
      </c>
      <c r="AE29" s="18">
        <f t="shared" si="21"/>
        <v>13509.166666666666</v>
      </c>
      <c r="AF29" s="18">
        <f t="shared" si="21"/>
        <v>13548.424999999999</v>
      </c>
      <c r="AG29" s="18">
        <f t="shared" si="21"/>
        <v>11316.166666666666</v>
      </c>
      <c r="AH29" s="18">
        <f t="shared" si="21"/>
        <v>13668.55</v>
      </c>
      <c r="AI29" s="18">
        <f t="shared" si="21"/>
        <v>11361.183333333332</v>
      </c>
      <c r="AJ29" s="18">
        <f t="shared" si="21"/>
        <v>11700.786666666665</v>
      </c>
      <c r="AK29" s="18">
        <f>+AK28</f>
        <v>11891.666666666666</v>
      </c>
      <c r="AL29" s="18">
        <f>+$K29/60</f>
        <v>6768.4224999999997</v>
      </c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>
        <f t="shared" si="7"/>
        <v>369769.84450000001</v>
      </c>
      <c r="AX29" s="18">
        <f>SUM(AW$5:AW29)</f>
        <v>5427165.1303333333</v>
      </c>
      <c r="AY29" s="18">
        <f t="shared" si="8"/>
        <v>16759025.539666668</v>
      </c>
      <c r="AZ29" s="18">
        <f t="shared" si="15"/>
        <v>17128795.384166669</v>
      </c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>
        <f>+BO28</f>
        <v>53832.791666666664</v>
      </c>
      <c r="BP29" s="18">
        <f>+BP28</f>
        <v>82490</v>
      </c>
      <c r="BQ29" s="18">
        <f>+BQ28</f>
        <v>52912.807499999995</v>
      </c>
      <c r="BR29" s="18">
        <f t="shared" si="22"/>
        <v>58958.333333333336</v>
      </c>
      <c r="BS29" s="18">
        <f t="shared" si="22"/>
        <v>67545.833333333328</v>
      </c>
      <c r="BT29" s="18">
        <f t="shared" si="22"/>
        <v>67742.125</v>
      </c>
      <c r="BU29" s="18">
        <f t="shared" si="22"/>
        <v>56580.833333333336</v>
      </c>
      <c r="BV29" s="18">
        <f t="shared" si="22"/>
        <v>68342.75</v>
      </c>
      <c r="BW29" s="18">
        <f t="shared" si="22"/>
        <v>56805.916666666664</v>
      </c>
      <c r="BX29" s="18">
        <f t="shared" si="22"/>
        <v>58503.933333333327</v>
      </c>
      <c r="BY29" s="18">
        <f t="shared" si="22"/>
        <v>59458.333333333336</v>
      </c>
      <c r="BZ29" s="18">
        <f>+$K29/12</f>
        <v>33842.112499999996</v>
      </c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>
        <f t="shared" si="9"/>
        <v>717015.77</v>
      </c>
      <c r="CM29" s="22">
        <f t="shared" si="10"/>
        <v>717015.77</v>
      </c>
      <c r="CN29" s="22">
        <f t="shared" si="11"/>
        <v>369769.84450000001</v>
      </c>
      <c r="CO29" s="18">
        <f t="shared" si="12"/>
        <v>-347245.92550000001</v>
      </c>
      <c r="CP29" s="18">
        <f>+CO29*'Capital Structure '!$E$30</f>
        <v>-141849.96056675</v>
      </c>
      <c r="CQ29" s="18">
        <f>SUM(CP$5:CP29)</f>
        <v>-5318354.3978700833</v>
      </c>
    </row>
    <row r="30" spans="1:95" outlineLevel="1">
      <c r="A30" s="7" t="s">
        <v>46</v>
      </c>
      <c r="B30" s="7">
        <f t="shared" si="23"/>
        <v>2015</v>
      </c>
      <c r="C30" s="73" t="s">
        <v>47</v>
      </c>
      <c r="D30" s="114">
        <v>18000</v>
      </c>
      <c r="E30" s="18">
        <v>609000</v>
      </c>
      <c r="F30" s="114"/>
      <c r="G30" s="114">
        <f t="shared" si="18"/>
        <v>627000</v>
      </c>
      <c r="H30" s="114"/>
      <c r="I30" s="18">
        <v>78000</v>
      </c>
      <c r="J30" s="114"/>
      <c r="K30" s="18">
        <f t="shared" si="6"/>
        <v>705000</v>
      </c>
      <c r="L30" s="18">
        <f>SUM(K$5:K30)</f>
        <v>22891190.670000002</v>
      </c>
      <c r="N30" s="18">
        <f t="shared" si="19"/>
        <v>22312.05</v>
      </c>
      <c r="O30" s="18">
        <f t="shared" si="19"/>
        <v>16536.116666666665</v>
      </c>
      <c r="P30" s="18">
        <f t="shared" si="19"/>
        <v>20596.031166666668</v>
      </c>
      <c r="Q30" s="18">
        <f t="shared" si="19"/>
        <v>23778.333333333332</v>
      </c>
      <c r="R30" s="18">
        <f t="shared" si="19"/>
        <v>19815.833333333332</v>
      </c>
      <c r="S30" s="18">
        <f t="shared" si="19"/>
        <v>20279.5</v>
      </c>
      <c r="T30" s="18">
        <f t="shared" si="19"/>
        <v>14990.658333333333</v>
      </c>
      <c r="U30" s="18">
        <f t="shared" si="19"/>
        <v>19380.033333333333</v>
      </c>
      <c r="V30" s="18">
        <f t="shared" si="19"/>
        <v>14101.8</v>
      </c>
      <c r="W30" s="18">
        <f t="shared" si="19"/>
        <v>20871.917666666668</v>
      </c>
      <c r="X30" s="18">
        <f t="shared" si="19"/>
        <v>12815</v>
      </c>
      <c r="Y30" s="18">
        <f t="shared" si="21"/>
        <v>9932.5</v>
      </c>
      <c r="Z30" s="18">
        <f t="shared" si="21"/>
        <v>10956.916666666666</v>
      </c>
      <c r="AA30" s="18">
        <f t="shared" si="21"/>
        <v>10766.558333333332</v>
      </c>
      <c r="AB30" s="18">
        <f t="shared" si="21"/>
        <v>16498</v>
      </c>
      <c r="AC30" s="18">
        <f t="shared" si="21"/>
        <v>10582.5615</v>
      </c>
      <c r="AD30" s="18">
        <f t="shared" si="21"/>
        <v>11791.666666666666</v>
      </c>
      <c r="AE30" s="18">
        <f t="shared" si="21"/>
        <v>13509.166666666666</v>
      </c>
      <c r="AF30" s="18">
        <f t="shared" si="21"/>
        <v>13548.424999999999</v>
      </c>
      <c r="AG30" s="18">
        <f t="shared" si="21"/>
        <v>11316.166666666666</v>
      </c>
      <c r="AH30" s="18">
        <f t="shared" si="21"/>
        <v>13668.55</v>
      </c>
      <c r="AI30" s="18">
        <f t="shared" si="21"/>
        <v>11361.183333333332</v>
      </c>
      <c r="AJ30" s="18">
        <f t="shared" si="21"/>
        <v>11700.786666666665</v>
      </c>
      <c r="AK30" s="18">
        <f>+AK29</f>
        <v>11891.666666666666</v>
      </c>
      <c r="AL30" s="18">
        <f>+AL29</f>
        <v>6768.4224999999997</v>
      </c>
      <c r="AM30" s="18">
        <f>+$K30/60</f>
        <v>11750</v>
      </c>
      <c r="AN30" s="18"/>
      <c r="AO30" s="18"/>
      <c r="AP30" s="18"/>
      <c r="AQ30" s="18"/>
      <c r="AR30" s="18"/>
      <c r="AS30" s="18"/>
      <c r="AT30" s="18"/>
      <c r="AU30" s="18"/>
      <c r="AV30" s="18"/>
      <c r="AW30" s="18">
        <f t="shared" si="7"/>
        <v>381519.84450000001</v>
      </c>
      <c r="AX30" s="18">
        <f>SUM(AW$5:AW30)</f>
        <v>5808684.9748333329</v>
      </c>
      <c r="AY30" s="18">
        <f t="shared" si="8"/>
        <v>17082505.69516667</v>
      </c>
      <c r="AZ30" s="18">
        <f t="shared" si="15"/>
        <v>17464025.539666668</v>
      </c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>
        <f>+BP29</f>
        <v>82490</v>
      </c>
      <c r="BQ30" s="18">
        <f>+BQ29</f>
        <v>52912.807499999995</v>
      </c>
      <c r="BR30" s="18">
        <f t="shared" si="22"/>
        <v>58958.333333333336</v>
      </c>
      <c r="BS30" s="18">
        <f t="shared" si="22"/>
        <v>67545.833333333328</v>
      </c>
      <c r="BT30" s="18">
        <f t="shared" si="22"/>
        <v>67742.125</v>
      </c>
      <c r="BU30" s="18">
        <f t="shared" si="22"/>
        <v>56580.833333333336</v>
      </c>
      <c r="BV30" s="18">
        <f t="shared" si="22"/>
        <v>68342.75</v>
      </c>
      <c r="BW30" s="18">
        <f t="shared" si="22"/>
        <v>56805.916666666664</v>
      </c>
      <c r="BX30" s="18">
        <f t="shared" si="22"/>
        <v>58503.933333333327</v>
      </c>
      <c r="BY30" s="18">
        <f t="shared" si="22"/>
        <v>59458.333333333336</v>
      </c>
      <c r="BZ30" s="18">
        <f t="shared" si="22"/>
        <v>33842.112499999996</v>
      </c>
      <c r="CA30" s="18">
        <f>+$K30/12</f>
        <v>58750</v>
      </c>
      <c r="CB30" s="18"/>
      <c r="CC30" s="18"/>
      <c r="CD30" s="18"/>
      <c r="CE30" s="18"/>
      <c r="CF30" s="18"/>
      <c r="CG30" s="18"/>
      <c r="CH30" s="18"/>
      <c r="CI30" s="18"/>
      <c r="CJ30" s="18"/>
      <c r="CK30" s="18">
        <f t="shared" si="9"/>
        <v>721932.97833333339</v>
      </c>
      <c r="CM30" s="22">
        <f t="shared" si="10"/>
        <v>721932.97833333339</v>
      </c>
      <c r="CN30" s="22">
        <f t="shared" si="11"/>
        <v>381519.84450000001</v>
      </c>
      <c r="CO30" s="18">
        <f t="shared" si="12"/>
        <v>-340413.13383333338</v>
      </c>
      <c r="CP30" s="18">
        <f>+CO30*'Capital Structure '!$E$30</f>
        <v>-139058.76517091668</v>
      </c>
      <c r="CQ30" s="18">
        <f>SUM(CP$5:CP30)</f>
        <v>-5457413.1630410003</v>
      </c>
    </row>
    <row r="31" spans="1:95" outlineLevel="1">
      <c r="A31" s="7" t="s">
        <v>48</v>
      </c>
      <c r="B31" s="7">
        <f t="shared" si="23"/>
        <v>2015</v>
      </c>
      <c r="C31" s="73" t="s">
        <v>47</v>
      </c>
      <c r="D31" s="114">
        <v>30000</v>
      </c>
      <c r="E31" s="18">
        <v>833720</v>
      </c>
      <c r="F31" s="114"/>
      <c r="G31" s="114">
        <f t="shared" si="18"/>
        <v>863720</v>
      </c>
      <c r="H31" s="114"/>
      <c r="I31" s="18">
        <v>4000</v>
      </c>
      <c r="J31" s="114"/>
      <c r="K31" s="18">
        <f t="shared" si="6"/>
        <v>867720</v>
      </c>
      <c r="L31" s="18">
        <f>SUM(K$5:K31)</f>
        <v>23758910.670000002</v>
      </c>
      <c r="N31" s="18">
        <f t="shared" ref="N31:X45" si="24">+N30</f>
        <v>22312.05</v>
      </c>
      <c r="O31" s="18">
        <f t="shared" si="24"/>
        <v>16536.116666666665</v>
      </c>
      <c r="P31" s="18">
        <f t="shared" si="24"/>
        <v>20596.031166666668</v>
      </c>
      <c r="Q31" s="18">
        <f t="shared" si="24"/>
        <v>23778.333333333332</v>
      </c>
      <c r="R31" s="18">
        <f t="shared" si="24"/>
        <v>19815.833333333332</v>
      </c>
      <c r="S31" s="18">
        <f t="shared" si="24"/>
        <v>20279.5</v>
      </c>
      <c r="T31" s="18">
        <f t="shared" si="24"/>
        <v>14990.658333333333</v>
      </c>
      <c r="U31" s="18">
        <f t="shared" si="24"/>
        <v>19380.033333333333</v>
      </c>
      <c r="V31" s="18">
        <f t="shared" si="24"/>
        <v>14101.8</v>
      </c>
      <c r="W31" s="18">
        <f t="shared" si="24"/>
        <v>20871.917666666668</v>
      </c>
      <c r="X31" s="18">
        <f t="shared" si="24"/>
        <v>12815</v>
      </c>
      <c r="Y31" s="18">
        <f t="shared" si="21"/>
        <v>9932.5</v>
      </c>
      <c r="Z31" s="18">
        <f t="shared" si="21"/>
        <v>10956.916666666666</v>
      </c>
      <c r="AA31" s="18">
        <f t="shared" si="21"/>
        <v>10766.558333333332</v>
      </c>
      <c r="AB31" s="18">
        <f t="shared" si="21"/>
        <v>16498</v>
      </c>
      <c r="AC31" s="18">
        <f t="shared" si="21"/>
        <v>10582.5615</v>
      </c>
      <c r="AD31" s="18">
        <f t="shared" si="21"/>
        <v>11791.666666666666</v>
      </c>
      <c r="AE31" s="18">
        <f t="shared" si="21"/>
        <v>13509.166666666666</v>
      </c>
      <c r="AF31" s="18">
        <f t="shared" si="21"/>
        <v>13548.424999999999</v>
      </c>
      <c r="AG31" s="18">
        <f t="shared" si="21"/>
        <v>11316.166666666666</v>
      </c>
      <c r="AH31" s="18">
        <f t="shared" si="21"/>
        <v>13668.55</v>
      </c>
      <c r="AI31" s="18">
        <f t="shared" si="21"/>
        <v>11361.183333333332</v>
      </c>
      <c r="AJ31" s="18">
        <f t="shared" si="21"/>
        <v>11700.786666666665</v>
      </c>
      <c r="AK31" s="18">
        <f>+AK30</f>
        <v>11891.666666666666</v>
      </c>
      <c r="AL31" s="18">
        <f>+AL30</f>
        <v>6768.4224999999997</v>
      </c>
      <c r="AM31" s="18">
        <f>+AM30</f>
        <v>11750</v>
      </c>
      <c r="AN31" s="18">
        <f>+$K31/60</f>
        <v>14462</v>
      </c>
      <c r="AO31" s="18"/>
      <c r="AP31" s="18"/>
      <c r="AQ31" s="18"/>
      <c r="AR31" s="18"/>
      <c r="AS31" s="18"/>
      <c r="AT31" s="18"/>
      <c r="AU31" s="18"/>
      <c r="AV31" s="18"/>
      <c r="AW31" s="18">
        <f t="shared" si="7"/>
        <v>395981.84450000001</v>
      </c>
      <c r="AX31" s="18">
        <f>SUM(AW$5:AW31)</f>
        <v>6204666.8193333326</v>
      </c>
      <c r="AY31" s="18">
        <f t="shared" si="8"/>
        <v>17554243.850666668</v>
      </c>
      <c r="AZ31" s="18">
        <f t="shared" si="15"/>
        <v>17950225.69516667</v>
      </c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>
        <f>+BQ30</f>
        <v>52912.807499999995</v>
      </c>
      <c r="BR31" s="18">
        <f t="shared" si="22"/>
        <v>58958.333333333336</v>
      </c>
      <c r="BS31" s="18">
        <f t="shared" si="22"/>
        <v>67545.833333333328</v>
      </c>
      <c r="BT31" s="18">
        <f t="shared" si="22"/>
        <v>67742.125</v>
      </c>
      <c r="BU31" s="18">
        <f t="shared" si="22"/>
        <v>56580.833333333336</v>
      </c>
      <c r="BV31" s="18">
        <f t="shared" si="22"/>
        <v>68342.75</v>
      </c>
      <c r="BW31" s="18">
        <f t="shared" si="22"/>
        <v>56805.916666666664</v>
      </c>
      <c r="BX31" s="18">
        <f t="shared" si="22"/>
        <v>58503.933333333327</v>
      </c>
      <c r="BY31" s="18">
        <f t="shared" si="22"/>
        <v>59458.333333333336</v>
      </c>
      <c r="BZ31" s="18">
        <f t="shared" si="22"/>
        <v>33842.112499999996</v>
      </c>
      <c r="CA31" s="18">
        <f t="shared" si="22"/>
        <v>58750</v>
      </c>
      <c r="CB31" s="39">
        <f>$K31/12</f>
        <v>72310</v>
      </c>
      <c r="CC31" s="39"/>
      <c r="CD31" s="39"/>
      <c r="CE31" s="39"/>
      <c r="CF31" s="39"/>
      <c r="CG31" s="39"/>
      <c r="CH31" s="39"/>
      <c r="CI31" s="39"/>
      <c r="CJ31" s="18"/>
      <c r="CK31" s="18">
        <f t="shared" si="9"/>
        <v>711752.97833333339</v>
      </c>
      <c r="CM31" s="22">
        <f t="shared" si="10"/>
        <v>711752.97833333339</v>
      </c>
      <c r="CN31" s="22">
        <f t="shared" si="11"/>
        <v>395981.84450000001</v>
      </c>
      <c r="CO31" s="18">
        <f t="shared" si="12"/>
        <v>-315771.13383333338</v>
      </c>
      <c r="CP31" s="18">
        <f>+CO31*'Capital Structure '!$E$30</f>
        <v>-128992.50817091668</v>
      </c>
      <c r="CQ31" s="18">
        <f>SUM(CP$5:CP31)</f>
        <v>-5586405.671211917</v>
      </c>
    </row>
    <row r="32" spans="1:95" outlineLevel="1">
      <c r="A32" s="7" t="s">
        <v>50</v>
      </c>
      <c r="B32" s="7">
        <f t="shared" si="23"/>
        <v>2015</v>
      </c>
      <c r="C32" s="73" t="s">
        <v>47</v>
      </c>
      <c r="D32" s="114">
        <v>6000</v>
      </c>
      <c r="E32" s="18">
        <v>618000</v>
      </c>
      <c r="F32" s="114"/>
      <c r="G32" s="114">
        <f t="shared" si="18"/>
        <v>624000</v>
      </c>
      <c r="H32" s="114"/>
      <c r="I32" s="18">
        <v>2000</v>
      </c>
      <c r="J32" s="114"/>
      <c r="K32" s="18">
        <f t="shared" si="6"/>
        <v>626000</v>
      </c>
      <c r="L32" s="18">
        <f>SUM(K$5:K32)</f>
        <v>24384910.670000002</v>
      </c>
      <c r="N32" s="18">
        <f t="shared" si="24"/>
        <v>22312.05</v>
      </c>
      <c r="O32" s="18">
        <f t="shared" si="24"/>
        <v>16536.116666666665</v>
      </c>
      <c r="P32" s="18">
        <f t="shared" si="24"/>
        <v>20596.031166666668</v>
      </c>
      <c r="Q32" s="18">
        <f t="shared" si="24"/>
        <v>23778.333333333332</v>
      </c>
      <c r="R32" s="18">
        <f t="shared" si="24"/>
        <v>19815.833333333332</v>
      </c>
      <c r="S32" s="18">
        <f t="shared" si="24"/>
        <v>20279.5</v>
      </c>
      <c r="T32" s="18">
        <f t="shared" si="24"/>
        <v>14990.658333333333</v>
      </c>
      <c r="U32" s="18">
        <f t="shared" si="24"/>
        <v>19380.033333333333</v>
      </c>
      <c r="V32" s="18">
        <f t="shared" si="24"/>
        <v>14101.8</v>
      </c>
      <c r="W32" s="18">
        <f t="shared" si="24"/>
        <v>20871.917666666668</v>
      </c>
      <c r="X32" s="18">
        <f t="shared" si="24"/>
        <v>12815</v>
      </c>
      <c r="Y32" s="18">
        <f t="shared" si="21"/>
        <v>9932.5</v>
      </c>
      <c r="Z32" s="18">
        <f t="shared" si="21"/>
        <v>10956.916666666666</v>
      </c>
      <c r="AA32" s="18">
        <f t="shared" si="21"/>
        <v>10766.558333333332</v>
      </c>
      <c r="AB32" s="18">
        <f t="shared" si="21"/>
        <v>16498</v>
      </c>
      <c r="AC32" s="18">
        <f t="shared" si="21"/>
        <v>10582.5615</v>
      </c>
      <c r="AD32" s="18">
        <f t="shared" si="21"/>
        <v>11791.666666666666</v>
      </c>
      <c r="AE32" s="18">
        <f t="shared" si="21"/>
        <v>13509.166666666666</v>
      </c>
      <c r="AF32" s="18">
        <f t="shared" si="21"/>
        <v>13548.424999999999</v>
      </c>
      <c r="AG32" s="18">
        <f t="shared" si="21"/>
        <v>11316.166666666666</v>
      </c>
      <c r="AH32" s="18">
        <f t="shared" si="21"/>
        <v>13668.55</v>
      </c>
      <c r="AI32" s="18">
        <f t="shared" si="21"/>
        <v>11361.183333333332</v>
      </c>
      <c r="AJ32" s="18">
        <f t="shared" si="21"/>
        <v>11700.786666666665</v>
      </c>
      <c r="AK32" s="18">
        <f>+AK31</f>
        <v>11891.666666666666</v>
      </c>
      <c r="AL32" s="18">
        <f>+AL31</f>
        <v>6768.4224999999997</v>
      </c>
      <c r="AM32" s="18">
        <f>+AM31</f>
        <v>11750</v>
      </c>
      <c r="AN32" s="18">
        <f>+AN31</f>
        <v>14462</v>
      </c>
      <c r="AO32" s="18">
        <f>+$K32/60</f>
        <v>10433.333333333334</v>
      </c>
      <c r="AP32" s="18"/>
      <c r="AQ32" s="18"/>
      <c r="AR32" s="18"/>
      <c r="AS32" s="18"/>
      <c r="AT32" s="18"/>
      <c r="AU32" s="18"/>
      <c r="AV32" s="18"/>
      <c r="AW32" s="18">
        <f t="shared" si="7"/>
        <v>406415.17783333332</v>
      </c>
      <c r="AX32" s="18">
        <f>SUM(AW$5:AW32)</f>
        <v>6611081.9971666662</v>
      </c>
      <c r="AY32" s="18">
        <f t="shared" si="8"/>
        <v>17773828.672833335</v>
      </c>
      <c r="AZ32" s="18">
        <f t="shared" si="15"/>
        <v>18180243.850666668</v>
      </c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>
        <f t="shared" si="22"/>
        <v>58958.333333333336</v>
      </c>
      <c r="BS32" s="18">
        <f t="shared" si="22"/>
        <v>67545.833333333328</v>
      </c>
      <c r="BT32" s="18">
        <f t="shared" si="22"/>
        <v>67742.125</v>
      </c>
      <c r="BU32" s="18">
        <f t="shared" si="22"/>
        <v>56580.833333333336</v>
      </c>
      <c r="BV32" s="18">
        <f t="shared" si="22"/>
        <v>68342.75</v>
      </c>
      <c r="BW32" s="18">
        <f t="shared" si="22"/>
        <v>56805.916666666664</v>
      </c>
      <c r="BX32" s="18">
        <f t="shared" si="22"/>
        <v>58503.933333333327</v>
      </c>
      <c r="BY32" s="18">
        <f t="shared" si="22"/>
        <v>59458.333333333336</v>
      </c>
      <c r="BZ32" s="18">
        <f t="shared" si="22"/>
        <v>33842.112499999996</v>
      </c>
      <c r="CA32" s="18">
        <f t="shared" si="22"/>
        <v>58750</v>
      </c>
      <c r="CB32" s="18">
        <f t="shared" si="22"/>
        <v>72310</v>
      </c>
      <c r="CC32" s="39">
        <f>$K32/12</f>
        <v>52166.666666666664</v>
      </c>
      <c r="CD32" s="39"/>
      <c r="CE32" s="39"/>
      <c r="CF32" s="39"/>
      <c r="CG32" s="39"/>
      <c r="CH32" s="39"/>
      <c r="CI32" s="39"/>
      <c r="CJ32" s="18"/>
      <c r="CK32" s="18">
        <f t="shared" si="9"/>
        <v>711006.83750000002</v>
      </c>
      <c r="CM32" s="22">
        <f t="shared" si="10"/>
        <v>711006.83750000002</v>
      </c>
      <c r="CN32" s="22">
        <f t="shared" si="11"/>
        <v>406415.17783333332</v>
      </c>
      <c r="CO32" s="18">
        <f t="shared" si="12"/>
        <v>-304591.6596666667</v>
      </c>
      <c r="CP32" s="18">
        <f>+CO32*'Capital Structure '!$E$30</f>
        <v>-124425.69297383334</v>
      </c>
      <c r="CQ32" s="18">
        <f>SUM(CP$5:CP32)</f>
        <v>-5710831.3641857505</v>
      </c>
    </row>
    <row r="33" spans="1:96" outlineLevel="1">
      <c r="A33" s="7" t="s">
        <v>51</v>
      </c>
      <c r="B33" s="7">
        <f t="shared" si="23"/>
        <v>2015</v>
      </c>
      <c r="C33" s="73" t="s">
        <v>47</v>
      </c>
      <c r="D33" s="114">
        <v>20000</v>
      </c>
      <c r="E33" s="18">
        <v>645912</v>
      </c>
      <c r="F33" s="114"/>
      <c r="G33" s="114">
        <f t="shared" si="18"/>
        <v>665912</v>
      </c>
      <c r="H33" s="114"/>
      <c r="I33" s="18">
        <v>1000</v>
      </c>
      <c r="J33" s="114"/>
      <c r="K33" s="18">
        <f t="shared" si="6"/>
        <v>666912</v>
      </c>
      <c r="L33" s="18">
        <f>SUM(K$5:K33)</f>
        <v>25051822.670000002</v>
      </c>
      <c r="N33" s="18">
        <f t="shared" si="24"/>
        <v>22312.05</v>
      </c>
      <c r="O33" s="18">
        <f t="shared" si="24"/>
        <v>16536.116666666665</v>
      </c>
      <c r="P33" s="18">
        <f t="shared" si="24"/>
        <v>20596.031166666668</v>
      </c>
      <c r="Q33" s="18">
        <f t="shared" si="24"/>
        <v>23778.333333333332</v>
      </c>
      <c r="R33" s="18">
        <f t="shared" si="24"/>
        <v>19815.833333333332</v>
      </c>
      <c r="S33" s="18">
        <f t="shared" si="24"/>
        <v>20279.5</v>
      </c>
      <c r="T33" s="18">
        <f t="shared" si="24"/>
        <v>14990.658333333333</v>
      </c>
      <c r="U33" s="18">
        <f t="shared" si="24"/>
        <v>19380.033333333333</v>
      </c>
      <c r="V33" s="18">
        <f t="shared" si="24"/>
        <v>14101.8</v>
      </c>
      <c r="W33" s="18">
        <f t="shared" si="24"/>
        <v>20871.917666666668</v>
      </c>
      <c r="X33" s="18">
        <f t="shared" si="24"/>
        <v>12815</v>
      </c>
      <c r="Y33" s="18">
        <f t="shared" ref="Y33:AN47" si="25">+Y32</f>
        <v>9932.5</v>
      </c>
      <c r="Z33" s="18">
        <f t="shared" si="25"/>
        <v>10956.916666666666</v>
      </c>
      <c r="AA33" s="18">
        <f t="shared" si="25"/>
        <v>10766.558333333332</v>
      </c>
      <c r="AB33" s="18">
        <f t="shared" si="25"/>
        <v>16498</v>
      </c>
      <c r="AC33" s="18">
        <f t="shared" si="25"/>
        <v>10582.5615</v>
      </c>
      <c r="AD33" s="18">
        <f t="shared" si="25"/>
        <v>11791.666666666666</v>
      </c>
      <c r="AE33" s="18">
        <f t="shared" si="25"/>
        <v>13509.166666666666</v>
      </c>
      <c r="AF33" s="18">
        <f t="shared" si="25"/>
        <v>13548.424999999999</v>
      </c>
      <c r="AG33" s="18">
        <f t="shared" si="25"/>
        <v>11316.166666666666</v>
      </c>
      <c r="AH33" s="18">
        <f t="shared" si="25"/>
        <v>13668.55</v>
      </c>
      <c r="AI33" s="18">
        <f t="shared" si="25"/>
        <v>11361.183333333332</v>
      </c>
      <c r="AJ33" s="18">
        <f t="shared" si="25"/>
        <v>11700.786666666665</v>
      </c>
      <c r="AK33" s="18">
        <f t="shared" si="25"/>
        <v>11891.666666666666</v>
      </c>
      <c r="AL33" s="18">
        <f t="shared" si="25"/>
        <v>6768.4224999999997</v>
      </c>
      <c r="AM33" s="18">
        <f t="shared" si="25"/>
        <v>11750</v>
      </c>
      <c r="AN33" s="18">
        <f t="shared" si="25"/>
        <v>14462</v>
      </c>
      <c r="AO33" s="18">
        <f>AO32</f>
        <v>10433.333333333334</v>
      </c>
      <c r="AP33" s="18">
        <f>+$K33/60</f>
        <v>11115.2</v>
      </c>
      <c r="AQ33" s="18"/>
      <c r="AR33" s="18"/>
      <c r="AS33" s="18"/>
      <c r="AT33" s="18"/>
      <c r="AU33" s="18"/>
      <c r="AV33" s="18"/>
      <c r="AW33" s="18">
        <f t="shared" si="7"/>
        <v>417530.37783333333</v>
      </c>
      <c r="AX33" s="18">
        <f>SUM(AW$5:AW33)</f>
        <v>7028612.375</v>
      </c>
      <c r="AY33" s="18">
        <f t="shared" si="8"/>
        <v>18023210.295000002</v>
      </c>
      <c r="AZ33" s="18">
        <f t="shared" si="15"/>
        <v>18440740.672833335</v>
      </c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>
        <f t="shared" si="22"/>
        <v>67545.833333333328</v>
      </c>
      <c r="BT33" s="18">
        <f t="shared" si="22"/>
        <v>67742.125</v>
      </c>
      <c r="BU33" s="18">
        <f t="shared" si="22"/>
        <v>56580.833333333336</v>
      </c>
      <c r="BV33" s="18">
        <f t="shared" si="22"/>
        <v>68342.75</v>
      </c>
      <c r="BW33" s="18">
        <f t="shared" si="22"/>
        <v>56805.916666666664</v>
      </c>
      <c r="BX33" s="18">
        <f t="shared" si="22"/>
        <v>58503.933333333327</v>
      </c>
      <c r="BY33" s="18">
        <f t="shared" si="22"/>
        <v>59458.333333333336</v>
      </c>
      <c r="BZ33" s="18">
        <f t="shared" si="22"/>
        <v>33842.112499999996</v>
      </c>
      <c r="CA33" s="18">
        <f t="shared" si="22"/>
        <v>58750</v>
      </c>
      <c r="CB33" s="18">
        <f t="shared" si="22"/>
        <v>72310</v>
      </c>
      <c r="CC33" s="39">
        <f>CC32</f>
        <v>52166.666666666664</v>
      </c>
      <c r="CD33" s="39">
        <f>$K33/12</f>
        <v>55576</v>
      </c>
      <c r="CE33" s="39"/>
      <c r="CF33" s="39"/>
      <c r="CG33" s="39"/>
      <c r="CH33" s="39"/>
      <c r="CI33" s="39"/>
      <c r="CJ33" s="18"/>
      <c r="CK33" s="18">
        <f t="shared" si="9"/>
        <v>707624.50416666653</v>
      </c>
      <c r="CM33" s="22">
        <f t="shared" si="10"/>
        <v>707624.50416666653</v>
      </c>
      <c r="CN33" s="22">
        <f t="shared" si="11"/>
        <v>417530.37783333333</v>
      </c>
      <c r="CO33" s="18">
        <f t="shared" si="12"/>
        <v>-290094.1263333332</v>
      </c>
      <c r="CP33" s="18">
        <f>+CO33*'Capital Structure '!$E$30</f>
        <v>-118503.45060716661</v>
      </c>
      <c r="CQ33" s="18">
        <f>SUM(CP$5:CP33)</f>
        <v>-5829334.8147929171</v>
      </c>
    </row>
    <row r="34" spans="1:96" outlineLevel="1">
      <c r="A34" s="124" t="s">
        <v>52</v>
      </c>
      <c r="B34" s="124">
        <f t="shared" si="23"/>
        <v>2015</v>
      </c>
      <c r="C34" s="322" t="s">
        <v>47</v>
      </c>
      <c r="D34" s="116">
        <v>0</v>
      </c>
      <c r="E34" s="121">
        <v>318550</v>
      </c>
      <c r="F34" s="116"/>
      <c r="G34" s="116">
        <f t="shared" si="18"/>
        <v>318550</v>
      </c>
      <c r="H34" s="116"/>
      <c r="I34" s="121">
        <v>1500</v>
      </c>
      <c r="J34" s="116"/>
      <c r="K34" s="121">
        <f t="shared" si="6"/>
        <v>320050</v>
      </c>
      <c r="L34" s="121">
        <f>SUM(K$5:K34)</f>
        <v>25371872.670000002</v>
      </c>
      <c r="M34" s="126"/>
      <c r="N34" s="121">
        <f t="shared" si="24"/>
        <v>22312.05</v>
      </c>
      <c r="O34" s="121">
        <f t="shared" si="24"/>
        <v>16536.116666666665</v>
      </c>
      <c r="P34" s="121">
        <f t="shared" si="24"/>
        <v>20596.031166666668</v>
      </c>
      <c r="Q34" s="121">
        <f t="shared" si="24"/>
        <v>23778.333333333332</v>
      </c>
      <c r="R34" s="121">
        <f t="shared" si="24"/>
        <v>19815.833333333332</v>
      </c>
      <c r="S34" s="121">
        <f t="shared" si="24"/>
        <v>20279.5</v>
      </c>
      <c r="T34" s="121">
        <f t="shared" si="24"/>
        <v>14990.658333333333</v>
      </c>
      <c r="U34" s="121">
        <f t="shared" si="24"/>
        <v>19380.033333333333</v>
      </c>
      <c r="V34" s="121">
        <f t="shared" si="24"/>
        <v>14101.8</v>
      </c>
      <c r="W34" s="121">
        <f t="shared" si="24"/>
        <v>20871.917666666668</v>
      </c>
      <c r="X34" s="121">
        <f t="shared" si="24"/>
        <v>12815</v>
      </c>
      <c r="Y34" s="121">
        <f t="shared" si="25"/>
        <v>9932.5</v>
      </c>
      <c r="Z34" s="121">
        <f t="shared" si="25"/>
        <v>10956.916666666666</v>
      </c>
      <c r="AA34" s="121">
        <f t="shared" si="25"/>
        <v>10766.558333333332</v>
      </c>
      <c r="AB34" s="121">
        <f t="shared" si="25"/>
        <v>16498</v>
      </c>
      <c r="AC34" s="121">
        <f t="shared" si="25"/>
        <v>10582.5615</v>
      </c>
      <c r="AD34" s="121">
        <f t="shared" si="25"/>
        <v>11791.666666666666</v>
      </c>
      <c r="AE34" s="121">
        <f t="shared" si="25"/>
        <v>13509.166666666666</v>
      </c>
      <c r="AF34" s="37">
        <f t="shared" si="25"/>
        <v>13548.424999999999</v>
      </c>
      <c r="AG34" s="37">
        <f t="shared" si="25"/>
        <v>11316.166666666666</v>
      </c>
      <c r="AH34" s="37">
        <f t="shared" si="25"/>
        <v>13668.55</v>
      </c>
      <c r="AI34" s="37">
        <f t="shared" si="25"/>
        <v>11361.183333333332</v>
      </c>
      <c r="AJ34" s="37">
        <f t="shared" si="25"/>
        <v>11700.786666666665</v>
      </c>
      <c r="AK34" s="37">
        <f t="shared" si="25"/>
        <v>11891.666666666666</v>
      </c>
      <c r="AL34" s="37">
        <f t="shared" si="25"/>
        <v>6768.4224999999997</v>
      </c>
      <c r="AM34" s="37">
        <f t="shared" si="25"/>
        <v>11750</v>
      </c>
      <c r="AN34" s="121">
        <f t="shared" si="25"/>
        <v>14462</v>
      </c>
      <c r="AO34" s="121">
        <f t="shared" ref="AO34:AO91" si="26">AO33</f>
        <v>10433.333333333334</v>
      </c>
      <c r="AP34" s="121">
        <f>AP33</f>
        <v>11115.2</v>
      </c>
      <c r="AQ34" s="121">
        <f>+$K34/60</f>
        <v>5334.166666666667</v>
      </c>
      <c r="AR34" s="121"/>
      <c r="AS34" s="121"/>
      <c r="AT34" s="121"/>
      <c r="AU34" s="121"/>
      <c r="AV34" s="121"/>
      <c r="AW34" s="121">
        <f t="shared" si="7"/>
        <v>422864.54450000002</v>
      </c>
      <c r="AX34" s="121">
        <f>SUM(AW$5:AW34)</f>
        <v>7451476.9194999998</v>
      </c>
      <c r="AY34" s="121">
        <f t="shared" si="8"/>
        <v>17920395.750500001</v>
      </c>
      <c r="AZ34" s="121">
        <f t="shared" si="15"/>
        <v>18343260.295000002</v>
      </c>
      <c r="BA34" s="126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37">
        <f t="shared" si="22"/>
        <v>67742.125</v>
      </c>
      <c r="BU34" s="37">
        <f t="shared" si="22"/>
        <v>56580.833333333336</v>
      </c>
      <c r="BV34" s="37">
        <f t="shared" si="22"/>
        <v>68342.75</v>
      </c>
      <c r="BW34" s="37">
        <f t="shared" si="22"/>
        <v>56805.916666666664</v>
      </c>
      <c r="BX34" s="37">
        <f t="shared" si="22"/>
        <v>58503.933333333327</v>
      </c>
      <c r="BY34" s="37">
        <f t="shared" si="22"/>
        <v>59458.333333333336</v>
      </c>
      <c r="BZ34" s="37">
        <f t="shared" si="22"/>
        <v>33842.112499999996</v>
      </c>
      <c r="CA34" s="37">
        <f t="shared" si="22"/>
        <v>58750</v>
      </c>
      <c r="CB34" s="37">
        <f t="shared" si="22"/>
        <v>72310</v>
      </c>
      <c r="CC34" s="212">
        <f t="shared" ref="CC34:CC43" si="27">CC33</f>
        <v>52166.666666666664</v>
      </c>
      <c r="CD34" s="212">
        <f>CD33</f>
        <v>55576</v>
      </c>
      <c r="CE34" s="212">
        <f>$K34/12</f>
        <v>26670.833333333332</v>
      </c>
      <c r="CF34" s="212"/>
      <c r="CG34" s="212"/>
      <c r="CH34" s="212"/>
      <c r="CI34" s="212"/>
      <c r="CJ34" s="121"/>
      <c r="CK34" s="121">
        <f t="shared" si="9"/>
        <v>666749.50416666665</v>
      </c>
      <c r="CL34" s="126"/>
      <c r="CM34" s="211">
        <f t="shared" si="10"/>
        <v>666749.50416666665</v>
      </c>
      <c r="CN34" s="211">
        <f t="shared" si="11"/>
        <v>422864.54450000002</v>
      </c>
      <c r="CO34" s="121">
        <f t="shared" si="12"/>
        <v>-243884.95966666663</v>
      </c>
      <c r="CP34" s="121">
        <f>+CO34*'Capital Structure '!$E$30</f>
        <v>-99627.00602383331</v>
      </c>
      <c r="CQ34" s="121">
        <f>SUM(CP$5:CP34)</f>
        <v>-5928961.8208167506</v>
      </c>
      <c r="CR34" s="4"/>
    </row>
    <row r="35" spans="1:96" outlineLevel="1">
      <c r="A35" s="7" t="s">
        <v>53</v>
      </c>
      <c r="B35" s="7">
        <f>+B34+1</f>
        <v>2016</v>
      </c>
      <c r="C35" s="33" t="s">
        <v>47</v>
      </c>
      <c r="D35" s="114">
        <v>2000</v>
      </c>
      <c r="E35" s="18">
        <v>48000</v>
      </c>
      <c r="F35" s="114"/>
      <c r="G35" s="114">
        <f t="shared" si="18"/>
        <v>50000</v>
      </c>
      <c r="H35" s="114"/>
      <c r="I35" s="18">
        <v>500</v>
      </c>
      <c r="J35" s="114"/>
      <c r="K35" s="18">
        <f t="shared" si="6"/>
        <v>50500</v>
      </c>
      <c r="L35" s="18">
        <f>SUM(K$5:K35)</f>
        <v>25422372.670000002</v>
      </c>
      <c r="N35" s="18">
        <f t="shared" si="24"/>
        <v>22312.05</v>
      </c>
      <c r="O35" s="18">
        <f t="shared" si="24"/>
        <v>16536.116666666665</v>
      </c>
      <c r="P35" s="18">
        <f t="shared" si="24"/>
        <v>20596.031166666668</v>
      </c>
      <c r="Q35" s="18">
        <f t="shared" si="24"/>
        <v>23778.333333333332</v>
      </c>
      <c r="R35" s="18">
        <f t="shared" si="24"/>
        <v>19815.833333333332</v>
      </c>
      <c r="S35" s="18">
        <f t="shared" si="24"/>
        <v>20279.5</v>
      </c>
      <c r="T35" s="18">
        <f t="shared" si="24"/>
        <v>14990.658333333333</v>
      </c>
      <c r="U35" s="18">
        <f t="shared" si="24"/>
        <v>19380.033333333333</v>
      </c>
      <c r="V35" s="18">
        <f t="shared" si="24"/>
        <v>14101.8</v>
      </c>
      <c r="W35" s="18">
        <f t="shared" si="24"/>
        <v>20871.917666666668</v>
      </c>
      <c r="X35" s="18">
        <f t="shared" si="24"/>
        <v>12815</v>
      </c>
      <c r="Y35" s="18">
        <f t="shared" si="25"/>
        <v>9932.5</v>
      </c>
      <c r="Z35" s="18">
        <f t="shared" si="25"/>
        <v>10956.916666666666</v>
      </c>
      <c r="AA35" s="18">
        <f t="shared" si="25"/>
        <v>10766.558333333332</v>
      </c>
      <c r="AB35" s="18">
        <f t="shared" si="25"/>
        <v>16498</v>
      </c>
      <c r="AC35" s="18">
        <f t="shared" si="25"/>
        <v>10582.5615</v>
      </c>
      <c r="AD35" s="18">
        <f t="shared" si="25"/>
        <v>11791.666666666666</v>
      </c>
      <c r="AE35" s="18">
        <f t="shared" si="25"/>
        <v>13509.166666666666</v>
      </c>
      <c r="AF35" s="18">
        <f t="shared" si="25"/>
        <v>13548.424999999999</v>
      </c>
      <c r="AG35" s="18">
        <f t="shared" si="25"/>
        <v>11316.166666666666</v>
      </c>
      <c r="AH35" s="18">
        <f t="shared" si="25"/>
        <v>13668.55</v>
      </c>
      <c r="AI35" s="18">
        <f t="shared" si="25"/>
        <v>11361.183333333332</v>
      </c>
      <c r="AJ35" s="18">
        <f t="shared" si="25"/>
        <v>11700.786666666665</v>
      </c>
      <c r="AK35" s="18">
        <f t="shared" si="25"/>
        <v>11891.666666666666</v>
      </c>
      <c r="AL35" s="18">
        <f t="shared" si="25"/>
        <v>6768.4224999999997</v>
      </c>
      <c r="AM35" s="18">
        <f t="shared" si="25"/>
        <v>11750</v>
      </c>
      <c r="AN35" s="18">
        <f t="shared" si="25"/>
        <v>14462</v>
      </c>
      <c r="AO35" s="18">
        <f t="shared" si="26"/>
        <v>10433.333333333334</v>
      </c>
      <c r="AP35" s="18">
        <f t="shared" ref="AP35:AP92" si="28">AP34</f>
        <v>11115.2</v>
      </c>
      <c r="AQ35" s="18">
        <f>AQ34</f>
        <v>5334.166666666667</v>
      </c>
      <c r="AR35" s="18">
        <f>+$K35/60</f>
        <v>841.66666666666663</v>
      </c>
      <c r="AS35" s="18"/>
      <c r="AT35" s="18"/>
      <c r="AU35" s="18"/>
      <c r="AV35" s="18"/>
      <c r="AW35" s="18">
        <f t="shared" si="7"/>
        <v>423706.2111666667</v>
      </c>
      <c r="AX35" s="18">
        <f>SUM(AW$5:AW35)</f>
        <v>7875183.1306666667</v>
      </c>
      <c r="AY35" s="18">
        <f t="shared" si="8"/>
        <v>17547189.539333336</v>
      </c>
      <c r="AZ35" s="18">
        <f t="shared" si="15"/>
        <v>17970895.750500001</v>
      </c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>
        <f t="shared" si="22"/>
        <v>56580.833333333336</v>
      </c>
      <c r="BV35" s="18">
        <f t="shared" si="22"/>
        <v>68342.75</v>
      </c>
      <c r="BW35" s="18">
        <f t="shared" si="22"/>
        <v>56805.916666666664</v>
      </c>
      <c r="BX35" s="18">
        <f t="shared" si="22"/>
        <v>58503.933333333327</v>
      </c>
      <c r="BY35" s="18">
        <f t="shared" si="22"/>
        <v>59458.333333333336</v>
      </c>
      <c r="BZ35" s="18">
        <f t="shared" si="22"/>
        <v>33842.112499999996</v>
      </c>
      <c r="CA35" s="18">
        <f t="shared" si="22"/>
        <v>58750</v>
      </c>
      <c r="CB35" s="18">
        <f t="shared" si="22"/>
        <v>72310</v>
      </c>
      <c r="CC35" s="39">
        <f t="shared" si="27"/>
        <v>52166.666666666664</v>
      </c>
      <c r="CD35" s="39">
        <f t="shared" ref="CD35:CD44" si="29">CD34</f>
        <v>55576</v>
      </c>
      <c r="CE35" s="39">
        <f>CE34</f>
        <v>26670.833333333332</v>
      </c>
      <c r="CF35" s="39">
        <f>$K35/12</f>
        <v>4208.333333333333</v>
      </c>
      <c r="CG35" s="39"/>
      <c r="CH35" s="39"/>
      <c r="CI35" s="39"/>
      <c r="CJ35" s="18"/>
      <c r="CK35" s="18">
        <f t="shared" si="9"/>
        <v>603215.71250000014</v>
      </c>
      <c r="CM35" s="22">
        <f t="shared" si="10"/>
        <v>603215.71250000014</v>
      </c>
      <c r="CN35" s="22">
        <f t="shared" si="11"/>
        <v>423706.2111666667</v>
      </c>
      <c r="CO35" s="18">
        <f t="shared" si="12"/>
        <v>-179509.50133333344</v>
      </c>
      <c r="CP35" s="18">
        <f>+CO35*'Capital Structure '!$E$30</f>
        <v>-73329.631294666702</v>
      </c>
      <c r="CQ35" s="18">
        <f>SUM(CP$5:CP35)</f>
        <v>-6002291.4521114174</v>
      </c>
    </row>
    <row r="36" spans="1:96" outlineLevel="1">
      <c r="A36" s="29" t="s">
        <v>54</v>
      </c>
      <c r="B36" s="29">
        <f>+B35</f>
        <v>2016</v>
      </c>
      <c r="C36" s="33" t="s">
        <v>47</v>
      </c>
      <c r="D36" s="114">
        <v>0</v>
      </c>
      <c r="E36" s="18">
        <v>32000</v>
      </c>
      <c r="F36" s="114"/>
      <c r="G36" s="114">
        <f t="shared" si="18"/>
        <v>32000</v>
      </c>
      <c r="H36" s="114"/>
      <c r="I36" s="18">
        <v>0</v>
      </c>
      <c r="J36" s="114"/>
      <c r="K36" s="20">
        <f t="shared" si="6"/>
        <v>32000</v>
      </c>
      <c r="L36" s="20">
        <f>SUM(K$5:K36)</f>
        <v>25454372.670000002</v>
      </c>
      <c r="M36" s="4"/>
      <c r="N36" s="20">
        <f t="shared" si="24"/>
        <v>22312.05</v>
      </c>
      <c r="O36" s="20">
        <f t="shared" si="24"/>
        <v>16536.116666666665</v>
      </c>
      <c r="P36" s="20">
        <f t="shared" si="24"/>
        <v>20596.031166666668</v>
      </c>
      <c r="Q36" s="20">
        <f t="shared" si="24"/>
        <v>23778.333333333332</v>
      </c>
      <c r="R36" s="20">
        <f t="shared" si="24"/>
        <v>19815.833333333332</v>
      </c>
      <c r="S36" s="20">
        <f t="shared" si="24"/>
        <v>20279.5</v>
      </c>
      <c r="T36" s="20">
        <f t="shared" si="24"/>
        <v>14990.658333333333</v>
      </c>
      <c r="U36" s="20">
        <f t="shared" si="24"/>
        <v>19380.033333333333</v>
      </c>
      <c r="V36" s="20">
        <f t="shared" si="24"/>
        <v>14101.8</v>
      </c>
      <c r="W36" s="20">
        <f t="shared" si="24"/>
        <v>20871.917666666668</v>
      </c>
      <c r="X36" s="20">
        <f t="shared" si="24"/>
        <v>12815</v>
      </c>
      <c r="Y36" s="20">
        <f t="shared" si="25"/>
        <v>9932.5</v>
      </c>
      <c r="Z36" s="20">
        <f t="shared" si="25"/>
        <v>10956.916666666666</v>
      </c>
      <c r="AA36" s="20">
        <f t="shared" si="25"/>
        <v>10766.558333333332</v>
      </c>
      <c r="AB36" s="18">
        <f t="shared" si="25"/>
        <v>16498</v>
      </c>
      <c r="AC36" s="18">
        <f t="shared" si="25"/>
        <v>10582.5615</v>
      </c>
      <c r="AD36" s="18">
        <f t="shared" si="25"/>
        <v>11791.666666666666</v>
      </c>
      <c r="AE36" s="18">
        <f t="shared" si="25"/>
        <v>13509.166666666666</v>
      </c>
      <c r="AF36" s="20">
        <f t="shared" si="25"/>
        <v>13548.424999999999</v>
      </c>
      <c r="AG36" s="20">
        <f t="shared" si="25"/>
        <v>11316.166666666666</v>
      </c>
      <c r="AH36" s="20">
        <f t="shared" si="25"/>
        <v>13668.55</v>
      </c>
      <c r="AI36" s="20">
        <f t="shared" si="25"/>
        <v>11361.183333333332</v>
      </c>
      <c r="AJ36" s="20">
        <f t="shared" si="25"/>
        <v>11700.786666666665</v>
      </c>
      <c r="AK36" s="20">
        <f t="shared" si="25"/>
        <v>11891.666666666666</v>
      </c>
      <c r="AL36" s="20">
        <f t="shared" si="25"/>
        <v>6768.4224999999997</v>
      </c>
      <c r="AM36" s="20">
        <f t="shared" si="25"/>
        <v>11750</v>
      </c>
      <c r="AN36" s="18">
        <f t="shared" si="25"/>
        <v>14462</v>
      </c>
      <c r="AO36" s="18">
        <f t="shared" si="26"/>
        <v>10433.333333333334</v>
      </c>
      <c r="AP36" s="18">
        <f t="shared" si="28"/>
        <v>11115.2</v>
      </c>
      <c r="AQ36" s="18">
        <f t="shared" ref="AQ36:AQ93" si="30">AQ35</f>
        <v>5334.166666666667</v>
      </c>
      <c r="AR36" s="18">
        <f>AR35</f>
        <v>841.66666666666663</v>
      </c>
      <c r="AS36" s="18">
        <f>+$K36/60</f>
        <v>533.33333333333337</v>
      </c>
      <c r="AT36" s="18"/>
      <c r="AU36" s="18"/>
      <c r="AV36" s="18"/>
      <c r="AW36" s="18">
        <f t="shared" si="7"/>
        <v>424239.54450000002</v>
      </c>
      <c r="AX36" s="20">
        <f>SUM(AW$5:AW36)</f>
        <v>8299422.6751666665</v>
      </c>
      <c r="AY36" s="20">
        <f t="shared" si="8"/>
        <v>17154949.994833335</v>
      </c>
      <c r="AZ36" s="20">
        <f t="shared" si="15"/>
        <v>17579189.539333336</v>
      </c>
      <c r="BA36" s="4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>
        <f t="shared" si="22"/>
        <v>68342.75</v>
      </c>
      <c r="BW36" s="20">
        <f t="shared" si="22"/>
        <v>56805.916666666664</v>
      </c>
      <c r="BX36" s="20">
        <f t="shared" si="22"/>
        <v>58503.933333333327</v>
      </c>
      <c r="BY36" s="20">
        <f t="shared" si="22"/>
        <v>59458.333333333336</v>
      </c>
      <c r="BZ36" s="20">
        <f t="shared" si="22"/>
        <v>33842.112499999996</v>
      </c>
      <c r="CA36" s="20">
        <f t="shared" si="22"/>
        <v>58750</v>
      </c>
      <c r="CB36" s="18">
        <f t="shared" si="22"/>
        <v>72310</v>
      </c>
      <c r="CC36" s="39">
        <f t="shared" si="27"/>
        <v>52166.666666666664</v>
      </c>
      <c r="CD36" s="39">
        <f t="shared" si="29"/>
        <v>55576</v>
      </c>
      <c r="CE36" s="39">
        <f t="shared" ref="CE36:CE45" si="31">CE35</f>
        <v>26670.833333333332</v>
      </c>
      <c r="CF36" s="39">
        <f>CF35</f>
        <v>4208.333333333333</v>
      </c>
      <c r="CG36" s="39">
        <f>$K36/12</f>
        <v>2666.6666666666665</v>
      </c>
      <c r="CH36" s="39"/>
      <c r="CI36" s="39"/>
      <c r="CJ36" s="20"/>
      <c r="CK36" s="18">
        <f t="shared" si="9"/>
        <v>549301.5458333334</v>
      </c>
      <c r="CL36" s="4"/>
      <c r="CM36" s="35">
        <f t="shared" si="10"/>
        <v>549301.5458333334</v>
      </c>
      <c r="CN36" s="35">
        <f t="shared" si="11"/>
        <v>424239.54450000002</v>
      </c>
      <c r="CO36" s="20">
        <f t="shared" si="12"/>
        <v>-125062.00133333338</v>
      </c>
      <c r="CP36" s="18">
        <f>+CO36*'Capital Structure '!$E$30</f>
        <v>-51087.827544666681</v>
      </c>
      <c r="CQ36" s="20">
        <f>SUM(CP$5:CP36)</f>
        <v>-6053379.2796560843</v>
      </c>
      <c r="CR36" s="4"/>
    </row>
    <row r="37" spans="1:96" outlineLevel="1">
      <c r="A37" s="7" t="s">
        <v>55</v>
      </c>
      <c r="B37" s="7">
        <f>+B36</f>
        <v>2016</v>
      </c>
      <c r="C37" s="33" t="s">
        <v>47</v>
      </c>
      <c r="D37" s="114">
        <v>0</v>
      </c>
      <c r="E37" s="18">
        <v>37000</v>
      </c>
      <c r="F37" s="114"/>
      <c r="G37" s="114">
        <f t="shared" si="18"/>
        <v>37000</v>
      </c>
      <c r="H37" s="114"/>
      <c r="I37" s="18">
        <v>0</v>
      </c>
      <c r="J37" s="114"/>
      <c r="K37" s="20">
        <f t="shared" ref="K37:K68" si="32">SUM(G37:I37)</f>
        <v>37000</v>
      </c>
      <c r="L37" s="18">
        <f>SUM(K$5:K37)</f>
        <v>25491372.670000002</v>
      </c>
      <c r="N37" s="18">
        <f t="shared" si="24"/>
        <v>22312.05</v>
      </c>
      <c r="O37" s="18">
        <f t="shared" si="24"/>
        <v>16536.116666666665</v>
      </c>
      <c r="P37" s="18">
        <f t="shared" si="24"/>
        <v>20596.031166666668</v>
      </c>
      <c r="Q37" s="18">
        <f t="shared" si="24"/>
        <v>23778.333333333332</v>
      </c>
      <c r="R37" s="18">
        <f t="shared" si="24"/>
        <v>19815.833333333332</v>
      </c>
      <c r="S37" s="18">
        <f t="shared" si="24"/>
        <v>20279.5</v>
      </c>
      <c r="T37" s="18">
        <f t="shared" si="24"/>
        <v>14990.658333333333</v>
      </c>
      <c r="U37" s="18">
        <f t="shared" si="24"/>
        <v>19380.033333333333</v>
      </c>
      <c r="V37" s="18">
        <f t="shared" si="24"/>
        <v>14101.8</v>
      </c>
      <c r="W37" s="18">
        <f t="shared" si="24"/>
        <v>20871.917666666668</v>
      </c>
      <c r="X37" s="18">
        <f t="shared" si="24"/>
        <v>12815</v>
      </c>
      <c r="Y37" s="18">
        <f t="shared" si="25"/>
        <v>9932.5</v>
      </c>
      <c r="Z37" s="18">
        <f t="shared" si="25"/>
        <v>10956.916666666666</v>
      </c>
      <c r="AA37" s="18">
        <f t="shared" si="25"/>
        <v>10766.558333333332</v>
      </c>
      <c r="AB37" s="18">
        <f t="shared" si="25"/>
        <v>16498</v>
      </c>
      <c r="AC37" s="18">
        <f t="shared" si="25"/>
        <v>10582.5615</v>
      </c>
      <c r="AD37" s="18">
        <f t="shared" si="25"/>
        <v>11791.666666666666</v>
      </c>
      <c r="AE37" s="18">
        <f t="shared" si="25"/>
        <v>13509.166666666666</v>
      </c>
      <c r="AF37" s="18">
        <f t="shared" si="25"/>
        <v>13548.424999999999</v>
      </c>
      <c r="AG37" s="18">
        <f t="shared" si="25"/>
        <v>11316.166666666666</v>
      </c>
      <c r="AH37" s="18">
        <f t="shared" si="25"/>
        <v>13668.55</v>
      </c>
      <c r="AI37" s="18">
        <f t="shared" si="25"/>
        <v>11361.183333333332</v>
      </c>
      <c r="AJ37" s="18">
        <f t="shared" si="25"/>
        <v>11700.786666666665</v>
      </c>
      <c r="AK37" s="18">
        <f t="shared" si="25"/>
        <v>11891.666666666666</v>
      </c>
      <c r="AL37" s="18">
        <f t="shared" si="25"/>
        <v>6768.4224999999997</v>
      </c>
      <c r="AM37" s="18">
        <f t="shared" si="25"/>
        <v>11750</v>
      </c>
      <c r="AN37" s="18">
        <f t="shared" si="25"/>
        <v>14462</v>
      </c>
      <c r="AO37" s="18">
        <f t="shared" si="26"/>
        <v>10433.333333333334</v>
      </c>
      <c r="AP37" s="18">
        <f t="shared" si="28"/>
        <v>11115.2</v>
      </c>
      <c r="AQ37" s="18">
        <f t="shared" si="30"/>
        <v>5334.166666666667</v>
      </c>
      <c r="AR37" s="18">
        <f t="shared" ref="AR37:AR94" si="33">AR36</f>
        <v>841.66666666666663</v>
      </c>
      <c r="AS37" s="18">
        <f>AS36</f>
        <v>533.33333333333337</v>
      </c>
      <c r="AT37" s="18">
        <f>+$K37/60</f>
        <v>616.66666666666663</v>
      </c>
      <c r="AU37" s="18"/>
      <c r="AV37" s="18"/>
      <c r="AW37" s="18">
        <f t="shared" ref="AW37:AW55" si="34">SUM(N37:AV37)</f>
        <v>424856.2111666667</v>
      </c>
      <c r="AX37" s="18">
        <f>SUM(AW$5:AW37)</f>
        <v>8724278.8863333333</v>
      </c>
      <c r="AY37" s="18">
        <f t="shared" ref="AY37:AY55" si="35">+L37-AX37</f>
        <v>16767093.783666668</v>
      </c>
      <c r="AZ37" s="18">
        <f t="shared" si="15"/>
        <v>17191949.994833335</v>
      </c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>
        <f t="shared" si="22"/>
        <v>56805.916666666664</v>
      </c>
      <c r="BX37" s="18">
        <f t="shared" si="22"/>
        <v>58503.933333333327</v>
      </c>
      <c r="BY37" s="18">
        <f t="shared" si="22"/>
        <v>59458.333333333336</v>
      </c>
      <c r="BZ37" s="18">
        <f t="shared" si="22"/>
        <v>33842.112499999996</v>
      </c>
      <c r="CA37" s="18">
        <f t="shared" si="22"/>
        <v>58750</v>
      </c>
      <c r="CB37" s="18">
        <f t="shared" si="22"/>
        <v>72310</v>
      </c>
      <c r="CC37" s="39">
        <f t="shared" si="27"/>
        <v>52166.666666666664</v>
      </c>
      <c r="CD37" s="39">
        <f t="shared" si="29"/>
        <v>55576</v>
      </c>
      <c r="CE37" s="39">
        <f t="shared" si="31"/>
        <v>26670.833333333332</v>
      </c>
      <c r="CF37" s="39">
        <f t="shared" ref="CF37:CF46" si="36">CF36</f>
        <v>4208.333333333333</v>
      </c>
      <c r="CG37" s="39">
        <f>CG36</f>
        <v>2666.6666666666665</v>
      </c>
      <c r="CH37" s="39">
        <f>$K37/12</f>
        <v>3083.3333333333335</v>
      </c>
      <c r="CI37" s="39"/>
      <c r="CJ37" s="18"/>
      <c r="CK37" s="18">
        <f t="shared" ref="CK37:CK68" si="37">SUM(BB37:CJ37)</f>
        <v>484042.12916666659</v>
      </c>
      <c r="CM37" s="22">
        <f t="shared" si="10"/>
        <v>484042.12916666659</v>
      </c>
      <c r="CN37" s="22">
        <f t="shared" ref="CN37:CN68" si="38">+AW37</f>
        <v>424856.2111666667</v>
      </c>
      <c r="CO37" s="18">
        <f t="shared" si="12"/>
        <v>-59185.917999999889</v>
      </c>
      <c r="CP37" s="18">
        <f>+CO37*'Capital Structure '!$E$30</f>
        <v>-24177.447502999952</v>
      </c>
      <c r="CQ37" s="18">
        <f>SUM(CP$5:CP37)</f>
        <v>-6077556.7271590838</v>
      </c>
    </row>
    <row r="38" spans="1:96" outlineLevel="1">
      <c r="A38" s="7" t="s">
        <v>56</v>
      </c>
      <c r="B38" s="7">
        <f>+B37</f>
        <v>2016</v>
      </c>
      <c r="C38" s="33" t="s">
        <v>47</v>
      </c>
      <c r="D38" s="114">
        <f>'2013 program Forecast '!AE75</f>
        <v>0</v>
      </c>
      <c r="E38" s="18">
        <v>14000</v>
      </c>
      <c r="F38" s="114"/>
      <c r="G38" s="114">
        <f t="shared" si="18"/>
        <v>14000</v>
      </c>
      <c r="H38" s="114"/>
      <c r="I38" s="18">
        <f>'2013 program Forecast '!V75</f>
        <v>0</v>
      </c>
      <c r="J38" s="114"/>
      <c r="K38" s="18">
        <f t="shared" si="32"/>
        <v>14000</v>
      </c>
      <c r="L38" s="18">
        <f>SUM(K$5:K38)</f>
        <v>25505372.670000002</v>
      </c>
      <c r="N38" s="18">
        <f t="shared" si="24"/>
        <v>22312.05</v>
      </c>
      <c r="O38" s="18">
        <f t="shared" si="24"/>
        <v>16536.116666666665</v>
      </c>
      <c r="P38" s="18">
        <f t="shared" si="24"/>
        <v>20596.031166666668</v>
      </c>
      <c r="Q38" s="18">
        <f t="shared" si="24"/>
        <v>23778.333333333332</v>
      </c>
      <c r="R38" s="18">
        <f t="shared" si="24"/>
        <v>19815.833333333332</v>
      </c>
      <c r="S38" s="18">
        <f t="shared" si="24"/>
        <v>20279.5</v>
      </c>
      <c r="T38" s="18">
        <f t="shared" si="24"/>
        <v>14990.658333333333</v>
      </c>
      <c r="U38" s="18">
        <f t="shared" si="24"/>
        <v>19380.033333333333</v>
      </c>
      <c r="V38" s="18">
        <f t="shared" si="24"/>
        <v>14101.8</v>
      </c>
      <c r="W38" s="18">
        <f t="shared" si="24"/>
        <v>20871.917666666668</v>
      </c>
      <c r="X38" s="18">
        <f t="shared" si="24"/>
        <v>12815</v>
      </c>
      <c r="Y38" s="18">
        <f t="shared" si="25"/>
        <v>9932.5</v>
      </c>
      <c r="Z38" s="18">
        <f t="shared" si="25"/>
        <v>10956.916666666666</v>
      </c>
      <c r="AA38" s="18">
        <f t="shared" si="25"/>
        <v>10766.558333333332</v>
      </c>
      <c r="AB38" s="18">
        <f t="shared" si="25"/>
        <v>16498</v>
      </c>
      <c r="AC38" s="18">
        <f t="shared" si="25"/>
        <v>10582.5615</v>
      </c>
      <c r="AD38" s="18">
        <f t="shared" si="25"/>
        <v>11791.666666666666</v>
      </c>
      <c r="AE38" s="18">
        <f t="shared" si="25"/>
        <v>13509.166666666666</v>
      </c>
      <c r="AF38" s="18">
        <f t="shared" si="25"/>
        <v>13548.424999999999</v>
      </c>
      <c r="AG38" s="18">
        <f t="shared" si="25"/>
        <v>11316.166666666666</v>
      </c>
      <c r="AH38" s="18">
        <f t="shared" si="25"/>
        <v>13668.55</v>
      </c>
      <c r="AI38" s="18">
        <f t="shared" si="25"/>
        <v>11361.183333333332</v>
      </c>
      <c r="AJ38" s="18">
        <f t="shared" si="25"/>
        <v>11700.786666666665</v>
      </c>
      <c r="AK38" s="18">
        <f t="shared" si="25"/>
        <v>11891.666666666666</v>
      </c>
      <c r="AL38" s="18">
        <f t="shared" si="25"/>
        <v>6768.4224999999997</v>
      </c>
      <c r="AM38" s="18">
        <f t="shared" si="25"/>
        <v>11750</v>
      </c>
      <c r="AN38" s="18">
        <f t="shared" si="25"/>
        <v>14462</v>
      </c>
      <c r="AO38" s="18">
        <f t="shared" si="26"/>
        <v>10433.333333333334</v>
      </c>
      <c r="AP38" s="18">
        <f t="shared" si="28"/>
        <v>11115.2</v>
      </c>
      <c r="AQ38" s="18">
        <f t="shared" si="30"/>
        <v>5334.166666666667</v>
      </c>
      <c r="AR38" s="18">
        <f t="shared" si="33"/>
        <v>841.66666666666663</v>
      </c>
      <c r="AS38" s="18">
        <f t="shared" ref="AS38:AS95" si="39">AS37</f>
        <v>533.33333333333337</v>
      </c>
      <c r="AT38" s="18">
        <f>AT37</f>
        <v>616.66666666666663</v>
      </c>
      <c r="AU38" s="18">
        <f>+$K38/60</f>
        <v>233.33333333333334</v>
      </c>
      <c r="AV38" s="18"/>
      <c r="AW38" s="18">
        <f t="shared" si="34"/>
        <v>425089.54450000002</v>
      </c>
      <c r="AX38" s="18">
        <f>SUM(AW$5:AW38)</f>
        <v>9149368.4308333341</v>
      </c>
      <c r="AY38" s="18">
        <f t="shared" si="35"/>
        <v>16356004.239166668</v>
      </c>
      <c r="AZ38" s="18">
        <f t="shared" ref="AZ38:AZ55" si="40">+L38-AX37</f>
        <v>16781093.78366667</v>
      </c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>
        <f t="shared" ref="BX38:CB42" si="41">+BX37</f>
        <v>58503.933333333327</v>
      </c>
      <c r="BY38" s="18">
        <f t="shared" si="41"/>
        <v>59458.333333333336</v>
      </c>
      <c r="BZ38" s="18">
        <f t="shared" si="41"/>
        <v>33842.112499999996</v>
      </c>
      <c r="CA38" s="18">
        <f t="shared" si="41"/>
        <v>58750</v>
      </c>
      <c r="CB38" s="18">
        <f t="shared" si="41"/>
        <v>72310</v>
      </c>
      <c r="CC38" s="39">
        <f t="shared" si="27"/>
        <v>52166.666666666664</v>
      </c>
      <c r="CD38" s="39">
        <f t="shared" si="29"/>
        <v>55576</v>
      </c>
      <c r="CE38" s="39">
        <f t="shared" si="31"/>
        <v>26670.833333333332</v>
      </c>
      <c r="CF38" s="39">
        <f t="shared" si="36"/>
        <v>4208.333333333333</v>
      </c>
      <c r="CG38" s="39">
        <f t="shared" ref="CG38:CG47" si="42">CG37</f>
        <v>2666.6666666666665</v>
      </c>
      <c r="CH38" s="18">
        <f>CH37</f>
        <v>3083.3333333333335</v>
      </c>
      <c r="CI38" s="39">
        <f>$K38/12</f>
        <v>1166.6666666666667</v>
      </c>
      <c r="CJ38" s="18"/>
      <c r="CK38" s="18">
        <f t="shared" si="37"/>
        <v>428402.87916666665</v>
      </c>
      <c r="CM38" s="22">
        <f t="shared" si="10"/>
        <v>428402.87916666665</v>
      </c>
      <c r="CN38" s="22">
        <f t="shared" si="38"/>
        <v>425089.54450000002</v>
      </c>
      <c r="CO38" s="18">
        <f t="shared" si="12"/>
        <v>-3313.334666666633</v>
      </c>
      <c r="CP38" s="18">
        <f>+CO38*'Capital Structure '!$E$30</f>
        <v>-1353.4972113333195</v>
      </c>
      <c r="CQ38" s="18">
        <f>SUM(CP$5:CP38)</f>
        <v>-6078910.2243704172</v>
      </c>
    </row>
    <row r="39" spans="1:96" outlineLevel="1">
      <c r="A39" s="7" t="s">
        <v>57</v>
      </c>
      <c r="B39" s="7">
        <f>+B38</f>
        <v>2016</v>
      </c>
      <c r="C39" s="33" t="s">
        <v>47</v>
      </c>
      <c r="D39" s="114">
        <f>'2013 program Forecast '!AE76</f>
        <v>0</v>
      </c>
      <c r="E39" s="18">
        <f>'2013 program Forecast '!AF76</f>
        <v>0</v>
      </c>
      <c r="F39" s="20"/>
      <c r="G39" s="114">
        <f t="shared" si="18"/>
        <v>0</v>
      </c>
      <c r="H39" s="114"/>
      <c r="I39" s="114">
        <f>'2013 program Forecast '!V76</f>
        <v>0</v>
      </c>
      <c r="J39" s="114"/>
      <c r="K39" s="18">
        <f t="shared" si="32"/>
        <v>0</v>
      </c>
      <c r="L39" s="18">
        <f>SUM(K$5:K39)</f>
        <v>25505372.670000002</v>
      </c>
      <c r="N39" s="18">
        <f t="shared" si="24"/>
        <v>22312.05</v>
      </c>
      <c r="O39" s="18">
        <f t="shared" si="24"/>
        <v>16536.116666666665</v>
      </c>
      <c r="P39" s="18">
        <f t="shared" si="24"/>
        <v>20596.031166666668</v>
      </c>
      <c r="Q39" s="18">
        <f t="shared" si="24"/>
        <v>23778.333333333332</v>
      </c>
      <c r="R39" s="18">
        <f t="shared" si="24"/>
        <v>19815.833333333332</v>
      </c>
      <c r="S39" s="18">
        <f t="shared" si="24"/>
        <v>20279.5</v>
      </c>
      <c r="T39" s="18">
        <f t="shared" si="24"/>
        <v>14990.658333333333</v>
      </c>
      <c r="U39" s="18">
        <f t="shared" si="24"/>
        <v>19380.033333333333</v>
      </c>
      <c r="V39" s="18">
        <f t="shared" si="24"/>
        <v>14101.8</v>
      </c>
      <c r="W39" s="18">
        <f t="shared" si="24"/>
        <v>20871.917666666668</v>
      </c>
      <c r="X39" s="18">
        <f t="shared" si="24"/>
        <v>12815</v>
      </c>
      <c r="Y39" s="18">
        <f t="shared" si="25"/>
        <v>9932.5</v>
      </c>
      <c r="Z39" s="18">
        <f t="shared" si="25"/>
        <v>10956.916666666666</v>
      </c>
      <c r="AA39" s="18">
        <f t="shared" si="25"/>
        <v>10766.558333333332</v>
      </c>
      <c r="AB39" s="18">
        <f t="shared" si="25"/>
        <v>16498</v>
      </c>
      <c r="AC39" s="18">
        <f t="shared" si="25"/>
        <v>10582.5615</v>
      </c>
      <c r="AD39" s="18">
        <f t="shared" si="25"/>
        <v>11791.666666666666</v>
      </c>
      <c r="AE39" s="18">
        <f t="shared" si="25"/>
        <v>13509.166666666666</v>
      </c>
      <c r="AF39" s="18">
        <f t="shared" si="25"/>
        <v>13548.424999999999</v>
      </c>
      <c r="AG39" s="18">
        <f t="shared" si="25"/>
        <v>11316.166666666666</v>
      </c>
      <c r="AH39" s="18">
        <f t="shared" si="25"/>
        <v>13668.55</v>
      </c>
      <c r="AI39" s="18">
        <f t="shared" si="25"/>
        <v>11361.183333333332</v>
      </c>
      <c r="AJ39" s="18">
        <f t="shared" si="25"/>
        <v>11700.786666666665</v>
      </c>
      <c r="AK39" s="18">
        <f t="shared" si="25"/>
        <v>11891.666666666666</v>
      </c>
      <c r="AL39" s="18">
        <f t="shared" si="25"/>
        <v>6768.4224999999997</v>
      </c>
      <c r="AM39" s="18">
        <f t="shared" si="25"/>
        <v>11750</v>
      </c>
      <c r="AN39" s="18">
        <f t="shared" si="25"/>
        <v>14462</v>
      </c>
      <c r="AO39" s="18">
        <f t="shared" si="26"/>
        <v>10433.333333333334</v>
      </c>
      <c r="AP39" s="18">
        <f t="shared" si="28"/>
        <v>11115.2</v>
      </c>
      <c r="AQ39" s="18">
        <f t="shared" si="30"/>
        <v>5334.166666666667</v>
      </c>
      <c r="AR39" s="18">
        <f t="shared" si="33"/>
        <v>841.66666666666663</v>
      </c>
      <c r="AS39" s="18">
        <f t="shared" si="39"/>
        <v>533.33333333333337</v>
      </c>
      <c r="AT39" s="18">
        <f t="shared" ref="AT39:AU96" si="43">AT38</f>
        <v>616.66666666666663</v>
      </c>
      <c r="AU39" s="18">
        <f>AU38</f>
        <v>233.33333333333334</v>
      </c>
      <c r="AV39" s="18"/>
      <c r="AW39" s="18">
        <f t="shared" si="34"/>
        <v>425089.54450000002</v>
      </c>
      <c r="AX39" s="18">
        <f>SUM(AW$5:AW39)</f>
        <v>9574457.9753333349</v>
      </c>
      <c r="AY39" s="18">
        <f t="shared" si="35"/>
        <v>15930914.694666667</v>
      </c>
      <c r="AZ39" s="18">
        <f t="shared" si="40"/>
        <v>16356004.239166668</v>
      </c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>
        <f t="shared" si="41"/>
        <v>59458.333333333336</v>
      </c>
      <c r="BZ39" s="18">
        <f t="shared" si="41"/>
        <v>33842.112499999996</v>
      </c>
      <c r="CA39" s="18">
        <f t="shared" si="41"/>
        <v>58750</v>
      </c>
      <c r="CB39" s="18">
        <f t="shared" si="41"/>
        <v>72310</v>
      </c>
      <c r="CC39" s="39">
        <f t="shared" si="27"/>
        <v>52166.666666666664</v>
      </c>
      <c r="CD39" s="39">
        <f t="shared" si="29"/>
        <v>55576</v>
      </c>
      <c r="CE39" s="39">
        <f t="shared" si="31"/>
        <v>26670.833333333332</v>
      </c>
      <c r="CF39" s="39">
        <f t="shared" si="36"/>
        <v>4208.333333333333</v>
      </c>
      <c r="CG39" s="39">
        <f t="shared" si="42"/>
        <v>2666.6666666666665</v>
      </c>
      <c r="CH39" s="18">
        <f t="shared" ref="CH39:CI48" si="44">CH38</f>
        <v>3083.3333333333335</v>
      </c>
      <c r="CI39" s="39">
        <f>CI38</f>
        <v>1166.6666666666667</v>
      </c>
      <c r="CJ39" s="18"/>
      <c r="CK39" s="18">
        <f t="shared" si="37"/>
        <v>369898.9458333333</v>
      </c>
      <c r="CM39" s="22">
        <f t="shared" si="10"/>
        <v>369898.9458333333</v>
      </c>
      <c r="CN39" s="22">
        <f t="shared" si="38"/>
        <v>425089.54450000002</v>
      </c>
      <c r="CO39" s="18">
        <f t="shared" si="12"/>
        <v>55190.598666666716</v>
      </c>
      <c r="CP39" s="18">
        <f>+CO39*'Capital Structure '!$E$30</f>
        <v>22545.359555333351</v>
      </c>
      <c r="CQ39" s="18">
        <f>SUM(CP$5:CP39)</f>
        <v>-6056364.8648150843</v>
      </c>
    </row>
    <row r="40" spans="1:96" outlineLevel="1">
      <c r="A40" s="7" t="s">
        <v>58</v>
      </c>
      <c r="B40" s="7">
        <f>+B39</f>
        <v>2016</v>
      </c>
      <c r="C40" s="33" t="s">
        <v>47</v>
      </c>
      <c r="D40" s="114">
        <f>'2013 program Forecast '!AE77</f>
        <v>0</v>
      </c>
      <c r="E40" s="18">
        <f>'2013 program Forecast '!AF77</f>
        <v>0</v>
      </c>
      <c r="F40" s="20"/>
      <c r="G40" s="114">
        <f t="shared" si="18"/>
        <v>0</v>
      </c>
      <c r="H40" s="114"/>
      <c r="I40" s="114">
        <f>'2013 program Forecast '!V77</f>
        <v>0</v>
      </c>
      <c r="J40" s="114"/>
      <c r="K40" s="18">
        <f t="shared" si="32"/>
        <v>0</v>
      </c>
      <c r="L40" s="18">
        <f>SUM(K$5:K40)</f>
        <v>25505372.670000002</v>
      </c>
      <c r="N40" s="18">
        <f t="shared" si="24"/>
        <v>22312.05</v>
      </c>
      <c r="O40" s="18">
        <f t="shared" si="24"/>
        <v>16536.116666666665</v>
      </c>
      <c r="P40" s="18">
        <f t="shared" si="24"/>
        <v>20596.031166666668</v>
      </c>
      <c r="Q40" s="18">
        <f t="shared" si="24"/>
        <v>23778.333333333332</v>
      </c>
      <c r="R40" s="18">
        <f t="shared" si="24"/>
        <v>19815.833333333332</v>
      </c>
      <c r="S40" s="18">
        <f t="shared" si="24"/>
        <v>20279.5</v>
      </c>
      <c r="T40" s="18">
        <f t="shared" si="24"/>
        <v>14990.658333333333</v>
      </c>
      <c r="U40" s="18">
        <f t="shared" si="24"/>
        <v>19380.033333333333</v>
      </c>
      <c r="V40" s="18">
        <f t="shared" si="24"/>
        <v>14101.8</v>
      </c>
      <c r="W40" s="18">
        <f t="shared" si="24"/>
        <v>20871.917666666668</v>
      </c>
      <c r="X40" s="18">
        <f t="shared" si="24"/>
        <v>12815</v>
      </c>
      <c r="Y40" s="18">
        <f t="shared" si="25"/>
        <v>9932.5</v>
      </c>
      <c r="Z40" s="18">
        <f t="shared" si="25"/>
        <v>10956.916666666666</v>
      </c>
      <c r="AA40" s="18">
        <f t="shared" si="25"/>
        <v>10766.558333333332</v>
      </c>
      <c r="AB40" s="18">
        <f t="shared" si="25"/>
        <v>16498</v>
      </c>
      <c r="AC40" s="18">
        <f t="shared" si="25"/>
        <v>10582.5615</v>
      </c>
      <c r="AD40" s="18">
        <f t="shared" si="25"/>
        <v>11791.666666666666</v>
      </c>
      <c r="AE40" s="18">
        <f t="shared" si="25"/>
        <v>13509.166666666666</v>
      </c>
      <c r="AF40" s="18">
        <f t="shared" si="25"/>
        <v>13548.424999999999</v>
      </c>
      <c r="AG40" s="18">
        <f t="shared" si="25"/>
        <v>11316.166666666666</v>
      </c>
      <c r="AH40" s="18">
        <f t="shared" si="25"/>
        <v>13668.55</v>
      </c>
      <c r="AI40" s="18">
        <f t="shared" si="25"/>
        <v>11361.183333333332</v>
      </c>
      <c r="AJ40" s="18">
        <f t="shared" si="25"/>
        <v>11700.786666666665</v>
      </c>
      <c r="AK40" s="18">
        <f t="shared" si="25"/>
        <v>11891.666666666666</v>
      </c>
      <c r="AL40" s="18">
        <f t="shared" si="25"/>
        <v>6768.4224999999997</v>
      </c>
      <c r="AM40" s="18">
        <f t="shared" si="25"/>
        <v>11750</v>
      </c>
      <c r="AN40" s="18">
        <f t="shared" si="25"/>
        <v>14462</v>
      </c>
      <c r="AO40" s="18">
        <f t="shared" si="26"/>
        <v>10433.333333333334</v>
      </c>
      <c r="AP40" s="18">
        <f t="shared" si="28"/>
        <v>11115.2</v>
      </c>
      <c r="AQ40" s="18">
        <f t="shared" si="30"/>
        <v>5334.166666666667</v>
      </c>
      <c r="AR40" s="18">
        <f t="shared" si="33"/>
        <v>841.66666666666663</v>
      </c>
      <c r="AS40" s="18">
        <f t="shared" si="39"/>
        <v>533.33333333333337</v>
      </c>
      <c r="AT40" s="18">
        <f t="shared" si="43"/>
        <v>616.66666666666663</v>
      </c>
      <c r="AU40" s="18">
        <f t="shared" si="43"/>
        <v>233.33333333333334</v>
      </c>
      <c r="AV40" s="18"/>
      <c r="AW40" s="18">
        <f t="shared" si="34"/>
        <v>425089.54450000002</v>
      </c>
      <c r="AX40" s="18">
        <f>SUM(AW$5:AW40)</f>
        <v>9999547.5198333357</v>
      </c>
      <c r="AY40" s="18">
        <f t="shared" si="35"/>
        <v>15505825.150166666</v>
      </c>
      <c r="AZ40" s="18">
        <f t="shared" si="40"/>
        <v>15930914.694666667</v>
      </c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>
        <f t="shared" si="41"/>
        <v>33842.112499999996</v>
      </c>
      <c r="CA40" s="18">
        <f t="shared" si="41"/>
        <v>58750</v>
      </c>
      <c r="CB40" s="18">
        <f t="shared" si="41"/>
        <v>72310</v>
      </c>
      <c r="CC40" s="39">
        <f t="shared" si="27"/>
        <v>52166.666666666664</v>
      </c>
      <c r="CD40" s="39">
        <f t="shared" si="29"/>
        <v>55576</v>
      </c>
      <c r="CE40" s="39">
        <f t="shared" si="31"/>
        <v>26670.833333333332</v>
      </c>
      <c r="CF40" s="39">
        <f t="shared" si="36"/>
        <v>4208.333333333333</v>
      </c>
      <c r="CG40" s="39">
        <f t="shared" si="42"/>
        <v>2666.6666666666665</v>
      </c>
      <c r="CH40" s="18">
        <f t="shared" si="44"/>
        <v>3083.3333333333335</v>
      </c>
      <c r="CI40" s="39">
        <f t="shared" si="44"/>
        <v>1166.6666666666667</v>
      </c>
      <c r="CJ40" s="18"/>
      <c r="CK40" s="18">
        <f t="shared" si="37"/>
        <v>310440.61249999999</v>
      </c>
      <c r="CM40" s="22">
        <f t="shared" si="10"/>
        <v>310440.61249999999</v>
      </c>
      <c r="CN40" s="22">
        <f t="shared" si="38"/>
        <v>425089.54450000002</v>
      </c>
      <c r="CO40" s="18">
        <f t="shared" si="12"/>
        <v>114648.93200000003</v>
      </c>
      <c r="CP40" s="18">
        <f>+CO40*'Capital Structure '!$E$30</f>
        <v>46834.088722000008</v>
      </c>
      <c r="CQ40" s="18">
        <f>SUM(CP$5:CP40)</f>
        <v>-6009530.7760930844</v>
      </c>
    </row>
    <row r="41" spans="1:96">
      <c r="A41" s="7" t="s">
        <v>59</v>
      </c>
      <c r="B41" s="7">
        <f t="shared" ref="B41:B46" si="45">+B40</f>
        <v>2016</v>
      </c>
      <c r="C41" s="33" t="s">
        <v>47</v>
      </c>
      <c r="D41" s="114">
        <f>'2013 program Forecast '!AE78</f>
        <v>0</v>
      </c>
      <c r="E41" s="18">
        <f>'2013 program Forecast '!AF78</f>
        <v>0</v>
      </c>
      <c r="F41" s="20"/>
      <c r="G41" s="114">
        <f t="shared" si="18"/>
        <v>0</v>
      </c>
      <c r="H41" s="114"/>
      <c r="I41" s="114">
        <f>'2013 program Forecast '!V78</f>
        <v>0</v>
      </c>
      <c r="J41" s="114"/>
      <c r="K41" s="18">
        <f t="shared" si="32"/>
        <v>0</v>
      </c>
      <c r="L41" s="18">
        <f>SUM(K$5:K41)</f>
        <v>25505372.670000002</v>
      </c>
      <c r="N41" s="18">
        <f t="shared" si="24"/>
        <v>22312.05</v>
      </c>
      <c r="O41" s="18">
        <f t="shared" si="24"/>
        <v>16536.116666666665</v>
      </c>
      <c r="P41" s="18">
        <f t="shared" si="24"/>
        <v>20596.031166666668</v>
      </c>
      <c r="Q41" s="18">
        <f t="shared" si="24"/>
        <v>23778.333333333332</v>
      </c>
      <c r="R41" s="18">
        <f t="shared" si="24"/>
        <v>19815.833333333332</v>
      </c>
      <c r="S41" s="18">
        <f t="shared" si="24"/>
        <v>20279.5</v>
      </c>
      <c r="T41" s="18">
        <f t="shared" si="24"/>
        <v>14990.658333333333</v>
      </c>
      <c r="U41" s="18">
        <f t="shared" si="24"/>
        <v>19380.033333333333</v>
      </c>
      <c r="V41" s="18">
        <f t="shared" si="24"/>
        <v>14101.8</v>
      </c>
      <c r="W41" s="18">
        <f t="shared" si="24"/>
        <v>20871.917666666668</v>
      </c>
      <c r="X41" s="18">
        <f t="shared" si="24"/>
        <v>12815</v>
      </c>
      <c r="Y41" s="18">
        <f t="shared" si="25"/>
        <v>9932.5</v>
      </c>
      <c r="Z41" s="18">
        <f t="shared" si="25"/>
        <v>10956.916666666666</v>
      </c>
      <c r="AA41" s="18">
        <f t="shared" si="25"/>
        <v>10766.558333333332</v>
      </c>
      <c r="AB41" s="18">
        <f t="shared" si="25"/>
        <v>16498</v>
      </c>
      <c r="AC41" s="18">
        <f t="shared" si="25"/>
        <v>10582.5615</v>
      </c>
      <c r="AD41" s="18">
        <f t="shared" si="25"/>
        <v>11791.666666666666</v>
      </c>
      <c r="AE41" s="18">
        <f t="shared" si="25"/>
        <v>13509.166666666666</v>
      </c>
      <c r="AF41" s="18">
        <f t="shared" si="25"/>
        <v>13548.424999999999</v>
      </c>
      <c r="AG41" s="18">
        <f t="shared" si="25"/>
        <v>11316.166666666666</v>
      </c>
      <c r="AH41" s="18">
        <f t="shared" si="25"/>
        <v>13668.55</v>
      </c>
      <c r="AI41" s="18">
        <f t="shared" si="25"/>
        <v>11361.183333333332</v>
      </c>
      <c r="AJ41" s="18">
        <f t="shared" si="25"/>
        <v>11700.786666666665</v>
      </c>
      <c r="AK41" s="18">
        <f t="shared" si="25"/>
        <v>11891.666666666666</v>
      </c>
      <c r="AL41" s="18">
        <f t="shared" si="25"/>
        <v>6768.4224999999997</v>
      </c>
      <c r="AM41" s="18">
        <f t="shared" si="25"/>
        <v>11750</v>
      </c>
      <c r="AN41" s="18">
        <f t="shared" si="25"/>
        <v>14462</v>
      </c>
      <c r="AO41" s="18">
        <f t="shared" si="26"/>
        <v>10433.333333333334</v>
      </c>
      <c r="AP41" s="18">
        <f t="shared" si="28"/>
        <v>11115.2</v>
      </c>
      <c r="AQ41" s="18">
        <f t="shared" si="30"/>
        <v>5334.166666666667</v>
      </c>
      <c r="AR41" s="18">
        <f t="shared" si="33"/>
        <v>841.66666666666663</v>
      </c>
      <c r="AS41" s="18">
        <f t="shared" si="39"/>
        <v>533.33333333333337</v>
      </c>
      <c r="AT41" s="18">
        <f t="shared" si="43"/>
        <v>616.66666666666663</v>
      </c>
      <c r="AU41" s="18">
        <f t="shared" si="43"/>
        <v>233.33333333333334</v>
      </c>
      <c r="AV41" s="18"/>
      <c r="AW41" s="18">
        <f t="shared" si="34"/>
        <v>425089.54450000002</v>
      </c>
      <c r="AX41" s="18">
        <f>SUM(AW$5:AW41)</f>
        <v>10424637.064333336</v>
      </c>
      <c r="AY41" s="18">
        <f t="shared" si="35"/>
        <v>15080735.605666665</v>
      </c>
      <c r="AZ41" s="18">
        <f t="shared" si="40"/>
        <v>15505825.150166666</v>
      </c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>
        <f t="shared" si="41"/>
        <v>58750</v>
      </c>
      <c r="CB41" s="18">
        <f t="shared" si="41"/>
        <v>72310</v>
      </c>
      <c r="CC41" s="39">
        <f t="shared" si="27"/>
        <v>52166.666666666664</v>
      </c>
      <c r="CD41" s="39">
        <f t="shared" si="29"/>
        <v>55576</v>
      </c>
      <c r="CE41" s="39">
        <f t="shared" si="31"/>
        <v>26670.833333333332</v>
      </c>
      <c r="CF41" s="39">
        <f t="shared" si="36"/>
        <v>4208.333333333333</v>
      </c>
      <c r="CG41" s="39">
        <f t="shared" si="42"/>
        <v>2666.6666666666665</v>
      </c>
      <c r="CH41" s="18">
        <f t="shared" si="44"/>
        <v>3083.3333333333335</v>
      </c>
      <c r="CI41" s="39">
        <f t="shared" si="44"/>
        <v>1166.6666666666667</v>
      </c>
      <c r="CJ41" s="18"/>
      <c r="CK41" s="18">
        <f t="shared" si="37"/>
        <v>276598.5</v>
      </c>
      <c r="CM41" s="22">
        <f t="shared" si="10"/>
        <v>276598.5</v>
      </c>
      <c r="CN41" s="22">
        <f t="shared" si="38"/>
        <v>425089.54450000002</v>
      </c>
      <c r="CO41" s="18">
        <f t="shared" si="12"/>
        <v>148491.04450000002</v>
      </c>
      <c r="CP41" s="18">
        <f>+CO41*'Capital Structure '!$E$30</f>
        <v>60658.591678250006</v>
      </c>
      <c r="CQ41" s="18">
        <f>SUM(CP$5:CP41)</f>
        <v>-5948872.1844148347</v>
      </c>
    </row>
    <row r="42" spans="1:96">
      <c r="A42" s="7" t="s">
        <v>46</v>
      </c>
      <c r="B42" s="7">
        <f t="shared" si="45"/>
        <v>2016</v>
      </c>
      <c r="C42" s="33" t="s">
        <v>47</v>
      </c>
      <c r="D42" s="114">
        <f>'2013 program Forecast '!AE79</f>
        <v>0</v>
      </c>
      <c r="E42" s="18">
        <f>'2013 program Forecast '!AF79</f>
        <v>0</v>
      </c>
      <c r="F42" s="20"/>
      <c r="G42" s="114">
        <f t="shared" si="18"/>
        <v>0</v>
      </c>
      <c r="H42" s="114"/>
      <c r="I42" s="114">
        <f>'2013 program Forecast '!V79</f>
        <v>0</v>
      </c>
      <c r="J42" s="114"/>
      <c r="K42" s="18">
        <f t="shared" si="32"/>
        <v>0</v>
      </c>
      <c r="L42" s="18">
        <f>SUM(K$5:K42)</f>
        <v>25505372.670000002</v>
      </c>
      <c r="N42" s="18">
        <f t="shared" si="24"/>
        <v>22312.05</v>
      </c>
      <c r="O42" s="18">
        <f t="shared" si="24"/>
        <v>16536.116666666665</v>
      </c>
      <c r="P42" s="18">
        <f t="shared" si="24"/>
        <v>20596.031166666668</v>
      </c>
      <c r="Q42" s="18">
        <f t="shared" si="24"/>
        <v>23778.333333333332</v>
      </c>
      <c r="R42" s="18">
        <f t="shared" si="24"/>
        <v>19815.833333333332</v>
      </c>
      <c r="S42" s="18">
        <f t="shared" si="24"/>
        <v>20279.5</v>
      </c>
      <c r="T42" s="18">
        <f t="shared" si="24"/>
        <v>14990.658333333333</v>
      </c>
      <c r="U42" s="18">
        <f t="shared" si="24"/>
        <v>19380.033333333333</v>
      </c>
      <c r="V42" s="18">
        <f t="shared" si="24"/>
        <v>14101.8</v>
      </c>
      <c r="W42" s="18">
        <f t="shared" si="24"/>
        <v>20871.917666666668</v>
      </c>
      <c r="X42" s="18">
        <f t="shared" si="24"/>
        <v>12815</v>
      </c>
      <c r="Y42" s="18">
        <f t="shared" si="25"/>
        <v>9932.5</v>
      </c>
      <c r="Z42" s="18">
        <f t="shared" si="25"/>
        <v>10956.916666666666</v>
      </c>
      <c r="AA42" s="18">
        <f t="shared" si="25"/>
        <v>10766.558333333332</v>
      </c>
      <c r="AB42" s="18">
        <f t="shared" si="25"/>
        <v>16498</v>
      </c>
      <c r="AC42" s="18">
        <f t="shared" si="25"/>
        <v>10582.5615</v>
      </c>
      <c r="AD42" s="18">
        <f t="shared" si="25"/>
        <v>11791.666666666666</v>
      </c>
      <c r="AE42" s="18">
        <f t="shared" si="25"/>
        <v>13509.166666666666</v>
      </c>
      <c r="AF42" s="18">
        <f t="shared" si="25"/>
        <v>13548.424999999999</v>
      </c>
      <c r="AG42" s="18">
        <f t="shared" si="25"/>
        <v>11316.166666666666</v>
      </c>
      <c r="AH42" s="18">
        <f t="shared" si="25"/>
        <v>13668.55</v>
      </c>
      <c r="AI42" s="18">
        <f t="shared" si="25"/>
        <v>11361.183333333332</v>
      </c>
      <c r="AJ42" s="18">
        <f t="shared" si="25"/>
        <v>11700.786666666665</v>
      </c>
      <c r="AK42" s="18">
        <f t="shared" si="25"/>
        <v>11891.666666666666</v>
      </c>
      <c r="AL42" s="18">
        <f t="shared" si="25"/>
        <v>6768.4224999999997</v>
      </c>
      <c r="AM42" s="18">
        <f t="shared" si="25"/>
        <v>11750</v>
      </c>
      <c r="AN42" s="18">
        <f t="shared" si="25"/>
        <v>14462</v>
      </c>
      <c r="AO42" s="18">
        <f t="shared" si="26"/>
        <v>10433.333333333334</v>
      </c>
      <c r="AP42" s="18">
        <f t="shared" si="28"/>
        <v>11115.2</v>
      </c>
      <c r="AQ42" s="18">
        <f t="shared" si="30"/>
        <v>5334.166666666667</v>
      </c>
      <c r="AR42" s="18">
        <f t="shared" si="33"/>
        <v>841.66666666666663</v>
      </c>
      <c r="AS42" s="18">
        <f t="shared" si="39"/>
        <v>533.33333333333337</v>
      </c>
      <c r="AT42" s="18">
        <f t="shared" si="43"/>
        <v>616.66666666666663</v>
      </c>
      <c r="AU42" s="18">
        <f t="shared" si="43"/>
        <v>233.33333333333334</v>
      </c>
      <c r="AV42" s="18"/>
      <c r="AW42" s="18">
        <f t="shared" si="34"/>
        <v>425089.54450000002</v>
      </c>
      <c r="AX42" s="18">
        <f>SUM(AW$5:AW42)</f>
        <v>10849726.608833337</v>
      </c>
      <c r="AY42" s="18">
        <f t="shared" si="35"/>
        <v>14655646.061166665</v>
      </c>
      <c r="AZ42" s="18">
        <f t="shared" si="40"/>
        <v>15080735.605666665</v>
      </c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>
        <f t="shared" si="41"/>
        <v>72310</v>
      </c>
      <c r="CC42" s="39">
        <f t="shared" si="27"/>
        <v>52166.666666666664</v>
      </c>
      <c r="CD42" s="39">
        <f t="shared" si="29"/>
        <v>55576</v>
      </c>
      <c r="CE42" s="39">
        <f t="shared" si="31"/>
        <v>26670.833333333332</v>
      </c>
      <c r="CF42" s="39">
        <f t="shared" si="36"/>
        <v>4208.333333333333</v>
      </c>
      <c r="CG42" s="39">
        <f t="shared" si="42"/>
        <v>2666.6666666666665</v>
      </c>
      <c r="CH42" s="18">
        <f t="shared" si="44"/>
        <v>3083.3333333333335</v>
      </c>
      <c r="CI42" s="39">
        <f t="shared" si="44"/>
        <v>1166.6666666666667</v>
      </c>
      <c r="CJ42" s="18"/>
      <c r="CK42" s="18">
        <f t="shared" si="37"/>
        <v>217848.5</v>
      </c>
      <c r="CM42" s="22">
        <f t="shared" si="10"/>
        <v>217848.5</v>
      </c>
      <c r="CN42" s="22">
        <f t="shared" si="38"/>
        <v>425089.54450000002</v>
      </c>
      <c r="CO42" s="18">
        <f t="shared" si="12"/>
        <v>207241.04450000002</v>
      </c>
      <c r="CP42" s="18">
        <f>+CO42*'Capital Structure '!$E$30</f>
        <v>84657.966678249999</v>
      </c>
      <c r="CQ42" s="18">
        <f>SUM(CP$5:CP42)</f>
        <v>-5864214.2177365851</v>
      </c>
    </row>
    <row r="43" spans="1:96">
      <c r="A43" s="7" t="s">
        <v>48</v>
      </c>
      <c r="B43" s="7">
        <f t="shared" si="45"/>
        <v>2016</v>
      </c>
      <c r="C43" s="33" t="s">
        <v>47</v>
      </c>
      <c r="D43" s="114">
        <f>'2013 program Forecast '!AE80</f>
        <v>0</v>
      </c>
      <c r="E43" s="18">
        <f>'2013 program Forecast '!AF80</f>
        <v>0</v>
      </c>
      <c r="F43" s="20"/>
      <c r="G43" s="114">
        <f t="shared" si="18"/>
        <v>0</v>
      </c>
      <c r="H43" s="114"/>
      <c r="I43" s="114">
        <f>'2013 program Forecast '!V80</f>
        <v>0</v>
      </c>
      <c r="J43" s="114"/>
      <c r="K43" s="18">
        <f t="shared" si="32"/>
        <v>0</v>
      </c>
      <c r="L43" s="18">
        <f>SUM(K$5:K43)</f>
        <v>25505372.670000002</v>
      </c>
      <c r="N43" s="18">
        <f t="shared" si="24"/>
        <v>22312.05</v>
      </c>
      <c r="O43" s="18">
        <f t="shared" si="24"/>
        <v>16536.116666666665</v>
      </c>
      <c r="P43" s="18">
        <f t="shared" si="24"/>
        <v>20596.031166666668</v>
      </c>
      <c r="Q43" s="18">
        <f t="shared" si="24"/>
        <v>23778.333333333332</v>
      </c>
      <c r="R43" s="18">
        <f t="shared" si="24"/>
        <v>19815.833333333332</v>
      </c>
      <c r="S43" s="18">
        <f t="shared" si="24"/>
        <v>20279.5</v>
      </c>
      <c r="T43" s="18">
        <f t="shared" si="24"/>
        <v>14990.658333333333</v>
      </c>
      <c r="U43" s="18">
        <f t="shared" si="24"/>
        <v>19380.033333333333</v>
      </c>
      <c r="V43" s="18">
        <f t="shared" si="24"/>
        <v>14101.8</v>
      </c>
      <c r="W43" s="18">
        <f t="shared" si="24"/>
        <v>20871.917666666668</v>
      </c>
      <c r="X43" s="18">
        <f t="shared" si="24"/>
        <v>12815</v>
      </c>
      <c r="Y43" s="18">
        <f t="shared" si="25"/>
        <v>9932.5</v>
      </c>
      <c r="Z43" s="18">
        <f t="shared" si="25"/>
        <v>10956.916666666666</v>
      </c>
      <c r="AA43" s="18">
        <f t="shared" si="25"/>
        <v>10766.558333333332</v>
      </c>
      <c r="AB43" s="18">
        <f t="shared" si="25"/>
        <v>16498</v>
      </c>
      <c r="AC43" s="18">
        <f t="shared" si="25"/>
        <v>10582.5615</v>
      </c>
      <c r="AD43" s="18">
        <f t="shared" si="25"/>
        <v>11791.666666666666</v>
      </c>
      <c r="AE43" s="18">
        <f t="shared" si="25"/>
        <v>13509.166666666666</v>
      </c>
      <c r="AF43" s="18">
        <f t="shared" si="25"/>
        <v>13548.424999999999</v>
      </c>
      <c r="AG43" s="18">
        <f t="shared" si="25"/>
        <v>11316.166666666666</v>
      </c>
      <c r="AH43" s="18">
        <f t="shared" si="25"/>
        <v>13668.55</v>
      </c>
      <c r="AI43" s="18">
        <f t="shared" si="25"/>
        <v>11361.183333333332</v>
      </c>
      <c r="AJ43" s="18">
        <f t="shared" si="25"/>
        <v>11700.786666666665</v>
      </c>
      <c r="AK43" s="18">
        <f t="shared" si="25"/>
        <v>11891.666666666666</v>
      </c>
      <c r="AL43" s="18">
        <f t="shared" si="25"/>
        <v>6768.4224999999997</v>
      </c>
      <c r="AM43" s="18">
        <f t="shared" si="25"/>
        <v>11750</v>
      </c>
      <c r="AN43" s="18">
        <f t="shared" si="25"/>
        <v>14462</v>
      </c>
      <c r="AO43" s="18">
        <f t="shared" si="26"/>
        <v>10433.333333333334</v>
      </c>
      <c r="AP43" s="18">
        <f t="shared" si="28"/>
        <v>11115.2</v>
      </c>
      <c r="AQ43" s="18">
        <f t="shared" si="30"/>
        <v>5334.166666666667</v>
      </c>
      <c r="AR43" s="18">
        <f t="shared" si="33"/>
        <v>841.66666666666663</v>
      </c>
      <c r="AS43" s="18">
        <f t="shared" si="39"/>
        <v>533.33333333333337</v>
      </c>
      <c r="AT43" s="18">
        <f t="shared" si="43"/>
        <v>616.66666666666663</v>
      </c>
      <c r="AU43" s="18">
        <f t="shared" si="43"/>
        <v>233.33333333333334</v>
      </c>
      <c r="AV43" s="18"/>
      <c r="AW43" s="18">
        <f t="shared" si="34"/>
        <v>425089.54450000002</v>
      </c>
      <c r="AX43" s="18">
        <f>SUM(AW$5:AW43)</f>
        <v>11274816.153333338</v>
      </c>
      <c r="AY43" s="18">
        <f t="shared" si="35"/>
        <v>14230556.516666664</v>
      </c>
      <c r="AZ43" s="18">
        <f t="shared" si="40"/>
        <v>14655646.061166665</v>
      </c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39">
        <f t="shared" si="27"/>
        <v>52166.666666666664</v>
      </c>
      <c r="CD43" s="39">
        <f t="shared" si="29"/>
        <v>55576</v>
      </c>
      <c r="CE43" s="39">
        <f t="shared" si="31"/>
        <v>26670.833333333332</v>
      </c>
      <c r="CF43" s="39">
        <f t="shared" si="36"/>
        <v>4208.333333333333</v>
      </c>
      <c r="CG43" s="39">
        <f t="shared" si="42"/>
        <v>2666.6666666666665</v>
      </c>
      <c r="CH43" s="18">
        <f t="shared" si="44"/>
        <v>3083.3333333333335</v>
      </c>
      <c r="CI43" s="39">
        <f t="shared" si="44"/>
        <v>1166.6666666666667</v>
      </c>
      <c r="CJ43" s="18"/>
      <c r="CK43" s="18">
        <f t="shared" si="37"/>
        <v>145538.5</v>
      </c>
      <c r="CM43" s="22">
        <f t="shared" si="10"/>
        <v>145538.5</v>
      </c>
      <c r="CN43" s="22">
        <f t="shared" si="38"/>
        <v>425089.54450000002</v>
      </c>
      <c r="CO43" s="18">
        <f t="shared" si="12"/>
        <v>279551.04450000002</v>
      </c>
      <c r="CP43" s="18">
        <f>+CO43*'Capital Structure '!$E$30</f>
        <v>114196.60167824999</v>
      </c>
      <c r="CQ43" s="18">
        <f>SUM(CP$5:CP43)</f>
        <v>-5750017.6160583347</v>
      </c>
    </row>
    <row r="44" spans="1:96">
      <c r="A44" s="7" t="s">
        <v>50</v>
      </c>
      <c r="B44" s="7">
        <f t="shared" si="45"/>
        <v>2016</v>
      </c>
      <c r="C44" s="33" t="s">
        <v>47</v>
      </c>
      <c r="D44" s="114">
        <f>'2013 program Forecast '!AE81</f>
        <v>0</v>
      </c>
      <c r="E44" s="18">
        <f>'2013 program Forecast '!AF81</f>
        <v>0</v>
      </c>
      <c r="F44" s="20"/>
      <c r="G44" s="114">
        <f t="shared" si="18"/>
        <v>0</v>
      </c>
      <c r="H44" s="114"/>
      <c r="I44" s="114">
        <f>'2013 program Forecast '!V81</f>
        <v>0</v>
      </c>
      <c r="J44" s="114"/>
      <c r="K44" s="18">
        <f t="shared" si="32"/>
        <v>0</v>
      </c>
      <c r="L44" s="18">
        <f>SUM(K$5:K44)</f>
        <v>25505372.670000002</v>
      </c>
      <c r="N44" s="18">
        <f t="shared" si="24"/>
        <v>22312.05</v>
      </c>
      <c r="O44" s="18">
        <f t="shared" si="24"/>
        <v>16536.116666666665</v>
      </c>
      <c r="P44" s="18">
        <f t="shared" si="24"/>
        <v>20596.031166666668</v>
      </c>
      <c r="Q44" s="18">
        <f t="shared" si="24"/>
        <v>23778.333333333332</v>
      </c>
      <c r="R44" s="18">
        <f t="shared" si="24"/>
        <v>19815.833333333332</v>
      </c>
      <c r="S44" s="18">
        <f t="shared" si="24"/>
        <v>20279.5</v>
      </c>
      <c r="T44" s="18">
        <f t="shared" si="24"/>
        <v>14990.658333333333</v>
      </c>
      <c r="U44" s="18">
        <f t="shared" si="24"/>
        <v>19380.033333333333</v>
      </c>
      <c r="V44" s="18">
        <f t="shared" si="24"/>
        <v>14101.8</v>
      </c>
      <c r="W44" s="18">
        <f t="shared" si="24"/>
        <v>20871.917666666668</v>
      </c>
      <c r="X44" s="18">
        <f t="shared" si="24"/>
        <v>12815</v>
      </c>
      <c r="Y44" s="18">
        <f t="shared" si="25"/>
        <v>9932.5</v>
      </c>
      <c r="Z44" s="18">
        <f t="shared" si="25"/>
        <v>10956.916666666666</v>
      </c>
      <c r="AA44" s="18">
        <f t="shared" si="25"/>
        <v>10766.558333333332</v>
      </c>
      <c r="AB44" s="18">
        <f t="shared" si="25"/>
        <v>16498</v>
      </c>
      <c r="AC44" s="18">
        <f t="shared" si="25"/>
        <v>10582.5615</v>
      </c>
      <c r="AD44" s="18">
        <f t="shared" si="25"/>
        <v>11791.666666666666</v>
      </c>
      <c r="AE44" s="18">
        <f t="shared" si="25"/>
        <v>13509.166666666666</v>
      </c>
      <c r="AF44" s="18">
        <f t="shared" si="25"/>
        <v>13548.424999999999</v>
      </c>
      <c r="AG44" s="18">
        <f t="shared" si="25"/>
        <v>11316.166666666666</v>
      </c>
      <c r="AH44" s="18">
        <f t="shared" si="25"/>
        <v>13668.55</v>
      </c>
      <c r="AI44" s="18">
        <f t="shared" si="25"/>
        <v>11361.183333333332</v>
      </c>
      <c r="AJ44" s="18">
        <f t="shared" si="25"/>
        <v>11700.786666666665</v>
      </c>
      <c r="AK44" s="18">
        <f t="shared" si="25"/>
        <v>11891.666666666666</v>
      </c>
      <c r="AL44" s="18">
        <f t="shared" si="25"/>
        <v>6768.4224999999997</v>
      </c>
      <c r="AM44" s="18">
        <f t="shared" si="25"/>
        <v>11750</v>
      </c>
      <c r="AN44" s="18">
        <f t="shared" si="25"/>
        <v>14462</v>
      </c>
      <c r="AO44" s="18">
        <f t="shared" si="26"/>
        <v>10433.333333333334</v>
      </c>
      <c r="AP44" s="18">
        <f t="shared" si="28"/>
        <v>11115.2</v>
      </c>
      <c r="AQ44" s="18">
        <f t="shared" si="30"/>
        <v>5334.166666666667</v>
      </c>
      <c r="AR44" s="18">
        <f t="shared" si="33"/>
        <v>841.66666666666663</v>
      </c>
      <c r="AS44" s="18">
        <f t="shared" si="39"/>
        <v>533.33333333333337</v>
      </c>
      <c r="AT44" s="18">
        <f t="shared" si="43"/>
        <v>616.66666666666663</v>
      </c>
      <c r="AU44" s="18">
        <f t="shared" si="43"/>
        <v>233.33333333333334</v>
      </c>
      <c r="AV44" s="18"/>
      <c r="AW44" s="18">
        <f t="shared" si="34"/>
        <v>425089.54450000002</v>
      </c>
      <c r="AX44" s="18">
        <f>SUM(AW$5:AW44)</f>
        <v>11699905.697833339</v>
      </c>
      <c r="AY44" s="18">
        <f t="shared" si="35"/>
        <v>13805466.972166663</v>
      </c>
      <c r="AZ44" s="18">
        <f t="shared" si="40"/>
        <v>14230556.516666664</v>
      </c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39">
        <f t="shared" si="29"/>
        <v>55576</v>
      </c>
      <c r="CE44" s="39">
        <f t="shared" si="31"/>
        <v>26670.833333333332</v>
      </c>
      <c r="CF44" s="39">
        <f t="shared" si="36"/>
        <v>4208.333333333333</v>
      </c>
      <c r="CG44" s="39">
        <f t="shared" si="42"/>
        <v>2666.6666666666665</v>
      </c>
      <c r="CH44" s="18">
        <f t="shared" si="44"/>
        <v>3083.3333333333335</v>
      </c>
      <c r="CI44" s="39">
        <f t="shared" si="44"/>
        <v>1166.6666666666667</v>
      </c>
      <c r="CJ44" s="18"/>
      <c r="CK44" s="18">
        <f t="shared" si="37"/>
        <v>93371.833333333328</v>
      </c>
      <c r="CM44" s="22">
        <f t="shared" si="10"/>
        <v>93371.833333333328</v>
      </c>
      <c r="CN44" s="22">
        <f t="shared" si="38"/>
        <v>425089.54450000002</v>
      </c>
      <c r="CO44" s="18">
        <f t="shared" si="12"/>
        <v>331717.7111666667</v>
      </c>
      <c r="CP44" s="18">
        <f>+CO44*'Capital Structure '!$E$30</f>
        <v>135506.68501158335</v>
      </c>
      <c r="CQ44" s="18">
        <f>SUM(CP$5:CP44)</f>
        <v>-5614510.9310467513</v>
      </c>
    </row>
    <row r="45" spans="1:96">
      <c r="A45" s="7" t="s">
        <v>51</v>
      </c>
      <c r="B45" s="7">
        <f t="shared" si="45"/>
        <v>2016</v>
      </c>
      <c r="C45" s="33" t="s">
        <v>47</v>
      </c>
      <c r="D45" s="114">
        <f>'2013 program Forecast '!AE82</f>
        <v>0</v>
      </c>
      <c r="E45" s="18">
        <f>'2013 program Forecast '!AF82</f>
        <v>0</v>
      </c>
      <c r="F45" s="20"/>
      <c r="G45" s="114">
        <f t="shared" si="18"/>
        <v>0</v>
      </c>
      <c r="H45" s="114"/>
      <c r="I45" s="114">
        <f>'2013 program Forecast '!V82</f>
        <v>0</v>
      </c>
      <c r="J45" s="114"/>
      <c r="K45" s="18">
        <f t="shared" si="32"/>
        <v>0</v>
      </c>
      <c r="L45" s="18">
        <f>SUM(K$5:K45)</f>
        <v>25505372.670000002</v>
      </c>
      <c r="N45" s="18">
        <f t="shared" si="24"/>
        <v>22312.05</v>
      </c>
      <c r="O45" s="18">
        <f t="shared" si="24"/>
        <v>16536.116666666665</v>
      </c>
      <c r="P45" s="18">
        <f t="shared" si="24"/>
        <v>20596.031166666668</v>
      </c>
      <c r="Q45" s="18">
        <f t="shared" si="24"/>
        <v>23778.333333333332</v>
      </c>
      <c r="R45" s="18">
        <f t="shared" si="24"/>
        <v>19815.833333333332</v>
      </c>
      <c r="S45" s="18">
        <f t="shared" si="24"/>
        <v>20279.5</v>
      </c>
      <c r="T45" s="18">
        <f t="shared" si="24"/>
        <v>14990.658333333333</v>
      </c>
      <c r="U45" s="18">
        <f t="shared" si="24"/>
        <v>19380.033333333333</v>
      </c>
      <c r="V45" s="18">
        <f t="shared" si="24"/>
        <v>14101.8</v>
      </c>
      <c r="W45" s="18">
        <f t="shared" si="24"/>
        <v>20871.917666666668</v>
      </c>
      <c r="X45" s="18">
        <f t="shared" si="24"/>
        <v>12815</v>
      </c>
      <c r="Y45" s="18">
        <f t="shared" si="25"/>
        <v>9932.5</v>
      </c>
      <c r="Z45" s="18">
        <f t="shared" si="25"/>
        <v>10956.916666666666</v>
      </c>
      <c r="AA45" s="18">
        <f t="shared" si="25"/>
        <v>10766.558333333332</v>
      </c>
      <c r="AB45" s="18">
        <f t="shared" si="25"/>
        <v>16498</v>
      </c>
      <c r="AC45" s="18">
        <f t="shared" si="25"/>
        <v>10582.5615</v>
      </c>
      <c r="AD45" s="18">
        <f t="shared" si="25"/>
        <v>11791.666666666666</v>
      </c>
      <c r="AE45" s="18">
        <f t="shared" si="25"/>
        <v>13509.166666666666</v>
      </c>
      <c r="AF45" s="18">
        <f t="shared" si="25"/>
        <v>13548.424999999999</v>
      </c>
      <c r="AG45" s="18">
        <f t="shared" si="25"/>
        <v>11316.166666666666</v>
      </c>
      <c r="AH45" s="18">
        <f t="shared" si="25"/>
        <v>13668.55</v>
      </c>
      <c r="AI45" s="18">
        <f t="shared" si="25"/>
        <v>11361.183333333332</v>
      </c>
      <c r="AJ45" s="18">
        <f t="shared" si="25"/>
        <v>11700.786666666665</v>
      </c>
      <c r="AK45" s="18">
        <f t="shared" si="25"/>
        <v>11891.666666666666</v>
      </c>
      <c r="AL45" s="18">
        <f t="shared" si="25"/>
        <v>6768.4224999999997</v>
      </c>
      <c r="AM45" s="18">
        <f t="shared" si="25"/>
        <v>11750</v>
      </c>
      <c r="AN45" s="18">
        <f t="shared" si="25"/>
        <v>14462</v>
      </c>
      <c r="AO45" s="18">
        <f t="shared" si="26"/>
        <v>10433.333333333334</v>
      </c>
      <c r="AP45" s="18">
        <f t="shared" si="28"/>
        <v>11115.2</v>
      </c>
      <c r="AQ45" s="18">
        <f t="shared" si="30"/>
        <v>5334.166666666667</v>
      </c>
      <c r="AR45" s="18">
        <f t="shared" si="33"/>
        <v>841.66666666666663</v>
      </c>
      <c r="AS45" s="18">
        <f t="shared" si="39"/>
        <v>533.33333333333337</v>
      </c>
      <c r="AT45" s="18">
        <f t="shared" si="43"/>
        <v>616.66666666666663</v>
      </c>
      <c r="AU45" s="18">
        <f t="shared" si="43"/>
        <v>233.33333333333334</v>
      </c>
      <c r="AV45" s="18"/>
      <c r="AW45" s="18">
        <f t="shared" si="34"/>
        <v>425089.54450000002</v>
      </c>
      <c r="AX45" s="18">
        <f>SUM(AW$5:AW45)</f>
        <v>12124995.24233334</v>
      </c>
      <c r="AY45" s="18">
        <f t="shared" si="35"/>
        <v>13380377.427666662</v>
      </c>
      <c r="AZ45" s="18">
        <f t="shared" si="40"/>
        <v>13805466.972166663</v>
      </c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39">
        <f t="shared" si="31"/>
        <v>26670.833333333332</v>
      </c>
      <c r="CF45" s="39">
        <f t="shared" si="36"/>
        <v>4208.333333333333</v>
      </c>
      <c r="CG45" s="39">
        <f t="shared" si="42"/>
        <v>2666.6666666666665</v>
      </c>
      <c r="CH45" s="18">
        <f t="shared" si="44"/>
        <v>3083.3333333333335</v>
      </c>
      <c r="CI45" s="39">
        <f t="shared" si="44"/>
        <v>1166.6666666666667</v>
      </c>
      <c r="CJ45" s="18"/>
      <c r="CK45" s="18">
        <f t="shared" si="37"/>
        <v>37795.833333333328</v>
      </c>
      <c r="CM45" s="22">
        <f t="shared" si="10"/>
        <v>37795.833333333328</v>
      </c>
      <c r="CN45" s="22">
        <f t="shared" si="38"/>
        <v>425089.54450000002</v>
      </c>
      <c r="CO45" s="18">
        <f t="shared" si="12"/>
        <v>387293.7111666667</v>
      </c>
      <c r="CP45" s="18">
        <f>+CO45*'Capital Structure '!$E$30</f>
        <v>158209.48101158332</v>
      </c>
      <c r="CQ45" s="18">
        <f>SUM(CP$5:CP45)</f>
        <v>-5456301.4500351679</v>
      </c>
    </row>
    <row r="46" spans="1:96" s="4" customFormat="1">
      <c r="A46" s="124" t="s">
        <v>52</v>
      </c>
      <c r="B46" s="124">
        <f t="shared" si="45"/>
        <v>2016</v>
      </c>
      <c r="C46" s="322" t="s">
        <v>47</v>
      </c>
      <c r="D46" s="116">
        <f>'2013 program Forecast '!AE83</f>
        <v>0</v>
      </c>
      <c r="E46" s="121">
        <f>'2013 program Forecast '!AF83</f>
        <v>0</v>
      </c>
      <c r="F46" s="121"/>
      <c r="G46" s="116">
        <f t="shared" si="18"/>
        <v>0</v>
      </c>
      <c r="H46" s="116"/>
      <c r="I46" s="116">
        <f>'2013 program Forecast '!V83</f>
        <v>0</v>
      </c>
      <c r="J46" s="116"/>
      <c r="K46" s="121">
        <f t="shared" si="32"/>
        <v>0</v>
      </c>
      <c r="L46" s="121">
        <f>SUM(K$5:K46)</f>
        <v>25505372.670000002</v>
      </c>
      <c r="M46" s="126"/>
      <c r="N46" s="121">
        <f t="shared" ref="N46:X61" si="46">+N45</f>
        <v>22312.05</v>
      </c>
      <c r="O46" s="121">
        <f t="shared" si="46"/>
        <v>16536.116666666665</v>
      </c>
      <c r="P46" s="121">
        <f t="shared" si="46"/>
        <v>20596.031166666668</v>
      </c>
      <c r="Q46" s="121">
        <f t="shared" si="46"/>
        <v>23778.333333333332</v>
      </c>
      <c r="R46" s="121">
        <f t="shared" si="46"/>
        <v>19815.833333333332</v>
      </c>
      <c r="S46" s="121">
        <f t="shared" si="46"/>
        <v>20279.5</v>
      </c>
      <c r="T46" s="121">
        <f t="shared" si="46"/>
        <v>14990.658333333333</v>
      </c>
      <c r="U46" s="121">
        <f t="shared" si="46"/>
        <v>19380.033333333333</v>
      </c>
      <c r="V46" s="121">
        <f t="shared" si="46"/>
        <v>14101.8</v>
      </c>
      <c r="W46" s="121">
        <f t="shared" si="46"/>
        <v>20871.917666666668</v>
      </c>
      <c r="X46" s="121">
        <f t="shared" si="46"/>
        <v>12815</v>
      </c>
      <c r="Y46" s="121">
        <f t="shared" si="25"/>
        <v>9932.5</v>
      </c>
      <c r="Z46" s="121">
        <f t="shared" si="25"/>
        <v>10956.916666666666</v>
      </c>
      <c r="AA46" s="121">
        <f t="shared" si="25"/>
        <v>10766.558333333332</v>
      </c>
      <c r="AB46" s="121">
        <f t="shared" si="25"/>
        <v>16498</v>
      </c>
      <c r="AC46" s="121">
        <f t="shared" si="25"/>
        <v>10582.5615</v>
      </c>
      <c r="AD46" s="121">
        <f t="shared" si="25"/>
        <v>11791.666666666666</v>
      </c>
      <c r="AE46" s="121">
        <f t="shared" si="25"/>
        <v>13509.166666666666</v>
      </c>
      <c r="AF46" s="121">
        <f t="shared" si="25"/>
        <v>13548.424999999999</v>
      </c>
      <c r="AG46" s="121">
        <f t="shared" si="25"/>
        <v>11316.166666666666</v>
      </c>
      <c r="AH46" s="121">
        <f t="shared" si="25"/>
        <v>13668.55</v>
      </c>
      <c r="AI46" s="121">
        <f t="shared" si="25"/>
        <v>11361.183333333332</v>
      </c>
      <c r="AJ46" s="121">
        <f t="shared" si="25"/>
        <v>11700.786666666665</v>
      </c>
      <c r="AK46" s="121">
        <f t="shared" si="25"/>
        <v>11891.666666666666</v>
      </c>
      <c r="AL46" s="121">
        <f t="shared" si="25"/>
        <v>6768.4224999999997</v>
      </c>
      <c r="AM46" s="121">
        <f t="shared" si="25"/>
        <v>11750</v>
      </c>
      <c r="AN46" s="121">
        <f t="shared" si="25"/>
        <v>14462</v>
      </c>
      <c r="AO46" s="121">
        <f t="shared" si="26"/>
        <v>10433.333333333334</v>
      </c>
      <c r="AP46" s="121">
        <f t="shared" si="28"/>
        <v>11115.2</v>
      </c>
      <c r="AQ46" s="121">
        <f t="shared" si="30"/>
        <v>5334.166666666667</v>
      </c>
      <c r="AR46" s="121">
        <f t="shared" si="33"/>
        <v>841.66666666666663</v>
      </c>
      <c r="AS46" s="121">
        <f t="shared" si="39"/>
        <v>533.33333333333337</v>
      </c>
      <c r="AT46" s="121">
        <f t="shared" si="43"/>
        <v>616.66666666666663</v>
      </c>
      <c r="AU46" s="121">
        <f t="shared" si="43"/>
        <v>233.33333333333334</v>
      </c>
      <c r="AV46" s="121"/>
      <c r="AW46" s="121">
        <f t="shared" si="34"/>
        <v>425089.54450000002</v>
      </c>
      <c r="AX46" s="121">
        <f>SUM(AW$5:AW46)</f>
        <v>12550084.78683334</v>
      </c>
      <c r="AY46" s="121">
        <f t="shared" si="35"/>
        <v>12955287.883166661</v>
      </c>
      <c r="AZ46" s="121">
        <f t="shared" si="40"/>
        <v>13380377.427666662</v>
      </c>
      <c r="BA46" s="126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212">
        <f t="shared" si="36"/>
        <v>4208.333333333333</v>
      </c>
      <c r="CG46" s="212">
        <f t="shared" si="42"/>
        <v>2666.6666666666665</v>
      </c>
      <c r="CH46" s="121">
        <f t="shared" si="44"/>
        <v>3083.3333333333335</v>
      </c>
      <c r="CI46" s="212">
        <f t="shared" si="44"/>
        <v>1166.6666666666667</v>
      </c>
      <c r="CJ46" s="121"/>
      <c r="CK46" s="121">
        <f t="shared" si="37"/>
        <v>11125</v>
      </c>
      <c r="CL46" s="126"/>
      <c r="CM46" s="211">
        <f t="shared" si="10"/>
        <v>11125</v>
      </c>
      <c r="CN46" s="211">
        <f t="shared" si="38"/>
        <v>425089.54450000002</v>
      </c>
      <c r="CO46" s="121">
        <f t="shared" si="12"/>
        <v>413964.54450000002</v>
      </c>
      <c r="CP46" s="121">
        <f>+CO46*'Capital Structure '!$E$30</f>
        <v>169104.51642825</v>
      </c>
      <c r="CQ46" s="121">
        <f>SUM(CP$5:CP46)</f>
        <v>-5287196.933606918</v>
      </c>
    </row>
    <row r="47" spans="1:96">
      <c r="A47" s="7" t="s">
        <v>53</v>
      </c>
      <c r="B47" s="7">
        <f>+B46+1</f>
        <v>2017</v>
      </c>
      <c r="C47" s="33" t="s">
        <v>47</v>
      </c>
      <c r="D47" s="114"/>
      <c r="E47" s="18"/>
      <c r="F47" s="20"/>
      <c r="G47" s="114">
        <f t="shared" si="18"/>
        <v>0</v>
      </c>
      <c r="H47" s="114"/>
      <c r="I47" s="114"/>
      <c r="J47" s="114"/>
      <c r="K47" s="18">
        <f t="shared" si="32"/>
        <v>0</v>
      </c>
      <c r="L47" s="18">
        <f>SUM(K$5:K47)</f>
        <v>25505372.670000002</v>
      </c>
      <c r="N47" s="18">
        <f t="shared" si="46"/>
        <v>22312.05</v>
      </c>
      <c r="O47" s="18">
        <f t="shared" si="46"/>
        <v>16536.116666666665</v>
      </c>
      <c r="P47" s="18">
        <f t="shared" si="46"/>
        <v>20596.031166666668</v>
      </c>
      <c r="Q47" s="18">
        <f t="shared" si="46"/>
        <v>23778.333333333332</v>
      </c>
      <c r="R47" s="18">
        <f t="shared" si="46"/>
        <v>19815.833333333332</v>
      </c>
      <c r="S47" s="18">
        <f t="shared" si="46"/>
        <v>20279.5</v>
      </c>
      <c r="T47" s="18">
        <f t="shared" si="46"/>
        <v>14990.658333333333</v>
      </c>
      <c r="U47" s="18">
        <f t="shared" si="46"/>
        <v>19380.033333333333</v>
      </c>
      <c r="V47" s="18">
        <f t="shared" si="46"/>
        <v>14101.8</v>
      </c>
      <c r="W47" s="18">
        <f t="shared" si="46"/>
        <v>20871.917666666668</v>
      </c>
      <c r="X47" s="18">
        <f t="shared" si="46"/>
        <v>12815</v>
      </c>
      <c r="Y47" s="18">
        <f t="shared" si="25"/>
        <v>9932.5</v>
      </c>
      <c r="Z47" s="18">
        <f t="shared" si="25"/>
        <v>10956.916666666666</v>
      </c>
      <c r="AA47" s="18">
        <f t="shared" si="25"/>
        <v>10766.558333333332</v>
      </c>
      <c r="AB47" s="18">
        <f t="shared" si="25"/>
        <v>16498</v>
      </c>
      <c r="AC47" s="18">
        <f t="shared" si="25"/>
        <v>10582.5615</v>
      </c>
      <c r="AD47" s="18">
        <f t="shared" si="25"/>
        <v>11791.666666666666</v>
      </c>
      <c r="AE47" s="18">
        <f t="shared" si="25"/>
        <v>13509.166666666666</v>
      </c>
      <c r="AF47" s="18">
        <f t="shared" si="25"/>
        <v>13548.424999999999</v>
      </c>
      <c r="AG47" s="18">
        <f t="shared" si="25"/>
        <v>11316.166666666666</v>
      </c>
      <c r="AH47" s="18">
        <f t="shared" si="25"/>
        <v>13668.55</v>
      </c>
      <c r="AI47" s="18">
        <f t="shared" si="25"/>
        <v>11361.183333333332</v>
      </c>
      <c r="AJ47" s="18">
        <f t="shared" si="25"/>
        <v>11700.786666666665</v>
      </c>
      <c r="AK47" s="18">
        <f t="shared" si="25"/>
        <v>11891.666666666666</v>
      </c>
      <c r="AL47" s="18">
        <f t="shared" si="25"/>
        <v>6768.4224999999997</v>
      </c>
      <c r="AM47" s="18">
        <f t="shared" si="25"/>
        <v>11750</v>
      </c>
      <c r="AN47" s="18">
        <f t="shared" si="25"/>
        <v>14462</v>
      </c>
      <c r="AO47" s="18">
        <f t="shared" si="26"/>
        <v>10433.333333333334</v>
      </c>
      <c r="AP47" s="18">
        <f t="shared" si="28"/>
        <v>11115.2</v>
      </c>
      <c r="AQ47" s="18">
        <f t="shared" si="30"/>
        <v>5334.166666666667</v>
      </c>
      <c r="AR47" s="18">
        <f t="shared" si="33"/>
        <v>841.66666666666663</v>
      </c>
      <c r="AS47" s="18">
        <f t="shared" si="39"/>
        <v>533.33333333333337</v>
      </c>
      <c r="AT47" s="18">
        <f t="shared" si="43"/>
        <v>616.66666666666663</v>
      </c>
      <c r="AU47" s="18">
        <f t="shared" si="43"/>
        <v>233.33333333333334</v>
      </c>
      <c r="AV47" s="18"/>
      <c r="AW47" s="18">
        <f t="shared" si="34"/>
        <v>425089.54450000002</v>
      </c>
      <c r="AX47" s="18">
        <f>SUM(AW$5:AW47)</f>
        <v>12975174.331333341</v>
      </c>
      <c r="AY47" s="18">
        <f t="shared" si="35"/>
        <v>12530198.338666661</v>
      </c>
      <c r="AZ47" s="18">
        <f t="shared" si="40"/>
        <v>12955287.883166661</v>
      </c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39">
        <f t="shared" si="42"/>
        <v>2666.6666666666665</v>
      </c>
      <c r="CH47" s="18">
        <f t="shared" si="44"/>
        <v>3083.3333333333335</v>
      </c>
      <c r="CI47" s="39">
        <f t="shared" si="44"/>
        <v>1166.6666666666667</v>
      </c>
      <c r="CJ47" s="18"/>
      <c r="CK47" s="18">
        <f t="shared" si="37"/>
        <v>6916.666666666667</v>
      </c>
      <c r="CM47" s="22">
        <f t="shared" si="10"/>
        <v>6916.666666666667</v>
      </c>
      <c r="CN47" s="22">
        <f t="shared" si="38"/>
        <v>425089.54450000002</v>
      </c>
      <c r="CO47" s="18">
        <f t="shared" si="12"/>
        <v>418172.87783333333</v>
      </c>
      <c r="CP47" s="18">
        <f>+CO47*'Capital Structure '!$E$30</f>
        <v>170823.62059491666</v>
      </c>
      <c r="CQ47" s="18">
        <f>SUM(CP$5:CP47)</f>
        <v>-5116373.3130120011</v>
      </c>
    </row>
    <row r="48" spans="1:96">
      <c r="A48" s="7" t="s">
        <v>54</v>
      </c>
      <c r="B48" s="7">
        <f>+B47</f>
        <v>2017</v>
      </c>
      <c r="C48" s="33" t="s">
        <v>47</v>
      </c>
      <c r="D48" s="114"/>
      <c r="E48" s="18"/>
      <c r="F48" s="20"/>
      <c r="G48" s="114">
        <f t="shared" si="18"/>
        <v>0</v>
      </c>
      <c r="H48" s="114"/>
      <c r="I48" s="114"/>
      <c r="J48" s="114"/>
      <c r="K48" s="18">
        <f t="shared" si="32"/>
        <v>0</v>
      </c>
      <c r="L48" s="18">
        <f>SUM(K$5:K48)</f>
        <v>25505372.670000002</v>
      </c>
      <c r="N48" s="18">
        <f t="shared" si="46"/>
        <v>22312.05</v>
      </c>
      <c r="O48" s="18">
        <f t="shared" si="46"/>
        <v>16536.116666666665</v>
      </c>
      <c r="P48" s="18">
        <f t="shared" si="46"/>
        <v>20596.031166666668</v>
      </c>
      <c r="Q48" s="18">
        <f t="shared" si="46"/>
        <v>23778.333333333332</v>
      </c>
      <c r="R48" s="18">
        <f t="shared" si="46"/>
        <v>19815.833333333332</v>
      </c>
      <c r="S48" s="18">
        <f t="shared" si="46"/>
        <v>20279.5</v>
      </c>
      <c r="T48" s="18">
        <f t="shared" si="46"/>
        <v>14990.658333333333</v>
      </c>
      <c r="U48" s="18">
        <f t="shared" si="46"/>
        <v>19380.033333333333</v>
      </c>
      <c r="V48" s="18">
        <f t="shared" si="46"/>
        <v>14101.8</v>
      </c>
      <c r="W48" s="18">
        <f t="shared" si="46"/>
        <v>20871.917666666668</v>
      </c>
      <c r="X48" s="18">
        <f t="shared" si="46"/>
        <v>12815</v>
      </c>
      <c r="Y48" s="18">
        <f t="shared" ref="Y48:AN61" si="47">+Y47</f>
        <v>9932.5</v>
      </c>
      <c r="Z48" s="18">
        <f t="shared" si="47"/>
        <v>10956.916666666666</v>
      </c>
      <c r="AA48" s="18">
        <f t="shared" si="47"/>
        <v>10766.558333333332</v>
      </c>
      <c r="AB48" s="18">
        <f t="shared" si="47"/>
        <v>16498</v>
      </c>
      <c r="AC48" s="18">
        <f t="shared" si="47"/>
        <v>10582.5615</v>
      </c>
      <c r="AD48" s="18">
        <f t="shared" si="47"/>
        <v>11791.666666666666</v>
      </c>
      <c r="AE48" s="18">
        <f t="shared" si="47"/>
        <v>13509.166666666666</v>
      </c>
      <c r="AF48" s="20">
        <f t="shared" si="47"/>
        <v>13548.424999999999</v>
      </c>
      <c r="AG48" s="20">
        <f t="shared" si="47"/>
        <v>11316.166666666666</v>
      </c>
      <c r="AH48" s="20">
        <f t="shared" si="47"/>
        <v>13668.55</v>
      </c>
      <c r="AI48" s="20">
        <f t="shared" si="47"/>
        <v>11361.183333333332</v>
      </c>
      <c r="AJ48" s="20">
        <f t="shared" si="47"/>
        <v>11700.786666666665</v>
      </c>
      <c r="AK48" s="20">
        <f t="shared" si="47"/>
        <v>11891.666666666666</v>
      </c>
      <c r="AL48" s="20">
        <f t="shared" si="47"/>
        <v>6768.4224999999997</v>
      </c>
      <c r="AM48" s="20">
        <f t="shared" si="47"/>
        <v>11750</v>
      </c>
      <c r="AN48" s="18">
        <f t="shared" si="47"/>
        <v>14462</v>
      </c>
      <c r="AO48" s="18">
        <f t="shared" si="26"/>
        <v>10433.333333333334</v>
      </c>
      <c r="AP48" s="18">
        <f t="shared" si="28"/>
        <v>11115.2</v>
      </c>
      <c r="AQ48" s="18">
        <f t="shared" si="30"/>
        <v>5334.166666666667</v>
      </c>
      <c r="AR48" s="18">
        <f t="shared" si="33"/>
        <v>841.66666666666663</v>
      </c>
      <c r="AS48" s="18">
        <f t="shared" si="39"/>
        <v>533.33333333333337</v>
      </c>
      <c r="AT48" s="18">
        <f t="shared" si="43"/>
        <v>616.66666666666663</v>
      </c>
      <c r="AU48" s="18">
        <f t="shared" si="43"/>
        <v>233.33333333333334</v>
      </c>
      <c r="AV48" s="18"/>
      <c r="AW48" s="18">
        <f t="shared" si="34"/>
        <v>425089.54450000002</v>
      </c>
      <c r="AX48" s="18">
        <f>SUM(AW$5:AW48)</f>
        <v>13400263.875833342</v>
      </c>
      <c r="AY48" s="18">
        <f t="shared" si="35"/>
        <v>12105108.79416666</v>
      </c>
      <c r="AZ48" s="18">
        <f t="shared" si="40"/>
        <v>12530198.338666661</v>
      </c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>
        <f t="shared" si="44"/>
        <v>3083.3333333333335</v>
      </c>
      <c r="CI48" s="39">
        <f t="shared" si="44"/>
        <v>1166.6666666666667</v>
      </c>
      <c r="CJ48" s="18"/>
      <c r="CK48" s="18">
        <f t="shared" si="37"/>
        <v>4250</v>
      </c>
      <c r="CM48" s="22">
        <f t="shared" si="10"/>
        <v>4250</v>
      </c>
      <c r="CN48" s="22">
        <f t="shared" si="38"/>
        <v>425089.54450000002</v>
      </c>
      <c r="CO48" s="18">
        <f t="shared" si="12"/>
        <v>420839.54450000002</v>
      </c>
      <c r="CP48" s="18">
        <f>+CO48*'Capital Structure '!$E$30</f>
        <v>171912.95392825</v>
      </c>
      <c r="CQ48" s="18">
        <f>SUM(CP$5:CP48)</f>
        <v>-4944460.3590837512</v>
      </c>
    </row>
    <row r="49" spans="1:95">
      <c r="A49" s="7" t="s">
        <v>55</v>
      </c>
      <c r="B49" s="7">
        <f>+B48</f>
        <v>2017</v>
      </c>
      <c r="C49" s="33" t="s">
        <v>47</v>
      </c>
      <c r="D49" s="114"/>
      <c r="E49" s="18"/>
      <c r="F49" s="20"/>
      <c r="G49" s="114">
        <f t="shared" si="18"/>
        <v>0</v>
      </c>
      <c r="H49" s="114"/>
      <c r="I49" s="114"/>
      <c r="J49" s="114"/>
      <c r="K49" s="18">
        <f t="shared" si="32"/>
        <v>0</v>
      </c>
      <c r="L49" s="18">
        <f>SUM(K$5:K49)</f>
        <v>25505372.670000002</v>
      </c>
      <c r="N49" s="18">
        <f t="shared" si="46"/>
        <v>22312.05</v>
      </c>
      <c r="O49" s="18">
        <f t="shared" si="46"/>
        <v>16536.116666666665</v>
      </c>
      <c r="P49" s="18">
        <f t="shared" si="46"/>
        <v>20596.031166666668</v>
      </c>
      <c r="Q49" s="18">
        <f t="shared" si="46"/>
        <v>23778.333333333332</v>
      </c>
      <c r="R49" s="18">
        <f t="shared" si="46"/>
        <v>19815.833333333332</v>
      </c>
      <c r="S49" s="18">
        <f t="shared" si="46"/>
        <v>20279.5</v>
      </c>
      <c r="T49" s="18">
        <f t="shared" si="46"/>
        <v>14990.658333333333</v>
      </c>
      <c r="U49" s="18">
        <f t="shared" si="46"/>
        <v>19380.033333333333</v>
      </c>
      <c r="V49" s="18">
        <f t="shared" si="46"/>
        <v>14101.8</v>
      </c>
      <c r="W49" s="18">
        <f t="shared" si="46"/>
        <v>20871.917666666668</v>
      </c>
      <c r="X49" s="18">
        <f t="shared" si="46"/>
        <v>12815</v>
      </c>
      <c r="Y49" s="18">
        <f t="shared" si="47"/>
        <v>9932.5</v>
      </c>
      <c r="Z49" s="18">
        <f t="shared" si="47"/>
        <v>10956.916666666666</v>
      </c>
      <c r="AA49" s="18">
        <f t="shared" si="47"/>
        <v>10766.558333333332</v>
      </c>
      <c r="AB49" s="18">
        <f t="shared" si="47"/>
        <v>16498</v>
      </c>
      <c r="AC49" s="18">
        <f t="shared" si="47"/>
        <v>10582.5615</v>
      </c>
      <c r="AD49" s="18">
        <f t="shared" si="47"/>
        <v>11791.666666666666</v>
      </c>
      <c r="AE49" s="18">
        <f t="shared" si="47"/>
        <v>13509.166666666666</v>
      </c>
      <c r="AF49" s="18">
        <f t="shared" si="47"/>
        <v>13548.424999999999</v>
      </c>
      <c r="AG49" s="18">
        <f t="shared" si="47"/>
        <v>11316.166666666666</v>
      </c>
      <c r="AH49" s="18">
        <f t="shared" si="47"/>
        <v>13668.55</v>
      </c>
      <c r="AI49" s="18">
        <f t="shared" si="47"/>
        <v>11361.183333333332</v>
      </c>
      <c r="AJ49" s="18">
        <f t="shared" si="47"/>
        <v>11700.786666666665</v>
      </c>
      <c r="AK49" s="18">
        <f t="shared" si="47"/>
        <v>11891.666666666666</v>
      </c>
      <c r="AL49" s="18">
        <f t="shared" si="47"/>
        <v>6768.4224999999997</v>
      </c>
      <c r="AM49" s="18">
        <f t="shared" si="47"/>
        <v>11750</v>
      </c>
      <c r="AN49" s="18">
        <f t="shared" si="47"/>
        <v>14462</v>
      </c>
      <c r="AO49" s="18">
        <f t="shared" si="26"/>
        <v>10433.333333333334</v>
      </c>
      <c r="AP49" s="18">
        <f t="shared" si="28"/>
        <v>11115.2</v>
      </c>
      <c r="AQ49" s="18">
        <f t="shared" si="30"/>
        <v>5334.166666666667</v>
      </c>
      <c r="AR49" s="18">
        <f t="shared" si="33"/>
        <v>841.66666666666663</v>
      </c>
      <c r="AS49" s="18">
        <f t="shared" si="39"/>
        <v>533.33333333333337</v>
      </c>
      <c r="AT49" s="18">
        <f t="shared" si="43"/>
        <v>616.66666666666663</v>
      </c>
      <c r="AU49" s="18">
        <f t="shared" si="43"/>
        <v>233.33333333333334</v>
      </c>
      <c r="AV49" s="18"/>
      <c r="AW49" s="18">
        <f t="shared" si="34"/>
        <v>425089.54450000002</v>
      </c>
      <c r="AX49" s="18">
        <f>SUM(AW$5:AW49)</f>
        <v>13825353.420333343</v>
      </c>
      <c r="AY49" s="18">
        <f t="shared" si="35"/>
        <v>11680019.249666659</v>
      </c>
      <c r="AZ49" s="18">
        <f t="shared" si="40"/>
        <v>12105108.79416666</v>
      </c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39">
        <f>CI48</f>
        <v>1166.6666666666667</v>
      </c>
      <c r="CJ49" s="18"/>
      <c r="CK49" s="18">
        <f t="shared" si="37"/>
        <v>1166.6666666666667</v>
      </c>
      <c r="CM49" s="22">
        <f t="shared" si="10"/>
        <v>1166.6666666666667</v>
      </c>
      <c r="CN49" s="22">
        <f t="shared" si="38"/>
        <v>425089.54450000002</v>
      </c>
      <c r="CO49" s="18">
        <f t="shared" si="12"/>
        <v>423922.87783333333</v>
      </c>
      <c r="CP49" s="18">
        <f>+CO49*'Capital Structure '!$E$30</f>
        <v>173172.49559491666</v>
      </c>
      <c r="CQ49" s="18">
        <f>SUM(CP$5:CP49)</f>
        <v>-4771287.8634888344</v>
      </c>
    </row>
    <row r="50" spans="1:95">
      <c r="A50" s="7" t="s">
        <v>56</v>
      </c>
      <c r="B50" s="7">
        <f>+B49</f>
        <v>2017</v>
      </c>
      <c r="C50" s="33" t="s">
        <v>47</v>
      </c>
      <c r="D50" s="114"/>
      <c r="E50" s="18"/>
      <c r="F50" s="20"/>
      <c r="G50" s="114">
        <f t="shared" si="18"/>
        <v>0</v>
      </c>
      <c r="H50" s="114"/>
      <c r="I50" s="114"/>
      <c r="J50" s="114"/>
      <c r="K50" s="18">
        <f t="shared" si="32"/>
        <v>0</v>
      </c>
      <c r="L50" s="18">
        <f>SUM(K$5:K50)</f>
        <v>25505372.670000002</v>
      </c>
      <c r="N50" s="18">
        <f t="shared" si="46"/>
        <v>22312.05</v>
      </c>
      <c r="O50" s="18">
        <f t="shared" si="46"/>
        <v>16536.116666666665</v>
      </c>
      <c r="P50" s="18">
        <f t="shared" si="46"/>
        <v>20596.031166666668</v>
      </c>
      <c r="Q50" s="18">
        <f t="shared" si="46"/>
        <v>23778.333333333332</v>
      </c>
      <c r="R50" s="18">
        <f t="shared" si="46"/>
        <v>19815.833333333332</v>
      </c>
      <c r="S50" s="18">
        <f t="shared" si="46"/>
        <v>20279.5</v>
      </c>
      <c r="T50" s="18">
        <f t="shared" si="46"/>
        <v>14990.658333333333</v>
      </c>
      <c r="U50" s="18">
        <f t="shared" si="46"/>
        <v>19380.033333333333</v>
      </c>
      <c r="V50" s="18">
        <f t="shared" si="46"/>
        <v>14101.8</v>
      </c>
      <c r="W50" s="18">
        <f t="shared" si="46"/>
        <v>20871.917666666668</v>
      </c>
      <c r="X50" s="18">
        <f t="shared" si="46"/>
        <v>12815</v>
      </c>
      <c r="Y50" s="18">
        <f t="shared" si="47"/>
        <v>9932.5</v>
      </c>
      <c r="Z50" s="18">
        <f t="shared" si="47"/>
        <v>10956.916666666666</v>
      </c>
      <c r="AA50" s="18">
        <f t="shared" si="47"/>
        <v>10766.558333333332</v>
      </c>
      <c r="AB50" s="18">
        <f t="shared" si="47"/>
        <v>16498</v>
      </c>
      <c r="AC50" s="18">
        <f t="shared" si="47"/>
        <v>10582.5615</v>
      </c>
      <c r="AD50" s="18">
        <f t="shared" si="47"/>
        <v>11791.666666666666</v>
      </c>
      <c r="AE50" s="18">
        <f t="shared" si="47"/>
        <v>13509.166666666666</v>
      </c>
      <c r="AF50" s="18">
        <f t="shared" si="47"/>
        <v>13548.424999999999</v>
      </c>
      <c r="AG50" s="18">
        <f t="shared" si="47"/>
        <v>11316.166666666666</v>
      </c>
      <c r="AH50" s="18">
        <f t="shared" si="47"/>
        <v>13668.55</v>
      </c>
      <c r="AI50" s="18">
        <f t="shared" si="47"/>
        <v>11361.183333333332</v>
      </c>
      <c r="AJ50" s="18">
        <f t="shared" si="47"/>
        <v>11700.786666666665</v>
      </c>
      <c r="AK50" s="18">
        <f t="shared" si="47"/>
        <v>11891.666666666666</v>
      </c>
      <c r="AL50" s="18">
        <f t="shared" si="47"/>
        <v>6768.4224999999997</v>
      </c>
      <c r="AM50" s="18">
        <f t="shared" si="47"/>
        <v>11750</v>
      </c>
      <c r="AN50" s="18">
        <f t="shared" si="47"/>
        <v>14462</v>
      </c>
      <c r="AO50" s="18">
        <f t="shared" si="26"/>
        <v>10433.333333333334</v>
      </c>
      <c r="AP50" s="18">
        <f t="shared" si="28"/>
        <v>11115.2</v>
      </c>
      <c r="AQ50" s="18">
        <f t="shared" si="30"/>
        <v>5334.166666666667</v>
      </c>
      <c r="AR50" s="18">
        <f t="shared" si="33"/>
        <v>841.66666666666663</v>
      </c>
      <c r="AS50" s="18">
        <f t="shared" si="39"/>
        <v>533.33333333333337</v>
      </c>
      <c r="AT50" s="18">
        <f t="shared" si="43"/>
        <v>616.66666666666663</v>
      </c>
      <c r="AU50" s="18">
        <f t="shared" si="43"/>
        <v>233.33333333333334</v>
      </c>
      <c r="AV50" s="18"/>
      <c r="AW50" s="18">
        <f t="shared" si="34"/>
        <v>425089.54450000002</v>
      </c>
      <c r="AX50" s="18">
        <f>SUM(AW$5:AW50)</f>
        <v>14250442.964833343</v>
      </c>
      <c r="AY50" s="18">
        <f t="shared" si="35"/>
        <v>11254929.705166658</v>
      </c>
      <c r="AZ50" s="18">
        <f t="shared" si="40"/>
        <v>11680019.249666659</v>
      </c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>
        <f t="shared" si="37"/>
        <v>0</v>
      </c>
      <c r="CM50" s="22">
        <f t="shared" si="10"/>
        <v>0</v>
      </c>
      <c r="CN50" s="22">
        <f t="shared" si="38"/>
        <v>425089.54450000002</v>
      </c>
      <c r="CO50" s="18">
        <f t="shared" si="12"/>
        <v>425089.54450000002</v>
      </c>
      <c r="CP50" s="18">
        <f>+CO50*'Capital Structure '!$E$30</f>
        <v>173649.07892825</v>
      </c>
      <c r="CQ50" s="18">
        <f>SUM(CP$5:CP50)</f>
        <v>-4597638.7845605845</v>
      </c>
    </row>
    <row r="51" spans="1:95">
      <c r="A51" s="7" t="s">
        <v>57</v>
      </c>
      <c r="B51" s="7">
        <f>+B50</f>
        <v>2017</v>
      </c>
      <c r="C51" s="33" t="s">
        <v>47</v>
      </c>
      <c r="D51" s="114"/>
      <c r="E51" s="18"/>
      <c r="F51" s="20"/>
      <c r="G51" s="114">
        <f t="shared" si="18"/>
        <v>0</v>
      </c>
      <c r="H51" s="114"/>
      <c r="I51" s="114"/>
      <c r="J51" s="114"/>
      <c r="K51" s="18">
        <f t="shared" si="32"/>
        <v>0</v>
      </c>
      <c r="L51" s="18">
        <f>SUM(K$5:K51)</f>
        <v>25505372.670000002</v>
      </c>
      <c r="N51" s="18">
        <f t="shared" si="46"/>
        <v>22312.05</v>
      </c>
      <c r="O51" s="18">
        <f t="shared" si="46"/>
        <v>16536.116666666665</v>
      </c>
      <c r="P51" s="18">
        <f t="shared" si="46"/>
        <v>20596.031166666668</v>
      </c>
      <c r="Q51" s="18">
        <f t="shared" si="46"/>
        <v>23778.333333333332</v>
      </c>
      <c r="R51" s="18">
        <f t="shared" si="46"/>
        <v>19815.833333333332</v>
      </c>
      <c r="S51" s="18">
        <f t="shared" si="46"/>
        <v>20279.5</v>
      </c>
      <c r="T51" s="18">
        <f t="shared" si="46"/>
        <v>14990.658333333333</v>
      </c>
      <c r="U51" s="18">
        <f t="shared" si="46"/>
        <v>19380.033333333333</v>
      </c>
      <c r="V51" s="18">
        <f t="shared" si="46"/>
        <v>14101.8</v>
      </c>
      <c r="W51" s="18">
        <f t="shared" si="46"/>
        <v>20871.917666666668</v>
      </c>
      <c r="X51" s="18">
        <f t="shared" si="46"/>
        <v>12815</v>
      </c>
      <c r="Y51" s="18">
        <f t="shared" si="47"/>
        <v>9932.5</v>
      </c>
      <c r="Z51" s="18">
        <f t="shared" si="47"/>
        <v>10956.916666666666</v>
      </c>
      <c r="AA51" s="18">
        <f t="shared" si="47"/>
        <v>10766.558333333332</v>
      </c>
      <c r="AB51" s="18">
        <f t="shared" si="47"/>
        <v>16498</v>
      </c>
      <c r="AC51" s="18">
        <f t="shared" si="47"/>
        <v>10582.5615</v>
      </c>
      <c r="AD51" s="18">
        <f t="shared" si="47"/>
        <v>11791.666666666666</v>
      </c>
      <c r="AE51" s="18">
        <f t="shared" si="47"/>
        <v>13509.166666666666</v>
      </c>
      <c r="AF51" s="18">
        <f t="shared" si="47"/>
        <v>13548.424999999999</v>
      </c>
      <c r="AG51" s="18">
        <f t="shared" si="47"/>
        <v>11316.166666666666</v>
      </c>
      <c r="AH51" s="18">
        <f t="shared" si="47"/>
        <v>13668.55</v>
      </c>
      <c r="AI51" s="18">
        <f t="shared" si="47"/>
        <v>11361.183333333332</v>
      </c>
      <c r="AJ51" s="18">
        <f t="shared" si="47"/>
        <v>11700.786666666665</v>
      </c>
      <c r="AK51" s="18">
        <f t="shared" si="47"/>
        <v>11891.666666666666</v>
      </c>
      <c r="AL51" s="18">
        <f t="shared" si="47"/>
        <v>6768.4224999999997</v>
      </c>
      <c r="AM51" s="18">
        <f t="shared" si="47"/>
        <v>11750</v>
      </c>
      <c r="AN51" s="18">
        <f t="shared" si="47"/>
        <v>14462</v>
      </c>
      <c r="AO51" s="18">
        <f t="shared" si="26"/>
        <v>10433.333333333334</v>
      </c>
      <c r="AP51" s="18">
        <f t="shared" si="28"/>
        <v>11115.2</v>
      </c>
      <c r="AQ51" s="18">
        <f t="shared" si="30"/>
        <v>5334.166666666667</v>
      </c>
      <c r="AR51" s="18">
        <f t="shared" si="33"/>
        <v>841.66666666666663</v>
      </c>
      <c r="AS51" s="18">
        <f t="shared" si="39"/>
        <v>533.33333333333337</v>
      </c>
      <c r="AT51" s="18">
        <f t="shared" si="43"/>
        <v>616.66666666666663</v>
      </c>
      <c r="AU51" s="18">
        <f t="shared" si="43"/>
        <v>233.33333333333334</v>
      </c>
      <c r="AV51" s="18"/>
      <c r="AW51" s="18">
        <f t="shared" si="34"/>
        <v>425089.54450000002</v>
      </c>
      <c r="AX51" s="18">
        <f>SUM(AW$5:AW51)</f>
        <v>14675532.509333344</v>
      </c>
      <c r="AY51" s="18">
        <f t="shared" si="35"/>
        <v>10829840.160666658</v>
      </c>
      <c r="AZ51" s="18">
        <f t="shared" si="40"/>
        <v>11254929.705166658</v>
      </c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>
        <f t="shared" si="37"/>
        <v>0</v>
      </c>
      <c r="CM51" s="22">
        <f t="shared" si="10"/>
        <v>0</v>
      </c>
      <c r="CN51" s="22">
        <f t="shared" si="38"/>
        <v>425089.54450000002</v>
      </c>
      <c r="CO51" s="18">
        <f t="shared" si="12"/>
        <v>425089.54450000002</v>
      </c>
      <c r="CP51" s="18">
        <f>+CO51*'Capital Structure '!$E$30</f>
        <v>173649.07892825</v>
      </c>
      <c r="CQ51" s="18">
        <f>SUM(CP$5:CP51)</f>
        <v>-4423989.7056323346</v>
      </c>
    </row>
    <row r="52" spans="1:95">
      <c r="A52" s="7" t="s">
        <v>58</v>
      </c>
      <c r="B52" s="7">
        <f>+B51</f>
        <v>2017</v>
      </c>
      <c r="C52" s="33" t="s">
        <v>47</v>
      </c>
      <c r="D52" s="114"/>
      <c r="E52" s="18"/>
      <c r="F52" s="20"/>
      <c r="G52" s="114">
        <f t="shared" si="18"/>
        <v>0</v>
      </c>
      <c r="H52" s="114"/>
      <c r="I52" s="114"/>
      <c r="J52" s="114"/>
      <c r="K52" s="18">
        <f t="shared" si="32"/>
        <v>0</v>
      </c>
      <c r="L52" s="18">
        <f>SUM(K$5:K52)</f>
        <v>25505372.670000002</v>
      </c>
      <c r="N52" s="18">
        <f t="shared" si="46"/>
        <v>22312.05</v>
      </c>
      <c r="O52" s="18">
        <f t="shared" si="46"/>
        <v>16536.116666666665</v>
      </c>
      <c r="P52" s="18">
        <f t="shared" si="46"/>
        <v>20596.031166666668</v>
      </c>
      <c r="Q52" s="18">
        <f t="shared" si="46"/>
        <v>23778.333333333332</v>
      </c>
      <c r="R52" s="18">
        <f t="shared" si="46"/>
        <v>19815.833333333332</v>
      </c>
      <c r="S52" s="18">
        <f t="shared" si="46"/>
        <v>20279.5</v>
      </c>
      <c r="T52" s="18">
        <f t="shared" si="46"/>
        <v>14990.658333333333</v>
      </c>
      <c r="U52" s="18">
        <f t="shared" si="46"/>
        <v>19380.033333333333</v>
      </c>
      <c r="V52" s="18">
        <f t="shared" si="46"/>
        <v>14101.8</v>
      </c>
      <c r="W52" s="18">
        <f t="shared" si="46"/>
        <v>20871.917666666668</v>
      </c>
      <c r="X52" s="18">
        <f t="shared" si="46"/>
        <v>12815</v>
      </c>
      <c r="Y52" s="18">
        <f t="shared" si="47"/>
        <v>9932.5</v>
      </c>
      <c r="Z52" s="18">
        <f t="shared" si="47"/>
        <v>10956.916666666666</v>
      </c>
      <c r="AA52" s="18">
        <f t="shared" si="47"/>
        <v>10766.558333333332</v>
      </c>
      <c r="AB52" s="18">
        <f t="shared" si="47"/>
        <v>16498</v>
      </c>
      <c r="AC52" s="18">
        <f t="shared" si="47"/>
        <v>10582.5615</v>
      </c>
      <c r="AD52" s="18">
        <f t="shared" si="47"/>
        <v>11791.666666666666</v>
      </c>
      <c r="AE52" s="18">
        <f t="shared" si="47"/>
        <v>13509.166666666666</v>
      </c>
      <c r="AF52" s="18">
        <f t="shared" si="47"/>
        <v>13548.424999999999</v>
      </c>
      <c r="AG52" s="18">
        <f t="shared" si="47"/>
        <v>11316.166666666666</v>
      </c>
      <c r="AH52" s="18">
        <f t="shared" si="47"/>
        <v>13668.55</v>
      </c>
      <c r="AI52" s="18">
        <f t="shared" si="47"/>
        <v>11361.183333333332</v>
      </c>
      <c r="AJ52" s="18">
        <f t="shared" si="47"/>
        <v>11700.786666666665</v>
      </c>
      <c r="AK52" s="18">
        <f t="shared" si="47"/>
        <v>11891.666666666666</v>
      </c>
      <c r="AL52" s="18">
        <f t="shared" si="47"/>
        <v>6768.4224999999997</v>
      </c>
      <c r="AM52" s="18">
        <f t="shared" si="47"/>
        <v>11750</v>
      </c>
      <c r="AN52" s="18">
        <f t="shared" si="47"/>
        <v>14462</v>
      </c>
      <c r="AO52" s="18">
        <f t="shared" si="26"/>
        <v>10433.333333333334</v>
      </c>
      <c r="AP52" s="18">
        <f t="shared" si="28"/>
        <v>11115.2</v>
      </c>
      <c r="AQ52" s="18">
        <f t="shared" si="30"/>
        <v>5334.166666666667</v>
      </c>
      <c r="AR52" s="18">
        <f t="shared" si="33"/>
        <v>841.66666666666663</v>
      </c>
      <c r="AS52" s="18">
        <f t="shared" si="39"/>
        <v>533.33333333333337</v>
      </c>
      <c r="AT52" s="18">
        <f t="shared" si="43"/>
        <v>616.66666666666663</v>
      </c>
      <c r="AU52" s="18">
        <f t="shared" si="43"/>
        <v>233.33333333333334</v>
      </c>
      <c r="AV52" s="18"/>
      <c r="AW52" s="18">
        <f t="shared" si="34"/>
        <v>425089.54450000002</v>
      </c>
      <c r="AX52" s="18">
        <f>SUM(AW$5:AW52)</f>
        <v>15100622.053833345</v>
      </c>
      <c r="AY52" s="18">
        <f t="shared" si="35"/>
        <v>10404750.616166657</v>
      </c>
      <c r="AZ52" s="18">
        <f t="shared" si="40"/>
        <v>10829840.160666658</v>
      </c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>
        <f t="shared" si="37"/>
        <v>0</v>
      </c>
      <c r="CM52" s="22">
        <f t="shared" si="10"/>
        <v>0</v>
      </c>
      <c r="CN52" s="22">
        <f t="shared" si="38"/>
        <v>425089.54450000002</v>
      </c>
      <c r="CO52" s="18">
        <f t="shared" si="12"/>
        <v>425089.54450000002</v>
      </c>
      <c r="CP52" s="18">
        <f>+CO52*'Capital Structure '!$E$30</f>
        <v>173649.07892825</v>
      </c>
      <c r="CQ52" s="18">
        <f>SUM(CP$5:CP52)</f>
        <v>-4250340.6267040847</v>
      </c>
    </row>
    <row r="53" spans="1:95">
      <c r="A53" s="7" t="s">
        <v>59</v>
      </c>
      <c r="B53" s="7">
        <f t="shared" ref="B53:B58" si="48">+B52</f>
        <v>2017</v>
      </c>
      <c r="C53" s="33" t="s">
        <v>47</v>
      </c>
      <c r="D53" s="114"/>
      <c r="E53" s="18"/>
      <c r="F53" s="20"/>
      <c r="G53" s="114">
        <f t="shared" si="18"/>
        <v>0</v>
      </c>
      <c r="H53" s="114"/>
      <c r="I53" s="114"/>
      <c r="J53" s="114"/>
      <c r="K53" s="18">
        <f t="shared" si="32"/>
        <v>0</v>
      </c>
      <c r="L53" s="18">
        <f>SUM(K$5:K53)</f>
        <v>25505372.670000002</v>
      </c>
      <c r="N53" s="18">
        <f t="shared" si="46"/>
        <v>22312.05</v>
      </c>
      <c r="O53" s="18">
        <f t="shared" si="46"/>
        <v>16536.116666666665</v>
      </c>
      <c r="P53" s="18">
        <f t="shared" si="46"/>
        <v>20596.031166666668</v>
      </c>
      <c r="Q53" s="18">
        <f t="shared" si="46"/>
        <v>23778.333333333332</v>
      </c>
      <c r="R53" s="18">
        <f t="shared" si="46"/>
        <v>19815.833333333332</v>
      </c>
      <c r="S53" s="18">
        <f t="shared" si="46"/>
        <v>20279.5</v>
      </c>
      <c r="T53" s="18">
        <f t="shared" si="46"/>
        <v>14990.658333333333</v>
      </c>
      <c r="U53" s="18">
        <f t="shared" si="46"/>
        <v>19380.033333333333</v>
      </c>
      <c r="V53" s="18">
        <f t="shared" si="46"/>
        <v>14101.8</v>
      </c>
      <c r="W53" s="18">
        <f t="shared" si="46"/>
        <v>20871.917666666668</v>
      </c>
      <c r="X53" s="18">
        <f t="shared" si="46"/>
        <v>12815</v>
      </c>
      <c r="Y53" s="18">
        <f t="shared" si="47"/>
        <v>9932.5</v>
      </c>
      <c r="Z53" s="18">
        <f t="shared" si="47"/>
        <v>10956.916666666666</v>
      </c>
      <c r="AA53" s="18">
        <f t="shared" si="47"/>
        <v>10766.558333333332</v>
      </c>
      <c r="AB53" s="18">
        <f t="shared" si="47"/>
        <v>16498</v>
      </c>
      <c r="AC53" s="18">
        <f t="shared" si="47"/>
        <v>10582.5615</v>
      </c>
      <c r="AD53" s="18">
        <f t="shared" si="47"/>
        <v>11791.666666666666</v>
      </c>
      <c r="AE53" s="18">
        <f t="shared" si="47"/>
        <v>13509.166666666666</v>
      </c>
      <c r="AF53" s="18">
        <f t="shared" si="47"/>
        <v>13548.424999999999</v>
      </c>
      <c r="AG53" s="18">
        <f t="shared" si="47"/>
        <v>11316.166666666666</v>
      </c>
      <c r="AH53" s="18">
        <f t="shared" si="47"/>
        <v>13668.55</v>
      </c>
      <c r="AI53" s="18">
        <f t="shared" si="47"/>
        <v>11361.183333333332</v>
      </c>
      <c r="AJ53" s="18">
        <f t="shared" si="47"/>
        <v>11700.786666666665</v>
      </c>
      <c r="AK53" s="18">
        <f t="shared" si="47"/>
        <v>11891.666666666666</v>
      </c>
      <c r="AL53" s="18">
        <f t="shared" si="47"/>
        <v>6768.4224999999997</v>
      </c>
      <c r="AM53" s="18">
        <f t="shared" si="47"/>
        <v>11750</v>
      </c>
      <c r="AN53" s="18">
        <f t="shared" si="47"/>
        <v>14462</v>
      </c>
      <c r="AO53" s="18">
        <f t="shared" si="26"/>
        <v>10433.333333333334</v>
      </c>
      <c r="AP53" s="18">
        <f t="shared" si="28"/>
        <v>11115.2</v>
      </c>
      <c r="AQ53" s="18">
        <f t="shared" si="30"/>
        <v>5334.166666666667</v>
      </c>
      <c r="AR53" s="18">
        <f t="shared" si="33"/>
        <v>841.66666666666663</v>
      </c>
      <c r="AS53" s="18">
        <f t="shared" si="39"/>
        <v>533.33333333333337</v>
      </c>
      <c r="AT53" s="18">
        <f t="shared" si="43"/>
        <v>616.66666666666663</v>
      </c>
      <c r="AU53" s="18">
        <f t="shared" si="43"/>
        <v>233.33333333333334</v>
      </c>
      <c r="AV53" s="18"/>
      <c r="AW53" s="18">
        <f t="shared" si="34"/>
        <v>425089.54450000002</v>
      </c>
      <c r="AX53" s="18">
        <f>SUM(AW$5:AW53)</f>
        <v>15525711.598333346</v>
      </c>
      <c r="AY53" s="18">
        <f t="shared" si="35"/>
        <v>9979661.0716666561</v>
      </c>
      <c r="AZ53" s="18">
        <f t="shared" si="40"/>
        <v>10404750.616166657</v>
      </c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>
        <f t="shared" si="37"/>
        <v>0</v>
      </c>
      <c r="CM53" s="22">
        <f t="shared" si="10"/>
        <v>0</v>
      </c>
      <c r="CN53" s="22">
        <f t="shared" si="38"/>
        <v>425089.54450000002</v>
      </c>
      <c r="CO53" s="18">
        <f t="shared" si="12"/>
        <v>425089.54450000002</v>
      </c>
      <c r="CP53" s="18">
        <f>+CO53*'Capital Structure '!$E$30</f>
        <v>173649.07892825</v>
      </c>
      <c r="CQ53" s="18">
        <f>SUM(CP$5:CP53)</f>
        <v>-4076691.5477758348</v>
      </c>
    </row>
    <row r="54" spans="1:95">
      <c r="A54" s="7" t="s">
        <v>46</v>
      </c>
      <c r="B54" s="7">
        <f t="shared" si="48"/>
        <v>2017</v>
      </c>
      <c r="C54" s="33" t="s">
        <v>47</v>
      </c>
      <c r="D54" s="114"/>
      <c r="E54" s="18"/>
      <c r="F54" s="20"/>
      <c r="G54" s="114">
        <f t="shared" si="18"/>
        <v>0</v>
      </c>
      <c r="H54" s="114"/>
      <c r="I54" s="114"/>
      <c r="J54" s="114"/>
      <c r="K54" s="18">
        <f t="shared" si="32"/>
        <v>0</v>
      </c>
      <c r="L54" s="18">
        <f>SUM(K$5:K54)</f>
        <v>25505372.670000002</v>
      </c>
      <c r="N54" s="18">
        <f t="shared" si="46"/>
        <v>22312.05</v>
      </c>
      <c r="O54" s="18">
        <f>+O53</f>
        <v>16536.116666666665</v>
      </c>
      <c r="P54" s="18">
        <f t="shared" si="46"/>
        <v>20596.031166666668</v>
      </c>
      <c r="Q54" s="18">
        <f t="shared" si="46"/>
        <v>23778.333333333332</v>
      </c>
      <c r="R54" s="18">
        <f t="shared" si="46"/>
        <v>19815.833333333332</v>
      </c>
      <c r="S54" s="18">
        <f t="shared" si="46"/>
        <v>20279.5</v>
      </c>
      <c r="T54" s="18">
        <f t="shared" si="46"/>
        <v>14990.658333333333</v>
      </c>
      <c r="U54" s="18">
        <f t="shared" si="46"/>
        <v>19380.033333333333</v>
      </c>
      <c r="V54" s="18">
        <f t="shared" si="46"/>
        <v>14101.8</v>
      </c>
      <c r="W54" s="18">
        <f t="shared" si="46"/>
        <v>20871.917666666668</v>
      </c>
      <c r="X54" s="18">
        <f t="shared" si="46"/>
        <v>12815</v>
      </c>
      <c r="Y54" s="18">
        <f t="shared" si="47"/>
        <v>9932.5</v>
      </c>
      <c r="Z54" s="18">
        <f t="shared" si="47"/>
        <v>10956.916666666666</v>
      </c>
      <c r="AA54" s="18">
        <f t="shared" si="47"/>
        <v>10766.558333333332</v>
      </c>
      <c r="AB54" s="18">
        <f t="shared" si="47"/>
        <v>16498</v>
      </c>
      <c r="AC54" s="18">
        <f t="shared" si="47"/>
        <v>10582.5615</v>
      </c>
      <c r="AD54" s="18">
        <f t="shared" si="47"/>
        <v>11791.666666666666</v>
      </c>
      <c r="AE54" s="18">
        <f t="shared" si="47"/>
        <v>13509.166666666666</v>
      </c>
      <c r="AF54" s="18">
        <f t="shared" si="47"/>
        <v>13548.424999999999</v>
      </c>
      <c r="AG54" s="18">
        <f t="shared" si="47"/>
        <v>11316.166666666666</v>
      </c>
      <c r="AH54" s="18">
        <f t="shared" si="47"/>
        <v>13668.55</v>
      </c>
      <c r="AI54" s="18">
        <f t="shared" si="47"/>
        <v>11361.183333333332</v>
      </c>
      <c r="AJ54" s="18">
        <f t="shared" si="47"/>
        <v>11700.786666666665</v>
      </c>
      <c r="AK54" s="18">
        <f t="shared" si="47"/>
        <v>11891.666666666666</v>
      </c>
      <c r="AL54" s="18">
        <f t="shared" si="47"/>
        <v>6768.4224999999997</v>
      </c>
      <c r="AM54" s="18">
        <f t="shared" si="47"/>
        <v>11750</v>
      </c>
      <c r="AN54" s="18">
        <f t="shared" si="47"/>
        <v>14462</v>
      </c>
      <c r="AO54" s="18">
        <f t="shared" si="26"/>
        <v>10433.333333333334</v>
      </c>
      <c r="AP54" s="18">
        <f t="shared" si="28"/>
        <v>11115.2</v>
      </c>
      <c r="AQ54" s="18">
        <f t="shared" si="30"/>
        <v>5334.166666666667</v>
      </c>
      <c r="AR54" s="18">
        <f t="shared" si="33"/>
        <v>841.66666666666663</v>
      </c>
      <c r="AS54" s="18">
        <f t="shared" si="39"/>
        <v>533.33333333333337</v>
      </c>
      <c r="AT54" s="18">
        <f t="shared" si="43"/>
        <v>616.66666666666663</v>
      </c>
      <c r="AU54" s="18">
        <f t="shared" si="43"/>
        <v>233.33333333333334</v>
      </c>
      <c r="AV54" s="18"/>
      <c r="AW54" s="18">
        <f t="shared" si="34"/>
        <v>425089.54450000002</v>
      </c>
      <c r="AX54" s="18">
        <f>SUM(AW$5:AW54)</f>
        <v>15950801.142833347</v>
      </c>
      <c r="AY54" s="18">
        <f t="shared" si="35"/>
        <v>9554571.5271666553</v>
      </c>
      <c r="AZ54" s="18">
        <f t="shared" si="40"/>
        <v>9979661.0716666561</v>
      </c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>
        <f t="shared" si="37"/>
        <v>0</v>
      </c>
      <c r="CM54" s="22">
        <f t="shared" si="10"/>
        <v>0</v>
      </c>
      <c r="CN54" s="22">
        <f t="shared" si="38"/>
        <v>425089.54450000002</v>
      </c>
      <c r="CO54" s="18">
        <f t="shared" si="12"/>
        <v>425089.54450000002</v>
      </c>
      <c r="CP54" s="18">
        <f>+CO54*'Capital Structure '!$E$30</f>
        <v>173649.07892825</v>
      </c>
      <c r="CQ54" s="18">
        <f>SUM(CP$5:CP54)</f>
        <v>-3903042.4688475849</v>
      </c>
    </row>
    <row r="55" spans="1:95">
      <c r="A55" s="7" t="s">
        <v>48</v>
      </c>
      <c r="B55" s="7">
        <f t="shared" si="48"/>
        <v>2017</v>
      </c>
      <c r="C55" s="33" t="s">
        <v>47</v>
      </c>
      <c r="D55" s="114"/>
      <c r="E55" s="18"/>
      <c r="F55" s="20"/>
      <c r="G55" s="114">
        <f t="shared" si="18"/>
        <v>0</v>
      </c>
      <c r="H55" s="114"/>
      <c r="I55" s="114"/>
      <c r="J55" s="114"/>
      <c r="K55" s="18">
        <f t="shared" si="32"/>
        <v>0</v>
      </c>
      <c r="L55" s="18">
        <f>SUM(K$5:K55)</f>
        <v>25505372.670000002</v>
      </c>
      <c r="N55" s="18">
        <f t="shared" si="46"/>
        <v>22312.05</v>
      </c>
      <c r="O55" s="18">
        <f>+O54</f>
        <v>16536.116666666665</v>
      </c>
      <c r="P55" s="18">
        <f>+P54</f>
        <v>20596.031166666668</v>
      </c>
      <c r="Q55" s="18">
        <f t="shared" si="46"/>
        <v>23778.333333333332</v>
      </c>
      <c r="R55" s="18">
        <f t="shared" si="46"/>
        <v>19815.833333333332</v>
      </c>
      <c r="S55" s="18">
        <f t="shared" si="46"/>
        <v>20279.5</v>
      </c>
      <c r="T55" s="18">
        <f t="shared" si="46"/>
        <v>14990.658333333333</v>
      </c>
      <c r="U55" s="18">
        <f t="shared" si="46"/>
        <v>19380.033333333333</v>
      </c>
      <c r="V55" s="18">
        <f t="shared" si="46"/>
        <v>14101.8</v>
      </c>
      <c r="W55" s="18">
        <f t="shared" si="46"/>
        <v>20871.917666666668</v>
      </c>
      <c r="X55" s="18">
        <f t="shared" si="46"/>
        <v>12815</v>
      </c>
      <c r="Y55" s="18">
        <f t="shared" si="47"/>
        <v>9932.5</v>
      </c>
      <c r="Z55" s="18">
        <f t="shared" si="47"/>
        <v>10956.916666666666</v>
      </c>
      <c r="AA55" s="18">
        <f t="shared" si="47"/>
        <v>10766.558333333332</v>
      </c>
      <c r="AB55" s="18">
        <f t="shared" si="47"/>
        <v>16498</v>
      </c>
      <c r="AC55" s="18">
        <f t="shared" si="47"/>
        <v>10582.5615</v>
      </c>
      <c r="AD55" s="18">
        <f t="shared" si="47"/>
        <v>11791.666666666666</v>
      </c>
      <c r="AE55" s="18">
        <f t="shared" si="47"/>
        <v>13509.166666666666</v>
      </c>
      <c r="AF55" s="18">
        <f t="shared" si="47"/>
        <v>13548.424999999999</v>
      </c>
      <c r="AG55" s="18">
        <f t="shared" si="47"/>
        <v>11316.166666666666</v>
      </c>
      <c r="AH55" s="18">
        <f t="shared" si="47"/>
        <v>13668.55</v>
      </c>
      <c r="AI55" s="18">
        <f t="shared" si="47"/>
        <v>11361.183333333332</v>
      </c>
      <c r="AJ55" s="18">
        <f t="shared" si="47"/>
        <v>11700.786666666665</v>
      </c>
      <c r="AK55" s="18">
        <f t="shared" si="47"/>
        <v>11891.666666666666</v>
      </c>
      <c r="AL55" s="18">
        <f t="shared" si="47"/>
        <v>6768.4224999999997</v>
      </c>
      <c r="AM55" s="18">
        <f t="shared" si="47"/>
        <v>11750</v>
      </c>
      <c r="AN55" s="18">
        <f t="shared" si="47"/>
        <v>14462</v>
      </c>
      <c r="AO55" s="18">
        <f t="shared" si="26"/>
        <v>10433.333333333334</v>
      </c>
      <c r="AP55" s="18">
        <f t="shared" si="28"/>
        <v>11115.2</v>
      </c>
      <c r="AQ55" s="18">
        <f t="shared" si="30"/>
        <v>5334.166666666667</v>
      </c>
      <c r="AR55" s="18">
        <f t="shared" si="33"/>
        <v>841.66666666666663</v>
      </c>
      <c r="AS55" s="18">
        <f t="shared" si="39"/>
        <v>533.33333333333337</v>
      </c>
      <c r="AT55" s="18">
        <f t="shared" si="43"/>
        <v>616.66666666666663</v>
      </c>
      <c r="AU55" s="18">
        <f t="shared" si="43"/>
        <v>233.33333333333334</v>
      </c>
      <c r="AV55" s="18"/>
      <c r="AW55" s="18">
        <f t="shared" si="34"/>
        <v>425089.54450000002</v>
      </c>
      <c r="AX55" s="18">
        <f>SUM(AW$5:AW55)</f>
        <v>16375890.687333347</v>
      </c>
      <c r="AY55" s="18">
        <f t="shared" si="35"/>
        <v>9129481.9826666545</v>
      </c>
      <c r="AZ55" s="18">
        <f t="shared" si="40"/>
        <v>9554571.5271666553</v>
      </c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>
        <f t="shared" si="37"/>
        <v>0</v>
      </c>
      <c r="CM55" s="22">
        <f t="shared" si="10"/>
        <v>0</v>
      </c>
      <c r="CN55" s="22">
        <f t="shared" si="38"/>
        <v>425089.54450000002</v>
      </c>
      <c r="CO55" s="18">
        <f t="shared" si="12"/>
        <v>425089.54450000002</v>
      </c>
      <c r="CP55" s="18">
        <f>+CO55*'Capital Structure '!$E$30</f>
        <v>173649.07892825</v>
      </c>
      <c r="CQ55" s="18">
        <f>SUM(CP$5:CP55)</f>
        <v>-3729393.389919335</v>
      </c>
    </row>
    <row r="56" spans="1:95">
      <c r="A56" s="7" t="s">
        <v>50</v>
      </c>
      <c r="B56" s="7">
        <f t="shared" si="48"/>
        <v>2017</v>
      </c>
      <c r="C56" s="33" t="s">
        <v>47</v>
      </c>
      <c r="D56" s="114"/>
      <c r="E56" s="18"/>
      <c r="F56" s="20"/>
      <c r="G56" s="114">
        <f t="shared" si="18"/>
        <v>0</v>
      </c>
      <c r="H56" s="114"/>
      <c r="I56" s="114"/>
      <c r="J56" s="114"/>
      <c r="K56" s="18">
        <f t="shared" si="32"/>
        <v>0</v>
      </c>
      <c r="L56" s="18">
        <f>SUM(K$5:K56)</f>
        <v>25505372.670000002</v>
      </c>
      <c r="N56" s="18">
        <f t="shared" si="46"/>
        <v>22312.05</v>
      </c>
      <c r="O56" s="18">
        <f>+O55</f>
        <v>16536.116666666665</v>
      </c>
      <c r="P56" s="18">
        <f>+P55</f>
        <v>20596.031166666668</v>
      </c>
      <c r="Q56" s="18">
        <f>+Q55</f>
        <v>23778.333333333332</v>
      </c>
      <c r="R56" s="18">
        <f t="shared" si="46"/>
        <v>19815.833333333332</v>
      </c>
      <c r="S56" s="18">
        <f t="shared" si="46"/>
        <v>20279.5</v>
      </c>
      <c r="T56" s="18">
        <f t="shared" si="46"/>
        <v>14990.658333333333</v>
      </c>
      <c r="U56" s="18">
        <f t="shared" si="46"/>
        <v>19380.033333333333</v>
      </c>
      <c r="V56" s="18">
        <f t="shared" si="46"/>
        <v>14101.8</v>
      </c>
      <c r="W56" s="18">
        <f t="shared" si="46"/>
        <v>20871.917666666668</v>
      </c>
      <c r="X56" s="18">
        <f t="shared" si="46"/>
        <v>12815</v>
      </c>
      <c r="Y56" s="18">
        <f t="shared" si="47"/>
        <v>9932.5</v>
      </c>
      <c r="Z56" s="18">
        <f t="shared" si="47"/>
        <v>10956.916666666666</v>
      </c>
      <c r="AA56" s="18">
        <f t="shared" si="47"/>
        <v>10766.558333333332</v>
      </c>
      <c r="AB56" s="18">
        <f t="shared" si="47"/>
        <v>16498</v>
      </c>
      <c r="AC56" s="18">
        <f t="shared" si="47"/>
        <v>10582.5615</v>
      </c>
      <c r="AD56" s="18">
        <f t="shared" si="47"/>
        <v>11791.666666666666</v>
      </c>
      <c r="AE56" s="18">
        <f t="shared" si="47"/>
        <v>13509.166666666666</v>
      </c>
      <c r="AF56" s="18">
        <f t="shared" si="47"/>
        <v>13548.424999999999</v>
      </c>
      <c r="AG56" s="18">
        <f t="shared" si="47"/>
        <v>11316.166666666666</v>
      </c>
      <c r="AH56" s="18">
        <f t="shared" si="47"/>
        <v>13668.55</v>
      </c>
      <c r="AI56" s="18">
        <f t="shared" si="47"/>
        <v>11361.183333333332</v>
      </c>
      <c r="AJ56" s="18">
        <f t="shared" si="47"/>
        <v>11700.786666666665</v>
      </c>
      <c r="AK56" s="18">
        <f t="shared" si="47"/>
        <v>11891.666666666666</v>
      </c>
      <c r="AL56" s="18">
        <f t="shared" si="47"/>
        <v>6768.4224999999997</v>
      </c>
      <c r="AM56" s="18">
        <f t="shared" si="47"/>
        <v>11750</v>
      </c>
      <c r="AN56" s="18">
        <f t="shared" si="47"/>
        <v>14462</v>
      </c>
      <c r="AO56" s="18">
        <f t="shared" si="26"/>
        <v>10433.333333333334</v>
      </c>
      <c r="AP56" s="18">
        <f t="shared" si="28"/>
        <v>11115.2</v>
      </c>
      <c r="AQ56" s="18">
        <f t="shared" si="30"/>
        <v>5334.166666666667</v>
      </c>
      <c r="AR56" s="18">
        <f t="shared" si="33"/>
        <v>841.66666666666663</v>
      </c>
      <c r="AS56" s="18">
        <f t="shared" si="39"/>
        <v>533.33333333333337</v>
      </c>
      <c r="AT56" s="18">
        <f t="shared" si="43"/>
        <v>616.66666666666663</v>
      </c>
      <c r="AU56" s="18">
        <f t="shared" si="43"/>
        <v>233.33333333333334</v>
      </c>
      <c r="AV56" s="18"/>
      <c r="AW56" s="18">
        <f t="shared" ref="AW56:AW97" si="49">SUM(N56:AV56)</f>
        <v>425089.54450000002</v>
      </c>
      <c r="AX56" s="18">
        <f>SUM(AW$5:AW56)</f>
        <v>16800980.231833346</v>
      </c>
      <c r="AY56" s="18">
        <f t="shared" ref="AY56:AY97" si="50">+L56-AX56</f>
        <v>8704392.4381666556</v>
      </c>
      <c r="AZ56" s="18">
        <f t="shared" ref="AZ56:AZ97" si="51">+L56-AX55</f>
        <v>9129481.9826666545</v>
      </c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>
        <f t="shared" si="37"/>
        <v>0</v>
      </c>
      <c r="CM56" s="22">
        <f t="shared" si="10"/>
        <v>0</v>
      </c>
      <c r="CN56" s="22">
        <f t="shared" si="38"/>
        <v>425089.54450000002</v>
      </c>
      <c r="CO56" s="18">
        <f t="shared" si="12"/>
        <v>425089.54450000002</v>
      </c>
      <c r="CP56" s="18">
        <f>+CO56*'Capital Structure '!$E$30</f>
        <v>173649.07892825</v>
      </c>
      <c r="CQ56" s="18">
        <f>SUM(CP$5:CP56)</f>
        <v>-3555744.3109910851</v>
      </c>
    </row>
    <row r="57" spans="1:95">
      <c r="A57" s="7" t="s">
        <v>51</v>
      </c>
      <c r="B57" s="7">
        <f t="shared" si="48"/>
        <v>2017</v>
      </c>
      <c r="C57" s="33" t="s">
        <v>47</v>
      </c>
      <c r="D57" s="114"/>
      <c r="E57" s="18"/>
      <c r="F57" s="20"/>
      <c r="G57" s="114">
        <f t="shared" si="18"/>
        <v>0</v>
      </c>
      <c r="H57" s="114"/>
      <c r="I57" s="114"/>
      <c r="J57" s="114"/>
      <c r="K57" s="18">
        <f t="shared" si="32"/>
        <v>0</v>
      </c>
      <c r="L57" s="18">
        <f>SUM(K$5:K57)</f>
        <v>25505372.670000002</v>
      </c>
      <c r="N57" s="18">
        <f t="shared" si="46"/>
        <v>22312.05</v>
      </c>
      <c r="O57" s="18">
        <f>+O56</f>
        <v>16536.116666666665</v>
      </c>
      <c r="P57" s="18">
        <f>+P56</f>
        <v>20596.031166666668</v>
      </c>
      <c r="Q57" s="18">
        <f>+Q56</f>
        <v>23778.333333333332</v>
      </c>
      <c r="R57" s="18">
        <f>+R56</f>
        <v>19815.833333333332</v>
      </c>
      <c r="S57" s="18">
        <f t="shared" si="46"/>
        <v>20279.5</v>
      </c>
      <c r="T57" s="18">
        <f t="shared" si="46"/>
        <v>14990.658333333333</v>
      </c>
      <c r="U57" s="18">
        <f t="shared" si="46"/>
        <v>19380.033333333333</v>
      </c>
      <c r="V57" s="18">
        <f t="shared" si="46"/>
        <v>14101.8</v>
      </c>
      <c r="W57" s="18">
        <f t="shared" si="46"/>
        <v>20871.917666666668</v>
      </c>
      <c r="X57" s="18">
        <f t="shared" si="46"/>
        <v>12815</v>
      </c>
      <c r="Y57" s="18">
        <f t="shared" si="47"/>
        <v>9932.5</v>
      </c>
      <c r="Z57" s="18">
        <f t="shared" si="47"/>
        <v>10956.916666666666</v>
      </c>
      <c r="AA57" s="18">
        <f t="shared" si="47"/>
        <v>10766.558333333332</v>
      </c>
      <c r="AB57" s="18">
        <f t="shared" si="47"/>
        <v>16498</v>
      </c>
      <c r="AC57" s="18">
        <f t="shared" si="47"/>
        <v>10582.5615</v>
      </c>
      <c r="AD57" s="18">
        <f t="shared" si="47"/>
        <v>11791.666666666666</v>
      </c>
      <c r="AE57" s="18">
        <f t="shared" si="47"/>
        <v>13509.166666666666</v>
      </c>
      <c r="AF57" s="18">
        <f t="shared" si="47"/>
        <v>13548.424999999999</v>
      </c>
      <c r="AG57" s="18">
        <f t="shared" si="47"/>
        <v>11316.166666666666</v>
      </c>
      <c r="AH57" s="18">
        <f t="shared" si="47"/>
        <v>13668.55</v>
      </c>
      <c r="AI57" s="18">
        <f t="shared" si="47"/>
        <v>11361.183333333332</v>
      </c>
      <c r="AJ57" s="18">
        <f t="shared" si="47"/>
        <v>11700.786666666665</v>
      </c>
      <c r="AK57" s="18">
        <f t="shared" si="47"/>
        <v>11891.666666666666</v>
      </c>
      <c r="AL57" s="18">
        <f t="shared" si="47"/>
        <v>6768.4224999999997</v>
      </c>
      <c r="AM57" s="18">
        <f t="shared" si="47"/>
        <v>11750</v>
      </c>
      <c r="AN57" s="18">
        <f t="shared" si="47"/>
        <v>14462</v>
      </c>
      <c r="AO57" s="18">
        <f t="shared" si="26"/>
        <v>10433.333333333334</v>
      </c>
      <c r="AP57" s="18">
        <f t="shared" si="28"/>
        <v>11115.2</v>
      </c>
      <c r="AQ57" s="18">
        <f t="shared" si="30"/>
        <v>5334.166666666667</v>
      </c>
      <c r="AR57" s="18">
        <f t="shared" si="33"/>
        <v>841.66666666666663</v>
      </c>
      <c r="AS57" s="18">
        <f t="shared" si="39"/>
        <v>533.33333333333337</v>
      </c>
      <c r="AT57" s="18">
        <f t="shared" si="43"/>
        <v>616.66666666666663</v>
      </c>
      <c r="AU57" s="18">
        <f t="shared" si="43"/>
        <v>233.33333333333334</v>
      </c>
      <c r="AV57" s="18"/>
      <c r="AW57" s="18">
        <f t="shared" si="49"/>
        <v>425089.54450000002</v>
      </c>
      <c r="AX57" s="18">
        <f>SUM(AW$5:AW57)</f>
        <v>17226069.776333347</v>
      </c>
      <c r="AY57" s="18">
        <f t="shared" si="50"/>
        <v>8279302.8936666548</v>
      </c>
      <c r="AZ57" s="18">
        <f t="shared" si="51"/>
        <v>8704392.4381666556</v>
      </c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>
        <f t="shared" si="37"/>
        <v>0</v>
      </c>
      <c r="CM57" s="22">
        <f t="shared" si="10"/>
        <v>0</v>
      </c>
      <c r="CN57" s="22">
        <f t="shared" si="38"/>
        <v>425089.54450000002</v>
      </c>
      <c r="CO57" s="18">
        <f t="shared" si="12"/>
        <v>425089.54450000002</v>
      </c>
      <c r="CP57" s="18">
        <f>+CO57*'Capital Structure '!$E$30</f>
        <v>173649.07892825</v>
      </c>
      <c r="CQ57" s="18">
        <f>SUM(CP$5:CP57)</f>
        <v>-3382095.2320628352</v>
      </c>
    </row>
    <row r="58" spans="1:95" s="4" customFormat="1">
      <c r="A58" s="124" t="s">
        <v>52</v>
      </c>
      <c r="B58" s="124">
        <f t="shared" si="48"/>
        <v>2017</v>
      </c>
      <c r="C58" s="322" t="s">
        <v>47</v>
      </c>
      <c r="D58" s="116"/>
      <c r="E58" s="121"/>
      <c r="F58" s="121"/>
      <c r="G58" s="116">
        <f t="shared" si="18"/>
        <v>0</v>
      </c>
      <c r="H58" s="116"/>
      <c r="I58" s="116"/>
      <c r="J58" s="116"/>
      <c r="K58" s="121">
        <f t="shared" si="32"/>
        <v>0</v>
      </c>
      <c r="L58" s="121">
        <f>SUM(K$5:K58)</f>
        <v>25505372.670000002</v>
      </c>
      <c r="M58" s="126"/>
      <c r="N58" s="121">
        <f t="shared" si="46"/>
        <v>22312.05</v>
      </c>
      <c r="O58" s="121">
        <f>+O57</f>
        <v>16536.116666666665</v>
      </c>
      <c r="P58" s="121">
        <f>+P57</f>
        <v>20596.031166666668</v>
      </c>
      <c r="Q58" s="121">
        <f>+Q57</f>
        <v>23778.333333333332</v>
      </c>
      <c r="R58" s="121">
        <f>+R57</f>
        <v>19815.833333333332</v>
      </c>
      <c r="S58" s="121">
        <f>+S57</f>
        <v>20279.5</v>
      </c>
      <c r="T58" s="121">
        <f t="shared" si="46"/>
        <v>14990.658333333333</v>
      </c>
      <c r="U58" s="121">
        <f t="shared" si="46"/>
        <v>19380.033333333333</v>
      </c>
      <c r="V58" s="121">
        <f t="shared" si="46"/>
        <v>14101.8</v>
      </c>
      <c r="W58" s="121">
        <f t="shared" si="46"/>
        <v>20871.917666666668</v>
      </c>
      <c r="X58" s="121">
        <f t="shared" si="46"/>
        <v>12815</v>
      </c>
      <c r="Y58" s="121">
        <f t="shared" si="47"/>
        <v>9932.5</v>
      </c>
      <c r="Z58" s="121">
        <f t="shared" si="47"/>
        <v>10956.916666666666</v>
      </c>
      <c r="AA58" s="121">
        <f t="shared" si="47"/>
        <v>10766.558333333332</v>
      </c>
      <c r="AB58" s="121">
        <f t="shared" si="47"/>
        <v>16498</v>
      </c>
      <c r="AC58" s="121">
        <f t="shared" si="47"/>
        <v>10582.5615</v>
      </c>
      <c r="AD58" s="121">
        <f t="shared" si="47"/>
        <v>11791.666666666666</v>
      </c>
      <c r="AE58" s="121">
        <f t="shared" si="47"/>
        <v>13509.166666666666</v>
      </c>
      <c r="AF58" s="121">
        <f t="shared" si="47"/>
        <v>13548.424999999999</v>
      </c>
      <c r="AG58" s="121">
        <f t="shared" si="47"/>
        <v>11316.166666666666</v>
      </c>
      <c r="AH58" s="121">
        <f t="shared" si="47"/>
        <v>13668.55</v>
      </c>
      <c r="AI58" s="121">
        <f t="shared" si="47"/>
        <v>11361.183333333332</v>
      </c>
      <c r="AJ58" s="121">
        <f t="shared" si="47"/>
        <v>11700.786666666665</v>
      </c>
      <c r="AK58" s="121">
        <f t="shared" si="47"/>
        <v>11891.666666666666</v>
      </c>
      <c r="AL58" s="121">
        <f t="shared" si="47"/>
        <v>6768.4224999999997</v>
      </c>
      <c r="AM58" s="121">
        <f t="shared" si="47"/>
        <v>11750</v>
      </c>
      <c r="AN58" s="121">
        <f t="shared" si="47"/>
        <v>14462</v>
      </c>
      <c r="AO58" s="121">
        <f t="shared" si="26"/>
        <v>10433.333333333334</v>
      </c>
      <c r="AP58" s="121">
        <f t="shared" si="28"/>
        <v>11115.2</v>
      </c>
      <c r="AQ58" s="121">
        <f t="shared" si="30"/>
        <v>5334.166666666667</v>
      </c>
      <c r="AR58" s="121">
        <f t="shared" si="33"/>
        <v>841.66666666666663</v>
      </c>
      <c r="AS58" s="121">
        <f t="shared" si="39"/>
        <v>533.33333333333337</v>
      </c>
      <c r="AT58" s="121">
        <f t="shared" si="43"/>
        <v>616.66666666666663</v>
      </c>
      <c r="AU58" s="121">
        <f t="shared" si="43"/>
        <v>233.33333333333334</v>
      </c>
      <c r="AV58" s="121"/>
      <c r="AW58" s="121">
        <f t="shared" si="49"/>
        <v>425089.54450000002</v>
      </c>
      <c r="AX58" s="121">
        <f>SUM(AW$5:AW58)</f>
        <v>17651159.320833348</v>
      </c>
      <c r="AY58" s="121">
        <f t="shared" si="50"/>
        <v>7854213.3491666541</v>
      </c>
      <c r="AZ58" s="121">
        <f t="shared" si="51"/>
        <v>8279302.8936666548</v>
      </c>
      <c r="BA58" s="126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>
        <f t="shared" si="37"/>
        <v>0</v>
      </c>
      <c r="CL58" s="126"/>
      <c r="CM58" s="211">
        <f t="shared" si="10"/>
        <v>0</v>
      </c>
      <c r="CN58" s="211">
        <f t="shared" si="38"/>
        <v>425089.54450000002</v>
      </c>
      <c r="CO58" s="121">
        <f t="shared" si="12"/>
        <v>425089.54450000002</v>
      </c>
      <c r="CP58" s="121">
        <f>+CO58*'Capital Structure '!$E$30</f>
        <v>173649.07892825</v>
      </c>
      <c r="CQ58" s="121">
        <f>SUM(CP$5:CP58)</f>
        <v>-3208446.1531345854</v>
      </c>
    </row>
    <row r="59" spans="1:95">
      <c r="A59" s="7" t="s">
        <v>53</v>
      </c>
      <c r="B59" s="7">
        <f>+B58+1</f>
        <v>2018</v>
      </c>
      <c r="C59" s="33" t="s">
        <v>47</v>
      </c>
      <c r="D59" s="114"/>
      <c r="E59" s="18"/>
      <c r="F59" s="20"/>
      <c r="G59" s="114">
        <f t="shared" si="18"/>
        <v>0</v>
      </c>
      <c r="H59" s="114"/>
      <c r="I59" s="114"/>
      <c r="J59" s="114"/>
      <c r="K59" s="18">
        <f t="shared" si="32"/>
        <v>0</v>
      </c>
      <c r="L59" s="18">
        <f>SUM(K$5:K59)</f>
        <v>25505372.670000002</v>
      </c>
      <c r="N59" s="18">
        <f t="shared" si="46"/>
        <v>22312.05</v>
      </c>
      <c r="O59" s="18">
        <f t="shared" si="46"/>
        <v>16536.116666666665</v>
      </c>
      <c r="P59" s="18">
        <f t="shared" si="46"/>
        <v>20596.031166666668</v>
      </c>
      <c r="Q59" s="18">
        <f t="shared" si="46"/>
        <v>23778.333333333332</v>
      </c>
      <c r="R59" s="18">
        <f t="shared" si="46"/>
        <v>19815.833333333332</v>
      </c>
      <c r="S59" s="18">
        <f t="shared" si="46"/>
        <v>20279.5</v>
      </c>
      <c r="T59" s="18">
        <f t="shared" si="46"/>
        <v>14990.658333333333</v>
      </c>
      <c r="U59" s="18">
        <f t="shared" si="46"/>
        <v>19380.033333333333</v>
      </c>
      <c r="V59" s="18">
        <f t="shared" si="46"/>
        <v>14101.8</v>
      </c>
      <c r="W59" s="18">
        <f t="shared" si="46"/>
        <v>20871.917666666668</v>
      </c>
      <c r="X59" s="18">
        <f t="shared" si="46"/>
        <v>12815</v>
      </c>
      <c r="Y59" s="18">
        <f t="shared" si="47"/>
        <v>9932.5</v>
      </c>
      <c r="Z59" s="18">
        <f t="shared" si="47"/>
        <v>10956.916666666666</v>
      </c>
      <c r="AA59" s="18">
        <f t="shared" si="47"/>
        <v>10766.558333333332</v>
      </c>
      <c r="AB59" s="18">
        <f t="shared" si="47"/>
        <v>16498</v>
      </c>
      <c r="AC59" s="18">
        <f t="shared" si="47"/>
        <v>10582.5615</v>
      </c>
      <c r="AD59" s="18">
        <f t="shared" si="47"/>
        <v>11791.666666666666</v>
      </c>
      <c r="AE59" s="18">
        <f t="shared" si="47"/>
        <v>13509.166666666666</v>
      </c>
      <c r="AF59" s="18">
        <f t="shared" si="47"/>
        <v>13548.424999999999</v>
      </c>
      <c r="AG59" s="18">
        <f t="shared" si="47"/>
        <v>11316.166666666666</v>
      </c>
      <c r="AH59" s="18">
        <f t="shared" si="47"/>
        <v>13668.55</v>
      </c>
      <c r="AI59" s="18">
        <f t="shared" si="47"/>
        <v>11361.183333333332</v>
      </c>
      <c r="AJ59" s="18">
        <f t="shared" si="47"/>
        <v>11700.786666666665</v>
      </c>
      <c r="AK59" s="18">
        <f t="shared" si="47"/>
        <v>11891.666666666666</v>
      </c>
      <c r="AL59" s="18">
        <f t="shared" si="47"/>
        <v>6768.4224999999997</v>
      </c>
      <c r="AM59" s="18">
        <f t="shared" si="47"/>
        <v>11750</v>
      </c>
      <c r="AN59" s="18">
        <f t="shared" si="47"/>
        <v>14462</v>
      </c>
      <c r="AO59" s="18">
        <f t="shared" si="26"/>
        <v>10433.333333333334</v>
      </c>
      <c r="AP59" s="18">
        <f t="shared" si="28"/>
        <v>11115.2</v>
      </c>
      <c r="AQ59" s="18">
        <f t="shared" si="30"/>
        <v>5334.166666666667</v>
      </c>
      <c r="AR59" s="18">
        <f t="shared" si="33"/>
        <v>841.66666666666663</v>
      </c>
      <c r="AS59" s="18">
        <f t="shared" si="39"/>
        <v>533.33333333333337</v>
      </c>
      <c r="AT59" s="18">
        <f t="shared" si="43"/>
        <v>616.66666666666663</v>
      </c>
      <c r="AU59" s="18">
        <f t="shared" si="43"/>
        <v>233.33333333333334</v>
      </c>
      <c r="AV59" s="18"/>
      <c r="AW59" s="18">
        <f t="shared" si="49"/>
        <v>425089.54450000002</v>
      </c>
      <c r="AX59" s="18">
        <f>SUM(AW$5:AW59)</f>
        <v>18076248.865333349</v>
      </c>
      <c r="AY59" s="18">
        <f t="shared" si="50"/>
        <v>7429123.8046666533</v>
      </c>
      <c r="AZ59" s="18">
        <f t="shared" si="51"/>
        <v>7854213.3491666541</v>
      </c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>
        <f t="shared" si="37"/>
        <v>0</v>
      </c>
      <c r="CM59" s="22">
        <f t="shared" si="10"/>
        <v>0</v>
      </c>
      <c r="CN59" s="22">
        <f t="shared" si="38"/>
        <v>425089.54450000002</v>
      </c>
      <c r="CO59" s="18">
        <f t="shared" si="12"/>
        <v>425089.54450000002</v>
      </c>
      <c r="CP59" s="18">
        <f>+CO59*'Capital Structure '!$P$30</f>
        <v>119492.67095895</v>
      </c>
      <c r="CQ59" s="18">
        <v>-2088326.7014917952</v>
      </c>
    </row>
    <row r="60" spans="1:95">
      <c r="A60" s="7" t="s">
        <v>54</v>
      </c>
      <c r="B60" s="7">
        <f t="shared" ref="B60:B97" si="52">+B59</f>
        <v>2018</v>
      </c>
      <c r="C60" s="33" t="s">
        <v>47</v>
      </c>
      <c r="D60" s="114"/>
      <c r="E60" s="18"/>
      <c r="F60" s="20"/>
      <c r="G60" s="114">
        <f t="shared" si="18"/>
        <v>0</v>
      </c>
      <c r="H60" s="114"/>
      <c r="I60" s="114"/>
      <c r="J60" s="114"/>
      <c r="K60" s="18">
        <f t="shared" si="32"/>
        <v>0</v>
      </c>
      <c r="L60" s="18">
        <f>SUM(K$5:K60)</f>
        <v>25505372.670000002</v>
      </c>
      <c r="N60" s="18">
        <f t="shared" si="46"/>
        <v>22312.05</v>
      </c>
      <c r="O60" s="18">
        <f t="shared" si="46"/>
        <v>16536.116666666665</v>
      </c>
      <c r="P60" s="18">
        <f t="shared" si="46"/>
        <v>20596.031166666668</v>
      </c>
      <c r="Q60" s="18">
        <f t="shared" si="46"/>
        <v>23778.333333333332</v>
      </c>
      <c r="R60" s="18">
        <f t="shared" si="46"/>
        <v>19815.833333333332</v>
      </c>
      <c r="S60" s="18">
        <f t="shared" si="46"/>
        <v>20279.5</v>
      </c>
      <c r="T60" s="18">
        <f t="shared" si="46"/>
        <v>14990.658333333333</v>
      </c>
      <c r="U60" s="18">
        <f t="shared" si="46"/>
        <v>19380.033333333333</v>
      </c>
      <c r="V60" s="18">
        <f t="shared" si="46"/>
        <v>14101.8</v>
      </c>
      <c r="W60" s="18">
        <f t="shared" si="46"/>
        <v>20871.917666666668</v>
      </c>
      <c r="X60" s="18">
        <f t="shared" si="46"/>
        <v>12815</v>
      </c>
      <c r="Y60" s="18">
        <f t="shared" si="47"/>
        <v>9932.5</v>
      </c>
      <c r="Z60" s="18">
        <f t="shared" si="47"/>
        <v>10956.916666666666</v>
      </c>
      <c r="AA60" s="18">
        <f t="shared" si="47"/>
        <v>10766.558333333332</v>
      </c>
      <c r="AB60" s="18">
        <f t="shared" si="47"/>
        <v>16498</v>
      </c>
      <c r="AC60" s="18">
        <f t="shared" si="47"/>
        <v>10582.5615</v>
      </c>
      <c r="AD60" s="18">
        <f t="shared" si="47"/>
        <v>11791.666666666666</v>
      </c>
      <c r="AE60" s="18">
        <f t="shared" si="47"/>
        <v>13509.166666666666</v>
      </c>
      <c r="AF60" s="18">
        <f t="shared" si="47"/>
        <v>13548.424999999999</v>
      </c>
      <c r="AG60" s="18">
        <f t="shared" si="47"/>
        <v>11316.166666666666</v>
      </c>
      <c r="AH60" s="18">
        <f t="shared" si="47"/>
        <v>13668.55</v>
      </c>
      <c r="AI60" s="18">
        <f t="shared" si="47"/>
        <v>11361.183333333332</v>
      </c>
      <c r="AJ60" s="18">
        <f t="shared" si="47"/>
        <v>11700.786666666665</v>
      </c>
      <c r="AK60" s="18">
        <f t="shared" si="47"/>
        <v>11891.666666666666</v>
      </c>
      <c r="AL60" s="18">
        <f t="shared" si="47"/>
        <v>6768.4224999999997</v>
      </c>
      <c r="AM60" s="18">
        <f t="shared" si="47"/>
        <v>11750</v>
      </c>
      <c r="AN60" s="18">
        <f t="shared" si="47"/>
        <v>14462</v>
      </c>
      <c r="AO60" s="18">
        <f t="shared" si="26"/>
        <v>10433.333333333334</v>
      </c>
      <c r="AP60" s="18">
        <f t="shared" si="28"/>
        <v>11115.2</v>
      </c>
      <c r="AQ60" s="18">
        <f t="shared" si="30"/>
        <v>5334.166666666667</v>
      </c>
      <c r="AR60" s="18">
        <f t="shared" si="33"/>
        <v>841.66666666666663</v>
      </c>
      <c r="AS60" s="18">
        <f t="shared" si="39"/>
        <v>533.33333333333337</v>
      </c>
      <c r="AT60" s="18">
        <f t="shared" si="43"/>
        <v>616.66666666666663</v>
      </c>
      <c r="AU60" s="18">
        <f t="shared" si="43"/>
        <v>233.33333333333334</v>
      </c>
      <c r="AV60" s="18"/>
      <c r="AW60" s="18">
        <f t="shared" si="49"/>
        <v>425089.54450000002</v>
      </c>
      <c r="AX60" s="18">
        <f>SUM(AW$5:AW60)</f>
        <v>18501338.409833349</v>
      </c>
      <c r="AY60" s="18">
        <f t="shared" si="50"/>
        <v>7004034.2601666525</v>
      </c>
      <c r="AZ60" s="18">
        <f t="shared" si="51"/>
        <v>7429123.8046666533</v>
      </c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>
        <f t="shared" si="37"/>
        <v>0</v>
      </c>
      <c r="CM60" s="22">
        <f t="shared" si="10"/>
        <v>0</v>
      </c>
      <c r="CN60" s="22">
        <f t="shared" si="38"/>
        <v>425089.54450000002</v>
      </c>
      <c r="CO60" s="18">
        <f t="shared" si="12"/>
        <v>425089.54450000002</v>
      </c>
      <c r="CP60" s="18">
        <f>+CO60*'Capital Structure '!$P$30</f>
        <v>119492.67095895</v>
      </c>
      <c r="CQ60" s="18">
        <f>CQ59+CP60</f>
        <v>-1968834.0305328453</v>
      </c>
    </row>
    <row r="61" spans="1:95">
      <c r="A61" s="7" t="s">
        <v>55</v>
      </c>
      <c r="B61" s="7">
        <f t="shared" si="52"/>
        <v>2018</v>
      </c>
      <c r="C61" s="33" t="s">
        <v>47</v>
      </c>
      <c r="D61" s="114"/>
      <c r="E61" s="18"/>
      <c r="F61" s="20"/>
      <c r="G61" s="114">
        <f t="shared" si="18"/>
        <v>0</v>
      </c>
      <c r="H61" s="114"/>
      <c r="I61" s="114"/>
      <c r="J61" s="114"/>
      <c r="K61" s="18">
        <f t="shared" si="32"/>
        <v>0</v>
      </c>
      <c r="L61" s="18">
        <f>SUM(K$5:K61)</f>
        <v>25505372.670000002</v>
      </c>
      <c r="N61" s="18">
        <f t="shared" si="46"/>
        <v>22312.05</v>
      </c>
      <c r="O61" s="18">
        <f t="shared" si="46"/>
        <v>16536.116666666665</v>
      </c>
      <c r="P61" s="18">
        <f t="shared" si="46"/>
        <v>20596.031166666668</v>
      </c>
      <c r="Q61" s="18">
        <f t="shared" si="46"/>
        <v>23778.333333333332</v>
      </c>
      <c r="R61" s="18">
        <f t="shared" si="46"/>
        <v>19815.833333333332</v>
      </c>
      <c r="S61" s="18">
        <f t="shared" si="46"/>
        <v>20279.5</v>
      </c>
      <c r="T61" s="18">
        <f t="shared" si="46"/>
        <v>14990.658333333333</v>
      </c>
      <c r="U61" s="18">
        <f t="shared" si="46"/>
        <v>19380.033333333333</v>
      </c>
      <c r="V61" s="18">
        <f t="shared" si="46"/>
        <v>14101.8</v>
      </c>
      <c r="W61" s="18">
        <f>+W60</f>
        <v>20871.917666666668</v>
      </c>
      <c r="X61" s="18">
        <f>+X60</f>
        <v>12815</v>
      </c>
      <c r="Y61" s="18">
        <f t="shared" si="47"/>
        <v>9932.5</v>
      </c>
      <c r="Z61" s="18">
        <f t="shared" si="47"/>
        <v>10956.916666666666</v>
      </c>
      <c r="AA61" s="18">
        <f t="shared" si="47"/>
        <v>10766.558333333332</v>
      </c>
      <c r="AB61" s="18">
        <f t="shared" si="47"/>
        <v>16498</v>
      </c>
      <c r="AC61" s="18">
        <f t="shared" si="47"/>
        <v>10582.5615</v>
      </c>
      <c r="AD61" s="18">
        <f t="shared" si="47"/>
        <v>11791.666666666666</v>
      </c>
      <c r="AE61" s="18">
        <f t="shared" si="47"/>
        <v>13509.166666666666</v>
      </c>
      <c r="AF61" s="18">
        <f t="shared" si="47"/>
        <v>13548.424999999999</v>
      </c>
      <c r="AG61" s="18">
        <f t="shared" ref="Y61:AN65" si="53">+AG60</f>
        <v>11316.166666666666</v>
      </c>
      <c r="AH61" s="18">
        <f t="shared" si="53"/>
        <v>13668.55</v>
      </c>
      <c r="AI61" s="18">
        <f t="shared" si="53"/>
        <v>11361.183333333332</v>
      </c>
      <c r="AJ61" s="18">
        <f t="shared" si="53"/>
        <v>11700.786666666665</v>
      </c>
      <c r="AK61" s="18">
        <f t="shared" si="53"/>
        <v>11891.666666666666</v>
      </c>
      <c r="AL61" s="18">
        <f t="shared" si="53"/>
        <v>6768.4224999999997</v>
      </c>
      <c r="AM61" s="18">
        <f t="shared" si="53"/>
        <v>11750</v>
      </c>
      <c r="AN61" s="18">
        <f t="shared" si="53"/>
        <v>14462</v>
      </c>
      <c r="AO61" s="18">
        <f t="shared" si="26"/>
        <v>10433.333333333334</v>
      </c>
      <c r="AP61" s="18">
        <f t="shared" si="28"/>
        <v>11115.2</v>
      </c>
      <c r="AQ61" s="18">
        <f t="shared" si="30"/>
        <v>5334.166666666667</v>
      </c>
      <c r="AR61" s="18">
        <f t="shared" si="33"/>
        <v>841.66666666666663</v>
      </c>
      <c r="AS61" s="18">
        <f t="shared" si="39"/>
        <v>533.33333333333337</v>
      </c>
      <c r="AT61" s="18">
        <f t="shared" si="43"/>
        <v>616.66666666666663</v>
      </c>
      <c r="AU61" s="18">
        <f t="shared" si="43"/>
        <v>233.33333333333334</v>
      </c>
      <c r="AV61" s="18"/>
      <c r="AW61" s="18">
        <f t="shared" si="49"/>
        <v>425089.54450000002</v>
      </c>
      <c r="AX61" s="18">
        <f>SUM(AW$5:AW61)</f>
        <v>18926427.95433335</v>
      </c>
      <c r="AY61" s="18">
        <f t="shared" si="50"/>
        <v>6578944.7156666517</v>
      </c>
      <c r="AZ61" s="18">
        <f t="shared" si="51"/>
        <v>7004034.2601666525</v>
      </c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>
        <f t="shared" si="37"/>
        <v>0</v>
      </c>
      <c r="CM61" s="22">
        <f>+CK61</f>
        <v>0</v>
      </c>
      <c r="CN61" s="22">
        <f t="shared" si="38"/>
        <v>425089.54450000002</v>
      </c>
      <c r="CO61" s="18">
        <f>+CN61-CM61</f>
        <v>425089.54450000002</v>
      </c>
      <c r="CP61" s="18">
        <f>+CO61*'Capital Structure '!$P$30</f>
        <v>119492.67095895</v>
      </c>
      <c r="CQ61" s="18">
        <f t="shared" ref="CQ61:CQ97" si="54">CQ60+CP61</f>
        <v>-1849341.3595738953</v>
      </c>
    </row>
    <row r="62" spans="1:95">
      <c r="A62" s="7" t="s">
        <v>56</v>
      </c>
      <c r="B62" s="7">
        <f t="shared" si="52"/>
        <v>2018</v>
      </c>
      <c r="C62" s="33" t="s">
        <v>47</v>
      </c>
      <c r="D62" s="114"/>
      <c r="E62" s="18"/>
      <c r="F62" s="20"/>
      <c r="G62" s="114">
        <f t="shared" si="18"/>
        <v>0</v>
      </c>
      <c r="H62" s="114"/>
      <c r="I62" s="114"/>
      <c r="J62" s="114"/>
      <c r="K62" s="18">
        <f t="shared" si="32"/>
        <v>0</v>
      </c>
      <c r="L62" s="18">
        <f>SUM(K$5:K62)</f>
        <v>25505372.670000002</v>
      </c>
      <c r="N62" s="18">
        <f t="shared" ref="N62:AC77" si="55">+N61</f>
        <v>22312.05</v>
      </c>
      <c r="O62" s="18">
        <f t="shared" si="55"/>
        <v>16536.116666666665</v>
      </c>
      <c r="P62" s="18">
        <f t="shared" si="55"/>
        <v>20596.031166666668</v>
      </c>
      <c r="Q62" s="18">
        <f t="shared" si="55"/>
        <v>23778.333333333332</v>
      </c>
      <c r="R62" s="18">
        <f t="shared" si="55"/>
        <v>19815.833333333332</v>
      </c>
      <c r="S62" s="18">
        <f t="shared" si="55"/>
        <v>20279.5</v>
      </c>
      <c r="T62" s="18">
        <f t="shared" si="55"/>
        <v>14990.658333333333</v>
      </c>
      <c r="U62" s="18">
        <f t="shared" si="55"/>
        <v>19380.033333333333</v>
      </c>
      <c r="V62" s="18">
        <f t="shared" si="55"/>
        <v>14101.8</v>
      </c>
      <c r="W62" s="18">
        <f t="shared" si="55"/>
        <v>20871.917666666668</v>
      </c>
      <c r="X62" s="18">
        <f>+X61</f>
        <v>12815</v>
      </c>
      <c r="Y62" s="18">
        <f t="shared" si="53"/>
        <v>9932.5</v>
      </c>
      <c r="Z62" s="18">
        <f t="shared" si="53"/>
        <v>10956.916666666666</v>
      </c>
      <c r="AA62" s="18">
        <f t="shared" si="53"/>
        <v>10766.558333333332</v>
      </c>
      <c r="AB62" s="18">
        <f t="shared" si="53"/>
        <v>16498</v>
      </c>
      <c r="AC62" s="18">
        <f t="shared" si="53"/>
        <v>10582.5615</v>
      </c>
      <c r="AD62" s="18">
        <f t="shared" si="53"/>
        <v>11791.666666666666</v>
      </c>
      <c r="AE62" s="18">
        <f t="shared" si="53"/>
        <v>13509.166666666666</v>
      </c>
      <c r="AF62" s="18">
        <f t="shared" si="53"/>
        <v>13548.424999999999</v>
      </c>
      <c r="AG62" s="18">
        <f t="shared" si="53"/>
        <v>11316.166666666666</v>
      </c>
      <c r="AH62" s="18">
        <f t="shared" si="53"/>
        <v>13668.55</v>
      </c>
      <c r="AI62" s="18">
        <f t="shared" si="53"/>
        <v>11361.183333333332</v>
      </c>
      <c r="AJ62" s="18">
        <f t="shared" si="53"/>
        <v>11700.786666666665</v>
      </c>
      <c r="AK62" s="18">
        <f t="shared" si="53"/>
        <v>11891.666666666666</v>
      </c>
      <c r="AL62" s="18">
        <f t="shared" si="53"/>
        <v>6768.4224999999997</v>
      </c>
      <c r="AM62" s="18">
        <f t="shared" si="53"/>
        <v>11750</v>
      </c>
      <c r="AN62" s="18">
        <f t="shared" si="53"/>
        <v>14462</v>
      </c>
      <c r="AO62" s="18">
        <f t="shared" si="26"/>
        <v>10433.333333333334</v>
      </c>
      <c r="AP62" s="18">
        <f t="shared" si="28"/>
        <v>11115.2</v>
      </c>
      <c r="AQ62" s="18">
        <f t="shared" si="30"/>
        <v>5334.166666666667</v>
      </c>
      <c r="AR62" s="18">
        <f t="shared" si="33"/>
        <v>841.66666666666663</v>
      </c>
      <c r="AS62" s="18">
        <f t="shared" si="39"/>
        <v>533.33333333333337</v>
      </c>
      <c r="AT62" s="18">
        <f t="shared" si="43"/>
        <v>616.66666666666663</v>
      </c>
      <c r="AU62" s="18">
        <f t="shared" si="43"/>
        <v>233.33333333333334</v>
      </c>
      <c r="AV62" s="18"/>
      <c r="AW62" s="18">
        <f t="shared" si="49"/>
        <v>425089.54450000002</v>
      </c>
      <c r="AX62" s="18">
        <f>SUM(AW$5:AW62)</f>
        <v>19351517.498833351</v>
      </c>
      <c r="AY62" s="18">
        <f t="shared" si="50"/>
        <v>6153855.171166651</v>
      </c>
      <c r="AZ62" s="18">
        <f t="shared" si="51"/>
        <v>6578944.7156666517</v>
      </c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>
        <f t="shared" si="37"/>
        <v>0</v>
      </c>
      <c r="CM62" s="22">
        <f>+CK62</f>
        <v>0</v>
      </c>
      <c r="CN62" s="22">
        <f t="shared" si="38"/>
        <v>425089.54450000002</v>
      </c>
      <c r="CO62" s="18">
        <f>+CN62-CM62</f>
        <v>425089.54450000002</v>
      </c>
      <c r="CP62" s="18">
        <f>+CO62*'Capital Structure '!$P$30</f>
        <v>119492.67095895</v>
      </c>
      <c r="CQ62" s="18">
        <f t="shared" si="54"/>
        <v>-1729848.6886149454</v>
      </c>
    </row>
    <row r="63" spans="1:95">
      <c r="A63" s="7" t="s">
        <v>57</v>
      </c>
      <c r="B63" s="7">
        <f t="shared" si="52"/>
        <v>2018</v>
      </c>
      <c r="C63" s="33" t="s">
        <v>47</v>
      </c>
      <c r="D63" s="114"/>
      <c r="E63" s="18"/>
      <c r="F63" s="20"/>
      <c r="G63" s="114">
        <f t="shared" si="18"/>
        <v>0</v>
      </c>
      <c r="H63" s="114"/>
      <c r="I63" s="114"/>
      <c r="J63" s="114"/>
      <c r="K63" s="18">
        <f t="shared" si="32"/>
        <v>0</v>
      </c>
      <c r="L63" s="18">
        <f>SUM(K$5:K63)</f>
        <v>25505372.670000002</v>
      </c>
      <c r="N63" s="18">
        <f t="shared" si="55"/>
        <v>22312.05</v>
      </c>
      <c r="O63" s="18">
        <f t="shared" si="55"/>
        <v>16536.116666666665</v>
      </c>
      <c r="P63" s="18">
        <f t="shared" si="55"/>
        <v>20596.031166666668</v>
      </c>
      <c r="Q63" s="18">
        <f t="shared" si="55"/>
        <v>23778.333333333332</v>
      </c>
      <c r="R63" s="18">
        <f t="shared" si="55"/>
        <v>19815.833333333332</v>
      </c>
      <c r="S63" s="18">
        <f t="shared" si="55"/>
        <v>20279.5</v>
      </c>
      <c r="T63" s="18">
        <f t="shared" si="55"/>
        <v>14990.658333333333</v>
      </c>
      <c r="U63" s="18">
        <f t="shared" si="55"/>
        <v>19380.033333333333</v>
      </c>
      <c r="V63" s="18">
        <f t="shared" si="55"/>
        <v>14101.8</v>
      </c>
      <c r="W63" s="18">
        <f t="shared" si="55"/>
        <v>20871.917666666668</v>
      </c>
      <c r="X63" s="18">
        <f t="shared" si="55"/>
        <v>12815</v>
      </c>
      <c r="Y63" s="18">
        <f t="shared" si="53"/>
        <v>9932.5</v>
      </c>
      <c r="Z63" s="18">
        <f t="shared" si="53"/>
        <v>10956.916666666666</v>
      </c>
      <c r="AA63" s="18">
        <f t="shared" si="53"/>
        <v>10766.558333333332</v>
      </c>
      <c r="AB63" s="18">
        <f t="shared" si="53"/>
        <v>16498</v>
      </c>
      <c r="AC63" s="18">
        <f t="shared" si="53"/>
        <v>10582.5615</v>
      </c>
      <c r="AD63" s="18">
        <f t="shared" si="53"/>
        <v>11791.666666666666</v>
      </c>
      <c r="AE63" s="18">
        <f t="shared" si="53"/>
        <v>13509.166666666666</v>
      </c>
      <c r="AF63" s="18">
        <f t="shared" si="53"/>
        <v>13548.424999999999</v>
      </c>
      <c r="AG63" s="18">
        <f t="shared" si="53"/>
        <v>11316.166666666666</v>
      </c>
      <c r="AH63" s="18">
        <f t="shared" si="53"/>
        <v>13668.55</v>
      </c>
      <c r="AI63" s="18">
        <f t="shared" si="53"/>
        <v>11361.183333333332</v>
      </c>
      <c r="AJ63" s="18">
        <f t="shared" si="53"/>
        <v>11700.786666666665</v>
      </c>
      <c r="AK63" s="18">
        <f t="shared" si="53"/>
        <v>11891.666666666666</v>
      </c>
      <c r="AL63" s="18">
        <f t="shared" si="53"/>
        <v>6768.4224999999997</v>
      </c>
      <c r="AM63" s="18">
        <f t="shared" si="53"/>
        <v>11750</v>
      </c>
      <c r="AN63" s="18">
        <f t="shared" si="53"/>
        <v>14462</v>
      </c>
      <c r="AO63" s="18">
        <f t="shared" si="26"/>
        <v>10433.333333333334</v>
      </c>
      <c r="AP63" s="18">
        <f t="shared" si="28"/>
        <v>11115.2</v>
      </c>
      <c r="AQ63" s="18">
        <f t="shared" si="30"/>
        <v>5334.166666666667</v>
      </c>
      <c r="AR63" s="18">
        <f t="shared" si="33"/>
        <v>841.66666666666663</v>
      </c>
      <c r="AS63" s="18">
        <f t="shared" si="39"/>
        <v>533.33333333333337</v>
      </c>
      <c r="AT63" s="18">
        <f t="shared" si="43"/>
        <v>616.66666666666663</v>
      </c>
      <c r="AU63" s="18">
        <f t="shared" si="43"/>
        <v>233.33333333333334</v>
      </c>
      <c r="AV63" s="18"/>
      <c r="AW63" s="18">
        <f t="shared" si="49"/>
        <v>425089.54450000002</v>
      </c>
      <c r="AX63" s="18">
        <f>SUM(AW$5:AW63)</f>
        <v>19776607.043333352</v>
      </c>
      <c r="AY63" s="18">
        <f t="shared" si="50"/>
        <v>5728765.6266666502</v>
      </c>
      <c r="AZ63" s="18">
        <f t="shared" si="51"/>
        <v>6153855.171166651</v>
      </c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>
        <f t="shared" si="37"/>
        <v>0</v>
      </c>
      <c r="CM63" s="22">
        <f>+CK63</f>
        <v>0</v>
      </c>
      <c r="CN63" s="22">
        <f t="shared" si="38"/>
        <v>425089.54450000002</v>
      </c>
      <c r="CO63" s="18">
        <f>+CN63-CM63</f>
        <v>425089.54450000002</v>
      </c>
      <c r="CP63" s="18">
        <f>+CO63*'Capital Structure '!$P$30</f>
        <v>119492.67095895</v>
      </c>
      <c r="CQ63" s="18">
        <f t="shared" si="54"/>
        <v>-1610356.0176559954</v>
      </c>
    </row>
    <row r="64" spans="1:95">
      <c r="A64" s="7" t="s">
        <v>58</v>
      </c>
      <c r="B64" s="7">
        <f t="shared" si="52"/>
        <v>2018</v>
      </c>
      <c r="C64" s="33" t="s">
        <v>47</v>
      </c>
      <c r="D64" s="114"/>
      <c r="E64" s="18"/>
      <c r="F64" s="20"/>
      <c r="G64" s="114">
        <f t="shared" si="18"/>
        <v>0</v>
      </c>
      <c r="H64" s="114"/>
      <c r="I64" s="114"/>
      <c r="J64" s="114"/>
      <c r="K64" s="18">
        <f t="shared" si="32"/>
        <v>0</v>
      </c>
      <c r="L64" s="18">
        <f>SUM(K$5:K64)</f>
        <v>25505372.670000002</v>
      </c>
      <c r="N64" s="18">
        <f t="shared" si="55"/>
        <v>22312.05</v>
      </c>
      <c r="O64" s="18">
        <f t="shared" si="55"/>
        <v>16536.116666666665</v>
      </c>
      <c r="P64" s="18">
        <f t="shared" si="55"/>
        <v>20596.031166666668</v>
      </c>
      <c r="Q64" s="18">
        <f t="shared" si="55"/>
        <v>23778.333333333332</v>
      </c>
      <c r="R64" s="18">
        <f t="shared" si="55"/>
        <v>19815.833333333332</v>
      </c>
      <c r="S64" s="18">
        <f t="shared" si="55"/>
        <v>20279.5</v>
      </c>
      <c r="T64" s="18">
        <f t="shared" si="55"/>
        <v>14990.658333333333</v>
      </c>
      <c r="U64" s="18">
        <f t="shared" si="55"/>
        <v>19380.033333333333</v>
      </c>
      <c r="V64" s="18">
        <f t="shared" si="55"/>
        <v>14101.8</v>
      </c>
      <c r="W64" s="18">
        <f t="shared" si="55"/>
        <v>20871.917666666668</v>
      </c>
      <c r="X64" s="18">
        <f t="shared" si="55"/>
        <v>12815</v>
      </c>
      <c r="Y64" s="18">
        <f t="shared" si="55"/>
        <v>9932.5</v>
      </c>
      <c r="Z64" s="18">
        <f t="shared" si="53"/>
        <v>10956.916666666666</v>
      </c>
      <c r="AA64" s="18">
        <f t="shared" si="53"/>
        <v>10766.558333333332</v>
      </c>
      <c r="AB64" s="18">
        <f t="shared" si="53"/>
        <v>16498</v>
      </c>
      <c r="AC64" s="18">
        <f t="shared" si="53"/>
        <v>10582.5615</v>
      </c>
      <c r="AD64" s="18">
        <f t="shared" si="53"/>
        <v>11791.666666666666</v>
      </c>
      <c r="AE64" s="18">
        <f t="shared" si="53"/>
        <v>13509.166666666666</v>
      </c>
      <c r="AF64" s="18">
        <f t="shared" si="53"/>
        <v>13548.424999999999</v>
      </c>
      <c r="AG64" s="18">
        <f t="shared" si="53"/>
        <v>11316.166666666666</v>
      </c>
      <c r="AH64" s="18">
        <f t="shared" si="53"/>
        <v>13668.55</v>
      </c>
      <c r="AI64" s="18">
        <f t="shared" si="53"/>
        <v>11361.183333333332</v>
      </c>
      <c r="AJ64" s="18">
        <f t="shared" si="53"/>
        <v>11700.786666666665</v>
      </c>
      <c r="AK64" s="18">
        <f t="shared" si="53"/>
        <v>11891.666666666666</v>
      </c>
      <c r="AL64" s="18">
        <f t="shared" si="53"/>
        <v>6768.4224999999997</v>
      </c>
      <c r="AM64" s="18">
        <f t="shared" si="53"/>
        <v>11750</v>
      </c>
      <c r="AN64" s="18">
        <f t="shared" si="53"/>
        <v>14462</v>
      </c>
      <c r="AO64" s="18">
        <f t="shared" si="26"/>
        <v>10433.333333333334</v>
      </c>
      <c r="AP64" s="18">
        <f t="shared" si="28"/>
        <v>11115.2</v>
      </c>
      <c r="AQ64" s="18">
        <f t="shared" si="30"/>
        <v>5334.166666666667</v>
      </c>
      <c r="AR64" s="18">
        <f t="shared" si="33"/>
        <v>841.66666666666663</v>
      </c>
      <c r="AS64" s="18">
        <f t="shared" si="39"/>
        <v>533.33333333333337</v>
      </c>
      <c r="AT64" s="18">
        <f t="shared" si="43"/>
        <v>616.66666666666663</v>
      </c>
      <c r="AU64" s="18">
        <f t="shared" si="43"/>
        <v>233.33333333333334</v>
      </c>
      <c r="AV64" s="18"/>
      <c r="AW64" s="18">
        <f t="shared" si="49"/>
        <v>425089.54450000002</v>
      </c>
      <c r="AX64" s="18">
        <f>SUM(AW$5:AW64)</f>
        <v>20201696.587833352</v>
      </c>
      <c r="AY64" s="18">
        <f t="shared" si="50"/>
        <v>5303676.0821666494</v>
      </c>
      <c r="AZ64" s="18">
        <f t="shared" si="51"/>
        <v>5728765.6266666502</v>
      </c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>
        <f t="shared" si="37"/>
        <v>0</v>
      </c>
      <c r="CM64" s="22">
        <f>+CK64</f>
        <v>0</v>
      </c>
      <c r="CN64" s="22">
        <f t="shared" si="38"/>
        <v>425089.54450000002</v>
      </c>
      <c r="CO64" s="18">
        <f>+CN64-CM64</f>
        <v>425089.54450000002</v>
      </c>
      <c r="CP64" s="18">
        <f>+CO64*'Capital Structure '!$P$30</f>
        <v>119492.67095895</v>
      </c>
      <c r="CQ64" s="18">
        <f t="shared" si="54"/>
        <v>-1490863.3466970455</v>
      </c>
    </row>
    <row r="65" spans="1:95">
      <c r="A65" s="7" t="s">
        <v>59</v>
      </c>
      <c r="B65" s="7">
        <f t="shared" si="52"/>
        <v>2018</v>
      </c>
      <c r="C65" s="33" t="s">
        <v>47</v>
      </c>
      <c r="D65" s="114"/>
      <c r="E65" s="18"/>
      <c r="F65" s="20"/>
      <c r="G65" s="114">
        <f t="shared" si="18"/>
        <v>0</v>
      </c>
      <c r="H65" s="114"/>
      <c r="I65" s="114"/>
      <c r="J65" s="114"/>
      <c r="K65" s="18">
        <f t="shared" si="32"/>
        <v>0</v>
      </c>
      <c r="L65" s="18">
        <f>SUM(K$5:K65)</f>
        <v>25505372.670000002</v>
      </c>
      <c r="N65" s="18"/>
      <c r="O65" s="18">
        <f t="shared" si="55"/>
        <v>16536.116666666665</v>
      </c>
      <c r="P65" s="18">
        <f t="shared" si="55"/>
        <v>20596.031166666668</v>
      </c>
      <c r="Q65" s="18">
        <f t="shared" si="55"/>
        <v>23778.333333333332</v>
      </c>
      <c r="R65" s="18">
        <f t="shared" si="55"/>
        <v>19815.833333333332</v>
      </c>
      <c r="S65" s="18">
        <f t="shared" si="55"/>
        <v>20279.5</v>
      </c>
      <c r="T65" s="18">
        <f t="shared" si="55"/>
        <v>14990.658333333333</v>
      </c>
      <c r="U65" s="18">
        <f t="shared" si="55"/>
        <v>19380.033333333333</v>
      </c>
      <c r="V65" s="18">
        <f t="shared" si="55"/>
        <v>14101.8</v>
      </c>
      <c r="W65" s="18">
        <f t="shared" si="55"/>
        <v>20871.917666666668</v>
      </c>
      <c r="X65" s="18">
        <f t="shared" si="55"/>
        <v>12815</v>
      </c>
      <c r="Y65" s="18">
        <f t="shared" si="55"/>
        <v>9932.5</v>
      </c>
      <c r="Z65" s="18">
        <f t="shared" si="55"/>
        <v>10956.916666666666</v>
      </c>
      <c r="AA65" s="18">
        <f>+AA64</f>
        <v>10766.558333333332</v>
      </c>
      <c r="AB65" s="18">
        <f>+AB64</f>
        <v>16498</v>
      </c>
      <c r="AC65" s="18">
        <f>+AC64</f>
        <v>10582.5615</v>
      </c>
      <c r="AD65" s="18">
        <f>+AD64</f>
        <v>11791.666666666666</v>
      </c>
      <c r="AE65" s="18">
        <f>+AE64</f>
        <v>13509.166666666666</v>
      </c>
      <c r="AF65" s="18">
        <f t="shared" si="53"/>
        <v>13548.424999999999</v>
      </c>
      <c r="AG65" s="18">
        <f t="shared" si="53"/>
        <v>11316.166666666666</v>
      </c>
      <c r="AH65" s="18">
        <f t="shared" si="53"/>
        <v>13668.55</v>
      </c>
      <c r="AI65" s="18">
        <f t="shared" si="53"/>
        <v>11361.183333333332</v>
      </c>
      <c r="AJ65" s="18">
        <f t="shared" si="53"/>
        <v>11700.786666666665</v>
      </c>
      <c r="AK65" s="18">
        <f t="shared" si="53"/>
        <v>11891.666666666666</v>
      </c>
      <c r="AL65" s="18">
        <f t="shared" si="53"/>
        <v>6768.4224999999997</v>
      </c>
      <c r="AM65" s="18">
        <f t="shared" si="53"/>
        <v>11750</v>
      </c>
      <c r="AN65" s="18">
        <f t="shared" si="53"/>
        <v>14462</v>
      </c>
      <c r="AO65" s="18">
        <f t="shared" si="26"/>
        <v>10433.333333333334</v>
      </c>
      <c r="AP65" s="18">
        <f t="shared" si="28"/>
        <v>11115.2</v>
      </c>
      <c r="AQ65" s="18">
        <f t="shared" si="30"/>
        <v>5334.166666666667</v>
      </c>
      <c r="AR65" s="18">
        <f t="shared" si="33"/>
        <v>841.66666666666663</v>
      </c>
      <c r="AS65" s="18">
        <f t="shared" si="39"/>
        <v>533.33333333333337</v>
      </c>
      <c r="AT65" s="18">
        <f t="shared" si="43"/>
        <v>616.66666666666663</v>
      </c>
      <c r="AU65" s="18">
        <f t="shared" si="43"/>
        <v>233.33333333333334</v>
      </c>
      <c r="AV65" s="18"/>
      <c r="AW65" s="18">
        <f t="shared" si="49"/>
        <v>402777.49450000003</v>
      </c>
      <c r="AX65" s="18">
        <f>SUM(AW$5:AW65)</f>
        <v>20604474.082333352</v>
      </c>
      <c r="AY65" s="18">
        <f t="shared" si="50"/>
        <v>4900898.5876666494</v>
      </c>
      <c r="AZ65" s="18">
        <f t="shared" si="51"/>
        <v>5303676.0821666494</v>
      </c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>
        <f t="shared" si="37"/>
        <v>0</v>
      </c>
      <c r="CM65" s="22">
        <f>+CK65</f>
        <v>0</v>
      </c>
      <c r="CN65" s="22">
        <f t="shared" si="38"/>
        <v>402777.49450000003</v>
      </c>
      <c r="CO65" s="18">
        <f>+CN65-CM65</f>
        <v>402777.49450000003</v>
      </c>
      <c r="CP65" s="18">
        <f>+CO65*'Capital Structure '!$P$30</f>
        <v>113220.75370394999</v>
      </c>
      <c r="CQ65" s="18">
        <f t="shared" si="54"/>
        <v>-1377642.5929930955</v>
      </c>
    </row>
    <row r="66" spans="1:95">
      <c r="A66" s="7" t="s">
        <v>46</v>
      </c>
      <c r="B66" s="7">
        <f t="shared" si="52"/>
        <v>2018</v>
      </c>
      <c r="C66" s="33" t="s">
        <v>47</v>
      </c>
      <c r="D66" s="114"/>
      <c r="E66" s="18"/>
      <c r="F66" s="20"/>
      <c r="G66" s="114">
        <f t="shared" si="18"/>
        <v>0</v>
      </c>
      <c r="H66" s="114"/>
      <c r="I66" s="114"/>
      <c r="J66" s="114"/>
      <c r="K66" s="18">
        <f t="shared" si="32"/>
        <v>0</v>
      </c>
      <c r="L66" s="18">
        <f>SUM(K$5:K66)</f>
        <v>25505372.670000002</v>
      </c>
      <c r="N66" s="18"/>
      <c r="O66" s="18"/>
      <c r="P66" s="18">
        <f t="shared" si="55"/>
        <v>20596.031166666668</v>
      </c>
      <c r="Q66" s="18">
        <f t="shared" si="55"/>
        <v>23778.333333333332</v>
      </c>
      <c r="R66" s="18">
        <f t="shared" si="55"/>
        <v>19815.833333333332</v>
      </c>
      <c r="S66" s="18">
        <f t="shared" si="55"/>
        <v>20279.5</v>
      </c>
      <c r="T66" s="18">
        <f t="shared" si="55"/>
        <v>14990.658333333333</v>
      </c>
      <c r="U66" s="18">
        <f t="shared" si="55"/>
        <v>19380.033333333333</v>
      </c>
      <c r="V66" s="18">
        <f t="shared" si="55"/>
        <v>14101.8</v>
      </c>
      <c r="W66" s="18">
        <f t="shared" si="55"/>
        <v>20871.917666666668</v>
      </c>
      <c r="X66" s="18">
        <f t="shared" si="55"/>
        <v>12815</v>
      </c>
      <c r="Y66" s="18">
        <f t="shared" si="55"/>
        <v>9932.5</v>
      </c>
      <c r="Z66" s="18">
        <f t="shared" si="55"/>
        <v>10956.916666666666</v>
      </c>
      <c r="AA66" s="18">
        <f t="shared" si="55"/>
        <v>10766.558333333332</v>
      </c>
      <c r="AB66" s="18">
        <f t="shared" si="55"/>
        <v>16498</v>
      </c>
      <c r="AC66" s="18">
        <f t="shared" si="55"/>
        <v>10582.5615</v>
      </c>
      <c r="AD66" s="18">
        <f t="shared" ref="AD66:AN81" si="56">+AD65</f>
        <v>11791.666666666666</v>
      </c>
      <c r="AE66" s="18">
        <f t="shared" si="56"/>
        <v>13509.166666666666</v>
      </c>
      <c r="AF66" s="18">
        <f t="shared" si="56"/>
        <v>13548.424999999999</v>
      </c>
      <c r="AG66" s="18">
        <f t="shared" si="56"/>
        <v>11316.166666666666</v>
      </c>
      <c r="AH66" s="18">
        <f t="shared" si="56"/>
        <v>13668.55</v>
      </c>
      <c r="AI66" s="18">
        <f t="shared" si="56"/>
        <v>11361.183333333332</v>
      </c>
      <c r="AJ66" s="18">
        <f t="shared" si="56"/>
        <v>11700.786666666665</v>
      </c>
      <c r="AK66" s="18">
        <f t="shared" si="56"/>
        <v>11891.666666666666</v>
      </c>
      <c r="AL66" s="18">
        <f t="shared" si="56"/>
        <v>6768.4224999999997</v>
      </c>
      <c r="AM66" s="18">
        <f t="shared" si="56"/>
        <v>11750</v>
      </c>
      <c r="AN66" s="18">
        <f t="shared" si="56"/>
        <v>14462</v>
      </c>
      <c r="AO66" s="18">
        <f t="shared" si="26"/>
        <v>10433.333333333334</v>
      </c>
      <c r="AP66" s="18">
        <f t="shared" si="28"/>
        <v>11115.2</v>
      </c>
      <c r="AQ66" s="18">
        <f t="shared" si="30"/>
        <v>5334.166666666667</v>
      </c>
      <c r="AR66" s="18">
        <f t="shared" si="33"/>
        <v>841.66666666666663</v>
      </c>
      <c r="AS66" s="18">
        <f t="shared" si="39"/>
        <v>533.33333333333337</v>
      </c>
      <c r="AT66" s="18">
        <f t="shared" si="43"/>
        <v>616.66666666666663</v>
      </c>
      <c r="AU66" s="18">
        <f t="shared" si="43"/>
        <v>233.33333333333334</v>
      </c>
      <c r="AV66" s="18"/>
      <c r="AW66" s="18">
        <f t="shared" si="49"/>
        <v>386241.37783333333</v>
      </c>
      <c r="AX66" s="18">
        <f>SUM(AW$5:AW66)</f>
        <v>20990715.460166685</v>
      </c>
      <c r="AY66" s="18">
        <f t="shared" si="50"/>
        <v>4514657.2098333165</v>
      </c>
      <c r="AZ66" s="18">
        <f t="shared" si="51"/>
        <v>4900898.5876666494</v>
      </c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>
        <f t="shared" si="37"/>
        <v>0</v>
      </c>
      <c r="CM66" s="22">
        <f t="shared" ref="CM66:CM87" si="57">+CK66</f>
        <v>0</v>
      </c>
      <c r="CN66" s="22">
        <f t="shared" si="38"/>
        <v>386241.37783333333</v>
      </c>
      <c r="CO66" s="18">
        <f t="shared" ref="CO66:CO87" si="58">+CN66-CM66</f>
        <v>386241.37783333333</v>
      </c>
      <c r="CP66" s="18">
        <f>+CO66*'Capital Structure '!$P$30</f>
        <v>108572.45130894998</v>
      </c>
      <c r="CQ66" s="18">
        <f t="shared" si="54"/>
        <v>-1269070.1416841454</v>
      </c>
    </row>
    <row r="67" spans="1:95">
      <c r="A67" s="7" t="s">
        <v>48</v>
      </c>
      <c r="B67" s="7">
        <f t="shared" si="52"/>
        <v>2018</v>
      </c>
      <c r="C67" s="33" t="s">
        <v>47</v>
      </c>
      <c r="D67" s="114"/>
      <c r="E67" s="18"/>
      <c r="F67" s="20"/>
      <c r="G67" s="114">
        <f t="shared" si="18"/>
        <v>0</v>
      </c>
      <c r="H67" s="114"/>
      <c r="I67" s="114"/>
      <c r="J67" s="114"/>
      <c r="K67" s="18">
        <f t="shared" si="32"/>
        <v>0</v>
      </c>
      <c r="L67" s="18">
        <f>SUM(K$5:K67)</f>
        <v>25505372.670000002</v>
      </c>
      <c r="N67" s="18"/>
      <c r="O67" s="18"/>
      <c r="P67" s="18"/>
      <c r="Q67" s="18">
        <f t="shared" si="55"/>
        <v>23778.333333333332</v>
      </c>
      <c r="R67" s="18">
        <f t="shared" si="55"/>
        <v>19815.833333333332</v>
      </c>
      <c r="S67" s="18">
        <f t="shared" si="55"/>
        <v>20279.5</v>
      </c>
      <c r="T67" s="18">
        <f t="shared" si="55"/>
        <v>14990.658333333333</v>
      </c>
      <c r="U67" s="18">
        <f t="shared" si="55"/>
        <v>19380.033333333333</v>
      </c>
      <c r="V67" s="18">
        <f t="shared" si="55"/>
        <v>14101.8</v>
      </c>
      <c r="W67" s="18">
        <f t="shared" si="55"/>
        <v>20871.917666666668</v>
      </c>
      <c r="X67" s="18">
        <f t="shared" si="55"/>
        <v>12815</v>
      </c>
      <c r="Y67" s="18">
        <f t="shared" si="55"/>
        <v>9932.5</v>
      </c>
      <c r="Z67" s="18">
        <f t="shared" si="55"/>
        <v>10956.916666666666</v>
      </c>
      <c r="AA67" s="18">
        <f t="shared" si="55"/>
        <v>10766.558333333332</v>
      </c>
      <c r="AB67" s="18">
        <f t="shared" si="55"/>
        <v>16498</v>
      </c>
      <c r="AC67" s="18">
        <f t="shared" si="55"/>
        <v>10582.5615</v>
      </c>
      <c r="AD67" s="18">
        <f t="shared" si="56"/>
        <v>11791.666666666666</v>
      </c>
      <c r="AE67" s="18">
        <f t="shared" si="56"/>
        <v>13509.166666666666</v>
      </c>
      <c r="AF67" s="18">
        <f t="shared" si="56"/>
        <v>13548.424999999999</v>
      </c>
      <c r="AG67" s="18">
        <f t="shared" si="56"/>
        <v>11316.166666666666</v>
      </c>
      <c r="AH67" s="18">
        <f t="shared" si="56"/>
        <v>13668.55</v>
      </c>
      <c r="AI67" s="18">
        <f t="shared" si="56"/>
        <v>11361.183333333332</v>
      </c>
      <c r="AJ67" s="18">
        <f t="shared" si="56"/>
        <v>11700.786666666665</v>
      </c>
      <c r="AK67" s="18">
        <f t="shared" si="56"/>
        <v>11891.666666666666</v>
      </c>
      <c r="AL67" s="18">
        <f t="shared" si="56"/>
        <v>6768.4224999999997</v>
      </c>
      <c r="AM67" s="18">
        <f t="shared" si="56"/>
        <v>11750</v>
      </c>
      <c r="AN67" s="18">
        <f t="shared" si="56"/>
        <v>14462</v>
      </c>
      <c r="AO67" s="18">
        <f t="shared" si="26"/>
        <v>10433.333333333334</v>
      </c>
      <c r="AP67" s="18">
        <f t="shared" si="28"/>
        <v>11115.2</v>
      </c>
      <c r="AQ67" s="18">
        <f t="shared" si="30"/>
        <v>5334.166666666667</v>
      </c>
      <c r="AR67" s="18">
        <f t="shared" si="33"/>
        <v>841.66666666666663</v>
      </c>
      <c r="AS67" s="18">
        <f t="shared" si="39"/>
        <v>533.33333333333337</v>
      </c>
      <c r="AT67" s="18">
        <f t="shared" si="43"/>
        <v>616.66666666666663</v>
      </c>
      <c r="AU67" s="18">
        <f t="shared" si="43"/>
        <v>233.33333333333334</v>
      </c>
      <c r="AV67" s="18"/>
      <c r="AW67" s="18">
        <f t="shared" si="49"/>
        <v>365645.34666666668</v>
      </c>
      <c r="AX67" s="18">
        <f>SUM(AW$5:AW67)</f>
        <v>21356360.806833353</v>
      </c>
      <c r="AY67" s="18">
        <f t="shared" si="50"/>
        <v>4149011.8631666489</v>
      </c>
      <c r="AZ67" s="18">
        <f t="shared" si="51"/>
        <v>4514657.2098333165</v>
      </c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>
        <f t="shared" si="37"/>
        <v>0</v>
      </c>
      <c r="CM67" s="22">
        <f t="shared" si="57"/>
        <v>0</v>
      </c>
      <c r="CN67" s="22">
        <f t="shared" si="38"/>
        <v>365645.34666666668</v>
      </c>
      <c r="CO67" s="18">
        <f t="shared" si="58"/>
        <v>365645.34666666668</v>
      </c>
      <c r="CP67" s="18">
        <f>+CO67*'Capital Structure '!$P$30</f>
        <v>102782.90694799999</v>
      </c>
      <c r="CQ67" s="18">
        <f t="shared" si="54"/>
        <v>-1166287.2347361455</v>
      </c>
    </row>
    <row r="68" spans="1:95" outlineLevel="1">
      <c r="A68" s="7" t="s">
        <v>50</v>
      </c>
      <c r="B68" s="7">
        <f t="shared" si="52"/>
        <v>2018</v>
      </c>
      <c r="C68" s="33" t="s">
        <v>47</v>
      </c>
      <c r="D68" s="114"/>
      <c r="E68" s="18"/>
      <c r="F68" s="20"/>
      <c r="G68" s="114">
        <f t="shared" si="18"/>
        <v>0</v>
      </c>
      <c r="H68" s="114"/>
      <c r="I68" s="114"/>
      <c r="J68" s="114"/>
      <c r="K68" s="18">
        <f t="shared" si="32"/>
        <v>0</v>
      </c>
      <c r="L68" s="18">
        <f>SUM(K$5:K68)</f>
        <v>25505372.670000002</v>
      </c>
      <c r="N68" s="18"/>
      <c r="O68" s="18"/>
      <c r="P68" s="18"/>
      <c r="Q68" s="18"/>
      <c r="R68" s="18">
        <f>+R67</f>
        <v>19815.833333333332</v>
      </c>
      <c r="S68" s="18">
        <f>+S67</f>
        <v>20279.5</v>
      </c>
      <c r="T68" s="18">
        <f>+T67</f>
        <v>14990.658333333333</v>
      </c>
      <c r="U68" s="18">
        <f>+U67</f>
        <v>19380.033333333333</v>
      </c>
      <c r="V68" s="18">
        <f>+V67</f>
        <v>14101.8</v>
      </c>
      <c r="W68" s="18">
        <f t="shared" si="55"/>
        <v>20871.917666666668</v>
      </c>
      <c r="X68" s="18">
        <f t="shared" si="55"/>
        <v>12815</v>
      </c>
      <c r="Y68" s="18">
        <f t="shared" si="55"/>
        <v>9932.5</v>
      </c>
      <c r="Z68" s="18">
        <f t="shared" si="55"/>
        <v>10956.916666666666</v>
      </c>
      <c r="AA68" s="18">
        <f t="shared" si="55"/>
        <v>10766.558333333332</v>
      </c>
      <c r="AB68" s="18">
        <f t="shared" si="55"/>
        <v>16498</v>
      </c>
      <c r="AC68" s="18">
        <f t="shared" si="55"/>
        <v>10582.5615</v>
      </c>
      <c r="AD68" s="18">
        <f t="shared" si="56"/>
        <v>11791.666666666666</v>
      </c>
      <c r="AE68" s="18">
        <f t="shared" si="56"/>
        <v>13509.166666666666</v>
      </c>
      <c r="AF68" s="18">
        <f t="shared" si="56"/>
        <v>13548.424999999999</v>
      </c>
      <c r="AG68" s="18">
        <f t="shared" si="56"/>
        <v>11316.166666666666</v>
      </c>
      <c r="AH68" s="18">
        <f t="shared" si="56"/>
        <v>13668.55</v>
      </c>
      <c r="AI68" s="18">
        <f t="shared" si="56"/>
        <v>11361.183333333332</v>
      </c>
      <c r="AJ68" s="18">
        <f t="shared" si="56"/>
        <v>11700.786666666665</v>
      </c>
      <c r="AK68" s="18">
        <f t="shared" si="56"/>
        <v>11891.666666666666</v>
      </c>
      <c r="AL68" s="18">
        <f t="shared" si="56"/>
        <v>6768.4224999999997</v>
      </c>
      <c r="AM68" s="18">
        <f t="shared" si="56"/>
        <v>11750</v>
      </c>
      <c r="AN68" s="18">
        <f t="shared" si="56"/>
        <v>14462</v>
      </c>
      <c r="AO68" s="18">
        <f t="shared" si="26"/>
        <v>10433.333333333334</v>
      </c>
      <c r="AP68" s="18">
        <f t="shared" si="28"/>
        <v>11115.2</v>
      </c>
      <c r="AQ68" s="18">
        <f t="shared" si="30"/>
        <v>5334.166666666667</v>
      </c>
      <c r="AR68" s="18">
        <f t="shared" si="33"/>
        <v>841.66666666666663</v>
      </c>
      <c r="AS68" s="18">
        <f t="shared" si="39"/>
        <v>533.33333333333337</v>
      </c>
      <c r="AT68" s="18">
        <f t="shared" si="43"/>
        <v>616.66666666666663</v>
      </c>
      <c r="AU68" s="18">
        <f t="shared" si="43"/>
        <v>233.33333333333334</v>
      </c>
      <c r="AV68" s="18"/>
      <c r="AW68" s="18">
        <f t="shared" si="49"/>
        <v>341867.01333333325</v>
      </c>
      <c r="AX68" s="18">
        <f>SUM(AW$5:AW68)</f>
        <v>21698227.820166685</v>
      </c>
      <c r="AY68" s="18">
        <f t="shared" si="50"/>
        <v>3807144.8498333171</v>
      </c>
      <c r="AZ68" s="18">
        <f t="shared" si="51"/>
        <v>4149011.8631666489</v>
      </c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>
        <f t="shared" si="37"/>
        <v>0</v>
      </c>
      <c r="CM68" s="22">
        <f t="shared" si="57"/>
        <v>0</v>
      </c>
      <c r="CN68" s="22">
        <f t="shared" si="38"/>
        <v>341867.01333333325</v>
      </c>
      <c r="CO68" s="18">
        <f t="shared" si="58"/>
        <v>341867.01333333325</v>
      </c>
      <c r="CP68" s="18">
        <f>+CO68*'Capital Structure '!$P$30</f>
        <v>96098.817447999958</v>
      </c>
      <c r="CQ68" s="18">
        <f t="shared" si="54"/>
        <v>-1070188.4172881455</v>
      </c>
    </row>
    <row r="69" spans="1:95" outlineLevel="1">
      <c r="A69" s="7" t="s">
        <v>51</v>
      </c>
      <c r="B69" s="7">
        <f t="shared" si="52"/>
        <v>2018</v>
      </c>
      <c r="C69" s="33" t="s">
        <v>47</v>
      </c>
      <c r="D69" s="114"/>
      <c r="E69" s="18"/>
      <c r="F69" s="20"/>
      <c r="G69" s="114">
        <f t="shared" si="18"/>
        <v>0</v>
      </c>
      <c r="H69" s="114"/>
      <c r="I69" s="114"/>
      <c r="J69" s="114"/>
      <c r="K69" s="18">
        <f t="shared" ref="K69:K87" si="59">SUM(G69:I69)</f>
        <v>0</v>
      </c>
      <c r="L69" s="18">
        <f>SUM(K$5:K69)</f>
        <v>25505372.670000002</v>
      </c>
      <c r="N69" s="18"/>
      <c r="O69" s="18"/>
      <c r="P69" s="18"/>
      <c r="Q69" s="18"/>
      <c r="R69" s="18"/>
      <c r="S69" s="18">
        <f>+S68</f>
        <v>20279.5</v>
      </c>
      <c r="T69" s="18">
        <f>+T68</f>
        <v>14990.658333333333</v>
      </c>
      <c r="U69" s="18">
        <f>+U68</f>
        <v>19380.033333333333</v>
      </c>
      <c r="V69" s="18">
        <f>+V68</f>
        <v>14101.8</v>
      </c>
      <c r="W69" s="18">
        <f t="shared" si="55"/>
        <v>20871.917666666668</v>
      </c>
      <c r="X69" s="18">
        <f t="shared" si="55"/>
        <v>12815</v>
      </c>
      <c r="Y69" s="18">
        <f t="shared" si="55"/>
        <v>9932.5</v>
      </c>
      <c r="Z69" s="18">
        <f t="shared" si="55"/>
        <v>10956.916666666666</v>
      </c>
      <c r="AA69" s="18">
        <f t="shared" si="55"/>
        <v>10766.558333333332</v>
      </c>
      <c r="AB69" s="18">
        <f t="shared" si="55"/>
        <v>16498</v>
      </c>
      <c r="AC69" s="18">
        <f t="shared" si="55"/>
        <v>10582.5615</v>
      </c>
      <c r="AD69" s="18">
        <f t="shared" si="56"/>
        <v>11791.666666666666</v>
      </c>
      <c r="AE69" s="18">
        <f t="shared" si="56"/>
        <v>13509.166666666666</v>
      </c>
      <c r="AF69" s="18">
        <f t="shared" si="56"/>
        <v>13548.424999999999</v>
      </c>
      <c r="AG69" s="18">
        <f t="shared" si="56"/>
        <v>11316.166666666666</v>
      </c>
      <c r="AH69" s="18">
        <f t="shared" si="56"/>
        <v>13668.55</v>
      </c>
      <c r="AI69" s="18">
        <f t="shared" si="56"/>
        <v>11361.183333333332</v>
      </c>
      <c r="AJ69" s="18">
        <f t="shared" si="56"/>
        <v>11700.786666666665</v>
      </c>
      <c r="AK69" s="18">
        <f t="shared" si="56"/>
        <v>11891.666666666666</v>
      </c>
      <c r="AL69" s="18">
        <f t="shared" si="56"/>
        <v>6768.4224999999997</v>
      </c>
      <c r="AM69" s="18">
        <f t="shared" si="56"/>
        <v>11750</v>
      </c>
      <c r="AN69" s="18">
        <f t="shared" si="56"/>
        <v>14462</v>
      </c>
      <c r="AO69" s="18">
        <f t="shared" si="26"/>
        <v>10433.333333333334</v>
      </c>
      <c r="AP69" s="18">
        <f t="shared" si="28"/>
        <v>11115.2</v>
      </c>
      <c r="AQ69" s="18">
        <f t="shared" si="30"/>
        <v>5334.166666666667</v>
      </c>
      <c r="AR69" s="18">
        <f t="shared" si="33"/>
        <v>841.66666666666663</v>
      </c>
      <c r="AS69" s="18">
        <f t="shared" si="39"/>
        <v>533.33333333333337</v>
      </c>
      <c r="AT69" s="18">
        <f t="shared" si="43"/>
        <v>616.66666666666663</v>
      </c>
      <c r="AU69" s="18">
        <f t="shared" si="43"/>
        <v>233.33333333333334</v>
      </c>
      <c r="AV69" s="18"/>
      <c r="AW69" s="18">
        <f t="shared" si="49"/>
        <v>322051.17999999993</v>
      </c>
      <c r="AX69" s="18">
        <f>SUM(AW$5:AW69)</f>
        <v>22020279.000166684</v>
      </c>
      <c r="AY69" s="18">
        <f t="shared" si="50"/>
        <v>3485093.6698333174</v>
      </c>
      <c r="AZ69" s="18">
        <f t="shared" si="51"/>
        <v>3807144.8498333171</v>
      </c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>
        <f t="shared" ref="CK69:CK87" si="60">SUM(BB69:CJ69)</f>
        <v>0</v>
      </c>
      <c r="CM69" s="22">
        <f t="shared" si="57"/>
        <v>0</v>
      </c>
      <c r="CN69" s="22">
        <f t="shared" ref="CN69:CN87" si="61">+AW69</f>
        <v>322051.17999999993</v>
      </c>
      <c r="CO69" s="18">
        <f t="shared" si="58"/>
        <v>322051.17999999993</v>
      </c>
      <c r="CP69" s="18">
        <f>+CO69*'Capital Structure '!$P$30</f>
        <v>90528.58669799997</v>
      </c>
      <c r="CQ69" s="18">
        <f t="shared" si="54"/>
        <v>-979659.83059014555</v>
      </c>
    </row>
    <row r="70" spans="1:95" s="335" customFormat="1" outlineLevel="1">
      <c r="A70" s="332" t="s">
        <v>52</v>
      </c>
      <c r="B70" s="332">
        <f t="shared" si="52"/>
        <v>2018</v>
      </c>
      <c r="C70" s="33" t="s">
        <v>47</v>
      </c>
      <c r="D70" s="116"/>
      <c r="E70" s="212"/>
      <c r="F70" s="212"/>
      <c r="G70" s="116">
        <f t="shared" si="18"/>
        <v>0</v>
      </c>
      <c r="H70" s="116"/>
      <c r="I70" s="116"/>
      <c r="J70" s="116"/>
      <c r="K70" s="212">
        <f t="shared" si="59"/>
        <v>0</v>
      </c>
      <c r="L70" s="212">
        <f>SUM(K$5:K70)</f>
        <v>25505372.670000002</v>
      </c>
      <c r="M70" s="333"/>
      <c r="N70" s="212"/>
      <c r="O70" s="212"/>
      <c r="P70" s="212"/>
      <c r="Q70" s="212"/>
      <c r="R70" s="212"/>
      <c r="S70" s="212"/>
      <c r="T70" s="212">
        <f>+T69</f>
        <v>14990.658333333333</v>
      </c>
      <c r="U70" s="212">
        <f>+U69</f>
        <v>19380.033333333333</v>
      </c>
      <c r="V70" s="212">
        <f>+V69</f>
        <v>14101.8</v>
      </c>
      <c r="W70" s="212">
        <f t="shared" si="55"/>
        <v>20871.917666666668</v>
      </c>
      <c r="X70" s="212">
        <f t="shared" si="55"/>
        <v>12815</v>
      </c>
      <c r="Y70" s="212">
        <f t="shared" si="55"/>
        <v>9932.5</v>
      </c>
      <c r="Z70" s="212">
        <f t="shared" si="55"/>
        <v>10956.916666666666</v>
      </c>
      <c r="AA70" s="212">
        <f t="shared" si="55"/>
        <v>10766.558333333332</v>
      </c>
      <c r="AB70" s="212">
        <f t="shared" si="55"/>
        <v>16498</v>
      </c>
      <c r="AC70" s="212">
        <f t="shared" si="55"/>
        <v>10582.5615</v>
      </c>
      <c r="AD70" s="212">
        <f t="shared" si="56"/>
        <v>11791.666666666666</v>
      </c>
      <c r="AE70" s="212">
        <f t="shared" si="56"/>
        <v>13509.166666666666</v>
      </c>
      <c r="AF70" s="212">
        <f t="shared" si="56"/>
        <v>13548.424999999999</v>
      </c>
      <c r="AG70" s="212">
        <f t="shared" si="56"/>
        <v>11316.166666666666</v>
      </c>
      <c r="AH70" s="212">
        <f t="shared" si="56"/>
        <v>13668.55</v>
      </c>
      <c r="AI70" s="212">
        <f t="shared" si="56"/>
        <v>11361.183333333332</v>
      </c>
      <c r="AJ70" s="212">
        <f t="shared" si="56"/>
        <v>11700.786666666665</v>
      </c>
      <c r="AK70" s="212">
        <f t="shared" si="56"/>
        <v>11891.666666666666</v>
      </c>
      <c r="AL70" s="212">
        <f t="shared" si="56"/>
        <v>6768.4224999999997</v>
      </c>
      <c r="AM70" s="212">
        <f t="shared" si="56"/>
        <v>11750</v>
      </c>
      <c r="AN70" s="212">
        <f t="shared" si="56"/>
        <v>14462</v>
      </c>
      <c r="AO70" s="121">
        <f t="shared" si="26"/>
        <v>10433.333333333334</v>
      </c>
      <c r="AP70" s="121">
        <f t="shared" si="28"/>
        <v>11115.2</v>
      </c>
      <c r="AQ70" s="121">
        <f t="shared" si="30"/>
        <v>5334.166666666667</v>
      </c>
      <c r="AR70" s="121">
        <f t="shared" si="33"/>
        <v>841.66666666666663</v>
      </c>
      <c r="AS70" s="121">
        <f t="shared" si="39"/>
        <v>533.33333333333337</v>
      </c>
      <c r="AT70" s="121">
        <f t="shared" si="43"/>
        <v>616.66666666666663</v>
      </c>
      <c r="AU70" s="121">
        <f t="shared" si="43"/>
        <v>233.33333333333334</v>
      </c>
      <c r="AV70" s="212"/>
      <c r="AW70" s="121">
        <f t="shared" si="49"/>
        <v>301771.67999999993</v>
      </c>
      <c r="AX70" s="121">
        <f>SUM(AW$5:AW70)</f>
        <v>22322050.680166684</v>
      </c>
      <c r="AY70" s="121">
        <f t="shared" si="50"/>
        <v>3183321.9898333177</v>
      </c>
      <c r="AZ70" s="121">
        <f t="shared" si="51"/>
        <v>3485093.6698333174</v>
      </c>
      <c r="BA70" s="333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>
        <f t="shared" si="60"/>
        <v>0</v>
      </c>
      <c r="CL70" s="333"/>
      <c r="CM70" s="334">
        <f t="shared" si="57"/>
        <v>0</v>
      </c>
      <c r="CN70" s="334">
        <f t="shared" si="61"/>
        <v>301771.67999999993</v>
      </c>
      <c r="CO70" s="212">
        <f t="shared" si="58"/>
        <v>301771.67999999993</v>
      </c>
      <c r="CP70" s="121">
        <f>+CO70*'Capital Structure '!$P$30</f>
        <v>84828.019247999968</v>
      </c>
      <c r="CQ70" s="121">
        <f t="shared" si="54"/>
        <v>-894831.81134214555</v>
      </c>
    </row>
    <row r="71" spans="1:95" outlineLevel="1">
      <c r="A71" s="7" t="s">
        <v>53</v>
      </c>
      <c r="B71" s="7">
        <f>+B70+1</f>
        <v>2019</v>
      </c>
      <c r="C71" s="33" t="s">
        <v>47</v>
      </c>
      <c r="D71" s="114"/>
      <c r="E71" s="18"/>
      <c r="F71" s="20"/>
      <c r="G71" s="114">
        <f t="shared" si="18"/>
        <v>0</v>
      </c>
      <c r="H71" s="114"/>
      <c r="I71" s="114"/>
      <c r="J71" s="114"/>
      <c r="K71" s="18">
        <f t="shared" si="59"/>
        <v>0</v>
      </c>
      <c r="L71" s="18">
        <f>SUM(K$5:K71)</f>
        <v>25505372.670000002</v>
      </c>
      <c r="N71" s="18"/>
      <c r="O71" s="18"/>
      <c r="P71" s="18"/>
      <c r="Q71" s="18"/>
      <c r="R71" s="18"/>
      <c r="S71" s="18"/>
      <c r="T71" s="18"/>
      <c r="U71" s="18">
        <f>+U70</f>
        <v>19380.033333333333</v>
      </c>
      <c r="V71" s="18">
        <f>+V70</f>
        <v>14101.8</v>
      </c>
      <c r="W71" s="18">
        <f t="shared" si="55"/>
        <v>20871.917666666668</v>
      </c>
      <c r="X71" s="18">
        <f t="shared" si="55"/>
        <v>12815</v>
      </c>
      <c r="Y71" s="18">
        <f t="shared" si="55"/>
        <v>9932.5</v>
      </c>
      <c r="Z71" s="18">
        <f t="shared" si="55"/>
        <v>10956.916666666666</v>
      </c>
      <c r="AA71" s="18">
        <f t="shared" si="55"/>
        <v>10766.558333333332</v>
      </c>
      <c r="AB71" s="18">
        <f t="shared" si="55"/>
        <v>16498</v>
      </c>
      <c r="AC71" s="18">
        <f t="shared" si="55"/>
        <v>10582.5615</v>
      </c>
      <c r="AD71" s="18">
        <f t="shared" si="56"/>
        <v>11791.666666666666</v>
      </c>
      <c r="AE71" s="18">
        <f t="shared" si="56"/>
        <v>13509.166666666666</v>
      </c>
      <c r="AF71" s="18">
        <f t="shared" si="56"/>
        <v>13548.424999999999</v>
      </c>
      <c r="AG71" s="18">
        <f t="shared" si="56"/>
        <v>11316.166666666666</v>
      </c>
      <c r="AH71" s="18">
        <f t="shared" si="56"/>
        <v>13668.55</v>
      </c>
      <c r="AI71" s="18">
        <f t="shared" si="56"/>
        <v>11361.183333333332</v>
      </c>
      <c r="AJ71" s="18">
        <f t="shared" si="56"/>
        <v>11700.786666666665</v>
      </c>
      <c r="AK71" s="18">
        <f t="shared" si="56"/>
        <v>11891.666666666666</v>
      </c>
      <c r="AL71" s="18">
        <f t="shared" si="56"/>
        <v>6768.4224999999997</v>
      </c>
      <c r="AM71" s="18">
        <f t="shared" si="56"/>
        <v>11750</v>
      </c>
      <c r="AN71" s="18">
        <f t="shared" si="56"/>
        <v>14462</v>
      </c>
      <c r="AO71" s="18">
        <f t="shared" si="26"/>
        <v>10433.333333333334</v>
      </c>
      <c r="AP71" s="18">
        <f t="shared" si="28"/>
        <v>11115.2</v>
      </c>
      <c r="AQ71" s="18">
        <f t="shared" si="30"/>
        <v>5334.166666666667</v>
      </c>
      <c r="AR71" s="18">
        <f t="shared" si="33"/>
        <v>841.66666666666663</v>
      </c>
      <c r="AS71" s="18">
        <f t="shared" si="39"/>
        <v>533.33333333333337</v>
      </c>
      <c r="AT71" s="18">
        <f t="shared" si="43"/>
        <v>616.66666666666663</v>
      </c>
      <c r="AU71" s="18">
        <f t="shared" si="43"/>
        <v>233.33333333333334</v>
      </c>
      <c r="AV71" s="18"/>
      <c r="AW71" s="18">
        <f t="shared" si="49"/>
        <v>286781.02166666661</v>
      </c>
      <c r="AX71" s="18">
        <f>SUM(AW$5:AW71)</f>
        <v>22608831.701833352</v>
      </c>
      <c r="AY71" s="18">
        <f t="shared" si="50"/>
        <v>2896540.9681666493</v>
      </c>
      <c r="AZ71" s="18">
        <f t="shared" si="51"/>
        <v>3183321.9898333177</v>
      </c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>
        <f t="shared" si="60"/>
        <v>0</v>
      </c>
      <c r="CM71" s="22">
        <f t="shared" si="57"/>
        <v>0</v>
      </c>
      <c r="CN71" s="22">
        <f t="shared" si="61"/>
        <v>286781.02166666661</v>
      </c>
      <c r="CO71" s="18">
        <f t="shared" si="58"/>
        <v>286781.02166666661</v>
      </c>
      <c r="CP71" s="18">
        <f>+CO71*'Capital Structure '!$P$30</f>
        <v>80614.14519049997</v>
      </c>
      <c r="CQ71" s="18">
        <f t="shared" si="54"/>
        <v>-814217.66615164559</v>
      </c>
    </row>
    <row r="72" spans="1:95" outlineLevel="1">
      <c r="A72" s="7" t="s">
        <v>54</v>
      </c>
      <c r="B72" s="7">
        <f t="shared" si="52"/>
        <v>2019</v>
      </c>
      <c r="C72" s="33" t="s">
        <v>47</v>
      </c>
      <c r="D72" s="114"/>
      <c r="E72" s="18"/>
      <c r="F72" s="20"/>
      <c r="G72" s="114">
        <f t="shared" si="18"/>
        <v>0</v>
      </c>
      <c r="H72" s="114"/>
      <c r="I72" s="114"/>
      <c r="J72" s="114"/>
      <c r="K72" s="18">
        <f t="shared" si="59"/>
        <v>0</v>
      </c>
      <c r="L72" s="18">
        <f>SUM(K$5:K72)</f>
        <v>25505372.670000002</v>
      </c>
      <c r="N72" s="18"/>
      <c r="O72" s="18"/>
      <c r="P72" s="18"/>
      <c r="Q72" s="18"/>
      <c r="R72" s="18"/>
      <c r="S72" s="18"/>
      <c r="T72" s="18"/>
      <c r="U72" s="18"/>
      <c r="V72" s="18">
        <f>+V71</f>
        <v>14101.8</v>
      </c>
      <c r="W72" s="18">
        <f t="shared" si="55"/>
        <v>20871.917666666668</v>
      </c>
      <c r="X72" s="18">
        <f t="shared" si="55"/>
        <v>12815</v>
      </c>
      <c r="Y72" s="18">
        <f t="shared" si="55"/>
        <v>9932.5</v>
      </c>
      <c r="Z72" s="18">
        <f t="shared" si="55"/>
        <v>10956.916666666666</v>
      </c>
      <c r="AA72" s="18">
        <f t="shared" si="55"/>
        <v>10766.558333333332</v>
      </c>
      <c r="AB72" s="18">
        <f t="shared" si="55"/>
        <v>16498</v>
      </c>
      <c r="AC72" s="18">
        <f t="shared" si="55"/>
        <v>10582.5615</v>
      </c>
      <c r="AD72" s="18">
        <f t="shared" si="56"/>
        <v>11791.666666666666</v>
      </c>
      <c r="AE72" s="18">
        <f t="shared" si="56"/>
        <v>13509.166666666666</v>
      </c>
      <c r="AF72" s="18">
        <f t="shared" si="56"/>
        <v>13548.424999999999</v>
      </c>
      <c r="AG72" s="18">
        <f t="shared" si="56"/>
        <v>11316.166666666666</v>
      </c>
      <c r="AH72" s="18">
        <f t="shared" si="56"/>
        <v>13668.55</v>
      </c>
      <c r="AI72" s="18">
        <f t="shared" si="56"/>
        <v>11361.183333333332</v>
      </c>
      <c r="AJ72" s="18">
        <f t="shared" si="56"/>
        <v>11700.786666666665</v>
      </c>
      <c r="AK72" s="18">
        <f t="shared" si="56"/>
        <v>11891.666666666666</v>
      </c>
      <c r="AL72" s="18">
        <f t="shared" si="56"/>
        <v>6768.4224999999997</v>
      </c>
      <c r="AM72" s="18">
        <f t="shared" si="56"/>
        <v>11750</v>
      </c>
      <c r="AN72" s="18">
        <f t="shared" si="56"/>
        <v>14462</v>
      </c>
      <c r="AO72" s="18">
        <f t="shared" si="26"/>
        <v>10433.333333333334</v>
      </c>
      <c r="AP72" s="18">
        <f t="shared" si="28"/>
        <v>11115.2</v>
      </c>
      <c r="AQ72" s="18">
        <f t="shared" si="30"/>
        <v>5334.166666666667</v>
      </c>
      <c r="AR72" s="18">
        <f t="shared" si="33"/>
        <v>841.66666666666663</v>
      </c>
      <c r="AS72" s="18">
        <f t="shared" si="39"/>
        <v>533.33333333333337</v>
      </c>
      <c r="AT72" s="18">
        <f t="shared" si="43"/>
        <v>616.66666666666663</v>
      </c>
      <c r="AU72" s="18">
        <f t="shared" si="43"/>
        <v>233.33333333333334</v>
      </c>
      <c r="AV72" s="18"/>
      <c r="AW72" s="18">
        <f t="shared" si="49"/>
        <v>267400.98833333328</v>
      </c>
      <c r="AX72" s="18">
        <f>SUM(AW$5:AW72)</f>
        <v>22876232.690166686</v>
      </c>
      <c r="AY72" s="18">
        <f t="shared" si="50"/>
        <v>2629139.9798333161</v>
      </c>
      <c r="AZ72" s="18">
        <f t="shared" si="51"/>
        <v>2896540.9681666493</v>
      </c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>
        <f t="shared" si="60"/>
        <v>0</v>
      </c>
      <c r="CM72" s="22">
        <f t="shared" si="57"/>
        <v>0</v>
      </c>
      <c r="CN72" s="22">
        <f t="shared" si="61"/>
        <v>267400.98833333328</v>
      </c>
      <c r="CO72" s="18">
        <f t="shared" si="58"/>
        <v>267400.98833333328</v>
      </c>
      <c r="CP72" s="18">
        <f>+CO72*'Capital Structure '!$P$30</f>
        <v>75166.417820499977</v>
      </c>
      <c r="CQ72" s="18">
        <f t="shared" si="54"/>
        <v>-739051.24833114562</v>
      </c>
    </row>
    <row r="73" spans="1:95" outlineLevel="1">
      <c r="A73" s="7" t="s">
        <v>55</v>
      </c>
      <c r="B73" s="7">
        <f t="shared" si="52"/>
        <v>2019</v>
      </c>
      <c r="C73" s="33" t="s">
        <v>47</v>
      </c>
      <c r="D73" s="114"/>
      <c r="E73" s="18"/>
      <c r="F73" s="20"/>
      <c r="G73" s="114">
        <f t="shared" si="18"/>
        <v>0</v>
      </c>
      <c r="H73" s="114"/>
      <c r="I73" s="114"/>
      <c r="J73" s="114"/>
      <c r="K73" s="18">
        <f t="shared" si="59"/>
        <v>0</v>
      </c>
      <c r="L73" s="18">
        <f>SUM(K$5:K73)</f>
        <v>25505372.670000002</v>
      </c>
      <c r="N73" s="18"/>
      <c r="O73" s="18"/>
      <c r="P73" s="18"/>
      <c r="Q73" s="18"/>
      <c r="R73" s="18"/>
      <c r="S73" s="18"/>
      <c r="T73" s="18"/>
      <c r="U73" s="18"/>
      <c r="V73" s="18"/>
      <c r="W73" s="18">
        <f t="shared" si="55"/>
        <v>20871.917666666668</v>
      </c>
      <c r="X73" s="18">
        <f t="shared" si="55"/>
        <v>12815</v>
      </c>
      <c r="Y73" s="18">
        <f t="shared" si="55"/>
        <v>9932.5</v>
      </c>
      <c r="Z73" s="18">
        <f t="shared" si="55"/>
        <v>10956.916666666666</v>
      </c>
      <c r="AA73" s="18">
        <f t="shared" si="55"/>
        <v>10766.558333333332</v>
      </c>
      <c r="AB73" s="18">
        <f t="shared" si="55"/>
        <v>16498</v>
      </c>
      <c r="AC73" s="18">
        <f t="shared" si="55"/>
        <v>10582.5615</v>
      </c>
      <c r="AD73" s="18">
        <f t="shared" si="56"/>
        <v>11791.666666666666</v>
      </c>
      <c r="AE73" s="18">
        <f t="shared" si="56"/>
        <v>13509.166666666666</v>
      </c>
      <c r="AF73" s="18">
        <f t="shared" si="56"/>
        <v>13548.424999999999</v>
      </c>
      <c r="AG73" s="18">
        <f t="shared" si="56"/>
        <v>11316.166666666666</v>
      </c>
      <c r="AH73" s="18">
        <f t="shared" si="56"/>
        <v>13668.55</v>
      </c>
      <c r="AI73" s="18">
        <f>+AI72</f>
        <v>11361.183333333332</v>
      </c>
      <c r="AJ73" s="18">
        <f>+AJ72</f>
        <v>11700.786666666665</v>
      </c>
      <c r="AK73" s="18">
        <f t="shared" si="56"/>
        <v>11891.666666666666</v>
      </c>
      <c r="AL73" s="18">
        <f t="shared" si="56"/>
        <v>6768.4224999999997</v>
      </c>
      <c r="AM73" s="18">
        <f t="shared" si="56"/>
        <v>11750</v>
      </c>
      <c r="AN73" s="18">
        <f t="shared" si="56"/>
        <v>14462</v>
      </c>
      <c r="AO73" s="18">
        <f t="shared" si="26"/>
        <v>10433.333333333334</v>
      </c>
      <c r="AP73" s="18">
        <f t="shared" si="28"/>
        <v>11115.2</v>
      </c>
      <c r="AQ73" s="18">
        <f t="shared" si="30"/>
        <v>5334.166666666667</v>
      </c>
      <c r="AR73" s="18">
        <f t="shared" si="33"/>
        <v>841.66666666666663</v>
      </c>
      <c r="AS73" s="18">
        <f t="shared" si="39"/>
        <v>533.33333333333337</v>
      </c>
      <c r="AT73" s="18">
        <f t="shared" si="43"/>
        <v>616.66666666666663</v>
      </c>
      <c r="AU73" s="18">
        <f t="shared" si="43"/>
        <v>233.33333333333334</v>
      </c>
      <c r="AV73" s="18"/>
      <c r="AW73" s="18">
        <f t="shared" si="49"/>
        <v>253299.18833333327</v>
      </c>
      <c r="AX73" s="18">
        <f>SUM(AW$5:AW73)</f>
        <v>23129531.878500018</v>
      </c>
      <c r="AY73" s="18">
        <f t="shared" si="50"/>
        <v>2375840.7914999835</v>
      </c>
      <c r="AZ73" s="18">
        <f t="shared" si="51"/>
        <v>2629139.9798333161</v>
      </c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>
        <f t="shared" si="60"/>
        <v>0</v>
      </c>
      <c r="CM73" s="22">
        <f t="shared" si="57"/>
        <v>0</v>
      </c>
      <c r="CN73" s="22">
        <f t="shared" si="61"/>
        <v>253299.18833333327</v>
      </c>
      <c r="CO73" s="18">
        <f t="shared" si="58"/>
        <v>253299.18833333327</v>
      </c>
      <c r="CP73" s="18">
        <f>+CO73*'Capital Structure '!$P$30</f>
        <v>71202.401840499966</v>
      </c>
      <c r="CQ73" s="18">
        <f t="shared" si="54"/>
        <v>-667848.84649064566</v>
      </c>
    </row>
    <row r="74" spans="1:95" outlineLevel="1">
      <c r="A74" s="7" t="s">
        <v>56</v>
      </c>
      <c r="B74" s="7">
        <f t="shared" si="52"/>
        <v>2019</v>
      </c>
      <c r="C74" s="33" t="s">
        <v>47</v>
      </c>
      <c r="D74" s="114"/>
      <c r="E74" s="18"/>
      <c r="F74" s="20"/>
      <c r="G74" s="114">
        <f t="shared" si="18"/>
        <v>0</v>
      </c>
      <c r="H74" s="114"/>
      <c r="I74" s="114"/>
      <c r="J74" s="114"/>
      <c r="K74" s="18">
        <f t="shared" si="59"/>
        <v>0</v>
      </c>
      <c r="L74" s="18">
        <f>SUM(K$5:K74)</f>
        <v>25505372.670000002</v>
      </c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>
        <f t="shared" si="55"/>
        <v>12815</v>
      </c>
      <c r="Y74" s="18">
        <f t="shared" si="55"/>
        <v>9932.5</v>
      </c>
      <c r="Z74" s="18">
        <f t="shared" si="55"/>
        <v>10956.916666666666</v>
      </c>
      <c r="AA74" s="18">
        <f t="shared" si="55"/>
        <v>10766.558333333332</v>
      </c>
      <c r="AB74" s="18">
        <f t="shared" si="55"/>
        <v>16498</v>
      </c>
      <c r="AC74" s="18">
        <f t="shared" si="55"/>
        <v>10582.5615</v>
      </c>
      <c r="AD74" s="18">
        <f t="shared" si="56"/>
        <v>11791.666666666666</v>
      </c>
      <c r="AE74" s="18">
        <f t="shared" si="56"/>
        <v>13509.166666666666</v>
      </c>
      <c r="AF74" s="18">
        <f t="shared" si="56"/>
        <v>13548.424999999999</v>
      </c>
      <c r="AG74" s="18">
        <f t="shared" si="56"/>
        <v>11316.166666666666</v>
      </c>
      <c r="AH74" s="18">
        <f t="shared" si="56"/>
        <v>13668.55</v>
      </c>
      <c r="AI74" s="18">
        <f t="shared" si="56"/>
        <v>11361.183333333332</v>
      </c>
      <c r="AJ74" s="18">
        <f>+AJ73</f>
        <v>11700.786666666665</v>
      </c>
      <c r="AK74" s="18">
        <f t="shared" si="56"/>
        <v>11891.666666666666</v>
      </c>
      <c r="AL74" s="18">
        <f t="shared" si="56"/>
        <v>6768.4224999999997</v>
      </c>
      <c r="AM74" s="18">
        <f t="shared" si="56"/>
        <v>11750</v>
      </c>
      <c r="AN74" s="18">
        <f t="shared" si="56"/>
        <v>14462</v>
      </c>
      <c r="AO74" s="18">
        <f t="shared" si="26"/>
        <v>10433.333333333334</v>
      </c>
      <c r="AP74" s="18">
        <f t="shared" si="28"/>
        <v>11115.2</v>
      </c>
      <c r="AQ74" s="18">
        <f t="shared" si="30"/>
        <v>5334.166666666667</v>
      </c>
      <c r="AR74" s="18">
        <f t="shared" si="33"/>
        <v>841.66666666666663</v>
      </c>
      <c r="AS74" s="18">
        <f t="shared" si="39"/>
        <v>533.33333333333337</v>
      </c>
      <c r="AT74" s="18">
        <f t="shared" si="43"/>
        <v>616.66666666666663</v>
      </c>
      <c r="AU74" s="18">
        <f t="shared" si="43"/>
        <v>233.33333333333334</v>
      </c>
      <c r="AV74" s="18"/>
      <c r="AW74" s="18">
        <f t="shared" si="49"/>
        <v>232427.27066666665</v>
      </c>
      <c r="AX74" s="18">
        <f>SUM(AW$5:AW74)</f>
        <v>23361959.149166685</v>
      </c>
      <c r="AY74" s="18">
        <f t="shared" si="50"/>
        <v>2143413.5208333172</v>
      </c>
      <c r="AZ74" s="18">
        <f t="shared" si="51"/>
        <v>2375840.7914999835</v>
      </c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>
        <f t="shared" si="60"/>
        <v>0</v>
      </c>
      <c r="CM74" s="22">
        <f t="shared" si="57"/>
        <v>0</v>
      </c>
      <c r="CN74" s="22">
        <f t="shared" si="61"/>
        <v>232427.27066666665</v>
      </c>
      <c r="CO74" s="18">
        <f t="shared" si="58"/>
        <v>232427.27066666665</v>
      </c>
      <c r="CP74" s="18">
        <f>+CO74*'Capital Structure '!$P$30</f>
        <v>65335.305784399985</v>
      </c>
      <c r="CQ74" s="18">
        <f t="shared" si="54"/>
        <v>-602513.54070624569</v>
      </c>
    </row>
    <row r="75" spans="1:95" outlineLevel="1">
      <c r="A75" s="7" t="s">
        <v>57</v>
      </c>
      <c r="B75" s="7">
        <f t="shared" si="52"/>
        <v>2019</v>
      </c>
      <c r="C75" s="33" t="s">
        <v>47</v>
      </c>
      <c r="D75" s="114"/>
      <c r="E75" s="18"/>
      <c r="F75" s="20"/>
      <c r="G75" s="114">
        <f t="shared" si="18"/>
        <v>0</v>
      </c>
      <c r="H75" s="114"/>
      <c r="I75" s="114"/>
      <c r="J75" s="114"/>
      <c r="K75" s="18">
        <f t="shared" si="59"/>
        <v>0</v>
      </c>
      <c r="L75" s="18">
        <f>SUM(K$5:K75)</f>
        <v>25505372.670000002</v>
      </c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>
        <f>+Y74</f>
        <v>9932.5</v>
      </c>
      <c r="Z75" s="18">
        <f>+Z74</f>
        <v>10956.916666666666</v>
      </c>
      <c r="AA75" s="18">
        <f t="shared" si="55"/>
        <v>10766.558333333332</v>
      </c>
      <c r="AB75" s="18">
        <f t="shared" si="55"/>
        <v>16498</v>
      </c>
      <c r="AC75" s="18">
        <f t="shared" si="55"/>
        <v>10582.5615</v>
      </c>
      <c r="AD75" s="18">
        <f t="shared" si="56"/>
        <v>11791.666666666666</v>
      </c>
      <c r="AE75" s="18">
        <f t="shared" si="56"/>
        <v>13509.166666666666</v>
      </c>
      <c r="AF75" s="18">
        <f t="shared" si="56"/>
        <v>13548.424999999999</v>
      </c>
      <c r="AG75" s="18">
        <f t="shared" si="56"/>
        <v>11316.166666666666</v>
      </c>
      <c r="AH75" s="18">
        <f t="shared" si="56"/>
        <v>13668.55</v>
      </c>
      <c r="AI75" s="18">
        <f t="shared" si="56"/>
        <v>11361.183333333332</v>
      </c>
      <c r="AJ75" s="18">
        <f t="shared" si="56"/>
        <v>11700.786666666665</v>
      </c>
      <c r="AK75" s="18">
        <f t="shared" si="56"/>
        <v>11891.666666666666</v>
      </c>
      <c r="AL75" s="18">
        <f t="shared" si="56"/>
        <v>6768.4224999999997</v>
      </c>
      <c r="AM75" s="18">
        <f t="shared" si="56"/>
        <v>11750</v>
      </c>
      <c r="AN75" s="18">
        <f t="shared" si="56"/>
        <v>14462</v>
      </c>
      <c r="AO75" s="18">
        <f t="shared" si="26"/>
        <v>10433.333333333334</v>
      </c>
      <c r="AP75" s="18">
        <f t="shared" si="28"/>
        <v>11115.2</v>
      </c>
      <c r="AQ75" s="18">
        <f t="shared" si="30"/>
        <v>5334.166666666667</v>
      </c>
      <c r="AR75" s="18">
        <f t="shared" si="33"/>
        <v>841.66666666666663</v>
      </c>
      <c r="AS75" s="18">
        <f t="shared" si="39"/>
        <v>533.33333333333337</v>
      </c>
      <c r="AT75" s="18">
        <f t="shared" si="43"/>
        <v>616.66666666666663</v>
      </c>
      <c r="AU75" s="18">
        <f t="shared" si="43"/>
        <v>233.33333333333334</v>
      </c>
      <c r="AV75" s="18"/>
      <c r="AW75" s="18">
        <f t="shared" si="49"/>
        <v>219612.27066666665</v>
      </c>
      <c r="AX75" s="18">
        <f>SUM(AW$5:AW75)</f>
        <v>23581571.419833351</v>
      </c>
      <c r="AY75" s="18">
        <f t="shared" si="50"/>
        <v>1923801.2501666509</v>
      </c>
      <c r="AZ75" s="18">
        <f t="shared" si="51"/>
        <v>2143413.5208333172</v>
      </c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>
        <f t="shared" si="60"/>
        <v>0</v>
      </c>
      <c r="CM75" s="22">
        <f t="shared" si="57"/>
        <v>0</v>
      </c>
      <c r="CN75" s="22">
        <f t="shared" si="61"/>
        <v>219612.27066666665</v>
      </c>
      <c r="CO75" s="18">
        <f t="shared" si="58"/>
        <v>219612.27066666665</v>
      </c>
      <c r="CP75" s="18">
        <f>+CO75*'Capital Structure '!$P$30</f>
        <v>61733.009284399988</v>
      </c>
      <c r="CQ75" s="18">
        <f t="shared" si="54"/>
        <v>-540780.53142184566</v>
      </c>
    </row>
    <row r="76" spans="1:95" outlineLevel="1">
      <c r="A76" s="7" t="s">
        <v>58</v>
      </c>
      <c r="B76" s="7">
        <f t="shared" si="52"/>
        <v>2019</v>
      </c>
      <c r="C76" s="33" t="s">
        <v>47</v>
      </c>
      <c r="D76" s="114"/>
      <c r="E76" s="18"/>
      <c r="F76" s="20"/>
      <c r="G76" s="114">
        <f t="shared" si="18"/>
        <v>0</v>
      </c>
      <c r="H76" s="114"/>
      <c r="I76" s="114"/>
      <c r="J76" s="114"/>
      <c r="K76" s="18">
        <f t="shared" si="59"/>
        <v>0</v>
      </c>
      <c r="L76" s="18">
        <f>SUM(K$5:K76)</f>
        <v>25505372.670000002</v>
      </c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>
        <f>+Z75</f>
        <v>10956.916666666666</v>
      </c>
      <c r="AA76" s="18">
        <f t="shared" si="55"/>
        <v>10766.558333333332</v>
      </c>
      <c r="AB76" s="18">
        <f t="shared" si="55"/>
        <v>16498</v>
      </c>
      <c r="AC76" s="18">
        <f t="shared" si="55"/>
        <v>10582.5615</v>
      </c>
      <c r="AD76" s="18">
        <f t="shared" si="56"/>
        <v>11791.666666666666</v>
      </c>
      <c r="AE76" s="18">
        <f t="shared" si="56"/>
        <v>13509.166666666666</v>
      </c>
      <c r="AF76" s="18">
        <f t="shared" si="56"/>
        <v>13548.424999999999</v>
      </c>
      <c r="AG76" s="18">
        <f t="shared" si="56"/>
        <v>11316.166666666666</v>
      </c>
      <c r="AH76" s="18">
        <f t="shared" si="56"/>
        <v>13668.55</v>
      </c>
      <c r="AI76" s="18">
        <f t="shared" si="56"/>
        <v>11361.183333333332</v>
      </c>
      <c r="AJ76" s="18">
        <f t="shared" si="56"/>
        <v>11700.786666666665</v>
      </c>
      <c r="AK76" s="18">
        <f t="shared" si="56"/>
        <v>11891.666666666666</v>
      </c>
      <c r="AL76" s="18">
        <f t="shared" si="56"/>
        <v>6768.4224999999997</v>
      </c>
      <c r="AM76" s="18">
        <f t="shared" si="56"/>
        <v>11750</v>
      </c>
      <c r="AN76" s="18">
        <f t="shared" si="56"/>
        <v>14462</v>
      </c>
      <c r="AO76" s="18">
        <f t="shared" si="26"/>
        <v>10433.333333333334</v>
      </c>
      <c r="AP76" s="18">
        <f t="shared" si="28"/>
        <v>11115.2</v>
      </c>
      <c r="AQ76" s="18">
        <f t="shared" si="30"/>
        <v>5334.166666666667</v>
      </c>
      <c r="AR76" s="18">
        <f t="shared" si="33"/>
        <v>841.66666666666663</v>
      </c>
      <c r="AS76" s="18">
        <f t="shared" si="39"/>
        <v>533.33333333333337</v>
      </c>
      <c r="AT76" s="18">
        <f t="shared" si="43"/>
        <v>616.66666666666663</v>
      </c>
      <c r="AU76" s="18">
        <f t="shared" si="43"/>
        <v>233.33333333333334</v>
      </c>
      <c r="AV76" s="18"/>
      <c r="AW76" s="18">
        <f t="shared" si="49"/>
        <v>209679.77066666665</v>
      </c>
      <c r="AX76" s="18">
        <f>SUM(AW$5:AW76)</f>
        <v>23791251.190500017</v>
      </c>
      <c r="AY76" s="18">
        <f t="shared" si="50"/>
        <v>1714121.4794999845</v>
      </c>
      <c r="AZ76" s="18">
        <f t="shared" si="51"/>
        <v>1923801.2501666509</v>
      </c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>
        <f t="shared" si="60"/>
        <v>0</v>
      </c>
      <c r="CM76" s="22">
        <f t="shared" si="57"/>
        <v>0</v>
      </c>
      <c r="CN76" s="22">
        <f t="shared" si="61"/>
        <v>209679.77066666665</v>
      </c>
      <c r="CO76" s="18">
        <f t="shared" si="58"/>
        <v>209679.77066666665</v>
      </c>
      <c r="CP76" s="18">
        <f>+CO76*'Capital Structure '!$P$30</f>
        <v>58940.983534399988</v>
      </c>
      <c r="CQ76" s="18">
        <f t="shared" si="54"/>
        <v>-481839.54788744566</v>
      </c>
    </row>
    <row r="77" spans="1:95" outlineLevel="1">
      <c r="A77" s="7" t="s">
        <v>59</v>
      </c>
      <c r="B77" s="7">
        <f t="shared" si="52"/>
        <v>2019</v>
      </c>
      <c r="C77" s="33" t="s">
        <v>47</v>
      </c>
      <c r="D77" s="114"/>
      <c r="E77" s="18"/>
      <c r="F77" s="20"/>
      <c r="G77" s="114">
        <f t="shared" si="18"/>
        <v>0</v>
      </c>
      <c r="H77" s="114"/>
      <c r="I77" s="114"/>
      <c r="J77" s="114"/>
      <c r="K77" s="18">
        <f t="shared" si="59"/>
        <v>0</v>
      </c>
      <c r="L77" s="18">
        <f>SUM(K$5:K77)</f>
        <v>25505372.670000002</v>
      </c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>
        <f t="shared" si="55"/>
        <v>10766.558333333332</v>
      </c>
      <c r="AB77" s="18">
        <f t="shared" si="55"/>
        <v>16498</v>
      </c>
      <c r="AC77" s="18">
        <f t="shared" si="55"/>
        <v>10582.5615</v>
      </c>
      <c r="AD77" s="18">
        <f t="shared" si="56"/>
        <v>11791.666666666666</v>
      </c>
      <c r="AE77" s="18">
        <f t="shared" si="56"/>
        <v>13509.166666666666</v>
      </c>
      <c r="AF77" s="18">
        <f t="shared" si="56"/>
        <v>13548.424999999999</v>
      </c>
      <c r="AG77" s="18">
        <f t="shared" si="56"/>
        <v>11316.166666666666</v>
      </c>
      <c r="AH77" s="18">
        <f t="shared" si="56"/>
        <v>13668.55</v>
      </c>
      <c r="AI77" s="18">
        <f t="shared" si="56"/>
        <v>11361.183333333332</v>
      </c>
      <c r="AJ77" s="18">
        <f t="shared" si="56"/>
        <v>11700.786666666665</v>
      </c>
      <c r="AK77" s="18">
        <f t="shared" si="56"/>
        <v>11891.666666666666</v>
      </c>
      <c r="AL77" s="18">
        <f t="shared" si="56"/>
        <v>6768.4224999999997</v>
      </c>
      <c r="AM77" s="18">
        <f>+AM76</f>
        <v>11750</v>
      </c>
      <c r="AN77" s="18">
        <f>+AN76</f>
        <v>14462</v>
      </c>
      <c r="AO77" s="18">
        <f t="shared" si="26"/>
        <v>10433.333333333334</v>
      </c>
      <c r="AP77" s="18">
        <f t="shared" si="28"/>
        <v>11115.2</v>
      </c>
      <c r="AQ77" s="18">
        <f t="shared" si="30"/>
        <v>5334.166666666667</v>
      </c>
      <c r="AR77" s="18">
        <f t="shared" si="33"/>
        <v>841.66666666666663</v>
      </c>
      <c r="AS77" s="18">
        <f t="shared" si="39"/>
        <v>533.33333333333337</v>
      </c>
      <c r="AT77" s="18">
        <f t="shared" si="43"/>
        <v>616.66666666666663</v>
      </c>
      <c r="AU77" s="18">
        <f t="shared" si="43"/>
        <v>233.33333333333334</v>
      </c>
      <c r="AV77" s="18"/>
      <c r="AW77" s="18">
        <f t="shared" si="49"/>
        <v>198722.85399999999</v>
      </c>
      <c r="AX77" s="18">
        <f>SUM(AW$5:AW77)</f>
        <v>23989974.044500016</v>
      </c>
      <c r="AY77" s="18">
        <f t="shared" si="50"/>
        <v>1515398.6254999861</v>
      </c>
      <c r="AZ77" s="18">
        <f t="shared" si="51"/>
        <v>1714121.4794999845</v>
      </c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>
        <f t="shared" si="60"/>
        <v>0</v>
      </c>
      <c r="CM77" s="22">
        <f t="shared" si="57"/>
        <v>0</v>
      </c>
      <c r="CN77" s="22">
        <f t="shared" si="61"/>
        <v>198722.85399999999</v>
      </c>
      <c r="CO77" s="18">
        <f t="shared" si="58"/>
        <v>198722.85399999999</v>
      </c>
      <c r="CP77" s="18">
        <f>+CO77*'Capital Structure '!$P$30</f>
        <v>55860.994259399988</v>
      </c>
      <c r="CQ77" s="18">
        <f t="shared" si="54"/>
        <v>-425978.55362804566</v>
      </c>
    </row>
    <row r="78" spans="1:95" outlineLevel="1">
      <c r="A78" s="7" t="s">
        <v>46</v>
      </c>
      <c r="B78" s="7">
        <f t="shared" si="52"/>
        <v>2019</v>
      </c>
      <c r="C78" s="33" t="s">
        <v>47</v>
      </c>
      <c r="D78" s="114"/>
      <c r="E78" s="18"/>
      <c r="F78" s="20"/>
      <c r="G78" s="114">
        <f t="shared" si="18"/>
        <v>0</v>
      </c>
      <c r="H78" s="114"/>
      <c r="I78" s="114"/>
      <c r="J78" s="114"/>
      <c r="K78" s="18">
        <f t="shared" si="59"/>
        <v>0</v>
      </c>
      <c r="L78" s="18">
        <f>SUM(K$5:K78)</f>
        <v>25505372.670000002</v>
      </c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>
        <f>+AB77</f>
        <v>16498</v>
      </c>
      <c r="AC78" s="18">
        <f>+AC77</f>
        <v>10582.5615</v>
      </c>
      <c r="AD78" s="18">
        <f t="shared" si="56"/>
        <v>11791.666666666666</v>
      </c>
      <c r="AE78" s="18">
        <f t="shared" si="56"/>
        <v>13509.166666666666</v>
      </c>
      <c r="AF78" s="18">
        <f t="shared" si="56"/>
        <v>13548.424999999999</v>
      </c>
      <c r="AG78" s="18">
        <f t="shared" si="56"/>
        <v>11316.166666666666</v>
      </c>
      <c r="AH78" s="18">
        <f t="shared" si="56"/>
        <v>13668.55</v>
      </c>
      <c r="AI78" s="18">
        <f t="shared" si="56"/>
        <v>11361.183333333332</v>
      </c>
      <c r="AJ78" s="18">
        <f t="shared" si="56"/>
        <v>11700.786666666665</v>
      </c>
      <c r="AK78" s="18">
        <f t="shared" si="56"/>
        <v>11891.666666666666</v>
      </c>
      <c r="AL78" s="18">
        <f t="shared" si="56"/>
        <v>6768.4224999999997</v>
      </c>
      <c r="AM78" s="18">
        <f t="shared" si="56"/>
        <v>11750</v>
      </c>
      <c r="AN78" s="18">
        <f t="shared" si="56"/>
        <v>14462</v>
      </c>
      <c r="AO78" s="18">
        <f t="shared" si="26"/>
        <v>10433.333333333334</v>
      </c>
      <c r="AP78" s="18">
        <f t="shared" si="28"/>
        <v>11115.2</v>
      </c>
      <c r="AQ78" s="18">
        <f t="shared" si="30"/>
        <v>5334.166666666667</v>
      </c>
      <c r="AR78" s="18">
        <f t="shared" si="33"/>
        <v>841.66666666666663</v>
      </c>
      <c r="AS78" s="18">
        <f t="shared" si="39"/>
        <v>533.33333333333337</v>
      </c>
      <c r="AT78" s="18">
        <f t="shared" si="43"/>
        <v>616.66666666666663</v>
      </c>
      <c r="AU78" s="18">
        <f t="shared" si="43"/>
        <v>233.33333333333334</v>
      </c>
      <c r="AV78" s="18"/>
      <c r="AW78" s="18">
        <f t="shared" si="49"/>
        <v>187956.29566666667</v>
      </c>
      <c r="AX78" s="18">
        <f>SUM(AW$5:AW78)</f>
        <v>24177930.340166681</v>
      </c>
      <c r="AY78" s="18">
        <f t="shared" si="50"/>
        <v>1327442.3298333213</v>
      </c>
      <c r="AZ78" s="18">
        <f t="shared" si="51"/>
        <v>1515398.6254999861</v>
      </c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>
        <f t="shared" si="60"/>
        <v>0</v>
      </c>
      <c r="CM78" s="22">
        <f t="shared" si="57"/>
        <v>0</v>
      </c>
      <c r="CN78" s="22">
        <f t="shared" si="61"/>
        <v>187956.29566666667</v>
      </c>
      <c r="CO78" s="18">
        <f t="shared" si="58"/>
        <v>187956.29566666667</v>
      </c>
      <c r="CP78" s="18">
        <f>+CO78*'Capital Structure '!$P$30</f>
        <v>52834.514711899996</v>
      </c>
      <c r="CQ78" s="18">
        <f t="shared" si="54"/>
        <v>-373144.03891614568</v>
      </c>
    </row>
    <row r="79" spans="1:95" outlineLevel="1">
      <c r="A79" s="7" t="s">
        <v>48</v>
      </c>
      <c r="B79" s="7">
        <f t="shared" si="52"/>
        <v>2019</v>
      </c>
      <c r="C79" s="33" t="s">
        <v>47</v>
      </c>
      <c r="D79" s="114"/>
      <c r="E79" s="18"/>
      <c r="F79" s="20"/>
      <c r="G79" s="114">
        <f t="shared" si="18"/>
        <v>0</v>
      </c>
      <c r="H79" s="114"/>
      <c r="I79" s="114"/>
      <c r="J79" s="114"/>
      <c r="K79" s="18">
        <f t="shared" si="59"/>
        <v>0</v>
      </c>
      <c r="L79" s="18">
        <f>SUM(K$5:K79)</f>
        <v>25505372.670000002</v>
      </c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>
        <f>+AC78</f>
        <v>10582.5615</v>
      </c>
      <c r="AD79" s="18">
        <f t="shared" si="56"/>
        <v>11791.666666666666</v>
      </c>
      <c r="AE79" s="18">
        <f t="shared" si="56"/>
        <v>13509.166666666666</v>
      </c>
      <c r="AF79" s="18">
        <f t="shared" si="56"/>
        <v>13548.424999999999</v>
      </c>
      <c r="AG79" s="18">
        <f t="shared" si="56"/>
        <v>11316.166666666666</v>
      </c>
      <c r="AH79" s="18">
        <f t="shared" si="56"/>
        <v>13668.55</v>
      </c>
      <c r="AI79" s="18">
        <f t="shared" si="56"/>
        <v>11361.183333333332</v>
      </c>
      <c r="AJ79" s="18">
        <f t="shared" si="56"/>
        <v>11700.786666666665</v>
      </c>
      <c r="AK79" s="18">
        <f t="shared" si="56"/>
        <v>11891.666666666666</v>
      </c>
      <c r="AL79" s="18">
        <f t="shared" si="56"/>
        <v>6768.4224999999997</v>
      </c>
      <c r="AM79" s="18">
        <f t="shared" si="56"/>
        <v>11750</v>
      </c>
      <c r="AN79" s="18">
        <f t="shared" si="56"/>
        <v>14462</v>
      </c>
      <c r="AO79" s="18">
        <f t="shared" si="26"/>
        <v>10433.333333333334</v>
      </c>
      <c r="AP79" s="18">
        <f t="shared" si="28"/>
        <v>11115.2</v>
      </c>
      <c r="AQ79" s="18">
        <f t="shared" si="30"/>
        <v>5334.166666666667</v>
      </c>
      <c r="AR79" s="18">
        <f t="shared" si="33"/>
        <v>841.66666666666663</v>
      </c>
      <c r="AS79" s="18">
        <f t="shared" si="39"/>
        <v>533.33333333333337</v>
      </c>
      <c r="AT79" s="18">
        <f t="shared" si="43"/>
        <v>616.66666666666663</v>
      </c>
      <c r="AU79" s="18">
        <f t="shared" si="43"/>
        <v>233.33333333333334</v>
      </c>
      <c r="AV79" s="18"/>
      <c r="AW79" s="18">
        <f t="shared" si="49"/>
        <v>171458.29566666667</v>
      </c>
      <c r="AX79" s="18">
        <f>SUM(AW$5:AW79)</f>
        <v>24349388.635833345</v>
      </c>
      <c r="AY79" s="18">
        <f t="shared" si="50"/>
        <v>1155984.0341666564</v>
      </c>
      <c r="AZ79" s="18">
        <f t="shared" si="51"/>
        <v>1327442.3298333213</v>
      </c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>
        <f t="shared" si="60"/>
        <v>0</v>
      </c>
      <c r="CM79" s="22">
        <f t="shared" si="57"/>
        <v>0</v>
      </c>
      <c r="CN79" s="22">
        <f t="shared" si="61"/>
        <v>171458.29566666667</v>
      </c>
      <c r="CO79" s="18">
        <f t="shared" si="58"/>
        <v>171458.29566666667</v>
      </c>
      <c r="CP79" s="18">
        <f>+CO79*'Capital Structure '!$P$30</f>
        <v>48196.926911899995</v>
      </c>
      <c r="CQ79" s="18">
        <f t="shared" si="54"/>
        <v>-324947.11200424569</v>
      </c>
    </row>
    <row r="80" spans="1:95" outlineLevel="1">
      <c r="A80" s="7" t="s">
        <v>50</v>
      </c>
      <c r="B80" s="7">
        <f t="shared" si="52"/>
        <v>2019</v>
      </c>
      <c r="C80" s="33" t="s">
        <v>47</v>
      </c>
      <c r="D80" s="114"/>
      <c r="E80" s="18"/>
      <c r="F80" s="20"/>
      <c r="G80" s="114">
        <f>SUM(D80:F80)</f>
        <v>0</v>
      </c>
      <c r="H80" s="114"/>
      <c r="I80" s="114"/>
      <c r="J80" s="114"/>
      <c r="K80" s="18">
        <f t="shared" si="59"/>
        <v>0</v>
      </c>
      <c r="L80" s="18">
        <f>SUM(K$5:K80)</f>
        <v>25505372.670000002</v>
      </c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>
        <f t="shared" si="56"/>
        <v>11791.666666666666</v>
      </c>
      <c r="AE80" s="18">
        <f t="shared" si="56"/>
        <v>13509.166666666666</v>
      </c>
      <c r="AF80" s="18">
        <f t="shared" si="56"/>
        <v>13548.424999999999</v>
      </c>
      <c r="AG80" s="18">
        <f t="shared" si="56"/>
        <v>11316.166666666666</v>
      </c>
      <c r="AH80" s="18">
        <f t="shared" si="56"/>
        <v>13668.55</v>
      </c>
      <c r="AI80" s="18">
        <f t="shared" si="56"/>
        <v>11361.183333333332</v>
      </c>
      <c r="AJ80" s="18">
        <f t="shared" si="56"/>
        <v>11700.786666666665</v>
      </c>
      <c r="AK80" s="18">
        <f t="shared" si="56"/>
        <v>11891.666666666666</v>
      </c>
      <c r="AL80" s="18">
        <f t="shared" si="56"/>
        <v>6768.4224999999997</v>
      </c>
      <c r="AM80" s="18">
        <f t="shared" si="56"/>
        <v>11750</v>
      </c>
      <c r="AN80" s="18">
        <f t="shared" si="56"/>
        <v>14462</v>
      </c>
      <c r="AO80" s="18">
        <f t="shared" si="26"/>
        <v>10433.333333333334</v>
      </c>
      <c r="AP80" s="18">
        <f t="shared" si="28"/>
        <v>11115.2</v>
      </c>
      <c r="AQ80" s="18">
        <f t="shared" si="30"/>
        <v>5334.166666666667</v>
      </c>
      <c r="AR80" s="18">
        <f t="shared" si="33"/>
        <v>841.66666666666663</v>
      </c>
      <c r="AS80" s="18">
        <f t="shared" si="39"/>
        <v>533.33333333333337</v>
      </c>
      <c r="AT80" s="18">
        <f t="shared" si="43"/>
        <v>616.66666666666663</v>
      </c>
      <c r="AU80" s="18">
        <f t="shared" si="43"/>
        <v>233.33333333333334</v>
      </c>
      <c r="AV80" s="18"/>
      <c r="AW80" s="18">
        <f t="shared" si="49"/>
        <v>160875.73416666669</v>
      </c>
      <c r="AX80" s="18">
        <f>SUM(AW$5:AW80)</f>
        <v>24510264.370000012</v>
      </c>
      <c r="AY80" s="18">
        <f t="shared" si="50"/>
        <v>995108.29999998957</v>
      </c>
      <c r="AZ80" s="18">
        <f t="shared" si="51"/>
        <v>1155984.0341666564</v>
      </c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>
        <f t="shared" si="60"/>
        <v>0</v>
      </c>
      <c r="CM80" s="22">
        <f t="shared" si="57"/>
        <v>0</v>
      </c>
      <c r="CN80" s="22">
        <f t="shared" si="61"/>
        <v>160875.73416666669</v>
      </c>
      <c r="CO80" s="18">
        <f t="shared" si="58"/>
        <v>160875.73416666669</v>
      </c>
      <c r="CP80" s="18">
        <f>+CO80*'Capital Structure '!$P$30</f>
        <v>45222.168874249997</v>
      </c>
      <c r="CQ80" s="18">
        <f t="shared" si="54"/>
        <v>-279724.94312999572</v>
      </c>
    </row>
    <row r="81" spans="1:95" outlineLevel="1">
      <c r="A81" s="7" t="s">
        <v>51</v>
      </c>
      <c r="B81" s="7">
        <f t="shared" si="52"/>
        <v>2019</v>
      </c>
      <c r="C81" s="33" t="s">
        <v>47</v>
      </c>
      <c r="D81" s="114"/>
      <c r="E81" s="18"/>
      <c r="F81" s="20"/>
      <c r="G81" s="114">
        <f>SUM(D81:F81)</f>
        <v>0</v>
      </c>
      <c r="H81" s="114"/>
      <c r="I81" s="114"/>
      <c r="J81" s="114"/>
      <c r="K81" s="18">
        <f t="shared" si="59"/>
        <v>0</v>
      </c>
      <c r="L81" s="18">
        <f>SUM(K$5:K81)</f>
        <v>25505372.670000002</v>
      </c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>
        <f>+AE80</f>
        <v>13509.166666666666</v>
      </c>
      <c r="AF81" s="18">
        <f t="shared" si="56"/>
        <v>13548.424999999999</v>
      </c>
      <c r="AG81" s="18">
        <f t="shared" si="56"/>
        <v>11316.166666666666</v>
      </c>
      <c r="AH81" s="18">
        <f t="shared" si="56"/>
        <v>13668.55</v>
      </c>
      <c r="AI81" s="18">
        <f t="shared" si="56"/>
        <v>11361.183333333332</v>
      </c>
      <c r="AJ81" s="18">
        <f t="shared" si="56"/>
        <v>11700.786666666665</v>
      </c>
      <c r="AK81" s="18">
        <f t="shared" si="56"/>
        <v>11891.666666666666</v>
      </c>
      <c r="AL81" s="18">
        <f t="shared" si="56"/>
        <v>6768.4224999999997</v>
      </c>
      <c r="AM81" s="18">
        <f t="shared" si="56"/>
        <v>11750</v>
      </c>
      <c r="AN81" s="18">
        <f t="shared" si="56"/>
        <v>14462</v>
      </c>
      <c r="AO81" s="18">
        <f t="shared" si="26"/>
        <v>10433.333333333334</v>
      </c>
      <c r="AP81" s="18">
        <f t="shared" si="28"/>
        <v>11115.2</v>
      </c>
      <c r="AQ81" s="18">
        <f t="shared" si="30"/>
        <v>5334.166666666667</v>
      </c>
      <c r="AR81" s="18">
        <f t="shared" si="33"/>
        <v>841.66666666666663</v>
      </c>
      <c r="AS81" s="18">
        <f t="shared" si="39"/>
        <v>533.33333333333337</v>
      </c>
      <c r="AT81" s="18">
        <f t="shared" si="43"/>
        <v>616.66666666666663</v>
      </c>
      <c r="AU81" s="18">
        <f t="shared" si="43"/>
        <v>233.33333333333334</v>
      </c>
      <c r="AV81" s="18"/>
      <c r="AW81" s="18">
        <f t="shared" si="49"/>
        <v>149084.0675</v>
      </c>
      <c r="AX81" s="18">
        <f>SUM(AW$5:AW81)</f>
        <v>24659348.437500011</v>
      </c>
      <c r="AY81" s="18">
        <f t="shared" si="50"/>
        <v>846024.23249999061</v>
      </c>
      <c r="AZ81" s="18">
        <f t="shared" si="51"/>
        <v>995108.29999998957</v>
      </c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>
        <f t="shared" si="60"/>
        <v>0</v>
      </c>
      <c r="CM81" s="22">
        <f t="shared" si="57"/>
        <v>0</v>
      </c>
      <c r="CN81" s="22">
        <f t="shared" si="61"/>
        <v>149084.0675</v>
      </c>
      <c r="CO81" s="18">
        <f t="shared" si="58"/>
        <v>149084.0675</v>
      </c>
      <c r="CP81" s="18">
        <f>+CO81*'Capital Structure '!$P$30</f>
        <v>41907.531374249993</v>
      </c>
      <c r="CQ81" s="18">
        <f t="shared" si="54"/>
        <v>-237817.41175574574</v>
      </c>
    </row>
    <row r="82" spans="1:95" outlineLevel="1">
      <c r="A82" s="124" t="s">
        <v>52</v>
      </c>
      <c r="B82" s="124">
        <f t="shared" si="52"/>
        <v>2019</v>
      </c>
      <c r="C82" s="33" t="s">
        <v>47</v>
      </c>
      <c r="D82" s="116"/>
      <c r="E82" s="121"/>
      <c r="F82" s="121"/>
      <c r="G82" s="116">
        <f>SUM(D82:F82)</f>
        <v>0</v>
      </c>
      <c r="H82" s="116"/>
      <c r="I82" s="116"/>
      <c r="J82" s="116"/>
      <c r="K82" s="121">
        <f t="shared" si="59"/>
        <v>0</v>
      </c>
      <c r="L82" s="121">
        <f>SUM(K$5:K82)</f>
        <v>25505372.670000002</v>
      </c>
      <c r="M82" s="126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37">
        <f t="shared" ref="AF82:AN87" si="62">+AF81</f>
        <v>13548.424999999999</v>
      </c>
      <c r="AG82" s="37">
        <f t="shared" si="62"/>
        <v>11316.166666666666</v>
      </c>
      <c r="AH82" s="37">
        <f t="shared" si="62"/>
        <v>13668.55</v>
      </c>
      <c r="AI82" s="37">
        <f t="shared" si="62"/>
        <v>11361.183333333332</v>
      </c>
      <c r="AJ82" s="37">
        <f t="shared" si="62"/>
        <v>11700.786666666665</v>
      </c>
      <c r="AK82" s="37">
        <f t="shared" si="62"/>
        <v>11891.666666666666</v>
      </c>
      <c r="AL82" s="37">
        <f t="shared" si="62"/>
        <v>6768.4224999999997</v>
      </c>
      <c r="AM82" s="37">
        <f t="shared" si="62"/>
        <v>11750</v>
      </c>
      <c r="AN82" s="37">
        <f t="shared" si="62"/>
        <v>14462</v>
      </c>
      <c r="AO82" s="121">
        <f t="shared" si="26"/>
        <v>10433.333333333334</v>
      </c>
      <c r="AP82" s="121">
        <f t="shared" si="28"/>
        <v>11115.2</v>
      </c>
      <c r="AQ82" s="121">
        <f t="shared" si="30"/>
        <v>5334.166666666667</v>
      </c>
      <c r="AR82" s="121">
        <f t="shared" si="33"/>
        <v>841.66666666666663</v>
      </c>
      <c r="AS82" s="121">
        <f t="shared" si="39"/>
        <v>533.33333333333337</v>
      </c>
      <c r="AT82" s="121">
        <f t="shared" si="43"/>
        <v>616.66666666666663</v>
      </c>
      <c r="AU82" s="121">
        <f t="shared" si="43"/>
        <v>233.33333333333334</v>
      </c>
      <c r="AV82" s="121"/>
      <c r="AW82" s="121">
        <f t="shared" si="49"/>
        <v>135574.90083333332</v>
      </c>
      <c r="AX82" s="121">
        <f>SUM(AW$5:AW82)</f>
        <v>24794923.338333346</v>
      </c>
      <c r="AY82" s="121">
        <f t="shared" si="50"/>
        <v>710449.33166665584</v>
      </c>
      <c r="AZ82" s="121">
        <f t="shared" si="51"/>
        <v>846024.23249999061</v>
      </c>
      <c r="BA82" s="126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>
        <f t="shared" si="60"/>
        <v>0</v>
      </c>
      <c r="CL82" s="126"/>
      <c r="CM82" s="211">
        <f t="shared" si="57"/>
        <v>0</v>
      </c>
      <c r="CN82" s="211">
        <f t="shared" si="61"/>
        <v>135574.90083333332</v>
      </c>
      <c r="CO82" s="121">
        <f t="shared" si="58"/>
        <v>135574.90083333332</v>
      </c>
      <c r="CP82" s="121">
        <f>+CO82*'Capital Structure '!$P$30</f>
        <v>38110.104624249987</v>
      </c>
      <c r="CQ82" s="121">
        <f t="shared" si="54"/>
        <v>-199707.30713149573</v>
      </c>
    </row>
    <row r="83" spans="1:95" outlineLevel="1">
      <c r="A83" s="7" t="s">
        <v>53</v>
      </c>
      <c r="B83" s="7">
        <f>+B82+1</f>
        <v>2020</v>
      </c>
      <c r="C83" s="33" t="s">
        <v>47</v>
      </c>
      <c r="D83" s="114"/>
      <c r="E83" s="18"/>
      <c r="F83" s="20"/>
      <c r="G83" s="114"/>
      <c r="H83" s="114"/>
      <c r="I83" s="114"/>
      <c r="J83" s="114"/>
      <c r="K83" s="18">
        <f t="shared" si="59"/>
        <v>0</v>
      </c>
      <c r="L83" s="18">
        <f>SUM(K$5:K83)</f>
        <v>25505372.670000002</v>
      </c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>
        <f>+AG82</f>
        <v>11316.166666666666</v>
      </c>
      <c r="AH83" s="18">
        <f>+AH82</f>
        <v>13668.55</v>
      </c>
      <c r="AI83" s="18">
        <f t="shared" si="62"/>
        <v>11361.183333333332</v>
      </c>
      <c r="AJ83" s="18">
        <f t="shared" si="62"/>
        <v>11700.786666666665</v>
      </c>
      <c r="AK83" s="18">
        <f t="shared" si="62"/>
        <v>11891.666666666666</v>
      </c>
      <c r="AL83" s="18">
        <f t="shared" si="62"/>
        <v>6768.4224999999997</v>
      </c>
      <c r="AM83" s="18">
        <f t="shared" si="62"/>
        <v>11750</v>
      </c>
      <c r="AN83" s="18">
        <f t="shared" si="62"/>
        <v>14462</v>
      </c>
      <c r="AO83" s="18">
        <f t="shared" si="26"/>
        <v>10433.333333333334</v>
      </c>
      <c r="AP83" s="18">
        <f t="shared" si="28"/>
        <v>11115.2</v>
      </c>
      <c r="AQ83" s="18">
        <f t="shared" si="30"/>
        <v>5334.166666666667</v>
      </c>
      <c r="AR83" s="18">
        <f t="shared" si="33"/>
        <v>841.66666666666663</v>
      </c>
      <c r="AS83" s="18">
        <f t="shared" si="39"/>
        <v>533.33333333333337</v>
      </c>
      <c r="AT83" s="18">
        <f t="shared" si="43"/>
        <v>616.66666666666663</v>
      </c>
      <c r="AU83" s="18">
        <f t="shared" si="43"/>
        <v>233.33333333333334</v>
      </c>
      <c r="AV83" s="18"/>
      <c r="AW83" s="18">
        <f t="shared" si="49"/>
        <v>122026.47583333333</v>
      </c>
      <c r="AX83" s="18">
        <f>SUM(AW$5:AW83)</f>
        <v>24916949.81416668</v>
      </c>
      <c r="AY83" s="18">
        <f t="shared" si="50"/>
        <v>588422.85583332181</v>
      </c>
      <c r="AZ83" s="18">
        <f t="shared" si="51"/>
        <v>710449.33166665584</v>
      </c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>
        <f t="shared" si="60"/>
        <v>0</v>
      </c>
      <c r="CM83" s="22">
        <f t="shared" si="57"/>
        <v>0</v>
      </c>
      <c r="CN83" s="22">
        <f t="shared" si="61"/>
        <v>122026.47583333333</v>
      </c>
      <c r="CO83" s="18">
        <f t="shared" si="58"/>
        <v>122026.47583333333</v>
      </c>
      <c r="CP83" s="18">
        <f>+CO83*'Capital Structure '!$P$30</f>
        <v>34301.642356749995</v>
      </c>
      <c r="CQ83" s="18">
        <f t="shared" si="54"/>
        <v>-165405.66477474573</v>
      </c>
    </row>
    <row r="84" spans="1:95" outlineLevel="1">
      <c r="A84" s="7" t="s">
        <v>54</v>
      </c>
      <c r="B84" s="7">
        <f t="shared" si="52"/>
        <v>2020</v>
      </c>
      <c r="C84" s="33" t="s">
        <v>47</v>
      </c>
      <c r="D84" s="114"/>
      <c r="E84" s="18"/>
      <c r="F84" s="20"/>
      <c r="G84" s="114"/>
      <c r="H84" s="114"/>
      <c r="I84" s="114"/>
      <c r="J84" s="114"/>
      <c r="K84" s="18">
        <f t="shared" si="59"/>
        <v>0</v>
      </c>
      <c r="L84" s="18">
        <f>SUM(K$5:K84)</f>
        <v>25505372.670000002</v>
      </c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>
        <f>+AH83</f>
        <v>13668.55</v>
      </c>
      <c r="AI84" s="18">
        <f t="shared" si="62"/>
        <v>11361.183333333332</v>
      </c>
      <c r="AJ84" s="18">
        <f t="shared" si="62"/>
        <v>11700.786666666665</v>
      </c>
      <c r="AK84" s="18">
        <f t="shared" si="62"/>
        <v>11891.666666666666</v>
      </c>
      <c r="AL84" s="18">
        <f t="shared" si="62"/>
        <v>6768.4224999999997</v>
      </c>
      <c r="AM84" s="18">
        <f t="shared" si="62"/>
        <v>11750</v>
      </c>
      <c r="AN84" s="18">
        <f t="shared" si="62"/>
        <v>14462</v>
      </c>
      <c r="AO84" s="18">
        <f t="shared" si="26"/>
        <v>10433.333333333334</v>
      </c>
      <c r="AP84" s="18">
        <f t="shared" si="28"/>
        <v>11115.2</v>
      </c>
      <c r="AQ84" s="18">
        <f t="shared" si="30"/>
        <v>5334.166666666667</v>
      </c>
      <c r="AR84" s="18">
        <f t="shared" si="33"/>
        <v>841.66666666666663</v>
      </c>
      <c r="AS84" s="18">
        <f t="shared" si="39"/>
        <v>533.33333333333337</v>
      </c>
      <c r="AT84" s="18">
        <f t="shared" si="43"/>
        <v>616.66666666666663</v>
      </c>
      <c r="AU84" s="18">
        <f t="shared" si="43"/>
        <v>233.33333333333334</v>
      </c>
      <c r="AV84" s="18"/>
      <c r="AW84" s="18">
        <f t="shared" si="49"/>
        <v>110710.30916666666</v>
      </c>
      <c r="AX84" s="18">
        <f>SUM(AW$5:AW84)</f>
        <v>25027660.123333346</v>
      </c>
      <c r="AY84" s="18">
        <f t="shared" si="50"/>
        <v>477712.54666665569</v>
      </c>
      <c r="AZ84" s="18">
        <f t="shared" si="51"/>
        <v>588422.85583332181</v>
      </c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>
        <f t="shared" si="60"/>
        <v>0</v>
      </c>
      <c r="CM84" s="22">
        <f t="shared" si="57"/>
        <v>0</v>
      </c>
      <c r="CN84" s="22">
        <f t="shared" si="61"/>
        <v>110710.30916666666</v>
      </c>
      <c r="CO84" s="18">
        <f t="shared" si="58"/>
        <v>110710.30916666666</v>
      </c>
      <c r="CP84" s="18">
        <f>+CO84*'Capital Structure '!$P$30</f>
        <v>31120.667906749994</v>
      </c>
      <c r="CQ84" s="18">
        <f t="shared" si="54"/>
        <v>-134284.99686799574</v>
      </c>
    </row>
    <row r="85" spans="1:95" outlineLevel="1">
      <c r="A85" s="7" t="s">
        <v>55</v>
      </c>
      <c r="B85" s="7">
        <f t="shared" si="52"/>
        <v>2020</v>
      </c>
      <c r="C85" s="33" t="s">
        <v>47</v>
      </c>
      <c r="D85" s="114"/>
      <c r="E85" s="18"/>
      <c r="F85" s="20"/>
      <c r="G85" s="114"/>
      <c r="H85" s="114"/>
      <c r="I85" s="114"/>
      <c r="J85" s="114"/>
      <c r="K85" s="18">
        <f t="shared" si="59"/>
        <v>0</v>
      </c>
      <c r="L85" s="18">
        <f>SUM(K$5:K85)</f>
        <v>25505372.670000002</v>
      </c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>
        <f t="shared" si="62"/>
        <v>11361.183333333332</v>
      </c>
      <c r="AJ85" s="18">
        <f t="shared" si="62"/>
        <v>11700.786666666665</v>
      </c>
      <c r="AK85" s="18">
        <f t="shared" si="62"/>
        <v>11891.666666666666</v>
      </c>
      <c r="AL85" s="18">
        <f t="shared" si="62"/>
        <v>6768.4224999999997</v>
      </c>
      <c r="AM85" s="18">
        <f t="shared" si="62"/>
        <v>11750</v>
      </c>
      <c r="AN85" s="18">
        <f t="shared" si="62"/>
        <v>14462</v>
      </c>
      <c r="AO85" s="18">
        <f t="shared" si="26"/>
        <v>10433.333333333334</v>
      </c>
      <c r="AP85" s="18">
        <f t="shared" si="28"/>
        <v>11115.2</v>
      </c>
      <c r="AQ85" s="18">
        <f t="shared" si="30"/>
        <v>5334.166666666667</v>
      </c>
      <c r="AR85" s="18">
        <f t="shared" si="33"/>
        <v>841.66666666666663</v>
      </c>
      <c r="AS85" s="18">
        <f t="shared" si="39"/>
        <v>533.33333333333337</v>
      </c>
      <c r="AT85" s="18">
        <f t="shared" si="43"/>
        <v>616.66666666666663</v>
      </c>
      <c r="AU85" s="18">
        <f t="shared" si="43"/>
        <v>233.33333333333334</v>
      </c>
      <c r="AV85" s="18"/>
      <c r="AW85" s="18">
        <f t="shared" si="49"/>
        <v>97041.75916666667</v>
      </c>
      <c r="AX85" s="18">
        <f>SUM(AW$5:AW85)</f>
        <v>25124701.882500011</v>
      </c>
      <c r="AY85" s="18">
        <f t="shared" si="50"/>
        <v>380670.78749999031</v>
      </c>
      <c r="AZ85" s="18">
        <f t="shared" si="51"/>
        <v>477712.54666665569</v>
      </c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>
        <f t="shared" si="60"/>
        <v>0</v>
      </c>
      <c r="CM85" s="22">
        <f t="shared" si="57"/>
        <v>0</v>
      </c>
      <c r="CN85" s="22">
        <f t="shared" si="61"/>
        <v>97041.75916666667</v>
      </c>
      <c r="CO85" s="18">
        <f t="shared" si="58"/>
        <v>97041.75916666667</v>
      </c>
      <c r="CP85" s="18">
        <f>+CO85*'Capital Structure '!$P$30</f>
        <v>27278.438501749999</v>
      </c>
      <c r="CQ85" s="18">
        <f t="shared" si="54"/>
        <v>-107006.55836624574</v>
      </c>
    </row>
    <row r="86" spans="1:95" outlineLevel="1">
      <c r="A86" s="7" t="s">
        <v>56</v>
      </c>
      <c r="B86" s="7">
        <f t="shared" si="52"/>
        <v>2020</v>
      </c>
      <c r="C86" s="308" t="s">
        <v>47</v>
      </c>
      <c r="D86" s="114"/>
      <c r="E86" s="18"/>
      <c r="F86" s="20"/>
      <c r="G86" s="114"/>
      <c r="H86" s="114"/>
      <c r="I86" s="114"/>
      <c r="J86" s="114"/>
      <c r="K86" s="18">
        <f t="shared" si="59"/>
        <v>0</v>
      </c>
      <c r="L86" s="18">
        <f>SUM(K$5:K86)</f>
        <v>25505372.670000002</v>
      </c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>
        <f t="shared" si="62"/>
        <v>11700.786666666665</v>
      </c>
      <c r="AK86" s="18">
        <f t="shared" si="62"/>
        <v>11891.666666666666</v>
      </c>
      <c r="AL86" s="18">
        <f t="shared" si="62"/>
        <v>6768.4224999999997</v>
      </c>
      <c r="AM86" s="18">
        <f t="shared" si="62"/>
        <v>11750</v>
      </c>
      <c r="AN86" s="18">
        <f t="shared" si="62"/>
        <v>14462</v>
      </c>
      <c r="AO86" s="18">
        <f t="shared" si="26"/>
        <v>10433.333333333334</v>
      </c>
      <c r="AP86" s="18">
        <f t="shared" si="28"/>
        <v>11115.2</v>
      </c>
      <c r="AQ86" s="18">
        <f t="shared" si="30"/>
        <v>5334.166666666667</v>
      </c>
      <c r="AR86" s="18">
        <f t="shared" si="33"/>
        <v>841.66666666666663</v>
      </c>
      <c r="AS86" s="18">
        <f t="shared" si="39"/>
        <v>533.33333333333337</v>
      </c>
      <c r="AT86" s="18">
        <f t="shared" si="43"/>
        <v>616.66666666666663</v>
      </c>
      <c r="AU86" s="18">
        <f t="shared" si="43"/>
        <v>233.33333333333334</v>
      </c>
      <c r="AV86" s="18"/>
      <c r="AW86" s="18">
        <f t="shared" si="49"/>
        <v>85680.575833333336</v>
      </c>
      <c r="AX86" s="18">
        <f>SUM(AW$5:AW86)</f>
        <v>25210382.458333343</v>
      </c>
      <c r="AY86" s="18">
        <f t="shared" si="50"/>
        <v>294990.21166665852</v>
      </c>
      <c r="AZ86" s="18">
        <f t="shared" si="51"/>
        <v>380670.78749999031</v>
      </c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>
        <f t="shared" si="60"/>
        <v>0</v>
      </c>
      <c r="CM86" s="22">
        <f t="shared" si="57"/>
        <v>0</v>
      </c>
      <c r="CN86" s="22">
        <f t="shared" si="61"/>
        <v>85680.575833333336</v>
      </c>
      <c r="CO86" s="18">
        <f t="shared" si="58"/>
        <v>85680.575833333336</v>
      </c>
      <c r="CP86" s="18">
        <f>+CO86*'Capital Structure '!$P$30</f>
        <v>24084.809866749998</v>
      </c>
      <c r="CQ86" s="18">
        <f t="shared" si="54"/>
        <v>-82921.748499495734</v>
      </c>
    </row>
    <row r="87" spans="1:95" outlineLevel="1">
      <c r="A87" s="7" t="s">
        <v>57</v>
      </c>
      <c r="B87" s="7">
        <f t="shared" si="52"/>
        <v>2020</v>
      </c>
      <c r="C87" s="308" t="s">
        <v>47</v>
      </c>
      <c r="D87" s="18"/>
      <c r="E87" s="18"/>
      <c r="F87" s="18"/>
      <c r="G87" s="18"/>
      <c r="H87" s="18"/>
      <c r="I87" s="18"/>
      <c r="J87" s="18"/>
      <c r="K87" s="18">
        <f t="shared" si="59"/>
        <v>0</v>
      </c>
      <c r="L87" s="18">
        <f>SUM(K$5:K87)</f>
        <v>25505372.670000002</v>
      </c>
      <c r="AF87" s="18"/>
      <c r="AG87" s="18"/>
      <c r="AH87" s="18"/>
      <c r="AI87" s="18"/>
      <c r="AJ87" s="18"/>
      <c r="AK87" s="18">
        <f>+AK86</f>
        <v>11891.666666666666</v>
      </c>
      <c r="AL87" s="18">
        <f>+AL86</f>
        <v>6768.4224999999997</v>
      </c>
      <c r="AM87" s="18">
        <f t="shared" si="62"/>
        <v>11750</v>
      </c>
      <c r="AN87" s="18">
        <f t="shared" si="62"/>
        <v>14462</v>
      </c>
      <c r="AO87" s="18">
        <f t="shared" si="26"/>
        <v>10433.333333333334</v>
      </c>
      <c r="AP87" s="18">
        <f t="shared" si="28"/>
        <v>11115.2</v>
      </c>
      <c r="AQ87" s="18">
        <f t="shared" si="30"/>
        <v>5334.166666666667</v>
      </c>
      <c r="AR87" s="18">
        <f t="shared" si="33"/>
        <v>841.66666666666663</v>
      </c>
      <c r="AS87" s="18">
        <f t="shared" si="39"/>
        <v>533.33333333333337</v>
      </c>
      <c r="AT87" s="18">
        <f t="shared" si="43"/>
        <v>616.66666666666663</v>
      </c>
      <c r="AU87" s="18">
        <f t="shared" si="43"/>
        <v>233.33333333333334</v>
      </c>
      <c r="AW87" s="18">
        <f t="shared" si="49"/>
        <v>73979.789166666669</v>
      </c>
      <c r="AX87" s="18">
        <f>SUM(AW$5:AW87)</f>
        <v>25284362.24750001</v>
      </c>
      <c r="AY87" s="18">
        <f t="shared" si="50"/>
        <v>221010.42249999195</v>
      </c>
      <c r="AZ87" s="18">
        <f t="shared" si="51"/>
        <v>294990.21166665852</v>
      </c>
      <c r="CK87" s="18">
        <f t="shared" si="60"/>
        <v>0</v>
      </c>
      <c r="CM87" s="22">
        <f t="shared" si="57"/>
        <v>0</v>
      </c>
      <c r="CN87" s="78">
        <f t="shared" si="61"/>
        <v>73979.789166666669</v>
      </c>
      <c r="CO87" s="254">
        <f t="shared" si="58"/>
        <v>73979.789166666669</v>
      </c>
      <c r="CP87" s="254">
        <f>+CO87*'Capital Structure '!$P$30</f>
        <v>20795.718734749997</v>
      </c>
      <c r="CQ87" s="254">
        <f t="shared" si="54"/>
        <v>-62126.029764745734</v>
      </c>
    </row>
    <row r="88" spans="1:95" outlineLevel="1">
      <c r="A88" s="74" t="s">
        <v>113</v>
      </c>
      <c r="B88" s="74">
        <f t="shared" si="52"/>
        <v>2020</v>
      </c>
      <c r="C88" s="449" t="s">
        <v>47</v>
      </c>
      <c r="D88" s="46"/>
      <c r="E88" s="46"/>
      <c r="F88" s="46"/>
      <c r="G88" s="46"/>
      <c r="H88" s="46"/>
      <c r="I88" s="46"/>
      <c r="J88" s="46"/>
      <c r="K88" s="46"/>
      <c r="L88" s="254">
        <f>SUM(K$5:K88)</f>
        <v>25505372.670000002</v>
      </c>
      <c r="AL88" s="18">
        <f>+AL87</f>
        <v>6768.4224999999997</v>
      </c>
      <c r="AM88" s="18">
        <f>+AM87</f>
        <v>11750</v>
      </c>
      <c r="AN88" s="18">
        <f>+AN87</f>
        <v>14462</v>
      </c>
      <c r="AO88" s="18">
        <f t="shared" si="26"/>
        <v>10433.333333333334</v>
      </c>
      <c r="AP88" s="18">
        <f t="shared" si="28"/>
        <v>11115.2</v>
      </c>
      <c r="AQ88" s="18">
        <f t="shared" si="30"/>
        <v>5334.166666666667</v>
      </c>
      <c r="AR88" s="18">
        <f t="shared" si="33"/>
        <v>841.66666666666663</v>
      </c>
      <c r="AS88" s="18">
        <f t="shared" si="39"/>
        <v>533.33333333333337</v>
      </c>
      <c r="AT88" s="18">
        <f t="shared" si="43"/>
        <v>616.66666666666663</v>
      </c>
      <c r="AU88" s="18">
        <f t="shared" si="43"/>
        <v>233.33333333333334</v>
      </c>
      <c r="AW88" s="254">
        <f t="shared" si="49"/>
        <v>62088.122500000005</v>
      </c>
      <c r="AX88" s="254">
        <f>SUM(AW$5:AW88)</f>
        <v>25346450.370000008</v>
      </c>
      <c r="AY88" s="254">
        <f t="shared" si="50"/>
        <v>158922.29999999329</v>
      </c>
      <c r="AZ88" s="254">
        <f t="shared" si="51"/>
        <v>221010.42249999195</v>
      </c>
      <c r="CM88" s="22">
        <f t="shared" ref="CM88:CM97" si="63">+CK88</f>
        <v>0</v>
      </c>
      <c r="CN88" s="78">
        <f t="shared" ref="CN88:CN97" si="64">+AW88</f>
        <v>62088.122500000005</v>
      </c>
      <c r="CO88" s="254">
        <f t="shared" ref="CO88:CO97" si="65">+CN88-CM88</f>
        <v>62088.122500000005</v>
      </c>
      <c r="CP88" s="254">
        <f>+CO88*'Capital Structure '!$P$30</f>
        <v>17452.971234749999</v>
      </c>
      <c r="CQ88" s="254">
        <f t="shared" si="54"/>
        <v>-44673.058529995731</v>
      </c>
    </row>
    <row r="89" spans="1:95" outlineLevel="1">
      <c r="A89" s="74" t="s">
        <v>178</v>
      </c>
      <c r="B89" s="74">
        <f t="shared" si="52"/>
        <v>2020</v>
      </c>
      <c r="C89" s="449" t="s">
        <v>47</v>
      </c>
      <c r="D89" s="46"/>
      <c r="E89" s="46"/>
      <c r="F89" s="46"/>
      <c r="G89" s="46"/>
      <c r="H89" s="46"/>
      <c r="I89" s="46"/>
      <c r="J89" s="46"/>
      <c r="K89" s="46"/>
      <c r="L89" s="254">
        <f>SUM(K$5:K89)</f>
        <v>25505372.670000002</v>
      </c>
      <c r="AM89" s="18">
        <f>+AM88</f>
        <v>11750</v>
      </c>
      <c r="AN89" s="18">
        <f>+AN88</f>
        <v>14462</v>
      </c>
      <c r="AO89" s="18">
        <f t="shared" si="26"/>
        <v>10433.333333333334</v>
      </c>
      <c r="AP89" s="18">
        <f t="shared" si="28"/>
        <v>11115.2</v>
      </c>
      <c r="AQ89" s="18">
        <f t="shared" si="30"/>
        <v>5334.166666666667</v>
      </c>
      <c r="AR89" s="18">
        <f t="shared" si="33"/>
        <v>841.66666666666663</v>
      </c>
      <c r="AS89" s="18">
        <f t="shared" si="39"/>
        <v>533.33333333333337</v>
      </c>
      <c r="AT89" s="18">
        <f t="shared" si="43"/>
        <v>616.66666666666663</v>
      </c>
      <c r="AU89" s="18">
        <f t="shared" si="43"/>
        <v>233.33333333333334</v>
      </c>
      <c r="AW89" s="254">
        <f t="shared" si="49"/>
        <v>55319.700000000004</v>
      </c>
      <c r="AX89" s="254">
        <f>SUM(AW$5:AW89)</f>
        <v>25401770.070000008</v>
      </c>
      <c r="AY89" s="254">
        <f t="shared" si="50"/>
        <v>103602.59999999404</v>
      </c>
      <c r="AZ89" s="254">
        <f t="shared" si="51"/>
        <v>158922.29999999329</v>
      </c>
      <c r="CM89" s="22">
        <f t="shared" si="63"/>
        <v>0</v>
      </c>
      <c r="CN89" s="22">
        <f t="shared" si="64"/>
        <v>55319.700000000004</v>
      </c>
      <c r="CO89" s="18">
        <f t="shared" si="65"/>
        <v>55319.700000000004</v>
      </c>
      <c r="CP89" s="18">
        <f>+CO89*'Capital Structure '!$P$30</f>
        <v>15550.36767</v>
      </c>
      <c r="CQ89" s="18">
        <f t="shared" si="54"/>
        <v>-29122.690859995731</v>
      </c>
    </row>
    <row r="90" spans="1:95" outlineLevel="1">
      <c r="A90" s="74" t="s">
        <v>46</v>
      </c>
      <c r="B90" s="74">
        <f t="shared" si="52"/>
        <v>2020</v>
      </c>
      <c r="C90" s="449" t="s">
        <v>47</v>
      </c>
      <c r="D90" s="46"/>
      <c r="E90" s="46"/>
      <c r="F90" s="46"/>
      <c r="G90" s="46"/>
      <c r="H90" s="46"/>
      <c r="I90" s="46"/>
      <c r="J90" s="46"/>
      <c r="K90" s="46"/>
      <c r="L90" s="254">
        <f>SUM(K$5:K90)</f>
        <v>25505372.670000002</v>
      </c>
      <c r="AN90" s="18">
        <f>+AN89</f>
        <v>14462</v>
      </c>
      <c r="AO90" s="18">
        <f t="shared" si="26"/>
        <v>10433.333333333334</v>
      </c>
      <c r="AP90" s="18">
        <f t="shared" si="28"/>
        <v>11115.2</v>
      </c>
      <c r="AQ90" s="18">
        <f t="shared" si="30"/>
        <v>5334.166666666667</v>
      </c>
      <c r="AR90" s="18">
        <f t="shared" si="33"/>
        <v>841.66666666666663</v>
      </c>
      <c r="AS90" s="18">
        <f t="shared" si="39"/>
        <v>533.33333333333337</v>
      </c>
      <c r="AT90" s="18">
        <f t="shared" si="43"/>
        <v>616.66666666666663</v>
      </c>
      <c r="AU90" s="18">
        <f t="shared" si="43"/>
        <v>233.33333333333334</v>
      </c>
      <c r="AW90" s="254">
        <f t="shared" si="49"/>
        <v>43569.700000000004</v>
      </c>
      <c r="AX90" s="254">
        <f>SUM(AW$5:AW90)</f>
        <v>25445339.770000007</v>
      </c>
      <c r="AY90" s="254">
        <f t="shared" si="50"/>
        <v>60032.899999994785</v>
      </c>
      <c r="AZ90" s="254">
        <f t="shared" si="51"/>
        <v>103602.59999999404</v>
      </c>
      <c r="CM90" s="22">
        <f t="shared" si="63"/>
        <v>0</v>
      </c>
      <c r="CN90" s="78">
        <f t="shared" si="64"/>
        <v>43569.700000000004</v>
      </c>
      <c r="CO90" s="254">
        <f t="shared" si="65"/>
        <v>43569.700000000004</v>
      </c>
      <c r="CP90" s="254">
        <f>+CO90*'Capital Structure '!$P$30</f>
        <v>12247.44267</v>
      </c>
      <c r="CQ90" s="254">
        <f t="shared" si="54"/>
        <v>-16875.248189995731</v>
      </c>
    </row>
    <row r="91" spans="1:95" outlineLevel="1">
      <c r="A91" s="74" t="s">
        <v>48</v>
      </c>
      <c r="B91" s="74">
        <f t="shared" si="52"/>
        <v>2020</v>
      </c>
      <c r="C91" s="449" t="s">
        <v>47</v>
      </c>
      <c r="D91" s="46"/>
      <c r="E91" s="46"/>
      <c r="F91" s="46"/>
      <c r="G91" s="46"/>
      <c r="H91" s="46"/>
      <c r="I91" s="46"/>
      <c r="J91" s="46"/>
      <c r="K91" s="46"/>
      <c r="L91" s="254">
        <f>SUM(K$5:K91)</f>
        <v>25505372.670000002</v>
      </c>
      <c r="AO91" s="18">
        <f t="shared" si="26"/>
        <v>10433.333333333334</v>
      </c>
      <c r="AP91" s="18">
        <f t="shared" si="28"/>
        <v>11115.2</v>
      </c>
      <c r="AQ91" s="18">
        <f t="shared" si="30"/>
        <v>5334.166666666667</v>
      </c>
      <c r="AR91" s="18">
        <f t="shared" si="33"/>
        <v>841.66666666666663</v>
      </c>
      <c r="AS91" s="18">
        <f t="shared" si="39"/>
        <v>533.33333333333337</v>
      </c>
      <c r="AT91" s="18">
        <f t="shared" si="43"/>
        <v>616.66666666666663</v>
      </c>
      <c r="AU91" s="18">
        <f t="shared" si="43"/>
        <v>233.33333333333334</v>
      </c>
      <c r="AW91" s="254">
        <f t="shared" si="49"/>
        <v>29107.7</v>
      </c>
      <c r="AX91" s="254">
        <f>SUM(AW$5:AW91)</f>
        <v>25474447.470000006</v>
      </c>
      <c r="AY91" s="254">
        <f t="shared" si="50"/>
        <v>30925.19999999553</v>
      </c>
      <c r="AZ91" s="254">
        <f t="shared" si="51"/>
        <v>60032.899999994785</v>
      </c>
      <c r="CM91" s="22">
        <f t="shared" si="63"/>
        <v>0</v>
      </c>
      <c r="CN91" s="78">
        <f t="shared" si="64"/>
        <v>29107.7</v>
      </c>
      <c r="CO91" s="254">
        <f t="shared" si="65"/>
        <v>29107.7</v>
      </c>
      <c r="CP91" s="254">
        <f>+CO91*'Capital Structure '!$P$30</f>
        <v>8182.174469999999</v>
      </c>
      <c r="CQ91" s="254">
        <f t="shared" si="54"/>
        <v>-8693.073719995733</v>
      </c>
    </row>
    <row r="92" spans="1:95" outlineLevel="1">
      <c r="A92" s="74" t="s">
        <v>50</v>
      </c>
      <c r="B92" s="74">
        <f t="shared" si="52"/>
        <v>2020</v>
      </c>
      <c r="C92" s="449" t="s">
        <v>47</v>
      </c>
      <c r="D92" s="46"/>
      <c r="E92" s="46"/>
      <c r="F92" s="46"/>
      <c r="G92" s="46"/>
      <c r="H92" s="46"/>
      <c r="I92" s="46"/>
      <c r="J92" s="46"/>
      <c r="K92" s="46"/>
      <c r="L92" s="254">
        <f>SUM(K$5:K92)</f>
        <v>25505372.670000002</v>
      </c>
      <c r="AP92" s="18">
        <f t="shared" si="28"/>
        <v>11115.2</v>
      </c>
      <c r="AQ92" s="18">
        <f t="shared" si="30"/>
        <v>5334.166666666667</v>
      </c>
      <c r="AR92" s="18">
        <f t="shared" si="33"/>
        <v>841.66666666666663</v>
      </c>
      <c r="AS92" s="18">
        <f t="shared" si="39"/>
        <v>533.33333333333337</v>
      </c>
      <c r="AT92" s="18">
        <f t="shared" si="43"/>
        <v>616.66666666666663</v>
      </c>
      <c r="AU92" s="18">
        <f t="shared" si="43"/>
        <v>233.33333333333334</v>
      </c>
      <c r="AW92" s="254">
        <f t="shared" si="49"/>
        <v>18674.366666666669</v>
      </c>
      <c r="AX92" s="254">
        <f>SUM(AW$5:AW92)</f>
        <v>25493121.836666673</v>
      </c>
      <c r="AY92" s="254">
        <f t="shared" si="50"/>
        <v>12250.833333328366</v>
      </c>
      <c r="AZ92" s="254">
        <f t="shared" si="51"/>
        <v>30925.19999999553</v>
      </c>
      <c r="CM92" s="22">
        <f t="shared" si="63"/>
        <v>0</v>
      </c>
      <c r="CN92" s="78">
        <f t="shared" si="64"/>
        <v>18674.366666666669</v>
      </c>
      <c r="CO92" s="254">
        <f t="shared" si="65"/>
        <v>18674.366666666669</v>
      </c>
      <c r="CP92" s="254">
        <f>+CO92*'Capital Structure '!$P$30</f>
        <v>5249.3644699999995</v>
      </c>
      <c r="CQ92" s="254">
        <f t="shared" si="54"/>
        <v>-3443.7092499957334</v>
      </c>
    </row>
    <row r="93" spans="1:95" outlineLevel="1">
      <c r="A93" s="74" t="s">
        <v>51</v>
      </c>
      <c r="B93" s="74">
        <f t="shared" si="52"/>
        <v>2020</v>
      </c>
      <c r="C93" s="449" t="s">
        <v>47</v>
      </c>
      <c r="D93" s="46"/>
      <c r="E93" s="46"/>
      <c r="F93" s="46"/>
      <c r="G93" s="46"/>
      <c r="H93" s="46"/>
      <c r="I93" s="46"/>
      <c r="J93" s="46"/>
      <c r="K93" s="46"/>
      <c r="L93" s="254">
        <f>SUM(K$5:K93)</f>
        <v>25505372.670000002</v>
      </c>
      <c r="AQ93" s="18">
        <f t="shared" si="30"/>
        <v>5334.166666666667</v>
      </c>
      <c r="AR93" s="18">
        <f t="shared" si="33"/>
        <v>841.66666666666663</v>
      </c>
      <c r="AS93" s="18">
        <f t="shared" si="39"/>
        <v>533.33333333333337</v>
      </c>
      <c r="AT93" s="18">
        <f t="shared" si="43"/>
        <v>616.66666666666663</v>
      </c>
      <c r="AU93" s="18">
        <f t="shared" si="43"/>
        <v>233.33333333333334</v>
      </c>
      <c r="AW93" s="254">
        <f t="shared" si="49"/>
        <v>7559.166666666667</v>
      </c>
      <c r="AX93" s="254">
        <f>SUM(AW$5:AW93)</f>
        <v>25500681.003333341</v>
      </c>
      <c r="AY93" s="254">
        <f t="shared" si="50"/>
        <v>4691.6666666604578</v>
      </c>
      <c r="AZ93" s="254">
        <f t="shared" si="51"/>
        <v>12250.833333328366</v>
      </c>
      <c r="CM93" s="22">
        <f t="shared" si="63"/>
        <v>0</v>
      </c>
      <c r="CN93" s="78">
        <f t="shared" si="64"/>
        <v>7559.166666666667</v>
      </c>
      <c r="CO93" s="254">
        <f t="shared" si="65"/>
        <v>7559.166666666667</v>
      </c>
      <c r="CP93" s="254">
        <f>+CO93*'Capital Structure '!$P$30</f>
        <v>2124.88175</v>
      </c>
      <c r="CQ93" s="254">
        <f t="shared" si="54"/>
        <v>-1318.8274999957334</v>
      </c>
    </row>
    <row r="94" spans="1:95" outlineLevel="1">
      <c r="A94" s="454" t="s">
        <v>52</v>
      </c>
      <c r="B94" s="454">
        <f t="shared" si="52"/>
        <v>2020</v>
      </c>
      <c r="C94" s="449" t="s">
        <v>47</v>
      </c>
      <c r="D94" s="455"/>
      <c r="E94" s="455"/>
      <c r="F94" s="455"/>
      <c r="G94" s="455"/>
      <c r="H94" s="455"/>
      <c r="I94" s="455"/>
      <c r="J94" s="455"/>
      <c r="K94" s="455"/>
      <c r="L94" s="456">
        <f>SUM(K$5:K94)</f>
        <v>25505372.670000002</v>
      </c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1">
        <f t="shared" si="33"/>
        <v>841.66666666666663</v>
      </c>
      <c r="AS94" s="121">
        <f t="shared" si="39"/>
        <v>533.33333333333337</v>
      </c>
      <c r="AT94" s="121">
        <f t="shared" si="43"/>
        <v>616.66666666666663</v>
      </c>
      <c r="AU94" s="121">
        <f t="shared" si="43"/>
        <v>233.33333333333334</v>
      </c>
      <c r="AV94" s="126"/>
      <c r="AW94" s="456">
        <f t="shared" si="49"/>
        <v>2225</v>
      </c>
      <c r="AX94" s="456">
        <f>SUM(AW$5:AW94)</f>
        <v>25502906.003333341</v>
      </c>
      <c r="AY94" s="456">
        <f t="shared" si="50"/>
        <v>2466.6666666604578</v>
      </c>
      <c r="AZ94" s="456">
        <f t="shared" si="51"/>
        <v>4691.6666666604578</v>
      </c>
      <c r="BA94" s="126"/>
      <c r="BB94" s="126"/>
      <c r="BC94" s="126"/>
      <c r="BD94" s="126"/>
      <c r="BE94" s="126"/>
      <c r="BF94" s="126"/>
      <c r="BG94" s="126"/>
      <c r="BH94" s="126"/>
      <c r="BI94" s="126"/>
      <c r="BJ94" s="126"/>
      <c r="BK94" s="126"/>
      <c r="BL94" s="126"/>
      <c r="BM94" s="126"/>
      <c r="BN94" s="126"/>
      <c r="BO94" s="126"/>
      <c r="BP94" s="126"/>
      <c r="BQ94" s="126"/>
      <c r="BR94" s="126"/>
      <c r="BS94" s="126"/>
      <c r="BT94" s="126"/>
      <c r="BU94" s="126"/>
      <c r="BV94" s="126"/>
      <c r="BW94" s="126"/>
      <c r="BX94" s="126"/>
      <c r="BY94" s="126"/>
      <c r="BZ94" s="126"/>
      <c r="CA94" s="126"/>
      <c r="CB94" s="126"/>
      <c r="CC94" s="126"/>
      <c r="CD94" s="126"/>
      <c r="CE94" s="126"/>
      <c r="CF94" s="126"/>
      <c r="CG94" s="126"/>
      <c r="CH94" s="126"/>
      <c r="CI94" s="126"/>
      <c r="CJ94" s="126"/>
      <c r="CK94" s="126"/>
      <c r="CL94" s="126"/>
      <c r="CM94" s="211">
        <f t="shared" si="63"/>
        <v>0</v>
      </c>
      <c r="CN94" s="457">
        <f t="shared" si="64"/>
        <v>2225</v>
      </c>
      <c r="CO94" s="456">
        <f t="shared" si="65"/>
        <v>2225</v>
      </c>
      <c r="CP94" s="456">
        <f>+CO94*'Capital Structure '!$P$30</f>
        <v>625.44749999999988</v>
      </c>
      <c r="CQ94" s="456">
        <f t="shared" si="54"/>
        <v>-693.37999999573356</v>
      </c>
    </row>
    <row r="95" spans="1:95" outlineLevel="1">
      <c r="A95" s="74" t="s">
        <v>53</v>
      </c>
      <c r="B95" s="74">
        <f>+B94+1</f>
        <v>2021</v>
      </c>
      <c r="C95" s="449" t="s">
        <v>47</v>
      </c>
      <c r="D95" s="46"/>
      <c r="E95" s="46"/>
      <c r="F95" s="46"/>
      <c r="G95" s="46"/>
      <c r="H95" s="46"/>
      <c r="I95" s="46"/>
      <c r="J95" s="46"/>
      <c r="K95" s="46"/>
      <c r="L95" s="254">
        <f>SUM(K$5:K95)</f>
        <v>25505372.670000002</v>
      </c>
      <c r="AS95" s="18">
        <f t="shared" si="39"/>
        <v>533.33333333333337</v>
      </c>
      <c r="AT95" s="18">
        <f t="shared" si="43"/>
        <v>616.66666666666663</v>
      </c>
      <c r="AU95" s="18">
        <f t="shared" si="43"/>
        <v>233.33333333333334</v>
      </c>
      <c r="AW95" s="254">
        <f t="shared" si="49"/>
        <v>1383.3333333333333</v>
      </c>
      <c r="AX95" s="254">
        <f>SUM(AW$5:AW95)</f>
        <v>25504289.336666673</v>
      </c>
      <c r="AY95" s="254">
        <f t="shared" si="50"/>
        <v>1083.3333333283663</v>
      </c>
      <c r="AZ95" s="254">
        <f t="shared" si="51"/>
        <v>2466.6666666604578</v>
      </c>
      <c r="CM95" s="22">
        <f t="shared" si="63"/>
        <v>0</v>
      </c>
      <c r="CN95" s="22">
        <f t="shared" si="64"/>
        <v>1383.3333333333333</v>
      </c>
      <c r="CO95" s="18">
        <f t="shared" si="65"/>
        <v>1383.3333333333333</v>
      </c>
      <c r="CP95" s="18">
        <f>+CO95*'Capital Structure '!$P$30</f>
        <v>388.8549999999999</v>
      </c>
      <c r="CQ95" s="18">
        <f t="shared" si="54"/>
        <v>-304.52499999573365</v>
      </c>
    </row>
    <row r="96" spans="1:95" outlineLevel="1">
      <c r="A96" s="74" t="s">
        <v>54</v>
      </c>
      <c r="B96" s="74">
        <f t="shared" si="52"/>
        <v>2021</v>
      </c>
      <c r="C96" s="449" t="s">
        <v>47</v>
      </c>
      <c r="D96" s="46"/>
      <c r="E96" s="46"/>
      <c r="F96" s="46"/>
      <c r="G96" s="46"/>
      <c r="H96" s="46"/>
      <c r="I96" s="46"/>
      <c r="J96" s="46"/>
      <c r="K96" s="46"/>
      <c r="L96" s="254">
        <f>SUM(K$5:K96)</f>
        <v>25505372.670000002</v>
      </c>
      <c r="AT96" s="18">
        <f t="shared" si="43"/>
        <v>616.66666666666663</v>
      </c>
      <c r="AU96" s="18">
        <f t="shared" si="43"/>
        <v>233.33333333333334</v>
      </c>
      <c r="AW96" s="254">
        <f t="shared" si="49"/>
        <v>850</v>
      </c>
      <c r="AX96" s="254">
        <f>SUM(AW$5:AW96)</f>
        <v>25505139.336666673</v>
      </c>
      <c r="AY96" s="254">
        <f t="shared" si="50"/>
        <v>233.33333332836628</v>
      </c>
      <c r="AZ96" s="254">
        <f t="shared" si="51"/>
        <v>1083.3333333283663</v>
      </c>
      <c r="CM96" s="22">
        <f t="shared" si="63"/>
        <v>0</v>
      </c>
      <c r="CN96" s="22">
        <f t="shared" si="64"/>
        <v>850</v>
      </c>
      <c r="CO96" s="18">
        <f t="shared" si="65"/>
        <v>850</v>
      </c>
      <c r="CP96" s="18">
        <f>+CO96*'Capital Structure '!$P$30</f>
        <v>238.93499999999997</v>
      </c>
      <c r="CQ96" s="18">
        <f t="shared" si="54"/>
        <v>-65.589999995733677</v>
      </c>
    </row>
    <row r="97" spans="1:95" outlineLevel="1">
      <c r="A97" s="74" t="s">
        <v>55</v>
      </c>
      <c r="B97" s="74">
        <f t="shared" si="52"/>
        <v>2021</v>
      </c>
      <c r="C97" s="449" t="s">
        <v>47</v>
      </c>
      <c r="D97" s="46"/>
      <c r="E97" s="46"/>
      <c r="F97" s="46"/>
      <c r="G97" s="46"/>
      <c r="H97" s="46"/>
      <c r="I97" s="46"/>
      <c r="J97" s="46"/>
      <c r="K97" s="46"/>
      <c r="L97" s="254">
        <f>SUM(K$5:K97)</f>
        <v>25505372.670000002</v>
      </c>
      <c r="AU97" s="18">
        <f>AU96</f>
        <v>233.33333333333334</v>
      </c>
      <c r="AW97" s="254">
        <f t="shared" si="49"/>
        <v>233.33333333333334</v>
      </c>
      <c r="AX97" s="254">
        <f>SUM(AW$5:AW97)</f>
        <v>25505372.670000006</v>
      </c>
      <c r="AY97" s="254">
        <f t="shared" si="50"/>
        <v>0</v>
      </c>
      <c r="AZ97" s="254">
        <f t="shared" si="51"/>
        <v>233.33333332836628</v>
      </c>
      <c r="CM97" s="22">
        <f t="shared" si="63"/>
        <v>0</v>
      </c>
      <c r="CN97" s="22">
        <f t="shared" si="64"/>
        <v>233.33333333333334</v>
      </c>
      <c r="CO97" s="18">
        <f t="shared" si="65"/>
        <v>233.33333333333334</v>
      </c>
      <c r="CP97" s="18">
        <f>+CO97*'Capital Structure '!$P$30</f>
        <v>65.589999999999989</v>
      </c>
      <c r="CQ97" s="18">
        <f t="shared" si="54"/>
        <v>4.2663117483243695E-9</v>
      </c>
    </row>
    <row r="98" spans="1:95">
      <c r="AU98" s="18"/>
      <c r="AW98" s="18"/>
      <c r="AX98" s="18"/>
      <c r="AY98" s="18"/>
      <c r="AZ98" s="18"/>
    </row>
  </sheetData>
  <mergeCells count="3">
    <mergeCell ref="D1:K1"/>
    <mergeCell ref="N1:AW1"/>
    <mergeCell ref="BB1:CK1"/>
  </mergeCells>
  <pageMargins left="0.45" right="0.2" top="0.75" bottom="0.5" header="0.3" footer="0.3"/>
  <pageSetup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>
    <tabColor rgb="FF00B0F0"/>
    <pageSetUpPr fitToPage="1"/>
  </sheetPr>
  <dimension ref="A1:AY214"/>
  <sheetViews>
    <sheetView zoomScaleNormal="100" workbookViewId="0">
      <pane xSplit="4" ySplit="3" topLeftCell="G139" activePane="bottomRight" state="frozen"/>
      <selection pane="topRight" activeCell="E1" sqref="E1"/>
      <selection pane="bottomLeft" activeCell="A4" sqref="A4"/>
      <selection pane="bottomRight" activeCell="AS111" sqref="AS111"/>
    </sheetView>
  </sheetViews>
  <sheetFormatPr defaultColWidth="9.140625" defaultRowHeight="12.75" outlineLevelRow="1" outlineLevelCol="1"/>
  <cols>
    <col min="1" max="3" width="9.140625" style="3"/>
    <col min="4" max="4" width="3.7109375" style="3" customWidth="1"/>
    <col min="5" max="5" width="12.85546875" style="3" bestFit="1" customWidth="1"/>
    <col min="6" max="6" width="11.28515625" style="3" customWidth="1"/>
    <col min="7" max="7" width="12.85546875" style="3" bestFit="1" customWidth="1"/>
    <col min="8" max="8" width="14.5703125" style="3" customWidth="1"/>
    <col min="9" max="9" width="2.42578125" style="3" customWidth="1"/>
    <col min="10" max="10" width="11.7109375" style="3" customWidth="1"/>
    <col min="11" max="11" width="11.5703125" style="3" customWidth="1"/>
    <col min="12" max="12" width="2.85546875" style="3" customWidth="1"/>
    <col min="13" max="13" width="15" style="3" bestFit="1" customWidth="1"/>
    <col min="14" max="14" width="3.140625" style="3" customWidth="1"/>
    <col min="15" max="17" width="10.28515625" style="3" hidden="1" customWidth="1" outlineLevel="1"/>
    <col min="18" max="18" width="10.85546875" style="3" hidden="1" customWidth="1" outlineLevel="1"/>
    <col min="19" max="21" width="10.28515625" style="3" hidden="1" customWidth="1" outlineLevel="1"/>
    <col min="22" max="22" width="10.140625" style="3" hidden="1" customWidth="1" outlineLevel="1"/>
    <col min="23" max="23" width="10.85546875" style="3" hidden="1" customWidth="1" outlineLevel="1"/>
    <col min="24" max="24" width="11.28515625" style="3" hidden="1" customWidth="1" outlineLevel="1"/>
    <col min="25" max="25" width="11.140625" style="3" hidden="1" customWidth="1" outlineLevel="1"/>
    <col min="26" max="26" width="10.5703125" style="3" hidden="1" customWidth="1" outlineLevel="1"/>
    <col min="27" max="27" width="10.42578125" style="3" hidden="1" customWidth="1" outlineLevel="1"/>
    <col min="28" max="28" width="10" style="3" hidden="1" customWidth="1" outlineLevel="1"/>
    <col min="29" max="30" width="11.140625" style="3" hidden="1" customWidth="1" outlineLevel="1"/>
    <col min="31" max="31" width="12.140625" style="3" hidden="1" customWidth="1" outlineLevel="1"/>
    <col min="32" max="44" width="11.42578125" style="3" hidden="1" customWidth="1" outlineLevel="1"/>
    <col min="45" max="45" width="11.42578125" style="3" customWidth="1" collapsed="1"/>
    <col min="46" max="47" width="11.42578125" style="3" customWidth="1"/>
    <col min="48" max="48" width="9.5703125" style="3" customWidth="1"/>
    <col min="49" max="49" width="6.140625" style="3" customWidth="1"/>
    <col min="50" max="50" width="11.140625" style="3" customWidth="1"/>
    <col min="51" max="16384" width="9.140625" style="3"/>
  </cols>
  <sheetData>
    <row r="1" spans="1:51">
      <c r="D1" s="694" t="s">
        <v>12</v>
      </c>
      <c r="E1" s="694"/>
      <c r="F1" s="694"/>
      <c r="G1" s="694"/>
      <c r="H1" s="694"/>
      <c r="I1" s="694"/>
      <c r="J1" s="694"/>
      <c r="K1" s="694"/>
      <c r="L1" s="694"/>
      <c r="M1" s="5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  <c r="AV1" s="694"/>
      <c r="AW1" s="694"/>
      <c r="AX1" s="694"/>
    </row>
    <row r="2" spans="1:51" ht="51">
      <c r="A2" s="325"/>
      <c r="B2" s="325"/>
      <c r="C2" s="7" t="s">
        <v>16</v>
      </c>
      <c r="D2" s="51"/>
      <c r="E2" s="213" t="s">
        <v>145</v>
      </c>
      <c r="F2" s="213" t="s">
        <v>146</v>
      </c>
      <c r="G2" s="213" t="s">
        <v>104</v>
      </c>
      <c r="H2" s="214" t="s">
        <v>149</v>
      </c>
      <c r="I2" s="120"/>
      <c r="J2" s="51" t="s">
        <v>99</v>
      </c>
      <c r="K2" s="51" t="s">
        <v>100</v>
      </c>
      <c r="L2" s="52"/>
      <c r="M2" s="52" t="s">
        <v>101</v>
      </c>
      <c r="N2" s="325"/>
      <c r="O2" s="220">
        <v>41456</v>
      </c>
      <c r="P2" s="220">
        <f t="shared" ref="P2:AB2" si="0">+O2+31</f>
        <v>41487</v>
      </c>
      <c r="Q2" s="220">
        <f t="shared" si="0"/>
        <v>41518</v>
      </c>
      <c r="R2" s="220">
        <f t="shared" si="0"/>
        <v>41549</v>
      </c>
      <c r="S2" s="220">
        <f t="shared" si="0"/>
        <v>41580</v>
      </c>
      <c r="T2" s="220">
        <f t="shared" si="0"/>
        <v>41611</v>
      </c>
      <c r="U2" s="220">
        <f t="shared" si="0"/>
        <v>41642</v>
      </c>
      <c r="V2" s="220">
        <f t="shared" si="0"/>
        <v>41673</v>
      </c>
      <c r="W2" s="220">
        <f t="shared" si="0"/>
        <v>41704</v>
      </c>
      <c r="X2" s="220">
        <f t="shared" si="0"/>
        <v>41735</v>
      </c>
      <c r="Y2" s="220">
        <f t="shared" si="0"/>
        <v>41766</v>
      </c>
      <c r="Z2" s="220">
        <f t="shared" si="0"/>
        <v>41797</v>
      </c>
      <c r="AA2" s="220">
        <f t="shared" si="0"/>
        <v>41828</v>
      </c>
      <c r="AB2" s="220">
        <f t="shared" si="0"/>
        <v>41859</v>
      </c>
      <c r="AC2" s="220">
        <f>+AB2+31</f>
        <v>41890</v>
      </c>
      <c r="AD2" s="220">
        <f>+AC2+31</f>
        <v>41921</v>
      </c>
      <c r="AE2" s="220">
        <f>+AD2+31</f>
        <v>41952</v>
      </c>
      <c r="AF2" s="220">
        <f>+AE2+31</f>
        <v>41983</v>
      </c>
      <c r="AG2" s="220">
        <f t="shared" ref="AG2:AO2" si="1">+AF2+31</f>
        <v>42014</v>
      </c>
      <c r="AH2" s="220">
        <f t="shared" si="1"/>
        <v>42045</v>
      </c>
      <c r="AI2" s="220">
        <f t="shared" si="1"/>
        <v>42076</v>
      </c>
      <c r="AJ2" s="220">
        <f t="shared" si="1"/>
        <v>42107</v>
      </c>
      <c r="AK2" s="220">
        <f t="shared" si="1"/>
        <v>42138</v>
      </c>
      <c r="AL2" s="220">
        <f t="shared" si="1"/>
        <v>42169</v>
      </c>
      <c r="AM2" s="220">
        <f t="shared" si="1"/>
        <v>42200</v>
      </c>
      <c r="AN2" s="220">
        <f t="shared" si="1"/>
        <v>42231</v>
      </c>
      <c r="AO2" s="220">
        <f t="shared" si="1"/>
        <v>42262</v>
      </c>
      <c r="AP2" s="220">
        <f t="shared" ref="AP2:AV2" si="2">+AO2+31</f>
        <v>42293</v>
      </c>
      <c r="AQ2" s="220">
        <f t="shared" si="2"/>
        <v>42324</v>
      </c>
      <c r="AR2" s="220">
        <f t="shared" si="2"/>
        <v>42355</v>
      </c>
      <c r="AS2" s="220">
        <f t="shared" si="2"/>
        <v>42386</v>
      </c>
      <c r="AT2" s="220">
        <f t="shared" si="2"/>
        <v>42417</v>
      </c>
      <c r="AU2" s="220">
        <f t="shared" si="2"/>
        <v>42448</v>
      </c>
      <c r="AV2" s="220">
        <f t="shared" si="2"/>
        <v>42479</v>
      </c>
      <c r="AW2" s="220"/>
      <c r="AX2" s="325" t="s">
        <v>69</v>
      </c>
      <c r="AY2" s="325"/>
    </row>
    <row r="3" spans="1:51" s="4" customFormat="1" ht="15.75">
      <c r="A3" s="29" t="s">
        <v>27</v>
      </c>
      <c r="C3" s="29" t="s">
        <v>28</v>
      </c>
      <c r="D3" s="208"/>
      <c r="E3" s="208"/>
      <c r="F3" s="208"/>
      <c r="G3" s="208"/>
      <c r="H3" s="9"/>
      <c r="I3" s="9"/>
      <c r="J3" s="208" t="s">
        <v>67</v>
      </c>
      <c r="K3" s="208"/>
      <c r="L3" s="9"/>
      <c r="M3" s="9"/>
    </row>
    <row r="4" spans="1:51" s="335" customFormat="1">
      <c r="A4" s="327"/>
      <c r="B4" s="327"/>
      <c r="C4" s="327"/>
      <c r="D4" s="518"/>
      <c r="E4" s="39"/>
      <c r="F4" s="39"/>
      <c r="G4" s="39"/>
      <c r="H4" s="518"/>
      <c r="I4" s="518"/>
      <c r="J4" s="614"/>
      <c r="K4" s="39"/>
      <c r="L4" s="518"/>
      <c r="M4" s="584"/>
    </row>
    <row r="5" spans="1:51" s="335" customFormat="1" outlineLevel="1">
      <c r="A5" s="327" t="s">
        <v>59</v>
      </c>
      <c r="B5" s="327">
        <v>2013</v>
      </c>
      <c r="C5" s="327" t="s">
        <v>47</v>
      </c>
      <c r="D5" s="518"/>
      <c r="E5" s="92">
        <v>1630610</v>
      </c>
      <c r="F5" s="92">
        <v>24958</v>
      </c>
      <c r="G5" s="39">
        <f t="shared" ref="G5:G46" si="3">SUM(E5:F5)</f>
        <v>1655568</v>
      </c>
      <c r="H5" s="518">
        <f>G5</f>
        <v>1655568</v>
      </c>
      <c r="I5" s="518"/>
      <c r="J5" s="615">
        <f>7581.38+83.34</f>
        <v>7664.72</v>
      </c>
      <c r="K5" s="92">
        <f>SUM(J$5:J5)</f>
        <v>7664.72</v>
      </c>
      <c r="L5" s="518"/>
      <c r="M5" s="92">
        <f t="shared" ref="M5:M36" si="4">+H5-K5</f>
        <v>1647903.28</v>
      </c>
      <c r="O5" s="39">
        <f>(+$G5)/120</f>
        <v>13796.4</v>
      </c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>
        <f t="shared" ref="AX5:AX36" si="5">SUM(O5:AV5)</f>
        <v>13796.4</v>
      </c>
    </row>
    <row r="6" spans="1:51" s="335" customFormat="1" outlineLevel="1">
      <c r="A6" s="327" t="s">
        <v>46</v>
      </c>
      <c r="B6" s="327">
        <f>+B5</f>
        <v>2013</v>
      </c>
      <c r="C6" s="327" t="s">
        <v>47</v>
      </c>
      <c r="D6" s="518"/>
      <c r="E6" s="92">
        <v>1141114.5</v>
      </c>
      <c r="F6" s="92">
        <v>25559.25</v>
      </c>
      <c r="G6" s="39">
        <f t="shared" si="3"/>
        <v>1166673.75</v>
      </c>
      <c r="H6" s="518">
        <f>SUM(G5:G6)</f>
        <v>2822241.75</v>
      </c>
      <c r="I6" s="518"/>
      <c r="J6" s="615">
        <f>19884.98+83.34</f>
        <v>19968.32</v>
      </c>
      <c r="K6" s="92">
        <f>SUM(J$5:J6)</f>
        <v>27633.040000000001</v>
      </c>
      <c r="L6" s="518"/>
      <c r="M6" s="92">
        <f t="shared" si="4"/>
        <v>2794608.71</v>
      </c>
      <c r="O6" s="39">
        <f t="shared" ref="O6:T15" si="6">+O5</f>
        <v>13796.4</v>
      </c>
      <c r="P6" s="39">
        <f>(+$G6)/120</f>
        <v>9722.28125</v>
      </c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>
        <f t="shared" si="5"/>
        <v>23518.681250000001</v>
      </c>
    </row>
    <row r="7" spans="1:51" s="335" customFormat="1" outlineLevel="1">
      <c r="A7" s="327" t="s">
        <v>48</v>
      </c>
      <c r="B7" s="327">
        <f>+B6</f>
        <v>2013</v>
      </c>
      <c r="C7" s="327" t="s">
        <v>47</v>
      </c>
      <c r="D7" s="518"/>
      <c r="E7" s="92">
        <v>1421471.98</v>
      </c>
      <c r="F7" s="92">
        <v>28172.5</v>
      </c>
      <c r="G7" s="39">
        <f t="shared" si="3"/>
        <v>1449644.48</v>
      </c>
      <c r="H7" s="518">
        <f>SUM(G5:G7)</f>
        <v>4271886.2300000004</v>
      </c>
      <c r="I7" s="518"/>
      <c r="J7" s="615">
        <v>26758.7</v>
      </c>
      <c r="K7" s="92">
        <f>SUM(J$5:J7)</f>
        <v>54391.740000000005</v>
      </c>
      <c r="L7" s="518"/>
      <c r="M7" s="92">
        <f t="shared" si="4"/>
        <v>4217494.49</v>
      </c>
      <c r="O7" s="39">
        <f t="shared" si="6"/>
        <v>13796.4</v>
      </c>
      <c r="P7" s="39">
        <f t="shared" si="6"/>
        <v>9722.28125</v>
      </c>
      <c r="Q7" s="39">
        <f>(+$G7)/120</f>
        <v>12080.370666666666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>
        <f t="shared" si="5"/>
        <v>35599.051916666664</v>
      </c>
    </row>
    <row r="8" spans="1:51" s="335" customFormat="1" outlineLevel="1">
      <c r="A8" s="327" t="s">
        <v>50</v>
      </c>
      <c r="B8" s="327">
        <f>+B7</f>
        <v>2013</v>
      </c>
      <c r="C8" s="327" t="s">
        <v>47</v>
      </c>
      <c r="D8" s="518"/>
      <c r="E8" s="92">
        <v>1821207.88</v>
      </c>
      <c r="F8" s="92">
        <v>10000</v>
      </c>
      <c r="G8" s="39">
        <f t="shared" si="3"/>
        <v>1831207.88</v>
      </c>
      <c r="H8" s="518">
        <f>SUM(G5:G8)</f>
        <v>6103094.1100000003</v>
      </c>
      <c r="I8" s="518"/>
      <c r="J8" s="615">
        <f>43501.65+2333.52</f>
        <v>45835.17</v>
      </c>
      <c r="K8" s="39">
        <f>SUM(J$5:J8)</f>
        <v>100226.91</v>
      </c>
      <c r="L8" s="518"/>
      <c r="M8" s="92">
        <f t="shared" si="4"/>
        <v>6002867.2000000002</v>
      </c>
      <c r="O8" s="39">
        <f t="shared" si="6"/>
        <v>13796.4</v>
      </c>
      <c r="P8" s="39">
        <f t="shared" si="6"/>
        <v>9722.28125</v>
      </c>
      <c r="Q8" s="39">
        <f t="shared" si="6"/>
        <v>12080.370666666666</v>
      </c>
      <c r="R8" s="39">
        <f>(+$G8)/120</f>
        <v>15260.065666666665</v>
      </c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>
        <f t="shared" si="5"/>
        <v>50859.117583333325</v>
      </c>
    </row>
    <row r="9" spans="1:51" s="335" customFormat="1" outlineLevel="1">
      <c r="A9" s="327" t="s">
        <v>51</v>
      </c>
      <c r="B9" s="327">
        <f>+B8</f>
        <v>2013</v>
      </c>
      <c r="C9" s="327" t="s">
        <v>47</v>
      </c>
      <c r="D9" s="518"/>
      <c r="E9" s="92">
        <v>1901405</v>
      </c>
      <c r="F9" s="92">
        <v>11884</v>
      </c>
      <c r="G9" s="92">
        <f t="shared" si="3"/>
        <v>1913289</v>
      </c>
      <c r="H9" s="518">
        <f>SUM(G5:G9)</f>
        <v>8016383.1100000003</v>
      </c>
      <c r="I9" s="518"/>
      <c r="J9" s="614">
        <v>49867.79</v>
      </c>
      <c r="K9" s="39">
        <f>SUM(J$5:J9)</f>
        <v>150094.70000000001</v>
      </c>
      <c r="L9" s="518"/>
      <c r="M9" s="92">
        <f t="shared" si="4"/>
        <v>7866288.4100000001</v>
      </c>
      <c r="O9" s="39">
        <f t="shared" si="6"/>
        <v>13796.4</v>
      </c>
      <c r="P9" s="39">
        <f t="shared" si="6"/>
        <v>9722.28125</v>
      </c>
      <c r="Q9" s="39">
        <f t="shared" si="6"/>
        <v>12080.370666666666</v>
      </c>
      <c r="R9" s="39">
        <f t="shared" si="6"/>
        <v>15260.065666666665</v>
      </c>
      <c r="S9" s="39">
        <f>(+$G9)/120</f>
        <v>15944.075000000001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>
        <f t="shared" si="5"/>
        <v>66803.192583333323</v>
      </c>
      <c r="AY9" s="585"/>
    </row>
    <row r="10" spans="1:51" s="335" customFormat="1" outlineLevel="1">
      <c r="A10" s="332" t="s">
        <v>52</v>
      </c>
      <c r="B10" s="332">
        <f>+B9</f>
        <v>2013</v>
      </c>
      <c r="C10" s="332" t="s">
        <v>47</v>
      </c>
      <c r="D10" s="212"/>
      <c r="E10" s="588">
        <v>2068073</v>
      </c>
      <c r="F10" s="588">
        <v>44360.95</v>
      </c>
      <c r="G10" s="588">
        <f t="shared" si="3"/>
        <v>2112433.9500000002</v>
      </c>
      <c r="H10" s="212">
        <f>SUM(G5:G10)</f>
        <v>10128817.060000001</v>
      </c>
      <c r="I10" s="212"/>
      <c r="J10" s="614">
        <v>96306.99</v>
      </c>
      <c r="K10" s="212">
        <f>SUM(J$5:J10)</f>
        <v>246401.69</v>
      </c>
      <c r="L10" s="212"/>
      <c r="M10" s="588">
        <f t="shared" si="4"/>
        <v>9882415.370000001</v>
      </c>
      <c r="N10" s="333"/>
      <c r="O10" s="212">
        <f t="shared" si="6"/>
        <v>13796.4</v>
      </c>
      <c r="P10" s="212">
        <f t="shared" si="6"/>
        <v>9722.28125</v>
      </c>
      <c r="Q10" s="212">
        <f t="shared" si="6"/>
        <v>12080.370666666666</v>
      </c>
      <c r="R10" s="212">
        <f t="shared" si="6"/>
        <v>15260.065666666665</v>
      </c>
      <c r="S10" s="212">
        <f t="shared" si="6"/>
        <v>15944.075000000001</v>
      </c>
      <c r="T10" s="212">
        <f>(+$G10)/120</f>
        <v>17603.616250000003</v>
      </c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>
        <f t="shared" si="5"/>
        <v>84406.808833333329</v>
      </c>
      <c r="AY10" s="585"/>
    </row>
    <row r="11" spans="1:51" s="335" customFormat="1" outlineLevel="1">
      <c r="A11" s="327" t="s">
        <v>53</v>
      </c>
      <c r="B11" s="327">
        <v>2014</v>
      </c>
      <c r="C11" s="327" t="s">
        <v>47</v>
      </c>
      <c r="D11" s="518"/>
      <c r="E11" s="583">
        <f>1263517.5+6500</f>
        <v>1270017.5</v>
      </c>
      <c r="F11" s="92">
        <v>42707</v>
      </c>
      <c r="G11" s="92">
        <f t="shared" si="3"/>
        <v>1312724.5</v>
      </c>
      <c r="H11" s="518">
        <f>SUM(G5:G11)</f>
        <v>11441541.560000001</v>
      </c>
      <c r="I11" s="518"/>
      <c r="J11" s="614">
        <f>117048.14+108.34</f>
        <v>117156.48</v>
      </c>
      <c r="K11" s="39">
        <f>SUM(J$5:J11)</f>
        <v>363558.17</v>
      </c>
      <c r="L11" s="518"/>
      <c r="M11" s="92">
        <f t="shared" si="4"/>
        <v>11077983.390000001</v>
      </c>
      <c r="O11" s="39">
        <f t="shared" si="6"/>
        <v>13796.4</v>
      </c>
      <c r="P11" s="39">
        <f t="shared" si="6"/>
        <v>9722.28125</v>
      </c>
      <c r="Q11" s="39">
        <f t="shared" si="6"/>
        <v>12080.370666666666</v>
      </c>
      <c r="R11" s="39">
        <f t="shared" si="6"/>
        <v>15260.065666666665</v>
      </c>
      <c r="S11" s="39">
        <f t="shared" si="6"/>
        <v>15944.075000000001</v>
      </c>
      <c r="T11" s="39">
        <f t="shared" si="6"/>
        <v>17603.616250000003</v>
      </c>
      <c r="U11" s="39">
        <f>(+$G11)/120</f>
        <v>10939.370833333332</v>
      </c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>
        <f t="shared" si="5"/>
        <v>95346.179666666663</v>
      </c>
      <c r="AY11" s="585"/>
    </row>
    <row r="12" spans="1:51" s="335" customFormat="1" outlineLevel="1">
      <c r="A12" s="308" t="s">
        <v>54</v>
      </c>
      <c r="B12" s="327">
        <v>2014</v>
      </c>
      <c r="C12" s="327" t="s">
        <v>47</v>
      </c>
      <c r="D12" s="518"/>
      <c r="E12" s="39">
        <v>1795822.85</v>
      </c>
      <c r="F12" s="39">
        <v>33431</v>
      </c>
      <c r="G12" s="39">
        <f t="shared" si="3"/>
        <v>1829253.85</v>
      </c>
      <c r="H12" s="518">
        <f>SUM(G5:G12)</f>
        <v>13270795.41</v>
      </c>
      <c r="I12" s="518"/>
      <c r="J12" s="614">
        <v>107925.93</v>
      </c>
      <c r="K12" s="39">
        <f>SUM(J$5:J12)</f>
        <v>471484.1</v>
      </c>
      <c r="L12" s="518"/>
      <c r="M12" s="92">
        <f t="shared" si="4"/>
        <v>12799311.310000001</v>
      </c>
      <c r="N12" s="585"/>
      <c r="O12" s="518">
        <f t="shared" si="6"/>
        <v>13796.4</v>
      </c>
      <c r="P12" s="518">
        <f t="shared" si="6"/>
        <v>9722.28125</v>
      </c>
      <c r="Q12" s="518">
        <f t="shared" si="6"/>
        <v>12080.370666666666</v>
      </c>
      <c r="R12" s="518">
        <f t="shared" si="6"/>
        <v>15260.065666666665</v>
      </c>
      <c r="S12" s="518">
        <f t="shared" si="6"/>
        <v>15944.075000000001</v>
      </c>
      <c r="T12" s="518">
        <f t="shared" si="6"/>
        <v>17603.616250000003</v>
      </c>
      <c r="U12" s="39">
        <f>+U11</f>
        <v>10939.370833333332</v>
      </c>
      <c r="V12" s="39">
        <f>(+$G12)/120</f>
        <v>15243.782083333334</v>
      </c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518"/>
      <c r="AH12" s="518"/>
      <c r="AI12" s="518"/>
      <c r="AJ12" s="518"/>
      <c r="AK12" s="518"/>
      <c r="AL12" s="518"/>
      <c r="AM12" s="518"/>
      <c r="AN12" s="518"/>
      <c r="AO12" s="518"/>
      <c r="AP12" s="518"/>
      <c r="AQ12" s="518"/>
      <c r="AR12" s="518"/>
      <c r="AS12" s="518"/>
      <c r="AT12" s="518"/>
      <c r="AU12" s="518"/>
      <c r="AV12" s="518"/>
      <c r="AW12" s="518"/>
      <c r="AX12" s="39">
        <f t="shared" si="5"/>
        <v>110589.96175</v>
      </c>
      <c r="AY12" s="585"/>
    </row>
    <row r="13" spans="1:51" s="335" customFormat="1" outlineLevel="1">
      <c r="A13" s="308" t="s">
        <v>55</v>
      </c>
      <c r="B13" s="327">
        <v>2014</v>
      </c>
      <c r="C13" s="327" t="s">
        <v>47</v>
      </c>
      <c r="D13" s="518"/>
      <c r="E13" s="39">
        <v>1268307.31</v>
      </c>
      <c r="F13" s="39">
        <v>53852</v>
      </c>
      <c r="G13" s="39">
        <f t="shared" si="3"/>
        <v>1322159.31</v>
      </c>
      <c r="H13" s="518">
        <f>SUM(G5:G13)</f>
        <v>14592954.720000001</v>
      </c>
      <c r="I13" s="518"/>
      <c r="J13" s="614">
        <v>126981.5</v>
      </c>
      <c r="K13" s="39">
        <f>SUM(J$5:J13)</f>
        <v>598465.6</v>
      </c>
      <c r="L13" s="518"/>
      <c r="M13" s="92">
        <f t="shared" si="4"/>
        <v>13994489.120000001</v>
      </c>
      <c r="N13" s="585"/>
      <c r="O13" s="518">
        <f t="shared" si="6"/>
        <v>13796.4</v>
      </c>
      <c r="P13" s="518">
        <f t="shared" si="6"/>
        <v>9722.28125</v>
      </c>
      <c r="Q13" s="518">
        <f t="shared" si="6"/>
        <v>12080.370666666666</v>
      </c>
      <c r="R13" s="518">
        <f t="shared" si="6"/>
        <v>15260.065666666665</v>
      </c>
      <c r="S13" s="518">
        <f t="shared" si="6"/>
        <v>15944.075000000001</v>
      </c>
      <c r="T13" s="518">
        <f t="shared" si="6"/>
        <v>17603.616250000003</v>
      </c>
      <c r="U13" s="39">
        <f>+U12</f>
        <v>10939.370833333332</v>
      </c>
      <c r="V13" s="39">
        <f>+V12</f>
        <v>15243.782083333334</v>
      </c>
      <c r="W13" s="39">
        <f>(+$G13)/120</f>
        <v>11017.99425</v>
      </c>
      <c r="X13" s="39"/>
      <c r="Y13" s="39"/>
      <c r="Z13" s="39"/>
      <c r="AA13" s="39"/>
      <c r="AB13" s="39"/>
      <c r="AC13" s="39"/>
      <c r="AD13" s="39"/>
      <c r="AE13" s="39"/>
      <c r="AF13" s="39"/>
      <c r="AG13" s="518"/>
      <c r="AH13" s="518"/>
      <c r="AI13" s="518"/>
      <c r="AJ13" s="518"/>
      <c r="AK13" s="518"/>
      <c r="AL13" s="518"/>
      <c r="AM13" s="518"/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39">
        <f t="shared" si="5"/>
        <v>121607.95600000001</v>
      </c>
      <c r="AY13" s="585"/>
    </row>
    <row r="14" spans="1:51" s="335" customFormat="1" outlineLevel="1">
      <c r="A14" s="308" t="s">
        <v>56</v>
      </c>
      <c r="B14" s="327">
        <v>2014</v>
      </c>
      <c r="C14" s="327" t="s">
        <v>47</v>
      </c>
      <c r="D14" s="518"/>
      <c r="E14" s="39">
        <f>2021712.46+6500</f>
        <v>2028212.46</v>
      </c>
      <c r="F14" s="39">
        <v>70059.75</v>
      </c>
      <c r="G14" s="39">
        <f t="shared" si="3"/>
        <v>2098272.21</v>
      </c>
      <c r="H14" s="518">
        <f>SUM(G5:G14)</f>
        <v>16691226.93</v>
      </c>
      <c r="I14" s="518"/>
      <c r="J14" s="614">
        <v>168000.1</v>
      </c>
      <c r="K14" s="39">
        <f>SUM(J$5:J14)</f>
        <v>766465.7</v>
      </c>
      <c r="L14" s="518"/>
      <c r="M14" s="92">
        <f t="shared" si="4"/>
        <v>15924761.23</v>
      </c>
      <c r="N14" s="585"/>
      <c r="O14" s="518">
        <f t="shared" si="6"/>
        <v>13796.4</v>
      </c>
      <c r="P14" s="518">
        <f t="shared" si="6"/>
        <v>9722.28125</v>
      </c>
      <c r="Q14" s="518">
        <f t="shared" si="6"/>
        <v>12080.370666666666</v>
      </c>
      <c r="R14" s="518">
        <f t="shared" si="6"/>
        <v>15260.065666666665</v>
      </c>
      <c r="S14" s="518">
        <f t="shared" si="6"/>
        <v>15944.075000000001</v>
      </c>
      <c r="T14" s="518">
        <f t="shared" si="6"/>
        <v>17603.616250000003</v>
      </c>
      <c r="U14" s="39">
        <f>+U13</f>
        <v>10939.370833333332</v>
      </c>
      <c r="V14" s="39">
        <f>+V13</f>
        <v>15243.782083333334</v>
      </c>
      <c r="W14" s="39">
        <f>+W13</f>
        <v>11017.99425</v>
      </c>
      <c r="X14" s="39">
        <f>(+$G14)/120</f>
        <v>17485.601749999998</v>
      </c>
      <c r="Y14" s="39"/>
      <c r="Z14" s="39"/>
      <c r="AA14" s="39"/>
      <c r="AB14" s="39"/>
      <c r="AC14" s="39"/>
      <c r="AD14" s="39"/>
      <c r="AE14" s="39"/>
      <c r="AF14" s="39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  <c r="AX14" s="39">
        <f t="shared" si="5"/>
        <v>139093.55775000001</v>
      </c>
      <c r="AY14" s="585"/>
    </row>
    <row r="15" spans="1:51" s="335" customFormat="1" outlineLevel="1">
      <c r="A15" s="308" t="s">
        <v>57</v>
      </c>
      <c r="B15" s="327">
        <v>2014</v>
      </c>
      <c r="C15" s="327" t="s">
        <v>47</v>
      </c>
      <c r="D15" s="518"/>
      <c r="E15" s="39">
        <v>1236725</v>
      </c>
      <c r="F15" s="39">
        <v>70092.75</v>
      </c>
      <c r="G15" s="39">
        <f t="shared" si="3"/>
        <v>1306817.75</v>
      </c>
      <c r="H15" s="518">
        <f>SUM(G5:G15)</f>
        <v>17998044.68</v>
      </c>
      <c r="I15" s="518"/>
      <c r="J15" s="614">
        <f>145161.45+433.36</f>
        <v>145594.81</v>
      </c>
      <c r="K15" s="39">
        <f>SUM(J$5:J15)</f>
        <v>912060.51</v>
      </c>
      <c r="L15" s="518"/>
      <c r="M15" s="92">
        <f t="shared" si="4"/>
        <v>17085984.169999998</v>
      </c>
      <c r="N15" s="585"/>
      <c r="O15" s="518">
        <f t="shared" si="6"/>
        <v>13796.4</v>
      </c>
      <c r="P15" s="518">
        <f t="shared" si="6"/>
        <v>9722.28125</v>
      </c>
      <c r="Q15" s="518">
        <f t="shared" si="6"/>
        <v>12080.370666666666</v>
      </c>
      <c r="R15" s="518">
        <f t="shared" si="6"/>
        <v>15260.065666666665</v>
      </c>
      <c r="S15" s="518">
        <f t="shared" si="6"/>
        <v>15944.075000000001</v>
      </c>
      <c r="T15" s="518">
        <f t="shared" si="6"/>
        <v>17603.616250000003</v>
      </c>
      <c r="U15" s="39">
        <f>+U14</f>
        <v>10939.370833333332</v>
      </c>
      <c r="V15" s="39">
        <f>+V14</f>
        <v>15243.782083333334</v>
      </c>
      <c r="W15" s="39">
        <f>+W14</f>
        <v>11017.99425</v>
      </c>
      <c r="X15" s="39">
        <f>+X14</f>
        <v>17485.601749999998</v>
      </c>
      <c r="Y15" s="39">
        <f>(+$G15)/120</f>
        <v>10890.147916666667</v>
      </c>
      <c r="Z15" s="39"/>
      <c r="AA15" s="39"/>
      <c r="AB15" s="39"/>
      <c r="AC15" s="39"/>
      <c r="AD15" s="39"/>
      <c r="AE15" s="39"/>
      <c r="AF15" s="39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8"/>
      <c r="AR15" s="518"/>
      <c r="AS15" s="518"/>
      <c r="AT15" s="518"/>
      <c r="AU15" s="518"/>
      <c r="AV15" s="518"/>
      <c r="AW15" s="518"/>
      <c r="AX15" s="39">
        <f t="shared" si="5"/>
        <v>149983.70566666668</v>
      </c>
      <c r="AY15" s="585"/>
    </row>
    <row r="16" spans="1:51" s="335" customFormat="1" outlineLevel="1">
      <c r="A16" s="308" t="s">
        <v>58</v>
      </c>
      <c r="B16" s="327">
        <v>2014</v>
      </c>
      <c r="C16" s="327" t="s">
        <v>47</v>
      </c>
      <c r="D16" s="518"/>
      <c r="E16" s="39">
        <f>841639.45+5450</f>
        <v>847089.45</v>
      </c>
      <c r="F16" s="39">
        <v>51554</v>
      </c>
      <c r="G16" s="39">
        <f t="shared" si="3"/>
        <v>898643.45</v>
      </c>
      <c r="H16" s="518">
        <f>SUM(G5:G16)</f>
        <v>18896688.129999999</v>
      </c>
      <c r="I16" s="518"/>
      <c r="J16" s="614">
        <f>164286.53+272.52</f>
        <v>164559.04999999999</v>
      </c>
      <c r="K16" s="39">
        <f>SUM(J$5:J16)</f>
        <v>1076619.56</v>
      </c>
      <c r="L16" s="518"/>
      <c r="M16" s="92">
        <f t="shared" si="4"/>
        <v>17820068.57</v>
      </c>
      <c r="N16" s="585"/>
      <c r="O16" s="518">
        <f t="shared" ref="O16:X31" si="7">+O15</f>
        <v>13796.4</v>
      </c>
      <c r="P16" s="518">
        <f t="shared" si="7"/>
        <v>9722.28125</v>
      </c>
      <c r="Q16" s="518">
        <f t="shared" si="7"/>
        <v>12080.370666666666</v>
      </c>
      <c r="R16" s="518">
        <f t="shared" si="7"/>
        <v>15260.065666666665</v>
      </c>
      <c r="S16" s="518">
        <f t="shared" si="7"/>
        <v>15944.075000000001</v>
      </c>
      <c r="T16" s="518">
        <f t="shared" si="7"/>
        <v>17603.616250000003</v>
      </c>
      <c r="U16" s="39">
        <f>+U15</f>
        <v>10939.370833333332</v>
      </c>
      <c r="V16" s="39">
        <f>+V15</f>
        <v>15243.782083333334</v>
      </c>
      <c r="W16" s="39">
        <f>+W15</f>
        <v>11017.99425</v>
      </c>
      <c r="X16" s="39">
        <f>+X15</f>
        <v>17485.601749999998</v>
      </c>
      <c r="Y16" s="39">
        <f>+Y15</f>
        <v>10890.147916666667</v>
      </c>
      <c r="Z16" s="39">
        <f>(+$G16)/120</f>
        <v>7488.6954166666665</v>
      </c>
      <c r="AA16" s="39"/>
      <c r="AB16" s="39"/>
      <c r="AC16" s="39"/>
      <c r="AD16" s="39"/>
      <c r="AE16" s="39"/>
      <c r="AF16" s="39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  <c r="AQ16" s="518"/>
      <c r="AR16" s="518"/>
      <c r="AS16" s="518"/>
      <c r="AT16" s="518"/>
      <c r="AU16" s="518"/>
      <c r="AV16" s="518"/>
      <c r="AW16" s="518"/>
      <c r="AX16" s="39">
        <f t="shared" si="5"/>
        <v>157472.40108333333</v>
      </c>
      <c r="AY16" s="585"/>
    </row>
    <row r="17" spans="1:51" s="335" customFormat="1" outlineLevel="1">
      <c r="A17" s="308" t="s">
        <v>59</v>
      </c>
      <c r="B17" s="327">
        <v>2014</v>
      </c>
      <c r="C17" s="327" t="s">
        <v>47</v>
      </c>
      <c r="D17" s="518"/>
      <c r="E17" s="39">
        <v>947706.55</v>
      </c>
      <c r="F17" s="39">
        <v>39391</v>
      </c>
      <c r="G17" s="39">
        <f t="shared" si="3"/>
        <v>987097.55</v>
      </c>
      <c r="H17" s="518">
        <f>SUM(G5:G17)</f>
        <v>19883785.68</v>
      </c>
      <c r="I17" s="518"/>
      <c r="J17" s="614">
        <f>200863.4+1625.1</f>
        <v>202488.5</v>
      </c>
      <c r="K17" s="39">
        <f>SUM(J$5:J17)</f>
        <v>1279108.06</v>
      </c>
      <c r="L17" s="518"/>
      <c r="M17" s="92">
        <f t="shared" si="4"/>
        <v>18604677.620000001</v>
      </c>
      <c r="N17" s="585"/>
      <c r="O17" s="518">
        <f t="shared" si="7"/>
        <v>13796.4</v>
      </c>
      <c r="P17" s="518">
        <f t="shared" si="7"/>
        <v>9722.28125</v>
      </c>
      <c r="Q17" s="518">
        <f t="shared" si="7"/>
        <v>12080.370666666666</v>
      </c>
      <c r="R17" s="518">
        <f t="shared" si="7"/>
        <v>15260.065666666665</v>
      </c>
      <c r="S17" s="518">
        <f t="shared" si="7"/>
        <v>15944.075000000001</v>
      </c>
      <c r="T17" s="518">
        <f t="shared" si="7"/>
        <v>17603.616250000003</v>
      </c>
      <c r="U17" s="39">
        <f t="shared" si="7"/>
        <v>10939.370833333332</v>
      </c>
      <c r="V17" s="39">
        <f t="shared" si="7"/>
        <v>15243.782083333334</v>
      </c>
      <c r="W17" s="39">
        <f t="shared" si="7"/>
        <v>11017.99425</v>
      </c>
      <c r="X17" s="39">
        <f t="shared" si="7"/>
        <v>17485.601749999998</v>
      </c>
      <c r="Y17" s="39">
        <f t="shared" ref="Y17:AJ31" si="8">+Y16</f>
        <v>10890.147916666667</v>
      </c>
      <c r="Z17" s="39">
        <f t="shared" si="8"/>
        <v>7488.6954166666665</v>
      </c>
      <c r="AA17" s="39">
        <f>(+$G17)/120</f>
        <v>8225.8129166666677</v>
      </c>
      <c r="AB17" s="39"/>
      <c r="AC17" s="39"/>
      <c r="AD17" s="39"/>
      <c r="AE17" s="39"/>
      <c r="AF17" s="39"/>
      <c r="AG17" s="518"/>
      <c r="AH17" s="518"/>
      <c r="AI17" s="518"/>
      <c r="AJ17" s="518"/>
      <c r="AK17" s="518"/>
      <c r="AL17" s="518"/>
      <c r="AM17" s="518"/>
      <c r="AN17" s="518"/>
      <c r="AO17" s="518"/>
      <c r="AP17" s="518"/>
      <c r="AQ17" s="518"/>
      <c r="AR17" s="518"/>
      <c r="AS17" s="518"/>
      <c r="AT17" s="518"/>
      <c r="AU17" s="518"/>
      <c r="AV17" s="518"/>
      <c r="AW17" s="518"/>
      <c r="AX17" s="39">
        <f t="shared" si="5"/>
        <v>165698.21400000001</v>
      </c>
      <c r="AY17" s="585"/>
    </row>
    <row r="18" spans="1:51" s="335" customFormat="1" outlineLevel="1">
      <c r="A18" s="308" t="s">
        <v>46</v>
      </c>
      <c r="B18" s="327">
        <v>2014</v>
      </c>
      <c r="C18" s="327" t="s">
        <v>47</v>
      </c>
      <c r="D18" s="518"/>
      <c r="E18" s="39">
        <f>953003.4+6500+6500+6500</f>
        <v>972503.4</v>
      </c>
      <c r="F18" s="39">
        <v>34175</v>
      </c>
      <c r="G18" s="39">
        <f t="shared" si="3"/>
        <v>1006678.4</v>
      </c>
      <c r="H18" s="518">
        <f>SUM(G5:G18)</f>
        <v>20890464.079999998</v>
      </c>
      <c r="I18" s="518"/>
      <c r="J18" s="614">
        <f>212081.46+108.34+650.04</f>
        <v>212839.84</v>
      </c>
      <c r="K18" s="39">
        <f>SUM(J$5:J18)</f>
        <v>1491947.9000000001</v>
      </c>
      <c r="L18" s="518"/>
      <c r="M18" s="92">
        <f t="shared" si="4"/>
        <v>19398516.18</v>
      </c>
      <c r="N18" s="585"/>
      <c r="O18" s="518">
        <f t="shared" si="7"/>
        <v>13796.4</v>
      </c>
      <c r="P18" s="518">
        <f t="shared" si="7"/>
        <v>9722.28125</v>
      </c>
      <c r="Q18" s="518">
        <f t="shared" si="7"/>
        <v>12080.370666666666</v>
      </c>
      <c r="R18" s="518">
        <f t="shared" si="7"/>
        <v>15260.065666666665</v>
      </c>
      <c r="S18" s="518">
        <f t="shared" si="7"/>
        <v>15944.075000000001</v>
      </c>
      <c r="T18" s="518">
        <f t="shared" si="7"/>
        <v>17603.616250000003</v>
      </c>
      <c r="U18" s="39">
        <f t="shared" si="7"/>
        <v>10939.370833333332</v>
      </c>
      <c r="V18" s="39">
        <f t="shared" si="7"/>
        <v>15243.782083333334</v>
      </c>
      <c r="W18" s="39">
        <f t="shared" si="7"/>
        <v>11017.99425</v>
      </c>
      <c r="X18" s="39">
        <f t="shared" si="7"/>
        <v>17485.601749999998</v>
      </c>
      <c r="Y18" s="39">
        <f t="shared" si="8"/>
        <v>10890.147916666667</v>
      </c>
      <c r="Z18" s="39">
        <f t="shared" si="8"/>
        <v>7488.6954166666665</v>
      </c>
      <c r="AA18" s="39">
        <f t="shared" si="8"/>
        <v>8225.8129166666677</v>
      </c>
      <c r="AB18" s="39">
        <f>(+$G18)/120</f>
        <v>8388.9866666666676</v>
      </c>
      <c r="AC18" s="39"/>
      <c r="AD18" s="39"/>
      <c r="AE18" s="39"/>
      <c r="AF18" s="39"/>
      <c r="AG18" s="518"/>
      <c r="AH18" s="518"/>
      <c r="AI18" s="518"/>
      <c r="AJ18" s="518"/>
      <c r="AK18" s="518"/>
      <c r="AL18" s="518"/>
      <c r="AM18" s="518"/>
      <c r="AN18" s="518"/>
      <c r="AO18" s="518"/>
      <c r="AP18" s="518"/>
      <c r="AQ18" s="518"/>
      <c r="AR18" s="518"/>
      <c r="AS18" s="518"/>
      <c r="AT18" s="518"/>
      <c r="AU18" s="518"/>
      <c r="AV18" s="518"/>
      <c r="AW18" s="518"/>
      <c r="AX18" s="39">
        <f t="shared" si="5"/>
        <v>174087.20066666667</v>
      </c>
      <c r="AY18" s="585"/>
    </row>
    <row r="19" spans="1:51" s="335" customFormat="1" outlineLevel="1">
      <c r="A19" s="308" t="s">
        <v>48</v>
      </c>
      <c r="B19" s="327">
        <v>2014</v>
      </c>
      <c r="C19" s="327" t="s">
        <v>47</v>
      </c>
      <c r="D19" s="518"/>
      <c r="E19" s="39">
        <f>1588256.31+6500+6500</f>
        <v>1601256.31</v>
      </c>
      <c r="F19" s="39">
        <v>51040.3</v>
      </c>
      <c r="G19" s="39">
        <f t="shared" si="3"/>
        <v>1652296.61</v>
      </c>
      <c r="H19" s="518">
        <f>SUM(G5:G19)</f>
        <v>22542760.689999998</v>
      </c>
      <c r="I19" s="518"/>
      <c r="J19" s="614">
        <f>185629.85+433.36+541.7</f>
        <v>186604.91</v>
      </c>
      <c r="K19" s="39">
        <f>SUM(J$5:J19)</f>
        <v>1678552.81</v>
      </c>
      <c r="L19" s="518"/>
      <c r="M19" s="92">
        <f t="shared" si="4"/>
        <v>20864207.879999999</v>
      </c>
      <c r="N19" s="585"/>
      <c r="O19" s="518">
        <f t="shared" si="7"/>
        <v>13796.4</v>
      </c>
      <c r="P19" s="518">
        <f t="shared" si="7"/>
        <v>9722.28125</v>
      </c>
      <c r="Q19" s="518">
        <f t="shared" si="7"/>
        <v>12080.370666666666</v>
      </c>
      <c r="R19" s="518">
        <f t="shared" si="7"/>
        <v>15260.065666666665</v>
      </c>
      <c r="S19" s="518">
        <f t="shared" si="7"/>
        <v>15944.075000000001</v>
      </c>
      <c r="T19" s="518">
        <f t="shared" si="7"/>
        <v>17603.616250000003</v>
      </c>
      <c r="U19" s="39">
        <f t="shared" si="7"/>
        <v>10939.370833333332</v>
      </c>
      <c r="V19" s="39">
        <f t="shared" si="7"/>
        <v>15243.782083333334</v>
      </c>
      <c r="W19" s="39">
        <f t="shared" si="7"/>
        <v>11017.99425</v>
      </c>
      <c r="X19" s="39">
        <f t="shared" si="7"/>
        <v>17485.601749999998</v>
      </c>
      <c r="Y19" s="39">
        <f t="shared" si="8"/>
        <v>10890.147916666667</v>
      </c>
      <c r="Z19" s="39">
        <f t="shared" si="8"/>
        <v>7488.6954166666665</v>
      </c>
      <c r="AA19" s="39">
        <f t="shared" si="8"/>
        <v>8225.8129166666677</v>
      </c>
      <c r="AB19" s="39">
        <f t="shared" si="8"/>
        <v>8388.9866666666676</v>
      </c>
      <c r="AC19" s="39">
        <f>(+$G19)/120</f>
        <v>13769.138416666667</v>
      </c>
      <c r="AD19" s="39"/>
      <c r="AE19" s="39"/>
      <c r="AF19" s="39"/>
      <c r="AG19" s="518"/>
      <c r="AH19" s="518"/>
      <c r="AI19" s="518"/>
      <c r="AJ19" s="518"/>
      <c r="AK19" s="518"/>
      <c r="AL19" s="518"/>
      <c r="AM19" s="518"/>
      <c r="AN19" s="518"/>
      <c r="AO19" s="518"/>
      <c r="AP19" s="518"/>
      <c r="AQ19" s="518"/>
      <c r="AR19" s="518"/>
      <c r="AS19" s="518"/>
      <c r="AT19" s="518"/>
      <c r="AU19" s="518"/>
      <c r="AV19" s="518"/>
      <c r="AW19" s="518"/>
      <c r="AX19" s="39">
        <f t="shared" si="5"/>
        <v>187856.33908333333</v>
      </c>
      <c r="AY19" s="585"/>
    </row>
    <row r="20" spans="1:51" s="335" customFormat="1" outlineLevel="1">
      <c r="A20" s="308" t="s">
        <v>50</v>
      </c>
      <c r="B20" s="327">
        <v>2014</v>
      </c>
      <c r="C20" s="327" t="s">
        <v>47</v>
      </c>
      <c r="D20" s="518"/>
      <c r="E20" s="39">
        <f>1020568.55+6500</f>
        <v>1027068.55</v>
      </c>
      <c r="F20" s="39">
        <v>16960</v>
      </c>
      <c r="G20" s="39">
        <f t="shared" si="3"/>
        <v>1044028.55</v>
      </c>
      <c r="H20" s="518">
        <f>SUM(G5:G20)</f>
        <v>23586789.239999998</v>
      </c>
      <c r="I20" s="518"/>
      <c r="J20" s="614">
        <f>208053.59+108.34+325.02</f>
        <v>208486.94999999998</v>
      </c>
      <c r="K20" s="39">
        <f>SUM(J$5:J20)</f>
        <v>1887039.76</v>
      </c>
      <c r="L20" s="518"/>
      <c r="M20" s="92">
        <f t="shared" si="4"/>
        <v>21699749.479999997</v>
      </c>
      <c r="N20" s="585"/>
      <c r="O20" s="518">
        <f t="shared" si="7"/>
        <v>13796.4</v>
      </c>
      <c r="P20" s="518">
        <f t="shared" si="7"/>
        <v>9722.28125</v>
      </c>
      <c r="Q20" s="518">
        <f t="shared" si="7"/>
        <v>12080.370666666666</v>
      </c>
      <c r="R20" s="518">
        <f t="shared" si="7"/>
        <v>15260.065666666665</v>
      </c>
      <c r="S20" s="518">
        <f t="shared" si="7"/>
        <v>15944.075000000001</v>
      </c>
      <c r="T20" s="518">
        <f t="shared" si="7"/>
        <v>17603.616250000003</v>
      </c>
      <c r="U20" s="39">
        <f t="shared" si="7"/>
        <v>10939.370833333332</v>
      </c>
      <c r="V20" s="39">
        <f t="shared" si="7"/>
        <v>15243.782083333334</v>
      </c>
      <c r="W20" s="39">
        <f t="shared" si="7"/>
        <v>11017.99425</v>
      </c>
      <c r="X20" s="39">
        <f t="shared" si="7"/>
        <v>17485.601749999998</v>
      </c>
      <c r="Y20" s="39">
        <f t="shared" si="8"/>
        <v>10890.147916666667</v>
      </c>
      <c r="Z20" s="39">
        <f t="shared" si="8"/>
        <v>7488.6954166666665</v>
      </c>
      <c r="AA20" s="39">
        <f t="shared" si="8"/>
        <v>8225.8129166666677</v>
      </c>
      <c r="AB20" s="39">
        <f t="shared" si="8"/>
        <v>8388.9866666666676</v>
      </c>
      <c r="AC20" s="39">
        <f>+AC19</f>
        <v>13769.138416666667</v>
      </c>
      <c r="AD20" s="39">
        <f>(+$G20)/120</f>
        <v>8700.2379166666669</v>
      </c>
      <c r="AE20" s="39"/>
      <c r="AF20" s="39"/>
      <c r="AG20" s="518"/>
      <c r="AH20" s="518"/>
      <c r="AI20" s="518"/>
      <c r="AJ20" s="518"/>
      <c r="AK20" s="518"/>
      <c r="AL20" s="518"/>
      <c r="AM20" s="518"/>
      <c r="AN20" s="518"/>
      <c r="AO20" s="518"/>
      <c r="AP20" s="518"/>
      <c r="AQ20" s="518"/>
      <c r="AR20" s="518"/>
      <c r="AS20" s="518"/>
      <c r="AT20" s="518"/>
      <c r="AU20" s="518"/>
      <c r="AV20" s="518"/>
      <c r="AW20" s="518"/>
      <c r="AX20" s="39">
        <f t="shared" si="5"/>
        <v>196556.57699999999</v>
      </c>
      <c r="AY20" s="585"/>
    </row>
    <row r="21" spans="1:51" s="335" customFormat="1" outlineLevel="1">
      <c r="A21" s="308" t="s">
        <v>51</v>
      </c>
      <c r="B21" s="327">
        <v>2014</v>
      </c>
      <c r="C21" s="327" t="s">
        <v>47</v>
      </c>
      <c r="D21" s="518"/>
      <c r="E21" s="39">
        <f>1158760.5+6500+5975</f>
        <v>1171235.5</v>
      </c>
      <c r="F21" s="39">
        <v>28562</v>
      </c>
      <c r="G21" s="39">
        <f t="shared" si="3"/>
        <v>1199797.5</v>
      </c>
      <c r="H21" s="518">
        <f>SUM(G5:G21)</f>
        <v>24786586.739999998</v>
      </c>
      <c r="I21" s="518"/>
      <c r="J21" s="614">
        <v>164393.48000000001</v>
      </c>
      <c r="K21" s="39">
        <f>SUM(J$5:J21)</f>
        <v>2051433.24</v>
      </c>
      <c r="L21" s="518"/>
      <c r="M21" s="92">
        <f t="shared" si="4"/>
        <v>22735153.5</v>
      </c>
      <c r="N21" s="585"/>
      <c r="O21" s="518">
        <f t="shared" si="7"/>
        <v>13796.4</v>
      </c>
      <c r="P21" s="518">
        <f t="shared" si="7"/>
        <v>9722.28125</v>
      </c>
      <c r="Q21" s="518">
        <f t="shared" si="7"/>
        <v>12080.370666666666</v>
      </c>
      <c r="R21" s="518">
        <f t="shared" si="7"/>
        <v>15260.065666666665</v>
      </c>
      <c r="S21" s="518">
        <f t="shared" si="7"/>
        <v>15944.075000000001</v>
      </c>
      <c r="T21" s="518">
        <f t="shared" si="7"/>
        <v>17603.616250000003</v>
      </c>
      <c r="U21" s="39">
        <f t="shared" si="7"/>
        <v>10939.370833333332</v>
      </c>
      <c r="V21" s="39">
        <f t="shared" si="7"/>
        <v>15243.782083333334</v>
      </c>
      <c r="W21" s="39">
        <f t="shared" si="7"/>
        <v>11017.99425</v>
      </c>
      <c r="X21" s="39">
        <f t="shared" si="7"/>
        <v>17485.601749999998</v>
      </c>
      <c r="Y21" s="39">
        <f t="shared" si="8"/>
        <v>10890.147916666667</v>
      </c>
      <c r="Z21" s="39">
        <f t="shared" si="8"/>
        <v>7488.6954166666665</v>
      </c>
      <c r="AA21" s="39">
        <f t="shared" si="8"/>
        <v>8225.8129166666677</v>
      </c>
      <c r="AB21" s="39">
        <f t="shared" si="8"/>
        <v>8388.9866666666676</v>
      </c>
      <c r="AC21" s="39">
        <f t="shared" si="8"/>
        <v>13769.138416666667</v>
      </c>
      <c r="AD21" s="39">
        <f t="shared" si="8"/>
        <v>8700.2379166666669</v>
      </c>
      <c r="AE21" s="39">
        <f>(+$G21)/120</f>
        <v>9998.3125</v>
      </c>
      <c r="AF21" s="39"/>
      <c r="AG21" s="518"/>
      <c r="AH21" s="518"/>
      <c r="AI21" s="518"/>
      <c r="AJ21" s="518"/>
      <c r="AK21" s="518"/>
      <c r="AL21" s="518"/>
      <c r="AM21" s="518"/>
      <c r="AN21" s="518"/>
      <c r="AO21" s="518"/>
      <c r="AP21" s="518"/>
      <c r="AQ21" s="518"/>
      <c r="AR21" s="518"/>
      <c r="AS21" s="518"/>
      <c r="AT21" s="518"/>
      <c r="AU21" s="518"/>
      <c r="AV21" s="518"/>
      <c r="AW21" s="518"/>
      <c r="AX21" s="39">
        <f t="shared" si="5"/>
        <v>206554.88949999999</v>
      </c>
      <c r="AY21" s="585"/>
    </row>
    <row r="22" spans="1:51" s="335" customFormat="1" outlineLevel="1">
      <c r="A22" s="332" t="s">
        <v>52</v>
      </c>
      <c r="B22" s="332">
        <v>2014</v>
      </c>
      <c r="C22" s="332" t="s">
        <v>47</v>
      </c>
      <c r="D22" s="212"/>
      <c r="E22" s="212">
        <f>1216549.32+6500</f>
        <v>1223049.32</v>
      </c>
      <c r="F22" s="212">
        <v>20907</v>
      </c>
      <c r="G22" s="212">
        <f t="shared" si="3"/>
        <v>1243956.32</v>
      </c>
      <c r="H22" s="212">
        <f>SUM($G$5:G22)</f>
        <v>26030543.059999999</v>
      </c>
      <c r="I22" s="212"/>
      <c r="J22" s="614">
        <f>234770.41+325.02+199.18</f>
        <v>235294.61</v>
      </c>
      <c r="K22" s="212">
        <f>SUM(J$5:J22)</f>
        <v>2286727.85</v>
      </c>
      <c r="L22" s="212"/>
      <c r="M22" s="588">
        <f t="shared" si="4"/>
        <v>23743815.209999997</v>
      </c>
      <c r="N22" s="333"/>
      <c r="O22" s="212">
        <f t="shared" si="7"/>
        <v>13796.4</v>
      </c>
      <c r="P22" s="212">
        <f t="shared" si="7"/>
        <v>9722.28125</v>
      </c>
      <c r="Q22" s="212">
        <f t="shared" si="7"/>
        <v>12080.370666666666</v>
      </c>
      <c r="R22" s="212">
        <f t="shared" si="7"/>
        <v>15260.065666666665</v>
      </c>
      <c r="S22" s="212">
        <f t="shared" si="7"/>
        <v>15944.075000000001</v>
      </c>
      <c r="T22" s="212">
        <f t="shared" si="7"/>
        <v>17603.616250000003</v>
      </c>
      <c r="U22" s="212">
        <f t="shared" si="7"/>
        <v>10939.370833333332</v>
      </c>
      <c r="V22" s="212">
        <f t="shared" si="7"/>
        <v>15243.782083333334</v>
      </c>
      <c r="W22" s="212">
        <f t="shared" si="7"/>
        <v>11017.99425</v>
      </c>
      <c r="X22" s="212">
        <f t="shared" si="7"/>
        <v>17485.601749999998</v>
      </c>
      <c r="Y22" s="212">
        <f t="shared" si="8"/>
        <v>10890.147916666667</v>
      </c>
      <c r="Z22" s="212">
        <f t="shared" si="8"/>
        <v>7488.6954166666665</v>
      </c>
      <c r="AA22" s="212">
        <f t="shared" si="8"/>
        <v>8225.8129166666677</v>
      </c>
      <c r="AB22" s="212">
        <f t="shared" si="8"/>
        <v>8388.9866666666676</v>
      </c>
      <c r="AC22" s="212">
        <f t="shared" si="8"/>
        <v>13769.138416666667</v>
      </c>
      <c r="AD22" s="212">
        <f t="shared" si="8"/>
        <v>8700.2379166666669</v>
      </c>
      <c r="AE22" s="212">
        <f t="shared" si="8"/>
        <v>9998.3125</v>
      </c>
      <c r="AF22" s="212">
        <f>(+$G22)/120</f>
        <v>10366.302666666666</v>
      </c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>
        <f t="shared" si="5"/>
        <v>216921.19216666665</v>
      </c>
      <c r="AY22" s="585"/>
    </row>
    <row r="23" spans="1:51" s="585" customFormat="1" outlineLevel="1">
      <c r="A23" s="308" t="s">
        <v>53</v>
      </c>
      <c r="B23" s="308">
        <f t="shared" ref="B23:B75" si="9">+B11+1</f>
        <v>2015</v>
      </c>
      <c r="C23" s="308" t="s">
        <v>47</v>
      </c>
      <c r="D23" s="518"/>
      <c r="E23" s="583">
        <f>1216421.75+6500+6400+6200+6500</f>
        <v>1242021.75</v>
      </c>
      <c r="F23" s="583">
        <v>45885.78</v>
      </c>
      <c r="G23" s="583">
        <f t="shared" si="3"/>
        <v>1287907.53</v>
      </c>
      <c r="H23" s="518">
        <f>SUM($G$5:G23)</f>
        <v>27318450.59</v>
      </c>
      <c r="I23" s="518"/>
      <c r="J23" s="614">
        <f>219469.96+106.67+433.36+206.68</f>
        <v>220216.66999999998</v>
      </c>
      <c r="K23" s="518">
        <f>SUM(J$5:J23)</f>
        <v>2506944.52</v>
      </c>
      <c r="L23" s="518"/>
      <c r="M23" s="583">
        <f t="shared" si="4"/>
        <v>24811506.07</v>
      </c>
      <c r="O23" s="518">
        <f t="shared" si="7"/>
        <v>13796.4</v>
      </c>
      <c r="P23" s="518">
        <f t="shared" si="7"/>
        <v>9722.28125</v>
      </c>
      <c r="Q23" s="518">
        <f t="shared" si="7"/>
        <v>12080.370666666666</v>
      </c>
      <c r="R23" s="518">
        <f t="shared" si="7"/>
        <v>15260.065666666665</v>
      </c>
      <c r="S23" s="518">
        <f t="shared" si="7"/>
        <v>15944.075000000001</v>
      </c>
      <c r="T23" s="518">
        <f t="shared" si="7"/>
        <v>17603.616250000003</v>
      </c>
      <c r="U23" s="518">
        <f t="shared" si="7"/>
        <v>10939.370833333332</v>
      </c>
      <c r="V23" s="518">
        <f t="shared" si="7"/>
        <v>15243.782083333334</v>
      </c>
      <c r="W23" s="518">
        <f t="shared" si="7"/>
        <v>11017.99425</v>
      </c>
      <c r="X23" s="518">
        <f t="shared" si="7"/>
        <v>17485.601749999998</v>
      </c>
      <c r="Y23" s="518">
        <f t="shared" si="8"/>
        <v>10890.147916666667</v>
      </c>
      <c r="Z23" s="518">
        <f t="shared" si="8"/>
        <v>7488.6954166666665</v>
      </c>
      <c r="AA23" s="518">
        <f t="shared" si="8"/>
        <v>8225.8129166666677</v>
      </c>
      <c r="AB23" s="518">
        <f t="shared" si="8"/>
        <v>8388.9866666666676</v>
      </c>
      <c r="AC23" s="518">
        <f t="shared" si="8"/>
        <v>13769.138416666667</v>
      </c>
      <c r="AD23" s="518">
        <f t="shared" si="8"/>
        <v>8700.2379166666669</v>
      </c>
      <c r="AE23" s="518">
        <f t="shared" si="8"/>
        <v>9998.3125</v>
      </c>
      <c r="AF23" s="518">
        <f t="shared" si="8"/>
        <v>10366.302666666666</v>
      </c>
      <c r="AG23" s="518">
        <f>(+$G23)/120</f>
        <v>10732.562750000001</v>
      </c>
      <c r="AH23" s="518"/>
      <c r="AI23" s="518"/>
      <c r="AJ23" s="518"/>
      <c r="AK23" s="518"/>
      <c r="AL23" s="518"/>
      <c r="AM23" s="518"/>
      <c r="AN23" s="518"/>
      <c r="AO23" s="518"/>
      <c r="AP23" s="518"/>
      <c r="AQ23" s="518"/>
      <c r="AR23" s="518"/>
      <c r="AS23" s="518"/>
      <c r="AT23" s="518"/>
      <c r="AU23" s="518"/>
      <c r="AV23" s="518"/>
      <c r="AW23" s="518"/>
      <c r="AX23" s="518">
        <f t="shared" si="5"/>
        <v>227653.75491666666</v>
      </c>
    </row>
    <row r="24" spans="1:51" s="335" customFormat="1" outlineLevel="1">
      <c r="A24" s="327" t="s">
        <v>54</v>
      </c>
      <c r="B24" s="327">
        <f t="shared" si="9"/>
        <v>2015</v>
      </c>
      <c r="C24" s="327" t="s">
        <v>47</v>
      </c>
      <c r="D24" s="518"/>
      <c r="E24" s="583">
        <f>1047119.08+6100</f>
        <v>1053219.08</v>
      </c>
      <c r="F24" s="92">
        <v>39450.949999999997</v>
      </c>
      <c r="G24" s="92">
        <f t="shared" si="3"/>
        <v>1092670.03</v>
      </c>
      <c r="H24" s="518">
        <f>SUM($G$5:G24)</f>
        <v>28411120.620000001</v>
      </c>
      <c r="I24" s="518"/>
      <c r="J24" s="614">
        <f>209152.98+433.36</f>
        <v>209586.34</v>
      </c>
      <c r="K24" s="39">
        <f>SUM(J$5:J24)</f>
        <v>2716530.86</v>
      </c>
      <c r="L24" s="518"/>
      <c r="M24" s="92">
        <f t="shared" si="4"/>
        <v>25694589.760000002</v>
      </c>
      <c r="O24" s="39">
        <f t="shared" si="7"/>
        <v>13796.4</v>
      </c>
      <c r="P24" s="39">
        <f t="shared" si="7"/>
        <v>9722.28125</v>
      </c>
      <c r="Q24" s="39">
        <f t="shared" si="7"/>
        <v>12080.370666666666</v>
      </c>
      <c r="R24" s="39">
        <f t="shared" si="7"/>
        <v>15260.065666666665</v>
      </c>
      <c r="S24" s="39">
        <f t="shared" si="7"/>
        <v>15944.075000000001</v>
      </c>
      <c r="T24" s="39">
        <f t="shared" si="7"/>
        <v>17603.616250000003</v>
      </c>
      <c r="U24" s="39">
        <f t="shared" si="7"/>
        <v>10939.370833333332</v>
      </c>
      <c r="V24" s="39">
        <f t="shared" si="7"/>
        <v>15243.782083333334</v>
      </c>
      <c r="W24" s="39">
        <f t="shared" si="7"/>
        <v>11017.99425</v>
      </c>
      <c r="X24" s="39">
        <f t="shared" si="7"/>
        <v>17485.601749999998</v>
      </c>
      <c r="Y24" s="39">
        <f t="shared" si="8"/>
        <v>10890.147916666667</v>
      </c>
      <c r="Z24" s="39">
        <f t="shared" si="8"/>
        <v>7488.6954166666665</v>
      </c>
      <c r="AA24" s="39">
        <f t="shared" si="8"/>
        <v>8225.8129166666677</v>
      </c>
      <c r="AB24" s="39">
        <f t="shared" si="8"/>
        <v>8388.9866666666676</v>
      </c>
      <c r="AC24" s="39">
        <f t="shared" si="8"/>
        <v>13769.138416666667</v>
      </c>
      <c r="AD24" s="39">
        <f t="shared" si="8"/>
        <v>8700.2379166666669</v>
      </c>
      <c r="AE24" s="39">
        <f t="shared" si="8"/>
        <v>9998.3125</v>
      </c>
      <c r="AF24" s="39">
        <f t="shared" si="8"/>
        <v>10366.302666666666</v>
      </c>
      <c r="AG24" s="39">
        <f>+AG23</f>
        <v>10732.562750000001</v>
      </c>
      <c r="AH24" s="39">
        <f>(+$G24)/120</f>
        <v>9105.5835833333331</v>
      </c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>
        <f t="shared" si="5"/>
        <v>236759.33849999998</v>
      </c>
      <c r="AY24" s="585"/>
    </row>
    <row r="25" spans="1:51" s="335" customFormat="1" outlineLevel="1">
      <c r="A25" s="327" t="s">
        <v>55</v>
      </c>
      <c r="B25" s="327">
        <f t="shared" si="9"/>
        <v>2015</v>
      </c>
      <c r="C25" s="327" t="s">
        <v>47</v>
      </c>
      <c r="D25" s="518"/>
      <c r="E25" s="583">
        <f>1217619.09+6500</f>
        <v>1224119.0900000001</v>
      </c>
      <c r="F25" s="92">
        <v>28731</v>
      </c>
      <c r="G25" s="92">
        <f t="shared" si="3"/>
        <v>1252850.0900000001</v>
      </c>
      <c r="H25" s="518">
        <f>SUM($G$5:G25)</f>
        <v>29663970.710000001</v>
      </c>
      <c r="I25" s="518"/>
      <c r="J25" s="614">
        <f>299897.79-5208.3+101.67</f>
        <v>294791.15999999997</v>
      </c>
      <c r="K25" s="39">
        <f>SUM(J$5:J25)</f>
        <v>3011322.02</v>
      </c>
      <c r="L25" s="518"/>
      <c r="M25" s="92">
        <f t="shared" si="4"/>
        <v>26652648.690000001</v>
      </c>
      <c r="O25" s="39">
        <f t="shared" si="7"/>
        <v>13796.4</v>
      </c>
      <c r="P25" s="39">
        <f t="shared" si="7"/>
        <v>9722.28125</v>
      </c>
      <c r="Q25" s="39">
        <f t="shared" si="7"/>
        <v>12080.370666666666</v>
      </c>
      <c r="R25" s="39">
        <f t="shared" si="7"/>
        <v>15260.065666666665</v>
      </c>
      <c r="S25" s="39">
        <f t="shared" si="7"/>
        <v>15944.075000000001</v>
      </c>
      <c r="T25" s="39">
        <f t="shared" si="7"/>
        <v>17603.616250000003</v>
      </c>
      <c r="U25" s="39">
        <f t="shared" si="7"/>
        <v>10939.370833333332</v>
      </c>
      <c r="V25" s="39">
        <f t="shared" si="7"/>
        <v>15243.782083333334</v>
      </c>
      <c r="W25" s="39">
        <f t="shared" si="7"/>
        <v>11017.99425</v>
      </c>
      <c r="X25" s="39">
        <f t="shared" si="7"/>
        <v>17485.601749999998</v>
      </c>
      <c r="Y25" s="39">
        <f t="shared" si="8"/>
        <v>10890.147916666667</v>
      </c>
      <c r="Z25" s="39">
        <f t="shared" si="8"/>
        <v>7488.6954166666665</v>
      </c>
      <c r="AA25" s="39">
        <f t="shared" si="8"/>
        <v>8225.8129166666677</v>
      </c>
      <c r="AB25" s="39">
        <f t="shared" si="8"/>
        <v>8388.9866666666676</v>
      </c>
      <c r="AC25" s="39">
        <f t="shared" si="8"/>
        <v>13769.138416666667</v>
      </c>
      <c r="AD25" s="39">
        <f t="shared" si="8"/>
        <v>8700.2379166666669</v>
      </c>
      <c r="AE25" s="39">
        <f t="shared" si="8"/>
        <v>9998.3125</v>
      </c>
      <c r="AF25" s="39">
        <f t="shared" si="8"/>
        <v>10366.302666666666</v>
      </c>
      <c r="AG25" s="39">
        <f>+AG24</f>
        <v>10732.562750000001</v>
      </c>
      <c r="AH25" s="39">
        <f>+AH24</f>
        <v>9105.5835833333331</v>
      </c>
      <c r="AI25" s="39">
        <f>(+$G25)/120</f>
        <v>10440.417416666667</v>
      </c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>
        <f t="shared" si="5"/>
        <v>247199.75591666665</v>
      </c>
      <c r="AY25" s="585"/>
    </row>
    <row r="26" spans="1:51" s="335" customFormat="1" outlineLevel="1">
      <c r="A26" s="327" t="s">
        <v>56</v>
      </c>
      <c r="B26" s="327">
        <f t="shared" si="9"/>
        <v>2015</v>
      </c>
      <c r="C26" s="327" t="s">
        <v>47</v>
      </c>
      <c r="D26" s="518"/>
      <c r="E26" s="583">
        <f>918730.24+6500+6500+4300</f>
        <v>936030.24</v>
      </c>
      <c r="F26" s="92">
        <v>60344</v>
      </c>
      <c r="G26" s="92">
        <f t="shared" si="3"/>
        <v>996374.24</v>
      </c>
      <c r="H26" s="518">
        <f>SUM($G$5:G26)</f>
        <v>30660344.949999999</v>
      </c>
      <c r="I26" s="518"/>
      <c r="J26" s="614">
        <f>282492.95+108.34+216.68+143.34+1191.74</f>
        <v>284153.05000000005</v>
      </c>
      <c r="K26" s="39">
        <f>SUM(J$5:J26)</f>
        <v>3295475.0700000003</v>
      </c>
      <c r="L26" s="518"/>
      <c r="M26" s="92">
        <f t="shared" si="4"/>
        <v>27364869.879999999</v>
      </c>
      <c r="O26" s="39">
        <f t="shared" si="7"/>
        <v>13796.4</v>
      </c>
      <c r="P26" s="39">
        <f t="shared" si="7"/>
        <v>9722.28125</v>
      </c>
      <c r="Q26" s="39">
        <f t="shared" si="7"/>
        <v>12080.370666666666</v>
      </c>
      <c r="R26" s="39">
        <f t="shared" si="7"/>
        <v>15260.065666666665</v>
      </c>
      <c r="S26" s="39">
        <f t="shared" si="7"/>
        <v>15944.075000000001</v>
      </c>
      <c r="T26" s="39">
        <f t="shared" si="7"/>
        <v>17603.616250000003</v>
      </c>
      <c r="U26" s="39">
        <f t="shared" si="7"/>
        <v>10939.370833333332</v>
      </c>
      <c r="V26" s="39">
        <f t="shared" si="7"/>
        <v>15243.782083333334</v>
      </c>
      <c r="W26" s="39">
        <f t="shared" si="7"/>
        <v>11017.99425</v>
      </c>
      <c r="X26" s="39">
        <f t="shared" si="7"/>
        <v>17485.601749999998</v>
      </c>
      <c r="Y26" s="39">
        <f t="shared" si="8"/>
        <v>10890.147916666667</v>
      </c>
      <c r="Z26" s="39">
        <f t="shared" si="8"/>
        <v>7488.6954166666665</v>
      </c>
      <c r="AA26" s="39">
        <f t="shared" si="8"/>
        <v>8225.8129166666677</v>
      </c>
      <c r="AB26" s="39">
        <f t="shared" si="8"/>
        <v>8388.9866666666676</v>
      </c>
      <c r="AC26" s="39">
        <f t="shared" si="8"/>
        <v>13769.138416666667</v>
      </c>
      <c r="AD26" s="39">
        <f t="shared" si="8"/>
        <v>8700.2379166666669</v>
      </c>
      <c r="AE26" s="39">
        <f t="shared" si="8"/>
        <v>9998.3125</v>
      </c>
      <c r="AF26" s="39">
        <f t="shared" si="8"/>
        <v>10366.302666666666</v>
      </c>
      <c r="AG26" s="39">
        <f t="shared" si="8"/>
        <v>10732.562750000001</v>
      </c>
      <c r="AH26" s="39">
        <f t="shared" si="8"/>
        <v>9105.5835833333331</v>
      </c>
      <c r="AI26" s="39">
        <f t="shared" si="8"/>
        <v>10440.417416666667</v>
      </c>
      <c r="AJ26" s="39">
        <f>(+$G26)/120</f>
        <v>8303.1186666666672</v>
      </c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>
        <f t="shared" si="5"/>
        <v>255502.87458333332</v>
      </c>
      <c r="AY26" s="585"/>
    </row>
    <row r="27" spans="1:51" s="335" customFormat="1" outlineLevel="1">
      <c r="A27" s="327" t="s">
        <v>57</v>
      </c>
      <c r="B27" s="327">
        <f t="shared" si="9"/>
        <v>2015</v>
      </c>
      <c r="C27" s="327" t="s">
        <v>47</v>
      </c>
      <c r="D27" s="518"/>
      <c r="E27" s="583">
        <f>995733.1+6500+6500</f>
        <v>1008733.1</v>
      </c>
      <c r="F27" s="92">
        <v>55156</v>
      </c>
      <c r="G27" s="92">
        <f t="shared" si="3"/>
        <v>1063889.1000000001</v>
      </c>
      <c r="H27" s="518">
        <f>SUM($G$5:G27)</f>
        <v>31724234.050000001</v>
      </c>
      <c r="I27" s="518"/>
      <c r="J27" s="614">
        <f>262377.78+108.34</f>
        <v>262486.12000000005</v>
      </c>
      <c r="K27" s="39">
        <f>SUM(J$5:J27)</f>
        <v>3557961.1900000004</v>
      </c>
      <c r="L27" s="518"/>
      <c r="M27" s="92">
        <f t="shared" si="4"/>
        <v>28166272.859999999</v>
      </c>
      <c r="O27" s="39">
        <f t="shared" si="7"/>
        <v>13796.4</v>
      </c>
      <c r="P27" s="39">
        <f t="shared" si="7"/>
        <v>9722.28125</v>
      </c>
      <c r="Q27" s="39">
        <f t="shared" si="7"/>
        <v>12080.370666666666</v>
      </c>
      <c r="R27" s="39">
        <f t="shared" si="7"/>
        <v>15260.065666666665</v>
      </c>
      <c r="S27" s="39">
        <f t="shared" si="7"/>
        <v>15944.075000000001</v>
      </c>
      <c r="T27" s="39">
        <f t="shared" si="7"/>
        <v>17603.616250000003</v>
      </c>
      <c r="U27" s="39">
        <f t="shared" si="7"/>
        <v>10939.370833333332</v>
      </c>
      <c r="V27" s="39">
        <f t="shared" si="7"/>
        <v>15243.782083333334</v>
      </c>
      <c r="W27" s="39">
        <f t="shared" si="7"/>
        <v>11017.99425</v>
      </c>
      <c r="X27" s="39">
        <f t="shared" si="7"/>
        <v>17485.601749999998</v>
      </c>
      <c r="Y27" s="39">
        <f t="shared" si="8"/>
        <v>10890.147916666667</v>
      </c>
      <c r="Z27" s="39">
        <f t="shared" si="8"/>
        <v>7488.6954166666665</v>
      </c>
      <c r="AA27" s="39">
        <f t="shared" si="8"/>
        <v>8225.8129166666677</v>
      </c>
      <c r="AB27" s="39">
        <f t="shared" si="8"/>
        <v>8388.9866666666676</v>
      </c>
      <c r="AC27" s="39">
        <f t="shared" si="8"/>
        <v>13769.138416666667</v>
      </c>
      <c r="AD27" s="39">
        <f t="shared" si="8"/>
        <v>8700.2379166666669</v>
      </c>
      <c r="AE27" s="39">
        <f t="shared" si="8"/>
        <v>9998.3125</v>
      </c>
      <c r="AF27" s="39">
        <f t="shared" si="8"/>
        <v>10366.302666666666</v>
      </c>
      <c r="AG27" s="39">
        <f t="shared" si="8"/>
        <v>10732.562750000001</v>
      </c>
      <c r="AH27" s="39">
        <f t="shared" si="8"/>
        <v>9105.5835833333331</v>
      </c>
      <c r="AI27" s="39">
        <f t="shared" si="8"/>
        <v>10440.417416666667</v>
      </c>
      <c r="AJ27" s="39">
        <f t="shared" si="8"/>
        <v>8303.1186666666672</v>
      </c>
      <c r="AK27" s="39">
        <f>(+$G27)/120</f>
        <v>8865.7425000000003</v>
      </c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>
        <f t="shared" si="5"/>
        <v>264368.61708333332</v>
      </c>
      <c r="AY27" s="585"/>
    </row>
    <row r="28" spans="1:51" s="335" customFormat="1" outlineLevel="1">
      <c r="A28" s="327" t="s">
        <v>58</v>
      </c>
      <c r="B28" s="327">
        <f t="shared" si="9"/>
        <v>2015</v>
      </c>
      <c r="C28" s="327" t="s">
        <v>47</v>
      </c>
      <c r="D28" s="518"/>
      <c r="E28" s="583">
        <v>1009934.35</v>
      </c>
      <c r="F28" s="92">
        <v>25501.34</v>
      </c>
      <c r="G28" s="92">
        <f t="shared" si="3"/>
        <v>1035435.69</v>
      </c>
      <c r="H28" s="518">
        <f>SUM($G$5:G28)</f>
        <v>32759669.740000002</v>
      </c>
      <c r="I28" s="518"/>
      <c r="J28" s="614">
        <f>298352.57+758.38</f>
        <v>299110.95</v>
      </c>
      <c r="K28" s="39">
        <f>SUM(J$5:J28)</f>
        <v>3857072.1400000006</v>
      </c>
      <c r="L28" s="518"/>
      <c r="M28" s="92">
        <f t="shared" si="4"/>
        <v>28902597.600000001</v>
      </c>
      <c r="O28" s="39">
        <f t="shared" si="7"/>
        <v>13796.4</v>
      </c>
      <c r="P28" s="39">
        <f t="shared" si="7"/>
        <v>9722.28125</v>
      </c>
      <c r="Q28" s="39">
        <f t="shared" si="7"/>
        <v>12080.370666666666</v>
      </c>
      <c r="R28" s="39">
        <f t="shared" si="7"/>
        <v>15260.065666666665</v>
      </c>
      <c r="S28" s="39">
        <f t="shared" si="7"/>
        <v>15944.075000000001</v>
      </c>
      <c r="T28" s="39">
        <f t="shared" si="7"/>
        <v>17603.616250000003</v>
      </c>
      <c r="U28" s="39">
        <f t="shared" si="7"/>
        <v>10939.370833333332</v>
      </c>
      <c r="V28" s="39">
        <f t="shared" si="7"/>
        <v>15243.782083333334</v>
      </c>
      <c r="W28" s="39">
        <f t="shared" si="7"/>
        <v>11017.99425</v>
      </c>
      <c r="X28" s="39">
        <f t="shared" si="7"/>
        <v>17485.601749999998</v>
      </c>
      <c r="Y28" s="39">
        <f t="shared" si="8"/>
        <v>10890.147916666667</v>
      </c>
      <c r="Z28" s="39">
        <f t="shared" si="8"/>
        <v>7488.6954166666665</v>
      </c>
      <c r="AA28" s="39">
        <f t="shared" si="8"/>
        <v>8225.8129166666677</v>
      </c>
      <c r="AB28" s="39">
        <f t="shared" si="8"/>
        <v>8388.9866666666676</v>
      </c>
      <c r="AC28" s="39">
        <f t="shared" si="8"/>
        <v>13769.138416666667</v>
      </c>
      <c r="AD28" s="39">
        <f t="shared" si="8"/>
        <v>8700.2379166666669</v>
      </c>
      <c r="AE28" s="39">
        <f t="shared" si="8"/>
        <v>9998.3125</v>
      </c>
      <c r="AF28" s="39">
        <f t="shared" si="8"/>
        <v>10366.302666666666</v>
      </c>
      <c r="AG28" s="39">
        <f t="shared" si="8"/>
        <v>10732.562750000001</v>
      </c>
      <c r="AH28" s="39">
        <f t="shared" si="8"/>
        <v>9105.5835833333331</v>
      </c>
      <c r="AI28" s="39">
        <f t="shared" si="8"/>
        <v>10440.417416666667</v>
      </c>
      <c r="AJ28" s="39">
        <f t="shared" si="8"/>
        <v>8303.1186666666672</v>
      </c>
      <c r="AK28" s="39">
        <f>+AK27</f>
        <v>8865.7425000000003</v>
      </c>
      <c r="AL28" s="39">
        <f>(+$G28)/120</f>
        <v>8628.6307500000003</v>
      </c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>
        <f t="shared" si="5"/>
        <v>272997.24783333333</v>
      </c>
      <c r="AY28" s="585"/>
    </row>
    <row r="29" spans="1:51" s="335" customFormat="1" outlineLevel="1">
      <c r="A29" s="327" t="s">
        <v>59</v>
      </c>
      <c r="B29" s="327">
        <f t="shared" si="9"/>
        <v>2015</v>
      </c>
      <c r="C29" s="327" t="s">
        <v>47</v>
      </c>
      <c r="D29" s="518"/>
      <c r="E29" s="616">
        <f>562051.36+6500+6500+4800</f>
        <v>579851.36</v>
      </c>
      <c r="F29" s="616">
        <v>20601</v>
      </c>
      <c r="G29" s="39">
        <f t="shared" si="3"/>
        <v>600452.36</v>
      </c>
      <c r="H29" s="518">
        <f>SUM($G$5:G29)</f>
        <v>33360122.100000001</v>
      </c>
      <c r="I29" s="518"/>
      <c r="J29" s="614">
        <f>339971.93+216.68+320</f>
        <v>340508.61</v>
      </c>
      <c r="K29" s="39">
        <f>K28+J29</f>
        <v>4197580.7500000009</v>
      </c>
      <c r="L29" s="518"/>
      <c r="M29" s="92">
        <f t="shared" si="4"/>
        <v>29162541.350000001</v>
      </c>
      <c r="O29" s="39">
        <f t="shared" si="7"/>
        <v>13796.4</v>
      </c>
      <c r="P29" s="39">
        <f t="shared" si="7"/>
        <v>9722.28125</v>
      </c>
      <c r="Q29" s="39">
        <f t="shared" si="7"/>
        <v>12080.370666666666</v>
      </c>
      <c r="R29" s="39">
        <f t="shared" si="7"/>
        <v>15260.065666666665</v>
      </c>
      <c r="S29" s="39">
        <f t="shared" si="7"/>
        <v>15944.075000000001</v>
      </c>
      <c r="T29" s="39">
        <f t="shared" si="7"/>
        <v>17603.616250000003</v>
      </c>
      <c r="U29" s="39">
        <f t="shared" si="7"/>
        <v>10939.370833333332</v>
      </c>
      <c r="V29" s="39">
        <f t="shared" si="7"/>
        <v>15243.782083333334</v>
      </c>
      <c r="W29" s="39">
        <f t="shared" si="7"/>
        <v>11017.99425</v>
      </c>
      <c r="X29" s="39">
        <f t="shared" si="7"/>
        <v>17485.601749999998</v>
      </c>
      <c r="Y29" s="39">
        <f t="shared" si="8"/>
        <v>10890.147916666667</v>
      </c>
      <c r="Z29" s="39">
        <f t="shared" si="8"/>
        <v>7488.6954166666665</v>
      </c>
      <c r="AA29" s="39">
        <f t="shared" si="8"/>
        <v>8225.8129166666677</v>
      </c>
      <c r="AB29" s="39">
        <f t="shared" si="8"/>
        <v>8388.9866666666676</v>
      </c>
      <c r="AC29" s="39">
        <f t="shared" si="8"/>
        <v>13769.138416666667</v>
      </c>
      <c r="AD29" s="39">
        <f t="shared" si="8"/>
        <v>8700.2379166666669</v>
      </c>
      <c r="AE29" s="39">
        <f t="shared" si="8"/>
        <v>9998.3125</v>
      </c>
      <c r="AF29" s="39">
        <f t="shared" si="8"/>
        <v>10366.302666666666</v>
      </c>
      <c r="AG29" s="39">
        <f t="shared" si="8"/>
        <v>10732.562750000001</v>
      </c>
      <c r="AH29" s="39">
        <f t="shared" si="8"/>
        <v>9105.5835833333331</v>
      </c>
      <c r="AI29" s="39">
        <f t="shared" si="8"/>
        <v>10440.417416666667</v>
      </c>
      <c r="AJ29" s="39">
        <f t="shared" si="8"/>
        <v>8303.1186666666672</v>
      </c>
      <c r="AK29" s="39">
        <f>+AK28</f>
        <v>8865.7425000000003</v>
      </c>
      <c r="AL29" s="39">
        <f>+AL28</f>
        <v>8628.6307500000003</v>
      </c>
      <c r="AM29" s="39">
        <f>(+$G29)/120</f>
        <v>5003.7696666666661</v>
      </c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>
        <f t="shared" si="5"/>
        <v>278001.01750000002</v>
      </c>
      <c r="AY29" s="585"/>
    </row>
    <row r="30" spans="1:51" s="335" customFormat="1" outlineLevel="1">
      <c r="A30" s="327" t="s">
        <v>46</v>
      </c>
      <c r="B30" s="327">
        <f t="shared" si="9"/>
        <v>2015</v>
      </c>
      <c r="C30" s="327" t="s">
        <v>47</v>
      </c>
      <c r="D30" s="518"/>
      <c r="E30" s="616">
        <f>1278568.31+6500</f>
        <v>1285068.31</v>
      </c>
      <c r="F30" s="616">
        <v>41918.99</v>
      </c>
      <c r="G30" s="39">
        <f t="shared" si="3"/>
        <v>1326987.3</v>
      </c>
      <c r="H30" s="518">
        <f>SUM($G$5:G30)</f>
        <v>34687109.399999999</v>
      </c>
      <c r="I30" s="518"/>
      <c r="J30" s="614">
        <f>357874.71+108.34</f>
        <v>357983.05000000005</v>
      </c>
      <c r="K30" s="39">
        <f t="shared" ref="K30:K93" si="10">K29+J30</f>
        <v>4555563.8000000007</v>
      </c>
      <c r="L30" s="518"/>
      <c r="M30" s="92">
        <f t="shared" si="4"/>
        <v>30131545.599999998</v>
      </c>
      <c r="O30" s="39">
        <f t="shared" si="7"/>
        <v>13796.4</v>
      </c>
      <c r="P30" s="39">
        <f t="shared" si="7"/>
        <v>9722.28125</v>
      </c>
      <c r="Q30" s="39">
        <f t="shared" si="7"/>
        <v>12080.370666666666</v>
      </c>
      <c r="R30" s="39">
        <f t="shared" si="7"/>
        <v>15260.065666666665</v>
      </c>
      <c r="S30" s="39">
        <f t="shared" si="7"/>
        <v>15944.075000000001</v>
      </c>
      <c r="T30" s="39">
        <f t="shared" si="7"/>
        <v>17603.616250000003</v>
      </c>
      <c r="U30" s="39">
        <f t="shared" si="7"/>
        <v>10939.370833333332</v>
      </c>
      <c r="V30" s="39">
        <f t="shared" si="7"/>
        <v>15243.782083333334</v>
      </c>
      <c r="W30" s="39">
        <f t="shared" si="7"/>
        <v>11017.99425</v>
      </c>
      <c r="X30" s="39">
        <f t="shared" si="7"/>
        <v>17485.601749999998</v>
      </c>
      <c r="Y30" s="39">
        <f t="shared" si="8"/>
        <v>10890.147916666667</v>
      </c>
      <c r="Z30" s="39">
        <f t="shared" si="8"/>
        <v>7488.6954166666665</v>
      </c>
      <c r="AA30" s="39">
        <f t="shared" si="8"/>
        <v>8225.8129166666677</v>
      </c>
      <c r="AB30" s="39">
        <f t="shared" si="8"/>
        <v>8388.9866666666676</v>
      </c>
      <c r="AC30" s="39">
        <f t="shared" si="8"/>
        <v>13769.138416666667</v>
      </c>
      <c r="AD30" s="39">
        <f t="shared" si="8"/>
        <v>8700.2379166666669</v>
      </c>
      <c r="AE30" s="39">
        <f t="shared" si="8"/>
        <v>9998.3125</v>
      </c>
      <c r="AF30" s="39">
        <f t="shared" si="8"/>
        <v>10366.302666666666</v>
      </c>
      <c r="AG30" s="39">
        <f t="shared" si="8"/>
        <v>10732.562750000001</v>
      </c>
      <c r="AH30" s="39">
        <f t="shared" si="8"/>
        <v>9105.5835833333331</v>
      </c>
      <c r="AI30" s="39">
        <f t="shared" si="8"/>
        <v>10440.417416666667</v>
      </c>
      <c r="AJ30" s="39">
        <f t="shared" si="8"/>
        <v>8303.1186666666672</v>
      </c>
      <c r="AK30" s="39">
        <f>+AK29</f>
        <v>8865.7425000000003</v>
      </c>
      <c r="AL30" s="39">
        <f>+AL29</f>
        <v>8628.6307500000003</v>
      </c>
      <c r="AM30" s="39">
        <f>AM29</f>
        <v>5003.7696666666661</v>
      </c>
      <c r="AN30" s="39">
        <f>(+$G30)/120</f>
        <v>11058.227500000001</v>
      </c>
      <c r="AO30" s="39"/>
      <c r="AP30" s="39"/>
      <c r="AQ30" s="39"/>
      <c r="AR30" s="39"/>
      <c r="AS30" s="39"/>
      <c r="AT30" s="39"/>
      <c r="AU30" s="39"/>
      <c r="AV30" s="39"/>
      <c r="AW30" s="39"/>
      <c r="AX30" s="39">
        <f t="shared" si="5"/>
        <v>289059.245</v>
      </c>
      <c r="AY30" s="585"/>
    </row>
    <row r="31" spans="1:51" s="335" customFormat="1" outlineLevel="1">
      <c r="A31" s="327" t="s">
        <v>48</v>
      </c>
      <c r="B31" s="327">
        <f t="shared" si="9"/>
        <v>2015</v>
      </c>
      <c r="C31" s="327" t="s">
        <v>47</v>
      </c>
      <c r="D31" s="518"/>
      <c r="E31" s="616">
        <v>1736545.64</v>
      </c>
      <c r="F31" s="616">
        <v>67150</v>
      </c>
      <c r="G31" s="39">
        <f t="shared" si="3"/>
        <v>1803695.64</v>
      </c>
      <c r="H31" s="518">
        <f>SUM($G$5:G31)</f>
        <v>36490805.039999999</v>
      </c>
      <c r="I31" s="518"/>
      <c r="J31" s="614">
        <v>352114.82</v>
      </c>
      <c r="K31" s="39">
        <f t="shared" si="10"/>
        <v>4907678.620000001</v>
      </c>
      <c r="L31" s="518"/>
      <c r="M31" s="92">
        <f t="shared" si="4"/>
        <v>31583126.419999998</v>
      </c>
      <c r="O31" s="39">
        <f t="shared" si="7"/>
        <v>13796.4</v>
      </c>
      <c r="P31" s="39">
        <f t="shared" si="7"/>
        <v>9722.28125</v>
      </c>
      <c r="Q31" s="39">
        <f t="shared" si="7"/>
        <v>12080.370666666666</v>
      </c>
      <c r="R31" s="39">
        <f t="shared" si="7"/>
        <v>15260.065666666665</v>
      </c>
      <c r="S31" s="39">
        <f t="shared" si="7"/>
        <v>15944.075000000001</v>
      </c>
      <c r="T31" s="39">
        <f t="shared" si="7"/>
        <v>17603.616250000003</v>
      </c>
      <c r="U31" s="39">
        <f t="shared" si="7"/>
        <v>10939.370833333332</v>
      </c>
      <c r="V31" s="39">
        <f t="shared" si="7"/>
        <v>15243.782083333334</v>
      </c>
      <c r="W31" s="39">
        <f t="shared" si="7"/>
        <v>11017.99425</v>
      </c>
      <c r="X31" s="39">
        <f t="shared" si="7"/>
        <v>17485.601749999998</v>
      </c>
      <c r="Y31" s="39">
        <f t="shared" si="8"/>
        <v>10890.147916666667</v>
      </c>
      <c r="Z31" s="39">
        <f t="shared" si="8"/>
        <v>7488.6954166666665</v>
      </c>
      <c r="AA31" s="39">
        <f t="shared" si="8"/>
        <v>8225.8129166666677</v>
      </c>
      <c r="AB31" s="39">
        <f t="shared" si="8"/>
        <v>8388.9866666666676</v>
      </c>
      <c r="AC31" s="39">
        <f t="shared" si="8"/>
        <v>13769.138416666667</v>
      </c>
      <c r="AD31" s="39">
        <f t="shared" si="8"/>
        <v>8700.2379166666669</v>
      </c>
      <c r="AE31" s="39">
        <f t="shared" si="8"/>
        <v>9998.3125</v>
      </c>
      <c r="AF31" s="39">
        <f t="shared" si="8"/>
        <v>10366.302666666666</v>
      </c>
      <c r="AG31" s="39">
        <f t="shared" si="8"/>
        <v>10732.562750000001</v>
      </c>
      <c r="AH31" s="39">
        <f t="shared" si="8"/>
        <v>9105.5835833333331</v>
      </c>
      <c r="AI31" s="39">
        <f t="shared" ref="AI31:AJ33" si="11">+AI30</f>
        <v>10440.417416666667</v>
      </c>
      <c r="AJ31" s="39">
        <f t="shared" si="11"/>
        <v>8303.1186666666672</v>
      </c>
      <c r="AK31" s="39">
        <f>+AK30</f>
        <v>8865.7425000000003</v>
      </c>
      <c r="AL31" s="39">
        <f>+AL30</f>
        <v>8628.6307500000003</v>
      </c>
      <c r="AM31" s="39">
        <f t="shared" ref="AM31:AM94" si="12">AM30</f>
        <v>5003.7696666666661</v>
      </c>
      <c r="AN31" s="39">
        <f>+AN30</f>
        <v>11058.227500000001</v>
      </c>
      <c r="AO31" s="39">
        <f>(+$G31)/120</f>
        <v>15030.796999999999</v>
      </c>
      <c r="AP31" s="39"/>
      <c r="AQ31" s="39"/>
      <c r="AR31" s="39"/>
      <c r="AS31" s="39"/>
      <c r="AT31" s="39"/>
      <c r="AU31" s="39"/>
      <c r="AV31" s="39"/>
      <c r="AW31" s="39"/>
      <c r="AX31" s="39">
        <f t="shared" si="5"/>
        <v>304090.04200000002</v>
      </c>
      <c r="AY31" s="585"/>
    </row>
    <row r="32" spans="1:51" s="335" customFormat="1" outlineLevel="1">
      <c r="A32" s="327" t="s">
        <v>50</v>
      </c>
      <c r="B32" s="327">
        <f t="shared" si="9"/>
        <v>2015</v>
      </c>
      <c r="C32" s="327" t="s">
        <v>47</v>
      </c>
      <c r="D32" s="518"/>
      <c r="E32" s="616">
        <f>1298827.25+6500+6500</f>
        <v>1311827.25</v>
      </c>
      <c r="F32" s="616">
        <v>13960</v>
      </c>
      <c r="G32" s="39">
        <f t="shared" si="3"/>
        <v>1325787.25</v>
      </c>
      <c r="H32" s="518">
        <f>SUM($G$5:G32)</f>
        <v>37816592.289999999</v>
      </c>
      <c r="I32" s="518"/>
      <c r="J32" s="614">
        <f>312910.84+216.68</f>
        <v>313127.52</v>
      </c>
      <c r="K32" s="39">
        <f t="shared" si="10"/>
        <v>5220806.1400000006</v>
      </c>
      <c r="L32" s="518"/>
      <c r="M32" s="92">
        <f t="shared" si="4"/>
        <v>32595786.149999999</v>
      </c>
      <c r="O32" s="39">
        <f t="shared" ref="O32:X33" si="13">+O31</f>
        <v>13796.4</v>
      </c>
      <c r="P32" s="39">
        <f t="shared" si="13"/>
        <v>9722.28125</v>
      </c>
      <c r="Q32" s="39">
        <f t="shared" si="13"/>
        <v>12080.370666666666</v>
      </c>
      <c r="R32" s="39">
        <f t="shared" si="13"/>
        <v>15260.065666666665</v>
      </c>
      <c r="S32" s="39">
        <f t="shared" si="13"/>
        <v>15944.075000000001</v>
      </c>
      <c r="T32" s="39">
        <f t="shared" si="13"/>
        <v>17603.616250000003</v>
      </c>
      <c r="U32" s="39">
        <f t="shared" si="13"/>
        <v>10939.370833333332</v>
      </c>
      <c r="V32" s="39">
        <f t="shared" si="13"/>
        <v>15243.782083333334</v>
      </c>
      <c r="W32" s="39">
        <f t="shared" si="13"/>
        <v>11017.99425</v>
      </c>
      <c r="X32" s="39">
        <f t="shared" si="13"/>
        <v>17485.601749999998</v>
      </c>
      <c r="Y32" s="39">
        <f t="shared" ref="Y32:AH33" si="14">+Y31</f>
        <v>10890.147916666667</v>
      </c>
      <c r="Z32" s="39">
        <f t="shared" si="14"/>
        <v>7488.6954166666665</v>
      </c>
      <c r="AA32" s="39">
        <f t="shared" si="14"/>
        <v>8225.8129166666677</v>
      </c>
      <c r="AB32" s="39">
        <f t="shared" si="14"/>
        <v>8388.9866666666676</v>
      </c>
      <c r="AC32" s="39">
        <f t="shared" si="14"/>
        <v>13769.138416666667</v>
      </c>
      <c r="AD32" s="39">
        <f t="shared" si="14"/>
        <v>8700.2379166666669</v>
      </c>
      <c r="AE32" s="39">
        <f t="shared" si="14"/>
        <v>9998.3125</v>
      </c>
      <c r="AF32" s="39">
        <f t="shared" si="14"/>
        <v>10366.302666666666</v>
      </c>
      <c r="AG32" s="39">
        <f t="shared" si="14"/>
        <v>10732.562750000001</v>
      </c>
      <c r="AH32" s="39">
        <f t="shared" si="14"/>
        <v>9105.5835833333331</v>
      </c>
      <c r="AI32" s="39">
        <f t="shared" si="11"/>
        <v>10440.417416666667</v>
      </c>
      <c r="AJ32" s="39">
        <f t="shared" si="11"/>
        <v>8303.1186666666672</v>
      </c>
      <c r="AK32" s="39">
        <f>+AK31</f>
        <v>8865.7425000000003</v>
      </c>
      <c r="AL32" s="39">
        <f>+AL31</f>
        <v>8628.6307500000003</v>
      </c>
      <c r="AM32" s="39">
        <f t="shared" si="12"/>
        <v>5003.7696666666661</v>
      </c>
      <c r="AN32" s="39">
        <f>+AN31</f>
        <v>11058.227500000001</v>
      </c>
      <c r="AO32" s="39">
        <f>+AO31</f>
        <v>15030.796999999999</v>
      </c>
      <c r="AP32" s="39">
        <f>(+$G32)/120</f>
        <v>11048.227083333333</v>
      </c>
      <c r="AQ32" s="39"/>
      <c r="AR32" s="39"/>
      <c r="AS32" s="39"/>
      <c r="AT32" s="39"/>
      <c r="AU32" s="39"/>
      <c r="AV32" s="39"/>
      <c r="AW32" s="39"/>
      <c r="AX32" s="39">
        <f t="shared" si="5"/>
        <v>315138.26908333338</v>
      </c>
      <c r="AY32" s="585"/>
    </row>
    <row r="33" spans="1:51" s="335" customFormat="1" outlineLevel="1">
      <c r="A33" s="327" t="s">
        <v>51</v>
      </c>
      <c r="B33" s="327">
        <f t="shared" si="9"/>
        <v>2015</v>
      </c>
      <c r="C33" s="327" t="s">
        <v>47</v>
      </c>
      <c r="D33" s="518"/>
      <c r="E33" s="616">
        <f>1356139.95+6500+5085</f>
        <v>1367724.95</v>
      </c>
      <c r="F33" s="616">
        <v>48986</v>
      </c>
      <c r="G33" s="39">
        <f t="shared" si="3"/>
        <v>1416710.95</v>
      </c>
      <c r="H33" s="518">
        <f>SUM($G$5:G33)</f>
        <v>39233303.240000002</v>
      </c>
      <c r="I33" s="518"/>
      <c r="J33" s="614">
        <f>304603.02+216.68+169.5+108.34</f>
        <v>305097.54000000004</v>
      </c>
      <c r="K33" s="39">
        <f t="shared" si="10"/>
        <v>5525903.6800000006</v>
      </c>
      <c r="L33" s="518"/>
      <c r="M33" s="92">
        <f t="shared" si="4"/>
        <v>33707399.560000002</v>
      </c>
      <c r="O33" s="39">
        <f t="shared" si="13"/>
        <v>13796.4</v>
      </c>
      <c r="P33" s="39">
        <f t="shared" si="13"/>
        <v>9722.28125</v>
      </c>
      <c r="Q33" s="39">
        <f t="shared" si="13"/>
        <v>12080.370666666666</v>
      </c>
      <c r="R33" s="39">
        <f t="shared" si="13"/>
        <v>15260.065666666665</v>
      </c>
      <c r="S33" s="39">
        <f t="shared" si="13"/>
        <v>15944.075000000001</v>
      </c>
      <c r="T33" s="39">
        <f t="shared" si="13"/>
        <v>17603.616250000003</v>
      </c>
      <c r="U33" s="39">
        <f t="shared" si="13"/>
        <v>10939.370833333332</v>
      </c>
      <c r="V33" s="39">
        <f t="shared" si="13"/>
        <v>15243.782083333334</v>
      </c>
      <c r="W33" s="39">
        <f t="shared" si="13"/>
        <v>11017.99425</v>
      </c>
      <c r="X33" s="39">
        <f t="shared" si="13"/>
        <v>17485.601749999998</v>
      </c>
      <c r="Y33" s="39">
        <f t="shared" si="14"/>
        <v>10890.147916666667</v>
      </c>
      <c r="Z33" s="39">
        <f t="shared" si="14"/>
        <v>7488.6954166666665</v>
      </c>
      <c r="AA33" s="39">
        <f t="shared" si="14"/>
        <v>8225.8129166666677</v>
      </c>
      <c r="AB33" s="39">
        <f t="shared" si="14"/>
        <v>8388.9866666666676</v>
      </c>
      <c r="AC33" s="39">
        <f t="shared" si="14"/>
        <v>13769.138416666667</v>
      </c>
      <c r="AD33" s="39">
        <f t="shared" si="14"/>
        <v>8700.2379166666669</v>
      </c>
      <c r="AE33" s="39">
        <f t="shared" si="14"/>
        <v>9998.3125</v>
      </c>
      <c r="AF33" s="39">
        <f t="shared" si="14"/>
        <v>10366.302666666666</v>
      </c>
      <c r="AG33" s="39">
        <f t="shared" si="14"/>
        <v>10732.562750000001</v>
      </c>
      <c r="AH33" s="39">
        <f t="shared" si="14"/>
        <v>9105.5835833333331</v>
      </c>
      <c r="AI33" s="39">
        <f t="shared" si="11"/>
        <v>10440.417416666667</v>
      </c>
      <c r="AJ33" s="39">
        <f t="shared" si="11"/>
        <v>8303.1186666666672</v>
      </c>
      <c r="AK33" s="39">
        <f t="shared" ref="U33:AO43" si="15">+AK32</f>
        <v>8865.7425000000003</v>
      </c>
      <c r="AL33" s="39">
        <f t="shared" si="15"/>
        <v>8628.6307500000003</v>
      </c>
      <c r="AM33" s="39">
        <f t="shared" si="12"/>
        <v>5003.7696666666661</v>
      </c>
      <c r="AN33" s="39">
        <f t="shared" si="15"/>
        <v>11058.227500000001</v>
      </c>
      <c r="AO33" s="39">
        <f t="shared" si="15"/>
        <v>15030.796999999999</v>
      </c>
      <c r="AP33" s="39">
        <f>AP32</f>
        <v>11048.227083333333</v>
      </c>
      <c r="AQ33" s="39">
        <f>(+$G33)/120</f>
        <v>11805.924583333333</v>
      </c>
      <c r="AR33" s="39"/>
      <c r="AS33" s="39"/>
      <c r="AT33" s="39"/>
      <c r="AU33" s="39"/>
      <c r="AV33" s="39"/>
      <c r="AW33" s="39"/>
      <c r="AX33" s="39">
        <f t="shared" si="5"/>
        <v>326944.19366666669</v>
      </c>
      <c r="AY33" s="585"/>
    </row>
    <row r="34" spans="1:51" s="335" customFormat="1" outlineLevel="1">
      <c r="A34" s="332" t="s">
        <v>52</v>
      </c>
      <c r="B34" s="332">
        <f t="shared" si="9"/>
        <v>2015</v>
      </c>
      <c r="C34" s="332" t="s">
        <v>47</v>
      </c>
      <c r="D34" s="212"/>
      <c r="E34" s="613">
        <f>684125+3500+3288</f>
        <v>690913</v>
      </c>
      <c r="F34" s="613">
        <v>0</v>
      </c>
      <c r="G34" s="212">
        <f t="shared" si="3"/>
        <v>690913</v>
      </c>
      <c r="H34" s="212">
        <f>SUM($G$5:G34)</f>
        <v>39924216.240000002</v>
      </c>
      <c r="I34" s="212"/>
      <c r="J34" s="614">
        <f>431046.44+79.77+81.35</f>
        <v>431207.56</v>
      </c>
      <c r="K34" s="212">
        <f t="shared" si="10"/>
        <v>5957111.2400000002</v>
      </c>
      <c r="L34" s="212"/>
      <c r="M34" s="588">
        <f t="shared" si="4"/>
        <v>33967105</v>
      </c>
      <c r="N34" s="333"/>
      <c r="O34" s="212">
        <f t="shared" ref="O34:O47" si="16">+O33</f>
        <v>13796.4</v>
      </c>
      <c r="P34" s="212">
        <f t="shared" ref="P34:P47" si="17">+P33</f>
        <v>9722.28125</v>
      </c>
      <c r="Q34" s="212">
        <f t="shared" ref="Q34:Q47" si="18">+Q33</f>
        <v>12080.370666666666</v>
      </c>
      <c r="R34" s="212">
        <f t="shared" ref="R34:R47" si="19">+R33</f>
        <v>15260.065666666665</v>
      </c>
      <c r="S34" s="212">
        <f t="shared" ref="S34:S47" si="20">+S33</f>
        <v>15944.075000000001</v>
      </c>
      <c r="T34" s="212">
        <f t="shared" ref="T34:T47" si="21">+T33</f>
        <v>17603.616250000003</v>
      </c>
      <c r="U34" s="212">
        <f t="shared" si="15"/>
        <v>10939.370833333332</v>
      </c>
      <c r="V34" s="212">
        <f t="shared" si="15"/>
        <v>15243.782083333334</v>
      </c>
      <c r="W34" s="212">
        <f t="shared" si="15"/>
        <v>11017.99425</v>
      </c>
      <c r="X34" s="212">
        <f t="shared" si="15"/>
        <v>17485.601749999998</v>
      </c>
      <c r="Y34" s="212">
        <f t="shared" si="15"/>
        <v>10890.147916666667</v>
      </c>
      <c r="Z34" s="212">
        <f t="shared" si="15"/>
        <v>7488.6954166666665</v>
      </c>
      <c r="AA34" s="212">
        <f t="shared" si="15"/>
        <v>8225.8129166666677</v>
      </c>
      <c r="AB34" s="212">
        <f t="shared" si="15"/>
        <v>8388.9866666666676</v>
      </c>
      <c r="AC34" s="212">
        <f t="shared" si="15"/>
        <v>13769.138416666667</v>
      </c>
      <c r="AD34" s="212">
        <f t="shared" si="15"/>
        <v>8700.2379166666669</v>
      </c>
      <c r="AE34" s="212">
        <f t="shared" si="15"/>
        <v>9998.3125</v>
      </c>
      <c r="AF34" s="212">
        <f t="shared" si="15"/>
        <v>10366.302666666666</v>
      </c>
      <c r="AG34" s="212">
        <f t="shared" si="15"/>
        <v>10732.562750000001</v>
      </c>
      <c r="AH34" s="212">
        <f t="shared" si="15"/>
        <v>9105.5835833333331</v>
      </c>
      <c r="AI34" s="212">
        <f t="shared" si="15"/>
        <v>10440.417416666667</v>
      </c>
      <c r="AJ34" s="212">
        <f t="shared" si="15"/>
        <v>8303.1186666666672</v>
      </c>
      <c r="AK34" s="212">
        <f t="shared" si="15"/>
        <v>8865.7425000000003</v>
      </c>
      <c r="AL34" s="212">
        <f t="shared" si="15"/>
        <v>8628.6307500000003</v>
      </c>
      <c r="AM34" s="212">
        <f t="shared" si="12"/>
        <v>5003.7696666666661</v>
      </c>
      <c r="AN34" s="212">
        <f t="shared" si="15"/>
        <v>11058.227500000001</v>
      </c>
      <c r="AO34" s="212">
        <f t="shared" si="15"/>
        <v>15030.796999999999</v>
      </c>
      <c r="AP34" s="212">
        <f t="shared" ref="AP34:AP97" si="22">AP33</f>
        <v>11048.227083333333</v>
      </c>
      <c r="AQ34" s="212">
        <f>AQ33</f>
        <v>11805.924583333333</v>
      </c>
      <c r="AR34" s="212">
        <f>(+$G34)/120</f>
        <v>5757.6083333333336</v>
      </c>
      <c r="AS34" s="212"/>
      <c r="AT34" s="212"/>
      <c r="AU34" s="212"/>
      <c r="AV34" s="212"/>
      <c r="AW34" s="212"/>
      <c r="AX34" s="212">
        <f t="shared" si="5"/>
        <v>332701.80200000003</v>
      </c>
      <c r="AY34" s="585"/>
    </row>
    <row r="35" spans="1:51" s="335" customFormat="1" outlineLevel="1">
      <c r="A35" s="327" t="s">
        <v>53</v>
      </c>
      <c r="B35" s="327">
        <f t="shared" si="9"/>
        <v>2016</v>
      </c>
      <c r="C35" s="327" t="s">
        <v>47</v>
      </c>
      <c r="D35" s="518"/>
      <c r="E35" s="616">
        <v>88587</v>
      </c>
      <c r="F35" s="616">
        <v>5000</v>
      </c>
      <c r="G35" s="39">
        <f t="shared" si="3"/>
        <v>93587</v>
      </c>
      <c r="H35" s="518">
        <f>SUM($G$5:G35)</f>
        <v>40017803.240000002</v>
      </c>
      <c r="I35" s="518"/>
      <c r="J35" s="614">
        <f>295766.92+79.77+81.35</f>
        <v>295928.03999999998</v>
      </c>
      <c r="K35" s="39">
        <f t="shared" si="10"/>
        <v>6253039.2800000003</v>
      </c>
      <c r="L35" s="518"/>
      <c r="M35" s="92">
        <f t="shared" si="4"/>
        <v>33764763.960000001</v>
      </c>
      <c r="O35" s="39">
        <f t="shared" si="16"/>
        <v>13796.4</v>
      </c>
      <c r="P35" s="39">
        <f t="shared" si="17"/>
        <v>9722.28125</v>
      </c>
      <c r="Q35" s="39">
        <f t="shared" si="18"/>
        <v>12080.370666666666</v>
      </c>
      <c r="R35" s="39">
        <f t="shared" si="19"/>
        <v>15260.065666666665</v>
      </c>
      <c r="S35" s="39">
        <f t="shared" si="20"/>
        <v>15944.075000000001</v>
      </c>
      <c r="T35" s="39">
        <f t="shared" si="21"/>
        <v>17603.616250000003</v>
      </c>
      <c r="U35" s="39">
        <f t="shared" si="15"/>
        <v>10939.370833333332</v>
      </c>
      <c r="V35" s="39">
        <f t="shared" si="15"/>
        <v>15243.782083333334</v>
      </c>
      <c r="W35" s="39">
        <f t="shared" si="15"/>
        <v>11017.99425</v>
      </c>
      <c r="X35" s="39">
        <f t="shared" si="15"/>
        <v>17485.601749999998</v>
      </c>
      <c r="Y35" s="39">
        <f t="shared" si="15"/>
        <v>10890.147916666667</v>
      </c>
      <c r="Z35" s="39">
        <f t="shared" si="15"/>
        <v>7488.6954166666665</v>
      </c>
      <c r="AA35" s="39">
        <f t="shared" si="15"/>
        <v>8225.8129166666677</v>
      </c>
      <c r="AB35" s="39">
        <f t="shared" si="15"/>
        <v>8388.9866666666676</v>
      </c>
      <c r="AC35" s="39">
        <f t="shared" si="15"/>
        <v>13769.138416666667</v>
      </c>
      <c r="AD35" s="39">
        <f t="shared" si="15"/>
        <v>8700.2379166666669</v>
      </c>
      <c r="AE35" s="39">
        <f t="shared" si="15"/>
        <v>9998.3125</v>
      </c>
      <c r="AF35" s="39">
        <f t="shared" si="15"/>
        <v>10366.302666666666</v>
      </c>
      <c r="AG35" s="39">
        <f t="shared" si="15"/>
        <v>10732.562750000001</v>
      </c>
      <c r="AH35" s="39">
        <f t="shared" si="15"/>
        <v>9105.5835833333331</v>
      </c>
      <c r="AI35" s="39">
        <f t="shared" si="15"/>
        <v>10440.417416666667</v>
      </c>
      <c r="AJ35" s="39">
        <f t="shared" si="15"/>
        <v>8303.1186666666672</v>
      </c>
      <c r="AK35" s="39">
        <f t="shared" si="15"/>
        <v>8865.7425000000003</v>
      </c>
      <c r="AL35" s="39">
        <f t="shared" si="15"/>
        <v>8628.6307500000003</v>
      </c>
      <c r="AM35" s="39">
        <f t="shared" si="12"/>
        <v>5003.7696666666661</v>
      </c>
      <c r="AN35" s="39">
        <f t="shared" si="15"/>
        <v>11058.227500000001</v>
      </c>
      <c r="AO35" s="39">
        <f t="shared" si="15"/>
        <v>15030.796999999999</v>
      </c>
      <c r="AP35" s="39">
        <f t="shared" si="22"/>
        <v>11048.227083333333</v>
      </c>
      <c r="AQ35" s="518">
        <f t="shared" ref="AQ35:AQ98" si="23">AQ34</f>
        <v>11805.924583333333</v>
      </c>
      <c r="AR35" s="39">
        <f>AR34</f>
        <v>5757.6083333333336</v>
      </c>
      <c r="AS35" s="39">
        <f>(+$G35)/120</f>
        <v>779.89166666666665</v>
      </c>
      <c r="AT35" s="39"/>
      <c r="AU35" s="39"/>
      <c r="AV35" s="39"/>
      <c r="AW35" s="39"/>
      <c r="AX35" s="39">
        <f t="shared" si="5"/>
        <v>333481.69366666669</v>
      </c>
      <c r="AY35" s="585"/>
    </row>
    <row r="36" spans="1:51" s="335" customFormat="1" outlineLevel="1">
      <c r="A36" s="308" t="s">
        <v>54</v>
      </c>
      <c r="B36" s="308">
        <f t="shared" si="9"/>
        <v>2016</v>
      </c>
      <c r="C36" s="327" t="s">
        <v>47</v>
      </c>
      <c r="D36" s="518"/>
      <c r="E36" s="616">
        <v>68200</v>
      </c>
      <c r="F36" s="616">
        <v>0</v>
      </c>
      <c r="G36" s="39">
        <f t="shared" si="3"/>
        <v>68200</v>
      </c>
      <c r="H36" s="518">
        <f>SUM($G$5:G36)</f>
        <v>40086003.240000002</v>
      </c>
      <c r="I36" s="518"/>
      <c r="J36" s="614">
        <f>333976.2+79.77+81.35</f>
        <v>334137.32</v>
      </c>
      <c r="K36" s="39">
        <f t="shared" si="10"/>
        <v>6587176.6000000006</v>
      </c>
      <c r="L36" s="518"/>
      <c r="M36" s="92">
        <f t="shared" si="4"/>
        <v>33498826.640000001</v>
      </c>
      <c r="N36" s="585"/>
      <c r="O36" s="518">
        <f t="shared" si="16"/>
        <v>13796.4</v>
      </c>
      <c r="P36" s="518">
        <f t="shared" si="17"/>
        <v>9722.28125</v>
      </c>
      <c r="Q36" s="518">
        <f t="shared" si="18"/>
        <v>12080.370666666666</v>
      </c>
      <c r="R36" s="518">
        <f t="shared" si="19"/>
        <v>15260.065666666665</v>
      </c>
      <c r="S36" s="518">
        <f t="shared" si="20"/>
        <v>15944.075000000001</v>
      </c>
      <c r="T36" s="518">
        <f t="shared" si="21"/>
        <v>17603.616250000003</v>
      </c>
      <c r="U36" s="518">
        <f t="shared" si="15"/>
        <v>10939.370833333332</v>
      </c>
      <c r="V36" s="518">
        <f t="shared" si="15"/>
        <v>15243.782083333334</v>
      </c>
      <c r="W36" s="518">
        <f t="shared" si="15"/>
        <v>11017.99425</v>
      </c>
      <c r="X36" s="518">
        <f t="shared" si="15"/>
        <v>17485.601749999998</v>
      </c>
      <c r="Y36" s="518">
        <f t="shared" si="15"/>
        <v>10890.147916666667</v>
      </c>
      <c r="Z36" s="518">
        <f t="shared" si="15"/>
        <v>7488.6954166666665</v>
      </c>
      <c r="AA36" s="518">
        <f t="shared" si="15"/>
        <v>8225.8129166666677</v>
      </c>
      <c r="AB36" s="518">
        <f t="shared" si="15"/>
        <v>8388.9866666666676</v>
      </c>
      <c r="AC36" s="518">
        <f t="shared" si="15"/>
        <v>13769.138416666667</v>
      </c>
      <c r="AD36" s="518">
        <f t="shared" si="15"/>
        <v>8700.2379166666669</v>
      </c>
      <c r="AE36" s="518">
        <f t="shared" si="15"/>
        <v>9998.3125</v>
      </c>
      <c r="AF36" s="518">
        <f t="shared" si="15"/>
        <v>10366.302666666666</v>
      </c>
      <c r="AG36" s="518">
        <f t="shared" si="15"/>
        <v>10732.562750000001</v>
      </c>
      <c r="AH36" s="518">
        <f t="shared" si="15"/>
        <v>9105.5835833333331</v>
      </c>
      <c r="AI36" s="518">
        <f t="shared" si="15"/>
        <v>10440.417416666667</v>
      </c>
      <c r="AJ36" s="518">
        <f t="shared" si="15"/>
        <v>8303.1186666666672</v>
      </c>
      <c r="AK36" s="518">
        <f t="shared" si="15"/>
        <v>8865.7425000000003</v>
      </c>
      <c r="AL36" s="518">
        <f t="shared" si="15"/>
        <v>8628.6307500000003</v>
      </c>
      <c r="AM36" s="39">
        <f t="shared" si="12"/>
        <v>5003.7696666666661</v>
      </c>
      <c r="AN36" s="518">
        <f t="shared" si="15"/>
        <v>11058.227500000001</v>
      </c>
      <c r="AO36" s="518">
        <f t="shared" si="15"/>
        <v>15030.796999999999</v>
      </c>
      <c r="AP36" s="39">
        <f t="shared" si="22"/>
        <v>11048.227083333333</v>
      </c>
      <c r="AQ36" s="518">
        <f t="shared" si="23"/>
        <v>11805.924583333333</v>
      </c>
      <c r="AR36" s="39">
        <f t="shared" ref="AR36:AR99" si="24">AR35</f>
        <v>5757.6083333333336</v>
      </c>
      <c r="AS36" s="518">
        <f>AS35</f>
        <v>779.89166666666665</v>
      </c>
      <c r="AT36" s="39">
        <f>(+$G36)/120</f>
        <v>568.33333333333337</v>
      </c>
      <c r="AU36" s="518"/>
      <c r="AV36" s="518"/>
      <c r="AW36" s="518"/>
      <c r="AX36" s="39">
        <f t="shared" si="5"/>
        <v>334050.027</v>
      </c>
      <c r="AY36" s="585"/>
    </row>
    <row r="37" spans="1:51" s="335" customFormat="1" outlineLevel="1">
      <c r="A37" s="327" t="s">
        <v>55</v>
      </c>
      <c r="B37" s="327">
        <f t="shared" si="9"/>
        <v>2016</v>
      </c>
      <c r="C37" s="327" t="s">
        <v>47</v>
      </c>
      <c r="D37" s="518"/>
      <c r="E37" s="616">
        <v>72774.5</v>
      </c>
      <c r="F37" s="616">
        <v>0</v>
      </c>
      <c r="G37" s="39">
        <f t="shared" si="3"/>
        <v>72774.5</v>
      </c>
      <c r="H37" s="518">
        <f>SUM($G$5:G37)</f>
        <v>40158777.740000002</v>
      </c>
      <c r="I37" s="518"/>
      <c r="J37" s="614">
        <f>385408.31+79.77+81.35</f>
        <v>385569.43</v>
      </c>
      <c r="K37" s="39">
        <f t="shared" si="10"/>
        <v>6972746.0300000003</v>
      </c>
      <c r="L37" s="518"/>
      <c r="M37" s="92">
        <f t="shared" ref="M37:M68" si="25">+H37-K37</f>
        <v>33186031.710000001</v>
      </c>
      <c r="O37" s="39">
        <f t="shared" si="16"/>
        <v>13796.4</v>
      </c>
      <c r="P37" s="39">
        <f t="shared" si="17"/>
        <v>9722.28125</v>
      </c>
      <c r="Q37" s="39">
        <f t="shared" si="18"/>
        <v>12080.370666666666</v>
      </c>
      <c r="R37" s="39">
        <f t="shared" si="19"/>
        <v>15260.065666666665</v>
      </c>
      <c r="S37" s="39">
        <f t="shared" si="20"/>
        <v>15944.075000000001</v>
      </c>
      <c r="T37" s="39">
        <f t="shared" si="21"/>
        <v>17603.616250000003</v>
      </c>
      <c r="U37" s="39">
        <f t="shared" si="15"/>
        <v>10939.370833333332</v>
      </c>
      <c r="V37" s="39">
        <f t="shared" si="15"/>
        <v>15243.782083333334</v>
      </c>
      <c r="W37" s="39">
        <f t="shared" si="15"/>
        <v>11017.99425</v>
      </c>
      <c r="X37" s="39">
        <f t="shared" si="15"/>
        <v>17485.601749999998</v>
      </c>
      <c r="Y37" s="39">
        <f t="shared" si="15"/>
        <v>10890.147916666667</v>
      </c>
      <c r="Z37" s="39">
        <f t="shared" si="15"/>
        <v>7488.6954166666665</v>
      </c>
      <c r="AA37" s="39">
        <f t="shared" si="15"/>
        <v>8225.8129166666677</v>
      </c>
      <c r="AB37" s="39">
        <f t="shared" si="15"/>
        <v>8388.9866666666676</v>
      </c>
      <c r="AC37" s="39">
        <f t="shared" si="15"/>
        <v>13769.138416666667</v>
      </c>
      <c r="AD37" s="39">
        <f t="shared" si="15"/>
        <v>8700.2379166666669</v>
      </c>
      <c r="AE37" s="39">
        <f t="shared" si="15"/>
        <v>9998.3125</v>
      </c>
      <c r="AF37" s="39">
        <f t="shared" si="15"/>
        <v>10366.302666666666</v>
      </c>
      <c r="AG37" s="39">
        <f t="shared" si="15"/>
        <v>10732.562750000001</v>
      </c>
      <c r="AH37" s="39">
        <f t="shared" si="15"/>
        <v>9105.5835833333331</v>
      </c>
      <c r="AI37" s="39">
        <f t="shared" si="15"/>
        <v>10440.417416666667</v>
      </c>
      <c r="AJ37" s="39">
        <f t="shared" si="15"/>
        <v>8303.1186666666672</v>
      </c>
      <c r="AK37" s="39">
        <f t="shared" si="15"/>
        <v>8865.7425000000003</v>
      </c>
      <c r="AL37" s="39">
        <f t="shared" si="15"/>
        <v>8628.6307500000003</v>
      </c>
      <c r="AM37" s="39">
        <f t="shared" si="12"/>
        <v>5003.7696666666661</v>
      </c>
      <c r="AN37" s="39">
        <f t="shared" si="15"/>
        <v>11058.227500000001</v>
      </c>
      <c r="AO37" s="39">
        <f t="shared" si="15"/>
        <v>15030.796999999999</v>
      </c>
      <c r="AP37" s="39">
        <f t="shared" si="22"/>
        <v>11048.227083333333</v>
      </c>
      <c r="AQ37" s="518">
        <f t="shared" si="23"/>
        <v>11805.924583333333</v>
      </c>
      <c r="AR37" s="39">
        <f t="shared" si="24"/>
        <v>5757.6083333333336</v>
      </c>
      <c r="AS37" s="518">
        <f t="shared" ref="AS37:AS100" si="26">AS36</f>
        <v>779.89166666666665</v>
      </c>
      <c r="AT37" s="39">
        <f>AT36</f>
        <v>568.33333333333337</v>
      </c>
      <c r="AU37" s="39">
        <f>(+$G37)/120</f>
        <v>606.45416666666665</v>
      </c>
      <c r="AV37" s="39"/>
      <c r="AW37" s="39"/>
      <c r="AX37" s="39">
        <f t="shared" ref="AX37:AX68" si="27">SUM(O37:AV37)</f>
        <v>334656.48116666666</v>
      </c>
      <c r="AY37" s="585"/>
    </row>
    <row r="38" spans="1:51" s="335" customFormat="1" outlineLevel="1">
      <c r="A38" s="327" t="s">
        <v>56</v>
      </c>
      <c r="B38" s="327">
        <f t="shared" si="9"/>
        <v>2016</v>
      </c>
      <c r="C38" s="327" t="s">
        <v>47</v>
      </c>
      <c r="D38" s="518"/>
      <c r="E38" s="616">
        <v>27262.639999999999</v>
      </c>
      <c r="F38" s="39"/>
      <c r="G38" s="39">
        <f t="shared" si="3"/>
        <v>27262.639999999999</v>
      </c>
      <c r="H38" s="518">
        <f>SUM($G$5:G38)</f>
        <v>40186040.380000003</v>
      </c>
      <c r="I38" s="518"/>
      <c r="J38" s="614">
        <f>371851.3+79.77+81.35</f>
        <v>372012.42</v>
      </c>
      <c r="K38" s="39">
        <f t="shared" si="10"/>
        <v>7344758.4500000002</v>
      </c>
      <c r="L38" s="518"/>
      <c r="M38" s="92">
        <f t="shared" si="25"/>
        <v>32841281.930000003</v>
      </c>
      <c r="O38" s="39">
        <f t="shared" si="16"/>
        <v>13796.4</v>
      </c>
      <c r="P38" s="39">
        <f t="shared" si="17"/>
        <v>9722.28125</v>
      </c>
      <c r="Q38" s="39">
        <f t="shared" si="18"/>
        <v>12080.370666666666</v>
      </c>
      <c r="R38" s="39">
        <f t="shared" si="19"/>
        <v>15260.065666666665</v>
      </c>
      <c r="S38" s="39">
        <f t="shared" si="20"/>
        <v>15944.075000000001</v>
      </c>
      <c r="T38" s="39">
        <f t="shared" si="21"/>
        <v>17603.616250000003</v>
      </c>
      <c r="U38" s="39">
        <f t="shared" si="15"/>
        <v>10939.370833333332</v>
      </c>
      <c r="V38" s="39">
        <f t="shared" si="15"/>
        <v>15243.782083333334</v>
      </c>
      <c r="W38" s="39">
        <f t="shared" si="15"/>
        <v>11017.99425</v>
      </c>
      <c r="X38" s="39">
        <f t="shared" si="15"/>
        <v>17485.601749999998</v>
      </c>
      <c r="Y38" s="39">
        <f t="shared" si="15"/>
        <v>10890.147916666667</v>
      </c>
      <c r="Z38" s="39">
        <f t="shared" si="15"/>
        <v>7488.6954166666665</v>
      </c>
      <c r="AA38" s="39">
        <f t="shared" si="15"/>
        <v>8225.8129166666677</v>
      </c>
      <c r="AB38" s="39">
        <f t="shared" si="15"/>
        <v>8388.9866666666676</v>
      </c>
      <c r="AC38" s="39">
        <f t="shared" si="15"/>
        <v>13769.138416666667</v>
      </c>
      <c r="AD38" s="39">
        <f t="shared" si="15"/>
        <v>8700.2379166666669</v>
      </c>
      <c r="AE38" s="39">
        <f t="shared" si="15"/>
        <v>9998.3125</v>
      </c>
      <c r="AF38" s="39">
        <f t="shared" si="15"/>
        <v>10366.302666666666</v>
      </c>
      <c r="AG38" s="39">
        <f t="shared" si="15"/>
        <v>10732.562750000001</v>
      </c>
      <c r="AH38" s="39">
        <f t="shared" si="15"/>
        <v>9105.5835833333331</v>
      </c>
      <c r="AI38" s="39">
        <f t="shared" si="15"/>
        <v>10440.417416666667</v>
      </c>
      <c r="AJ38" s="39">
        <f t="shared" si="15"/>
        <v>8303.1186666666672</v>
      </c>
      <c r="AK38" s="39">
        <f t="shared" si="15"/>
        <v>8865.7425000000003</v>
      </c>
      <c r="AL38" s="39">
        <f t="shared" si="15"/>
        <v>8628.6307500000003</v>
      </c>
      <c r="AM38" s="39">
        <f t="shared" si="12"/>
        <v>5003.7696666666661</v>
      </c>
      <c r="AN38" s="39">
        <f t="shared" si="15"/>
        <v>11058.227500000001</v>
      </c>
      <c r="AO38" s="39">
        <f t="shared" si="15"/>
        <v>15030.796999999999</v>
      </c>
      <c r="AP38" s="39">
        <f t="shared" si="22"/>
        <v>11048.227083333333</v>
      </c>
      <c r="AQ38" s="518">
        <f t="shared" si="23"/>
        <v>11805.924583333333</v>
      </c>
      <c r="AR38" s="39">
        <f t="shared" si="24"/>
        <v>5757.6083333333336</v>
      </c>
      <c r="AS38" s="518">
        <f t="shared" si="26"/>
        <v>779.89166666666665</v>
      </c>
      <c r="AT38" s="39">
        <f t="shared" ref="AT38:AT101" si="28">AT37</f>
        <v>568.33333333333337</v>
      </c>
      <c r="AU38" s="39">
        <f>AU37</f>
        <v>606.45416666666665</v>
      </c>
      <c r="AV38" s="39">
        <f>(+$G38)/120</f>
        <v>227.18866666666665</v>
      </c>
      <c r="AW38" s="39"/>
      <c r="AX38" s="39">
        <f t="shared" si="27"/>
        <v>334883.66983333335</v>
      </c>
      <c r="AY38" s="585"/>
    </row>
    <row r="39" spans="1:51" s="335" customFormat="1" outlineLevel="1">
      <c r="A39" s="327" t="s">
        <v>57</v>
      </c>
      <c r="B39" s="327">
        <f t="shared" si="9"/>
        <v>2016</v>
      </c>
      <c r="C39" s="327" t="s">
        <v>47</v>
      </c>
      <c r="D39" s="518"/>
      <c r="E39" s="39"/>
      <c r="F39" s="39"/>
      <c r="G39" s="39">
        <f t="shared" si="3"/>
        <v>0</v>
      </c>
      <c r="H39" s="518">
        <f>SUM($G$5:G39)</f>
        <v>40186040.380000003</v>
      </c>
      <c r="I39" s="518"/>
      <c r="J39" s="614">
        <f>341462.77+79.77+81.35</f>
        <v>341623.89</v>
      </c>
      <c r="K39" s="39">
        <f t="shared" si="10"/>
        <v>7686382.3399999999</v>
      </c>
      <c r="L39" s="518"/>
      <c r="M39" s="92">
        <f t="shared" si="25"/>
        <v>32499658.040000003</v>
      </c>
      <c r="O39" s="39">
        <f t="shared" si="16"/>
        <v>13796.4</v>
      </c>
      <c r="P39" s="39">
        <f t="shared" si="17"/>
        <v>9722.28125</v>
      </c>
      <c r="Q39" s="39">
        <f t="shared" si="18"/>
        <v>12080.370666666666</v>
      </c>
      <c r="R39" s="39">
        <f t="shared" si="19"/>
        <v>15260.065666666665</v>
      </c>
      <c r="S39" s="39">
        <f t="shared" si="20"/>
        <v>15944.075000000001</v>
      </c>
      <c r="T39" s="39">
        <f t="shared" si="21"/>
        <v>17603.616250000003</v>
      </c>
      <c r="U39" s="39">
        <f t="shared" si="15"/>
        <v>10939.370833333332</v>
      </c>
      <c r="V39" s="39">
        <f t="shared" si="15"/>
        <v>15243.782083333334</v>
      </c>
      <c r="W39" s="39">
        <f t="shared" si="15"/>
        <v>11017.99425</v>
      </c>
      <c r="X39" s="39">
        <f t="shared" si="15"/>
        <v>17485.601749999998</v>
      </c>
      <c r="Y39" s="39">
        <f t="shared" si="15"/>
        <v>10890.147916666667</v>
      </c>
      <c r="Z39" s="39">
        <f t="shared" si="15"/>
        <v>7488.6954166666665</v>
      </c>
      <c r="AA39" s="39">
        <f t="shared" si="15"/>
        <v>8225.8129166666677</v>
      </c>
      <c r="AB39" s="39">
        <f t="shared" si="15"/>
        <v>8388.9866666666676</v>
      </c>
      <c r="AC39" s="39">
        <f t="shared" si="15"/>
        <v>13769.138416666667</v>
      </c>
      <c r="AD39" s="39">
        <f t="shared" si="15"/>
        <v>8700.2379166666669</v>
      </c>
      <c r="AE39" s="39">
        <f t="shared" si="15"/>
        <v>9998.3125</v>
      </c>
      <c r="AF39" s="39">
        <f t="shared" si="15"/>
        <v>10366.302666666666</v>
      </c>
      <c r="AG39" s="39">
        <f t="shared" si="15"/>
        <v>10732.562750000001</v>
      </c>
      <c r="AH39" s="39">
        <f t="shared" si="15"/>
        <v>9105.5835833333331</v>
      </c>
      <c r="AI39" s="39">
        <f t="shared" si="15"/>
        <v>10440.417416666667</v>
      </c>
      <c r="AJ39" s="39">
        <f t="shared" si="15"/>
        <v>8303.1186666666672</v>
      </c>
      <c r="AK39" s="39">
        <f t="shared" si="15"/>
        <v>8865.7425000000003</v>
      </c>
      <c r="AL39" s="39">
        <f t="shared" si="15"/>
        <v>8628.6307500000003</v>
      </c>
      <c r="AM39" s="39">
        <f t="shared" si="12"/>
        <v>5003.7696666666661</v>
      </c>
      <c r="AN39" s="39">
        <f t="shared" si="15"/>
        <v>11058.227500000001</v>
      </c>
      <c r="AO39" s="39">
        <f t="shared" si="15"/>
        <v>15030.796999999999</v>
      </c>
      <c r="AP39" s="39">
        <f t="shared" si="22"/>
        <v>11048.227083333333</v>
      </c>
      <c r="AQ39" s="518">
        <f t="shared" si="23"/>
        <v>11805.924583333333</v>
      </c>
      <c r="AR39" s="39">
        <f t="shared" si="24"/>
        <v>5757.6083333333336</v>
      </c>
      <c r="AS39" s="518">
        <f t="shared" si="26"/>
        <v>779.89166666666665</v>
      </c>
      <c r="AT39" s="39">
        <f t="shared" si="28"/>
        <v>568.33333333333337</v>
      </c>
      <c r="AU39" s="39">
        <f t="shared" ref="AU39:AV102" si="29">AU38</f>
        <v>606.45416666666665</v>
      </c>
      <c r="AV39" s="39">
        <f>AV38</f>
        <v>227.18866666666665</v>
      </c>
      <c r="AW39" s="39"/>
      <c r="AX39" s="39">
        <f t="shared" si="27"/>
        <v>334883.66983333335</v>
      </c>
      <c r="AY39" s="585"/>
    </row>
    <row r="40" spans="1:51" s="335" customFormat="1" outlineLevel="1">
      <c r="A40" s="327" t="s">
        <v>58</v>
      </c>
      <c r="B40" s="327">
        <f t="shared" si="9"/>
        <v>2016</v>
      </c>
      <c r="C40" s="327" t="s">
        <v>47</v>
      </c>
      <c r="D40" s="518"/>
      <c r="E40" s="39"/>
      <c r="F40" s="39"/>
      <c r="G40" s="39">
        <f t="shared" si="3"/>
        <v>0</v>
      </c>
      <c r="H40" s="518">
        <f>SUM($G$5:G40)</f>
        <v>40186040.380000003</v>
      </c>
      <c r="I40" s="518"/>
      <c r="J40" s="614">
        <f>437117.69+79.77+81.35</f>
        <v>437278.81</v>
      </c>
      <c r="K40" s="39">
        <f t="shared" si="10"/>
        <v>8123661.1499999994</v>
      </c>
      <c r="L40" s="518"/>
      <c r="M40" s="92">
        <f t="shared" si="25"/>
        <v>32062379.230000004</v>
      </c>
      <c r="O40" s="39">
        <f t="shared" si="16"/>
        <v>13796.4</v>
      </c>
      <c r="P40" s="39">
        <f t="shared" si="17"/>
        <v>9722.28125</v>
      </c>
      <c r="Q40" s="39">
        <f t="shared" si="18"/>
        <v>12080.370666666666</v>
      </c>
      <c r="R40" s="39">
        <f t="shared" si="19"/>
        <v>15260.065666666665</v>
      </c>
      <c r="S40" s="39">
        <f t="shared" si="20"/>
        <v>15944.075000000001</v>
      </c>
      <c r="T40" s="39">
        <f t="shared" si="21"/>
        <v>17603.616250000003</v>
      </c>
      <c r="U40" s="39">
        <f t="shared" si="15"/>
        <v>10939.370833333332</v>
      </c>
      <c r="V40" s="39">
        <f t="shared" si="15"/>
        <v>15243.782083333334</v>
      </c>
      <c r="W40" s="39">
        <f t="shared" si="15"/>
        <v>11017.99425</v>
      </c>
      <c r="X40" s="39">
        <f t="shared" si="15"/>
        <v>17485.601749999998</v>
      </c>
      <c r="Y40" s="39">
        <f t="shared" si="15"/>
        <v>10890.147916666667</v>
      </c>
      <c r="Z40" s="39">
        <f t="shared" si="15"/>
        <v>7488.6954166666665</v>
      </c>
      <c r="AA40" s="39">
        <f t="shared" si="15"/>
        <v>8225.8129166666677</v>
      </c>
      <c r="AB40" s="39">
        <f t="shared" si="15"/>
        <v>8388.9866666666676</v>
      </c>
      <c r="AC40" s="39">
        <f t="shared" si="15"/>
        <v>13769.138416666667</v>
      </c>
      <c r="AD40" s="39">
        <f t="shared" si="15"/>
        <v>8700.2379166666669</v>
      </c>
      <c r="AE40" s="39">
        <f t="shared" si="15"/>
        <v>9998.3125</v>
      </c>
      <c r="AF40" s="39">
        <f t="shared" si="15"/>
        <v>10366.302666666666</v>
      </c>
      <c r="AG40" s="39">
        <f t="shared" si="15"/>
        <v>10732.562750000001</v>
      </c>
      <c r="AH40" s="39">
        <f t="shared" si="15"/>
        <v>9105.5835833333331</v>
      </c>
      <c r="AI40" s="39">
        <f t="shared" si="15"/>
        <v>10440.417416666667</v>
      </c>
      <c r="AJ40" s="39">
        <f t="shared" si="15"/>
        <v>8303.1186666666672</v>
      </c>
      <c r="AK40" s="39">
        <f t="shared" si="15"/>
        <v>8865.7425000000003</v>
      </c>
      <c r="AL40" s="39">
        <f t="shared" si="15"/>
        <v>8628.6307500000003</v>
      </c>
      <c r="AM40" s="39">
        <f t="shared" si="12"/>
        <v>5003.7696666666661</v>
      </c>
      <c r="AN40" s="39">
        <f t="shared" si="15"/>
        <v>11058.227500000001</v>
      </c>
      <c r="AO40" s="39">
        <f t="shared" si="15"/>
        <v>15030.796999999999</v>
      </c>
      <c r="AP40" s="39">
        <f t="shared" si="22"/>
        <v>11048.227083333333</v>
      </c>
      <c r="AQ40" s="518">
        <f t="shared" si="23"/>
        <v>11805.924583333333</v>
      </c>
      <c r="AR40" s="39">
        <f t="shared" si="24"/>
        <v>5757.6083333333336</v>
      </c>
      <c r="AS40" s="518">
        <f t="shared" si="26"/>
        <v>779.89166666666665</v>
      </c>
      <c r="AT40" s="39">
        <f t="shared" si="28"/>
        <v>568.33333333333337</v>
      </c>
      <c r="AU40" s="39">
        <f t="shared" si="29"/>
        <v>606.45416666666665</v>
      </c>
      <c r="AV40" s="39">
        <f t="shared" si="29"/>
        <v>227.18866666666665</v>
      </c>
      <c r="AW40" s="39"/>
      <c r="AX40" s="39">
        <f t="shared" si="27"/>
        <v>334883.66983333335</v>
      </c>
      <c r="AY40" s="585"/>
    </row>
    <row r="41" spans="1:51" s="335" customFormat="1">
      <c r="A41" s="327" t="s">
        <v>59</v>
      </c>
      <c r="B41" s="327">
        <f t="shared" si="9"/>
        <v>2016</v>
      </c>
      <c r="C41" s="327" t="s">
        <v>47</v>
      </c>
      <c r="D41" s="518"/>
      <c r="E41" s="39"/>
      <c r="F41" s="39"/>
      <c r="G41" s="39">
        <f t="shared" si="3"/>
        <v>0</v>
      </c>
      <c r="H41" s="518">
        <f>SUM($G$5:G41)</f>
        <v>40186040.380000003</v>
      </c>
      <c r="I41" s="518"/>
      <c r="J41" s="614">
        <f>388922.19+79.77+81.35</f>
        <v>389083.31</v>
      </c>
      <c r="K41" s="39">
        <f t="shared" si="10"/>
        <v>8512744.459999999</v>
      </c>
      <c r="L41" s="518"/>
      <c r="M41" s="92">
        <f t="shared" si="25"/>
        <v>31673295.920000002</v>
      </c>
      <c r="O41" s="39">
        <f t="shared" si="16"/>
        <v>13796.4</v>
      </c>
      <c r="P41" s="39">
        <f t="shared" si="17"/>
        <v>9722.28125</v>
      </c>
      <c r="Q41" s="39">
        <f t="shared" si="18"/>
        <v>12080.370666666666</v>
      </c>
      <c r="R41" s="39">
        <f t="shared" si="19"/>
        <v>15260.065666666665</v>
      </c>
      <c r="S41" s="39">
        <f t="shared" si="20"/>
        <v>15944.075000000001</v>
      </c>
      <c r="T41" s="39">
        <f t="shared" si="21"/>
        <v>17603.616250000003</v>
      </c>
      <c r="U41" s="39">
        <f t="shared" si="15"/>
        <v>10939.370833333332</v>
      </c>
      <c r="V41" s="39">
        <f t="shared" si="15"/>
        <v>15243.782083333334</v>
      </c>
      <c r="W41" s="39">
        <f t="shared" si="15"/>
        <v>11017.99425</v>
      </c>
      <c r="X41" s="39">
        <f t="shared" si="15"/>
        <v>17485.601749999998</v>
      </c>
      <c r="Y41" s="39">
        <f t="shared" si="15"/>
        <v>10890.147916666667</v>
      </c>
      <c r="Z41" s="39">
        <f t="shared" si="15"/>
        <v>7488.6954166666665</v>
      </c>
      <c r="AA41" s="39">
        <f t="shared" si="15"/>
        <v>8225.8129166666677</v>
      </c>
      <c r="AB41" s="39">
        <f t="shared" si="15"/>
        <v>8388.9866666666676</v>
      </c>
      <c r="AC41" s="39">
        <f t="shared" si="15"/>
        <v>13769.138416666667</v>
      </c>
      <c r="AD41" s="39">
        <f t="shared" si="15"/>
        <v>8700.2379166666669</v>
      </c>
      <c r="AE41" s="39">
        <f t="shared" si="15"/>
        <v>9998.3125</v>
      </c>
      <c r="AF41" s="39">
        <f t="shared" si="15"/>
        <v>10366.302666666666</v>
      </c>
      <c r="AG41" s="39">
        <f t="shared" si="15"/>
        <v>10732.562750000001</v>
      </c>
      <c r="AH41" s="39">
        <f t="shared" si="15"/>
        <v>9105.5835833333331</v>
      </c>
      <c r="AI41" s="39">
        <f t="shared" si="15"/>
        <v>10440.417416666667</v>
      </c>
      <c r="AJ41" s="39">
        <f t="shared" si="15"/>
        <v>8303.1186666666672</v>
      </c>
      <c r="AK41" s="39">
        <f t="shared" si="15"/>
        <v>8865.7425000000003</v>
      </c>
      <c r="AL41" s="39">
        <f t="shared" si="15"/>
        <v>8628.6307500000003</v>
      </c>
      <c r="AM41" s="39">
        <f t="shared" si="12"/>
        <v>5003.7696666666661</v>
      </c>
      <c r="AN41" s="39">
        <f t="shared" si="15"/>
        <v>11058.227500000001</v>
      </c>
      <c r="AO41" s="39">
        <f t="shared" si="15"/>
        <v>15030.796999999999</v>
      </c>
      <c r="AP41" s="39">
        <f t="shared" si="22"/>
        <v>11048.227083333333</v>
      </c>
      <c r="AQ41" s="518">
        <f t="shared" si="23"/>
        <v>11805.924583333333</v>
      </c>
      <c r="AR41" s="39">
        <f t="shared" si="24"/>
        <v>5757.6083333333336</v>
      </c>
      <c r="AS41" s="518">
        <f t="shared" si="26"/>
        <v>779.89166666666665</v>
      </c>
      <c r="AT41" s="39">
        <f t="shared" si="28"/>
        <v>568.33333333333337</v>
      </c>
      <c r="AU41" s="39">
        <f t="shared" si="29"/>
        <v>606.45416666666665</v>
      </c>
      <c r="AV41" s="39">
        <f t="shared" si="29"/>
        <v>227.18866666666665</v>
      </c>
      <c r="AW41" s="39"/>
      <c r="AX41" s="39">
        <f t="shared" si="27"/>
        <v>334883.66983333335</v>
      </c>
      <c r="AY41" s="585"/>
    </row>
    <row r="42" spans="1:51" s="335" customFormat="1">
      <c r="A42" s="327" t="s">
        <v>46</v>
      </c>
      <c r="B42" s="327">
        <f t="shared" si="9"/>
        <v>2016</v>
      </c>
      <c r="C42" s="327" t="s">
        <v>47</v>
      </c>
      <c r="D42" s="518"/>
      <c r="E42" s="39"/>
      <c r="F42" s="39"/>
      <c r="G42" s="39">
        <f t="shared" si="3"/>
        <v>0</v>
      </c>
      <c r="H42" s="518">
        <f>SUM($G$5:G42)</f>
        <v>40186040.380000003</v>
      </c>
      <c r="I42" s="518"/>
      <c r="J42" s="614">
        <f>489320.69+79.77+81.35</f>
        <v>489481.81</v>
      </c>
      <c r="K42" s="39">
        <f t="shared" si="10"/>
        <v>9002226.2699999996</v>
      </c>
      <c r="L42" s="518"/>
      <c r="M42" s="92">
        <f t="shared" si="25"/>
        <v>31183814.110000003</v>
      </c>
      <c r="O42" s="39">
        <f t="shared" si="16"/>
        <v>13796.4</v>
      </c>
      <c r="P42" s="39">
        <f t="shared" si="17"/>
        <v>9722.28125</v>
      </c>
      <c r="Q42" s="39">
        <f t="shared" si="18"/>
        <v>12080.370666666666</v>
      </c>
      <c r="R42" s="39">
        <f t="shared" si="19"/>
        <v>15260.065666666665</v>
      </c>
      <c r="S42" s="39">
        <f t="shared" si="20"/>
        <v>15944.075000000001</v>
      </c>
      <c r="T42" s="39">
        <f t="shared" si="21"/>
        <v>17603.616250000003</v>
      </c>
      <c r="U42" s="39">
        <f t="shared" si="15"/>
        <v>10939.370833333332</v>
      </c>
      <c r="V42" s="39">
        <f t="shared" si="15"/>
        <v>15243.782083333334</v>
      </c>
      <c r="W42" s="39">
        <f t="shared" si="15"/>
        <v>11017.99425</v>
      </c>
      <c r="X42" s="39">
        <f t="shared" si="15"/>
        <v>17485.601749999998</v>
      </c>
      <c r="Y42" s="39">
        <f t="shared" si="15"/>
        <v>10890.147916666667</v>
      </c>
      <c r="Z42" s="39">
        <f t="shared" si="15"/>
        <v>7488.6954166666665</v>
      </c>
      <c r="AA42" s="39">
        <f t="shared" si="15"/>
        <v>8225.8129166666677</v>
      </c>
      <c r="AB42" s="39">
        <f t="shared" si="15"/>
        <v>8388.9866666666676</v>
      </c>
      <c r="AC42" s="39">
        <f t="shared" si="15"/>
        <v>13769.138416666667</v>
      </c>
      <c r="AD42" s="39">
        <f t="shared" si="15"/>
        <v>8700.2379166666669</v>
      </c>
      <c r="AE42" s="39">
        <f t="shared" si="15"/>
        <v>9998.3125</v>
      </c>
      <c r="AF42" s="39">
        <f t="shared" si="15"/>
        <v>10366.302666666666</v>
      </c>
      <c r="AG42" s="39">
        <f t="shared" si="15"/>
        <v>10732.562750000001</v>
      </c>
      <c r="AH42" s="39">
        <f t="shared" si="15"/>
        <v>9105.5835833333331</v>
      </c>
      <c r="AI42" s="39">
        <f t="shared" si="15"/>
        <v>10440.417416666667</v>
      </c>
      <c r="AJ42" s="39">
        <f t="shared" si="15"/>
        <v>8303.1186666666672</v>
      </c>
      <c r="AK42" s="39">
        <f t="shared" si="15"/>
        <v>8865.7425000000003</v>
      </c>
      <c r="AL42" s="39">
        <f t="shared" si="15"/>
        <v>8628.6307500000003</v>
      </c>
      <c r="AM42" s="39">
        <f t="shared" si="12"/>
        <v>5003.7696666666661</v>
      </c>
      <c r="AN42" s="39">
        <f t="shared" si="15"/>
        <v>11058.227500000001</v>
      </c>
      <c r="AO42" s="39">
        <f t="shared" si="15"/>
        <v>15030.796999999999</v>
      </c>
      <c r="AP42" s="39">
        <f t="shared" si="22"/>
        <v>11048.227083333333</v>
      </c>
      <c r="AQ42" s="518">
        <f t="shared" si="23"/>
        <v>11805.924583333333</v>
      </c>
      <c r="AR42" s="39">
        <f t="shared" si="24"/>
        <v>5757.6083333333336</v>
      </c>
      <c r="AS42" s="518">
        <f t="shared" si="26"/>
        <v>779.89166666666665</v>
      </c>
      <c r="AT42" s="39">
        <f t="shared" si="28"/>
        <v>568.33333333333337</v>
      </c>
      <c r="AU42" s="39">
        <f t="shared" si="29"/>
        <v>606.45416666666665</v>
      </c>
      <c r="AV42" s="39">
        <f t="shared" si="29"/>
        <v>227.18866666666665</v>
      </c>
      <c r="AW42" s="39"/>
      <c r="AX42" s="39">
        <f t="shared" si="27"/>
        <v>334883.66983333335</v>
      </c>
      <c r="AY42" s="585"/>
    </row>
    <row r="43" spans="1:51" s="335" customFormat="1">
      <c r="A43" s="327" t="s">
        <v>48</v>
      </c>
      <c r="B43" s="327">
        <f t="shared" si="9"/>
        <v>2016</v>
      </c>
      <c r="C43" s="327" t="s">
        <v>47</v>
      </c>
      <c r="D43" s="518"/>
      <c r="E43" s="39"/>
      <c r="F43" s="39"/>
      <c r="G43" s="39">
        <f t="shared" si="3"/>
        <v>0</v>
      </c>
      <c r="H43" s="518">
        <f>SUM($G$5:G43)</f>
        <v>40186040.380000003</v>
      </c>
      <c r="I43" s="518"/>
      <c r="J43" s="614">
        <f>402690.96+79.77+81.35</f>
        <v>402852.08</v>
      </c>
      <c r="K43" s="39">
        <f t="shared" si="10"/>
        <v>9405078.3499999996</v>
      </c>
      <c r="L43" s="518"/>
      <c r="M43" s="92">
        <f t="shared" si="25"/>
        <v>30780962.030000001</v>
      </c>
      <c r="O43" s="39">
        <f t="shared" si="16"/>
        <v>13796.4</v>
      </c>
      <c r="P43" s="39">
        <f t="shared" si="17"/>
        <v>9722.28125</v>
      </c>
      <c r="Q43" s="39">
        <f t="shared" si="18"/>
        <v>12080.370666666666</v>
      </c>
      <c r="R43" s="39">
        <f t="shared" si="19"/>
        <v>15260.065666666665</v>
      </c>
      <c r="S43" s="39">
        <f t="shared" si="20"/>
        <v>15944.075000000001</v>
      </c>
      <c r="T43" s="39">
        <f t="shared" si="21"/>
        <v>17603.616250000003</v>
      </c>
      <c r="U43" s="39">
        <f t="shared" si="15"/>
        <v>10939.370833333332</v>
      </c>
      <c r="V43" s="39">
        <f t="shared" si="15"/>
        <v>15243.782083333334</v>
      </c>
      <c r="W43" s="39">
        <f t="shared" si="15"/>
        <v>11017.99425</v>
      </c>
      <c r="X43" s="39">
        <f t="shared" si="15"/>
        <v>17485.601749999998</v>
      </c>
      <c r="Y43" s="39">
        <f t="shared" si="15"/>
        <v>10890.147916666667</v>
      </c>
      <c r="Z43" s="39">
        <f t="shared" si="15"/>
        <v>7488.6954166666665</v>
      </c>
      <c r="AA43" s="39">
        <f t="shared" si="15"/>
        <v>8225.8129166666677</v>
      </c>
      <c r="AB43" s="39">
        <f t="shared" si="15"/>
        <v>8388.9866666666676</v>
      </c>
      <c r="AC43" s="39">
        <f t="shared" si="15"/>
        <v>13769.138416666667</v>
      </c>
      <c r="AD43" s="39">
        <f t="shared" si="15"/>
        <v>8700.2379166666669</v>
      </c>
      <c r="AE43" s="39">
        <f t="shared" si="15"/>
        <v>9998.3125</v>
      </c>
      <c r="AF43" s="39">
        <f t="shared" si="15"/>
        <v>10366.302666666666</v>
      </c>
      <c r="AG43" s="39">
        <f t="shared" ref="Y43:AO46" si="30">+AG42</f>
        <v>10732.562750000001</v>
      </c>
      <c r="AH43" s="39">
        <f t="shared" si="30"/>
        <v>9105.5835833333331</v>
      </c>
      <c r="AI43" s="39">
        <f t="shared" si="30"/>
        <v>10440.417416666667</v>
      </c>
      <c r="AJ43" s="39">
        <f t="shared" si="30"/>
        <v>8303.1186666666672</v>
      </c>
      <c r="AK43" s="39">
        <f t="shared" si="30"/>
        <v>8865.7425000000003</v>
      </c>
      <c r="AL43" s="39">
        <f t="shared" si="30"/>
        <v>8628.6307500000003</v>
      </c>
      <c r="AM43" s="39">
        <f t="shared" si="12"/>
        <v>5003.7696666666661</v>
      </c>
      <c r="AN43" s="39">
        <f t="shared" si="30"/>
        <v>11058.227500000001</v>
      </c>
      <c r="AO43" s="39">
        <f t="shared" si="30"/>
        <v>15030.796999999999</v>
      </c>
      <c r="AP43" s="39">
        <f t="shared" si="22"/>
        <v>11048.227083333333</v>
      </c>
      <c r="AQ43" s="518">
        <f t="shared" si="23"/>
        <v>11805.924583333333</v>
      </c>
      <c r="AR43" s="39">
        <f t="shared" si="24"/>
        <v>5757.6083333333336</v>
      </c>
      <c r="AS43" s="518">
        <f t="shared" si="26"/>
        <v>779.89166666666665</v>
      </c>
      <c r="AT43" s="39">
        <f t="shared" si="28"/>
        <v>568.33333333333337</v>
      </c>
      <c r="AU43" s="39">
        <f t="shared" si="29"/>
        <v>606.45416666666665</v>
      </c>
      <c r="AV43" s="39">
        <f t="shared" si="29"/>
        <v>227.18866666666665</v>
      </c>
      <c r="AW43" s="39"/>
      <c r="AX43" s="39">
        <f t="shared" si="27"/>
        <v>334883.66983333335</v>
      </c>
      <c r="AY43" s="585"/>
    </row>
    <row r="44" spans="1:51" s="335" customFormat="1">
      <c r="A44" s="327" t="s">
        <v>50</v>
      </c>
      <c r="B44" s="327">
        <f t="shared" si="9"/>
        <v>2016</v>
      </c>
      <c r="C44" s="327" t="s">
        <v>47</v>
      </c>
      <c r="D44" s="518"/>
      <c r="E44" s="39"/>
      <c r="F44" s="39"/>
      <c r="G44" s="39">
        <f t="shared" si="3"/>
        <v>0</v>
      </c>
      <c r="H44" s="518">
        <f>SUM($G$5:G44)</f>
        <v>40186040.380000003</v>
      </c>
      <c r="I44" s="518"/>
      <c r="J44" s="614">
        <f>334982.74+79.77+81.35</f>
        <v>335143.86</v>
      </c>
      <c r="K44" s="39">
        <f t="shared" si="10"/>
        <v>9740222.209999999</v>
      </c>
      <c r="L44" s="518"/>
      <c r="M44" s="92">
        <f t="shared" si="25"/>
        <v>30445818.170000002</v>
      </c>
      <c r="O44" s="39">
        <f t="shared" si="16"/>
        <v>13796.4</v>
      </c>
      <c r="P44" s="39">
        <f t="shared" si="17"/>
        <v>9722.28125</v>
      </c>
      <c r="Q44" s="39">
        <f t="shared" si="18"/>
        <v>12080.370666666666</v>
      </c>
      <c r="R44" s="39">
        <f t="shared" si="19"/>
        <v>15260.065666666665</v>
      </c>
      <c r="S44" s="39">
        <f t="shared" si="20"/>
        <v>15944.075000000001</v>
      </c>
      <c r="T44" s="39">
        <f t="shared" si="21"/>
        <v>17603.616250000003</v>
      </c>
      <c r="U44" s="39">
        <f t="shared" ref="U44:X47" si="31">+U43</f>
        <v>10939.370833333332</v>
      </c>
      <c r="V44" s="39">
        <f t="shared" si="31"/>
        <v>15243.782083333334</v>
      </c>
      <c r="W44" s="39">
        <f t="shared" si="31"/>
        <v>11017.99425</v>
      </c>
      <c r="X44" s="39">
        <f t="shared" si="31"/>
        <v>17485.601749999998</v>
      </c>
      <c r="Y44" s="39">
        <f t="shared" si="30"/>
        <v>10890.147916666667</v>
      </c>
      <c r="Z44" s="39">
        <f t="shared" si="30"/>
        <v>7488.6954166666665</v>
      </c>
      <c r="AA44" s="39">
        <f t="shared" si="30"/>
        <v>8225.8129166666677</v>
      </c>
      <c r="AB44" s="39">
        <f t="shared" si="30"/>
        <v>8388.9866666666676</v>
      </c>
      <c r="AC44" s="39">
        <f t="shared" si="30"/>
        <v>13769.138416666667</v>
      </c>
      <c r="AD44" s="39">
        <f t="shared" si="30"/>
        <v>8700.2379166666669</v>
      </c>
      <c r="AE44" s="39">
        <f t="shared" si="30"/>
        <v>9998.3125</v>
      </c>
      <c r="AF44" s="39">
        <f t="shared" si="30"/>
        <v>10366.302666666666</v>
      </c>
      <c r="AG44" s="39">
        <f t="shared" si="30"/>
        <v>10732.562750000001</v>
      </c>
      <c r="AH44" s="39">
        <f t="shared" si="30"/>
        <v>9105.5835833333331</v>
      </c>
      <c r="AI44" s="39">
        <f t="shared" si="30"/>
        <v>10440.417416666667</v>
      </c>
      <c r="AJ44" s="39">
        <f t="shared" si="30"/>
        <v>8303.1186666666672</v>
      </c>
      <c r="AK44" s="39">
        <f t="shared" si="30"/>
        <v>8865.7425000000003</v>
      </c>
      <c r="AL44" s="39">
        <f t="shared" si="30"/>
        <v>8628.6307500000003</v>
      </c>
      <c r="AM44" s="39">
        <f t="shared" si="12"/>
        <v>5003.7696666666661</v>
      </c>
      <c r="AN44" s="39">
        <f t="shared" si="30"/>
        <v>11058.227500000001</v>
      </c>
      <c r="AO44" s="39">
        <f t="shared" si="30"/>
        <v>15030.796999999999</v>
      </c>
      <c r="AP44" s="39">
        <f t="shared" si="22"/>
        <v>11048.227083333333</v>
      </c>
      <c r="AQ44" s="518">
        <f t="shared" si="23"/>
        <v>11805.924583333333</v>
      </c>
      <c r="AR44" s="39">
        <f t="shared" si="24"/>
        <v>5757.6083333333336</v>
      </c>
      <c r="AS44" s="518">
        <f t="shared" si="26"/>
        <v>779.89166666666665</v>
      </c>
      <c r="AT44" s="39">
        <f t="shared" si="28"/>
        <v>568.33333333333337</v>
      </c>
      <c r="AU44" s="39">
        <f t="shared" si="29"/>
        <v>606.45416666666665</v>
      </c>
      <c r="AV44" s="39">
        <f t="shared" si="29"/>
        <v>227.18866666666665</v>
      </c>
      <c r="AW44" s="39"/>
      <c r="AX44" s="39">
        <f t="shared" si="27"/>
        <v>334883.66983333335</v>
      </c>
      <c r="AY44" s="585"/>
    </row>
    <row r="45" spans="1:51" s="335" customFormat="1">
      <c r="A45" s="327" t="s">
        <v>51</v>
      </c>
      <c r="B45" s="327">
        <f t="shared" si="9"/>
        <v>2016</v>
      </c>
      <c r="C45" s="327" t="s">
        <v>47</v>
      </c>
      <c r="D45" s="518"/>
      <c r="E45" s="39"/>
      <c r="F45" s="39"/>
      <c r="G45" s="39">
        <f t="shared" si="3"/>
        <v>0</v>
      </c>
      <c r="H45" s="518">
        <f>SUM($G$5:G45)</f>
        <v>40186040.380000003</v>
      </c>
      <c r="I45" s="518"/>
      <c r="J45" s="614">
        <f>376119.33+79.77+81.35</f>
        <v>376280.45</v>
      </c>
      <c r="K45" s="39">
        <f t="shared" si="10"/>
        <v>10116502.659999998</v>
      </c>
      <c r="L45" s="518"/>
      <c r="M45" s="92">
        <f t="shared" si="25"/>
        <v>30069537.720000006</v>
      </c>
      <c r="O45" s="39">
        <f t="shared" si="16"/>
        <v>13796.4</v>
      </c>
      <c r="P45" s="39">
        <f t="shared" si="17"/>
        <v>9722.28125</v>
      </c>
      <c r="Q45" s="39">
        <f t="shared" si="18"/>
        <v>12080.370666666666</v>
      </c>
      <c r="R45" s="39">
        <f t="shared" si="19"/>
        <v>15260.065666666665</v>
      </c>
      <c r="S45" s="39">
        <f t="shared" si="20"/>
        <v>15944.075000000001</v>
      </c>
      <c r="T45" s="39">
        <f t="shared" si="21"/>
        <v>17603.616250000003</v>
      </c>
      <c r="U45" s="39">
        <f t="shared" si="31"/>
        <v>10939.370833333332</v>
      </c>
      <c r="V45" s="39">
        <f t="shared" si="31"/>
        <v>15243.782083333334</v>
      </c>
      <c r="W45" s="39">
        <f t="shared" si="31"/>
        <v>11017.99425</v>
      </c>
      <c r="X45" s="39">
        <f t="shared" si="31"/>
        <v>17485.601749999998</v>
      </c>
      <c r="Y45" s="39">
        <f>+Y44</f>
        <v>10890.147916666667</v>
      </c>
      <c r="Z45" s="39">
        <f t="shared" si="30"/>
        <v>7488.6954166666665</v>
      </c>
      <c r="AA45" s="39">
        <f t="shared" si="30"/>
        <v>8225.8129166666677</v>
      </c>
      <c r="AB45" s="39">
        <f t="shared" si="30"/>
        <v>8388.9866666666676</v>
      </c>
      <c r="AC45" s="39">
        <f t="shared" si="30"/>
        <v>13769.138416666667</v>
      </c>
      <c r="AD45" s="39">
        <f t="shared" si="30"/>
        <v>8700.2379166666669</v>
      </c>
      <c r="AE45" s="39">
        <f t="shared" si="30"/>
        <v>9998.3125</v>
      </c>
      <c r="AF45" s="39">
        <f t="shared" si="30"/>
        <v>10366.302666666666</v>
      </c>
      <c r="AG45" s="39">
        <f t="shared" si="30"/>
        <v>10732.562750000001</v>
      </c>
      <c r="AH45" s="39">
        <f t="shared" si="30"/>
        <v>9105.5835833333331</v>
      </c>
      <c r="AI45" s="39">
        <f t="shared" si="30"/>
        <v>10440.417416666667</v>
      </c>
      <c r="AJ45" s="39">
        <f t="shared" si="30"/>
        <v>8303.1186666666672</v>
      </c>
      <c r="AK45" s="39">
        <f t="shared" si="30"/>
        <v>8865.7425000000003</v>
      </c>
      <c r="AL45" s="39">
        <f t="shared" si="30"/>
        <v>8628.6307500000003</v>
      </c>
      <c r="AM45" s="39">
        <f t="shared" si="12"/>
        <v>5003.7696666666661</v>
      </c>
      <c r="AN45" s="39">
        <f t="shared" si="30"/>
        <v>11058.227500000001</v>
      </c>
      <c r="AO45" s="39">
        <f t="shared" si="30"/>
        <v>15030.796999999999</v>
      </c>
      <c r="AP45" s="39">
        <f t="shared" si="22"/>
        <v>11048.227083333333</v>
      </c>
      <c r="AQ45" s="518">
        <f t="shared" si="23"/>
        <v>11805.924583333333</v>
      </c>
      <c r="AR45" s="39">
        <f t="shared" si="24"/>
        <v>5757.6083333333336</v>
      </c>
      <c r="AS45" s="518">
        <f t="shared" si="26"/>
        <v>779.89166666666665</v>
      </c>
      <c r="AT45" s="39">
        <f t="shared" si="28"/>
        <v>568.33333333333337</v>
      </c>
      <c r="AU45" s="39">
        <f t="shared" si="29"/>
        <v>606.45416666666665</v>
      </c>
      <c r="AV45" s="39">
        <f t="shared" si="29"/>
        <v>227.18866666666665</v>
      </c>
      <c r="AW45" s="39"/>
      <c r="AX45" s="39">
        <f t="shared" si="27"/>
        <v>334883.66983333335</v>
      </c>
      <c r="AY45" s="585"/>
    </row>
    <row r="46" spans="1:51" s="585" customFormat="1">
      <c r="A46" s="332" t="s">
        <v>52</v>
      </c>
      <c r="B46" s="332">
        <f t="shared" si="9"/>
        <v>2016</v>
      </c>
      <c r="C46" s="332" t="s">
        <v>47</v>
      </c>
      <c r="D46" s="212"/>
      <c r="E46" s="212"/>
      <c r="F46" s="212"/>
      <c r="G46" s="212">
        <f t="shared" si="3"/>
        <v>0</v>
      </c>
      <c r="H46" s="212">
        <f>SUM($G$5:G46)</f>
        <v>40186040.380000003</v>
      </c>
      <c r="I46" s="212"/>
      <c r="J46" s="614">
        <f>400767.39+79.77+81.35</f>
        <v>400928.51</v>
      </c>
      <c r="K46" s="212">
        <f t="shared" si="10"/>
        <v>10517431.169999998</v>
      </c>
      <c r="L46" s="212"/>
      <c r="M46" s="588">
        <f t="shared" si="25"/>
        <v>29668609.210000005</v>
      </c>
      <c r="N46" s="333"/>
      <c r="O46" s="212">
        <f t="shared" si="16"/>
        <v>13796.4</v>
      </c>
      <c r="P46" s="212">
        <f t="shared" si="17"/>
        <v>9722.28125</v>
      </c>
      <c r="Q46" s="212">
        <f t="shared" si="18"/>
        <v>12080.370666666666</v>
      </c>
      <c r="R46" s="212">
        <f t="shared" si="19"/>
        <v>15260.065666666665</v>
      </c>
      <c r="S46" s="212">
        <f t="shared" si="20"/>
        <v>15944.075000000001</v>
      </c>
      <c r="T46" s="212">
        <f t="shared" si="21"/>
        <v>17603.616250000003</v>
      </c>
      <c r="U46" s="212">
        <f t="shared" si="31"/>
        <v>10939.370833333332</v>
      </c>
      <c r="V46" s="212">
        <f t="shared" si="31"/>
        <v>15243.782083333334</v>
      </c>
      <c r="W46" s="212">
        <f t="shared" si="31"/>
        <v>11017.99425</v>
      </c>
      <c r="X46" s="212">
        <f t="shared" si="31"/>
        <v>17485.601749999998</v>
      </c>
      <c r="Y46" s="212">
        <f>+Y45</f>
        <v>10890.147916666667</v>
      </c>
      <c r="Z46" s="212">
        <f t="shared" ref="Z46:AJ46" si="32">+Z45</f>
        <v>7488.6954166666665</v>
      </c>
      <c r="AA46" s="212">
        <f t="shared" si="32"/>
        <v>8225.8129166666677</v>
      </c>
      <c r="AB46" s="212">
        <f t="shared" si="32"/>
        <v>8388.9866666666676</v>
      </c>
      <c r="AC46" s="212">
        <f t="shared" si="32"/>
        <v>13769.138416666667</v>
      </c>
      <c r="AD46" s="212">
        <f t="shared" si="32"/>
        <v>8700.2379166666669</v>
      </c>
      <c r="AE46" s="212">
        <f t="shared" si="32"/>
        <v>9998.3125</v>
      </c>
      <c r="AF46" s="212">
        <f t="shared" si="32"/>
        <v>10366.302666666666</v>
      </c>
      <c r="AG46" s="212">
        <f t="shared" si="32"/>
        <v>10732.562750000001</v>
      </c>
      <c r="AH46" s="212">
        <f t="shared" si="32"/>
        <v>9105.5835833333331</v>
      </c>
      <c r="AI46" s="212">
        <f t="shared" si="32"/>
        <v>10440.417416666667</v>
      </c>
      <c r="AJ46" s="212">
        <f t="shared" si="32"/>
        <v>8303.1186666666672</v>
      </c>
      <c r="AK46" s="212">
        <f t="shared" si="30"/>
        <v>8865.7425000000003</v>
      </c>
      <c r="AL46" s="212">
        <f t="shared" si="30"/>
        <v>8628.6307500000003</v>
      </c>
      <c r="AM46" s="212">
        <f t="shared" si="12"/>
        <v>5003.7696666666661</v>
      </c>
      <c r="AN46" s="212">
        <f t="shared" si="30"/>
        <v>11058.227500000001</v>
      </c>
      <c r="AO46" s="212">
        <f t="shared" si="30"/>
        <v>15030.796999999999</v>
      </c>
      <c r="AP46" s="212">
        <f t="shared" si="22"/>
        <v>11048.227083333333</v>
      </c>
      <c r="AQ46" s="212">
        <f t="shared" si="23"/>
        <v>11805.924583333333</v>
      </c>
      <c r="AR46" s="212">
        <f t="shared" si="24"/>
        <v>5757.6083333333336</v>
      </c>
      <c r="AS46" s="212">
        <f t="shared" si="26"/>
        <v>779.89166666666665</v>
      </c>
      <c r="AT46" s="212">
        <f t="shared" si="28"/>
        <v>568.33333333333337</v>
      </c>
      <c r="AU46" s="212">
        <f t="shared" si="29"/>
        <v>606.45416666666665</v>
      </c>
      <c r="AV46" s="212">
        <f t="shared" si="29"/>
        <v>227.18866666666665</v>
      </c>
      <c r="AW46" s="212"/>
      <c r="AX46" s="212">
        <f t="shared" si="27"/>
        <v>334883.66983333335</v>
      </c>
    </row>
    <row r="47" spans="1:51" s="335" customFormat="1">
      <c r="A47" s="327" t="s">
        <v>53</v>
      </c>
      <c r="B47" s="327">
        <f t="shared" si="9"/>
        <v>2017</v>
      </c>
      <c r="C47" s="327" t="s">
        <v>47</v>
      </c>
      <c r="D47" s="518"/>
      <c r="E47" s="39"/>
      <c r="F47" s="39"/>
      <c r="G47" s="39">
        <f>G46</f>
        <v>0</v>
      </c>
      <c r="H47" s="518">
        <f>SUM($G$5:G47)</f>
        <v>40186040.380000003</v>
      </c>
      <c r="I47" s="518"/>
      <c r="J47" s="614">
        <f>410281.87+79.77+81.35</f>
        <v>410442.99</v>
      </c>
      <c r="K47" s="39">
        <f t="shared" si="10"/>
        <v>10927874.159999998</v>
      </c>
      <c r="L47" s="518"/>
      <c r="M47" s="92">
        <f t="shared" si="25"/>
        <v>29258166.220000006</v>
      </c>
      <c r="O47" s="39">
        <f t="shared" si="16"/>
        <v>13796.4</v>
      </c>
      <c r="P47" s="39">
        <f t="shared" si="17"/>
        <v>9722.28125</v>
      </c>
      <c r="Q47" s="39">
        <f t="shared" si="18"/>
        <v>12080.370666666666</v>
      </c>
      <c r="R47" s="39">
        <f t="shared" si="19"/>
        <v>15260.065666666665</v>
      </c>
      <c r="S47" s="39">
        <f t="shared" si="20"/>
        <v>15944.075000000001</v>
      </c>
      <c r="T47" s="39">
        <f t="shared" si="21"/>
        <v>17603.616250000003</v>
      </c>
      <c r="U47" s="39">
        <f t="shared" si="31"/>
        <v>10939.370833333332</v>
      </c>
      <c r="V47" s="39">
        <f t="shared" si="31"/>
        <v>15243.782083333334</v>
      </c>
      <c r="W47" s="39">
        <f t="shared" si="31"/>
        <v>11017.99425</v>
      </c>
      <c r="X47" s="39">
        <f t="shared" si="31"/>
        <v>17485.601749999998</v>
      </c>
      <c r="Y47" s="39">
        <f>+Y46</f>
        <v>10890.147916666667</v>
      </c>
      <c r="Z47" s="39">
        <f>+Z46</f>
        <v>7488.6954166666665</v>
      </c>
      <c r="AA47" s="39">
        <f t="shared" ref="U47:AO54" si="33">+AA46</f>
        <v>8225.8129166666677</v>
      </c>
      <c r="AB47" s="39">
        <f t="shared" si="33"/>
        <v>8388.9866666666676</v>
      </c>
      <c r="AC47" s="39">
        <f t="shared" si="33"/>
        <v>13769.138416666667</v>
      </c>
      <c r="AD47" s="39">
        <f t="shared" si="33"/>
        <v>8700.2379166666669</v>
      </c>
      <c r="AE47" s="39">
        <f t="shared" si="33"/>
        <v>9998.3125</v>
      </c>
      <c r="AF47" s="39">
        <f t="shared" si="33"/>
        <v>10366.302666666666</v>
      </c>
      <c r="AG47" s="39">
        <f t="shared" si="33"/>
        <v>10732.562750000001</v>
      </c>
      <c r="AH47" s="39">
        <f t="shared" si="33"/>
        <v>9105.5835833333331</v>
      </c>
      <c r="AI47" s="39">
        <f t="shared" si="33"/>
        <v>10440.417416666667</v>
      </c>
      <c r="AJ47" s="39">
        <f t="shared" si="33"/>
        <v>8303.1186666666672</v>
      </c>
      <c r="AK47" s="39">
        <f t="shared" si="33"/>
        <v>8865.7425000000003</v>
      </c>
      <c r="AL47" s="39">
        <f t="shared" si="33"/>
        <v>8628.6307500000003</v>
      </c>
      <c r="AM47" s="39">
        <f t="shared" si="12"/>
        <v>5003.7696666666661</v>
      </c>
      <c r="AN47" s="39">
        <f t="shared" si="33"/>
        <v>11058.227500000001</v>
      </c>
      <c r="AO47" s="39">
        <f t="shared" si="33"/>
        <v>15030.796999999999</v>
      </c>
      <c r="AP47" s="39">
        <f t="shared" si="22"/>
        <v>11048.227083333333</v>
      </c>
      <c r="AQ47" s="518">
        <f t="shared" si="23"/>
        <v>11805.924583333333</v>
      </c>
      <c r="AR47" s="39">
        <f t="shared" si="24"/>
        <v>5757.6083333333336</v>
      </c>
      <c r="AS47" s="518">
        <f t="shared" si="26"/>
        <v>779.89166666666665</v>
      </c>
      <c r="AT47" s="39">
        <f t="shared" si="28"/>
        <v>568.33333333333337</v>
      </c>
      <c r="AU47" s="39">
        <f t="shared" si="29"/>
        <v>606.45416666666665</v>
      </c>
      <c r="AV47" s="39">
        <f t="shared" si="29"/>
        <v>227.18866666666665</v>
      </c>
      <c r="AW47" s="39"/>
      <c r="AX47" s="39">
        <f t="shared" si="27"/>
        <v>334883.66983333335</v>
      </c>
      <c r="AY47" s="585"/>
    </row>
    <row r="48" spans="1:51" s="335" customFormat="1">
      <c r="A48" s="327" t="s">
        <v>54</v>
      </c>
      <c r="B48" s="327">
        <f t="shared" si="9"/>
        <v>2017</v>
      </c>
      <c r="C48" s="327" t="s">
        <v>47</v>
      </c>
      <c r="D48" s="518"/>
      <c r="E48" s="39"/>
      <c r="F48" s="39"/>
      <c r="G48" s="39">
        <f t="shared" ref="G48:G111" si="34">G47</f>
        <v>0</v>
      </c>
      <c r="H48" s="518">
        <f>SUM($G$5:G48)</f>
        <v>40186040.380000003</v>
      </c>
      <c r="I48" s="518"/>
      <c r="J48" s="614">
        <f>285669.23+79.77+81.35</f>
        <v>285830.34999999998</v>
      </c>
      <c r="K48" s="39">
        <f t="shared" si="10"/>
        <v>11213704.509999998</v>
      </c>
      <c r="L48" s="518"/>
      <c r="M48" s="92">
        <f t="shared" si="25"/>
        <v>28972335.870000005</v>
      </c>
      <c r="O48" s="39">
        <f t="shared" ref="O48:X59" si="35">+O47</f>
        <v>13796.4</v>
      </c>
      <c r="P48" s="39">
        <f t="shared" si="35"/>
        <v>9722.28125</v>
      </c>
      <c r="Q48" s="39">
        <f t="shared" si="35"/>
        <v>12080.370666666666</v>
      </c>
      <c r="R48" s="39">
        <f t="shared" si="35"/>
        <v>15260.065666666665</v>
      </c>
      <c r="S48" s="39">
        <f t="shared" si="35"/>
        <v>15944.075000000001</v>
      </c>
      <c r="T48" s="39">
        <f t="shared" si="35"/>
        <v>17603.616250000003</v>
      </c>
      <c r="U48" s="518">
        <f t="shared" si="33"/>
        <v>10939.370833333332</v>
      </c>
      <c r="V48" s="518">
        <f t="shared" si="33"/>
        <v>15243.782083333334</v>
      </c>
      <c r="W48" s="518">
        <f t="shared" si="33"/>
        <v>11017.99425</v>
      </c>
      <c r="X48" s="518">
        <f t="shared" si="33"/>
        <v>17485.601749999998</v>
      </c>
      <c r="Y48" s="518">
        <f t="shared" si="33"/>
        <v>10890.147916666667</v>
      </c>
      <c r="Z48" s="518">
        <f t="shared" si="33"/>
        <v>7488.6954166666665</v>
      </c>
      <c r="AA48" s="518">
        <f t="shared" si="33"/>
        <v>8225.8129166666677</v>
      </c>
      <c r="AB48" s="518">
        <f t="shared" si="33"/>
        <v>8388.9866666666676</v>
      </c>
      <c r="AC48" s="518">
        <f t="shared" si="33"/>
        <v>13769.138416666667</v>
      </c>
      <c r="AD48" s="518">
        <f t="shared" si="33"/>
        <v>8700.2379166666669</v>
      </c>
      <c r="AE48" s="518">
        <f t="shared" si="33"/>
        <v>9998.3125</v>
      </c>
      <c r="AF48" s="518">
        <f t="shared" si="33"/>
        <v>10366.302666666666</v>
      </c>
      <c r="AG48" s="518">
        <f t="shared" si="33"/>
        <v>10732.562750000001</v>
      </c>
      <c r="AH48" s="518">
        <f t="shared" si="33"/>
        <v>9105.5835833333331</v>
      </c>
      <c r="AI48" s="518">
        <f t="shared" si="33"/>
        <v>10440.417416666667</v>
      </c>
      <c r="AJ48" s="518">
        <f t="shared" si="33"/>
        <v>8303.1186666666672</v>
      </c>
      <c r="AK48" s="518">
        <f t="shared" si="33"/>
        <v>8865.7425000000003</v>
      </c>
      <c r="AL48" s="518">
        <f t="shared" si="33"/>
        <v>8628.6307500000003</v>
      </c>
      <c r="AM48" s="39">
        <f t="shared" si="12"/>
        <v>5003.7696666666661</v>
      </c>
      <c r="AN48" s="518">
        <f t="shared" si="33"/>
        <v>11058.227500000001</v>
      </c>
      <c r="AO48" s="518">
        <f t="shared" si="33"/>
        <v>15030.796999999999</v>
      </c>
      <c r="AP48" s="39">
        <f t="shared" si="22"/>
        <v>11048.227083333333</v>
      </c>
      <c r="AQ48" s="518">
        <f t="shared" si="23"/>
        <v>11805.924583333333</v>
      </c>
      <c r="AR48" s="39">
        <f t="shared" si="24"/>
        <v>5757.6083333333336</v>
      </c>
      <c r="AS48" s="518">
        <f t="shared" si="26"/>
        <v>779.89166666666665</v>
      </c>
      <c r="AT48" s="39">
        <f t="shared" si="28"/>
        <v>568.33333333333337</v>
      </c>
      <c r="AU48" s="39">
        <f t="shared" si="29"/>
        <v>606.45416666666665</v>
      </c>
      <c r="AV48" s="39">
        <f t="shared" si="29"/>
        <v>227.18866666666665</v>
      </c>
      <c r="AW48" s="39"/>
      <c r="AX48" s="39">
        <f t="shared" si="27"/>
        <v>334883.66983333335</v>
      </c>
      <c r="AY48" s="585"/>
    </row>
    <row r="49" spans="1:51" s="335" customFormat="1">
      <c r="A49" s="327" t="s">
        <v>55</v>
      </c>
      <c r="B49" s="327">
        <f t="shared" si="9"/>
        <v>2017</v>
      </c>
      <c r="C49" s="327" t="s">
        <v>47</v>
      </c>
      <c r="D49" s="518"/>
      <c r="E49" s="39"/>
      <c r="F49" s="39"/>
      <c r="G49" s="39">
        <f t="shared" si="34"/>
        <v>0</v>
      </c>
      <c r="H49" s="518">
        <f>SUM($G$5:G49)</f>
        <v>40186040.380000003</v>
      </c>
      <c r="I49" s="518"/>
      <c r="J49" s="614">
        <f>394007.45+79.77+81.35</f>
        <v>394168.57</v>
      </c>
      <c r="K49" s="39">
        <f t="shared" si="10"/>
        <v>11607873.079999998</v>
      </c>
      <c r="L49" s="518"/>
      <c r="M49" s="92">
        <f t="shared" si="25"/>
        <v>28578167.300000004</v>
      </c>
      <c r="O49" s="39">
        <f t="shared" si="35"/>
        <v>13796.4</v>
      </c>
      <c r="P49" s="39">
        <f t="shared" si="35"/>
        <v>9722.28125</v>
      </c>
      <c r="Q49" s="39">
        <f t="shared" si="35"/>
        <v>12080.370666666666</v>
      </c>
      <c r="R49" s="39">
        <f t="shared" si="35"/>
        <v>15260.065666666665</v>
      </c>
      <c r="S49" s="39">
        <f t="shared" si="35"/>
        <v>15944.075000000001</v>
      </c>
      <c r="T49" s="39">
        <f t="shared" si="35"/>
        <v>17603.616250000003</v>
      </c>
      <c r="U49" s="518">
        <f t="shared" si="33"/>
        <v>10939.370833333332</v>
      </c>
      <c r="V49" s="518">
        <f t="shared" si="33"/>
        <v>15243.782083333334</v>
      </c>
      <c r="W49" s="518">
        <f t="shared" si="33"/>
        <v>11017.99425</v>
      </c>
      <c r="X49" s="518">
        <f t="shared" si="33"/>
        <v>17485.601749999998</v>
      </c>
      <c r="Y49" s="518">
        <f t="shared" si="33"/>
        <v>10890.147916666667</v>
      </c>
      <c r="Z49" s="518">
        <f t="shared" si="33"/>
        <v>7488.6954166666665</v>
      </c>
      <c r="AA49" s="518">
        <f t="shared" si="33"/>
        <v>8225.8129166666677</v>
      </c>
      <c r="AB49" s="518">
        <f t="shared" si="33"/>
        <v>8388.9866666666676</v>
      </c>
      <c r="AC49" s="518">
        <f t="shared" si="33"/>
        <v>13769.138416666667</v>
      </c>
      <c r="AD49" s="518">
        <f t="shared" si="33"/>
        <v>8700.2379166666669</v>
      </c>
      <c r="AE49" s="518">
        <f t="shared" si="33"/>
        <v>9998.3125</v>
      </c>
      <c r="AF49" s="518">
        <f t="shared" si="33"/>
        <v>10366.302666666666</v>
      </c>
      <c r="AG49" s="518">
        <f t="shared" si="33"/>
        <v>10732.562750000001</v>
      </c>
      <c r="AH49" s="518">
        <f t="shared" si="33"/>
        <v>9105.5835833333331</v>
      </c>
      <c r="AI49" s="518">
        <f t="shared" si="33"/>
        <v>10440.417416666667</v>
      </c>
      <c r="AJ49" s="518">
        <f t="shared" si="33"/>
        <v>8303.1186666666672</v>
      </c>
      <c r="AK49" s="518">
        <f t="shared" si="33"/>
        <v>8865.7425000000003</v>
      </c>
      <c r="AL49" s="518">
        <f t="shared" si="33"/>
        <v>8628.6307500000003</v>
      </c>
      <c r="AM49" s="39">
        <f t="shared" si="12"/>
        <v>5003.7696666666661</v>
      </c>
      <c r="AN49" s="518">
        <f t="shared" si="33"/>
        <v>11058.227500000001</v>
      </c>
      <c r="AO49" s="518">
        <f t="shared" si="33"/>
        <v>15030.796999999999</v>
      </c>
      <c r="AP49" s="39">
        <f t="shared" si="22"/>
        <v>11048.227083333333</v>
      </c>
      <c r="AQ49" s="518">
        <f t="shared" si="23"/>
        <v>11805.924583333333</v>
      </c>
      <c r="AR49" s="39">
        <f t="shared" si="24"/>
        <v>5757.6083333333336</v>
      </c>
      <c r="AS49" s="518">
        <f t="shared" si="26"/>
        <v>779.89166666666665</v>
      </c>
      <c r="AT49" s="39">
        <f t="shared" si="28"/>
        <v>568.33333333333337</v>
      </c>
      <c r="AU49" s="39">
        <f t="shared" si="29"/>
        <v>606.45416666666665</v>
      </c>
      <c r="AV49" s="39">
        <f t="shared" si="29"/>
        <v>227.18866666666665</v>
      </c>
      <c r="AW49" s="39"/>
      <c r="AX49" s="39">
        <f t="shared" si="27"/>
        <v>334883.66983333335</v>
      </c>
      <c r="AY49" s="585"/>
    </row>
    <row r="50" spans="1:51" s="335" customFormat="1">
      <c r="A50" s="327" t="s">
        <v>56</v>
      </c>
      <c r="B50" s="327">
        <f t="shared" si="9"/>
        <v>2017</v>
      </c>
      <c r="C50" s="327" t="s">
        <v>47</v>
      </c>
      <c r="D50" s="518"/>
      <c r="E50" s="39"/>
      <c r="F50" s="39"/>
      <c r="G50" s="39">
        <f t="shared" si="34"/>
        <v>0</v>
      </c>
      <c r="H50" s="518">
        <f>SUM($G$5:G50)</f>
        <v>40186040.380000003</v>
      </c>
      <c r="I50" s="518"/>
      <c r="J50" s="614">
        <f>288958.46+79.77+81.35</f>
        <v>289119.58</v>
      </c>
      <c r="K50" s="39">
        <f t="shared" si="10"/>
        <v>11896992.659999998</v>
      </c>
      <c r="L50" s="518"/>
      <c r="M50" s="92">
        <f t="shared" si="25"/>
        <v>28289047.720000006</v>
      </c>
      <c r="O50" s="39">
        <f t="shared" si="35"/>
        <v>13796.4</v>
      </c>
      <c r="P50" s="39">
        <f t="shared" si="35"/>
        <v>9722.28125</v>
      </c>
      <c r="Q50" s="39">
        <f t="shared" si="35"/>
        <v>12080.370666666666</v>
      </c>
      <c r="R50" s="39">
        <f t="shared" si="35"/>
        <v>15260.065666666665</v>
      </c>
      <c r="S50" s="39">
        <f t="shared" si="35"/>
        <v>15944.075000000001</v>
      </c>
      <c r="T50" s="39">
        <f t="shared" si="35"/>
        <v>17603.616250000003</v>
      </c>
      <c r="U50" s="39">
        <f t="shared" si="33"/>
        <v>10939.370833333332</v>
      </c>
      <c r="V50" s="39">
        <f t="shared" si="33"/>
        <v>15243.782083333334</v>
      </c>
      <c r="W50" s="39">
        <f t="shared" si="33"/>
        <v>11017.99425</v>
      </c>
      <c r="X50" s="39">
        <f t="shared" si="33"/>
        <v>17485.601749999998</v>
      </c>
      <c r="Y50" s="39">
        <f t="shared" si="33"/>
        <v>10890.147916666667</v>
      </c>
      <c r="Z50" s="39">
        <f t="shared" si="33"/>
        <v>7488.6954166666665</v>
      </c>
      <c r="AA50" s="39">
        <f t="shared" si="33"/>
        <v>8225.8129166666677</v>
      </c>
      <c r="AB50" s="39">
        <f t="shared" si="33"/>
        <v>8388.9866666666676</v>
      </c>
      <c r="AC50" s="39">
        <f t="shared" si="33"/>
        <v>13769.138416666667</v>
      </c>
      <c r="AD50" s="39">
        <f t="shared" si="33"/>
        <v>8700.2379166666669</v>
      </c>
      <c r="AE50" s="39">
        <f t="shared" si="33"/>
        <v>9998.3125</v>
      </c>
      <c r="AF50" s="39">
        <f t="shared" si="33"/>
        <v>10366.302666666666</v>
      </c>
      <c r="AG50" s="39">
        <f t="shared" si="33"/>
        <v>10732.562750000001</v>
      </c>
      <c r="AH50" s="39">
        <f t="shared" si="33"/>
        <v>9105.5835833333331</v>
      </c>
      <c r="AI50" s="39">
        <f t="shared" si="33"/>
        <v>10440.417416666667</v>
      </c>
      <c r="AJ50" s="39">
        <f t="shared" si="33"/>
        <v>8303.1186666666672</v>
      </c>
      <c r="AK50" s="39">
        <f t="shared" si="33"/>
        <v>8865.7425000000003</v>
      </c>
      <c r="AL50" s="39">
        <f t="shared" si="33"/>
        <v>8628.6307500000003</v>
      </c>
      <c r="AM50" s="39">
        <f t="shared" si="12"/>
        <v>5003.7696666666661</v>
      </c>
      <c r="AN50" s="39">
        <f t="shared" si="33"/>
        <v>11058.227500000001</v>
      </c>
      <c r="AO50" s="39">
        <f t="shared" si="33"/>
        <v>15030.796999999999</v>
      </c>
      <c r="AP50" s="39">
        <f t="shared" si="22"/>
        <v>11048.227083333333</v>
      </c>
      <c r="AQ50" s="518">
        <f t="shared" si="23"/>
        <v>11805.924583333333</v>
      </c>
      <c r="AR50" s="39">
        <f t="shared" si="24"/>
        <v>5757.6083333333336</v>
      </c>
      <c r="AS50" s="518">
        <f t="shared" si="26"/>
        <v>779.89166666666665</v>
      </c>
      <c r="AT50" s="39">
        <f t="shared" si="28"/>
        <v>568.33333333333337</v>
      </c>
      <c r="AU50" s="39">
        <f t="shared" si="29"/>
        <v>606.45416666666665</v>
      </c>
      <c r="AV50" s="39">
        <f t="shared" si="29"/>
        <v>227.18866666666665</v>
      </c>
      <c r="AW50" s="39"/>
      <c r="AX50" s="39">
        <f t="shared" si="27"/>
        <v>334883.66983333335</v>
      </c>
      <c r="AY50" s="585"/>
    </row>
    <row r="51" spans="1:51" s="335" customFormat="1">
      <c r="A51" s="327" t="s">
        <v>57</v>
      </c>
      <c r="B51" s="327">
        <f t="shared" si="9"/>
        <v>2017</v>
      </c>
      <c r="C51" s="327" t="s">
        <v>47</v>
      </c>
      <c r="D51" s="518"/>
      <c r="E51" s="39"/>
      <c r="F51" s="39"/>
      <c r="G51" s="39">
        <f t="shared" si="34"/>
        <v>0</v>
      </c>
      <c r="H51" s="518">
        <f>SUM($G$5:G51)</f>
        <v>40186040.380000003</v>
      </c>
      <c r="I51" s="518"/>
      <c r="J51" s="614">
        <f>410202.02+79.77+81.35</f>
        <v>410363.14</v>
      </c>
      <c r="K51" s="39">
        <f t="shared" si="10"/>
        <v>12307355.799999999</v>
      </c>
      <c r="L51" s="518"/>
      <c r="M51" s="92">
        <f t="shared" si="25"/>
        <v>27878684.580000006</v>
      </c>
      <c r="O51" s="39">
        <f t="shared" si="35"/>
        <v>13796.4</v>
      </c>
      <c r="P51" s="39">
        <f t="shared" si="35"/>
        <v>9722.28125</v>
      </c>
      <c r="Q51" s="39">
        <f t="shared" si="35"/>
        <v>12080.370666666666</v>
      </c>
      <c r="R51" s="39">
        <f t="shared" si="35"/>
        <v>15260.065666666665</v>
      </c>
      <c r="S51" s="39">
        <f t="shared" si="35"/>
        <v>15944.075000000001</v>
      </c>
      <c r="T51" s="39">
        <f t="shared" si="35"/>
        <v>17603.616250000003</v>
      </c>
      <c r="U51" s="39">
        <f t="shared" si="33"/>
        <v>10939.370833333332</v>
      </c>
      <c r="V51" s="39">
        <f t="shared" si="33"/>
        <v>15243.782083333334</v>
      </c>
      <c r="W51" s="39">
        <f t="shared" si="33"/>
        <v>11017.99425</v>
      </c>
      <c r="X51" s="39">
        <f t="shared" si="33"/>
        <v>17485.601749999998</v>
      </c>
      <c r="Y51" s="39">
        <f t="shared" si="33"/>
        <v>10890.147916666667</v>
      </c>
      <c r="Z51" s="39">
        <f t="shared" si="33"/>
        <v>7488.6954166666665</v>
      </c>
      <c r="AA51" s="39">
        <f t="shared" si="33"/>
        <v>8225.8129166666677</v>
      </c>
      <c r="AB51" s="39">
        <f t="shared" si="33"/>
        <v>8388.9866666666676</v>
      </c>
      <c r="AC51" s="39">
        <f t="shared" si="33"/>
        <v>13769.138416666667</v>
      </c>
      <c r="AD51" s="39">
        <f t="shared" si="33"/>
        <v>8700.2379166666669</v>
      </c>
      <c r="AE51" s="39">
        <f t="shared" si="33"/>
        <v>9998.3125</v>
      </c>
      <c r="AF51" s="39">
        <f t="shared" si="33"/>
        <v>10366.302666666666</v>
      </c>
      <c r="AG51" s="39">
        <f t="shared" si="33"/>
        <v>10732.562750000001</v>
      </c>
      <c r="AH51" s="39">
        <f t="shared" si="33"/>
        <v>9105.5835833333331</v>
      </c>
      <c r="AI51" s="39">
        <f t="shared" si="33"/>
        <v>10440.417416666667</v>
      </c>
      <c r="AJ51" s="39">
        <f t="shared" si="33"/>
        <v>8303.1186666666672</v>
      </c>
      <c r="AK51" s="39">
        <f t="shared" si="33"/>
        <v>8865.7425000000003</v>
      </c>
      <c r="AL51" s="39">
        <f t="shared" si="33"/>
        <v>8628.6307500000003</v>
      </c>
      <c r="AM51" s="39">
        <f t="shared" si="12"/>
        <v>5003.7696666666661</v>
      </c>
      <c r="AN51" s="39">
        <f t="shared" si="33"/>
        <v>11058.227500000001</v>
      </c>
      <c r="AO51" s="39">
        <f t="shared" si="33"/>
        <v>15030.796999999999</v>
      </c>
      <c r="AP51" s="39">
        <f t="shared" si="22"/>
        <v>11048.227083333333</v>
      </c>
      <c r="AQ51" s="518">
        <f t="shared" si="23"/>
        <v>11805.924583333333</v>
      </c>
      <c r="AR51" s="39">
        <f t="shared" si="24"/>
        <v>5757.6083333333336</v>
      </c>
      <c r="AS51" s="518">
        <f t="shared" si="26"/>
        <v>779.89166666666665</v>
      </c>
      <c r="AT51" s="39">
        <f t="shared" si="28"/>
        <v>568.33333333333337</v>
      </c>
      <c r="AU51" s="39">
        <f t="shared" si="29"/>
        <v>606.45416666666665</v>
      </c>
      <c r="AV51" s="39">
        <f t="shared" si="29"/>
        <v>227.18866666666665</v>
      </c>
      <c r="AW51" s="39"/>
      <c r="AX51" s="39">
        <f t="shared" si="27"/>
        <v>334883.66983333335</v>
      </c>
      <c r="AY51" s="585"/>
    </row>
    <row r="52" spans="1:51" s="335" customFormat="1">
      <c r="A52" s="327" t="s">
        <v>58</v>
      </c>
      <c r="B52" s="327">
        <f t="shared" si="9"/>
        <v>2017</v>
      </c>
      <c r="C52" s="327" t="s">
        <v>47</v>
      </c>
      <c r="D52" s="518"/>
      <c r="E52" s="39"/>
      <c r="F52" s="39"/>
      <c r="G52" s="39">
        <f t="shared" si="34"/>
        <v>0</v>
      </c>
      <c r="H52" s="518">
        <f>SUM($G$5:G52)</f>
        <v>40186040.380000003</v>
      </c>
      <c r="I52" s="518"/>
      <c r="J52" s="614">
        <f>404604.79+79.77+81.35</f>
        <v>404765.91</v>
      </c>
      <c r="K52" s="39">
        <f t="shared" si="10"/>
        <v>12712121.709999999</v>
      </c>
      <c r="L52" s="518"/>
      <c r="M52" s="92">
        <f t="shared" si="25"/>
        <v>27473918.670000002</v>
      </c>
      <c r="O52" s="39">
        <f t="shared" si="35"/>
        <v>13796.4</v>
      </c>
      <c r="P52" s="39">
        <f t="shared" si="35"/>
        <v>9722.28125</v>
      </c>
      <c r="Q52" s="39">
        <f t="shared" si="35"/>
        <v>12080.370666666666</v>
      </c>
      <c r="R52" s="39">
        <f t="shared" si="35"/>
        <v>15260.065666666665</v>
      </c>
      <c r="S52" s="39">
        <f t="shared" si="35"/>
        <v>15944.075000000001</v>
      </c>
      <c r="T52" s="39">
        <f t="shared" si="35"/>
        <v>17603.616250000003</v>
      </c>
      <c r="U52" s="39">
        <f t="shared" si="33"/>
        <v>10939.370833333332</v>
      </c>
      <c r="V52" s="39">
        <f t="shared" si="33"/>
        <v>15243.782083333334</v>
      </c>
      <c r="W52" s="39">
        <f t="shared" si="33"/>
        <v>11017.99425</v>
      </c>
      <c r="X52" s="39">
        <f t="shared" si="33"/>
        <v>17485.601749999998</v>
      </c>
      <c r="Y52" s="39">
        <f t="shared" si="33"/>
        <v>10890.147916666667</v>
      </c>
      <c r="Z52" s="39">
        <f t="shared" si="33"/>
        <v>7488.6954166666665</v>
      </c>
      <c r="AA52" s="39">
        <f t="shared" si="33"/>
        <v>8225.8129166666677</v>
      </c>
      <c r="AB52" s="39">
        <f t="shared" si="33"/>
        <v>8388.9866666666676</v>
      </c>
      <c r="AC52" s="39">
        <f t="shared" si="33"/>
        <v>13769.138416666667</v>
      </c>
      <c r="AD52" s="39">
        <f t="shared" si="33"/>
        <v>8700.2379166666669</v>
      </c>
      <c r="AE52" s="39">
        <f t="shared" si="33"/>
        <v>9998.3125</v>
      </c>
      <c r="AF52" s="39">
        <f t="shared" si="33"/>
        <v>10366.302666666666</v>
      </c>
      <c r="AG52" s="39">
        <f t="shared" si="33"/>
        <v>10732.562750000001</v>
      </c>
      <c r="AH52" s="39">
        <f t="shared" si="33"/>
        <v>9105.5835833333331</v>
      </c>
      <c r="AI52" s="39">
        <f t="shared" si="33"/>
        <v>10440.417416666667</v>
      </c>
      <c r="AJ52" s="39">
        <f t="shared" si="33"/>
        <v>8303.1186666666672</v>
      </c>
      <c r="AK52" s="39">
        <f t="shared" si="33"/>
        <v>8865.7425000000003</v>
      </c>
      <c r="AL52" s="39">
        <f t="shared" si="33"/>
        <v>8628.6307500000003</v>
      </c>
      <c r="AM52" s="39">
        <f t="shared" si="12"/>
        <v>5003.7696666666661</v>
      </c>
      <c r="AN52" s="39">
        <f t="shared" si="33"/>
        <v>11058.227500000001</v>
      </c>
      <c r="AO52" s="39">
        <f t="shared" si="33"/>
        <v>15030.796999999999</v>
      </c>
      <c r="AP52" s="39">
        <f t="shared" si="22"/>
        <v>11048.227083333333</v>
      </c>
      <c r="AQ52" s="518">
        <f t="shared" si="23"/>
        <v>11805.924583333333</v>
      </c>
      <c r="AR52" s="39">
        <f t="shared" si="24"/>
        <v>5757.6083333333336</v>
      </c>
      <c r="AS52" s="518">
        <f t="shared" si="26"/>
        <v>779.89166666666665</v>
      </c>
      <c r="AT52" s="39">
        <f t="shared" si="28"/>
        <v>568.33333333333337</v>
      </c>
      <c r="AU52" s="39">
        <f t="shared" si="29"/>
        <v>606.45416666666665</v>
      </c>
      <c r="AV52" s="39">
        <f t="shared" si="29"/>
        <v>227.18866666666665</v>
      </c>
      <c r="AW52" s="39"/>
      <c r="AX52" s="39">
        <f t="shared" si="27"/>
        <v>334883.66983333335</v>
      </c>
      <c r="AY52" s="585"/>
    </row>
    <row r="53" spans="1:51" s="335" customFormat="1">
      <c r="A53" s="327" t="s">
        <v>59</v>
      </c>
      <c r="B53" s="327">
        <f t="shared" si="9"/>
        <v>2017</v>
      </c>
      <c r="C53" s="327" t="s">
        <v>47</v>
      </c>
      <c r="D53" s="518"/>
      <c r="E53" s="39"/>
      <c r="F53" s="39"/>
      <c r="G53" s="39">
        <f t="shared" si="34"/>
        <v>0</v>
      </c>
      <c r="H53" s="518">
        <f>SUM($G$5:G53)</f>
        <v>40186040.380000003</v>
      </c>
      <c r="I53" s="518"/>
      <c r="J53" s="614">
        <f>446168.53+79.77+81.35</f>
        <v>446329.65</v>
      </c>
      <c r="K53" s="39">
        <f t="shared" si="10"/>
        <v>13158451.359999999</v>
      </c>
      <c r="L53" s="518"/>
      <c r="M53" s="92">
        <f t="shared" si="25"/>
        <v>27027589.020000003</v>
      </c>
      <c r="O53" s="39">
        <f t="shared" si="35"/>
        <v>13796.4</v>
      </c>
      <c r="P53" s="39">
        <f t="shared" si="35"/>
        <v>9722.28125</v>
      </c>
      <c r="Q53" s="39">
        <f t="shared" si="35"/>
        <v>12080.370666666666</v>
      </c>
      <c r="R53" s="39">
        <f t="shared" si="35"/>
        <v>15260.065666666665</v>
      </c>
      <c r="S53" s="39">
        <f t="shared" si="35"/>
        <v>15944.075000000001</v>
      </c>
      <c r="T53" s="39">
        <f t="shared" si="35"/>
        <v>17603.616250000003</v>
      </c>
      <c r="U53" s="39">
        <f t="shared" si="35"/>
        <v>10939.370833333332</v>
      </c>
      <c r="V53" s="39">
        <f t="shared" si="35"/>
        <v>15243.782083333334</v>
      </c>
      <c r="W53" s="39">
        <f t="shared" si="35"/>
        <v>11017.99425</v>
      </c>
      <c r="X53" s="39">
        <f t="shared" si="35"/>
        <v>17485.601749999998</v>
      </c>
      <c r="Y53" s="39">
        <f t="shared" si="33"/>
        <v>10890.147916666667</v>
      </c>
      <c r="Z53" s="39">
        <f t="shared" si="33"/>
        <v>7488.6954166666665</v>
      </c>
      <c r="AA53" s="39">
        <f t="shared" si="33"/>
        <v>8225.8129166666677</v>
      </c>
      <c r="AB53" s="39">
        <f t="shared" si="33"/>
        <v>8388.9866666666676</v>
      </c>
      <c r="AC53" s="39">
        <f t="shared" si="33"/>
        <v>13769.138416666667</v>
      </c>
      <c r="AD53" s="39">
        <f t="shared" si="33"/>
        <v>8700.2379166666669</v>
      </c>
      <c r="AE53" s="39">
        <f t="shared" si="33"/>
        <v>9998.3125</v>
      </c>
      <c r="AF53" s="39">
        <f t="shared" si="33"/>
        <v>10366.302666666666</v>
      </c>
      <c r="AG53" s="39">
        <f t="shared" si="33"/>
        <v>10732.562750000001</v>
      </c>
      <c r="AH53" s="39">
        <f t="shared" si="33"/>
        <v>9105.5835833333331</v>
      </c>
      <c r="AI53" s="39">
        <f t="shared" si="33"/>
        <v>10440.417416666667</v>
      </c>
      <c r="AJ53" s="39">
        <f t="shared" si="33"/>
        <v>8303.1186666666672</v>
      </c>
      <c r="AK53" s="39">
        <f t="shared" si="33"/>
        <v>8865.7425000000003</v>
      </c>
      <c r="AL53" s="39">
        <f t="shared" si="33"/>
        <v>8628.6307500000003</v>
      </c>
      <c r="AM53" s="39">
        <f t="shared" si="12"/>
        <v>5003.7696666666661</v>
      </c>
      <c r="AN53" s="39">
        <f t="shared" si="33"/>
        <v>11058.227500000001</v>
      </c>
      <c r="AO53" s="39">
        <f t="shared" si="33"/>
        <v>15030.796999999999</v>
      </c>
      <c r="AP53" s="39">
        <f t="shared" si="22"/>
        <v>11048.227083333333</v>
      </c>
      <c r="AQ53" s="518">
        <f t="shared" si="23"/>
        <v>11805.924583333333</v>
      </c>
      <c r="AR53" s="39">
        <f t="shared" si="24"/>
        <v>5757.6083333333336</v>
      </c>
      <c r="AS53" s="518">
        <f t="shared" si="26"/>
        <v>779.89166666666665</v>
      </c>
      <c r="AT53" s="39">
        <f t="shared" si="28"/>
        <v>568.33333333333337</v>
      </c>
      <c r="AU53" s="39">
        <f t="shared" si="29"/>
        <v>606.45416666666665</v>
      </c>
      <c r="AV53" s="39">
        <f t="shared" si="29"/>
        <v>227.18866666666665</v>
      </c>
      <c r="AW53" s="39"/>
      <c r="AX53" s="39">
        <f t="shared" si="27"/>
        <v>334883.66983333335</v>
      </c>
      <c r="AY53" s="585"/>
    </row>
    <row r="54" spans="1:51" s="335" customFormat="1">
      <c r="A54" s="327" t="s">
        <v>46</v>
      </c>
      <c r="B54" s="327">
        <f t="shared" si="9"/>
        <v>2017</v>
      </c>
      <c r="C54" s="327" t="s">
        <v>47</v>
      </c>
      <c r="D54" s="518"/>
      <c r="E54" s="39"/>
      <c r="F54" s="39"/>
      <c r="G54" s="39">
        <f t="shared" si="34"/>
        <v>0</v>
      </c>
      <c r="H54" s="518">
        <f>SUM($G$5:G54)</f>
        <v>40186040.380000003</v>
      </c>
      <c r="I54" s="518"/>
      <c r="J54" s="614">
        <f>491316.4+79.77+81.35</f>
        <v>491477.52</v>
      </c>
      <c r="K54" s="39">
        <f t="shared" si="10"/>
        <v>13649928.879999999</v>
      </c>
      <c r="L54" s="518"/>
      <c r="M54" s="92">
        <f t="shared" si="25"/>
        <v>26536111.500000004</v>
      </c>
      <c r="O54" s="39">
        <f t="shared" si="35"/>
        <v>13796.4</v>
      </c>
      <c r="P54" s="39">
        <f>+P53</f>
        <v>9722.28125</v>
      </c>
      <c r="Q54" s="39">
        <f t="shared" si="35"/>
        <v>12080.370666666666</v>
      </c>
      <c r="R54" s="39">
        <f t="shared" si="35"/>
        <v>15260.065666666665</v>
      </c>
      <c r="S54" s="39">
        <f t="shared" si="35"/>
        <v>15944.075000000001</v>
      </c>
      <c r="T54" s="39">
        <f t="shared" si="35"/>
        <v>17603.616250000003</v>
      </c>
      <c r="U54" s="39">
        <f t="shared" si="33"/>
        <v>10939.370833333332</v>
      </c>
      <c r="V54" s="39">
        <f t="shared" si="33"/>
        <v>15243.782083333334</v>
      </c>
      <c r="W54" s="39">
        <f t="shared" si="33"/>
        <v>11017.99425</v>
      </c>
      <c r="X54" s="39">
        <f t="shared" si="33"/>
        <v>17485.601749999998</v>
      </c>
      <c r="Y54" s="39">
        <f t="shared" si="33"/>
        <v>10890.147916666667</v>
      </c>
      <c r="Z54" s="39">
        <f t="shared" si="33"/>
        <v>7488.6954166666665</v>
      </c>
      <c r="AA54" s="39">
        <f t="shared" si="33"/>
        <v>8225.8129166666677</v>
      </c>
      <c r="AB54" s="39">
        <f t="shared" si="33"/>
        <v>8388.9866666666676</v>
      </c>
      <c r="AC54" s="39">
        <f t="shared" si="33"/>
        <v>13769.138416666667</v>
      </c>
      <c r="AD54" s="39">
        <f t="shared" si="33"/>
        <v>8700.2379166666669</v>
      </c>
      <c r="AE54" s="39">
        <f t="shared" si="33"/>
        <v>9998.3125</v>
      </c>
      <c r="AF54" s="39">
        <f t="shared" si="33"/>
        <v>10366.302666666666</v>
      </c>
      <c r="AG54" s="39">
        <f t="shared" si="33"/>
        <v>10732.562750000001</v>
      </c>
      <c r="AH54" s="39">
        <f t="shared" si="33"/>
        <v>9105.5835833333331</v>
      </c>
      <c r="AI54" s="39">
        <f t="shared" si="33"/>
        <v>10440.417416666667</v>
      </c>
      <c r="AJ54" s="39">
        <f t="shared" si="33"/>
        <v>8303.1186666666672</v>
      </c>
      <c r="AK54" s="39">
        <f t="shared" si="33"/>
        <v>8865.7425000000003</v>
      </c>
      <c r="AL54" s="39">
        <f t="shared" si="33"/>
        <v>8628.6307500000003</v>
      </c>
      <c r="AM54" s="39">
        <f t="shared" si="12"/>
        <v>5003.7696666666661</v>
      </c>
      <c r="AN54" s="39">
        <f t="shared" si="33"/>
        <v>11058.227500000001</v>
      </c>
      <c r="AO54" s="39">
        <f t="shared" si="33"/>
        <v>15030.796999999999</v>
      </c>
      <c r="AP54" s="39">
        <f t="shared" si="22"/>
        <v>11048.227083333333</v>
      </c>
      <c r="AQ54" s="518">
        <f t="shared" si="23"/>
        <v>11805.924583333333</v>
      </c>
      <c r="AR54" s="39">
        <f t="shared" si="24"/>
        <v>5757.6083333333336</v>
      </c>
      <c r="AS54" s="518">
        <f t="shared" si="26"/>
        <v>779.89166666666665</v>
      </c>
      <c r="AT54" s="39">
        <f t="shared" si="28"/>
        <v>568.33333333333337</v>
      </c>
      <c r="AU54" s="39">
        <f t="shared" si="29"/>
        <v>606.45416666666665</v>
      </c>
      <c r="AV54" s="39">
        <f t="shared" si="29"/>
        <v>227.18866666666665</v>
      </c>
      <c r="AW54" s="39"/>
      <c r="AX54" s="39">
        <f t="shared" si="27"/>
        <v>334883.66983333335</v>
      </c>
      <c r="AY54" s="585"/>
    </row>
    <row r="55" spans="1:51" s="335" customFormat="1">
      <c r="A55" s="327" t="s">
        <v>48</v>
      </c>
      <c r="B55" s="327">
        <f t="shared" si="9"/>
        <v>2017</v>
      </c>
      <c r="C55" s="327" t="s">
        <v>47</v>
      </c>
      <c r="D55" s="518"/>
      <c r="E55" s="39"/>
      <c r="F55" s="39"/>
      <c r="G55" s="39">
        <f t="shared" si="34"/>
        <v>0</v>
      </c>
      <c r="H55" s="518">
        <f>SUM($G$5:G55)</f>
        <v>40186040.380000003</v>
      </c>
      <c r="I55" s="518"/>
      <c r="J55" s="614">
        <f>371461.76+79.77+81.35</f>
        <v>371622.88</v>
      </c>
      <c r="K55" s="39">
        <f t="shared" si="10"/>
        <v>14021551.76</v>
      </c>
      <c r="L55" s="518"/>
      <c r="M55" s="92">
        <f t="shared" si="25"/>
        <v>26164488.620000005</v>
      </c>
      <c r="O55" s="39">
        <f t="shared" si="35"/>
        <v>13796.4</v>
      </c>
      <c r="P55" s="39">
        <f>+P54</f>
        <v>9722.28125</v>
      </c>
      <c r="Q55" s="39">
        <f>+Q54</f>
        <v>12080.370666666666</v>
      </c>
      <c r="R55" s="39">
        <f t="shared" si="35"/>
        <v>15260.065666666665</v>
      </c>
      <c r="S55" s="39">
        <f t="shared" si="35"/>
        <v>15944.075000000001</v>
      </c>
      <c r="T55" s="39">
        <f t="shared" si="35"/>
        <v>17603.616250000003</v>
      </c>
      <c r="U55" s="39">
        <f t="shared" si="35"/>
        <v>10939.370833333332</v>
      </c>
      <c r="V55" s="39">
        <f t="shared" si="35"/>
        <v>15243.782083333334</v>
      </c>
      <c r="W55" s="39">
        <f t="shared" si="35"/>
        <v>11017.99425</v>
      </c>
      <c r="X55" s="39">
        <f t="shared" si="35"/>
        <v>17485.601749999998</v>
      </c>
      <c r="Y55" s="39">
        <f t="shared" ref="U55:AO66" si="36">+Y54</f>
        <v>10890.147916666667</v>
      </c>
      <c r="Z55" s="39">
        <f t="shared" si="36"/>
        <v>7488.6954166666665</v>
      </c>
      <c r="AA55" s="39">
        <f t="shared" si="36"/>
        <v>8225.8129166666677</v>
      </c>
      <c r="AB55" s="39">
        <f t="shared" si="36"/>
        <v>8388.9866666666676</v>
      </c>
      <c r="AC55" s="39">
        <f t="shared" si="36"/>
        <v>13769.138416666667</v>
      </c>
      <c r="AD55" s="39">
        <f t="shared" si="36"/>
        <v>8700.2379166666669</v>
      </c>
      <c r="AE55" s="39">
        <f t="shared" si="36"/>
        <v>9998.3125</v>
      </c>
      <c r="AF55" s="39">
        <f t="shared" si="36"/>
        <v>10366.302666666666</v>
      </c>
      <c r="AG55" s="39">
        <f t="shared" ref="AG55:AO55" si="37">+AG54</f>
        <v>10732.562750000001</v>
      </c>
      <c r="AH55" s="39">
        <f t="shared" si="37"/>
        <v>9105.5835833333331</v>
      </c>
      <c r="AI55" s="39">
        <f t="shared" si="37"/>
        <v>10440.417416666667</v>
      </c>
      <c r="AJ55" s="39">
        <f t="shared" si="37"/>
        <v>8303.1186666666672</v>
      </c>
      <c r="AK55" s="39">
        <f t="shared" si="37"/>
        <v>8865.7425000000003</v>
      </c>
      <c r="AL55" s="39">
        <f t="shared" si="37"/>
        <v>8628.6307500000003</v>
      </c>
      <c r="AM55" s="39">
        <f t="shared" si="12"/>
        <v>5003.7696666666661</v>
      </c>
      <c r="AN55" s="39">
        <f t="shared" si="37"/>
        <v>11058.227500000001</v>
      </c>
      <c r="AO55" s="39">
        <f t="shared" si="37"/>
        <v>15030.796999999999</v>
      </c>
      <c r="AP55" s="39">
        <f t="shared" si="22"/>
        <v>11048.227083333333</v>
      </c>
      <c r="AQ55" s="518">
        <f t="shared" si="23"/>
        <v>11805.924583333333</v>
      </c>
      <c r="AR55" s="39">
        <f t="shared" si="24"/>
        <v>5757.6083333333336</v>
      </c>
      <c r="AS55" s="518">
        <f t="shared" si="26"/>
        <v>779.89166666666665</v>
      </c>
      <c r="AT55" s="39">
        <f t="shared" si="28"/>
        <v>568.33333333333337</v>
      </c>
      <c r="AU55" s="39">
        <f t="shared" si="29"/>
        <v>606.45416666666665</v>
      </c>
      <c r="AV55" s="39">
        <f t="shared" si="29"/>
        <v>227.18866666666665</v>
      </c>
      <c r="AW55" s="39"/>
      <c r="AX55" s="39">
        <f t="shared" si="27"/>
        <v>334883.66983333335</v>
      </c>
      <c r="AY55" s="585"/>
    </row>
    <row r="56" spans="1:51" s="335" customFormat="1">
      <c r="A56" s="327" t="s">
        <v>50</v>
      </c>
      <c r="B56" s="327">
        <f t="shared" si="9"/>
        <v>2017</v>
      </c>
      <c r="C56" s="327" t="s">
        <v>47</v>
      </c>
      <c r="D56" s="518"/>
      <c r="E56" s="39"/>
      <c r="F56" s="39"/>
      <c r="G56" s="39">
        <f t="shared" si="34"/>
        <v>0</v>
      </c>
      <c r="H56" s="518">
        <f>SUM($G$5:G56)</f>
        <v>40186040.380000003</v>
      </c>
      <c r="I56" s="518"/>
      <c r="J56" s="614">
        <f>357662.83+79.77+81.35</f>
        <v>357823.95</v>
      </c>
      <c r="K56" s="39">
        <f t="shared" si="10"/>
        <v>14379375.709999999</v>
      </c>
      <c r="L56" s="518"/>
      <c r="M56" s="92">
        <f t="shared" si="25"/>
        <v>25806664.670000002</v>
      </c>
      <c r="O56" s="39">
        <f t="shared" si="35"/>
        <v>13796.4</v>
      </c>
      <c r="P56" s="39">
        <f>+P55</f>
        <v>9722.28125</v>
      </c>
      <c r="Q56" s="39">
        <f>+Q55</f>
        <v>12080.370666666666</v>
      </c>
      <c r="R56" s="39">
        <f>+R55</f>
        <v>15260.065666666665</v>
      </c>
      <c r="S56" s="39">
        <f t="shared" si="35"/>
        <v>15944.075000000001</v>
      </c>
      <c r="T56" s="39">
        <f t="shared" si="35"/>
        <v>17603.616250000003</v>
      </c>
      <c r="U56" s="39">
        <f t="shared" si="36"/>
        <v>10939.370833333332</v>
      </c>
      <c r="V56" s="39">
        <f t="shared" si="36"/>
        <v>15243.782083333334</v>
      </c>
      <c r="W56" s="39">
        <f t="shared" si="36"/>
        <v>11017.99425</v>
      </c>
      <c r="X56" s="39">
        <f t="shared" si="36"/>
        <v>17485.601749999998</v>
      </c>
      <c r="Y56" s="39">
        <f t="shared" si="36"/>
        <v>10890.147916666667</v>
      </c>
      <c r="Z56" s="39">
        <f t="shared" si="36"/>
        <v>7488.6954166666665</v>
      </c>
      <c r="AA56" s="39">
        <f t="shared" si="36"/>
        <v>8225.8129166666677</v>
      </c>
      <c r="AB56" s="39">
        <f t="shared" si="36"/>
        <v>8388.9866666666676</v>
      </c>
      <c r="AC56" s="39">
        <f t="shared" si="36"/>
        <v>13769.138416666667</v>
      </c>
      <c r="AD56" s="39">
        <f t="shared" si="36"/>
        <v>8700.2379166666669</v>
      </c>
      <c r="AE56" s="39">
        <f t="shared" si="36"/>
        <v>9998.3125</v>
      </c>
      <c r="AF56" s="39">
        <f t="shared" si="36"/>
        <v>10366.302666666666</v>
      </c>
      <c r="AG56" s="39">
        <f t="shared" si="36"/>
        <v>10732.562750000001</v>
      </c>
      <c r="AH56" s="39">
        <f t="shared" si="36"/>
        <v>9105.5835833333331</v>
      </c>
      <c r="AI56" s="39">
        <f t="shared" si="36"/>
        <v>10440.417416666667</v>
      </c>
      <c r="AJ56" s="39">
        <f t="shared" si="36"/>
        <v>8303.1186666666672</v>
      </c>
      <c r="AK56" s="39">
        <f t="shared" si="36"/>
        <v>8865.7425000000003</v>
      </c>
      <c r="AL56" s="39">
        <f t="shared" si="36"/>
        <v>8628.6307500000003</v>
      </c>
      <c r="AM56" s="39">
        <f t="shared" si="12"/>
        <v>5003.7696666666661</v>
      </c>
      <c r="AN56" s="39">
        <f t="shared" si="36"/>
        <v>11058.227500000001</v>
      </c>
      <c r="AO56" s="39">
        <f t="shared" si="36"/>
        <v>15030.796999999999</v>
      </c>
      <c r="AP56" s="39">
        <f t="shared" si="22"/>
        <v>11048.227083333333</v>
      </c>
      <c r="AQ56" s="518">
        <f t="shared" si="23"/>
        <v>11805.924583333333</v>
      </c>
      <c r="AR56" s="39">
        <f t="shared" si="24"/>
        <v>5757.6083333333336</v>
      </c>
      <c r="AS56" s="518">
        <f t="shared" si="26"/>
        <v>779.89166666666665</v>
      </c>
      <c r="AT56" s="39">
        <f t="shared" si="28"/>
        <v>568.33333333333337</v>
      </c>
      <c r="AU56" s="39">
        <f t="shared" si="29"/>
        <v>606.45416666666665</v>
      </c>
      <c r="AV56" s="39">
        <f t="shared" si="29"/>
        <v>227.18866666666665</v>
      </c>
      <c r="AW56" s="39"/>
      <c r="AX56" s="39">
        <f t="shared" si="27"/>
        <v>334883.66983333335</v>
      </c>
      <c r="AY56" s="585"/>
    </row>
    <row r="57" spans="1:51" s="335" customFormat="1">
      <c r="A57" s="327" t="s">
        <v>51</v>
      </c>
      <c r="B57" s="327">
        <f t="shared" si="9"/>
        <v>2017</v>
      </c>
      <c r="C57" s="327" t="s">
        <v>47</v>
      </c>
      <c r="D57" s="518"/>
      <c r="E57" s="39"/>
      <c r="F57" s="39"/>
      <c r="G57" s="39">
        <f t="shared" si="34"/>
        <v>0</v>
      </c>
      <c r="H57" s="518">
        <f>SUM($G$5:G57)</f>
        <v>40186040.380000003</v>
      </c>
      <c r="I57" s="518"/>
      <c r="J57" s="614">
        <f>315249.09+79.77+81.35</f>
        <v>315410.21000000002</v>
      </c>
      <c r="K57" s="39">
        <f t="shared" si="10"/>
        <v>14694785.92</v>
      </c>
      <c r="L57" s="518"/>
      <c r="M57" s="92">
        <f t="shared" si="25"/>
        <v>25491254.460000001</v>
      </c>
      <c r="O57" s="39">
        <f t="shared" si="35"/>
        <v>13796.4</v>
      </c>
      <c r="P57" s="39">
        <f>+P56</f>
        <v>9722.28125</v>
      </c>
      <c r="Q57" s="39">
        <f>+Q56</f>
        <v>12080.370666666666</v>
      </c>
      <c r="R57" s="39">
        <f>+R56</f>
        <v>15260.065666666665</v>
      </c>
      <c r="S57" s="39">
        <f>+S56</f>
        <v>15944.075000000001</v>
      </c>
      <c r="T57" s="39">
        <f t="shared" si="35"/>
        <v>17603.616250000003</v>
      </c>
      <c r="U57" s="39">
        <f t="shared" si="36"/>
        <v>10939.370833333332</v>
      </c>
      <c r="V57" s="39">
        <f t="shared" si="36"/>
        <v>15243.782083333334</v>
      </c>
      <c r="W57" s="39">
        <f t="shared" si="36"/>
        <v>11017.99425</v>
      </c>
      <c r="X57" s="39">
        <f t="shared" si="36"/>
        <v>17485.601749999998</v>
      </c>
      <c r="Y57" s="39">
        <f t="shared" si="36"/>
        <v>10890.147916666667</v>
      </c>
      <c r="Z57" s="39">
        <f t="shared" si="36"/>
        <v>7488.6954166666665</v>
      </c>
      <c r="AA57" s="39">
        <f t="shared" si="36"/>
        <v>8225.8129166666677</v>
      </c>
      <c r="AB57" s="39">
        <f t="shared" si="36"/>
        <v>8388.9866666666676</v>
      </c>
      <c r="AC57" s="39">
        <f t="shared" si="36"/>
        <v>13769.138416666667</v>
      </c>
      <c r="AD57" s="39">
        <f t="shared" si="36"/>
        <v>8700.2379166666669</v>
      </c>
      <c r="AE57" s="39">
        <f t="shared" si="36"/>
        <v>9998.3125</v>
      </c>
      <c r="AF57" s="39">
        <f t="shared" si="36"/>
        <v>10366.302666666666</v>
      </c>
      <c r="AG57" s="39">
        <f t="shared" si="36"/>
        <v>10732.562750000001</v>
      </c>
      <c r="AH57" s="39">
        <f t="shared" si="36"/>
        <v>9105.5835833333331</v>
      </c>
      <c r="AI57" s="39">
        <f t="shared" si="36"/>
        <v>10440.417416666667</v>
      </c>
      <c r="AJ57" s="39">
        <f t="shared" si="36"/>
        <v>8303.1186666666672</v>
      </c>
      <c r="AK57" s="39">
        <f t="shared" si="36"/>
        <v>8865.7425000000003</v>
      </c>
      <c r="AL57" s="39">
        <f t="shared" si="36"/>
        <v>8628.6307500000003</v>
      </c>
      <c r="AM57" s="39">
        <f t="shared" si="12"/>
        <v>5003.7696666666661</v>
      </c>
      <c r="AN57" s="39">
        <f t="shared" si="36"/>
        <v>11058.227500000001</v>
      </c>
      <c r="AO57" s="39">
        <f t="shared" si="36"/>
        <v>15030.796999999999</v>
      </c>
      <c r="AP57" s="39">
        <f t="shared" si="22"/>
        <v>11048.227083333333</v>
      </c>
      <c r="AQ57" s="518">
        <f t="shared" si="23"/>
        <v>11805.924583333333</v>
      </c>
      <c r="AR57" s="39">
        <f t="shared" si="24"/>
        <v>5757.6083333333336</v>
      </c>
      <c r="AS57" s="518">
        <f t="shared" si="26"/>
        <v>779.89166666666665</v>
      </c>
      <c r="AT57" s="39">
        <f t="shared" si="28"/>
        <v>568.33333333333337</v>
      </c>
      <c r="AU57" s="39">
        <f t="shared" si="29"/>
        <v>606.45416666666665</v>
      </c>
      <c r="AV57" s="39">
        <f t="shared" si="29"/>
        <v>227.18866666666665</v>
      </c>
      <c r="AW57" s="39"/>
      <c r="AX57" s="39">
        <f t="shared" si="27"/>
        <v>334883.66983333335</v>
      </c>
      <c r="AY57" s="585"/>
    </row>
    <row r="58" spans="1:51" s="335" customFormat="1">
      <c r="A58" s="332" t="s">
        <v>52</v>
      </c>
      <c r="B58" s="332">
        <f t="shared" si="9"/>
        <v>2017</v>
      </c>
      <c r="C58" s="332" t="s">
        <v>47</v>
      </c>
      <c r="D58" s="212"/>
      <c r="E58" s="212"/>
      <c r="F58" s="212"/>
      <c r="G58" s="212">
        <f t="shared" si="34"/>
        <v>0</v>
      </c>
      <c r="H58" s="212">
        <f>SUM($G$5:G58)</f>
        <v>40186040.380000003</v>
      </c>
      <c r="I58" s="212"/>
      <c r="J58" s="614">
        <f>357923.2+79.77+81.35</f>
        <v>358084.32</v>
      </c>
      <c r="K58" s="212">
        <f t="shared" si="10"/>
        <v>15052870.24</v>
      </c>
      <c r="L58" s="212"/>
      <c r="M58" s="588">
        <f t="shared" si="25"/>
        <v>25133170.140000001</v>
      </c>
      <c r="N58" s="333"/>
      <c r="O58" s="212">
        <f t="shared" si="35"/>
        <v>13796.4</v>
      </c>
      <c r="P58" s="212">
        <f>+P57</f>
        <v>9722.28125</v>
      </c>
      <c r="Q58" s="212">
        <f>+Q57</f>
        <v>12080.370666666666</v>
      </c>
      <c r="R58" s="212">
        <f>+R57</f>
        <v>15260.065666666665</v>
      </c>
      <c r="S58" s="212">
        <f>+S57</f>
        <v>15944.075000000001</v>
      </c>
      <c r="T58" s="212">
        <f>+T57</f>
        <v>17603.616250000003</v>
      </c>
      <c r="U58" s="212">
        <f t="shared" si="36"/>
        <v>10939.370833333332</v>
      </c>
      <c r="V58" s="212">
        <f t="shared" si="36"/>
        <v>15243.782083333334</v>
      </c>
      <c r="W58" s="212">
        <f t="shared" si="36"/>
        <v>11017.99425</v>
      </c>
      <c r="X58" s="212">
        <f t="shared" si="36"/>
        <v>17485.601749999998</v>
      </c>
      <c r="Y58" s="212">
        <f t="shared" si="36"/>
        <v>10890.147916666667</v>
      </c>
      <c r="Z58" s="212">
        <f t="shared" si="36"/>
        <v>7488.6954166666665</v>
      </c>
      <c r="AA58" s="212">
        <f t="shared" si="36"/>
        <v>8225.8129166666677</v>
      </c>
      <c r="AB58" s="212">
        <f t="shared" si="36"/>
        <v>8388.9866666666676</v>
      </c>
      <c r="AC58" s="212">
        <f t="shared" si="36"/>
        <v>13769.138416666667</v>
      </c>
      <c r="AD58" s="212">
        <f t="shared" si="36"/>
        <v>8700.2379166666669</v>
      </c>
      <c r="AE58" s="212">
        <f t="shared" si="36"/>
        <v>9998.3125</v>
      </c>
      <c r="AF58" s="212">
        <f t="shared" si="36"/>
        <v>10366.302666666666</v>
      </c>
      <c r="AG58" s="212">
        <f t="shared" si="36"/>
        <v>10732.562750000001</v>
      </c>
      <c r="AH58" s="212">
        <f t="shared" si="36"/>
        <v>9105.5835833333331</v>
      </c>
      <c r="AI58" s="212">
        <f t="shared" si="36"/>
        <v>10440.417416666667</v>
      </c>
      <c r="AJ58" s="212">
        <f t="shared" si="36"/>
        <v>8303.1186666666672</v>
      </c>
      <c r="AK58" s="212">
        <f t="shared" si="36"/>
        <v>8865.7425000000003</v>
      </c>
      <c r="AL58" s="212">
        <f t="shared" si="36"/>
        <v>8628.6307500000003</v>
      </c>
      <c r="AM58" s="212">
        <f t="shared" si="12"/>
        <v>5003.7696666666661</v>
      </c>
      <c r="AN58" s="212">
        <f t="shared" si="36"/>
        <v>11058.227500000001</v>
      </c>
      <c r="AO58" s="212">
        <f t="shared" si="36"/>
        <v>15030.796999999999</v>
      </c>
      <c r="AP58" s="212">
        <f t="shared" si="22"/>
        <v>11048.227083333333</v>
      </c>
      <c r="AQ58" s="212">
        <f t="shared" si="23"/>
        <v>11805.924583333333</v>
      </c>
      <c r="AR58" s="212">
        <f t="shared" si="24"/>
        <v>5757.6083333333336</v>
      </c>
      <c r="AS58" s="212">
        <f t="shared" si="26"/>
        <v>779.89166666666665</v>
      </c>
      <c r="AT58" s="212">
        <f t="shared" si="28"/>
        <v>568.33333333333337</v>
      </c>
      <c r="AU58" s="212">
        <f t="shared" si="29"/>
        <v>606.45416666666665</v>
      </c>
      <c r="AV58" s="212">
        <f t="shared" si="29"/>
        <v>227.18866666666665</v>
      </c>
      <c r="AW58" s="212"/>
      <c r="AX58" s="212">
        <f t="shared" si="27"/>
        <v>334883.66983333335</v>
      </c>
      <c r="AY58" s="585"/>
    </row>
    <row r="59" spans="1:51" s="335" customFormat="1">
      <c r="A59" s="327" t="s">
        <v>53</v>
      </c>
      <c r="B59" s="327">
        <f t="shared" si="9"/>
        <v>2018</v>
      </c>
      <c r="C59" s="327" t="s">
        <v>47</v>
      </c>
      <c r="D59" s="518"/>
      <c r="E59" s="39"/>
      <c r="F59" s="39"/>
      <c r="G59" s="39">
        <f t="shared" si="34"/>
        <v>0</v>
      </c>
      <c r="H59" s="518">
        <f>SUM($G$5:G59)</f>
        <v>40186040.380000003</v>
      </c>
      <c r="I59" s="518"/>
      <c r="J59" s="614">
        <f>416774.89+79.77+81.35</f>
        <v>416936.01</v>
      </c>
      <c r="K59" s="39">
        <f t="shared" si="10"/>
        <v>15469806.25</v>
      </c>
      <c r="L59" s="518"/>
      <c r="M59" s="92">
        <f t="shared" si="25"/>
        <v>24716234.130000003</v>
      </c>
      <c r="O59" s="39">
        <f t="shared" si="35"/>
        <v>13796.4</v>
      </c>
      <c r="P59" s="39">
        <f t="shared" si="35"/>
        <v>9722.28125</v>
      </c>
      <c r="Q59" s="39">
        <f t="shared" si="35"/>
        <v>12080.370666666666</v>
      </c>
      <c r="R59" s="39">
        <f t="shared" si="35"/>
        <v>15260.065666666665</v>
      </c>
      <c r="S59" s="39">
        <f t="shared" si="35"/>
        <v>15944.075000000001</v>
      </c>
      <c r="T59" s="39">
        <f t="shared" si="35"/>
        <v>17603.616250000003</v>
      </c>
      <c r="U59" s="39">
        <f t="shared" si="36"/>
        <v>10939.370833333332</v>
      </c>
      <c r="V59" s="39">
        <f t="shared" si="36"/>
        <v>15243.782083333334</v>
      </c>
      <c r="W59" s="39">
        <f t="shared" si="36"/>
        <v>11017.99425</v>
      </c>
      <c r="X59" s="39">
        <f t="shared" si="36"/>
        <v>17485.601749999998</v>
      </c>
      <c r="Y59" s="39">
        <f t="shared" si="36"/>
        <v>10890.147916666667</v>
      </c>
      <c r="Z59" s="39">
        <f t="shared" si="36"/>
        <v>7488.6954166666665</v>
      </c>
      <c r="AA59" s="39">
        <f t="shared" si="36"/>
        <v>8225.8129166666677</v>
      </c>
      <c r="AB59" s="39">
        <f t="shared" si="36"/>
        <v>8388.9866666666676</v>
      </c>
      <c r="AC59" s="39">
        <f t="shared" si="36"/>
        <v>13769.138416666667</v>
      </c>
      <c r="AD59" s="39">
        <f t="shared" si="36"/>
        <v>8700.2379166666669</v>
      </c>
      <c r="AE59" s="39">
        <f t="shared" si="36"/>
        <v>9998.3125</v>
      </c>
      <c r="AF59" s="39">
        <f t="shared" si="36"/>
        <v>10366.302666666666</v>
      </c>
      <c r="AG59" s="39">
        <f t="shared" si="36"/>
        <v>10732.562750000001</v>
      </c>
      <c r="AH59" s="39">
        <f t="shared" si="36"/>
        <v>9105.5835833333331</v>
      </c>
      <c r="AI59" s="39">
        <f t="shared" si="36"/>
        <v>10440.417416666667</v>
      </c>
      <c r="AJ59" s="39">
        <f t="shared" si="36"/>
        <v>8303.1186666666672</v>
      </c>
      <c r="AK59" s="39">
        <f t="shared" si="36"/>
        <v>8865.7425000000003</v>
      </c>
      <c r="AL59" s="39">
        <f t="shared" si="36"/>
        <v>8628.6307500000003</v>
      </c>
      <c r="AM59" s="39">
        <f t="shared" si="12"/>
        <v>5003.7696666666661</v>
      </c>
      <c r="AN59" s="39">
        <f t="shared" si="36"/>
        <v>11058.227500000001</v>
      </c>
      <c r="AO59" s="39">
        <f t="shared" si="36"/>
        <v>15030.796999999999</v>
      </c>
      <c r="AP59" s="39">
        <f t="shared" si="22"/>
        <v>11048.227083333333</v>
      </c>
      <c r="AQ59" s="518">
        <f t="shared" si="23"/>
        <v>11805.924583333333</v>
      </c>
      <c r="AR59" s="39">
        <f t="shared" si="24"/>
        <v>5757.6083333333336</v>
      </c>
      <c r="AS59" s="518">
        <f t="shared" si="26"/>
        <v>779.89166666666665</v>
      </c>
      <c r="AT59" s="39">
        <f t="shared" si="28"/>
        <v>568.33333333333337</v>
      </c>
      <c r="AU59" s="39">
        <f t="shared" si="29"/>
        <v>606.45416666666665</v>
      </c>
      <c r="AV59" s="39">
        <f t="shared" si="29"/>
        <v>227.18866666666665</v>
      </c>
      <c r="AW59" s="39"/>
      <c r="AX59" s="39">
        <f t="shared" si="27"/>
        <v>334883.66983333335</v>
      </c>
      <c r="AY59" s="585"/>
    </row>
    <row r="60" spans="1:51" s="335" customFormat="1">
      <c r="A60" s="327" t="s">
        <v>54</v>
      </c>
      <c r="B60" s="327">
        <f t="shared" si="9"/>
        <v>2018</v>
      </c>
      <c r="C60" s="327" t="s">
        <v>47</v>
      </c>
      <c r="D60" s="518"/>
      <c r="E60" s="39"/>
      <c r="F60" s="39"/>
      <c r="G60" s="39">
        <f t="shared" si="34"/>
        <v>0</v>
      </c>
      <c r="H60" s="518">
        <f>SUM($G$5:G60)</f>
        <v>40186040.380000003</v>
      </c>
      <c r="I60" s="518"/>
      <c r="J60" s="614">
        <f>312303.57+79.77+81.35</f>
        <v>312464.69</v>
      </c>
      <c r="K60" s="39">
        <f t="shared" si="10"/>
        <v>15782270.939999999</v>
      </c>
      <c r="L60" s="518"/>
      <c r="M60" s="92">
        <f t="shared" si="25"/>
        <v>24403769.440000005</v>
      </c>
      <c r="O60" s="39">
        <f t="shared" ref="O60:X75" si="38">+O59</f>
        <v>13796.4</v>
      </c>
      <c r="P60" s="39">
        <f t="shared" si="38"/>
        <v>9722.28125</v>
      </c>
      <c r="Q60" s="39">
        <f t="shared" si="38"/>
        <v>12080.370666666666</v>
      </c>
      <c r="R60" s="39">
        <f t="shared" si="38"/>
        <v>15260.065666666665</v>
      </c>
      <c r="S60" s="39">
        <f t="shared" si="38"/>
        <v>15944.075000000001</v>
      </c>
      <c r="T60" s="39">
        <f t="shared" si="38"/>
        <v>17603.616250000003</v>
      </c>
      <c r="U60" s="39">
        <f t="shared" si="36"/>
        <v>10939.370833333332</v>
      </c>
      <c r="V60" s="39">
        <f t="shared" si="36"/>
        <v>15243.782083333334</v>
      </c>
      <c r="W60" s="39">
        <f t="shared" si="36"/>
        <v>11017.99425</v>
      </c>
      <c r="X60" s="39">
        <f t="shared" si="36"/>
        <v>17485.601749999998</v>
      </c>
      <c r="Y60" s="39">
        <f t="shared" si="36"/>
        <v>10890.147916666667</v>
      </c>
      <c r="Z60" s="39">
        <f t="shared" si="36"/>
        <v>7488.6954166666665</v>
      </c>
      <c r="AA60" s="39">
        <f t="shared" si="36"/>
        <v>8225.8129166666677</v>
      </c>
      <c r="AB60" s="39">
        <f t="shared" si="36"/>
        <v>8388.9866666666676</v>
      </c>
      <c r="AC60" s="39">
        <f t="shared" si="36"/>
        <v>13769.138416666667</v>
      </c>
      <c r="AD60" s="39">
        <f t="shared" si="36"/>
        <v>8700.2379166666669</v>
      </c>
      <c r="AE60" s="39">
        <f t="shared" si="36"/>
        <v>9998.3125</v>
      </c>
      <c r="AF60" s="39">
        <f t="shared" si="36"/>
        <v>10366.302666666666</v>
      </c>
      <c r="AG60" s="518">
        <f t="shared" si="36"/>
        <v>10732.562750000001</v>
      </c>
      <c r="AH60" s="518">
        <f t="shared" si="36"/>
        <v>9105.5835833333331</v>
      </c>
      <c r="AI60" s="518">
        <f t="shared" si="36"/>
        <v>10440.417416666667</v>
      </c>
      <c r="AJ60" s="518">
        <f t="shared" si="36"/>
        <v>8303.1186666666672</v>
      </c>
      <c r="AK60" s="518">
        <f t="shared" si="36"/>
        <v>8865.7425000000003</v>
      </c>
      <c r="AL60" s="518">
        <f t="shared" si="36"/>
        <v>8628.6307500000003</v>
      </c>
      <c r="AM60" s="39">
        <f t="shared" si="12"/>
        <v>5003.7696666666661</v>
      </c>
      <c r="AN60" s="518">
        <f t="shared" si="36"/>
        <v>11058.227500000001</v>
      </c>
      <c r="AO60" s="518">
        <f t="shared" si="36"/>
        <v>15030.796999999999</v>
      </c>
      <c r="AP60" s="39">
        <f t="shared" si="22"/>
        <v>11048.227083333333</v>
      </c>
      <c r="AQ60" s="518">
        <f t="shared" si="23"/>
        <v>11805.924583333333</v>
      </c>
      <c r="AR60" s="39">
        <f t="shared" si="24"/>
        <v>5757.6083333333336</v>
      </c>
      <c r="AS60" s="518">
        <f t="shared" si="26"/>
        <v>779.89166666666665</v>
      </c>
      <c r="AT60" s="39">
        <f t="shared" si="28"/>
        <v>568.33333333333337</v>
      </c>
      <c r="AU60" s="39">
        <f t="shared" si="29"/>
        <v>606.45416666666665</v>
      </c>
      <c r="AV60" s="39">
        <f t="shared" si="29"/>
        <v>227.18866666666665</v>
      </c>
      <c r="AW60" s="39"/>
      <c r="AX60" s="39">
        <f t="shared" si="27"/>
        <v>334883.66983333335</v>
      </c>
      <c r="AY60" s="585"/>
    </row>
    <row r="61" spans="1:51" s="335" customFormat="1">
      <c r="A61" s="327" t="s">
        <v>55</v>
      </c>
      <c r="B61" s="327">
        <f t="shared" si="9"/>
        <v>2018</v>
      </c>
      <c r="C61" s="327" t="s">
        <v>47</v>
      </c>
      <c r="D61" s="518"/>
      <c r="E61" s="39"/>
      <c r="F61" s="39"/>
      <c r="G61" s="39">
        <f t="shared" si="34"/>
        <v>0</v>
      </c>
      <c r="H61" s="518">
        <f>SUM($G$5:G61)</f>
        <v>40186040.380000003</v>
      </c>
      <c r="I61" s="518"/>
      <c r="J61" s="614">
        <f>353284.96+79.77+81.35</f>
        <v>353446.08</v>
      </c>
      <c r="K61" s="39">
        <f t="shared" si="10"/>
        <v>16135717.02</v>
      </c>
      <c r="L61" s="518"/>
      <c r="M61" s="92">
        <f t="shared" si="25"/>
        <v>24050323.360000003</v>
      </c>
      <c r="O61" s="39">
        <f t="shared" si="38"/>
        <v>13796.4</v>
      </c>
      <c r="P61" s="39">
        <f t="shared" si="38"/>
        <v>9722.28125</v>
      </c>
      <c r="Q61" s="39">
        <f t="shared" si="38"/>
        <v>12080.370666666666</v>
      </c>
      <c r="R61" s="39">
        <f t="shared" si="38"/>
        <v>15260.065666666665</v>
      </c>
      <c r="S61" s="39">
        <f t="shared" si="38"/>
        <v>15944.075000000001</v>
      </c>
      <c r="T61" s="39">
        <f t="shared" si="38"/>
        <v>17603.616250000003</v>
      </c>
      <c r="U61" s="39">
        <f t="shared" si="36"/>
        <v>10939.370833333332</v>
      </c>
      <c r="V61" s="39">
        <f t="shared" si="36"/>
        <v>15243.782083333334</v>
      </c>
      <c r="W61" s="39">
        <f t="shared" si="36"/>
        <v>11017.99425</v>
      </c>
      <c r="X61" s="39">
        <f t="shared" si="36"/>
        <v>17485.601749999998</v>
      </c>
      <c r="Y61" s="39">
        <f t="shared" si="36"/>
        <v>10890.147916666667</v>
      </c>
      <c r="Z61" s="39">
        <f t="shared" si="36"/>
        <v>7488.6954166666665</v>
      </c>
      <c r="AA61" s="39">
        <f t="shared" si="36"/>
        <v>8225.8129166666677</v>
      </c>
      <c r="AB61" s="39">
        <f t="shared" si="36"/>
        <v>8388.9866666666676</v>
      </c>
      <c r="AC61" s="39">
        <f t="shared" si="36"/>
        <v>13769.138416666667</v>
      </c>
      <c r="AD61" s="39">
        <f t="shared" si="36"/>
        <v>8700.2379166666669</v>
      </c>
      <c r="AE61" s="39">
        <f t="shared" si="36"/>
        <v>9998.3125</v>
      </c>
      <c r="AF61" s="39">
        <f t="shared" si="36"/>
        <v>10366.302666666666</v>
      </c>
      <c r="AG61" s="39">
        <f t="shared" si="36"/>
        <v>10732.562750000001</v>
      </c>
      <c r="AH61" s="39">
        <f t="shared" si="36"/>
        <v>9105.5835833333331</v>
      </c>
      <c r="AI61" s="39">
        <f t="shared" si="36"/>
        <v>10440.417416666667</v>
      </c>
      <c r="AJ61" s="39">
        <f t="shared" si="36"/>
        <v>8303.1186666666672</v>
      </c>
      <c r="AK61" s="39">
        <f t="shared" si="36"/>
        <v>8865.7425000000003</v>
      </c>
      <c r="AL61" s="39">
        <f t="shared" si="36"/>
        <v>8628.6307500000003</v>
      </c>
      <c r="AM61" s="39">
        <f t="shared" si="12"/>
        <v>5003.7696666666661</v>
      </c>
      <c r="AN61" s="39">
        <f t="shared" si="36"/>
        <v>11058.227500000001</v>
      </c>
      <c r="AO61" s="39">
        <f t="shared" si="36"/>
        <v>15030.796999999999</v>
      </c>
      <c r="AP61" s="39">
        <f t="shared" si="22"/>
        <v>11048.227083333333</v>
      </c>
      <c r="AQ61" s="518">
        <f t="shared" si="23"/>
        <v>11805.924583333333</v>
      </c>
      <c r="AR61" s="39">
        <f t="shared" si="24"/>
        <v>5757.6083333333336</v>
      </c>
      <c r="AS61" s="518">
        <f t="shared" si="26"/>
        <v>779.89166666666665</v>
      </c>
      <c r="AT61" s="39">
        <f t="shared" si="28"/>
        <v>568.33333333333337</v>
      </c>
      <c r="AU61" s="39">
        <f t="shared" si="29"/>
        <v>606.45416666666665</v>
      </c>
      <c r="AV61" s="39">
        <f t="shared" si="29"/>
        <v>227.18866666666665</v>
      </c>
      <c r="AW61" s="39"/>
      <c r="AX61" s="39">
        <f t="shared" si="27"/>
        <v>334883.66983333335</v>
      </c>
      <c r="AY61" s="585"/>
    </row>
    <row r="62" spans="1:51" s="335" customFormat="1">
      <c r="A62" s="327" t="s">
        <v>56</v>
      </c>
      <c r="B62" s="327">
        <f t="shared" si="9"/>
        <v>2018</v>
      </c>
      <c r="C62" s="327" t="s">
        <v>47</v>
      </c>
      <c r="D62" s="518"/>
      <c r="E62" s="39"/>
      <c r="F62" s="39"/>
      <c r="G62" s="39">
        <f t="shared" si="34"/>
        <v>0</v>
      </c>
      <c r="H62" s="518">
        <f>SUM($G$5:G62)</f>
        <v>40186040.380000003</v>
      </c>
      <c r="I62" s="518"/>
      <c r="J62" s="614">
        <f>383575.55+79.77+81.35</f>
        <v>383736.67</v>
      </c>
      <c r="K62" s="39">
        <f t="shared" si="10"/>
        <v>16519453.689999999</v>
      </c>
      <c r="L62" s="518"/>
      <c r="M62" s="92">
        <f t="shared" si="25"/>
        <v>23666586.690000005</v>
      </c>
      <c r="O62" s="39">
        <f t="shared" si="38"/>
        <v>13796.4</v>
      </c>
      <c r="P62" s="39">
        <f t="shared" si="38"/>
        <v>9722.28125</v>
      </c>
      <c r="Q62" s="39">
        <f t="shared" si="38"/>
        <v>12080.370666666666</v>
      </c>
      <c r="R62" s="39">
        <f t="shared" si="38"/>
        <v>15260.065666666665</v>
      </c>
      <c r="S62" s="39">
        <f t="shared" si="38"/>
        <v>15944.075000000001</v>
      </c>
      <c r="T62" s="39">
        <f t="shared" si="38"/>
        <v>17603.616250000003</v>
      </c>
      <c r="U62" s="39">
        <f t="shared" si="36"/>
        <v>10939.370833333332</v>
      </c>
      <c r="V62" s="39">
        <f t="shared" si="36"/>
        <v>15243.782083333334</v>
      </c>
      <c r="W62" s="39">
        <f t="shared" si="36"/>
        <v>11017.99425</v>
      </c>
      <c r="X62" s="39">
        <f t="shared" si="36"/>
        <v>17485.601749999998</v>
      </c>
      <c r="Y62" s="39">
        <f t="shared" si="36"/>
        <v>10890.147916666667</v>
      </c>
      <c r="Z62" s="39">
        <f t="shared" si="36"/>
        <v>7488.6954166666665</v>
      </c>
      <c r="AA62" s="39">
        <f t="shared" si="36"/>
        <v>8225.8129166666677</v>
      </c>
      <c r="AB62" s="39">
        <f t="shared" si="36"/>
        <v>8388.9866666666676</v>
      </c>
      <c r="AC62" s="39">
        <f t="shared" si="36"/>
        <v>13769.138416666667</v>
      </c>
      <c r="AD62" s="39">
        <f t="shared" si="36"/>
        <v>8700.2379166666669</v>
      </c>
      <c r="AE62" s="39">
        <f t="shared" si="36"/>
        <v>9998.3125</v>
      </c>
      <c r="AF62" s="39">
        <f t="shared" si="36"/>
        <v>10366.302666666666</v>
      </c>
      <c r="AG62" s="39">
        <f t="shared" si="36"/>
        <v>10732.562750000001</v>
      </c>
      <c r="AH62" s="39">
        <f t="shared" si="36"/>
        <v>9105.5835833333331</v>
      </c>
      <c r="AI62" s="39">
        <f t="shared" si="36"/>
        <v>10440.417416666667</v>
      </c>
      <c r="AJ62" s="39">
        <f t="shared" si="36"/>
        <v>8303.1186666666672</v>
      </c>
      <c r="AK62" s="39">
        <f t="shared" si="36"/>
        <v>8865.7425000000003</v>
      </c>
      <c r="AL62" s="39">
        <f t="shared" si="36"/>
        <v>8628.6307500000003</v>
      </c>
      <c r="AM62" s="39">
        <f t="shared" si="12"/>
        <v>5003.7696666666661</v>
      </c>
      <c r="AN62" s="39">
        <f t="shared" si="36"/>
        <v>11058.227500000001</v>
      </c>
      <c r="AO62" s="39">
        <f t="shared" si="36"/>
        <v>15030.796999999999</v>
      </c>
      <c r="AP62" s="39">
        <f t="shared" si="22"/>
        <v>11048.227083333333</v>
      </c>
      <c r="AQ62" s="518">
        <f t="shared" si="23"/>
        <v>11805.924583333333</v>
      </c>
      <c r="AR62" s="39">
        <f t="shared" si="24"/>
        <v>5757.6083333333336</v>
      </c>
      <c r="AS62" s="518">
        <f t="shared" si="26"/>
        <v>779.89166666666665</v>
      </c>
      <c r="AT62" s="39">
        <f t="shared" si="28"/>
        <v>568.33333333333337</v>
      </c>
      <c r="AU62" s="39">
        <f t="shared" si="29"/>
        <v>606.45416666666665</v>
      </c>
      <c r="AV62" s="39">
        <f t="shared" si="29"/>
        <v>227.18866666666665</v>
      </c>
      <c r="AW62" s="39"/>
      <c r="AX62" s="39">
        <f t="shared" si="27"/>
        <v>334883.66983333335</v>
      </c>
      <c r="AY62" s="585"/>
    </row>
    <row r="63" spans="1:51" s="335" customFormat="1">
      <c r="A63" s="327" t="s">
        <v>57</v>
      </c>
      <c r="B63" s="327">
        <f t="shared" si="9"/>
        <v>2018</v>
      </c>
      <c r="C63" s="327" t="s">
        <v>47</v>
      </c>
      <c r="D63" s="518"/>
      <c r="E63" s="39"/>
      <c r="F63" s="39"/>
      <c r="G63" s="39">
        <f t="shared" si="34"/>
        <v>0</v>
      </c>
      <c r="H63" s="518">
        <f>SUM($G$5:G63)</f>
        <v>40186040.380000003</v>
      </c>
      <c r="I63" s="518"/>
      <c r="J63" s="614">
        <f>423739+79.77+81.35</f>
        <v>423900.12</v>
      </c>
      <c r="K63" s="39">
        <f t="shared" si="10"/>
        <v>16943353.809999999</v>
      </c>
      <c r="L63" s="518"/>
      <c r="M63" s="92">
        <f t="shared" si="25"/>
        <v>23242686.570000004</v>
      </c>
      <c r="O63" s="39">
        <f t="shared" si="38"/>
        <v>13796.4</v>
      </c>
      <c r="P63" s="39">
        <f t="shared" si="38"/>
        <v>9722.28125</v>
      </c>
      <c r="Q63" s="39">
        <f t="shared" si="38"/>
        <v>12080.370666666666</v>
      </c>
      <c r="R63" s="39">
        <f t="shared" si="38"/>
        <v>15260.065666666665</v>
      </c>
      <c r="S63" s="39">
        <f t="shared" si="38"/>
        <v>15944.075000000001</v>
      </c>
      <c r="T63" s="39">
        <f t="shared" si="38"/>
        <v>17603.616250000003</v>
      </c>
      <c r="U63" s="39">
        <f t="shared" si="36"/>
        <v>10939.370833333332</v>
      </c>
      <c r="V63" s="39">
        <f t="shared" si="36"/>
        <v>15243.782083333334</v>
      </c>
      <c r="W63" s="39">
        <f t="shared" si="36"/>
        <v>11017.99425</v>
      </c>
      <c r="X63" s="39">
        <f t="shared" si="36"/>
        <v>17485.601749999998</v>
      </c>
      <c r="Y63" s="39">
        <f t="shared" si="36"/>
        <v>10890.147916666667</v>
      </c>
      <c r="Z63" s="39">
        <f t="shared" si="36"/>
        <v>7488.6954166666665</v>
      </c>
      <c r="AA63" s="39">
        <f t="shared" si="36"/>
        <v>8225.8129166666677</v>
      </c>
      <c r="AB63" s="39">
        <f t="shared" si="36"/>
        <v>8388.9866666666676</v>
      </c>
      <c r="AC63" s="39">
        <f t="shared" si="36"/>
        <v>13769.138416666667</v>
      </c>
      <c r="AD63" s="39">
        <f t="shared" si="36"/>
        <v>8700.2379166666669</v>
      </c>
      <c r="AE63" s="39">
        <f t="shared" si="36"/>
        <v>9998.3125</v>
      </c>
      <c r="AF63" s="39">
        <f t="shared" si="36"/>
        <v>10366.302666666666</v>
      </c>
      <c r="AG63" s="39">
        <f t="shared" si="36"/>
        <v>10732.562750000001</v>
      </c>
      <c r="AH63" s="39">
        <f t="shared" si="36"/>
        <v>9105.5835833333331</v>
      </c>
      <c r="AI63" s="39">
        <f t="shared" si="36"/>
        <v>10440.417416666667</v>
      </c>
      <c r="AJ63" s="39">
        <f t="shared" si="36"/>
        <v>8303.1186666666672</v>
      </c>
      <c r="AK63" s="39">
        <f t="shared" si="36"/>
        <v>8865.7425000000003</v>
      </c>
      <c r="AL63" s="39">
        <f t="shared" si="36"/>
        <v>8628.6307500000003</v>
      </c>
      <c r="AM63" s="39">
        <f t="shared" si="12"/>
        <v>5003.7696666666661</v>
      </c>
      <c r="AN63" s="39">
        <f t="shared" si="36"/>
        <v>11058.227500000001</v>
      </c>
      <c r="AO63" s="39">
        <f t="shared" si="36"/>
        <v>15030.796999999999</v>
      </c>
      <c r="AP63" s="39">
        <f t="shared" si="22"/>
        <v>11048.227083333333</v>
      </c>
      <c r="AQ63" s="518">
        <f t="shared" si="23"/>
        <v>11805.924583333333</v>
      </c>
      <c r="AR63" s="39">
        <f t="shared" si="24"/>
        <v>5757.6083333333336</v>
      </c>
      <c r="AS63" s="518">
        <f t="shared" si="26"/>
        <v>779.89166666666665</v>
      </c>
      <c r="AT63" s="39">
        <f t="shared" si="28"/>
        <v>568.33333333333337</v>
      </c>
      <c r="AU63" s="39">
        <f t="shared" si="29"/>
        <v>606.45416666666665</v>
      </c>
      <c r="AV63" s="39">
        <f t="shared" si="29"/>
        <v>227.18866666666665</v>
      </c>
      <c r="AW63" s="39"/>
      <c r="AX63" s="39">
        <f t="shared" si="27"/>
        <v>334883.66983333335</v>
      </c>
      <c r="AY63" s="585"/>
    </row>
    <row r="64" spans="1:51" s="335" customFormat="1">
      <c r="A64" s="327" t="s">
        <v>58</v>
      </c>
      <c r="B64" s="327">
        <f t="shared" si="9"/>
        <v>2018</v>
      </c>
      <c r="C64" s="327" t="s">
        <v>47</v>
      </c>
      <c r="D64" s="518"/>
      <c r="E64" s="39"/>
      <c r="F64" s="39"/>
      <c r="G64" s="39">
        <f t="shared" si="34"/>
        <v>0</v>
      </c>
      <c r="H64" s="518">
        <f>SUM($G$5:G64)</f>
        <v>40186040.380000003</v>
      </c>
      <c r="I64" s="518"/>
      <c r="J64" s="614">
        <f>408830+79.77+81.35</f>
        <v>408991.12</v>
      </c>
      <c r="K64" s="39">
        <f t="shared" si="10"/>
        <v>17352344.93</v>
      </c>
      <c r="L64" s="518"/>
      <c r="M64" s="92">
        <f t="shared" si="25"/>
        <v>22833695.450000003</v>
      </c>
      <c r="O64" s="39">
        <f t="shared" si="38"/>
        <v>13796.4</v>
      </c>
      <c r="P64" s="39">
        <f t="shared" si="38"/>
        <v>9722.28125</v>
      </c>
      <c r="Q64" s="39">
        <f t="shared" si="38"/>
        <v>12080.370666666666</v>
      </c>
      <c r="R64" s="39">
        <f t="shared" si="38"/>
        <v>15260.065666666665</v>
      </c>
      <c r="S64" s="39">
        <f t="shared" si="38"/>
        <v>15944.075000000001</v>
      </c>
      <c r="T64" s="39">
        <f t="shared" si="38"/>
        <v>17603.616250000003</v>
      </c>
      <c r="U64" s="39">
        <f t="shared" si="36"/>
        <v>10939.370833333332</v>
      </c>
      <c r="V64" s="39">
        <f t="shared" si="36"/>
        <v>15243.782083333334</v>
      </c>
      <c r="W64" s="39">
        <f t="shared" si="36"/>
        <v>11017.99425</v>
      </c>
      <c r="X64" s="39">
        <f t="shared" si="36"/>
        <v>17485.601749999998</v>
      </c>
      <c r="Y64" s="39">
        <f t="shared" si="36"/>
        <v>10890.147916666667</v>
      </c>
      <c r="Z64" s="39">
        <f t="shared" si="36"/>
        <v>7488.6954166666665</v>
      </c>
      <c r="AA64" s="39">
        <f t="shared" si="36"/>
        <v>8225.8129166666677</v>
      </c>
      <c r="AB64" s="39">
        <f t="shared" si="36"/>
        <v>8388.9866666666676</v>
      </c>
      <c r="AC64" s="39">
        <f t="shared" si="36"/>
        <v>13769.138416666667</v>
      </c>
      <c r="AD64" s="39">
        <f t="shared" si="36"/>
        <v>8700.2379166666669</v>
      </c>
      <c r="AE64" s="39">
        <f t="shared" si="36"/>
        <v>9998.3125</v>
      </c>
      <c r="AF64" s="39">
        <f t="shared" si="36"/>
        <v>10366.302666666666</v>
      </c>
      <c r="AG64" s="39">
        <f t="shared" si="36"/>
        <v>10732.562750000001</v>
      </c>
      <c r="AH64" s="39">
        <f t="shared" si="36"/>
        <v>9105.5835833333331</v>
      </c>
      <c r="AI64" s="39">
        <f t="shared" si="36"/>
        <v>10440.417416666667</v>
      </c>
      <c r="AJ64" s="39">
        <f t="shared" si="36"/>
        <v>8303.1186666666672</v>
      </c>
      <c r="AK64" s="39">
        <f t="shared" si="36"/>
        <v>8865.7425000000003</v>
      </c>
      <c r="AL64" s="39">
        <f t="shared" si="36"/>
        <v>8628.6307500000003</v>
      </c>
      <c r="AM64" s="39">
        <f t="shared" si="12"/>
        <v>5003.7696666666661</v>
      </c>
      <c r="AN64" s="39">
        <f t="shared" si="36"/>
        <v>11058.227500000001</v>
      </c>
      <c r="AO64" s="39">
        <f t="shared" si="36"/>
        <v>15030.796999999999</v>
      </c>
      <c r="AP64" s="39">
        <f t="shared" si="22"/>
        <v>11048.227083333333</v>
      </c>
      <c r="AQ64" s="518">
        <f t="shared" si="23"/>
        <v>11805.924583333333</v>
      </c>
      <c r="AR64" s="39">
        <f t="shared" si="24"/>
        <v>5757.6083333333336</v>
      </c>
      <c r="AS64" s="518">
        <f t="shared" si="26"/>
        <v>779.89166666666665</v>
      </c>
      <c r="AT64" s="39">
        <f t="shared" si="28"/>
        <v>568.33333333333337</v>
      </c>
      <c r="AU64" s="39">
        <f t="shared" si="29"/>
        <v>606.45416666666665</v>
      </c>
      <c r="AV64" s="39">
        <f t="shared" si="29"/>
        <v>227.18866666666665</v>
      </c>
      <c r="AW64" s="39"/>
      <c r="AX64" s="39">
        <f t="shared" si="27"/>
        <v>334883.66983333335</v>
      </c>
      <c r="AY64" s="585"/>
    </row>
    <row r="65" spans="1:51" s="335" customFormat="1">
      <c r="A65" s="327" t="s">
        <v>59</v>
      </c>
      <c r="B65" s="327">
        <f t="shared" si="9"/>
        <v>2018</v>
      </c>
      <c r="C65" s="327" t="s">
        <v>47</v>
      </c>
      <c r="D65" s="518"/>
      <c r="E65" s="39"/>
      <c r="F65" s="39"/>
      <c r="G65" s="39">
        <f t="shared" si="34"/>
        <v>0</v>
      </c>
      <c r="H65" s="518">
        <f>SUM($G$5:G65)</f>
        <v>40186040.380000003</v>
      </c>
      <c r="I65" s="518"/>
      <c r="J65" s="614">
        <f>407079+79.77+81.35</f>
        <v>407240.12</v>
      </c>
      <c r="K65" s="39">
        <f t="shared" si="10"/>
        <v>17759585.050000001</v>
      </c>
      <c r="L65" s="518"/>
      <c r="M65" s="92">
        <f t="shared" si="25"/>
        <v>22426455.330000002</v>
      </c>
      <c r="O65" s="39">
        <f t="shared" si="38"/>
        <v>13796.4</v>
      </c>
      <c r="P65" s="39">
        <f t="shared" si="38"/>
        <v>9722.28125</v>
      </c>
      <c r="Q65" s="39">
        <f t="shared" si="38"/>
        <v>12080.370666666666</v>
      </c>
      <c r="R65" s="39">
        <f t="shared" si="38"/>
        <v>15260.065666666665</v>
      </c>
      <c r="S65" s="39">
        <f t="shared" si="38"/>
        <v>15944.075000000001</v>
      </c>
      <c r="T65" s="39">
        <f t="shared" si="38"/>
        <v>17603.616250000003</v>
      </c>
      <c r="U65" s="39">
        <f t="shared" si="36"/>
        <v>10939.370833333332</v>
      </c>
      <c r="V65" s="39">
        <f t="shared" si="36"/>
        <v>15243.782083333334</v>
      </c>
      <c r="W65" s="39">
        <f t="shared" si="36"/>
        <v>11017.99425</v>
      </c>
      <c r="X65" s="39">
        <f t="shared" si="36"/>
        <v>17485.601749999998</v>
      </c>
      <c r="Y65" s="39">
        <f t="shared" si="36"/>
        <v>10890.147916666667</v>
      </c>
      <c r="Z65" s="39">
        <f t="shared" si="36"/>
        <v>7488.6954166666665</v>
      </c>
      <c r="AA65" s="39">
        <f t="shared" si="36"/>
        <v>8225.8129166666677</v>
      </c>
      <c r="AB65" s="39">
        <f t="shared" si="36"/>
        <v>8388.9866666666676</v>
      </c>
      <c r="AC65" s="39">
        <f t="shared" si="36"/>
        <v>13769.138416666667</v>
      </c>
      <c r="AD65" s="39">
        <f t="shared" si="36"/>
        <v>8700.2379166666669</v>
      </c>
      <c r="AE65" s="39">
        <f t="shared" si="36"/>
        <v>9998.3125</v>
      </c>
      <c r="AF65" s="39">
        <f t="shared" si="36"/>
        <v>10366.302666666666</v>
      </c>
      <c r="AG65" s="39">
        <f t="shared" si="36"/>
        <v>10732.562750000001</v>
      </c>
      <c r="AH65" s="39">
        <f t="shared" si="36"/>
        <v>9105.5835833333331</v>
      </c>
      <c r="AI65" s="39">
        <f t="shared" si="36"/>
        <v>10440.417416666667</v>
      </c>
      <c r="AJ65" s="39">
        <f t="shared" si="36"/>
        <v>8303.1186666666672</v>
      </c>
      <c r="AK65" s="39">
        <f t="shared" si="36"/>
        <v>8865.7425000000003</v>
      </c>
      <c r="AL65" s="39">
        <f t="shared" si="36"/>
        <v>8628.6307500000003</v>
      </c>
      <c r="AM65" s="39">
        <f t="shared" si="12"/>
        <v>5003.7696666666661</v>
      </c>
      <c r="AN65" s="39">
        <f t="shared" si="36"/>
        <v>11058.227500000001</v>
      </c>
      <c r="AO65" s="39">
        <f t="shared" si="36"/>
        <v>15030.796999999999</v>
      </c>
      <c r="AP65" s="39">
        <f t="shared" si="22"/>
        <v>11048.227083333333</v>
      </c>
      <c r="AQ65" s="518">
        <f t="shared" si="23"/>
        <v>11805.924583333333</v>
      </c>
      <c r="AR65" s="39">
        <f t="shared" si="24"/>
        <v>5757.6083333333336</v>
      </c>
      <c r="AS65" s="518">
        <f t="shared" si="26"/>
        <v>779.89166666666665</v>
      </c>
      <c r="AT65" s="39">
        <f t="shared" si="28"/>
        <v>568.33333333333337</v>
      </c>
      <c r="AU65" s="39">
        <f t="shared" si="29"/>
        <v>606.45416666666665</v>
      </c>
      <c r="AV65" s="39">
        <f t="shared" si="29"/>
        <v>227.18866666666665</v>
      </c>
      <c r="AW65" s="39"/>
      <c r="AX65" s="39">
        <f t="shared" si="27"/>
        <v>334883.66983333335</v>
      </c>
      <c r="AY65" s="585"/>
    </row>
    <row r="66" spans="1:51" s="335" customFormat="1">
      <c r="A66" s="327" t="s">
        <v>46</v>
      </c>
      <c r="B66" s="327">
        <f t="shared" si="9"/>
        <v>2018</v>
      </c>
      <c r="C66" s="327" t="s">
        <v>47</v>
      </c>
      <c r="D66" s="518"/>
      <c r="E66" s="39"/>
      <c r="F66" s="39"/>
      <c r="G66" s="39">
        <f t="shared" si="34"/>
        <v>0</v>
      </c>
      <c r="H66" s="518">
        <f>SUM($G$5:G66)</f>
        <v>40186040.380000003</v>
      </c>
      <c r="I66" s="518"/>
      <c r="J66" s="614">
        <f>444065+79.77+81.35</f>
        <v>444226.12</v>
      </c>
      <c r="K66" s="39">
        <f t="shared" si="10"/>
        <v>18203811.170000002</v>
      </c>
      <c r="L66" s="518"/>
      <c r="M66" s="92">
        <f t="shared" si="25"/>
        <v>21982229.210000001</v>
      </c>
      <c r="O66" s="39">
        <f t="shared" si="38"/>
        <v>13796.4</v>
      </c>
      <c r="P66" s="39">
        <f t="shared" si="38"/>
        <v>9722.28125</v>
      </c>
      <c r="Q66" s="39">
        <f t="shared" si="38"/>
        <v>12080.370666666666</v>
      </c>
      <c r="R66" s="39">
        <f t="shared" si="38"/>
        <v>15260.065666666665</v>
      </c>
      <c r="S66" s="39">
        <f t="shared" si="38"/>
        <v>15944.075000000001</v>
      </c>
      <c r="T66" s="39">
        <f t="shared" si="38"/>
        <v>17603.616250000003</v>
      </c>
      <c r="U66" s="39">
        <f t="shared" si="38"/>
        <v>10939.370833333332</v>
      </c>
      <c r="V66" s="39">
        <f t="shared" si="38"/>
        <v>15243.782083333334</v>
      </c>
      <c r="W66" s="39">
        <f t="shared" si="38"/>
        <v>11017.99425</v>
      </c>
      <c r="X66" s="39">
        <f t="shared" si="38"/>
        <v>17485.601749999998</v>
      </c>
      <c r="Y66" s="39">
        <f t="shared" si="36"/>
        <v>10890.147916666667</v>
      </c>
      <c r="Z66" s="39">
        <f t="shared" si="36"/>
        <v>7488.6954166666665</v>
      </c>
      <c r="AA66" s="39">
        <f t="shared" si="36"/>
        <v>8225.8129166666677</v>
      </c>
      <c r="AB66" s="39">
        <f t="shared" si="36"/>
        <v>8388.9866666666676</v>
      </c>
      <c r="AC66" s="39">
        <f t="shared" si="36"/>
        <v>13769.138416666667</v>
      </c>
      <c r="AD66" s="39">
        <f t="shared" si="36"/>
        <v>8700.2379166666669</v>
      </c>
      <c r="AE66" s="39">
        <f t="shared" si="36"/>
        <v>9998.3125</v>
      </c>
      <c r="AF66" s="39">
        <f t="shared" ref="AF66:AL70" si="39">+AF65</f>
        <v>10366.302666666666</v>
      </c>
      <c r="AG66" s="39">
        <f t="shared" si="39"/>
        <v>10732.562750000001</v>
      </c>
      <c r="AH66" s="39">
        <f t="shared" si="39"/>
        <v>9105.5835833333331</v>
      </c>
      <c r="AI66" s="39">
        <f t="shared" si="39"/>
        <v>10440.417416666667</v>
      </c>
      <c r="AJ66" s="39">
        <f t="shared" si="39"/>
        <v>8303.1186666666672</v>
      </c>
      <c r="AK66" s="39">
        <f t="shared" si="39"/>
        <v>8865.7425000000003</v>
      </c>
      <c r="AL66" s="39">
        <f t="shared" si="39"/>
        <v>8628.6307500000003</v>
      </c>
      <c r="AM66" s="39">
        <f t="shared" si="12"/>
        <v>5003.7696666666661</v>
      </c>
      <c r="AN66" s="39">
        <f t="shared" ref="AN66:AO70" si="40">+AN65</f>
        <v>11058.227500000001</v>
      </c>
      <c r="AO66" s="39">
        <f t="shared" si="40"/>
        <v>15030.796999999999</v>
      </c>
      <c r="AP66" s="39">
        <f t="shared" si="22"/>
        <v>11048.227083333333</v>
      </c>
      <c r="AQ66" s="518">
        <f t="shared" si="23"/>
        <v>11805.924583333333</v>
      </c>
      <c r="AR66" s="39">
        <f t="shared" si="24"/>
        <v>5757.6083333333336</v>
      </c>
      <c r="AS66" s="518">
        <f t="shared" si="26"/>
        <v>779.89166666666665</v>
      </c>
      <c r="AT66" s="39">
        <f t="shared" si="28"/>
        <v>568.33333333333337</v>
      </c>
      <c r="AU66" s="39">
        <f t="shared" si="29"/>
        <v>606.45416666666665</v>
      </c>
      <c r="AV66" s="39">
        <f t="shared" si="29"/>
        <v>227.18866666666665</v>
      </c>
      <c r="AW66" s="39"/>
      <c r="AX66" s="39">
        <f t="shared" si="27"/>
        <v>334883.66983333335</v>
      </c>
      <c r="AY66" s="585"/>
    </row>
    <row r="67" spans="1:51" s="335" customFormat="1">
      <c r="A67" s="327" t="s">
        <v>48</v>
      </c>
      <c r="B67" s="327">
        <f t="shared" si="9"/>
        <v>2018</v>
      </c>
      <c r="C67" s="327" t="s">
        <v>47</v>
      </c>
      <c r="D67" s="518"/>
      <c r="E67" s="39"/>
      <c r="F67" s="39"/>
      <c r="G67" s="39">
        <f t="shared" si="34"/>
        <v>0</v>
      </c>
      <c r="H67" s="518">
        <f>SUM($G$5:G67)</f>
        <v>40186040.380000003</v>
      </c>
      <c r="I67" s="518"/>
      <c r="J67" s="614">
        <f>357111+79.77+81.35</f>
        <v>357272.12</v>
      </c>
      <c r="K67" s="39">
        <f t="shared" si="10"/>
        <v>18561083.290000003</v>
      </c>
      <c r="L67" s="518"/>
      <c r="M67" s="92">
        <f t="shared" si="25"/>
        <v>21624957.09</v>
      </c>
      <c r="O67" s="39">
        <f t="shared" si="38"/>
        <v>13796.4</v>
      </c>
      <c r="P67" s="39">
        <f t="shared" si="38"/>
        <v>9722.28125</v>
      </c>
      <c r="Q67" s="39">
        <f t="shared" si="38"/>
        <v>12080.370666666666</v>
      </c>
      <c r="R67" s="39">
        <f t="shared" si="38"/>
        <v>15260.065666666665</v>
      </c>
      <c r="S67" s="39">
        <f t="shared" si="38"/>
        <v>15944.075000000001</v>
      </c>
      <c r="T67" s="39">
        <f t="shared" si="38"/>
        <v>17603.616250000003</v>
      </c>
      <c r="U67" s="39">
        <f t="shared" si="38"/>
        <v>10939.370833333332</v>
      </c>
      <c r="V67" s="39">
        <f t="shared" si="38"/>
        <v>15243.782083333334</v>
      </c>
      <c r="W67" s="39">
        <f t="shared" si="38"/>
        <v>11017.99425</v>
      </c>
      <c r="X67" s="39">
        <f t="shared" si="38"/>
        <v>17485.601749999998</v>
      </c>
      <c r="Y67" s="39">
        <f t="shared" ref="Y67:AN78" si="41">+Y66</f>
        <v>10890.147916666667</v>
      </c>
      <c r="Z67" s="39">
        <f t="shared" si="41"/>
        <v>7488.6954166666665</v>
      </c>
      <c r="AA67" s="39">
        <f t="shared" si="41"/>
        <v>8225.8129166666677</v>
      </c>
      <c r="AB67" s="39">
        <f t="shared" ref="AB67:AE70" si="42">+AB66</f>
        <v>8388.9866666666676</v>
      </c>
      <c r="AC67" s="39">
        <f t="shared" si="42"/>
        <v>13769.138416666667</v>
      </c>
      <c r="AD67" s="39">
        <f t="shared" si="42"/>
        <v>8700.2379166666669</v>
      </c>
      <c r="AE67" s="39">
        <f t="shared" si="42"/>
        <v>9998.3125</v>
      </c>
      <c r="AF67" s="39">
        <f t="shared" si="39"/>
        <v>10366.302666666666</v>
      </c>
      <c r="AG67" s="39">
        <f t="shared" si="39"/>
        <v>10732.562750000001</v>
      </c>
      <c r="AH67" s="39">
        <f t="shared" si="39"/>
        <v>9105.5835833333331</v>
      </c>
      <c r="AI67" s="39">
        <f t="shared" si="39"/>
        <v>10440.417416666667</v>
      </c>
      <c r="AJ67" s="39">
        <f t="shared" si="39"/>
        <v>8303.1186666666672</v>
      </c>
      <c r="AK67" s="39">
        <f t="shared" si="39"/>
        <v>8865.7425000000003</v>
      </c>
      <c r="AL67" s="39">
        <f t="shared" si="39"/>
        <v>8628.6307500000003</v>
      </c>
      <c r="AM67" s="39">
        <f t="shared" si="12"/>
        <v>5003.7696666666661</v>
      </c>
      <c r="AN67" s="39">
        <f t="shared" si="40"/>
        <v>11058.227500000001</v>
      </c>
      <c r="AO67" s="39">
        <f t="shared" si="40"/>
        <v>15030.796999999999</v>
      </c>
      <c r="AP67" s="39">
        <f t="shared" si="22"/>
        <v>11048.227083333333</v>
      </c>
      <c r="AQ67" s="518">
        <f t="shared" si="23"/>
        <v>11805.924583333333</v>
      </c>
      <c r="AR67" s="39">
        <f t="shared" si="24"/>
        <v>5757.6083333333336</v>
      </c>
      <c r="AS67" s="518">
        <f t="shared" si="26"/>
        <v>779.89166666666665</v>
      </c>
      <c r="AT67" s="39">
        <f t="shared" si="28"/>
        <v>568.33333333333337</v>
      </c>
      <c r="AU67" s="39">
        <f t="shared" si="29"/>
        <v>606.45416666666665</v>
      </c>
      <c r="AV67" s="39">
        <f t="shared" si="29"/>
        <v>227.18866666666665</v>
      </c>
      <c r="AW67" s="39"/>
      <c r="AX67" s="39">
        <f t="shared" si="27"/>
        <v>334883.66983333335</v>
      </c>
      <c r="AY67" s="585"/>
    </row>
    <row r="68" spans="1:51" s="335" customFormat="1" outlineLevel="1">
      <c r="A68" s="327" t="s">
        <v>50</v>
      </c>
      <c r="B68" s="327">
        <f t="shared" si="9"/>
        <v>2018</v>
      </c>
      <c r="C68" s="327" t="s">
        <v>47</v>
      </c>
      <c r="D68" s="518"/>
      <c r="E68" s="39"/>
      <c r="F68" s="39"/>
      <c r="G68" s="39">
        <f t="shared" si="34"/>
        <v>0</v>
      </c>
      <c r="H68" s="518">
        <f>SUM($G$5:G68)</f>
        <v>40186040.380000003</v>
      </c>
      <c r="I68" s="518"/>
      <c r="J68" s="614">
        <f>403056+79.77+81.35</f>
        <v>403217.12</v>
      </c>
      <c r="K68" s="39">
        <f t="shared" si="10"/>
        <v>18964300.410000004</v>
      </c>
      <c r="L68" s="518"/>
      <c r="M68" s="92">
        <f t="shared" si="25"/>
        <v>21221739.969999999</v>
      </c>
      <c r="O68" s="39">
        <f t="shared" si="38"/>
        <v>13796.4</v>
      </c>
      <c r="P68" s="39">
        <f t="shared" si="38"/>
        <v>9722.28125</v>
      </c>
      <c r="Q68" s="39">
        <f t="shared" si="38"/>
        <v>12080.370666666666</v>
      </c>
      <c r="R68" s="39">
        <f t="shared" si="38"/>
        <v>15260.065666666665</v>
      </c>
      <c r="S68" s="39">
        <f t="shared" si="38"/>
        <v>15944.075000000001</v>
      </c>
      <c r="T68" s="39">
        <f t="shared" si="38"/>
        <v>17603.616250000003</v>
      </c>
      <c r="U68" s="39">
        <f t="shared" si="38"/>
        <v>10939.370833333332</v>
      </c>
      <c r="V68" s="39">
        <f t="shared" si="38"/>
        <v>15243.782083333334</v>
      </c>
      <c r="W68" s="39">
        <f t="shared" si="38"/>
        <v>11017.99425</v>
      </c>
      <c r="X68" s="39">
        <f t="shared" si="38"/>
        <v>17485.601749999998</v>
      </c>
      <c r="Y68" s="39">
        <f t="shared" si="41"/>
        <v>10890.147916666667</v>
      </c>
      <c r="Z68" s="39">
        <f t="shared" si="41"/>
        <v>7488.6954166666665</v>
      </c>
      <c r="AA68" s="39">
        <f t="shared" si="41"/>
        <v>8225.8129166666677</v>
      </c>
      <c r="AB68" s="39">
        <f t="shared" si="42"/>
        <v>8388.9866666666676</v>
      </c>
      <c r="AC68" s="39">
        <f t="shared" si="42"/>
        <v>13769.138416666667</v>
      </c>
      <c r="AD68" s="39">
        <f t="shared" si="42"/>
        <v>8700.2379166666669</v>
      </c>
      <c r="AE68" s="39">
        <f t="shared" si="42"/>
        <v>9998.3125</v>
      </c>
      <c r="AF68" s="39">
        <f t="shared" si="39"/>
        <v>10366.302666666666</v>
      </c>
      <c r="AG68" s="39">
        <f t="shared" si="39"/>
        <v>10732.562750000001</v>
      </c>
      <c r="AH68" s="39">
        <f t="shared" si="39"/>
        <v>9105.5835833333331</v>
      </c>
      <c r="AI68" s="39">
        <f t="shared" si="39"/>
        <v>10440.417416666667</v>
      </c>
      <c r="AJ68" s="39">
        <f t="shared" si="39"/>
        <v>8303.1186666666672</v>
      </c>
      <c r="AK68" s="39">
        <f t="shared" si="39"/>
        <v>8865.7425000000003</v>
      </c>
      <c r="AL68" s="39">
        <f t="shared" si="39"/>
        <v>8628.6307500000003</v>
      </c>
      <c r="AM68" s="39">
        <f t="shared" si="12"/>
        <v>5003.7696666666661</v>
      </c>
      <c r="AN68" s="39">
        <f t="shared" si="40"/>
        <v>11058.227500000001</v>
      </c>
      <c r="AO68" s="39">
        <f t="shared" si="40"/>
        <v>15030.796999999999</v>
      </c>
      <c r="AP68" s="39">
        <f t="shared" si="22"/>
        <v>11048.227083333333</v>
      </c>
      <c r="AQ68" s="518">
        <f t="shared" si="23"/>
        <v>11805.924583333333</v>
      </c>
      <c r="AR68" s="39">
        <f t="shared" si="24"/>
        <v>5757.6083333333336</v>
      </c>
      <c r="AS68" s="518">
        <f t="shared" si="26"/>
        <v>779.89166666666665</v>
      </c>
      <c r="AT68" s="39">
        <f t="shared" si="28"/>
        <v>568.33333333333337</v>
      </c>
      <c r="AU68" s="39">
        <f t="shared" si="29"/>
        <v>606.45416666666665</v>
      </c>
      <c r="AV68" s="39">
        <f t="shared" si="29"/>
        <v>227.18866666666665</v>
      </c>
      <c r="AW68" s="39"/>
      <c r="AX68" s="39">
        <f t="shared" si="27"/>
        <v>334883.66983333335</v>
      </c>
      <c r="AY68" s="585"/>
    </row>
    <row r="69" spans="1:51" s="335" customFormat="1" outlineLevel="1">
      <c r="A69" s="327" t="s">
        <v>51</v>
      </c>
      <c r="B69" s="327">
        <f t="shared" si="9"/>
        <v>2018</v>
      </c>
      <c r="C69" s="327" t="s">
        <v>47</v>
      </c>
      <c r="D69" s="518"/>
      <c r="E69" s="39"/>
      <c r="F69" s="39"/>
      <c r="G69" s="39">
        <f t="shared" si="34"/>
        <v>0</v>
      </c>
      <c r="H69" s="518">
        <f>SUM($G$5:G69)</f>
        <v>40186040.380000003</v>
      </c>
      <c r="I69" s="518"/>
      <c r="J69" s="614">
        <f>337169+79.77+81.35</f>
        <v>337330.12</v>
      </c>
      <c r="K69" s="39">
        <f t="shared" si="10"/>
        <v>19301630.530000005</v>
      </c>
      <c r="L69" s="518"/>
      <c r="M69" s="92">
        <f t="shared" ref="M69:M100" si="43">+H69-K69</f>
        <v>20884409.849999998</v>
      </c>
      <c r="O69" s="39">
        <f t="shared" si="38"/>
        <v>13796.4</v>
      </c>
      <c r="P69" s="39">
        <f t="shared" si="38"/>
        <v>9722.28125</v>
      </c>
      <c r="Q69" s="39">
        <f t="shared" si="38"/>
        <v>12080.370666666666</v>
      </c>
      <c r="R69" s="39">
        <f t="shared" si="38"/>
        <v>15260.065666666665</v>
      </c>
      <c r="S69" s="39">
        <f t="shared" si="38"/>
        <v>15944.075000000001</v>
      </c>
      <c r="T69" s="39">
        <f t="shared" si="38"/>
        <v>17603.616250000003</v>
      </c>
      <c r="U69" s="39">
        <f t="shared" si="38"/>
        <v>10939.370833333332</v>
      </c>
      <c r="V69" s="39">
        <f t="shared" si="38"/>
        <v>15243.782083333334</v>
      </c>
      <c r="W69" s="39">
        <f t="shared" si="38"/>
        <v>11017.99425</v>
      </c>
      <c r="X69" s="39">
        <f t="shared" si="38"/>
        <v>17485.601749999998</v>
      </c>
      <c r="Y69" s="39">
        <f t="shared" si="41"/>
        <v>10890.147916666667</v>
      </c>
      <c r="Z69" s="39">
        <f t="shared" si="41"/>
        <v>7488.6954166666665</v>
      </c>
      <c r="AA69" s="39">
        <f t="shared" si="41"/>
        <v>8225.8129166666677</v>
      </c>
      <c r="AB69" s="39">
        <f t="shared" si="42"/>
        <v>8388.9866666666676</v>
      </c>
      <c r="AC69" s="39">
        <f t="shared" si="42"/>
        <v>13769.138416666667</v>
      </c>
      <c r="AD69" s="39">
        <f t="shared" si="42"/>
        <v>8700.2379166666669</v>
      </c>
      <c r="AE69" s="39">
        <f t="shared" si="42"/>
        <v>9998.3125</v>
      </c>
      <c r="AF69" s="39">
        <f t="shared" si="39"/>
        <v>10366.302666666666</v>
      </c>
      <c r="AG69" s="39">
        <f t="shared" si="39"/>
        <v>10732.562750000001</v>
      </c>
      <c r="AH69" s="39">
        <f t="shared" si="39"/>
        <v>9105.5835833333331</v>
      </c>
      <c r="AI69" s="39">
        <f t="shared" si="39"/>
        <v>10440.417416666667</v>
      </c>
      <c r="AJ69" s="39">
        <f t="shared" si="39"/>
        <v>8303.1186666666672</v>
      </c>
      <c r="AK69" s="39">
        <f t="shared" si="39"/>
        <v>8865.7425000000003</v>
      </c>
      <c r="AL69" s="39">
        <f t="shared" si="39"/>
        <v>8628.6307500000003</v>
      </c>
      <c r="AM69" s="39">
        <f t="shared" si="12"/>
        <v>5003.7696666666661</v>
      </c>
      <c r="AN69" s="39">
        <f t="shared" si="40"/>
        <v>11058.227500000001</v>
      </c>
      <c r="AO69" s="39">
        <f t="shared" si="40"/>
        <v>15030.796999999999</v>
      </c>
      <c r="AP69" s="39">
        <f t="shared" si="22"/>
        <v>11048.227083333333</v>
      </c>
      <c r="AQ69" s="518">
        <f t="shared" si="23"/>
        <v>11805.924583333333</v>
      </c>
      <c r="AR69" s="39">
        <f t="shared" si="24"/>
        <v>5757.6083333333336</v>
      </c>
      <c r="AS69" s="518">
        <f t="shared" si="26"/>
        <v>779.89166666666665</v>
      </c>
      <c r="AT69" s="39">
        <f t="shared" si="28"/>
        <v>568.33333333333337</v>
      </c>
      <c r="AU69" s="39">
        <f t="shared" si="29"/>
        <v>606.45416666666665</v>
      </c>
      <c r="AV69" s="39">
        <f t="shared" si="29"/>
        <v>227.18866666666665</v>
      </c>
      <c r="AW69" s="39"/>
      <c r="AX69" s="39">
        <f t="shared" ref="AX69:AX100" si="44">SUM(O69:AV69)</f>
        <v>334883.66983333335</v>
      </c>
      <c r="AY69" s="585"/>
    </row>
    <row r="70" spans="1:51" s="335" customFormat="1" outlineLevel="1">
      <c r="A70" s="332" t="s">
        <v>52</v>
      </c>
      <c r="B70" s="332">
        <f t="shared" si="9"/>
        <v>2018</v>
      </c>
      <c r="C70" s="332" t="s">
        <v>47</v>
      </c>
      <c r="D70" s="212"/>
      <c r="E70" s="212"/>
      <c r="F70" s="212"/>
      <c r="G70" s="212">
        <f t="shared" si="34"/>
        <v>0</v>
      </c>
      <c r="H70" s="212">
        <f>SUM($G$5:G70)</f>
        <v>40186040.380000003</v>
      </c>
      <c r="I70" s="212"/>
      <c r="J70" s="617">
        <f>360589+79.77+81.35</f>
        <v>360750.12</v>
      </c>
      <c r="K70" s="212">
        <f t="shared" si="10"/>
        <v>19662380.650000006</v>
      </c>
      <c r="L70" s="212"/>
      <c r="M70" s="588">
        <f t="shared" si="43"/>
        <v>20523659.729999997</v>
      </c>
      <c r="N70" s="333"/>
      <c r="O70" s="212">
        <f t="shared" si="38"/>
        <v>13796.4</v>
      </c>
      <c r="P70" s="212">
        <f t="shared" si="38"/>
        <v>9722.28125</v>
      </c>
      <c r="Q70" s="212">
        <f t="shared" si="38"/>
        <v>12080.370666666666</v>
      </c>
      <c r="R70" s="212">
        <f t="shared" si="38"/>
        <v>15260.065666666665</v>
      </c>
      <c r="S70" s="212">
        <f t="shared" si="38"/>
        <v>15944.075000000001</v>
      </c>
      <c r="T70" s="212">
        <f t="shared" si="38"/>
        <v>17603.616250000003</v>
      </c>
      <c r="U70" s="212">
        <f t="shared" si="38"/>
        <v>10939.370833333332</v>
      </c>
      <c r="V70" s="212">
        <f t="shared" si="38"/>
        <v>15243.782083333334</v>
      </c>
      <c r="W70" s="212">
        <f t="shared" si="38"/>
        <v>11017.99425</v>
      </c>
      <c r="X70" s="212">
        <f t="shared" si="38"/>
        <v>17485.601749999998</v>
      </c>
      <c r="Y70" s="212">
        <f t="shared" si="41"/>
        <v>10890.147916666667</v>
      </c>
      <c r="Z70" s="212">
        <f t="shared" si="41"/>
        <v>7488.6954166666665</v>
      </c>
      <c r="AA70" s="212">
        <f t="shared" si="41"/>
        <v>8225.8129166666677</v>
      </c>
      <c r="AB70" s="212">
        <f t="shared" si="42"/>
        <v>8388.9866666666676</v>
      </c>
      <c r="AC70" s="212">
        <f t="shared" si="42"/>
        <v>13769.138416666667</v>
      </c>
      <c r="AD70" s="212">
        <f t="shared" si="42"/>
        <v>8700.2379166666669</v>
      </c>
      <c r="AE70" s="212">
        <f t="shared" si="42"/>
        <v>9998.3125</v>
      </c>
      <c r="AF70" s="212">
        <f t="shared" si="39"/>
        <v>10366.302666666666</v>
      </c>
      <c r="AG70" s="212">
        <f t="shared" si="39"/>
        <v>10732.562750000001</v>
      </c>
      <c r="AH70" s="212">
        <f t="shared" si="39"/>
        <v>9105.5835833333331</v>
      </c>
      <c r="AI70" s="212">
        <f t="shared" si="39"/>
        <v>10440.417416666667</v>
      </c>
      <c r="AJ70" s="212">
        <f t="shared" si="39"/>
        <v>8303.1186666666672</v>
      </c>
      <c r="AK70" s="212">
        <f t="shared" si="39"/>
        <v>8865.7425000000003</v>
      </c>
      <c r="AL70" s="212">
        <f t="shared" si="39"/>
        <v>8628.6307500000003</v>
      </c>
      <c r="AM70" s="212">
        <f t="shared" si="12"/>
        <v>5003.7696666666661</v>
      </c>
      <c r="AN70" s="212">
        <f t="shared" si="40"/>
        <v>11058.227500000001</v>
      </c>
      <c r="AO70" s="212">
        <f t="shared" si="40"/>
        <v>15030.796999999999</v>
      </c>
      <c r="AP70" s="212">
        <f t="shared" si="22"/>
        <v>11048.227083333333</v>
      </c>
      <c r="AQ70" s="212">
        <f t="shared" si="23"/>
        <v>11805.924583333333</v>
      </c>
      <c r="AR70" s="212">
        <f t="shared" si="24"/>
        <v>5757.6083333333336</v>
      </c>
      <c r="AS70" s="212">
        <f t="shared" si="26"/>
        <v>779.89166666666665</v>
      </c>
      <c r="AT70" s="212">
        <f t="shared" si="28"/>
        <v>568.33333333333337</v>
      </c>
      <c r="AU70" s="212">
        <f t="shared" si="29"/>
        <v>606.45416666666665</v>
      </c>
      <c r="AV70" s="212">
        <f t="shared" si="29"/>
        <v>227.18866666666665</v>
      </c>
      <c r="AW70" s="212"/>
      <c r="AX70" s="212">
        <f t="shared" si="44"/>
        <v>334883.66983333335</v>
      </c>
      <c r="AY70" s="585"/>
    </row>
    <row r="71" spans="1:51" s="335" customFormat="1" outlineLevel="1">
      <c r="A71" s="327" t="s">
        <v>53</v>
      </c>
      <c r="B71" s="327">
        <f t="shared" si="9"/>
        <v>2019</v>
      </c>
      <c r="C71" s="327" t="s">
        <v>47</v>
      </c>
      <c r="D71" s="518"/>
      <c r="E71" s="39"/>
      <c r="F71" s="39"/>
      <c r="G71" s="39">
        <f t="shared" si="34"/>
        <v>0</v>
      </c>
      <c r="H71" s="518">
        <f>SUM($G$5:G71)</f>
        <v>40186040.380000003</v>
      </c>
      <c r="I71" s="518"/>
      <c r="J71" s="614">
        <f>376082+79.77+81.35</f>
        <v>376243.12</v>
      </c>
      <c r="K71" s="39">
        <f t="shared" si="10"/>
        <v>20038623.770000007</v>
      </c>
      <c r="L71" s="518"/>
      <c r="M71" s="92">
        <f t="shared" si="43"/>
        <v>20147416.609999996</v>
      </c>
      <c r="O71" s="39">
        <f t="shared" si="38"/>
        <v>13796.4</v>
      </c>
      <c r="P71" s="39">
        <f t="shared" si="38"/>
        <v>9722.28125</v>
      </c>
      <c r="Q71" s="39">
        <f t="shared" si="38"/>
        <v>12080.370666666666</v>
      </c>
      <c r="R71" s="39">
        <f t="shared" si="38"/>
        <v>15260.065666666665</v>
      </c>
      <c r="S71" s="39">
        <f t="shared" si="38"/>
        <v>15944.075000000001</v>
      </c>
      <c r="T71" s="39">
        <f t="shared" si="38"/>
        <v>17603.616250000003</v>
      </c>
      <c r="U71" s="39">
        <f>+U70</f>
        <v>10939.370833333332</v>
      </c>
      <c r="V71" s="39">
        <f t="shared" si="38"/>
        <v>15243.782083333334</v>
      </c>
      <c r="W71" s="39">
        <f t="shared" si="38"/>
        <v>11017.99425</v>
      </c>
      <c r="X71" s="39">
        <f t="shared" si="38"/>
        <v>17485.601749999998</v>
      </c>
      <c r="Y71" s="39">
        <f t="shared" si="41"/>
        <v>10890.147916666667</v>
      </c>
      <c r="Z71" s="39">
        <f t="shared" si="41"/>
        <v>7488.6954166666665</v>
      </c>
      <c r="AA71" s="39">
        <f t="shared" si="41"/>
        <v>8225.8129166666677</v>
      </c>
      <c r="AB71" s="39">
        <f t="shared" si="41"/>
        <v>8388.9866666666676</v>
      </c>
      <c r="AC71" s="39">
        <f t="shared" si="41"/>
        <v>13769.138416666667</v>
      </c>
      <c r="AD71" s="39">
        <f t="shared" si="41"/>
        <v>8700.2379166666669</v>
      </c>
      <c r="AE71" s="39">
        <f t="shared" si="41"/>
        <v>9998.3125</v>
      </c>
      <c r="AF71" s="39">
        <f t="shared" si="41"/>
        <v>10366.302666666666</v>
      </c>
      <c r="AG71" s="39">
        <f t="shared" si="41"/>
        <v>10732.562750000001</v>
      </c>
      <c r="AH71" s="39">
        <f t="shared" si="41"/>
        <v>9105.5835833333331</v>
      </c>
      <c r="AI71" s="39">
        <f t="shared" si="41"/>
        <v>10440.417416666667</v>
      </c>
      <c r="AJ71" s="39">
        <f t="shared" si="41"/>
        <v>8303.1186666666672</v>
      </c>
      <c r="AK71" s="39">
        <f t="shared" si="41"/>
        <v>8865.7425000000003</v>
      </c>
      <c r="AL71" s="39">
        <f t="shared" si="41"/>
        <v>8628.6307500000003</v>
      </c>
      <c r="AM71" s="39">
        <f t="shared" si="12"/>
        <v>5003.7696666666661</v>
      </c>
      <c r="AN71" s="39">
        <f t="shared" si="41"/>
        <v>11058.227500000001</v>
      </c>
      <c r="AO71" s="39">
        <f t="shared" ref="AO71:AO81" si="45">+AO70</f>
        <v>15030.796999999999</v>
      </c>
      <c r="AP71" s="39">
        <f t="shared" si="22"/>
        <v>11048.227083333333</v>
      </c>
      <c r="AQ71" s="518">
        <f t="shared" si="23"/>
        <v>11805.924583333333</v>
      </c>
      <c r="AR71" s="39">
        <f t="shared" si="24"/>
        <v>5757.6083333333336</v>
      </c>
      <c r="AS71" s="518">
        <f t="shared" si="26"/>
        <v>779.89166666666665</v>
      </c>
      <c r="AT71" s="39">
        <f t="shared" si="28"/>
        <v>568.33333333333337</v>
      </c>
      <c r="AU71" s="39">
        <f t="shared" si="29"/>
        <v>606.45416666666665</v>
      </c>
      <c r="AV71" s="39">
        <f t="shared" si="29"/>
        <v>227.18866666666665</v>
      </c>
      <c r="AW71" s="39"/>
      <c r="AX71" s="39">
        <f t="shared" si="44"/>
        <v>334883.66983333335</v>
      </c>
    </row>
    <row r="72" spans="1:51" s="335" customFormat="1" outlineLevel="1">
      <c r="A72" s="327" t="s">
        <v>54</v>
      </c>
      <c r="B72" s="327">
        <f t="shared" si="9"/>
        <v>2019</v>
      </c>
      <c r="C72" s="327" t="s">
        <v>47</v>
      </c>
      <c r="D72" s="518"/>
      <c r="E72" s="39"/>
      <c r="F72" s="39"/>
      <c r="G72" s="39">
        <f t="shared" si="34"/>
        <v>0</v>
      </c>
      <c r="H72" s="518">
        <f>SUM($G$5:G72)</f>
        <v>40186040.380000003</v>
      </c>
      <c r="I72" s="518"/>
      <c r="J72" s="614">
        <f>277066.29+79.77+81.35</f>
        <v>277227.40999999997</v>
      </c>
      <c r="K72" s="39">
        <f t="shared" si="10"/>
        <v>20315851.180000007</v>
      </c>
      <c r="L72" s="518"/>
      <c r="M72" s="92">
        <f t="shared" si="43"/>
        <v>19870189.199999996</v>
      </c>
      <c r="O72" s="39">
        <f t="shared" si="38"/>
        <v>13796.4</v>
      </c>
      <c r="P72" s="39">
        <f t="shared" si="38"/>
        <v>9722.28125</v>
      </c>
      <c r="Q72" s="39">
        <f t="shared" si="38"/>
        <v>12080.370666666666</v>
      </c>
      <c r="R72" s="39">
        <f t="shared" si="38"/>
        <v>15260.065666666665</v>
      </c>
      <c r="S72" s="39">
        <f t="shared" si="38"/>
        <v>15944.075000000001</v>
      </c>
      <c r="T72" s="39">
        <f t="shared" si="38"/>
        <v>17603.616250000003</v>
      </c>
      <c r="U72" s="39">
        <f t="shared" si="38"/>
        <v>10939.370833333332</v>
      </c>
      <c r="V72" s="39">
        <f t="shared" si="38"/>
        <v>15243.782083333334</v>
      </c>
      <c r="W72" s="39">
        <f t="shared" si="38"/>
        <v>11017.99425</v>
      </c>
      <c r="X72" s="39">
        <f t="shared" si="38"/>
        <v>17485.601749999998</v>
      </c>
      <c r="Y72" s="39">
        <f t="shared" si="41"/>
        <v>10890.147916666667</v>
      </c>
      <c r="Z72" s="39">
        <f t="shared" si="41"/>
        <v>7488.6954166666665</v>
      </c>
      <c r="AA72" s="39">
        <f t="shared" si="41"/>
        <v>8225.8129166666677</v>
      </c>
      <c r="AB72" s="39">
        <f t="shared" si="41"/>
        <v>8388.9866666666676</v>
      </c>
      <c r="AC72" s="39">
        <f t="shared" si="41"/>
        <v>13769.138416666667</v>
      </c>
      <c r="AD72" s="39">
        <f t="shared" si="41"/>
        <v>8700.2379166666669</v>
      </c>
      <c r="AE72" s="39">
        <f t="shared" si="41"/>
        <v>9998.3125</v>
      </c>
      <c r="AF72" s="39">
        <f t="shared" si="41"/>
        <v>10366.302666666666</v>
      </c>
      <c r="AG72" s="39">
        <f t="shared" si="41"/>
        <v>10732.562750000001</v>
      </c>
      <c r="AH72" s="39">
        <f t="shared" si="41"/>
        <v>9105.5835833333331</v>
      </c>
      <c r="AI72" s="39">
        <f t="shared" si="41"/>
        <v>10440.417416666667</v>
      </c>
      <c r="AJ72" s="39">
        <f t="shared" si="41"/>
        <v>8303.1186666666672</v>
      </c>
      <c r="AK72" s="39">
        <f t="shared" si="41"/>
        <v>8865.7425000000003</v>
      </c>
      <c r="AL72" s="39">
        <f t="shared" si="41"/>
        <v>8628.6307500000003</v>
      </c>
      <c r="AM72" s="39">
        <f t="shared" si="12"/>
        <v>5003.7696666666661</v>
      </c>
      <c r="AN72" s="39">
        <f t="shared" si="41"/>
        <v>11058.227500000001</v>
      </c>
      <c r="AO72" s="39">
        <f t="shared" si="45"/>
        <v>15030.796999999999</v>
      </c>
      <c r="AP72" s="39">
        <f t="shared" si="22"/>
        <v>11048.227083333333</v>
      </c>
      <c r="AQ72" s="518">
        <f t="shared" si="23"/>
        <v>11805.924583333333</v>
      </c>
      <c r="AR72" s="39">
        <f t="shared" si="24"/>
        <v>5757.6083333333336</v>
      </c>
      <c r="AS72" s="518">
        <f t="shared" si="26"/>
        <v>779.89166666666665</v>
      </c>
      <c r="AT72" s="39">
        <f t="shared" si="28"/>
        <v>568.33333333333337</v>
      </c>
      <c r="AU72" s="39">
        <f t="shared" si="29"/>
        <v>606.45416666666665</v>
      </c>
      <c r="AV72" s="39">
        <f t="shared" si="29"/>
        <v>227.18866666666665</v>
      </c>
      <c r="AW72" s="39"/>
      <c r="AX72" s="39">
        <f t="shared" si="44"/>
        <v>334883.66983333335</v>
      </c>
    </row>
    <row r="73" spans="1:51" s="335" customFormat="1" outlineLevel="1">
      <c r="A73" s="327" t="s">
        <v>55</v>
      </c>
      <c r="B73" s="327">
        <f t="shared" si="9"/>
        <v>2019</v>
      </c>
      <c r="C73" s="327" t="s">
        <v>47</v>
      </c>
      <c r="D73" s="518"/>
      <c r="E73" s="39"/>
      <c r="F73" s="39"/>
      <c r="G73" s="39">
        <f t="shared" si="34"/>
        <v>0</v>
      </c>
      <c r="H73" s="518">
        <f>SUM($G$5:G73)</f>
        <v>40186040.380000003</v>
      </c>
      <c r="I73" s="518"/>
      <c r="J73" s="614">
        <f>326837.44+79.77+81.35</f>
        <v>326998.56</v>
      </c>
      <c r="K73" s="39">
        <f t="shared" si="10"/>
        <v>20642849.740000006</v>
      </c>
      <c r="L73" s="518"/>
      <c r="M73" s="92">
        <f t="shared" si="43"/>
        <v>19543190.639999997</v>
      </c>
      <c r="O73" s="39">
        <f t="shared" si="38"/>
        <v>13796.4</v>
      </c>
      <c r="P73" s="39">
        <f t="shared" si="38"/>
        <v>9722.28125</v>
      </c>
      <c r="Q73" s="39">
        <f t="shared" si="38"/>
        <v>12080.370666666666</v>
      </c>
      <c r="R73" s="39">
        <f t="shared" si="38"/>
        <v>15260.065666666665</v>
      </c>
      <c r="S73" s="39">
        <f t="shared" si="38"/>
        <v>15944.075000000001</v>
      </c>
      <c r="T73" s="39">
        <f t="shared" si="38"/>
        <v>17603.616250000003</v>
      </c>
      <c r="U73" s="39">
        <f t="shared" si="38"/>
        <v>10939.370833333332</v>
      </c>
      <c r="V73" s="39">
        <f t="shared" si="38"/>
        <v>15243.782083333334</v>
      </c>
      <c r="W73" s="39">
        <f t="shared" si="38"/>
        <v>11017.99425</v>
      </c>
      <c r="X73" s="39">
        <f t="shared" si="38"/>
        <v>17485.601749999998</v>
      </c>
      <c r="Y73" s="39">
        <f t="shared" si="41"/>
        <v>10890.147916666667</v>
      </c>
      <c r="Z73" s="39">
        <f t="shared" si="41"/>
        <v>7488.6954166666665</v>
      </c>
      <c r="AA73" s="39">
        <f t="shared" si="41"/>
        <v>8225.8129166666677</v>
      </c>
      <c r="AB73" s="39">
        <f t="shared" si="41"/>
        <v>8388.9866666666676</v>
      </c>
      <c r="AC73" s="39">
        <f t="shared" si="41"/>
        <v>13769.138416666667</v>
      </c>
      <c r="AD73" s="39">
        <f t="shared" si="41"/>
        <v>8700.2379166666669</v>
      </c>
      <c r="AE73" s="39">
        <f t="shared" si="41"/>
        <v>9998.3125</v>
      </c>
      <c r="AF73" s="39">
        <f t="shared" si="41"/>
        <v>10366.302666666666</v>
      </c>
      <c r="AG73" s="39">
        <f t="shared" si="41"/>
        <v>10732.562750000001</v>
      </c>
      <c r="AH73" s="39">
        <f t="shared" si="41"/>
        <v>9105.5835833333331</v>
      </c>
      <c r="AI73" s="39">
        <f t="shared" si="41"/>
        <v>10440.417416666667</v>
      </c>
      <c r="AJ73" s="39">
        <f t="shared" si="41"/>
        <v>8303.1186666666672</v>
      </c>
      <c r="AK73" s="39">
        <f t="shared" si="41"/>
        <v>8865.7425000000003</v>
      </c>
      <c r="AL73" s="39">
        <f t="shared" si="41"/>
        <v>8628.6307500000003</v>
      </c>
      <c r="AM73" s="39">
        <f t="shared" si="12"/>
        <v>5003.7696666666661</v>
      </c>
      <c r="AN73" s="39">
        <f t="shared" si="41"/>
        <v>11058.227500000001</v>
      </c>
      <c r="AO73" s="39">
        <f t="shared" si="45"/>
        <v>15030.796999999999</v>
      </c>
      <c r="AP73" s="39">
        <f t="shared" si="22"/>
        <v>11048.227083333333</v>
      </c>
      <c r="AQ73" s="518">
        <f t="shared" si="23"/>
        <v>11805.924583333333</v>
      </c>
      <c r="AR73" s="39">
        <f t="shared" si="24"/>
        <v>5757.6083333333336</v>
      </c>
      <c r="AS73" s="518">
        <f t="shared" si="26"/>
        <v>779.89166666666665</v>
      </c>
      <c r="AT73" s="39">
        <f t="shared" si="28"/>
        <v>568.33333333333337</v>
      </c>
      <c r="AU73" s="39">
        <f t="shared" si="29"/>
        <v>606.45416666666665</v>
      </c>
      <c r="AV73" s="39">
        <f t="shared" si="29"/>
        <v>227.18866666666665</v>
      </c>
      <c r="AW73" s="39"/>
      <c r="AX73" s="39">
        <f t="shared" si="44"/>
        <v>334883.66983333335</v>
      </c>
    </row>
    <row r="74" spans="1:51" s="335" customFormat="1" outlineLevel="1">
      <c r="A74" s="327" t="s">
        <v>56</v>
      </c>
      <c r="B74" s="327">
        <f t="shared" si="9"/>
        <v>2019</v>
      </c>
      <c r="C74" s="327" t="s">
        <v>47</v>
      </c>
      <c r="D74" s="518"/>
      <c r="E74" s="39"/>
      <c r="F74" s="39"/>
      <c r="G74" s="39">
        <f t="shared" si="34"/>
        <v>0</v>
      </c>
      <c r="H74" s="518">
        <f>SUM($G$5:G74)</f>
        <v>40186040.380000003</v>
      </c>
      <c r="I74" s="518"/>
      <c r="J74" s="614">
        <f>349404.47+79.77+81.35</f>
        <v>349565.58999999997</v>
      </c>
      <c r="K74" s="39">
        <f t="shared" si="10"/>
        <v>20992415.330000006</v>
      </c>
      <c r="L74" s="518"/>
      <c r="M74" s="92">
        <f t="shared" si="43"/>
        <v>19193625.049999997</v>
      </c>
      <c r="O74" s="39">
        <f t="shared" si="38"/>
        <v>13796.4</v>
      </c>
      <c r="P74" s="39">
        <f t="shared" si="38"/>
        <v>9722.28125</v>
      </c>
      <c r="Q74" s="39">
        <f t="shared" si="38"/>
        <v>12080.370666666666</v>
      </c>
      <c r="R74" s="39">
        <f t="shared" si="38"/>
        <v>15260.065666666665</v>
      </c>
      <c r="S74" s="39">
        <f t="shared" si="38"/>
        <v>15944.075000000001</v>
      </c>
      <c r="T74" s="39">
        <f t="shared" si="38"/>
        <v>17603.616250000003</v>
      </c>
      <c r="U74" s="39">
        <f t="shared" si="38"/>
        <v>10939.370833333332</v>
      </c>
      <c r="V74" s="39">
        <f t="shared" si="38"/>
        <v>15243.782083333334</v>
      </c>
      <c r="W74" s="39">
        <f t="shared" si="38"/>
        <v>11017.99425</v>
      </c>
      <c r="X74" s="39">
        <f t="shared" si="38"/>
        <v>17485.601749999998</v>
      </c>
      <c r="Y74" s="39">
        <f t="shared" si="41"/>
        <v>10890.147916666667</v>
      </c>
      <c r="Z74" s="39">
        <f t="shared" si="41"/>
        <v>7488.6954166666665</v>
      </c>
      <c r="AA74" s="39">
        <f t="shared" si="41"/>
        <v>8225.8129166666677</v>
      </c>
      <c r="AB74" s="39">
        <f t="shared" si="41"/>
        <v>8388.9866666666676</v>
      </c>
      <c r="AC74" s="39">
        <f t="shared" si="41"/>
        <v>13769.138416666667</v>
      </c>
      <c r="AD74" s="39">
        <f t="shared" si="41"/>
        <v>8700.2379166666669</v>
      </c>
      <c r="AE74" s="39">
        <f t="shared" si="41"/>
        <v>9998.3125</v>
      </c>
      <c r="AF74" s="39">
        <f t="shared" si="41"/>
        <v>10366.302666666666</v>
      </c>
      <c r="AG74" s="39">
        <f t="shared" si="41"/>
        <v>10732.562750000001</v>
      </c>
      <c r="AH74" s="39">
        <f t="shared" si="41"/>
        <v>9105.5835833333331</v>
      </c>
      <c r="AI74" s="39">
        <f t="shared" si="41"/>
        <v>10440.417416666667</v>
      </c>
      <c r="AJ74" s="39">
        <f t="shared" si="41"/>
        <v>8303.1186666666672</v>
      </c>
      <c r="AK74" s="39">
        <f t="shared" si="41"/>
        <v>8865.7425000000003</v>
      </c>
      <c r="AL74" s="39">
        <f t="shared" si="41"/>
        <v>8628.6307500000003</v>
      </c>
      <c r="AM74" s="39">
        <f t="shared" si="12"/>
        <v>5003.7696666666661</v>
      </c>
      <c r="AN74" s="39">
        <f t="shared" si="41"/>
        <v>11058.227500000001</v>
      </c>
      <c r="AO74" s="39">
        <f t="shared" si="45"/>
        <v>15030.796999999999</v>
      </c>
      <c r="AP74" s="39">
        <f t="shared" si="22"/>
        <v>11048.227083333333</v>
      </c>
      <c r="AQ74" s="518">
        <f t="shared" si="23"/>
        <v>11805.924583333333</v>
      </c>
      <c r="AR74" s="39">
        <f t="shared" si="24"/>
        <v>5757.6083333333336</v>
      </c>
      <c r="AS74" s="518">
        <f t="shared" si="26"/>
        <v>779.89166666666665</v>
      </c>
      <c r="AT74" s="39">
        <f t="shared" si="28"/>
        <v>568.33333333333337</v>
      </c>
      <c r="AU74" s="39">
        <f t="shared" si="29"/>
        <v>606.45416666666665</v>
      </c>
      <c r="AV74" s="39">
        <f t="shared" si="29"/>
        <v>227.18866666666665</v>
      </c>
      <c r="AW74" s="39"/>
      <c r="AX74" s="39">
        <f t="shared" si="44"/>
        <v>334883.66983333335</v>
      </c>
    </row>
    <row r="75" spans="1:51" s="335" customFormat="1" outlineLevel="1">
      <c r="A75" s="327" t="s">
        <v>57</v>
      </c>
      <c r="B75" s="327">
        <f t="shared" si="9"/>
        <v>2019</v>
      </c>
      <c r="C75" s="327" t="s">
        <v>47</v>
      </c>
      <c r="D75" s="518"/>
      <c r="E75" s="39"/>
      <c r="F75" s="39"/>
      <c r="G75" s="39">
        <f t="shared" si="34"/>
        <v>0</v>
      </c>
      <c r="H75" s="518">
        <f>SUM($G$5:G75)</f>
        <v>40186040.380000003</v>
      </c>
      <c r="I75" s="518"/>
      <c r="J75" s="614">
        <f>453709.73+79.77+81.35</f>
        <v>453870.85</v>
      </c>
      <c r="K75" s="39">
        <f t="shared" si="10"/>
        <v>21446286.180000007</v>
      </c>
      <c r="L75" s="518"/>
      <c r="M75" s="92">
        <f t="shared" si="43"/>
        <v>18739754.199999996</v>
      </c>
      <c r="O75" s="39">
        <f t="shared" si="38"/>
        <v>13796.4</v>
      </c>
      <c r="P75" s="39">
        <f t="shared" si="38"/>
        <v>9722.28125</v>
      </c>
      <c r="Q75" s="39">
        <f t="shared" si="38"/>
        <v>12080.370666666666</v>
      </c>
      <c r="R75" s="39">
        <f t="shared" si="38"/>
        <v>15260.065666666665</v>
      </c>
      <c r="S75" s="39">
        <f t="shared" si="38"/>
        <v>15944.075000000001</v>
      </c>
      <c r="T75" s="39">
        <f t="shared" si="38"/>
        <v>17603.616250000003</v>
      </c>
      <c r="U75" s="39">
        <f t="shared" si="38"/>
        <v>10939.370833333332</v>
      </c>
      <c r="V75" s="39">
        <f t="shared" si="38"/>
        <v>15243.782083333334</v>
      </c>
      <c r="W75" s="39">
        <f t="shared" si="38"/>
        <v>11017.99425</v>
      </c>
      <c r="X75" s="39">
        <f t="shared" si="38"/>
        <v>17485.601749999998</v>
      </c>
      <c r="Y75" s="39">
        <f t="shared" si="41"/>
        <v>10890.147916666667</v>
      </c>
      <c r="Z75" s="39">
        <f t="shared" si="41"/>
        <v>7488.6954166666665</v>
      </c>
      <c r="AA75" s="39">
        <f t="shared" si="41"/>
        <v>8225.8129166666677</v>
      </c>
      <c r="AB75" s="39">
        <f t="shared" si="41"/>
        <v>8388.9866666666676</v>
      </c>
      <c r="AC75" s="39">
        <f t="shared" si="41"/>
        <v>13769.138416666667</v>
      </c>
      <c r="AD75" s="39">
        <f t="shared" si="41"/>
        <v>8700.2379166666669</v>
      </c>
      <c r="AE75" s="39">
        <f t="shared" si="41"/>
        <v>9998.3125</v>
      </c>
      <c r="AF75" s="39">
        <f t="shared" si="41"/>
        <v>10366.302666666666</v>
      </c>
      <c r="AG75" s="39">
        <f t="shared" si="41"/>
        <v>10732.562750000001</v>
      </c>
      <c r="AH75" s="39">
        <f t="shared" si="41"/>
        <v>9105.5835833333331</v>
      </c>
      <c r="AI75" s="39">
        <f t="shared" si="41"/>
        <v>10440.417416666667</v>
      </c>
      <c r="AJ75" s="39">
        <f t="shared" si="41"/>
        <v>8303.1186666666672</v>
      </c>
      <c r="AK75" s="39">
        <f t="shared" si="41"/>
        <v>8865.7425000000003</v>
      </c>
      <c r="AL75" s="39">
        <f t="shared" si="41"/>
        <v>8628.6307500000003</v>
      </c>
      <c r="AM75" s="39">
        <f t="shared" si="12"/>
        <v>5003.7696666666661</v>
      </c>
      <c r="AN75" s="39">
        <f t="shared" si="41"/>
        <v>11058.227500000001</v>
      </c>
      <c r="AO75" s="39">
        <f t="shared" si="45"/>
        <v>15030.796999999999</v>
      </c>
      <c r="AP75" s="39">
        <f t="shared" si="22"/>
        <v>11048.227083333333</v>
      </c>
      <c r="AQ75" s="518">
        <f t="shared" si="23"/>
        <v>11805.924583333333</v>
      </c>
      <c r="AR75" s="39">
        <f t="shared" si="24"/>
        <v>5757.6083333333336</v>
      </c>
      <c r="AS75" s="518">
        <f t="shared" si="26"/>
        <v>779.89166666666665</v>
      </c>
      <c r="AT75" s="39">
        <f t="shared" si="28"/>
        <v>568.33333333333337</v>
      </c>
      <c r="AU75" s="39">
        <f t="shared" si="29"/>
        <v>606.45416666666665</v>
      </c>
      <c r="AV75" s="39">
        <f t="shared" si="29"/>
        <v>227.18866666666665</v>
      </c>
      <c r="AW75" s="39"/>
      <c r="AX75" s="39">
        <f t="shared" si="44"/>
        <v>334883.66983333335</v>
      </c>
    </row>
    <row r="76" spans="1:51" s="335" customFormat="1" outlineLevel="1">
      <c r="A76" s="327" t="s">
        <v>58</v>
      </c>
      <c r="B76" s="327">
        <f t="shared" ref="B76:B139" si="46">+B64+1</f>
        <v>2019</v>
      </c>
      <c r="C76" s="327" t="s">
        <v>47</v>
      </c>
      <c r="D76" s="518"/>
      <c r="E76" s="39"/>
      <c r="F76" s="39"/>
      <c r="G76" s="39">
        <f t="shared" si="34"/>
        <v>0</v>
      </c>
      <c r="H76" s="518">
        <f>SUM($G$5:G76)</f>
        <v>40186040.380000003</v>
      </c>
      <c r="I76" s="518"/>
      <c r="J76" s="614">
        <f>374791.54+79.77+81.35</f>
        <v>374952.66</v>
      </c>
      <c r="K76" s="39">
        <f t="shared" si="10"/>
        <v>21821238.840000007</v>
      </c>
      <c r="L76" s="518"/>
      <c r="M76" s="92">
        <f t="shared" si="43"/>
        <v>18364801.539999995</v>
      </c>
      <c r="O76" s="39">
        <f t="shared" ref="O76:AJ84" si="47">+O75</f>
        <v>13796.4</v>
      </c>
      <c r="P76" s="39">
        <f t="shared" si="47"/>
        <v>9722.28125</v>
      </c>
      <c r="Q76" s="39">
        <f t="shared" si="47"/>
        <v>12080.370666666666</v>
      </c>
      <c r="R76" s="39">
        <f t="shared" si="47"/>
        <v>15260.065666666665</v>
      </c>
      <c r="S76" s="39">
        <f t="shared" si="47"/>
        <v>15944.075000000001</v>
      </c>
      <c r="T76" s="39">
        <f t="shared" si="47"/>
        <v>17603.616250000003</v>
      </c>
      <c r="U76" s="39">
        <f t="shared" si="47"/>
        <v>10939.370833333332</v>
      </c>
      <c r="V76" s="39">
        <f t="shared" si="47"/>
        <v>15243.782083333334</v>
      </c>
      <c r="W76" s="39">
        <f t="shared" si="47"/>
        <v>11017.99425</v>
      </c>
      <c r="X76" s="39">
        <f t="shared" si="47"/>
        <v>17485.601749999998</v>
      </c>
      <c r="Y76" s="39">
        <f t="shared" si="47"/>
        <v>10890.147916666667</v>
      </c>
      <c r="Z76" s="39">
        <f t="shared" si="47"/>
        <v>7488.6954166666665</v>
      </c>
      <c r="AA76" s="39">
        <f t="shared" si="47"/>
        <v>8225.8129166666677</v>
      </c>
      <c r="AB76" s="39">
        <f t="shared" si="47"/>
        <v>8388.9866666666676</v>
      </c>
      <c r="AC76" s="39">
        <f t="shared" si="47"/>
        <v>13769.138416666667</v>
      </c>
      <c r="AD76" s="39">
        <f t="shared" si="47"/>
        <v>8700.2379166666669</v>
      </c>
      <c r="AE76" s="39">
        <f t="shared" si="47"/>
        <v>9998.3125</v>
      </c>
      <c r="AF76" s="39">
        <f t="shared" si="47"/>
        <v>10366.302666666666</v>
      </c>
      <c r="AG76" s="39">
        <f t="shared" si="47"/>
        <v>10732.562750000001</v>
      </c>
      <c r="AH76" s="39">
        <f t="shared" si="47"/>
        <v>9105.5835833333331</v>
      </c>
      <c r="AI76" s="39">
        <f t="shared" si="47"/>
        <v>10440.417416666667</v>
      </c>
      <c r="AJ76" s="39">
        <f t="shared" si="47"/>
        <v>8303.1186666666672</v>
      </c>
      <c r="AK76" s="39">
        <f t="shared" si="41"/>
        <v>8865.7425000000003</v>
      </c>
      <c r="AL76" s="39">
        <f t="shared" si="41"/>
        <v>8628.6307500000003</v>
      </c>
      <c r="AM76" s="39">
        <f t="shared" si="12"/>
        <v>5003.7696666666661</v>
      </c>
      <c r="AN76" s="39">
        <f t="shared" si="41"/>
        <v>11058.227500000001</v>
      </c>
      <c r="AO76" s="39">
        <f t="shared" si="45"/>
        <v>15030.796999999999</v>
      </c>
      <c r="AP76" s="39">
        <f t="shared" si="22"/>
        <v>11048.227083333333</v>
      </c>
      <c r="AQ76" s="518">
        <f t="shared" si="23"/>
        <v>11805.924583333333</v>
      </c>
      <c r="AR76" s="39">
        <f t="shared" si="24"/>
        <v>5757.6083333333336</v>
      </c>
      <c r="AS76" s="518">
        <f t="shared" si="26"/>
        <v>779.89166666666665</v>
      </c>
      <c r="AT76" s="39">
        <f t="shared" si="28"/>
        <v>568.33333333333337</v>
      </c>
      <c r="AU76" s="39">
        <f t="shared" si="29"/>
        <v>606.45416666666665</v>
      </c>
      <c r="AV76" s="39">
        <f t="shared" si="29"/>
        <v>227.18866666666665</v>
      </c>
      <c r="AW76" s="39"/>
      <c r="AX76" s="39">
        <f t="shared" si="44"/>
        <v>334883.66983333335</v>
      </c>
    </row>
    <row r="77" spans="1:51" s="335" customFormat="1" outlineLevel="1">
      <c r="A77" s="327" t="s">
        <v>59</v>
      </c>
      <c r="B77" s="327">
        <f t="shared" si="46"/>
        <v>2019</v>
      </c>
      <c r="C77" s="327" t="s">
        <v>47</v>
      </c>
      <c r="D77" s="518"/>
      <c r="E77" s="39"/>
      <c r="F77" s="39"/>
      <c r="G77" s="39">
        <f t="shared" si="34"/>
        <v>0</v>
      </c>
      <c r="H77" s="518">
        <f>SUM($G$5:G77)</f>
        <v>40186040.380000003</v>
      </c>
      <c r="I77" s="518"/>
      <c r="J77" s="614">
        <f>371593.46+79.77+81.35</f>
        <v>371754.58</v>
      </c>
      <c r="K77" s="39">
        <f t="shared" si="10"/>
        <v>22192993.420000006</v>
      </c>
      <c r="L77" s="518"/>
      <c r="M77" s="92">
        <f t="shared" si="43"/>
        <v>17993046.959999997</v>
      </c>
      <c r="O77" s="39">
        <f t="shared" si="47"/>
        <v>13796.4</v>
      </c>
      <c r="P77" s="39">
        <f t="shared" si="47"/>
        <v>9722.28125</v>
      </c>
      <c r="Q77" s="39">
        <f t="shared" si="47"/>
        <v>12080.370666666666</v>
      </c>
      <c r="R77" s="39">
        <f t="shared" si="47"/>
        <v>15260.065666666665</v>
      </c>
      <c r="S77" s="39">
        <f t="shared" si="47"/>
        <v>15944.075000000001</v>
      </c>
      <c r="T77" s="39">
        <f t="shared" si="47"/>
        <v>17603.616250000003</v>
      </c>
      <c r="U77" s="39">
        <f t="shared" si="47"/>
        <v>10939.370833333332</v>
      </c>
      <c r="V77" s="39">
        <f t="shared" si="47"/>
        <v>15243.782083333334</v>
      </c>
      <c r="W77" s="39">
        <f t="shared" si="47"/>
        <v>11017.99425</v>
      </c>
      <c r="X77" s="39">
        <f t="shared" si="47"/>
        <v>17485.601749999998</v>
      </c>
      <c r="Y77" s="39">
        <f t="shared" si="47"/>
        <v>10890.147916666667</v>
      </c>
      <c r="Z77" s="39">
        <f t="shared" si="47"/>
        <v>7488.6954166666665</v>
      </c>
      <c r="AA77" s="39">
        <f t="shared" si="47"/>
        <v>8225.8129166666677</v>
      </c>
      <c r="AB77" s="39">
        <f t="shared" si="47"/>
        <v>8388.9866666666676</v>
      </c>
      <c r="AC77" s="39">
        <f t="shared" si="47"/>
        <v>13769.138416666667</v>
      </c>
      <c r="AD77" s="39">
        <f t="shared" si="47"/>
        <v>8700.2379166666669</v>
      </c>
      <c r="AE77" s="39">
        <f t="shared" si="47"/>
        <v>9998.3125</v>
      </c>
      <c r="AF77" s="39">
        <f t="shared" si="47"/>
        <v>10366.302666666666</v>
      </c>
      <c r="AG77" s="39">
        <f t="shared" si="47"/>
        <v>10732.562750000001</v>
      </c>
      <c r="AH77" s="39">
        <f t="shared" si="47"/>
        <v>9105.5835833333331</v>
      </c>
      <c r="AI77" s="39">
        <f t="shared" si="47"/>
        <v>10440.417416666667</v>
      </c>
      <c r="AJ77" s="39">
        <f t="shared" si="47"/>
        <v>8303.1186666666672</v>
      </c>
      <c r="AK77" s="39">
        <f t="shared" si="41"/>
        <v>8865.7425000000003</v>
      </c>
      <c r="AL77" s="39">
        <f t="shared" si="41"/>
        <v>8628.6307500000003</v>
      </c>
      <c r="AM77" s="39">
        <f t="shared" si="12"/>
        <v>5003.7696666666661</v>
      </c>
      <c r="AN77" s="39">
        <f t="shared" si="41"/>
        <v>11058.227500000001</v>
      </c>
      <c r="AO77" s="39">
        <f t="shared" si="45"/>
        <v>15030.796999999999</v>
      </c>
      <c r="AP77" s="39">
        <f t="shared" si="22"/>
        <v>11048.227083333333</v>
      </c>
      <c r="AQ77" s="518">
        <f t="shared" si="23"/>
        <v>11805.924583333333</v>
      </c>
      <c r="AR77" s="39">
        <f t="shared" si="24"/>
        <v>5757.6083333333336</v>
      </c>
      <c r="AS77" s="518">
        <f t="shared" si="26"/>
        <v>779.89166666666665</v>
      </c>
      <c r="AT77" s="39">
        <f t="shared" si="28"/>
        <v>568.33333333333337</v>
      </c>
      <c r="AU77" s="39">
        <f t="shared" si="29"/>
        <v>606.45416666666665</v>
      </c>
      <c r="AV77" s="39">
        <f t="shared" si="29"/>
        <v>227.18866666666665</v>
      </c>
      <c r="AW77" s="39"/>
      <c r="AX77" s="39">
        <f t="shared" si="44"/>
        <v>334883.66983333335</v>
      </c>
    </row>
    <row r="78" spans="1:51" s="335" customFormat="1" outlineLevel="1">
      <c r="A78" s="327" t="s">
        <v>46</v>
      </c>
      <c r="B78" s="327">
        <f t="shared" si="46"/>
        <v>2019</v>
      </c>
      <c r="C78" s="327" t="s">
        <v>47</v>
      </c>
      <c r="D78" s="518"/>
      <c r="E78" s="39"/>
      <c r="F78" s="39"/>
      <c r="G78" s="39">
        <f t="shared" si="34"/>
        <v>0</v>
      </c>
      <c r="H78" s="518">
        <f>SUM($G$5:G78)</f>
        <v>40186040.380000003</v>
      </c>
      <c r="I78" s="518"/>
      <c r="J78" s="614">
        <f>427036.62+79.77+81.35</f>
        <v>427197.74</v>
      </c>
      <c r="K78" s="39">
        <f t="shared" si="10"/>
        <v>22620191.160000004</v>
      </c>
      <c r="L78" s="518"/>
      <c r="M78" s="92">
        <f t="shared" si="43"/>
        <v>17565849.219999999</v>
      </c>
      <c r="O78" s="39">
        <f t="shared" si="47"/>
        <v>13796.4</v>
      </c>
      <c r="P78" s="39">
        <f t="shared" si="47"/>
        <v>9722.28125</v>
      </c>
      <c r="Q78" s="39">
        <f t="shared" si="47"/>
        <v>12080.370666666666</v>
      </c>
      <c r="R78" s="39">
        <f t="shared" si="47"/>
        <v>15260.065666666665</v>
      </c>
      <c r="S78" s="39">
        <f t="shared" si="47"/>
        <v>15944.075000000001</v>
      </c>
      <c r="T78" s="39">
        <f t="shared" si="47"/>
        <v>17603.616250000003</v>
      </c>
      <c r="U78" s="39">
        <f t="shared" si="47"/>
        <v>10939.370833333332</v>
      </c>
      <c r="V78" s="39">
        <f t="shared" si="47"/>
        <v>15243.782083333334</v>
      </c>
      <c r="W78" s="39">
        <f t="shared" si="47"/>
        <v>11017.99425</v>
      </c>
      <c r="X78" s="39">
        <f t="shared" si="47"/>
        <v>17485.601749999998</v>
      </c>
      <c r="Y78" s="39">
        <f t="shared" si="47"/>
        <v>10890.147916666667</v>
      </c>
      <c r="Z78" s="39">
        <f t="shared" si="47"/>
        <v>7488.6954166666665</v>
      </c>
      <c r="AA78" s="39">
        <f t="shared" si="47"/>
        <v>8225.8129166666677</v>
      </c>
      <c r="AB78" s="39">
        <f t="shared" si="47"/>
        <v>8388.9866666666676</v>
      </c>
      <c r="AC78" s="39">
        <f t="shared" si="47"/>
        <v>13769.138416666667</v>
      </c>
      <c r="AD78" s="39">
        <f t="shared" si="47"/>
        <v>8700.2379166666669</v>
      </c>
      <c r="AE78" s="39">
        <f t="shared" si="47"/>
        <v>9998.3125</v>
      </c>
      <c r="AF78" s="39">
        <f t="shared" si="47"/>
        <v>10366.302666666666</v>
      </c>
      <c r="AG78" s="39">
        <f t="shared" si="47"/>
        <v>10732.562750000001</v>
      </c>
      <c r="AH78" s="39">
        <f t="shared" si="47"/>
        <v>9105.5835833333331</v>
      </c>
      <c r="AI78" s="39">
        <f t="shared" si="47"/>
        <v>10440.417416666667</v>
      </c>
      <c r="AJ78" s="39">
        <f t="shared" si="47"/>
        <v>8303.1186666666672</v>
      </c>
      <c r="AK78" s="39">
        <f t="shared" si="41"/>
        <v>8865.7425000000003</v>
      </c>
      <c r="AL78" s="39">
        <f t="shared" si="41"/>
        <v>8628.6307500000003</v>
      </c>
      <c r="AM78" s="39">
        <f t="shared" si="12"/>
        <v>5003.7696666666661</v>
      </c>
      <c r="AN78" s="39">
        <f t="shared" si="41"/>
        <v>11058.227500000001</v>
      </c>
      <c r="AO78" s="39">
        <f t="shared" si="45"/>
        <v>15030.796999999999</v>
      </c>
      <c r="AP78" s="39">
        <f t="shared" si="22"/>
        <v>11048.227083333333</v>
      </c>
      <c r="AQ78" s="518">
        <f t="shared" si="23"/>
        <v>11805.924583333333</v>
      </c>
      <c r="AR78" s="39">
        <f t="shared" si="24"/>
        <v>5757.6083333333336</v>
      </c>
      <c r="AS78" s="518">
        <f t="shared" si="26"/>
        <v>779.89166666666665</v>
      </c>
      <c r="AT78" s="39">
        <f t="shared" si="28"/>
        <v>568.33333333333337</v>
      </c>
      <c r="AU78" s="39">
        <f t="shared" si="29"/>
        <v>606.45416666666665</v>
      </c>
      <c r="AV78" s="39">
        <f t="shared" si="29"/>
        <v>227.18866666666665</v>
      </c>
      <c r="AW78" s="39"/>
      <c r="AX78" s="39">
        <f t="shared" si="44"/>
        <v>334883.66983333335</v>
      </c>
    </row>
    <row r="79" spans="1:51" s="335" customFormat="1" outlineLevel="1">
      <c r="A79" s="327" t="s">
        <v>48</v>
      </c>
      <c r="B79" s="327">
        <f t="shared" si="46"/>
        <v>2019</v>
      </c>
      <c r="C79" s="327" t="s">
        <v>47</v>
      </c>
      <c r="D79" s="518"/>
      <c r="E79" s="39"/>
      <c r="F79" s="39"/>
      <c r="G79" s="39">
        <f t="shared" si="34"/>
        <v>0</v>
      </c>
      <c r="H79" s="518">
        <f>SUM($G$5:G79)</f>
        <v>40186040.380000003</v>
      </c>
      <c r="I79" s="518"/>
      <c r="J79" s="614">
        <f>350541+79.77+81.35</f>
        <v>350702.12</v>
      </c>
      <c r="K79" s="39">
        <f t="shared" si="10"/>
        <v>22970893.280000005</v>
      </c>
      <c r="L79" s="518"/>
      <c r="M79" s="92">
        <f t="shared" si="43"/>
        <v>17215147.099999998</v>
      </c>
      <c r="O79" s="39">
        <f t="shared" si="47"/>
        <v>13796.4</v>
      </c>
      <c r="P79" s="39">
        <f t="shared" si="47"/>
        <v>9722.28125</v>
      </c>
      <c r="Q79" s="39">
        <f t="shared" si="47"/>
        <v>12080.370666666666</v>
      </c>
      <c r="R79" s="39">
        <f t="shared" si="47"/>
        <v>15260.065666666665</v>
      </c>
      <c r="S79" s="39">
        <f t="shared" si="47"/>
        <v>15944.075000000001</v>
      </c>
      <c r="T79" s="39">
        <f t="shared" si="47"/>
        <v>17603.616250000003</v>
      </c>
      <c r="U79" s="39">
        <f t="shared" si="47"/>
        <v>10939.370833333332</v>
      </c>
      <c r="V79" s="39">
        <f t="shared" si="47"/>
        <v>15243.782083333334</v>
      </c>
      <c r="W79" s="39">
        <f t="shared" si="47"/>
        <v>11017.99425</v>
      </c>
      <c r="X79" s="39">
        <f t="shared" si="47"/>
        <v>17485.601749999998</v>
      </c>
      <c r="Y79" s="39">
        <f t="shared" si="47"/>
        <v>10890.147916666667</v>
      </c>
      <c r="Z79" s="39">
        <f t="shared" si="47"/>
        <v>7488.6954166666665</v>
      </c>
      <c r="AA79" s="39">
        <f t="shared" si="47"/>
        <v>8225.8129166666677</v>
      </c>
      <c r="AB79" s="39">
        <f t="shared" si="47"/>
        <v>8388.9866666666676</v>
      </c>
      <c r="AC79" s="39">
        <f t="shared" si="47"/>
        <v>13769.138416666667</v>
      </c>
      <c r="AD79" s="39">
        <f t="shared" si="47"/>
        <v>8700.2379166666669</v>
      </c>
      <c r="AE79" s="39">
        <f t="shared" si="47"/>
        <v>9998.3125</v>
      </c>
      <c r="AF79" s="39">
        <f t="shared" si="47"/>
        <v>10366.302666666666</v>
      </c>
      <c r="AG79" s="39">
        <f t="shared" si="47"/>
        <v>10732.562750000001</v>
      </c>
      <c r="AH79" s="39">
        <f t="shared" si="47"/>
        <v>9105.5835833333331</v>
      </c>
      <c r="AI79" s="39">
        <f t="shared" si="47"/>
        <v>10440.417416666667</v>
      </c>
      <c r="AJ79" s="39">
        <f t="shared" si="47"/>
        <v>8303.1186666666672</v>
      </c>
      <c r="AK79" s="39">
        <f t="shared" ref="AK79:AL81" si="48">+AK78</f>
        <v>8865.7425000000003</v>
      </c>
      <c r="AL79" s="39">
        <f t="shared" si="48"/>
        <v>8628.6307500000003</v>
      </c>
      <c r="AM79" s="39">
        <f t="shared" si="12"/>
        <v>5003.7696666666661</v>
      </c>
      <c r="AN79" s="39">
        <f>+AN78</f>
        <v>11058.227500000001</v>
      </c>
      <c r="AO79" s="39">
        <f t="shared" si="45"/>
        <v>15030.796999999999</v>
      </c>
      <c r="AP79" s="39">
        <f t="shared" si="22"/>
        <v>11048.227083333333</v>
      </c>
      <c r="AQ79" s="518">
        <f t="shared" si="23"/>
        <v>11805.924583333333</v>
      </c>
      <c r="AR79" s="39">
        <f t="shared" si="24"/>
        <v>5757.6083333333336</v>
      </c>
      <c r="AS79" s="518">
        <f t="shared" si="26"/>
        <v>779.89166666666665</v>
      </c>
      <c r="AT79" s="39">
        <f t="shared" si="28"/>
        <v>568.33333333333337</v>
      </c>
      <c r="AU79" s="39">
        <f t="shared" si="29"/>
        <v>606.45416666666665</v>
      </c>
      <c r="AV79" s="39">
        <f t="shared" si="29"/>
        <v>227.18866666666665</v>
      </c>
      <c r="AW79" s="39"/>
      <c r="AX79" s="39">
        <f t="shared" si="44"/>
        <v>334883.66983333335</v>
      </c>
    </row>
    <row r="80" spans="1:51" s="335" customFormat="1" outlineLevel="1">
      <c r="A80" s="327" t="s">
        <v>50</v>
      </c>
      <c r="B80" s="327">
        <f t="shared" si="46"/>
        <v>2019</v>
      </c>
      <c r="C80" s="327" t="s">
        <v>47</v>
      </c>
      <c r="D80" s="518"/>
      <c r="E80" s="39"/>
      <c r="F80" s="39"/>
      <c r="G80" s="39">
        <f t="shared" si="34"/>
        <v>0</v>
      </c>
      <c r="H80" s="518">
        <f>SUM($G$5:G80)</f>
        <v>40186040.380000003</v>
      </c>
      <c r="I80" s="518"/>
      <c r="J80" s="614">
        <f>396027.45+79.77+81.35</f>
        <v>396188.57</v>
      </c>
      <c r="K80" s="39">
        <f t="shared" si="10"/>
        <v>23367081.850000005</v>
      </c>
      <c r="L80" s="518"/>
      <c r="M80" s="92">
        <f t="shared" si="43"/>
        <v>16818958.529999997</v>
      </c>
      <c r="O80" s="39">
        <f t="shared" si="47"/>
        <v>13796.4</v>
      </c>
      <c r="P80" s="39">
        <f t="shared" si="47"/>
        <v>9722.28125</v>
      </c>
      <c r="Q80" s="39">
        <f t="shared" si="47"/>
        <v>12080.370666666666</v>
      </c>
      <c r="R80" s="39">
        <f t="shared" si="47"/>
        <v>15260.065666666665</v>
      </c>
      <c r="S80" s="39">
        <f t="shared" si="47"/>
        <v>15944.075000000001</v>
      </c>
      <c r="T80" s="39">
        <f t="shared" si="47"/>
        <v>17603.616250000003</v>
      </c>
      <c r="U80" s="39">
        <f t="shared" si="47"/>
        <v>10939.370833333332</v>
      </c>
      <c r="V80" s="39">
        <f t="shared" si="47"/>
        <v>15243.782083333334</v>
      </c>
      <c r="W80" s="39">
        <f t="shared" si="47"/>
        <v>11017.99425</v>
      </c>
      <c r="X80" s="39">
        <f t="shared" si="47"/>
        <v>17485.601749999998</v>
      </c>
      <c r="Y80" s="39">
        <f t="shared" si="47"/>
        <v>10890.147916666667</v>
      </c>
      <c r="Z80" s="39">
        <f t="shared" si="47"/>
        <v>7488.6954166666665</v>
      </c>
      <c r="AA80" s="39">
        <f t="shared" si="47"/>
        <v>8225.8129166666677</v>
      </c>
      <c r="AB80" s="39">
        <f t="shared" si="47"/>
        <v>8388.9866666666676</v>
      </c>
      <c r="AC80" s="39">
        <f t="shared" si="47"/>
        <v>13769.138416666667</v>
      </c>
      <c r="AD80" s="39">
        <f t="shared" si="47"/>
        <v>8700.2379166666669</v>
      </c>
      <c r="AE80" s="39">
        <f t="shared" si="47"/>
        <v>9998.3125</v>
      </c>
      <c r="AF80" s="39">
        <f t="shared" si="47"/>
        <v>10366.302666666666</v>
      </c>
      <c r="AG80" s="39">
        <f t="shared" si="47"/>
        <v>10732.562750000001</v>
      </c>
      <c r="AH80" s="39">
        <f t="shared" si="47"/>
        <v>9105.5835833333331</v>
      </c>
      <c r="AI80" s="39">
        <f t="shared" si="47"/>
        <v>10440.417416666667</v>
      </c>
      <c r="AJ80" s="39">
        <f t="shared" si="47"/>
        <v>8303.1186666666672</v>
      </c>
      <c r="AK80" s="39">
        <f t="shared" si="48"/>
        <v>8865.7425000000003</v>
      </c>
      <c r="AL80" s="39">
        <f t="shared" si="48"/>
        <v>8628.6307500000003</v>
      </c>
      <c r="AM80" s="39">
        <f t="shared" si="12"/>
        <v>5003.7696666666661</v>
      </c>
      <c r="AN80" s="39">
        <f>+AN79</f>
        <v>11058.227500000001</v>
      </c>
      <c r="AO80" s="39">
        <f t="shared" si="45"/>
        <v>15030.796999999999</v>
      </c>
      <c r="AP80" s="39">
        <f t="shared" si="22"/>
        <v>11048.227083333333</v>
      </c>
      <c r="AQ80" s="518">
        <f t="shared" si="23"/>
        <v>11805.924583333333</v>
      </c>
      <c r="AR80" s="39">
        <f t="shared" si="24"/>
        <v>5757.6083333333336</v>
      </c>
      <c r="AS80" s="518">
        <f t="shared" si="26"/>
        <v>779.89166666666665</v>
      </c>
      <c r="AT80" s="39">
        <f t="shared" si="28"/>
        <v>568.33333333333337</v>
      </c>
      <c r="AU80" s="39">
        <f t="shared" si="29"/>
        <v>606.45416666666665</v>
      </c>
      <c r="AV80" s="39">
        <f t="shared" si="29"/>
        <v>227.18866666666665</v>
      </c>
      <c r="AW80" s="39"/>
      <c r="AX80" s="39">
        <f t="shared" si="44"/>
        <v>334883.66983333335</v>
      </c>
    </row>
    <row r="81" spans="1:50" s="335" customFormat="1" outlineLevel="1">
      <c r="A81" s="327" t="s">
        <v>51</v>
      </c>
      <c r="B81" s="327">
        <f t="shared" si="46"/>
        <v>2019</v>
      </c>
      <c r="C81" s="327" t="s">
        <v>47</v>
      </c>
      <c r="D81" s="518"/>
      <c r="E81" s="39"/>
      <c r="F81" s="39"/>
      <c r="G81" s="39">
        <f t="shared" si="34"/>
        <v>0</v>
      </c>
      <c r="H81" s="518">
        <f>SUM($G$5:G81)</f>
        <v>40186040.380000003</v>
      </c>
      <c r="I81" s="518"/>
      <c r="J81" s="614">
        <f>289332.1+79.77+81.35</f>
        <v>289493.21999999997</v>
      </c>
      <c r="K81" s="39">
        <f t="shared" si="10"/>
        <v>23656575.070000004</v>
      </c>
      <c r="L81" s="518"/>
      <c r="M81" s="92">
        <f t="shared" si="43"/>
        <v>16529465.309999999</v>
      </c>
      <c r="O81" s="39">
        <f t="shared" si="47"/>
        <v>13796.4</v>
      </c>
      <c r="P81" s="39">
        <f t="shared" si="47"/>
        <v>9722.28125</v>
      </c>
      <c r="Q81" s="39">
        <f t="shared" si="47"/>
        <v>12080.370666666666</v>
      </c>
      <c r="R81" s="39">
        <f t="shared" si="47"/>
        <v>15260.065666666665</v>
      </c>
      <c r="S81" s="39">
        <f t="shared" si="47"/>
        <v>15944.075000000001</v>
      </c>
      <c r="T81" s="39">
        <f t="shared" si="47"/>
        <v>17603.616250000003</v>
      </c>
      <c r="U81" s="39">
        <f t="shared" si="47"/>
        <v>10939.370833333332</v>
      </c>
      <c r="V81" s="39">
        <f t="shared" si="47"/>
        <v>15243.782083333334</v>
      </c>
      <c r="W81" s="39">
        <f t="shared" si="47"/>
        <v>11017.99425</v>
      </c>
      <c r="X81" s="39">
        <f t="shared" si="47"/>
        <v>17485.601749999998</v>
      </c>
      <c r="Y81" s="39">
        <f t="shared" si="47"/>
        <v>10890.147916666667</v>
      </c>
      <c r="Z81" s="39">
        <f t="shared" si="47"/>
        <v>7488.6954166666665</v>
      </c>
      <c r="AA81" s="39">
        <f t="shared" si="47"/>
        <v>8225.8129166666677</v>
      </c>
      <c r="AB81" s="39">
        <f t="shared" si="47"/>
        <v>8388.9866666666676</v>
      </c>
      <c r="AC81" s="39">
        <f t="shared" si="47"/>
        <v>13769.138416666667</v>
      </c>
      <c r="AD81" s="39">
        <f t="shared" si="47"/>
        <v>8700.2379166666669</v>
      </c>
      <c r="AE81" s="39">
        <f t="shared" si="47"/>
        <v>9998.3125</v>
      </c>
      <c r="AF81" s="39">
        <f t="shared" si="47"/>
        <v>10366.302666666666</v>
      </c>
      <c r="AG81" s="39">
        <f t="shared" si="47"/>
        <v>10732.562750000001</v>
      </c>
      <c r="AH81" s="39">
        <f t="shared" si="47"/>
        <v>9105.5835833333331</v>
      </c>
      <c r="AI81" s="39">
        <f t="shared" si="47"/>
        <v>10440.417416666667</v>
      </c>
      <c r="AJ81" s="39">
        <f t="shared" si="47"/>
        <v>8303.1186666666672</v>
      </c>
      <c r="AK81" s="39">
        <f t="shared" si="48"/>
        <v>8865.7425000000003</v>
      </c>
      <c r="AL81" s="39">
        <f t="shared" si="48"/>
        <v>8628.6307500000003</v>
      </c>
      <c r="AM81" s="39">
        <f t="shared" si="12"/>
        <v>5003.7696666666661</v>
      </c>
      <c r="AN81" s="39">
        <f>+AN80</f>
        <v>11058.227500000001</v>
      </c>
      <c r="AO81" s="39">
        <f t="shared" si="45"/>
        <v>15030.796999999999</v>
      </c>
      <c r="AP81" s="39">
        <f t="shared" si="22"/>
        <v>11048.227083333333</v>
      </c>
      <c r="AQ81" s="518">
        <f t="shared" si="23"/>
        <v>11805.924583333333</v>
      </c>
      <c r="AR81" s="39">
        <f t="shared" si="24"/>
        <v>5757.6083333333336</v>
      </c>
      <c r="AS81" s="518">
        <f t="shared" si="26"/>
        <v>779.89166666666665</v>
      </c>
      <c r="AT81" s="39">
        <f t="shared" si="28"/>
        <v>568.33333333333337</v>
      </c>
      <c r="AU81" s="39">
        <f t="shared" si="29"/>
        <v>606.45416666666665</v>
      </c>
      <c r="AV81" s="39">
        <f t="shared" si="29"/>
        <v>227.18866666666665</v>
      </c>
      <c r="AW81" s="39"/>
      <c r="AX81" s="39">
        <f t="shared" si="44"/>
        <v>334883.66983333335</v>
      </c>
    </row>
    <row r="82" spans="1:50" s="335" customFormat="1" outlineLevel="1">
      <c r="A82" s="332" t="s">
        <v>52</v>
      </c>
      <c r="B82" s="332">
        <f t="shared" si="46"/>
        <v>2019</v>
      </c>
      <c r="C82" s="332" t="s">
        <v>47</v>
      </c>
      <c r="D82" s="212"/>
      <c r="E82" s="212"/>
      <c r="F82" s="212"/>
      <c r="G82" s="212">
        <f t="shared" si="34"/>
        <v>0</v>
      </c>
      <c r="H82" s="212">
        <f>SUM($G$5:G82)</f>
        <v>40186040.380000003</v>
      </c>
      <c r="I82" s="212"/>
      <c r="J82" s="617">
        <f>364784.69+79.77+81.35</f>
        <v>364945.81</v>
      </c>
      <c r="K82" s="212">
        <f t="shared" si="10"/>
        <v>24021520.880000003</v>
      </c>
      <c r="L82" s="212"/>
      <c r="M82" s="588">
        <f t="shared" si="43"/>
        <v>16164519.5</v>
      </c>
      <c r="N82" s="333"/>
      <c r="O82" s="212">
        <f t="shared" si="47"/>
        <v>13796.4</v>
      </c>
      <c r="P82" s="212">
        <f t="shared" si="47"/>
        <v>9722.28125</v>
      </c>
      <c r="Q82" s="212">
        <f t="shared" si="47"/>
        <v>12080.370666666666</v>
      </c>
      <c r="R82" s="212">
        <f t="shared" si="47"/>
        <v>15260.065666666665</v>
      </c>
      <c r="S82" s="212">
        <f t="shared" si="47"/>
        <v>15944.075000000001</v>
      </c>
      <c r="T82" s="212">
        <f t="shared" si="47"/>
        <v>17603.616250000003</v>
      </c>
      <c r="U82" s="212">
        <f t="shared" si="47"/>
        <v>10939.370833333332</v>
      </c>
      <c r="V82" s="212">
        <f t="shared" si="47"/>
        <v>15243.782083333334</v>
      </c>
      <c r="W82" s="212">
        <f t="shared" si="47"/>
        <v>11017.99425</v>
      </c>
      <c r="X82" s="212">
        <f t="shared" si="47"/>
        <v>17485.601749999998</v>
      </c>
      <c r="Y82" s="212">
        <f t="shared" si="47"/>
        <v>10890.147916666667</v>
      </c>
      <c r="Z82" s="212">
        <f t="shared" si="47"/>
        <v>7488.6954166666665</v>
      </c>
      <c r="AA82" s="212">
        <f t="shared" si="47"/>
        <v>8225.8129166666677</v>
      </c>
      <c r="AB82" s="212">
        <f t="shared" si="47"/>
        <v>8388.9866666666676</v>
      </c>
      <c r="AC82" s="212">
        <f t="shared" si="47"/>
        <v>13769.138416666667</v>
      </c>
      <c r="AD82" s="212">
        <f t="shared" si="47"/>
        <v>8700.2379166666669</v>
      </c>
      <c r="AE82" s="212">
        <f t="shared" si="47"/>
        <v>9998.3125</v>
      </c>
      <c r="AF82" s="212">
        <f t="shared" si="47"/>
        <v>10366.302666666666</v>
      </c>
      <c r="AG82" s="212">
        <f t="shared" si="47"/>
        <v>10732.562750000001</v>
      </c>
      <c r="AH82" s="212">
        <f t="shared" si="47"/>
        <v>9105.5835833333331</v>
      </c>
      <c r="AI82" s="212">
        <f t="shared" si="47"/>
        <v>10440.417416666667</v>
      </c>
      <c r="AJ82" s="212">
        <f t="shared" si="47"/>
        <v>8303.1186666666672</v>
      </c>
      <c r="AK82" s="212">
        <f t="shared" ref="AK82:AO84" si="49">+AK81</f>
        <v>8865.7425000000003</v>
      </c>
      <c r="AL82" s="212">
        <f t="shared" si="49"/>
        <v>8628.6307500000003</v>
      </c>
      <c r="AM82" s="212">
        <f t="shared" si="12"/>
        <v>5003.7696666666661</v>
      </c>
      <c r="AN82" s="212">
        <f t="shared" si="49"/>
        <v>11058.227500000001</v>
      </c>
      <c r="AO82" s="212">
        <f t="shared" si="49"/>
        <v>15030.796999999999</v>
      </c>
      <c r="AP82" s="212">
        <f t="shared" si="22"/>
        <v>11048.227083333333</v>
      </c>
      <c r="AQ82" s="212">
        <f t="shared" si="23"/>
        <v>11805.924583333333</v>
      </c>
      <c r="AR82" s="212">
        <f t="shared" si="24"/>
        <v>5757.6083333333336</v>
      </c>
      <c r="AS82" s="212">
        <f t="shared" si="26"/>
        <v>779.89166666666665</v>
      </c>
      <c r="AT82" s="212">
        <f t="shared" si="28"/>
        <v>568.33333333333337</v>
      </c>
      <c r="AU82" s="212">
        <f t="shared" si="29"/>
        <v>606.45416666666665</v>
      </c>
      <c r="AV82" s="212">
        <f t="shared" si="29"/>
        <v>227.18866666666665</v>
      </c>
      <c r="AW82" s="212"/>
      <c r="AX82" s="212">
        <f t="shared" si="44"/>
        <v>334883.66983333335</v>
      </c>
    </row>
    <row r="83" spans="1:50" s="335" customFormat="1" outlineLevel="1">
      <c r="A83" s="327" t="s">
        <v>53</v>
      </c>
      <c r="B83" s="327">
        <f t="shared" si="46"/>
        <v>2020</v>
      </c>
      <c r="C83" s="327" t="s">
        <v>47</v>
      </c>
      <c r="D83" s="518"/>
      <c r="E83" s="39"/>
      <c r="F83" s="39"/>
      <c r="G83" s="39">
        <f t="shared" si="34"/>
        <v>0</v>
      </c>
      <c r="H83" s="518">
        <f>SUM($G$5:G83)</f>
        <v>40186040.380000003</v>
      </c>
      <c r="I83" s="518"/>
      <c r="J83" s="614">
        <f>351582.73+79.77+81.35</f>
        <v>351743.85</v>
      </c>
      <c r="K83" s="39">
        <f t="shared" si="10"/>
        <v>24373264.730000004</v>
      </c>
      <c r="L83" s="518"/>
      <c r="M83" s="92">
        <f t="shared" si="43"/>
        <v>15812775.649999999</v>
      </c>
      <c r="O83" s="39">
        <f t="shared" si="47"/>
        <v>13796.4</v>
      </c>
      <c r="P83" s="39">
        <f t="shared" si="47"/>
        <v>9722.28125</v>
      </c>
      <c r="Q83" s="39">
        <f t="shared" si="47"/>
        <v>12080.370666666666</v>
      </c>
      <c r="R83" s="39">
        <f t="shared" si="47"/>
        <v>15260.065666666665</v>
      </c>
      <c r="S83" s="39">
        <f t="shared" si="47"/>
        <v>15944.075000000001</v>
      </c>
      <c r="T83" s="39">
        <f t="shared" si="47"/>
        <v>17603.616250000003</v>
      </c>
      <c r="U83" s="39">
        <f t="shared" si="47"/>
        <v>10939.370833333332</v>
      </c>
      <c r="V83" s="39">
        <f t="shared" si="47"/>
        <v>15243.782083333334</v>
      </c>
      <c r="W83" s="39">
        <f t="shared" si="47"/>
        <v>11017.99425</v>
      </c>
      <c r="X83" s="39">
        <f t="shared" si="47"/>
        <v>17485.601749999998</v>
      </c>
      <c r="Y83" s="39">
        <f t="shared" si="47"/>
        <v>10890.147916666667</v>
      </c>
      <c r="Z83" s="39">
        <f t="shared" si="47"/>
        <v>7488.6954166666665</v>
      </c>
      <c r="AA83" s="39">
        <f t="shared" si="47"/>
        <v>8225.8129166666677</v>
      </c>
      <c r="AB83" s="39">
        <f t="shared" si="47"/>
        <v>8388.9866666666676</v>
      </c>
      <c r="AC83" s="39">
        <f t="shared" si="47"/>
        <v>13769.138416666667</v>
      </c>
      <c r="AD83" s="39">
        <f t="shared" si="47"/>
        <v>8700.2379166666669</v>
      </c>
      <c r="AE83" s="39">
        <f t="shared" si="47"/>
        <v>9998.3125</v>
      </c>
      <c r="AF83" s="39">
        <f t="shared" si="47"/>
        <v>10366.302666666666</v>
      </c>
      <c r="AG83" s="39">
        <f>+AG82</f>
        <v>10732.562750000001</v>
      </c>
      <c r="AH83" s="39">
        <f t="shared" si="47"/>
        <v>9105.5835833333331</v>
      </c>
      <c r="AI83" s="39">
        <f t="shared" si="47"/>
        <v>10440.417416666667</v>
      </c>
      <c r="AJ83" s="39">
        <f t="shared" si="47"/>
        <v>8303.1186666666672</v>
      </c>
      <c r="AK83" s="39">
        <f t="shared" si="49"/>
        <v>8865.7425000000003</v>
      </c>
      <c r="AL83" s="39">
        <f t="shared" si="49"/>
        <v>8628.6307500000003</v>
      </c>
      <c r="AM83" s="39">
        <f t="shared" si="12"/>
        <v>5003.7696666666661</v>
      </c>
      <c r="AN83" s="39">
        <f t="shared" si="49"/>
        <v>11058.227500000001</v>
      </c>
      <c r="AO83" s="39">
        <f t="shared" si="49"/>
        <v>15030.796999999999</v>
      </c>
      <c r="AP83" s="39">
        <f t="shared" si="22"/>
        <v>11048.227083333333</v>
      </c>
      <c r="AQ83" s="518">
        <f t="shared" si="23"/>
        <v>11805.924583333333</v>
      </c>
      <c r="AR83" s="39">
        <f t="shared" si="24"/>
        <v>5757.6083333333336</v>
      </c>
      <c r="AS83" s="518">
        <f t="shared" si="26"/>
        <v>779.89166666666665</v>
      </c>
      <c r="AT83" s="39">
        <f t="shared" si="28"/>
        <v>568.33333333333337</v>
      </c>
      <c r="AU83" s="39">
        <f t="shared" si="29"/>
        <v>606.45416666666665</v>
      </c>
      <c r="AV83" s="39">
        <f t="shared" si="29"/>
        <v>227.18866666666665</v>
      </c>
      <c r="AW83" s="39"/>
      <c r="AX83" s="39">
        <f t="shared" si="44"/>
        <v>334883.66983333335</v>
      </c>
    </row>
    <row r="84" spans="1:50" s="335" customFormat="1" outlineLevel="1">
      <c r="A84" s="327" t="s">
        <v>54</v>
      </c>
      <c r="B84" s="327">
        <f t="shared" si="46"/>
        <v>2020</v>
      </c>
      <c r="C84" s="327" t="s">
        <v>47</v>
      </c>
      <c r="D84" s="518"/>
      <c r="E84" s="39"/>
      <c r="F84" s="39"/>
      <c r="G84" s="39">
        <f t="shared" si="34"/>
        <v>0</v>
      </c>
      <c r="H84" s="518">
        <f>SUM($G$5:G84)</f>
        <v>40186040.380000003</v>
      </c>
      <c r="I84" s="518"/>
      <c r="J84" s="614">
        <f>268448.03+79.77+81.35</f>
        <v>268609.15000000002</v>
      </c>
      <c r="K84" s="39">
        <f t="shared" si="10"/>
        <v>24641873.880000003</v>
      </c>
      <c r="L84" s="518"/>
      <c r="M84" s="92">
        <f t="shared" si="43"/>
        <v>15544166.5</v>
      </c>
      <c r="O84" s="39">
        <f t="shared" si="47"/>
        <v>13796.4</v>
      </c>
      <c r="P84" s="39">
        <f t="shared" si="47"/>
        <v>9722.28125</v>
      </c>
      <c r="Q84" s="39">
        <f t="shared" si="47"/>
        <v>12080.370666666666</v>
      </c>
      <c r="R84" s="39">
        <f t="shared" si="47"/>
        <v>15260.065666666665</v>
      </c>
      <c r="S84" s="39">
        <f t="shared" si="47"/>
        <v>15944.075000000001</v>
      </c>
      <c r="T84" s="39">
        <f t="shared" si="47"/>
        <v>17603.616250000003</v>
      </c>
      <c r="U84" s="39">
        <f t="shared" si="47"/>
        <v>10939.370833333332</v>
      </c>
      <c r="V84" s="39">
        <f t="shared" si="47"/>
        <v>15243.782083333334</v>
      </c>
      <c r="W84" s="39">
        <f t="shared" si="47"/>
        <v>11017.99425</v>
      </c>
      <c r="X84" s="39">
        <f t="shared" si="47"/>
        <v>17485.601749999998</v>
      </c>
      <c r="Y84" s="39">
        <f t="shared" si="47"/>
        <v>10890.147916666667</v>
      </c>
      <c r="Z84" s="39">
        <f t="shared" si="47"/>
        <v>7488.6954166666665</v>
      </c>
      <c r="AA84" s="39">
        <f t="shared" si="47"/>
        <v>8225.8129166666677</v>
      </c>
      <c r="AB84" s="39">
        <f t="shared" si="47"/>
        <v>8388.9866666666676</v>
      </c>
      <c r="AC84" s="39">
        <f t="shared" si="47"/>
        <v>13769.138416666667</v>
      </c>
      <c r="AD84" s="39">
        <f t="shared" si="47"/>
        <v>8700.2379166666669</v>
      </c>
      <c r="AE84" s="39">
        <f t="shared" si="47"/>
        <v>9998.3125</v>
      </c>
      <c r="AF84" s="39">
        <f t="shared" si="47"/>
        <v>10366.302666666666</v>
      </c>
      <c r="AG84" s="39">
        <f t="shared" si="47"/>
        <v>10732.562750000001</v>
      </c>
      <c r="AH84" s="39">
        <f t="shared" si="47"/>
        <v>9105.5835833333331</v>
      </c>
      <c r="AI84" s="39">
        <f t="shared" si="47"/>
        <v>10440.417416666667</v>
      </c>
      <c r="AJ84" s="39">
        <f t="shared" si="47"/>
        <v>8303.1186666666672</v>
      </c>
      <c r="AK84" s="39">
        <f t="shared" si="49"/>
        <v>8865.7425000000003</v>
      </c>
      <c r="AL84" s="39">
        <f t="shared" si="49"/>
        <v>8628.6307500000003</v>
      </c>
      <c r="AM84" s="39">
        <f t="shared" si="12"/>
        <v>5003.7696666666661</v>
      </c>
      <c r="AN84" s="39">
        <f t="shared" si="49"/>
        <v>11058.227500000001</v>
      </c>
      <c r="AO84" s="39">
        <f t="shared" si="49"/>
        <v>15030.796999999999</v>
      </c>
      <c r="AP84" s="39">
        <f t="shared" si="22"/>
        <v>11048.227083333333</v>
      </c>
      <c r="AQ84" s="518">
        <f t="shared" si="23"/>
        <v>11805.924583333333</v>
      </c>
      <c r="AR84" s="39">
        <f t="shared" si="24"/>
        <v>5757.6083333333336</v>
      </c>
      <c r="AS84" s="518">
        <f t="shared" si="26"/>
        <v>779.89166666666665</v>
      </c>
      <c r="AT84" s="39">
        <f t="shared" si="28"/>
        <v>568.33333333333337</v>
      </c>
      <c r="AU84" s="39">
        <f t="shared" si="29"/>
        <v>606.45416666666665</v>
      </c>
      <c r="AV84" s="39">
        <f t="shared" si="29"/>
        <v>227.18866666666665</v>
      </c>
      <c r="AW84" s="39"/>
      <c r="AX84" s="39">
        <f t="shared" si="44"/>
        <v>334883.66983333335</v>
      </c>
    </row>
    <row r="85" spans="1:50" s="335" customFormat="1" outlineLevel="1">
      <c r="A85" s="327" t="s">
        <v>55</v>
      </c>
      <c r="B85" s="327">
        <f t="shared" si="46"/>
        <v>2020</v>
      </c>
      <c r="C85" s="327" t="s">
        <v>47</v>
      </c>
      <c r="D85" s="518"/>
      <c r="E85" s="39"/>
      <c r="F85" s="39"/>
      <c r="G85" s="39">
        <f t="shared" si="34"/>
        <v>0</v>
      </c>
      <c r="H85" s="518">
        <f>SUM($G$5:G85)</f>
        <v>40186040.380000003</v>
      </c>
      <c r="I85" s="518"/>
      <c r="J85" s="614">
        <f>337717.08+79.77+81.35</f>
        <v>337878.2</v>
      </c>
      <c r="K85" s="39">
        <f t="shared" si="10"/>
        <v>24979752.080000002</v>
      </c>
      <c r="L85" s="518"/>
      <c r="M85" s="92">
        <f t="shared" si="43"/>
        <v>15206288.300000001</v>
      </c>
      <c r="O85" s="39">
        <f t="shared" ref="O85:AO93" si="50">+O84</f>
        <v>13796.4</v>
      </c>
      <c r="P85" s="39">
        <f t="shared" si="50"/>
        <v>9722.28125</v>
      </c>
      <c r="Q85" s="39">
        <f t="shared" si="50"/>
        <v>12080.370666666666</v>
      </c>
      <c r="R85" s="39">
        <f t="shared" si="50"/>
        <v>15260.065666666665</v>
      </c>
      <c r="S85" s="39">
        <f t="shared" si="50"/>
        <v>15944.075000000001</v>
      </c>
      <c r="T85" s="39">
        <f t="shared" si="50"/>
        <v>17603.616250000003</v>
      </c>
      <c r="U85" s="39">
        <f t="shared" si="50"/>
        <v>10939.370833333332</v>
      </c>
      <c r="V85" s="39">
        <f t="shared" si="50"/>
        <v>15243.782083333334</v>
      </c>
      <c r="W85" s="39">
        <f t="shared" si="50"/>
        <v>11017.99425</v>
      </c>
      <c r="X85" s="39">
        <f t="shared" si="50"/>
        <v>17485.601749999998</v>
      </c>
      <c r="Y85" s="39">
        <f t="shared" si="50"/>
        <v>10890.147916666667</v>
      </c>
      <c r="Z85" s="39">
        <f t="shared" si="50"/>
        <v>7488.6954166666665</v>
      </c>
      <c r="AA85" s="39">
        <f t="shared" si="50"/>
        <v>8225.8129166666677</v>
      </c>
      <c r="AB85" s="39">
        <f t="shared" si="50"/>
        <v>8388.9866666666676</v>
      </c>
      <c r="AC85" s="39">
        <f t="shared" si="50"/>
        <v>13769.138416666667</v>
      </c>
      <c r="AD85" s="39">
        <f t="shared" si="50"/>
        <v>8700.2379166666669</v>
      </c>
      <c r="AE85" s="39">
        <f t="shared" si="50"/>
        <v>9998.3125</v>
      </c>
      <c r="AF85" s="39">
        <f t="shared" si="50"/>
        <v>10366.302666666666</v>
      </c>
      <c r="AG85" s="39">
        <f t="shared" si="50"/>
        <v>10732.562750000001</v>
      </c>
      <c r="AH85" s="39">
        <f t="shared" si="50"/>
        <v>9105.5835833333331</v>
      </c>
      <c r="AI85" s="39">
        <f t="shared" si="50"/>
        <v>10440.417416666667</v>
      </c>
      <c r="AJ85" s="39">
        <f t="shared" si="50"/>
        <v>8303.1186666666672</v>
      </c>
      <c r="AK85" s="39">
        <f t="shared" si="50"/>
        <v>8865.7425000000003</v>
      </c>
      <c r="AL85" s="39">
        <f t="shared" si="50"/>
        <v>8628.6307500000003</v>
      </c>
      <c r="AM85" s="39">
        <f t="shared" si="12"/>
        <v>5003.7696666666661</v>
      </c>
      <c r="AN85" s="39">
        <f t="shared" si="50"/>
        <v>11058.227500000001</v>
      </c>
      <c r="AO85" s="39">
        <f t="shared" si="50"/>
        <v>15030.796999999999</v>
      </c>
      <c r="AP85" s="39">
        <f t="shared" si="22"/>
        <v>11048.227083333333</v>
      </c>
      <c r="AQ85" s="518">
        <f t="shared" si="23"/>
        <v>11805.924583333333</v>
      </c>
      <c r="AR85" s="39">
        <f t="shared" si="24"/>
        <v>5757.6083333333336</v>
      </c>
      <c r="AS85" s="518">
        <f t="shared" si="26"/>
        <v>779.89166666666665</v>
      </c>
      <c r="AT85" s="39">
        <f t="shared" si="28"/>
        <v>568.33333333333337</v>
      </c>
      <c r="AU85" s="39">
        <f t="shared" si="29"/>
        <v>606.45416666666665</v>
      </c>
      <c r="AV85" s="39">
        <f t="shared" si="29"/>
        <v>227.18866666666665</v>
      </c>
      <c r="AW85" s="39"/>
      <c r="AX85" s="39">
        <f t="shared" si="44"/>
        <v>334883.66983333335</v>
      </c>
    </row>
    <row r="86" spans="1:50" s="335" customFormat="1" outlineLevel="1">
      <c r="A86" s="327" t="s">
        <v>56</v>
      </c>
      <c r="B86" s="327">
        <f t="shared" si="46"/>
        <v>2020</v>
      </c>
      <c r="C86" s="327" t="s">
        <v>47</v>
      </c>
      <c r="D86" s="518"/>
      <c r="E86" s="39"/>
      <c r="F86" s="39"/>
      <c r="G86" s="39">
        <f t="shared" si="34"/>
        <v>0</v>
      </c>
      <c r="H86" s="518">
        <f>SUM($G$5:G86)</f>
        <v>40186040.380000003</v>
      </c>
      <c r="I86" s="518"/>
      <c r="J86" s="614">
        <f>317686.06+81.35+4226.86</f>
        <v>321994.26999999996</v>
      </c>
      <c r="K86" s="39">
        <f t="shared" si="10"/>
        <v>25301746.350000001</v>
      </c>
      <c r="L86" s="518"/>
      <c r="M86" s="92">
        <f t="shared" si="43"/>
        <v>14884294.030000001</v>
      </c>
      <c r="O86" s="39">
        <f t="shared" ref="O86:X101" si="51">+O85</f>
        <v>13796.4</v>
      </c>
      <c r="P86" s="39">
        <f t="shared" si="51"/>
        <v>9722.28125</v>
      </c>
      <c r="Q86" s="39">
        <f t="shared" si="51"/>
        <v>12080.370666666666</v>
      </c>
      <c r="R86" s="39">
        <f t="shared" si="51"/>
        <v>15260.065666666665</v>
      </c>
      <c r="S86" s="39">
        <f t="shared" si="51"/>
        <v>15944.075000000001</v>
      </c>
      <c r="T86" s="39">
        <f t="shared" si="51"/>
        <v>17603.616250000003</v>
      </c>
      <c r="U86" s="39">
        <f t="shared" si="50"/>
        <v>10939.370833333332</v>
      </c>
      <c r="V86" s="39">
        <f t="shared" si="50"/>
        <v>15243.782083333334</v>
      </c>
      <c r="W86" s="39">
        <f t="shared" si="50"/>
        <v>11017.99425</v>
      </c>
      <c r="X86" s="39">
        <f t="shared" si="50"/>
        <v>17485.601749999998</v>
      </c>
      <c r="Y86" s="39">
        <f t="shared" si="50"/>
        <v>10890.147916666667</v>
      </c>
      <c r="Z86" s="39">
        <f t="shared" si="50"/>
        <v>7488.6954166666665</v>
      </c>
      <c r="AA86" s="39">
        <f t="shared" si="50"/>
        <v>8225.8129166666677</v>
      </c>
      <c r="AB86" s="39">
        <f t="shared" si="50"/>
        <v>8388.9866666666676</v>
      </c>
      <c r="AC86" s="39">
        <f t="shared" si="50"/>
        <v>13769.138416666667</v>
      </c>
      <c r="AD86" s="39">
        <f t="shared" si="50"/>
        <v>8700.2379166666669</v>
      </c>
      <c r="AE86" s="39">
        <f t="shared" si="50"/>
        <v>9998.3125</v>
      </c>
      <c r="AF86" s="39">
        <f t="shared" si="50"/>
        <v>10366.302666666666</v>
      </c>
      <c r="AG86" s="39">
        <f t="shared" si="50"/>
        <v>10732.562750000001</v>
      </c>
      <c r="AH86" s="39">
        <f t="shared" si="50"/>
        <v>9105.5835833333331</v>
      </c>
      <c r="AI86" s="39">
        <f t="shared" si="50"/>
        <v>10440.417416666667</v>
      </c>
      <c r="AJ86" s="39">
        <f t="shared" si="50"/>
        <v>8303.1186666666672</v>
      </c>
      <c r="AK86" s="39">
        <f t="shared" si="50"/>
        <v>8865.7425000000003</v>
      </c>
      <c r="AL86" s="39">
        <f t="shared" si="50"/>
        <v>8628.6307500000003</v>
      </c>
      <c r="AM86" s="39">
        <f t="shared" si="12"/>
        <v>5003.7696666666661</v>
      </c>
      <c r="AN86" s="39">
        <f t="shared" si="50"/>
        <v>11058.227500000001</v>
      </c>
      <c r="AO86" s="39">
        <f t="shared" si="50"/>
        <v>15030.796999999999</v>
      </c>
      <c r="AP86" s="39">
        <f t="shared" si="22"/>
        <v>11048.227083333333</v>
      </c>
      <c r="AQ86" s="518">
        <f t="shared" si="23"/>
        <v>11805.924583333333</v>
      </c>
      <c r="AR86" s="39">
        <f t="shared" si="24"/>
        <v>5757.6083333333336</v>
      </c>
      <c r="AS86" s="518">
        <f t="shared" si="26"/>
        <v>779.89166666666665</v>
      </c>
      <c r="AT86" s="39">
        <f t="shared" si="28"/>
        <v>568.33333333333337</v>
      </c>
      <c r="AU86" s="39">
        <f t="shared" si="29"/>
        <v>606.45416666666665</v>
      </c>
      <c r="AV86" s="39">
        <f t="shared" si="29"/>
        <v>227.18866666666665</v>
      </c>
      <c r="AW86" s="39"/>
      <c r="AX86" s="39">
        <f t="shared" si="44"/>
        <v>334883.66983333335</v>
      </c>
    </row>
    <row r="87" spans="1:50" s="335" customFormat="1" outlineLevel="1">
      <c r="A87" s="327" t="s">
        <v>57</v>
      </c>
      <c r="B87" s="327">
        <f t="shared" si="46"/>
        <v>2020</v>
      </c>
      <c r="C87" s="327" t="s">
        <v>47</v>
      </c>
      <c r="D87" s="518"/>
      <c r="E87" s="39"/>
      <c r="F87" s="39"/>
      <c r="G87" s="39">
        <f t="shared" si="34"/>
        <v>0</v>
      </c>
      <c r="H87" s="518">
        <f>SUM($G$5:G87)</f>
        <v>40186040.380000003</v>
      </c>
      <c r="I87" s="518"/>
      <c r="J87" s="614">
        <f>272653.62+81.35</f>
        <v>272734.96999999997</v>
      </c>
      <c r="K87" s="39">
        <f t="shared" si="10"/>
        <v>25574481.32</v>
      </c>
      <c r="L87" s="518"/>
      <c r="M87" s="92">
        <f t="shared" si="43"/>
        <v>14611559.060000002</v>
      </c>
      <c r="O87" s="39">
        <f t="shared" si="51"/>
        <v>13796.4</v>
      </c>
      <c r="P87" s="39">
        <f t="shared" si="51"/>
        <v>9722.28125</v>
      </c>
      <c r="Q87" s="39">
        <f t="shared" si="51"/>
        <v>12080.370666666666</v>
      </c>
      <c r="R87" s="39">
        <f t="shared" si="51"/>
        <v>15260.065666666665</v>
      </c>
      <c r="S87" s="39">
        <f t="shared" si="51"/>
        <v>15944.075000000001</v>
      </c>
      <c r="T87" s="39">
        <f t="shared" si="51"/>
        <v>17603.616250000003</v>
      </c>
      <c r="U87" s="39">
        <f t="shared" si="50"/>
        <v>10939.370833333332</v>
      </c>
      <c r="V87" s="39">
        <f t="shared" si="50"/>
        <v>15243.782083333334</v>
      </c>
      <c r="W87" s="39">
        <f t="shared" si="50"/>
        <v>11017.99425</v>
      </c>
      <c r="X87" s="39">
        <f t="shared" si="50"/>
        <v>17485.601749999998</v>
      </c>
      <c r="Y87" s="39">
        <f t="shared" si="50"/>
        <v>10890.147916666667</v>
      </c>
      <c r="Z87" s="39">
        <f t="shared" si="50"/>
        <v>7488.6954166666665</v>
      </c>
      <c r="AA87" s="39">
        <f t="shared" si="50"/>
        <v>8225.8129166666677</v>
      </c>
      <c r="AB87" s="39">
        <f t="shared" si="50"/>
        <v>8388.9866666666676</v>
      </c>
      <c r="AC87" s="39">
        <f t="shared" si="50"/>
        <v>13769.138416666667</v>
      </c>
      <c r="AD87" s="39">
        <f t="shared" si="50"/>
        <v>8700.2379166666669</v>
      </c>
      <c r="AE87" s="39">
        <f t="shared" si="50"/>
        <v>9998.3125</v>
      </c>
      <c r="AF87" s="39">
        <f t="shared" si="50"/>
        <v>10366.302666666666</v>
      </c>
      <c r="AG87" s="39">
        <f t="shared" si="50"/>
        <v>10732.562750000001</v>
      </c>
      <c r="AH87" s="39">
        <f t="shared" si="50"/>
        <v>9105.5835833333331</v>
      </c>
      <c r="AI87" s="39">
        <f t="shared" si="50"/>
        <v>10440.417416666667</v>
      </c>
      <c r="AJ87" s="39">
        <f t="shared" si="50"/>
        <v>8303.1186666666672</v>
      </c>
      <c r="AK87" s="39">
        <f t="shared" si="50"/>
        <v>8865.7425000000003</v>
      </c>
      <c r="AL87" s="39">
        <f t="shared" si="50"/>
        <v>8628.6307500000003</v>
      </c>
      <c r="AM87" s="39">
        <f t="shared" si="12"/>
        <v>5003.7696666666661</v>
      </c>
      <c r="AN87" s="39">
        <f t="shared" si="50"/>
        <v>11058.227500000001</v>
      </c>
      <c r="AO87" s="39">
        <f t="shared" si="50"/>
        <v>15030.796999999999</v>
      </c>
      <c r="AP87" s="39">
        <f t="shared" si="22"/>
        <v>11048.227083333333</v>
      </c>
      <c r="AQ87" s="518">
        <f t="shared" si="23"/>
        <v>11805.924583333333</v>
      </c>
      <c r="AR87" s="39">
        <f t="shared" si="24"/>
        <v>5757.6083333333336</v>
      </c>
      <c r="AS87" s="518">
        <f t="shared" si="26"/>
        <v>779.89166666666665</v>
      </c>
      <c r="AT87" s="39">
        <f t="shared" si="28"/>
        <v>568.33333333333337</v>
      </c>
      <c r="AU87" s="39">
        <f t="shared" si="29"/>
        <v>606.45416666666665</v>
      </c>
      <c r="AV87" s="39">
        <f t="shared" si="29"/>
        <v>227.18866666666665</v>
      </c>
      <c r="AW87" s="39"/>
      <c r="AX87" s="39">
        <f t="shared" si="44"/>
        <v>334883.66983333335</v>
      </c>
    </row>
    <row r="88" spans="1:50" s="335" customFormat="1" outlineLevel="1">
      <c r="A88" s="327" t="s">
        <v>58</v>
      </c>
      <c r="B88" s="327">
        <f t="shared" si="46"/>
        <v>2020</v>
      </c>
      <c r="C88" s="327" t="s">
        <v>323</v>
      </c>
      <c r="D88" s="518"/>
      <c r="E88" s="39"/>
      <c r="F88" s="39"/>
      <c r="G88" s="39">
        <f t="shared" si="34"/>
        <v>0</v>
      </c>
      <c r="H88" s="518">
        <f>SUM($G$5:G88)</f>
        <v>40186040.380000003</v>
      </c>
      <c r="I88" s="518"/>
      <c r="J88" s="614">
        <f>391790.06+81.35</f>
        <v>391871.41</v>
      </c>
      <c r="K88" s="39">
        <f t="shared" si="10"/>
        <v>25966352.73</v>
      </c>
      <c r="L88" s="518"/>
      <c r="M88" s="92">
        <f t="shared" si="43"/>
        <v>14219687.650000002</v>
      </c>
      <c r="O88" s="39">
        <f t="shared" si="51"/>
        <v>13796.4</v>
      </c>
      <c r="P88" s="39">
        <f t="shared" si="51"/>
        <v>9722.28125</v>
      </c>
      <c r="Q88" s="39">
        <f t="shared" si="51"/>
        <v>12080.370666666666</v>
      </c>
      <c r="R88" s="39">
        <f t="shared" si="51"/>
        <v>15260.065666666665</v>
      </c>
      <c r="S88" s="39">
        <f t="shared" si="51"/>
        <v>15944.075000000001</v>
      </c>
      <c r="T88" s="39">
        <f t="shared" si="51"/>
        <v>17603.616250000003</v>
      </c>
      <c r="U88" s="39">
        <f t="shared" si="50"/>
        <v>10939.370833333332</v>
      </c>
      <c r="V88" s="39">
        <f t="shared" si="50"/>
        <v>15243.782083333334</v>
      </c>
      <c r="W88" s="39">
        <f t="shared" si="50"/>
        <v>11017.99425</v>
      </c>
      <c r="X88" s="39">
        <f t="shared" si="50"/>
        <v>17485.601749999998</v>
      </c>
      <c r="Y88" s="39">
        <f t="shared" si="50"/>
        <v>10890.147916666667</v>
      </c>
      <c r="Z88" s="39">
        <f t="shared" si="50"/>
        <v>7488.6954166666665</v>
      </c>
      <c r="AA88" s="39">
        <f t="shared" si="50"/>
        <v>8225.8129166666677</v>
      </c>
      <c r="AB88" s="39">
        <f t="shared" si="50"/>
        <v>8388.9866666666676</v>
      </c>
      <c r="AC88" s="39">
        <f t="shared" si="50"/>
        <v>13769.138416666667</v>
      </c>
      <c r="AD88" s="39">
        <f t="shared" si="50"/>
        <v>8700.2379166666669</v>
      </c>
      <c r="AE88" s="39">
        <f t="shared" si="50"/>
        <v>9998.3125</v>
      </c>
      <c r="AF88" s="39">
        <f t="shared" si="50"/>
        <v>10366.302666666666</v>
      </c>
      <c r="AG88" s="39">
        <f t="shared" si="50"/>
        <v>10732.562750000001</v>
      </c>
      <c r="AH88" s="39">
        <f t="shared" si="50"/>
        <v>9105.5835833333331</v>
      </c>
      <c r="AI88" s="39">
        <f t="shared" si="50"/>
        <v>10440.417416666667</v>
      </c>
      <c r="AJ88" s="39">
        <f t="shared" si="50"/>
        <v>8303.1186666666672</v>
      </c>
      <c r="AK88" s="39">
        <f t="shared" si="50"/>
        <v>8865.7425000000003</v>
      </c>
      <c r="AL88" s="39">
        <f t="shared" si="50"/>
        <v>8628.6307500000003</v>
      </c>
      <c r="AM88" s="39">
        <f t="shared" si="12"/>
        <v>5003.7696666666661</v>
      </c>
      <c r="AN88" s="39">
        <f t="shared" si="50"/>
        <v>11058.227500000001</v>
      </c>
      <c r="AO88" s="39">
        <f t="shared" si="50"/>
        <v>15030.796999999999</v>
      </c>
      <c r="AP88" s="39">
        <f t="shared" si="22"/>
        <v>11048.227083333333</v>
      </c>
      <c r="AQ88" s="518">
        <f t="shared" si="23"/>
        <v>11805.924583333333</v>
      </c>
      <c r="AR88" s="39">
        <f t="shared" si="24"/>
        <v>5757.6083333333336</v>
      </c>
      <c r="AS88" s="518">
        <f t="shared" si="26"/>
        <v>779.89166666666665</v>
      </c>
      <c r="AT88" s="39">
        <f t="shared" si="28"/>
        <v>568.33333333333337</v>
      </c>
      <c r="AU88" s="39">
        <f t="shared" si="29"/>
        <v>606.45416666666665</v>
      </c>
      <c r="AV88" s="39">
        <f t="shared" si="29"/>
        <v>227.18866666666665</v>
      </c>
      <c r="AW88" s="39"/>
      <c r="AX88" s="39">
        <f t="shared" si="44"/>
        <v>334883.66983333335</v>
      </c>
    </row>
    <row r="89" spans="1:50" s="335" customFormat="1" outlineLevel="1">
      <c r="A89" s="327" t="s">
        <v>59</v>
      </c>
      <c r="B89" s="327">
        <f t="shared" si="46"/>
        <v>2020</v>
      </c>
      <c r="C89" s="327" t="s">
        <v>47</v>
      </c>
      <c r="D89" s="518"/>
      <c r="E89" s="39"/>
      <c r="F89" s="39"/>
      <c r="G89" s="39">
        <f t="shared" si="34"/>
        <v>0</v>
      </c>
      <c r="H89" s="518">
        <f>SUM($G$5:G89)</f>
        <v>40186040.380000003</v>
      </c>
      <c r="I89" s="518"/>
      <c r="J89" s="614">
        <f>360545.21+81.35</f>
        <v>360626.56</v>
      </c>
      <c r="K89" s="39">
        <f t="shared" si="10"/>
        <v>26326979.289999999</v>
      </c>
      <c r="L89" s="518"/>
      <c r="M89" s="92">
        <f t="shared" si="43"/>
        <v>13859061.090000004</v>
      </c>
      <c r="O89" s="39">
        <f t="shared" si="51"/>
        <v>13796.4</v>
      </c>
      <c r="P89" s="39">
        <f t="shared" si="51"/>
        <v>9722.28125</v>
      </c>
      <c r="Q89" s="39">
        <f t="shared" si="51"/>
        <v>12080.370666666666</v>
      </c>
      <c r="R89" s="39">
        <f t="shared" si="51"/>
        <v>15260.065666666665</v>
      </c>
      <c r="S89" s="39">
        <f t="shared" si="51"/>
        <v>15944.075000000001</v>
      </c>
      <c r="T89" s="39">
        <f t="shared" si="51"/>
        <v>17603.616250000003</v>
      </c>
      <c r="U89" s="39">
        <f t="shared" si="50"/>
        <v>10939.370833333332</v>
      </c>
      <c r="V89" s="39">
        <f t="shared" si="50"/>
        <v>15243.782083333334</v>
      </c>
      <c r="W89" s="39">
        <f t="shared" si="50"/>
        <v>11017.99425</v>
      </c>
      <c r="X89" s="39">
        <f t="shared" si="50"/>
        <v>17485.601749999998</v>
      </c>
      <c r="Y89" s="39">
        <f t="shared" si="50"/>
        <v>10890.147916666667</v>
      </c>
      <c r="Z89" s="39">
        <f t="shared" si="50"/>
        <v>7488.6954166666665</v>
      </c>
      <c r="AA89" s="39">
        <f t="shared" si="50"/>
        <v>8225.8129166666677</v>
      </c>
      <c r="AB89" s="39">
        <f t="shared" si="50"/>
        <v>8388.9866666666676</v>
      </c>
      <c r="AC89" s="39">
        <f t="shared" si="50"/>
        <v>13769.138416666667</v>
      </c>
      <c r="AD89" s="39">
        <f t="shared" si="50"/>
        <v>8700.2379166666669</v>
      </c>
      <c r="AE89" s="39">
        <f t="shared" si="50"/>
        <v>9998.3125</v>
      </c>
      <c r="AF89" s="39">
        <f t="shared" si="50"/>
        <v>10366.302666666666</v>
      </c>
      <c r="AG89" s="39">
        <f t="shared" si="50"/>
        <v>10732.562750000001</v>
      </c>
      <c r="AH89" s="39">
        <f t="shared" si="50"/>
        <v>9105.5835833333331</v>
      </c>
      <c r="AI89" s="39">
        <f t="shared" si="50"/>
        <v>10440.417416666667</v>
      </c>
      <c r="AJ89" s="39">
        <f t="shared" si="50"/>
        <v>8303.1186666666672</v>
      </c>
      <c r="AK89" s="39">
        <f t="shared" si="50"/>
        <v>8865.7425000000003</v>
      </c>
      <c r="AL89" s="39">
        <f t="shared" si="50"/>
        <v>8628.6307500000003</v>
      </c>
      <c r="AM89" s="39">
        <f t="shared" si="12"/>
        <v>5003.7696666666661</v>
      </c>
      <c r="AN89" s="39">
        <f t="shared" si="50"/>
        <v>11058.227500000001</v>
      </c>
      <c r="AO89" s="39">
        <f t="shared" si="50"/>
        <v>15030.796999999999</v>
      </c>
      <c r="AP89" s="39">
        <f t="shared" si="22"/>
        <v>11048.227083333333</v>
      </c>
      <c r="AQ89" s="518">
        <f t="shared" si="23"/>
        <v>11805.924583333333</v>
      </c>
      <c r="AR89" s="39">
        <f t="shared" si="24"/>
        <v>5757.6083333333336</v>
      </c>
      <c r="AS89" s="518">
        <f t="shared" si="26"/>
        <v>779.89166666666665</v>
      </c>
      <c r="AT89" s="39">
        <f t="shared" si="28"/>
        <v>568.33333333333337</v>
      </c>
      <c r="AU89" s="39">
        <f t="shared" si="29"/>
        <v>606.45416666666665</v>
      </c>
      <c r="AV89" s="39">
        <f t="shared" si="29"/>
        <v>227.18866666666665</v>
      </c>
      <c r="AW89" s="39"/>
      <c r="AX89" s="39">
        <f t="shared" si="44"/>
        <v>334883.66983333335</v>
      </c>
    </row>
    <row r="90" spans="1:50" s="335" customFormat="1" outlineLevel="1">
      <c r="A90" s="327" t="s">
        <v>46</v>
      </c>
      <c r="B90" s="327">
        <f t="shared" si="46"/>
        <v>2020</v>
      </c>
      <c r="C90" s="327" t="s">
        <v>47</v>
      </c>
      <c r="D90" s="518"/>
      <c r="E90" s="39"/>
      <c r="F90" s="39"/>
      <c r="G90" s="39">
        <f t="shared" si="34"/>
        <v>0</v>
      </c>
      <c r="H90" s="518">
        <f>SUM($G$5:G90)</f>
        <v>40186040.380000003</v>
      </c>
      <c r="I90" s="518"/>
      <c r="J90" s="614">
        <f>357799.45+81.35</f>
        <v>357880.8</v>
      </c>
      <c r="K90" s="39">
        <f t="shared" si="10"/>
        <v>26684860.09</v>
      </c>
      <c r="L90" s="518"/>
      <c r="M90" s="92">
        <f t="shared" si="43"/>
        <v>13501180.290000003</v>
      </c>
      <c r="O90" s="39">
        <f t="shared" si="51"/>
        <v>13796.4</v>
      </c>
      <c r="P90" s="39">
        <f t="shared" si="51"/>
        <v>9722.28125</v>
      </c>
      <c r="Q90" s="39">
        <f t="shared" si="51"/>
        <v>12080.370666666666</v>
      </c>
      <c r="R90" s="39">
        <f t="shared" si="51"/>
        <v>15260.065666666665</v>
      </c>
      <c r="S90" s="39">
        <f t="shared" si="51"/>
        <v>15944.075000000001</v>
      </c>
      <c r="T90" s="39">
        <f t="shared" si="51"/>
        <v>17603.616250000003</v>
      </c>
      <c r="U90" s="39">
        <f t="shared" si="50"/>
        <v>10939.370833333332</v>
      </c>
      <c r="V90" s="39">
        <f t="shared" si="50"/>
        <v>15243.782083333334</v>
      </c>
      <c r="W90" s="39">
        <f t="shared" si="50"/>
        <v>11017.99425</v>
      </c>
      <c r="X90" s="39">
        <f t="shared" si="50"/>
        <v>17485.601749999998</v>
      </c>
      <c r="Y90" s="39">
        <f t="shared" si="50"/>
        <v>10890.147916666667</v>
      </c>
      <c r="Z90" s="39">
        <f t="shared" si="50"/>
        <v>7488.6954166666665</v>
      </c>
      <c r="AA90" s="39">
        <f t="shared" si="50"/>
        <v>8225.8129166666677</v>
      </c>
      <c r="AB90" s="39">
        <f t="shared" si="50"/>
        <v>8388.9866666666676</v>
      </c>
      <c r="AC90" s="39">
        <f t="shared" si="50"/>
        <v>13769.138416666667</v>
      </c>
      <c r="AD90" s="39">
        <f t="shared" si="50"/>
        <v>8700.2379166666669</v>
      </c>
      <c r="AE90" s="39">
        <f t="shared" si="50"/>
        <v>9998.3125</v>
      </c>
      <c r="AF90" s="39">
        <f t="shared" si="50"/>
        <v>10366.302666666666</v>
      </c>
      <c r="AG90" s="39">
        <f t="shared" si="50"/>
        <v>10732.562750000001</v>
      </c>
      <c r="AH90" s="39">
        <f t="shared" si="50"/>
        <v>9105.5835833333331</v>
      </c>
      <c r="AI90" s="39">
        <f t="shared" si="50"/>
        <v>10440.417416666667</v>
      </c>
      <c r="AJ90" s="39">
        <f t="shared" si="50"/>
        <v>8303.1186666666672</v>
      </c>
      <c r="AK90" s="39">
        <f t="shared" si="50"/>
        <v>8865.7425000000003</v>
      </c>
      <c r="AL90" s="39">
        <f t="shared" si="50"/>
        <v>8628.6307500000003</v>
      </c>
      <c r="AM90" s="39">
        <f t="shared" si="12"/>
        <v>5003.7696666666661</v>
      </c>
      <c r="AN90" s="39">
        <f t="shared" si="50"/>
        <v>11058.227500000001</v>
      </c>
      <c r="AO90" s="39">
        <f t="shared" si="50"/>
        <v>15030.796999999999</v>
      </c>
      <c r="AP90" s="39">
        <f t="shared" si="22"/>
        <v>11048.227083333333</v>
      </c>
      <c r="AQ90" s="518">
        <f t="shared" si="23"/>
        <v>11805.924583333333</v>
      </c>
      <c r="AR90" s="39">
        <f t="shared" si="24"/>
        <v>5757.6083333333336</v>
      </c>
      <c r="AS90" s="518">
        <f t="shared" si="26"/>
        <v>779.89166666666665</v>
      </c>
      <c r="AT90" s="39">
        <f t="shared" si="28"/>
        <v>568.33333333333337</v>
      </c>
      <c r="AU90" s="39">
        <f t="shared" si="29"/>
        <v>606.45416666666665</v>
      </c>
      <c r="AV90" s="39">
        <f t="shared" si="29"/>
        <v>227.18866666666665</v>
      </c>
      <c r="AW90" s="39"/>
      <c r="AX90" s="39">
        <f t="shared" si="44"/>
        <v>334883.66983333335</v>
      </c>
    </row>
    <row r="91" spans="1:50" s="335" customFormat="1" outlineLevel="1">
      <c r="A91" s="327" t="s">
        <v>48</v>
      </c>
      <c r="B91" s="327">
        <f t="shared" si="46"/>
        <v>2020</v>
      </c>
      <c r="C91" s="327" t="s">
        <v>47</v>
      </c>
      <c r="D91" s="518"/>
      <c r="E91" s="39"/>
      <c r="F91" s="39"/>
      <c r="G91" s="39">
        <f t="shared" si="34"/>
        <v>0</v>
      </c>
      <c r="H91" s="518">
        <f>SUM($G$5:G91)</f>
        <v>40186040.380000003</v>
      </c>
      <c r="I91" s="518"/>
      <c r="J91" s="614">
        <f>371499.55+81.35</f>
        <v>371580.89999999997</v>
      </c>
      <c r="K91" s="39">
        <f t="shared" si="10"/>
        <v>27056440.989999998</v>
      </c>
      <c r="L91" s="518"/>
      <c r="M91" s="92">
        <f t="shared" si="43"/>
        <v>13129599.390000004</v>
      </c>
      <c r="O91" s="39">
        <f t="shared" si="51"/>
        <v>13796.4</v>
      </c>
      <c r="P91" s="39">
        <f t="shared" si="51"/>
        <v>9722.28125</v>
      </c>
      <c r="Q91" s="39">
        <f t="shared" si="51"/>
        <v>12080.370666666666</v>
      </c>
      <c r="R91" s="39">
        <f t="shared" si="51"/>
        <v>15260.065666666665</v>
      </c>
      <c r="S91" s="39">
        <f t="shared" si="51"/>
        <v>15944.075000000001</v>
      </c>
      <c r="T91" s="39">
        <f t="shared" si="51"/>
        <v>17603.616250000003</v>
      </c>
      <c r="U91" s="39">
        <f t="shared" si="50"/>
        <v>10939.370833333332</v>
      </c>
      <c r="V91" s="39">
        <f t="shared" si="50"/>
        <v>15243.782083333334</v>
      </c>
      <c r="W91" s="39">
        <f t="shared" si="50"/>
        <v>11017.99425</v>
      </c>
      <c r="X91" s="39">
        <f t="shared" si="50"/>
        <v>17485.601749999998</v>
      </c>
      <c r="Y91" s="39">
        <f t="shared" si="50"/>
        <v>10890.147916666667</v>
      </c>
      <c r="Z91" s="39">
        <f t="shared" si="50"/>
        <v>7488.6954166666665</v>
      </c>
      <c r="AA91" s="39">
        <f t="shared" si="50"/>
        <v>8225.8129166666677</v>
      </c>
      <c r="AB91" s="39">
        <f t="shared" si="50"/>
        <v>8388.9866666666676</v>
      </c>
      <c r="AC91" s="39">
        <f t="shared" si="50"/>
        <v>13769.138416666667</v>
      </c>
      <c r="AD91" s="39">
        <f t="shared" si="50"/>
        <v>8700.2379166666669</v>
      </c>
      <c r="AE91" s="39">
        <f t="shared" si="50"/>
        <v>9998.3125</v>
      </c>
      <c r="AF91" s="39">
        <f t="shared" si="50"/>
        <v>10366.302666666666</v>
      </c>
      <c r="AG91" s="39">
        <f t="shared" si="50"/>
        <v>10732.562750000001</v>
      </c>
      <c r="AH91" s="39">
        <f t="shared" si="50"/>
        <v>9105.5835833333331</v>
      </c>
      <c r="AI91" s="39">
        <f t="shared" si="50"/>
        <v>10440.417416666667</v>
      </c>
      <c r="AJ91" s="39">
        <f t="shared" si="50"/>
        <v>8303.1186666666672</v>
      </c>
      <c r="AK91" s="39">
        <f t="shared" si="50"/>
        <v>8865.7425000000003</v>
      </c>
      <c r="AL91" s="39">
        <f t="shared" si="50"/>
        <v>8628.6307500000003</v>
      </c>
      <c r="AM91" s="39">
        <f t="shared" si="12"/>
        <v>5003.7696666666661</v>
      </c>
      <c r="AN91" s="39">
        <f t="shared" si="50"/>
        <v>11058.227500000001</v>
      </c>
      <c r="AO91" s="39">
        <f t="shared" si="50"/>
        <v>15030.796999999999</v>
      </c>
      <c r="AP91" s="39">
        <f t="shared" si="22"/>
        <v>11048.227083333333</v>
      </c>
      <c r="AQ91" s="518">
        <f t="shared" si="23"/>
        <v>11805.924583333333</v>
      </c>
      <c r="AR91" s="39">
        <f t="shared" si="24"/>
        <v>5757.6083333333336</v>
      </c>
      <c r="AS91" s="518">
        <f t="shared" si="26"/>
        <v>779.89166666666665</v>
      </c>
      <c r="AT91" s="39">
        <f t="shared" si="28"/>
        <v>568.33333333333337</v>
      </c>
      <c r="AU91" s="39">
        <f t="shared" si="29"/>
        <v>606.45416666666665</v>
      </c>
      <c r="AV91" s="39">
        <f t="shared" si="29"/>
        <v>227.18866666666665</v>
      </c>
      <c r="AW91" s="39"/>
      <c r="AX91" s="39">
        <f t="shared" si="44"/>
        <v>334883.66983333335</v>
      </c>
    </row>
    <row r="92" spans="1:50" s="335" customFormat="1" outlineLevel="1">
      <c r="A92" s="327" t="s">
        <v>50</v>
      </c>
      <c r="B92" s="327">
        <f t="shared" si="46"/>
        <v>2020</v>
      </c>
      <c r="C92" s="327" t="s">
        <v>47</v>
      </c>
      <c r="D92" s="518"/>
      <c r="E92" s="39"/>
      <c r="F92" s="39"/>
      <c r="G92" s="39">
        <f t="shared" si="34"/>
        <v>0</v>
      </c>
      <c r="H92" s="518">
        <f>SUM($G$5:G92)</f>
        <v>40186040.380000003</v>
      </c>
      <c r="I92" s="518"/>
      <c r="J92" s="614">
        <f>395028.71+81.35</f>
        <v>395110.06</v>
      </c>
      <c r="K92" s="39">
        <f t="shared" si="10"/>
        <v>27451551.049999997</v>
      </c>
      <c r="L92" s="518"/>
      <c r="M92" s="92">
        <f t="shared" si="43"/>
        <v>12734489.330000006</v>
      </c>
      <c r="O92" s="39">
        <f t="shared" si="51"/>
        <v>13796.4</v>
      </c>
      <c r="P92" s="39">
        <f t="shared" si="51"/>
        <v>9722.28125</v>
      </c>
      <c r="Q92" s="39">
        <f t="shared" si="51"/>
        <v>12080.370666666666</v>
      </c>
      <c r="R92" s="39">
        <f t="shared" si="51"/>
        <v>15260.065666666665</v>
      </c>
      <c r="S92" s="39">
        <f t="shared" si="51"/>
        <v>15944.075000000001</v>
      </c>
      <c r="T92" s="39">
        <f t="shared" si="51"/>
        <v>17603.616250000003</v>
      </c>
      <c r="U92" s="39">
        <f t="shared" si="50"/>
        <v>10939.370833333332</v>
      </c>
      <c r="V92" s="39">
        <f t="shared" si="50"/>
        <v>15243.782083333334</v>
      </c>
      <c r="W92" s="39">
        <f t="shared" si="50"/>
        <v>11017.99425</v>
      </c>
      <c r="X92" s="39">
        <f t="shared" si="50"/>
        <v>17485.601749999998</v>
      </c>
      <c r="Y92" s="39">
        <f t="shared" si="50"/>
        <v>10890.147916666667</v>
      </c>
      <c r="Z92" s="39">
        <f t="shared" si="50"/>
        <v>7488.6954166666665</v>
      </c>
      <c r="AA92" s="39">
        <f t="shared" si="50"/>
        <v>8225.8129166666677</v>
      </c>
      <c r="AB92" s="39">
        <f t="shared" si="50"/>
        <v>8388.9866666666676</v>
      </c>
      <c r="AC92" s="39">
        <f t="shared" si="50"/>
        <v>13769.138416666667</v>
      </c>
      <c r="AD92" s="39">
        <f t="shared" si="50"/>
        <v>8700.2379166666669</v>
      </c>
      <c r="AE92" s="39">
        <f t="shared" si="50"/>
        <v>9998.3125</v>
      </c>
      <c r="AF92" s="39">
        <f t="shared" si="50"/>
        <v>10366.302666666666</v>
      </c>
      <c r="AG92" s="39">
        <f t="shared" si="50"/>
        <v>10732.562750000001</v>
      </c>
      <c r="AH92" s="39">
        <f t="shared" si="50"/>
        <v>9105.5835833333331</v>
      </c>
      <c r="AI92" s="39">
        <f t="shared" si="50"/>
        <v>10440.417416666667</v>
      </c>
      <c r="AJ92" s="39">
        <f t="shared" si="50"/>
        <v>8303.1186666666672</v>
      </c>
      <c r="AK92" s="39">
        <f t="shared" si="50"/>
        <v>8865.7425000000003</v>
      </c>
      <c r="AL92" s="39">
        <f t="shared" si="50"/>
        <v>8628.6307500000003</v>
      </c>
      <c r="AM92" s="39">
        <f t="shared" si="12"/>
        <v>5003.7696666666661</v>
      </c>
      <c r="AN92" s="39">
        <f t="shared" si="50"/>
        <v>11058.227500000001</v>
      </c>
      <c r="AO92" s="39">
        <f t="shared" si="50"/>
        <v>15030.796999999999</v>
      </c>
      <c r="AP92" s="39">
        <f t="shared" si="22"/>
        <v>11048.227083333333</v>
      </c>
      <c r="AQ92" s="518">
        <f t="shared" si="23"/>
        <v>11805.924583333333</v>
      </c>
      <c r="AR92" s="39">
        <f t="shared" si="24"/>
        <v>5757.6083333333336</v>
      </c>
      <c r="AS92" s="518">
        <f t="shared" si="26"/>
        <v>779.89166666666665</v>
      </c>
      <c r="AT92" s="39">
        <f t="shared" si="28"/>
        <v>568.33333333333337</v>
      </c>
      <c r="AU92" s="39">
        <f t="shared" si="29"/>
        <v>606.45416666666665</v>
      </c>
      <c r="AV92" s="39">
        <f t="shared" si="29"/>
        <v>227.18866666666665</v>
      </c>
      <c r="AW92" s="39"/>
      <c r="AX92" s="39">
        <f t="shared" si="44"/>
        <v>334883.66983333335</v>
      </c>
    </row>
    <row r="93" spans="1:50" s="335" customFormat="1" outlineLevel="1">
      <c r="A93" s="327" t="s">
        <v>51</v>
      </c>
      <c r="B93" s="327">
        <f t="shared" si="46"/>
        <v>2020</v>
      </c>
      <c r="C93" s="327" t="s">
        <v>47</v>
      </c>
      <c r="D93" s="518"/>
      <c r="E93" s="39"/>
      <c r="F93" s="39"/>
      <c r="G93" s="39">
        <f t="shared" si="34"/>
        <v>0</v>
      </c>
      <c r="H93" s="518">
        <f>SUM($G$5:G93)</f>
        <v>40186040.380000003</v>
      </c>
      <c r="I93" s="518"/>
      <c r="J93" s="614">
        <f>277049.18+4880.01</f>
        <v>281929.19</v>
      </c>
      <c r="K93" s="39">
        <f t="shared" si="10"/>
        <v>27733480.239999998</v>
      </c>
      <c r="L93" s="518"/>
      <c r="M93" s="92">
        <f t="shared" si="43"/>
        <v>12452560.140000004</v>
      </c>
      <c r="O93" s="39">
        <f t="shared" si="51"/>
        <v>13796.4</v>
      </c>
      <c r="P93" s="39">
        <f t="shared" si="51"/>
        <v>9722.28125</v>
      </c>
      <c r="Q93" s="39">
        <f t="shared" si="51"/>
        <v>12080.370666666666</v>
      </c>
      <c r="R93" s="39">
        <f t="shared" si="51"/>
        <v>15260.065666666665</v>
      </c>
      <c r="S93" s="39">
        <f t="shared" si="51"/>
        <v>15944.075000000001</v>
      </c>
      <c r="T93" s="39">
        <f t="shared" si="51"/>
        <v>17603.616250000003</v>
      </c>
      <c r="U93" s="39">
        <f t="shared" si="50"/>
        <v>10939.370833333332</v>
      </c>
      <c r="V93" s="39">
        <f t="shared" si="50"/>
        <v>15243.782083333334</v>
      </c>
      <c r="W93" s="39">
        <f t="shared" si="50"/>
        <v>11017.99425</v>
      </c>
      <c r="X93" s="39">
        <f t="shared" si="50"/>
        <v>17485.601749999998</v>
      </c>
      <c r="Y93" s="39">
        <f t="shared" si="50"/>
        <v>10890.147916666667</v>
      </c>
      <c r="Z93" s="39">
        <f t="shared" si="50"/>
        <v>7488.6954166666665</v>
      </c>
      <c r="AA93" s="39">
        <f t="shared" si="50"/>
        <v>8225.8129166666677</v>
      </c>
      <c r="AB93" s="39">
        <f t="shared" si="50"/>
        <v>8388.9866666666676</v>
      </c>
      <c r="AC93" s="39">
        <f t="shared" si="50"/>
        <v>13769.138416666667</v>
      </c>
      <c r="AD93" s="39">
        <f t="shared" si="50"/>
        <v>8700.2379166666669</v>
      </c>
      <c r="AE93" s="39">
        <f t="shared" si="50"/>
        <v>9998.3125</v>
      </c>
      <c r="AF93" s="39">
        <f t="shared" si="50"/>
        <v>10366.302666666666</v>
      </c>
      <c r="AG93" s="39">
        <f t="shared" si="50"/>
        <v>10732.562750000001</v>
      </c>
      <c r="AH93" s="39">
        <f t="shared" si="50"/>
        <v>9105.5835833333331</v>
      </c>
      <c r="AI93" s="39">
        <f t="shared" si="50"/>
        <v>10440.417416666667</v>
      </c>
      <c r="AJ93" s="39">
        <f t="shared" si="50"/>
        <v>8303.1186666666672</v>
      </c>
      <c r="AK93" s="39">
        <f t="shared" si="50"/>
        <v>8865.7425000000003</v>
      </c>
      <c r="AL93" s="39">
        <f t="shared" si="50"/>
        <v>8628.6307500000003</v>
      </c>
      <c r="AM93" s="39">
        <f t="shared" si="12"/>
        <v>5003.7696666666661</v>
      </c>
      <c r="AN93" s="39">
        <f t="shared" si="50"/>
        <v>11058.227500000001</v>
      </c>
      <c r="AO93" s="39">
        <f t="shared" si="50"/>
        <v>15030.796999999999</v>
      </c>
      <c r="AP93" s="39">
        <f t="shared" si="22"/>
        <v>11048.227083333333</v>
      </c>
      <c r="AQ93" s="518">
        <f t="shared" si="23"/>
        <v>11805.924583333333</v>
      </c>
      <c r="AR93" s="39">
        <f t="shared" si="24"/>
        <v>5757.6083333333336</v>
      </c>
      <c r="AS93" s="518">
        <f t="shared" si="26"/>
        <v>779.89166666666665</v>
      </c>
      <c r="AT93" s="39">
        <f t="shared" si="28"/>
        <v>568.33333333333337</v>
      </c>
      <c r="AU93" s="39">
        <f t="shared" si="29"/>
        <v>606.45416666666665</v>
      </c>
      <c r="AV93" s="39">
        <f t="shared" si="29"/>
        <v>227.18866666666665</v>
      </c>
      <c r="AW93" s="39"/>
      <c r="AX93" s="39">
        <f t="shared" si="44"/>
        <v>334883.66983333335</v>
      </c>
    </row>
    <row r="94" spans="1:50" s="335" customFormat="1" outlineLevel="1">
      <c r="A94" s="332" t="s">
        <v>52</v>
      </c>
      <c r="B94" s="332">
        <f t="shared" si="46"/>
        <v>2020</v>
      </c>
      <c r="C94" s="332" t="s">
        <v>47</v>
      </c>
      <c r="D94" s="212"/>
      <c r="E94" s="212"/>
      <c r="F94" s="212"/>
      <c r="G94" s="212">
        <f t="shared" si="34"/>
        <v>0</v>
      </c>
      <c r="H94" s="212">
        <f>SUM($G$5:G94)</f>
        <v>40186040.380000003</v>
      </c>
      <c r="I94" s="212"/>
      <c r="J94" s="614">
        <v>399126.59</v>
      </c>
      <c r="K94" s="212">
        <f t="shared" ref="K94:K131" si="52">K93+J94</f>
        <v>28132606.829999998</v>
      </c>
      <c r="L94" s="212"/>
      <c r="M94" s="588">
        <f t="shared" si="43"/>
        <v>12053433.550000004</v>
      </c>
      <c r="N94" s="333"/>
      <c r="O94" s="212">
        <f t="shared" si="51"/>
        <v>13796.4</v>
      </c>
      <c r="P94" s="212">
        <f t="shared" si="51"/>
        <v>9722.28125</v>
      </c>
      <c r="Q94" s="212">
        <f t="shared" si="51"/>
        <v>12080.370666666666</v>
      </c>
      <c r="R94" s="212">
        <f t="shared" si="51"/>
        <v>15260.065666666665</v>
      </c>
      <c r="S94" s="212">
        <f t="shared" si="51"/>
        <v>15944.075000000001</v>
      </c>
      <c r="T94" s="212">
        <f t="shared" si="51"/>
        <v>17603.616250000003</v>
      </c>
      <c r="U94" s="212">
        <f t="shared" si="51"/>
        <v>10939.370833333332</v>
      </c>
      <c r="V94" s="212">
        <f t="shared" si="51"/>
        <v>15243.782083333334</v>
      </c>
      <c r="W94" s="212">
        <f t="shared" si="51"/>
        <v>11017.99425</v>
      </c>
      <c r="X94" s="212">
        <f t="shared" si="51"/>
        <v>17485.601749999998</v>
      </c>
      <c r="Y94" s="212">
        <f t="shared" ref="U94:AO109" si="53">+Y93</f>
        <v>10890.147916666667</v>
      </c>
      <c r="Z94" s="212">
        <f t="shared" si="53"/>
        <v>7488.6954166666665</v>
      </c>
      <c r="AA94" s="212">
        <f t="shared" si="53"/>
        <v>8225.8129166666677</v>
      </c>
      <c r="AB94" s="212">
        <f t="shared" si="53"/>
        <v>8388.9866666666676</v>
      </c>
      <c r="AC94" s="212">
        <f t="shared" si="53"/>
        <v>13769.138416666667</v>
      </c>
      <c r="AD94" s="212">
        <f t="shared" si="53"/>
        <v>8700.2379166666669</v>
      </c>
      <c r="AE94" s="212">
        <f t="shared" si="53"/>
        <v>9998.3125</v>
      </c>
      <c r="AF94" s="212">
        <f t="shared" si="53"/>
        <v>10366.302666666666</v>
      </c>
      <c r="AG94" s="212">
        <f t="shared" ref="AG94:AO104" si="54">+AG93</f>
        <v>10732.562750000001</v>
      </c>
      <c r="AH94" s="212">
        <f t="shared" si="54"/>
        <v>9105.5835833333331</v>
      </c>
      <c r="AI94" s="212">
        <f t="shared" si="54"/>
        <v>10440.417416666667</v>
      </c>
      <c r="AJ94" s="212">
        <f t="shared" si="54"/>
        <v>8303.1186666666672</v>
      </c>
      <c r="AK94" s="212">
        <f t="shared" si="54"/>
        <v>8865.7425000000003</v>
      </c>
      <c r="AL94" s="212">
        <f t="shared" si="54"/>
        <v>8628.6307500000003</v>
      </c>
      <c r="AM94" s="212">
        <f t="shared" si="12"/>
        <v>5003.7696666666661</v>
      </c>
      <c r="AN94" s="212">
        <f t="shared" si="54"/>
        <v>11058.227500000001</v>
      </c>
      <c r="AO94" s="212">
        <f t="shared" si="54"/>
        <v>15030.796999999999</v>
      </c>
      <c r="AP94" s="212">
        <f t="shared" si="22"/>
        <v>11048.227083333333</v>
      </c>
      <c r="AQ94" s="212">
        <f t="shared" si="23"/>
        <v>11805.924583333333</v>
      </c>
      <c r="AR94" s="212">
        <f t="shared" si="24"/>
        <v>5757.6083333333336</v>
      </c>
      <c r="AS94" s="212">
        <f t="shared" si="26"/>
        <v>779.89166666666665</v>
      </c>
      <c r="AT94" s="212">
        <f t="shared" si="28"/>
        <v>568.33333333333337</v>
      </c>
      <c r="AU94" s="212">
        <f t="shared" si="29"/>
        <v>606.45416666666665</v>
      </c>
      <c r="AV94" s="212">
        <f t="shared" si="29"/>
        <v>227.18866666666665</v>
      </c>
      <c r="AW94" s="212"/>
      <c r="AX94" s="212">
        <f t="shared" si="44"/>
        <v>334883.66983333335</v>
      </c>
    </row>
    <row r="95" spans="1:50" s="335" customFormat="1" outlineLevel="1">
      <c r="A95" s="327" t="s">
        <v>53</v>
      </c>
      <c r="B95" s="327">
        <f t="shared" si="46"/>
        <v>2021</v>
      </c>
      <c r="C95" s="327" t="s">
        <v>47</v>
      </c>
      <c r="D95" s="518"/>
      <c r="E95" s="39"/>
      <c r="F95" s="39"/>
      <c r="G95" s="39">
        <f t="shared" si="34"/>
        <v>0</v>
      </c>
      <c r="H95" s="518">
        <f>SUM($G$5:G95)</f>
        <v>40186040.380000003</v>
      </c>
      <c r="I95" s="518"/>
      <c r="J95" s="614">
        <v>292987.23</v>
      </c>
      <c r="K95" s="39">
        <f t="shared" si="52"/>
        <v>28425594.059999999</v>
      </c>
      <c r="L95" s="518"/>
      <c r="M95" s="92">
        <f t="shared" si="43"/>
        <v>11760446.320000004</v>
      </c>
      <c r="O95" s="39">
        <f t="shared" si="51"/>
        <v>13796.4</v>
      </c>
      <c r="P95" s="39">
        <f t="shared" si="51"/>
        <v>9722.28125</v>
      </c>
      <c r="Q95" s="39">
        <f t="shared" si="51"/>
        <v>12080.370666666666</v>
      </c>
      <c r="R95" s="39">
        <f t="shared" si="51"/>
        <v>15260.065666666665</v>
      </c>
      <c r="S95" s="39">
        <f t="shared" si="51"/>
        <v>15944.075000000001</v>
      </c>
      <c r="T95" s="39">
        <f t="shared" si="51"/>
        <v>17603.616250000003</v>
      </c>
      <c r="U95" s="39">
        <f t="shared" si="53"/>
        <v>10939.370833333332</v>
      </c>
      <c r="V95" s="39">
        <f t="shared" si="53"/>
        <v>15243.782083333334</v>
      </c>
      <c r="W95" s="39">
        <f t="shared" si="53"/>
        <v>11017.99425</v>
      </c>
      <c r="X95" s="39">
        <f t="shared" si="53"/>
        <v>17485.601749999998</v>
      </c>
      <c r="Y95" s="39">
        <f t="shared" si="53"/>
        <v>10890.147916666667</v>
      </c>
      <c r="Z95" s="39">
        <f t="shared" si="53"/>
        <v>7488.6954166666665</v>
      </c>
      <c r="AA95" s="39">
        <f t="shared" si="53"/>
        <v>8225.8129166666677</v>
      </c>
      <c r="AB95" s="39">
        <f t="shared" si="53"/>
        <v>8388.9866666666676</v>
      </c>
      <c r="AC95" s="39">
        <f t="shared" si="53"/>
        <v>13769.138416666667</v>
      </c>
      <c r="AD95" s="39">
        <f t="shared" si="53"/>
        <v>8700.2379166666669</v>
      </c>
      <c r="AE95" s="39">
        <f t="shared" si="53"/>
        <v>9998.3125</v>
      </c>
      <c r="AF95" s="39">
        <f t="shared" si="53"/>
        <v>10366.302666666666</v>
      </c>
      <c r="AG95" s="39">
        <f t="shared" si="54"/>
        <v>10732.562750000001</v>
      </c>
      <c r="AH95" s="39">
        <f t="shared" si="54"/>
        <v>9105.5835833333331</v>
      </c>
      <c r="AI95" s="39">
        <f t="shared" si="54"/>
        <v>10440.417416666667</v>
      </c>
      <c r="AJ95" s="39">
        <f t="shared" si="54"/>
        <v>8303.1186666666672</v>
      </c>
      <c r="AK95" s="39">
        <f t="shared" si="54"/>
        <v>8865.7425000000003</v>
      </c>
      <c r="AL95" s="39">
        <f t="shared" si="54"/>
        <v>8628.6307500000003</v>
      </c>
      <c r="AM95" s="518">
        <f t="shared" ref="AM95:AM148" si="55">AM94</f>
        <v>5003.7696666666661</v>
      </c>
      <c r="AN95" s="39">
        <f t="shared" si="54"/>
        <v>11058.227500000001</v>
      </c>
      <c r="AO95" s="39">
        <f t="shared" si="54"/>
        <v>15030.796999999999</v>
      </c>
      <c r="AP95" s="39">
        <f t="shared" si="22"/>
        <v>11048.227083333333</v>
      </c>
      <c r="AQ95" s="518">
        <f t="shared" si="23"/>
        <v>11805.924583333333</v>
      </c>
      <c r="AR95" s="39">
        <f t="shared" si="24"/>
        <v>5757.6083333333336</v>
      </c>
      <c r="AS95" s="518">
        <f t="shared" si="26"/>
        <v>779.89166666666665</v>
      </c>
      <c r="AT95" s="39">
        <f t="shared" si="28"/>
        <v>568.33333333333337</v>
      </c>
      <c r="AU95" s="39">
        <f t="shared" si="29"/>
        <v>606.45416666666665</v>
      </c>
      <c r="AV95" s="39">
        <f t="shared" si="29"/>
        <v>227.18866666666665</v>
      </c>
      <c r="AW95" s="39"/>
      <c r="AX95" s="39">
        <f t="shared" si="44"/>
        <v>334883.66983333335</v>
      </c>
    </row>
    <row r="96" spans="1:50" s="335" customFormat="1" outlineLevel="1">
      <c r="A96" s="327" t="s">
        <v>54</v>
      </c>
      <c r="B96" s="327">
        <f t="shared" si="46"/>
        <v>2021</v>
      </c>
      <c r="C96" s="327" t="s">
        <v>47</v>
      </c>
      <c r="D96" s="518"/>
      <c r="E96" s="39"/>
      <c r="F96" s="39"/>
      <c r="G96" s="39">
        <f t="shared" si="34"/>
        <v>0</v>
      </c>
      <c r="H96" s="518">
        <f>SUM($G$5:G96)</f>
        <v>40186040.380000003</v>
      </c>
      <c r="I96" s="518"/>
      <c r="J96" s="614">
        <v>292940.17</v>
      </c>
      <c r="K96" s="39">
        <f t="shared" si="52"/>
        <v>28718534.23</v>
      </c>
      <c r="L96" s="518"/>
      <c r="M96" s="92">
        <f t="shared" si="43"/>
        <v>11467506.150000002</v>
      </c>
      <c r="O96" s="39">
        <f t="shared" si="51"/>
        <v>13796.4</v>
      </c>
      <c r="P96" s="39">
        <f t="shared" si="51"/>
        <v>9722.28125</v>
      </c>
      <c r="Q96" s="39">
        <f t="shared" si="51"/>
        <v>12080.370666666666</v>
      </c>
      <c r="R96" s="39">
        <f t="shared" si="51"/>
        <v>15260.065666666665</v>
      </c>
      <c r="S96" s="39">
        <f t="shared" si="51"/>
        <v>15944.075000000001</v>
      </c>
      <c r="T96" s="39">
        <f t="shared" si="51"/>
        <v>17603.616250000003</v>
      </c>
      <c r="U96" s="39">
        <f t="shared" si="53"/>
        <v>10939.370833333332</v>
      </c>
      <c r="V96" s="39">
        <f t="shared" si="53"/>
        <v>15243.782083333334</v>
      </c>
      <c r="W96" s="39">
        <f t="shared" si="53"/>
        <v>11017.99425</v>
      </c>
      <c r="X96" s="39">
        <f t="shared" si="53"/>
        <v>17485.601749999998</v>
      </c>
      <c r="Y96" s="39">
        <f t="shared" si="53"/>
        <v>10890.147916666667</v>
      </c>
      <c r="Z96" s="39">
        <f t="shared" si="53"/>
        <v>7488.6954166666665</v>
      </c>
      <c r="AA96" s="39">
        <f t="shared" si="53"/>
        <v>8225.8129166666677</v>
      </c>
      <c r="AB96" s="39">
        <f t="shared" si="53"/>
        <v>8388.9866666666676</v>
      </c>
      <c r="AC96" s="39">
        <f t="shared" si="53"/>
        <v>13769.138416666667</v>
      </c>
      <c r="AD96" s="39">
        <f t="shared" si="53"/>
        <v>8700.2379166666669</v>
      </c>
      <c r="AE96" s="39">
        <f t="shared" si="53"/>
        <v>9998.3125</v>
      </c>
      <c r="AF96" s="39">
        <f t="shared" si="53"/>
        <v>10366.302666666666</v>
      </c>
      <c r="AG96" s="39">
        <f t="shared" si="54"/>
        <v>10732.562750000001</v>
      </c>
      <c r="AH96" s="39">
        <f t="shared" si="54"/>
        <v>9105.5835833333331</v>
      </c>
      <c r="AI96" s="39">
        <f t="shared" si="54"/>
        <v>10440.417416666667</v>
      </c>
      <c r="AJ96" s="39">
        <f t="shared" si="54"/>
        <v>8303.1186666666672</v>
      </c>
      <c r="AK96" s="39">
        <f t="shared" si="54"/>
        <v>8865.7425000000003</v>
      </c>
      <c r="AL96" s="39">
        <f t="shared" si="54"/>
        <v>8628.6307500000003</v>
      </c>
      <c r="AM96" s="39">
        <f t="shared" si="55"/>
        <v>5003.7696666666661</v>
      </c>
      <c r="AN96" s="39">
        <f t="shared" si="54"/>
        <v>11058.227500000001</v>
      </c>
      <c r="AO96" s="39">
        <f t="shared" si="54"/>
        <v>15030.796999999999</v>
      </c>
      <c r="AP96" s="39">
        <f t="shared" si="22"/>
        <v>11048.227083333333</v>
      </c>
      <c r="AQ96" s="518">
        <f t="shared" si="23"/>
        <v>11805.924583333333</v>
      </c>
      <c r="AR96" s="39">
        <f t="shared" si="24"/>
        <v>5757.6083333333336</v>
      </c>
      <c r="AS96" s="518">
        <f t="shared" si="26"/>
        <v>779.89166666666665</v>
      </c>
      <c r="AT96" s="39">
        <f t="shared" si="28"/>
        <v>568.33333333333337</v>
      </c>
      <c r="AU96" s="39">
        <f t="shared" si="29"/>
        <v>606.45416666666665</v>
      </c>
      <c r="AV96" s="39">
        <f t="shared" si="29"/>
        <v>227.18866666666665</v>
      </c>
      <c r="AW96" s="39"/>
      <c r="AX96" s="39">
        <f t="shared" si="44"/>
        <v>334883.66983333335</v>
      </c>
    </row>
    <row r="97" spans="1:50" s="335" customFormat="1" outlineLevel="1">
      <c r="A97" s="327" t="s">
        <v>55</v>
      </c>
      <c r="B97" s="327">
        <f t="shared" si="46"/>
        <v>2021</v>
      </c>
      <c r="C97" s="327" t="s">
        <v>47</v>
      </c>
      <c r="D97" s="518"/>
      <c r="E97" s="39"/>
      <c r="F97" s="39"/>
      <c r="G97" s="39">
        <f t="shared" si="34"/>
        <v>0</v>
      </c>
      <c r="H97" s="518">
        <f>SUM($G$5:G97)</f>
        <v>40186040.380000003</v>
      </c>
      <c r="I97" s="518"/>
      <c r="J97" s="614">
        <v>352184.12</v>
      </c>
      <c r="K97" s="39">
        <f t="shared" si="52"/>
        <v>29070718.350000001</v>
      </c>
      <c r="L97" s="518"/>
      <c r="M97" s="92">
        <f t="shared" si="43"/>
        <v>11115322.030000001</v>
      </c>
      <c r="O97" s="39">
        <f t="shared" si="51"/>
        <v>13796.4</v>
      </c>
      <c r="P97" s="39">
        <f t="shared" si="51"/>
        <v>9722.28125</v>
      </c>
      <c r="Q97" s="39">
        <f t="shared" si="51"/>
        <v>12080.370666666666</v>
      </c>
      <c r="R97" s="39">
        <f t="shared" si="51"/>
        <v>15260.065666666665</v>
      </c>
      <c r="S97" s="39">
        <f t="shared" si="51"/>
        <v>15944.075000000001</v>
      </c>
      <c r="T97" s="39">
        <f t="shared" si="51"/>
        <v>17603.616250000003</v>
      </c>
      <c r="U97" s="39">
        <f t="shared" si="53"/>
        <v>10939.370833333332</v>
      </c>
      <c r="V97" s="39">
        <f t="shared" si="53"/>
        <v>15243.782083333334</v>
      </c>
      <c r="W97" s="39">
        <f t="shared" si="53"/>
        <v>11017.99425</v>
      </c>
      <c r="X97" s="39">
        <f t="shared" si="53"/>
        <v>17485.601749999998</v>
      </c>
      <c r="Y97" s="39">
        <f t="shared" si="53"/>
        <v>10890.147916666667</v>
      </c>
      <c r="Z97" s="39">
        <f t="shared" si="53"/>
        <v>7488.6954166666665</v>
      </c>
      <c r="AA97" s="39">
        <f t="shared" si="53"/>
        <v>8225.8129166666677</v>
      </c>
      <c r="AB97" s="39">
        <f t="shared" si="53"/>
        <v>8388.9866666666676</v>
      </c>
      <c r="AC97" s="39">
        <f t="shared" si="53"/>
        <v>13769.138416666667</v>
      </c>
      <c r="AD97" s="39">
        <f t="shared" si="53"/>
        <v>8700.2379166666669</v>
      </c>
      <c r="AE97" s="39">
        <f t="shared" si="53"/>
        <v>9998.3125</v>
      </c>
      <c r="AF97" s="39">
        <f t="shared" si="53"/>
        <v>10366.302666666666</v>
      </c>
      <c r="AG97" s="39">
        <f t="shared" si="54"/>
        <v>10732.562750000001</v>
      </c>
      <c r="AH97" s="39">
        <f t="shared" si="54"/>
        <v>9105.5835833333331</v>
      </c>
      <c r="AI97" s="39">
        <f t="shared" si="54"/>
        <v>10440.417416666667</v>
      </c>
      <c r="AJ97" s="39">
        <f t="shared" si="54"/>
        <v>8303.1186666666672</v>
      </c>
      <c r="AK97" s="39">
        <f t="shared" si="54"/>
        <v>8865.7425000000003</v>
      </c>
      <c r="AL97" s="39">
        <f t="shared" si="54"/>
        <v>8628.6307500000003</v>
      </c>
      <c r="AM97" s="39">
        <f t="shared" si="55"/>
        <v>5003.7696666666661</v>
      </c>
      <c r="AN97" s="39">
        <f t="shared" si="54"/>
        <v>11058.227500000001</v>
      </c>
      <c r="AO97" s="39">
        <f t="shared" si="54"/>
        <v>15030.796999999999</v>
      </c>
      <c r="AP97" s="39">
        <f t="shared" si="22"/>
        <v>11048.227083333333</v>
      </c>
      <c r="AQ97" s="518">
        <f t="shared" si="23"/>
        <v>11805.924583333333</v>
      </c>
      <c r="AR97" s="39">
        <f t="shared" si="24"/>
        <v>5757.6083333333336</v>
      </c>
      <c r="AS97" s="518">
        <f t="shared" si="26"/>
        <v>779.89166666666665</v>
      </c>
      <c r="AT97" s="39">
        <f t="shared" si="28"/>
        <v>568.33333333333337</v>
      </c>
      <c r="AU97" s="39">
        <f t="shared" si="29"/>
        <v>606.45416666666665</v>
      </c>
      <c r="AV97" s="39">
        <f t="shared" si="29"/>
        <v>227.18866666666665</v>
      </c>
      <c r="AW97" s="39"/>
      <c r="AX97" s="39">
        <f t="shared" si="44"/>
        <v>334883.66983333335</v>
      </c>
    </row>
    <row r="98" spans="1:50" s="335" customFormat="1" outlineLevel="1">
      <c r="A98" s="327" t="s">
        <v>56</v>
      </c>
      <c r="B98" s="327">
        <f t="shared" si="46"/>
        <v>2021</v>
      </c>
      <c r="C98" s="327" t="s">
        <v>47</v>
      </c>
      <c r="D98" s="518"/>
      <c r="E98" s="39"/>
      <c r="F98" s="39"/>
      <c r="G98" s="39">
        <f t="shared" si="34"/>
        <v>0</v>
      </c>
      <c r="H98" s="518">
        <f>SUM($G$5:G98)</f>
        <v>40186040.380000003</v>
      </c>
      <c r="I98" s="518"/>
      <c r="J98" s="614">
        <v>315852.26</v>
      </c>
      <c r="K98" s="39">
        <f t="shared" si="52"/>
        <v>29386570.610000003</v>
      </c>
      <c r="L98" s="518"/>
      <c r="M98" s="92">
        <f t="shared" si="43"/>
        <v>10799469.77</v>
      </c>
      <c r="O98" s="39">
        <f t="shared" si="51"/>
        <v>13796.4</v>
      </c>
      <c r="P98" s="39">
        <f t="shared" si="51"/>
        <v>9722.28125</v>
      </c>
      <c r="Q98" s="39">
        <f t="shared" si="51"/>
        <v>12080.370666666666</v>
      </c>
      <c r="R98" s="39">
        <f t="shared" si="51"/>
        <v>15260.065666666665</v>
      </c>
      <c r="S98" s="39">
        <f t="shared" si="51"/>
        <v>15944.075000000001</v>
      </c>
      <c r="T98" s="39">
        <f t="shared" si="51"/>
        <v>17603.616250000003</v>
      </c>
      <c r="U98" s="39">
        <f t="shared" si="53"/>
        <v>10939.370833333332</v>
      </c>
      <c r="V98" s="39">
        <f t="shared" si="53"/>
        <v>15243.782083333334</v>
      </c>
      <c r="W98" s="39">
        <f t="shared" si="53"/>
        <v>11017.99425</v>
      </c>
      <c r="X98" s="39">
        <f t="shared" si="53"/>
        <v>17485.601749999998</v>
      </c>
      <c r="Y98" s="39">
        <f t="shared" si="53"/>
        <v>10890.147916666667</v>
      </c>
      <c r="Z98" s="39">
        <f t="shared" si="53"/>
        <v>7488.6954166666665</v>
      </c>
      <c r="AA98" s="39">
        <f t="shared" si="53"/>
        <v>8225.8129166666677</v>
      </c>
      <c r="AB98" s="39">
        <f t="shared" si="53"/>
        <v>8388.9866666666676</v>
      </c>
      <c r="AC98" s="39">
        <f t="shared" si="53"/>
        <v>13769.138416666667</v>
      </c>
      <c r="AD98" s="39">
        <f t="shared" si="53"/>
        <v>8700.2379166666669</v>
      </c>
      <c r="AE98" s="39">
        <f t="shared" si="53"/>
        <v>9998.3125</v>
      </c>
      <c r="AF98" s="39">
        <f t="shared" si="53"/>
        <v>10366.302666666666</v>
      </c>
      <c r="AG98" s="39">
        <f t="shared" si="54"/>
        <v>10732.562750000001</v>
      </c>
      <c r="AH98" s="39">
        <f t="shared" si="54"/>
        <v>9105.5835833333331</v>
      </c>
      <c r="AI98" s="39">
        <f t="shared" si="54"/>
        <v>10440.417416666667</v>
      </c>
      <c r="AJ98" s="39">
        <f t="shared" si="54"/>
        <v>8303.1186666666672</v>
      </c>
      <c r="AK98" s="39">
        <f t="shared" si="54"/>
        <v>8865.7425000000003</v>
      </c>
      <c r="AL98" s="39">
        <f t="shared" si="54"/>
        <v>8628.6307500000003</v>
      </c>
      <c r="AM98" s="39">
        <f t="shared" si="55"/>
        <v>5003.7696666666661</v>
      </c>
      <c r="AN98" s="39">
        <f t="shared" si="54"/>
        <v>11058.227500000001</v>
      </c>
      <c r="AO98" s="39">
        <f t="shared" si="54"/>
        <v>15030.796999999999</v>
      </c>
      <c r="AP98" s="39">
        <f t="shared" ref="AP98:AP151" si="56">AP97</f>
        <v>11048.227083333333</v>
      </c>
      <c r="AQ98" s="518">
        <f t="shared" si="23"/>
        <v>11805.924583333333</v>
      </c>
      <c r="AR98" s="39">
        <f t="shared" si="24"/>
        <v>5757.6083333333336</v>
      </c>
      <c r="AS98" s="518">
        <f t="shared" si="26"/>
        <v>779.89166666666665</v>
      </c>
      <c r="AT98" s="39">
        <f t="shared" si="28"/>
        <v>568.33333333333337</v>
      </c>
      <c r="AU98" s="39">
        <f t="shared" si="29"/>
        <v>606.45416666666665</v>
      </c>
      <c r="AV98" s="39">
        <f t="shared" si="29"/>
        <v>227.18866666666665</v>
      </c>
      <c r="AW98" s="39"/>
      <c r="AX98" s="39">
        <f t="shared" si="44"/>
        <v>334883.66983333335</v>
      </c>
    </row>
    <row r="99" spans="1:50" s="335" customFormat="1" outlineLevel="1">
      <c r="A99" s="327" t="s">
        <v>57</v>
      </c>
      <c r="B99" s="327">
        <f t="shared" si="46"/>
        <v>2021</v>
      </c>
      <c r="C99" s="327" t="s">
        <v>47</v>
      </c>
      <c r="D99" s="518"/>
      <c r="E99" s="39"/>
      <c r="F99" s="39"/>
      <c r="G99" s="39">
        <f t="shared" si="34"/>
        <v>0</v>
      </c>
      <c r="H99" s="518">
        <f>SUM($G$5:G99)</f>
        <v>40186040.380000003</v>
      </c>
      <c r="I99" s="518"/>
      <c r="J99" s="614">
        <v>322602.99</v>
      </c>
      <c r="K99" s="39">
        <f t="shared" si="52"/>
        <v>29709173.600000001</v>
      </c>
      <c r="L99" s="518"/>
      <c r="M99" s="92">
        <f t="shared" si="43"/>
        <v>10476866.780000001</v>
      </c>
      <c r="O99" s="39">
        <f t="shared" si="51"/>
        <v>13796.4</v>
      </c>
      <c r="P99" s="39">
        <f t="shared" si="51"/>
        <v>9722.28125</v>
      </c>
      <c r="Q99" s="39">
        <f t="shared" si="51"/>
        <v>12080.370666666666</v>
      </c>
      <c r="R99" s="39">
        <f t="shared" si="51"/>
        <v>15260.065666666665</v>
      </c>
      <c r="S99" s="39">
        <f t="shared" si="51"/>
        <v>15944.075000000001</v>
      </c>
      <c r="T99" s="39">
        <f t="shared" si="51"/>
        <v>17603.616250000003</v>
      </c>
      <c r="U99" s="39">
        <f t="shared" si="53"/>
        <v>10939.370833333332</v>
      </c>
      <c r="V99" s="39">
        <f t="shared" si="53"/>
        <v>15243.782083333334</v>
      </c>
      <c r="W99" s="39">
        <f t="shared" si="53"/>
        <v>11017.99425</v>
      </c>
      <c r="X99" s="39">
        <f t="shared" si="53"/>
        <v>17485.601749999998</v>
      </c>
      <c r="Y99" s="39">
        <f t="shared" si="53"/>
        <v>10890.147916666667</v>
      </c>
      <c r="Z99" s="39">
        <f t="shared" si="53"/>
        <v>7488.6954166666665</v>
      </c>
      <c r="AA99" s="39">
        <f t="shared" si="53"/>
        <v>8225.8129166666677</v>
      </c>
      <c r="AB99" s="39">
        <f t="shared" si="53"/>
        <v>8388.9866666666676</v>
      </c>
      <c r="AC99" s="39">
        <f t="shared" si="53"/>
        <v>13769.138416666667</v>
      </c>
      <c r="AD99" s="39">
        <f t="shared" si="53"/>
        <v>8700.2379166666669</v>
      </c>
      <c r="AE99" s="39">
        <f t="shared" si="53"/>
        <v>9998.3125</v>
      </c>
      <c r="AF99" s="39">
        <f t="shared" si="53"/>
        <v>10366.302666666666</v>
      </c>
      <c r="AG99" s="39">
        <f t="shared" si="53"/>
        <v>10732.562750000001</v>
      </c>
      <c r="AH99" s="39">
        <f t="shared" si="53"/>
        <v>9105.5835833333331</v>
      </c>
      <c r="AI99" s="39">
        <f t="shared" si="53"/>
        <v>10440.417416666667</v>
      </c>
      <c r="AJ99" s="39">
        <f t="shared" si="53"/>
        <v>8303.1186666666672</v>
      </c>
      <c r="AK99" s="39">
        <f t="shared" si="54"/>
        <v>8865.7425000000003</v>
      </c>
      <c r="AL99" s="39">
        <f t="shared" si="54"/>
        <v>8628.6307500000003</v>
      </c>
      <c r="AM99" s="39">
        <f t="shared" si="55"/>
        <v>5003.7696666666661</v>
      </c>
      <c r="AN99" s="39">
        <f t="shared" si="54"/>
        <v>11058.227500000001</v>
      </c>
      <c r="AO99" s="39">
        <f t="shared" si="54"/>
        <v>15030.796999999999</v>
      </c>
      <c r="AP99" s="39">
        <f t="shared" si="56"/>
        <v>11048.227083333333</v>
      </c>
      <c r="AQ99" s="518">
        <f t="shared" ref="AQ99:AQ152" si="57">AQ98</f>
        <v>11805.924583333333</v>
      </c>
      <c r="AR99" s="39">
        <f t="shared" si="24"/>
        <v>5757.6083333333336</v>
      </c>
      <c r="AS99" s="518">
        <f t="shared" si="26"/>
        <v>779.89166666666665</v>
      </c>
      <c r="AT99" s="39">
        <f t="shared" si="28"/>
        <v>568.33333333333337</v>
      </c>
      <c r="AU99" s="39">
        <f t="shared" si="29"/>
        <v>606.45416666666665</v>
      </c>
      <c r="AV99" s="39">
        <f t="shared" si="29"/>
        <v>227.18866666666665</v>
      </c>
      <c r="AW99" s="39"/>
      <c r="AX99" s="39">
        <f t="shared" si="44"/>
        <v>334883.66983333335</v>
      </c>
    </row>
    <row r="100" spans="1:50" s="335" customFormat="1" outlineLevel="1">
      <c r="A100" s="327" t="s">
        <v>58</v>
      </c>
      <c r="B100" s="327">
        <f t="shared" si="46"/>
        <v>2021</v>
      </c>
      <c r="C100" s="327" t="s">
        <v>47</v>
      </c>
      <c r="D100" s="518"/>
      <c r="E100" s="39"/>
      <c r="F100" s="39"/>
      <c r="G100" s="39">
        <f t="shared" si="34"/>
        <v>0</v>
      </c>
      <c r="H100" s="518">
        <f>SUM($G$5:G100)</f>
        <v>40186040.380000003</v>
      </c>
      <c r="I100" s="518"/>
      <c r="J100" s="614">
        <v>339923.01</v>
      </c>
      <c r="K100" s="39">
        <f t="shared" si="52"/>
        <v>30049096.610000003</v>
      </c>
      <c r="L100" s="518"/>
      <c r="M100" s="92">
        <f t="shared" si="43"/>
        <v>10136943.77</v>
      </c>
      <c r="O100" s="39">
        <f t="shared" si="51"/>
        <v>13796.4</v>
      </c>
      <c r="P100" s="39">
        <f t="shared" si="51"/>
        <v>9722.28125</v>
      </c>
      <c r="Q100" s="39">
        <f t="shared" si="51"/>
        <v>12080.370666666666</v>
      </c>
      <c r="R100" s="39">
        <f t="shared" si="51"/>
        <v>15260.065666666665</v>
      </c>
      <c r="S100" s="39">
        <f t="shared" si="51"/>
        <v>15944.075000000001</v>
      </c>
      <c r="T100" s="39">
        <f t="shared" si="51"/>
        <v>17603.616250000003</v>
      </c>
      <c r="U100" s="39">
        <f t="shared" si="53"/>
        <v>10939.370833333332</v>
      </c>
      <c r="V100" s="39">
        <f t="shared" si="53"/>
        <v>15243.782083333334</v>
      </c>
      <c r="W100" s="39">
        <f t="shared" si="53"/>
        <v>11017.99425</v>
      </c>
      <c r="X100" s="39">
        <f t="shared" si="53"/>
        <v>17485.601749999998</v>
      </c>
      <c r="Y100" s="39">
        <f t="shared" si="53"/>
        <v>10890.147916666667</v>
      </c>
      <c r="Z100" s="39">
        <f t="shared" si="53"/>
        <v>7488.6954166666665</v>
      </c>
      <c r="AA100" s="39">
        <f t="shared" si="53"/>
        <v>8225.8129166666677</v>
      </c>
      <c r="AB100" s="39">
        <f t="shared" si="53"/>
        <v>8388.9866666666676</v>
      </c>
      <c r="AC100" s="39">
        <f t="shared" si="53"/>
        <v>13769.138416666667</v>
      </c>
      <c r="AD100" s="39">
        <f t="shared" si="53"/>
        <v>8700.2379166666669</v>
      </c>
      <c r="AE100" s="39">
        <f t="shared" si="53"/>
        <v>9998.3125</v>
      </c>
      <c r="AF100" s="39">
        <f t="shared" si="53"/>
        <v>10366.302666666666</v>
      </c>
      <c r="AG100" s="39">
        <f t="shared" si="54"/>
        <v>10732.562750000001</v>
      </c>
      <c r="AH100" s="39">
        <f t="shared" si="54"/>
        <v>9105.5835833333331</v>
      </c>
      <c r="AI100" s="39">
        <f t="shared" si="54"/>
        <v>10440.417416666667</v>
      </c>
      <c r="AJ100" s="39">
        <f t="shared" si="54"/>
        <v>8303.1186666666672</v>
      </c>
      <c r="AK100" s="39">
        <f t="shared" si="54"/>
        <v>8865.7425000000003</v>
      </c>
      <c r="AL100" s="39">
        <f t="shared" si="54"/>
        <v>8628.6307500000003</v>
      </c>
      <c r="AM100" s="39">
        <f t="shared" si="55"/>
        <v>5003.7696666666661</v>
      </c>
      <c r="AN100" s="39">
        <f t="shared" si="54"/>
        <v>11058.227500000001</v>
      </c>
      <c r="AO100" s="39">
        <f t="shared" si="54"/>
        <v>15030.796999999999</v>
      </c>
      <c r="AP100" s="39">
        <f t="shared" si="56"/>
        <v>11048.227083333333</v>
      </c>
      <c r="AQ100" s="518">
        <f t="shared" si="57"/>
        <v>11805.924583333333</v>
      </c>
      <c r="AR100" s="39">
        <f t="shared" ref="AR100:AR153" si="58">AR99</f>
        <v>5757.6083333333336</v>
      </c>
      <c r="AS100" s="518">
        <f t="shared" si="26"/>
        <v>779.89166666666665</v>
      </c>
      <c r="AT100" s="39">
        <f t="shared" si="28"/>
        <v>568.33333333333337</v>
      </c>
      <c r="AU100" s="39">
        <f t="shared" si="29"/>
        <v>606.45416666666665</v>
      </c>
      <c r="AV100" s="39">
        <f t="shared" si="29"/>
        <v>227.18866666666665</v>
      </c>
      <c r="AW100" s="39"/>
      <c r="AX100" s="39">
        <f t="shared" si="44"/>
        <v>334883.66983333335</v>
      </c>
    </row>
    <row r="101" spans="1:50" s="335" customFormat="1" outlineLevel="1">
      <c r="A101" s="327" t="s">
        <v>59</v>
      </c>
      <c r="B101" s="327">
        <f t="shared" si="46"/>
        <v>2021</v>
      </c>
      <c r="C101" s="327" t="s">
        <v>47</v>
      </c>
      <c r="D101" s="518"/>
      <c r="E101" s="39"/>
      <c r="F101" s="39"/>
      <c r="G101" s="39">
        <f t="shared" si="34"/>
        <v>0</v>
      </c>
      <c r="H101" s="518">
        <f>SUM($G$5:G101)</f>
        <v>40186040.380000003</v>
      </c>
      <c r="I101" s="518"/>
      <c r="J101" s="614">
        <v>336537.01</v>
      </c>
      <c r="K101" s="39">
        <f t="shared" si="52"/>
        <v>30385633.620000005</v>
      </c>
      <c r="L101" s="518"/>
      <c r="M101" s="92">
        <f t="shared" ref="M101:M131" si="59">+H101-K101</f>
        <v>9800406.7599999979</v>
      </c>
      <c r="O101" s="39">
        <f t="shared" si="51"/>
        <v>13796.4</v>
      </c>
      <c r="P101" s="39">
        <f t="shared" si="51"/>
        <v>9722.28125</v>
      </c>
      <c r="Q101" s="39">
        <f t="shared" si="51"/>
        <v>12080.370666666666</v>
      </c>
      <c r="R101" s="39">
        <f t="shared" si="51"/>
        <v>15260.065666666665</v>
      </c>
      <c r="S101" s="39">
        <f t="shared" si="51"/>
        <v>15944.075000000001</v>
      </c>
      <c r="T101" s="39">
        <f t="shared" si="51"/>
        <v>17603.616250000003</v>
      </c>
      <c r="U101" s="39">
        <f t="shared" si="53"/>
        <v>10939.370833333332</v>
      </c>
      <c r="V101" s="39">
        <f t="shared" si="53"/>
        <v>15243.782083333334</v>
      </c>
      <c r="W101" s="39">
        <f t="shared" si="53"/>
        <v>11017.99425</v>
      </c>
      <c r="X101" s="39">
        <f t="shared" si="53"/>
        <v>17485.601749999998</v>
      </c>
      <c r="Y101" s="39">
        <f t="shared" si="53"/>
        <v>10890.147916666667</v>
      </c>
      <c r="Z101" s="39">
        <f t="shared" si="53"/>
        <v>7488.6954166666665</v>
      </c>
      <c r="AA101" s="39">
        <f t="shared" si="53"/>
        <v>8225.8129166666677</v>
      </c>
      <c r="AB101" s="39">
        <f t="shared" si="53"/>
        <v>8388.9866666666676</v>
      </c>
      <c r="AC101" s="39">
        <f t="shared" si="53"/>
        <v>13769.138416666667</v>
      </c>
      <c r="AD101" s="39">
        <f t="shared" si="53"/>
        <v>8700.2379166666669</v>
      </c>
      <c r="AE101" s="39">
        <f t="shared" si="53"/>
        <v>9998.3125</v>
      </c>
      <c r="AF101" s="39">
        <f t="shared" si="53"/>
        <v>10366.302666666666</v>
      </c>
      <c r="AG101" s="39">
        <f t="shared" si="54"/>
        <v>10732.562750000001</v>
      </c>
      <c r="AH101" s="39">
        <f t="shared" si="54"/>
        <v>9105.5835833333331</v>
      </c>
      <c r="AI101" s="39">
        <f t="shared" si="54"/>
        <v>10440.417416666667</v>
      </c>
      <c r="AJ101" s="39">
        <f t="shared" si="54"/>
        <v>8303.1186666666672</v>
      </c>
      <c r="AK101" s="39">
        <f t="shared" si="54"/>
        <v>8865.7425000000003</v>
      </c>
      <c r="AL101" s="39">
        <f t="shared" si="54"/>
        <v>8628.6307500000003</v>
      </c>
      <c r="AM101" s="39">
        <f t="shared" si="55"/>
        <v>5003.7696666666661</v>
      </c>
      <c r="AN101" s="39">
        <f t="shared" si="54"/>
        <v>11058.227500000001</v>
      </c>
      <c r="AO101" s="39">
        <f t="shared" si="54"/>
        <v>15030.796999999999</v>
      </c>
      <c r="AP101" s="39">
        <f t="shared" si="56"/>
        <v>11048.227083333333</v>
      </c>
      <c r="AQ101" s="518">
        <f t="shared" si="57"/>
        <v>11805.924583333333</v>
      </c>
      <c r="AR101" s="39">
        <f t="shared" si="58"/>
        <v>5757.6083333333336</v>
      </c>
      <c r="AS101" s="518">
        <f t="shared" ref="AS101:AS154" si="60">AS100</f>
        <v>779.89166666666665</v>
      </c>
      <c r="AT101" s="39">
        <f t="shared" si="28"/>
        <v>568.33333333333337</v>
      </c>
      <c r="AU101" s="39">
        <f t="shared" si="29"/>
        <v>606.45416666666665</v>
      </c>
      <c r="AV101" s="39">
        <f t="shared" si="29"/>
        <v>227.18866666666665</v>
      </c>
      <c r="AW101" s="39"/>
      <c r="AX101" s="39">
        <f t="shared" ref="AX101:AX132" si="61">SUM(O101:AV101)</f>
        <v>334883.66983333335</v>
      </c>
    </row>
    <row r="102" spans="1:50" s="335" customFormat="1" outlineLevel="1">
      <c r="A102" s="327" t="s">
        <v>46</v>
      </c>
      <c r="B102" s="327">
        <f t="shared" si="46"/>
        <v>2021</v>
      </c>
      <c r="C102" s="327" t="s">
        <v>47</v>
      </c>
      <c r="D102" s="518"/>
      <c r="E102" s="39"/>
      <c r="F102" s="39"/>
      <c r="G102" s="39">
        <f t="shared" si="34"/>
        <v>0</v>
      </c>
      <c r="H102" s="518">
        <f>SUM($G$5:G102)</f>
        <v>40186040.380000003</v>
      </c>
      <c r="I102" s="518"/>
      <c r="J102" s="614">
        <v>356482.26</v>
      </c>
      <c r="K102" s="39">
        <f t="shared" si="52"/>
        <v>30742115.880000006</v>
      </c>
      <c r="L102" s="518"/>
      <c r="M102" s="92">
        <f t="shared" si="59"/>
        <v>9443924.4999999963</v>
      </c>
      <c r="O102" s="39">
        <f t="shared" ref="O102:X117" si="62">+O101</f>
        <v>13796.4</v>
      </c>
      <c r="P102" s="39">
        <f t="shared" si="62"/>
        <v>9722.28125</v>
      </c>
      <c r="Q102" s="39">
        <f t="shared" si="62"/>
        <v>12080.370666666666</v>
      </c>
      <c r="R102" s="39">
        <f t="shared" si="62"/>
        <v>15260.065666666665</v>
      </c>
      <c r="S102" s="39">
        <f t="shared" si="62"/>
        <v>15944.075000000001</v>
      </c>
      <c r="T102" s="39">
        <f t="shared" si="62"/>
        <v>17603.616250000003</v>
      </c>
      <c r="U102" s="39">
        <f t="shared" si="53"/>
        <v>10939.370833333332</v>
      </c>
      <c r="V102" s="39">
        <f t="shared" si="53"/>
        <v>15243.782083333334</v>
      </c>
      <c r="W102" s="39">
        <f t="shared" si="53"/>
        <v>11017.99425</v>
      </c>
      <c r="X102" s="39">
        <f t="shared" si="53"/>
        <v>17485.601749999998</v>
      </c>
      <c r="Y102" s="39">
        <f t="shared" si="53"/>
        <v>10890.147916666667</v>
      </c>
      <c r="Z102" s="39">
        <f t="shared" si="53"/>
        <v>7488.6954166666665</v>
      </c>
      <c r="AA102" s="39">
        <f t="shared" si="53"/>
        <v>8225.8129166666677</v>
      </c>
      <c r="AB102" s="39">
        <f t="shared" si="53"/>
        <v>8388.9866666666676</v>
      </c>
      <c r="AC102" s="39">
        <f t="shared" si="53"/>
        <v>13769.138416666667</v>
      </c>
      <c r="AD102" s="39">
        <f t="shared" si="53"/>
        <v>8700.2379166666669</v>
      </c>
      <c r="AE102" s="39">
        <f t="shared" si="53"/>
        <v>9998.3125</v>
      </c>
      <c r="AF102" s="39">
        <f t="shared" si="53"/>
        <v>10366.302666666666</v>
      </c>
      <c r="AG102" s="39">
        <f t="shared" si="54"/>
        <v>10732.562750000001</v>
      </c>
      <c r="AH102" s="39">
        <f t="shared" si="54"/>
        <v>9105.5835833333331</v>
      </c>
      <c r="AI102" s="39">
        <f t="shared" si="54"/>
        <v>10440.417416666667</v>
      </c>
      <c r="AJ102" s="39">
        <f t="shared" si="54"/>
        <v>8303.1186666666672</v>
      </c>
      <c r="AK102" s="39">
        <f t="shared" si="54"/>
        <v>8865.7425000000003</v>
      </c>
      <c r="AL102" s="39">
        <f t="shared" si="54"/>
        <v>8628.6307500000003</v>
      </c>
      <c r="AM102" s="39">
        <f t="shared" si="55"/>
        <v>5003.7696666666661</v>
      </c>
      <c r="AN102" s="39">
        <f t="shared" si="54"/>
        <v>11058.227500000001</v>
      </c>
      <c r="AO102" s="39">
        <f t="shared" si="54"/>
        <v>15030.796999999999</v>
      </c>
      <c r="AP102" s="39">
        <f t="shared" si="56"/>
        <v>11048.227083333333</v>
      </c>
      <c r="AQ102" s="518">
        <f t="shared" si="57"/>
        <v>11805.924583333333</v>
      </c>
      <c r="AR102" s="39">
        <f t="shared" si="58"/>
        <v>5757.6083333333336</v>
      </c>
      <c r="AS102" s="518">
        <f t="shared" si="60"/>
        <v>779.89166666666665</v>
      </c>
      <c r="AT102" s="39">
        <f t="shared" ref="AT102:AT155" si="63">AT101</f>
        <v>568.33333333333337</v>
      </c>
      <c r="AU102" s="39">
        <f t="shared" si="29"/>
        <v>606.45416666666665</v>
      </c>
      <c r="AV102" s="39">
        <f t="shared" si="29"/>
        <v>227.18866666666665</v>
      </c>
      <c r="AW102" s="39"/>
      <c r="AX102" s="39">
        <f t="shared" si="61"/>
        <v>334883.66983333335</v>
      </c>
    </row>
    <row r="103" spans="1:50" s="335" customFormat="1" outlineLevel="1">
      <c r="A103" s="327" t="s">
        <v>48</v>
      </c>
      <c r="B103" s="327">
        <f t="shared" si="46"/>
        <v>2021</v>
      </c>
      <c r="C103" s="327" t="s">
        <v>47</v>
      </c>
      <c r="D103" s="518"/>
      <c r="E103" s="39"/>
      <c r="F103" s="39"/>
      <c r="G103" s="39">
        <f t="shared" si="34"/>
        <v>0</v>
      </c>
      <c r="H103" s="518">
        <f>SUM($G$5:G103)</f>
        <v>40186040.380000003</v>
      </c>
      <c r="I103" s="518"/>
      <c r="J103" s="614">
        <v>285932.77</v>
      </c>
      <c r="K103" s="39">
        <f t="shared" si="52"/>
        <v>31028048.650000006</v>
      </c>
      <c r="L103" s="518"/>
      <c r="M103" s="92">
        <f t="shared" si="59"/>
        <v>9157991.7299999967</v>
      </c>
      <c r="O103" s="39">
        <f t="shared" si="62"/>
        <v>13796.4</v>
      </c>
      <c r="P103" s="39">
        <f t="shared" si="62"/>
        <v>9722.28125</v>
      </c>
      <c r="Q103" s="39">
        <f t="shared" si="62"/>
        <v>12080.370666666666</v>
      </c>
      <c r="R103" s="39">
        <f t="shared" si="62"/>
        <v>15260.065666666665</v>
      </c>
      <c r="S103" s="39">
        <f t="shared" si="62"/>
        <v>15944.075000000001</v>
      </c>
      <c r="T103" s="39">
        <f t="shared" si="62"/>
        <v>17603.616250000003</v>
      </c>
      <c r="U103" s="39">
        <f t="shared" si="53"/>
        <v>10939.370833333332</v>
      </c>
      <c r="V103" s="39">
        <f t="shared" si="53"/>
        <v>15243.782083333334</v>
      </c>
      <c r="W103" s="39">
        <f t="shared" si="53"/>
        <v>11017.99425</v>
      </c>
      <c r="X103" s="39">
        <f t="shared" si="53"/>
        <v>17485.601749999998</v>
      </c>
      <c r="Y103" s="39">
        <f t="shared" si="53"/>
        <v>10890.147916666667</v>
      </c>
      <c r="Z103" s="39">
        <f t="shared" si="53"/>
        <v>7488.6954166666665</v>
      </c>
      <c r="AA103" s="39">
        <f t="shared" si="53"/>
        <v>8225.8129166666677</v>
      </c>
      <c r="AB103" s="39">
        <f t="shared" si="53"/>
        <v>8388.9866666666676</v>
      </c>
      <c r="AC103" s="39">
        <f t="shared" si="53"/>
        <v>13769.138416666667</v>
      </c>
      <c r="AD103" s="39">
        <f t="shared" si="53"/>
        <v>8700.2379166666669</v>
      </c>
      <c r="AE103" s="39">
        <f t="shared" si="53"/>
        <v>9998.3125</v>
      </c>
      <c r="AF103" s="39">
        <f t="shared" si="53"/>
        <v>10366.302666666666</v>
      </c>
      <c r="AG103" s="39">
        <f t="shared" si="54"/>
        <v>10732.562750000001</v>
      </c>
      <c r="AH103" s="39">
        <f t="shared" si="54"/>
        <v>9105.5835833333331</v>
      </c>
      <c r="AI103" s="39">
        <f t="shared" si="54"/>
        <v>10440.417416666667</v>
      </c>
      <c r="AJ103" s="39">
        <f t="shared" si="54"/>
        <v>8303.1186666666672</v>
      </c>
      <c r="AK103" s="39">
        <f t="shared" si="54"/>
        <v>8865.7425000000003</v>
      </c>
      <c r="AL103" s="39">
        <f t="shared" si="54"/>
        <v>8628.6307500000003</v>
      </c>
      <c r="AM103" s="39">
        <f t="shared" si="55"/>
        <v>5003.7696666666661</v>
      </c>
      <c r="AN103" s="39">
        <f t="shared" si="54"/>
        <v>11058.227500000001</v>
      </c>
      <c r="AO103" s="39">
        <f t="shared" si="54"/>
        <v>15030.796999999999</v>
      </c>
      <c r="AP103" s="39">
        <f t="shared" si="56"/>
        <v>11048.227083333333</v>
      </c>
      <c r="AQ103" s="518">
        <f t="shared" si="57"/>
        <v>11805.924583333333</v>
      </c>
      <c r="AR103" s="39">
        <f t="shared" si="58"/>
        <v>5757.6083333333336</v>
      </c>
      <c r="AS103" s="518">
        <f t="shared" si="60"/>
        <v>779.89166666666665</v>
      </c>
      <c r="AT103" s="39">
        <f t="shared" si="63"/>
        <v>568.33333333333337</v>
      </c>
      <c r="AU103" s="39">
        <f t="shared" ref="AU103:AV156" si="64">AU102</f>
        <v>606.45416666666665</v>
      </c>
      <c r="AV103" s="39">
        <f t="shared" si="64"/>
        <v>227.18866666666665</v>
      </c>
      <c r="AW103" s="39"/>
      <c r="AX103" s="39">
        <f t="shared" si="61"/>
        <v>334883.66983333335</v>
      </c>
    </row>
    <row r="104" spans="1:50" s="335" customFormat="1" outlineLevel="1">
      <c r="A104" s="327" t="s">
        <v>50</v>
      </c>
      <c r="B104" s="327">
        <f t="shared" si="46"/>
        <v>2021</v>
      </c>
      <c r="C104" s="327" t="s">
        <v>47</v>
      </c>
      <c r="D104" s="518"/>
      <c r="E104" s="39"/>
      <c r="F104" s="39"/>
      <c r="G104" s="39">
        <f t="shared" si="34"/>
        <v>0</v>
      </c>
      <c r="H104" s="518">
        <f>SUM($G$5:G104)</f>
        <v>40186040.380000003</v>
      </c>
      <c r="I104" s="518"/>
      <c r="J104" s="614">
        <v>290158.96000000002</v>
      </c>
      <c r="K104" s="39">
        <f t="shared" si="52"/>
        <v>31318207.610000007</v>
      </c>
      <c r="L104" s="518"/>
      <c r="M104" s="92">
        <f t="shared" si="59"/>
        <v>8867832.7699999958</v>
      </c>
      <c r="O104" s="39">
        <f t="shared" si="62"/>
        <v>13796.4</v>
      </c>
      <c r="P104" s="39">
        <f t="shared" si="62"/>
        <v>9722.28125</v>
      </c>
      <c r="Q104" s="39">
        <f t="shared" si="62"/>
        <v>12080.370666666666</v>
      </c>
      <c r="R104" s="39">
        <f t="shared" si="62"/>
        <v>15260.065666666665</v>
      </c>
      <c r="S104" s="39">
        <f t="shared" si="62"/>
        <v>15944.075000000001</v>
      </c>
      <c r="T104" s="39">
        <f t="shared" si="62"/>
        <v>17603.616250000003</v>
      </c>
      <c r="U104" s="39">
        <f t="shared" si="53"/>
        <v>10939.370833333332</v>
      </c>
      <c r="V104" s="39">
        <f t="shared" si="53"/>
        <v>15243.782083333334</v>
      </c>
      <c r="W104" s="39">
        <f t="shared" si="53"/>
        <v>11017.99425</v>
      </c>
      <c r="X104" s="39">
        <f t="shared" si="53"/>
        <v>17485.601749999998</v>
      </c>
      <c r="Y104" s="39">
        <f t="shared" si="53"/>
        <v>10890.147916666667</v>
      </c>
      <c r="Z104" s="39">
        <f t="shared" si="53"/>
        <v>7488.6954166666665</v>
      </c>
      <c r="AA104" s="39">
        <f t="shared" si="53"/>
        <v>8225.8129166666677</v>
      </c>
      <c r="AB104" s="39">
        <f t="shared" si="53"/>
        <v>8388.9866666666676</v>
      </c>
      <c r="AC104" s="39">
        <f t="shared" si="53"/>
        <v>13769.138416666667</v>
      </c>
      <c r="AD104" s="39">
        <f t="shared" si="53"/>
        <v>8700.2379166666669</v>
      </c>
      <c r="AE104" s="39">
        <f t="shared" si="53"/>
        <v>9998.3125</v>
      </c>
      <c r="AF104" s="39">
        <f t="shared" si="53"/>
        <v>10366.302666666666</v>
      </c>
      <c r="AG104" s="39">
        <f t="shared" si="54"/>
        <v>10732.562750000001</v>
      </c>
      <c r="AH104" s="39">
        <f t="shared" si="54"/>
        <v>9105.5835833333331</v>
      </c>
      <c r="AI104" s="39">
        <f t="shared" si="54"/>
        <v>10440.417416666667</v>
      </c>
      <c r="AJ104" s="39">
        <f t="shared" si="54"/>
        <v>8303.1186666666672</v>
      </c>
      <c r="AK104" s="39">
        <f t="shared" si="54"/>
        <v>8865.7425000000003</v>
      </c>
      <c r="AL104" s="39">
        <f t="shared" si="54"/>
        <v>8628.6307500000003</v>
      </c>
      <c r="AM104" s="39">
        <f t="shared" si="55"/>
        <v>5003.7696666666661</v>
      </c>
      <c r="AN104" s="39">
        <f t="shared" si="54"/>
        <v>11058.227500000001</v>
      </c>
      <c r="AO104" s="39">
        <f t="shared" si="54"/>
        <v>15030.796999999999</v>
      </c>
      <c r="AP104" s="39">
        <f t="shared" si="56"/>
        <v>11048.227083333333</v>
      </c>
      <c r="AQ104" s="518">
        <f t="shared" si="57"/>
        <v>11805.924583333333</v>
      </c>
      <c r="AR104" s="39">
        <f t="shared" si="58"/>
        <v>5757.6083333333336</v>
      </c>
      <c r="AS104" s="518">
        <f t="shared" si="60"/>
        <v>779.89166666666665</v>
      </c>
      <c r="AT104" s="39">
        <f t="shared" si="63"/>
        <v>568.33333333333337</v>
      </c>
      <c r="AU104" s="39">
        <f t="shared" si="64"/>
        <v>606.45416666666665</v>
      </c>
      <c r="AV104" s="39">
        <f t="shared" si="64"/>
        <v>227.18866666666665</v>
      </c>
      <c r="AW104" s="39"/>
      <c r="AX104" s="39">
        <f t="shared" si="61"/>
        <v>334883.66983333335</v>
      </c>
    </row>
    <row r="105" spans="1:50" s="335" customFormat="1" outlineLevel="1">
      <c r="A105" s="327" t="s">
        <v>51</v>
      </c>
      <c r="B105" s="327">
        <f t="shared" si="46"/>
        <v>2021</v>
      </c>
      <c r="C105" s="327" t="s">
        <v>47</v>
      </c>
      <c r="D105" s="518"/>
      <c r="E105" s="39"/>
      <c r="F105" s="39"/>
      <c r="G105" s="39">
        <f t="shared" si="34"/>
        <v>0</v>
      </c>
      <c r="H105" s="518">
        <f>SUM($G$5:G105)</f>
        <v>40186040.380000003</v>
      </c>
      <c r="I105" s="518"/>
      <c r="J105" s="614">
        <v>291672.48</v>
      </c>
      <c r="K105" s="39">
        <f t="shared" si="52"/>
        <v>31609880.090000007</v>
      </c>
      <c r="L105" s="518"/>
      <c r="M105" s="92">
        <f t="shared" si="59"/>
        <v>8576160.2899999954</v>
      </c>
      <c r="O105" s="39">
        <f t="shared" si="62"/>
        <v>13796.4</v>
      </c>
      <c r="P105" s="39">
        <f t="shared" si="62"/>
        <v>9722.28125</v>
      </c>
      <c r="Q105" s="39">
        <f t="shared" si="62"/>
        <v>12080.370666666666</v>
      </c>
      <c r="R105" s="39">
        <f t="shared" si="62"/>
        <v>15260.065666666665</v>
      </c>
      <c r="S105" s="39">
        <f t="shared" si="62"/>
        <v>15944.075000000001</v>
      </c>
      <c r="T105" s="39">
        <f t="shared" si="62"/>
        <v>17603.616250000003</v>
      </c>
      <c r="U105" s="39">
        <f t="shared" si="53"/>
        <v>10939.370833333332</v>
      </c>
      <c r="V105" s="39">
        <f t="shared" si="53"/>
        <v>15243.782083333334</v>
      </c>
      <c r="W105" s="39">
        <f t="shared" si="53"/>
        <v>11017.99425</v>
      </c>
      <c r="X105" s="39">
        <f t="shared" si="53"/>
        <v>17485.601749999998</v>
      </c>
      <c r="Y105" s="39">
        <f t="shared" si="53"/>
        <v>10890.147916666667</v>
      </c>
      <c r="Z105" s="39">
        <f t="shared" si="53"/>
        <v>7488.6954166666665</v>
      </c>
      <c r="AA105" s="39">
        <f t="shared" si="53"/>
        <v>8225.8129166666677</v>
      </c>
      <c r="AB105" s="39">
        <f t="shared" si="53"/>
        <v>8388.9866666666676</v>
      </c>
      <c r="AC105" s="39">
        <f t="shared" si="53"/>
        <v>13769.138416666667</v>
      </c>
      <c r="AD105" s="39">
        <f t="shared" si="53"/>
        <v>8700.2379166666669</v>
      </c>
      <c r="AE105" s="39">
        <f t="shared" si="53"/>
        <v>9998.3125</v>
      </c>
      <c r="AF105" s="39">
        <f t="shared" si="53"/>
        <v>10366.302666666666</v>
      </c>
      <c r="AG105" s="39">
        <f t="shared" si="53"/>
        <v>10732.562750000001</v>
      </c>
      <c r="AH105" s="39">
        <f t="shared" si="53"/>
        <v>9105.5835833333331</v>
      </c>
      <c r="AI105" s="39">
        <f t="shared" si="53"/>
        <v>10440.417416666667</v>
      </c>
      <c r="AJ105" s="39">
        <f t="shared" si="53"/>
        <v>8303.1186666666672</v>
      </c>
      <c r="AK105" s="39">
        <f t="shared" si="53"/>
        <v>8865.7425000000003</v>
      </c>
      <c r="AL105" s="39">
        <f t="shared" si="53"/>
        <v>8628.6307500000003</v>
      </c>
      <c r="AM105" s="39">
        <f t="shared" si="55"/>
        <v>5003.7696666666661</v>
      </c>
      <c r="AN105" s="39">
        <f t="shared" si="53"/>
        <v>11058.227500000001</v>
      </c>
      <c r="AO105" s="39">
        <f t="shared" si="53"/>
        <v>15030.796999999999</v>
      </c>
      <c r="AP105" s="39">
        <f t="shared" si="56"/>
        <v>11048.227083333333</v>
      </c>
      <c r="AQ105" s="518">
        <f t="shared" si="57"/>
        <v>11805.924583333333</v>
      </c>
      <c r="AR105" s="39">
        <f t="shared" si="58"/>
        <v>5757.6083333333336</v>
      </c>
      <c r="AS105" s="518">
        <f t="shared" si="60"/>
        <v>779.89166666666665</v>
      </c>
      <c r="AT105" s="39">
        <f t="shared" si="63"/>
        <v>568.33333333333337</v>
      </c>
      <c r="AU105" s="39">
        <f t="shared" si="64"/>
        <v>606.45416666666665</v>
      </c>
      <c r="AV105" s="39">
        <f t="shared" si="64"/>
        <v>227.18866666666665</v>
      </c>
      <c r="AW105" s="39"/>
      <c r="AX105" s="39">
        <f t="shared" si="61"/>
        <v>334883.66983333335</v>
      </c>
    </row>
    <row r="106" spans="1:50" s="335" customFormat="1" outlineLevel="1">
      <c r="A106" s="332" t="s">
        <v>52</v>
      </c>
      <c r="B106" s="332">
        <f t="shared" si="46"/>
        <v>2021</v>
      </c>
      <c r="C106" s="332" t="s">
        <v>47</v>
      </c>
      <c r="D106" s="212"/>
      <c r="E106" s="212"/>
      <c r="F106" s="212"/>
      <c r="G106" s="212">
        <f t="shared" si="34"/>
        <v>0</v>
      </c>
      <c r="H106" s="212">
        <f>SUM($G$5:G106)</f>
        <v>40186040.380000003</v>
      </c>
      <c r="I106" s="212"/>
      <c r="J106" s="614">
        <v>284742.05999999365</v>
      </c>
      <c r="K106" s="212">
        <f t="shared" si="52"/>
        <v>31894622.150000002</v>
      </c>
      <c r="L106" s="212"/>
      <c r="M106" s="588">
        <f t="shared" si="59"/>
        <v>8291418.2300000004</v>
      </c>
      <c r="N106" s="333"/>
      <c r="O106" s="212">
        <f t="shared" si="62"/>
        <v>13796.4</v>
      </c>
      <c r="P106" s="212">
        <f t="shared" si="62"/>
        <v>9722.28125</v>
      </c>
      <c r="Q106" s="212">
        <f t="shared" si="62"/>
        <v>12080.370666666666</v>
      </c>
      <c r="R106" s="212">
        <f t="shared" si="62"/>
        <v>15260.065666666665</v>
      </c>
      <c r="S106" s="212">
        <f t="shared" si="62"/>
        <v>15944.075000000001</v>
      </c>
      <c r="T106" s="212">
        <f t="shared" si="62"/>
        <v>17603.616250000003</v>
      </c>
      <c r="U106" s="212">
        <f t="shared" si="53"/>
        <v>10939.370833333332</v>
      </c>
      <c r="V106" s="212">
        <f t="shared" si="53"/>
        <v>15243.782083333334</v>
      </c>
      <c r="W106" s="212">
        <f t="shared" si="53"/>
        <v>11017.99425</v>
      </c>
      <c r="X106" s="212">
        <f t="shared" si="53"/>
        <v>17485.601749999998</v>
      </c>
      <c r="Y106" s="212">
        <f t="shared" si="53"/>
        <v>10890.147916666667</v>
      </c>
      <c r="Z106" s="212">
        <f t="shared" si="53"/>
        <v>7488.6954166666665</v>
      </c>
      <c r="AA106" s="212">
        <f t="shared" si="53"/>
        <v>8225.8129166666677</v>
      </c>
      <c r="AB106" s="212">
        <f t="shared" si="53"/>
        <v>8388.9866666666676</v>
      </c>
      <c r="AC106" s="212">
        <f t="shared" si="53"/>
        <v>13769.138416666667</v>
      </c>
      <c r="AD106" s="212">
        <f t="shared" si="53"/>
        <v>8700.2379166666669</v>
      </c>
      <c r="AE106" s="212">
        <f t="shared" si="53"/>
        <v>9998.3125</v>
      </c>
      <c r="AF106" s="212">
        <f t="shared" si="53"/>
        <v>10366.302666666666</v>
      </c>
      <c r="AG106" s="212">
        <f t="shared" si="53"/>
        <v>10732.562750000001</v>
      </c>
      <c r="AH106" s="212">
        <f t="shared" si="53"/>
        <v>9105.5835833333331</v>
      </c>
      <c r="AI106" s="212">
        <f t="shared" si="53"/>
        <v>10440.417416666667</v>
      </c>
      <c r="AJ106" s="212">
        <f t="shared" si="53"/>
        <v>8303.1186666666672</v>
      </c>
      <c r="AK106" s="212">
        <f t="shared" si="53"/>
        <v>8865.7425000000003</v>
      </c>
      <c r="AL106" s="212">
        <f t="shared" si="53"/>
        <v>8628.6307500000003</v>
      </c>
      <c r="AM106" s="212">
        <f t="shared" si="55"/>
        <v>5003.7696666666661</v>
      </c>
      <c r="AN106" s="212">
        <f t="shared" si="53"/>
        <v>11058.227500000001</v>
      </c>
      <c r="AO106" s="212">
        <f t="shared" si="53"/>
        <v>15030.796999999999</v>
      </c>
      <c r="AP106" s="212">
        <f t="shared" si="56"/>
        <v>11048.227083333333</v>
      </c>
      <c r="AQ106" s="212">
        <f t="shared" si="57"/>
        <v>11805.924583333333</v>
      </c>
      <c r="AR106" s="212">
        <f t="shared" si="58"/>
        <v>5757.6083333333336</v>
      </c>
      <c r="AS106" s="212">
        <f t="shared" si="60"/>
        <v>779.89166666666665</v>
      </c>
      <c r="AT106" s="212">
        <f t="shared" si="63"/>
        <v>568.33333333333337</v>
      </c>
      <c r="AU106" s="212">
        <f t="shared" si="64"/>
        <v>606.45416666666665</v>
      </c>
      <c r="AV106" s="212">
        <f t="shared" si="64"/>
        <v>227.18866666666665</v>
      </c>
      <c r="AW106" s="212"/>
      <c r="AX106" s="212">
        <f t="shared" si="61"/>
        <v>334883.66983333335</v>
      </c>
    </row>
    <row r="107" spans="1:50" s="335" customFormat="1" outlineLevel="1">
      <c r="A107" s="327" t="s">
        <v>53</v>
      </c>
      <c r="B107" s="327">
        <f t="shared" si="46"/>
        <v>2022</v>
      </c>
      <c r="C107" s="327" t="s">
        <v>47</v>
      </c>
      <c r="D107" s="518"/>
      <c r="E107" s="39"/>
      <c r="F107" s="39"/>
      <c r="G107" s="39">
        <f t="shared" si="34"/>
        <v>0</v>
      </c>
      <c r="H107" s="518">
        <f>SUM($G$5:G107)</f>
        <v>40186040.380000003</v>
      </c>
      <c r="I107" s="518"/>
      <c r="J107" s="614">
        <v>283885.99</v>
      </c>
      <c r="K107" s="39">
        <f t="shared" si="52"/>
        <v>32178508.140000001</v>
      </c>
      <c r="L107" s="518"/>
      <c r="M107" s="92">
        <f t="shared" si="59"/>
        <v>8007532.2400000021</v>
      </c>
      <c r="O107" s="39">
        <f t="shared" si="62"/>
        <v>13796.4</v>
      </c>
      <c r="P107" s="39">
        <f t="shared" si="62"/>
        <v>9722.28125</v>
      </c>
      <c r="Q107" s="39">
        <f t="shared" si="62"/>
        <v>12080.370666666666</v>
      </c>
      <c r="R107" s="39">
        <f t="shared" si="62"/>
        <v>15260.065666666665</v>
      </c>
      <c r="S107" s="39">
        <f t="shared" si="62"/>
        <v>15944.075000000001</v>
      </c>
      <c r="T107" s="39">
        <f t="shared" si="62"/>
        <v>17603.616250000003</v>
      </c>
      <c r="U107" s="39">
        <f t="shared" si="53"/>
        <v>10939.370833333332</v>
      </c>
      <c r="V107" s="39">
        <f t="shared" si="53"/>
        <v>15243.782083333334</v>
      </c>
      <c r="W107" s="39">
        <f t="shared" si="53"/>
        <v>11017.99425</v>
      </c>
      <c r="X107" s="39">
        <f t="shared" si="53"/>
        <v>17485.601749999998</v>
      </c>
      <c r="Y107" s="39">
        <f t="shared" si="53"/>
        <v>10890.147916666667</v>
      </c>
      <c r="Z107" s="39">
        <f t="shared" si="53"/>
        <v>7488.6954166666665</v>
      </c>
      <c r="AA107" s="39">
        <f t="shared" si="53"/>
        <v>8225.8129166666677</v>
      </c>
      <c r="AB107" s="39">
        <f t="shared" si="53"/>
        <v>8388.9866666666676</v>
      </c>
      <c r="AC107" s="39">
        <f t="shared" si="53"/>
        <v>13769.138416666667</v>
      </c>
      <c r="AD107" s="39">
        <f t="shared" si="53"/>
        <v>8700.2379166666669</v>
      </c>
      <c r="AE107" s="39">
        <f t="shared" si="53"/>
        <v>9998.3125</v>
      </c>
      <c r="AF107" s="39">
        <f t="shared" si="53"/>
        <v>10366.302666666666</v>
      </c>
      <c r="AG107" s="39">
        <f t="shared" si="53"/>
        <v>10732.562750000001</v>
      </c>
      <c r="AH107" s="39">
        <f t="shared" si="53"/>
        <v>9105.5835833333331</v>
      </c>
      <c r="AI107" s="39">
        <f t="shared" si="53"/>
        <v>10440.417416666667</v>
      </c>
      <c r="AJ107" s="39">
        <f t="shared" si="53"/>
        <v>8303.1186666666672</v>
      </c>
      <c r="AK107" s="39">
        <f t="shared" si="53"/>
        <v>8865.7425000000003</v>
      </c>
      <c r="AL107" s="39">
        <f t="shared" si="53"/>
        <v>8628.6307500000003</v>
      </c>
      <c r="AM107" s="39">
        <f t="shared" si="55"/>
        <v>5003.7696666666661</v>
      </c>
      <c r="AN107" s="39">
        <f t="shared" si="53"/>
        <v>11058.227500000001</v>
      </c>
      <c r="AO107" s="39">
        <f t="shared" si="53"/>
        <v>15030.796999999999</v>
      </c>
      <c r="AP107" s="39">
        <f t="shared" si="56"/>
        <v>11048.227083333333</v>
      </c>
      <c r="AQ107" s="518">
        <f t="shared" si="57"/>
        <v>11805.924583333333</v>
      </c>
      <c r="AR107" s="39">
        <f t="shared" si="58"/>
        <v>5757.6083333333336</v>
      </c>
      <c r="AS107" s="518">
        <f t="shared" si="60"/>
        <v>779.89166666666665</v>
      </c>
      <c r="AT107" s="39">
        <f t="shared" si="63"/>
        <v>568.33333333333337</v>
      </c>
      <c r="AU107" s="39">
        <f t="shared" si="64"/>
        <v>606.45416666666665</v>
      </c>
      <c r="AV107" s="39">
        <f t="shared" si="64"/>
        <v>227.18866666666665</v>
      </c>
      <c r="AW107" s="39"/>
      <c r="AX107" s="39">
        <f t="shared" si="61"/>
        <v>334883.66983333335</v>
      </c>
    </row>
    <row r="108" spans="1:50" s="335" customFormat="1" outlineLevel="1">
      <c r="A108" s="327" t="s">
        <v>54</v>
      </c>
      <c r="B108" s="327">
        <f t="shared" si="46"/>
        <v>2022</v>
      </c>
      <c r="C108" s="327" t="s">
        <v>47</v>
      </c>
      <c r="D108" s="518"/>
      <c r="E108" s="39"/>
      <c r="F108" s="39"/>
      <c r="G108" s="39">
        <f t="shared" si="34"/>
        <v>0</v>
      </c>
      <c r="H108" s="518">
        <f>SUM($G$5:G108)</f>
        <v>40186040.380000003</v>
      </c>
      <c r="I108" s="518"/>
      <c r="J108" s="614">
        <v>239618.75</v>
      </c>
      <c r="K108" s="39">
        <f t="shared" si="52"/>
        <v>32418126.890000001</v>
      </c>
      <c r="L108" s="518"/>
      <c r="M108" s="92">
        <f t="shared" si="59"/>
        <v>7767913.4900000021</v>
      </c>
      <c r="O108" s="39">
        <f t="shared" si="62"/>
        <v>13796.4</v>
      </c>
      <c r="P108" s="39">
        <f t="shared" si="62"/>
        <v>9722.28125</v>
      </c>
      <c r="Q108" s="39">
        <f t="shared" si="62"/>
        <v>12080.370666666666</v>
      </c>
      <c r="R108" s="39">
        <f t="shared" si="62"/>
        <v>15260.065666666665</v>
      </c>
      <c r="S108" s="39">
        <f t="shared" si="62"/>
        <v>15944.075000000001</v>
      </c>
      <c r="T108" s="39">
        <f t="shared" si="62"/>
        <v>17603.616250000003</v>
      </c>
      <c r="U108" s="39">
        <f t="shared" si="53"/>
        <v>10939.370833333332</v>
      </c>
      <c r="V108" s="39">
        <f t="shared" si="53"/>
        <v>15243.782083333334</v>
      </c>
      <c r="W108" s="39">
        <f t="shared" si="53"/>
        <v>11017.99425</v>
      </c>
      <c r="X108" s="39">
        <f t="shared" si="53"/>
        <v>17485.601749999998</v>
      </c>
      <c r="Y108" s="39">
        <f t="shared" si="53"/>
        <v>10890.147916666667</v>
      </c>
      <c r="Z108" s="39">
        <f t="shared" si="53"/>
        <v>7488.6954166666665</v>
      </c>
      <c r="AA108" s="39">
        <f t="shared" si="53"/>
        <v>8225.8129166666677</v>
      </c>
      <c r="AB108" s="39">
        <f t="shared" si="53"/>
        <v>8388.9866666666676</v>
      </c>
      <c r="AC108" s="39">
        <f t="shared" si="53"/>
        <v>13769.138416666667</v>
      </c>
      <c r="AD108" s="39">
        <f t="shared" si="53"/>
        <v>8700.2379166666669</v>
      </c>
      <c r="AE108" s="39">
        <f t="shared" si="53"/>
        <v>9998.3125</v>
      </c>
      <c r="AF108" s="39">
        <f t="shared" si="53"/>
        <v>10366.302666666666</v>
      </c>
      <c r="AG108" s="39">
        <f t="shared" si="53"/>
        <v>10732.562750000001</v>
      </c>
      <c r="AH108" s="39">
        <f t="shared" si="53"/>
        <v>9105.5835833333331</v>
      </c>
      <c r="AI108" s="39">
        <f t="shared" si="53"/>
        <v>10440.417416666667</v>
      </c>
      <c r="AJ108" s="39">
        <f t="shared" si="53"/>
        <v>8303.1186666666672</v>
      </c>
      <c r="AK108" s="39">
        <f t="shared" si="53"/>
        <v>8865.7425000000003</v>
      </c>
      <c r="AL108" s="39">
        <f t="shared" si="53"/>
        <v>8628.6307500000003</v>
      </c>
      <c r="AM108" s="39">
        <f t="shared" si="55"/>
        <v>5003.7696666666661</v>
      </c>
      <c r="AN108" s="39">
        <f t="shared" si="53"/>
        <v>11058.227500000001</v>
      </c>
      <c r="AO108" s="39">
        <f t="shared" si="53"/>
        <v>15030.796999999999</v>
      </c>
      <c r="AP108" s="39">
        <f t="shared" si="56"/>
        <v>11048.227083333333</v>
      </c>
      <c r="AQ108" s="518">
        <f t="shared" si="57"/>
        <v>11805.924583333333</v>
      </c>
      <c r="AR108" s="39">
        <f t="shared" si="58"/>
        <v>5757.6083333333336</v>
      </c>
      <c r="AS108" s="518">
        <f t="shared" si="60"/>
        <v>779.89166666666665</v>
      </c>
      <c r="AT108" s="39">
        <f t="shared" si="63"/>
        <v>568.33333333333337</v>
      </c>
      <c r="AU108" s="39">
        <f t="shared" si="64"/>
        <v>606.45416666666665</v>
      </c>
      <c r="AV108" s="39">
        <f t="shared" si="64"/>
        <v>227.18866666666665</v>
      </c>
      <c r="AW108" s="39"/>
      <c r="AX108" s="39">
        <f t="shared" si="61"/>
        <v>334883.66983333335</v>
      </c>
    </row>
    <row r="109" spans="1:50" s="335" customFormat="1" outlineLevel="1">
      <c r="A109" s="327" t="s">
        <v>55</v>
      </c>
      <c r="B109" s="327">
        <f t="shared" si="46"/>
        <v>2022</v>
      </c>
      <c r="C109" s="327" t="s">
        <v>47</v>
      </c>
      <c r="D109" s="518"/>
      <c r="E109" s="39"/>
      <c r="F109" s="39"/>
      <c r="G109" s="39">
        <f t="shared" si="34"/>
        <v>0</v>
      </c>
      <c r="H109" s="518">
        <f>SUM($G$5:G109)</f>
        <v>40186040.380000003</v>
      </c>
      <c r="I109" s="518"/>
      <c r="J109" s="614">
        <v>325502.76</v>
      </c>
      <c r="K109" s="39">
        <f t="shared" si="52"/>
        <v>32743629.650000002</v>
      </c>
      <c r="L109" s="518"/>
      <c r="M109" s="92">
        <f t="shared" si="59"/>
        <v>7442410.7300000004</v>
      </c>
      <c r="O109" s="39">
        <f t="shared" si="62"/>
        <v>13796.4</v>
      </c>
      <c r="P109" s="39">
        <f t="shared" si="62"/>
        <v>9722.28125</v>
      </c>
      <c r="Q109" s="39">
        <f t="shared" si="62"/>
        <v>12080.370666666666</v>
      </c>
      <c r="R109" s="39">
        <f t="shared" si="62"/>
        <v>15260.065666666665</v>
      </c>
      <c r="S109" s="39">
        <f t="shared" si="62"/>
        <v>15944.075000000001</v>
      </c>
      <c r="T109" s="39">
        <f t="shared" si="62"/>
        <v>17603.616250000003</v>
      </c>
      <c r="U109" s="39">
        <f t="shared" si="53"/>
        <v>10939.370833333332</v>
      </c>
      <c r="V109" s="39">
        <f t="shared" si="53"/>
        <v>15243.782083333334</v>
      </c>
      <c r="W109" s="39">
        <f t="shared" si="53"/>
        <v>11017.99425</v>
      </c>
      <c r="X109" s="39">
        <f t="shared" si="53"/>
        <v>17485.601749999998</v>
      </c>
      <c r="Y109" s="39">
        <f t="shared" si="53"/>
        <v>10890.147916666667</v>
      </c>
      <c r="Z109" s="39">
        <f t="shared" si="53"/>
        <v>7488.6954166666665</v>
      </c>
      <c r="AA109" s="39">
        <f t="shared" si="53"/>
        <v>8225.8129166666677</v>
      </c>
      <c r="AB109" s="39">
        <f t="shared" si="53"/>
        <v>8388.9866666666676</v>
      </c>
      <c r="AC109" s="39">
        <f t="shared" si="53"/>
        <v>13769.138416666667</v>
      </c>
      <c r="AD109" s="39">
        <f t="shared" si="53"/>
        <v>8700.2379166666669</v>
      </c>
      <c r="AE109" s="39">
        <f t="shared" si="53"/>
        <v>9998.3125</v>
      </c>
      <c r="AF109" s="39">
        <f t="shared" si="53"/>
        <v>10366.302666666666</v>
      </c>
      <c r="AG109" s="39">
        <f t="shared" si="53"/>
        <v>10732.562750000001</v>
      </c>
      <c r="AH109" s="39">
        <f t="shared" si="53"/>
        <v>9105.5835833333331</v>
      </c>
      <c r="AI109" s="39">
        <f t="shared" si="53"/>
        <v>10440.417416666667</v>
      </c>
      <c r="AJ109" s="39">
        <f t="shared" si="53"/>
        <v>8303.1186666666672</v>
      </c>
      <c r="AK109" s="39">
        <f t="shared" si="53"/>
        <v>8865.7425000000003</v>
      </c>
      <c r="AL109" s="39">
        <f t="shared" si="53"/>
        <v>8628.6307500000003</v>
      </c>
      <c r="AM109" s="39">
        <f t="shared" si="55"/>
        <v>5003.7696666666661</v>
      </c>
      <c r="AN109" s="39">
        <f t="shared" si="53"/>
        <v>11058.227500000001</v>
      </c>
      <c r="AO109" s="39">
        <f t="shared" si="53"/>
        <v>15030.796999999999</v>
      </c>
      <c r="AP109" s="39">
        <f t="shared" si="56"/>
        <v>11048.227083333333</v>
      </c>
      <c r="AQ109" s="518">
        <f t="shared" si="57"/>
        <v>11805.924583333333</v>
      </c>
      <c r="AR109" s="39">
        <f t="shared" si="58"/>
        <v>5757.6083333333336</v>
      </c>
      <c r="AS109" s="518">
        <f t="shared" si="60"/>
        <v>779.89166666666665</v>
      </c>
      <c r="AT109" s="39">
        <f t="shared" si="63"/>
        <v>568.33333333333337</v>
      </c>
      <c r="AU109" s="39">
        <f t="shared" si="64"/>
        <v>606.45416666666665</v>
      </c>
      <c r="AV109" s="39">
        <f t="shared" si="64"/>
        <v>227.18866666666665</v>
      </c>
      <c r="AW109" s="39"/>
      <c r="AX109" s="39">
        <f t="shared" si="61"/>
        <v>334883.66983333335</v>
      </c>
    </row>
    <row r="110" spans="1:50" s="335" customFormat="1" outlineLevel="1">
      <c r="A110" s="327" t="s">
        <v>56</v>
      </c>
      <c r="B110" s="327">
        <f t="shared" si="46"/>
        <v>2022</v>
      </c>
      <c r="C110" s="327" t="s">
        <v>47</v>
      </c>
      <c r="D110" s="518"/>
      <c r="E110" s="39"/>
      <c r="F110" s="39"/>
      <c r="G110" s="39">
        <f t="shared" si="34"/>
        <v>0</v>
      </c>
      <c r="H110" s="518">
        <f>SUM($G$5:G110)</f>
        <v>40186040.380000003</v>
      </c>
      <c r="I110" s="518"/>
      <c r="J110" s="614">
        <v>257638.98</v>
      </c>
      <c r="K110" s="39">
        <f t="shared" si="52"/>
        <v>33001268.630000003</v>
      </c>
      <c r="L110" s="518"/>
      <c r="M110" s="92">
        <f t="shared" si="59"/>
        <v>7184771.75</v>
      </c>
      <c r="O110" s="39">
        <f t="shared" si="62"/>
        <v>13796.4</v>
      </c>
      <c r="P110" s="39">
        <f t="shared" si="62"/>
        <v>9722.28125</v>
      </c>
      <c r="Q110" s="39">
        <f t="shared" si="62"/>
        <v>12080.370666666666</v>
      </c>
      <c r="R110" s="39">
        <f t="shared" si="62"/>
        <v>15260.065666666665</v>
      </c>
      <c r="S110" s="39">
        <f t="shared" si="62"/>
        <v>15944.075000000001</v>
      </c>
      <c r="T110" s="39">
        <f t="shared" si="62"/>
        <v>17603.616250000003</v>
      </c>
      <c r="U110" s="39">
        <f t="shared" si="62"/>
        <v>10939.370833333332</v>
      </c>
      <c r="V110" s="39">
        <f t="shared" si="62"/>
        <v>15243.782083333334</v>
      </c>
      <c r="W110" s="39">
        <f t="shared" si="62"/>
        <v>11017.99425</v>
      </c>
      <c r="X110" s="39">
        <f t="shared" si="62"/>
        <v>17485.601749999998</v>
      </c>
      <c r="Y110" s="39">
        <f t="shared" ref="U110:AO120" si="65">+Y109</f>
        <v>10890.147916666667</v>
      </c>
      <c r="Z110" s="39">
        <f t="shared" si="65"/>
        <v>7488.6954166666665</v>
      </c>
      <c r="AA110" s="39">
        <f t="shared" si="65"/>
        <v>8225.8129166666677</v>
      </c>
      <c r="AB110" s="39">
        <f t="shared" si="65"/>
        <v>8388.9866666666676</v>
      </c>
      <c r="AC110" s="39">
        <f t="shared" si="65"/>
        <v>13769.138416666667</v>
      </c>
      <c r="AD110" s="39">
        <f t="shared" si="65"/>
        <v>8700.2379166666669</v>
      </c>
      <c r="AE110" s="39">
        <f t="shared" si="65"/>
        <v>9998.3125</v>
      </c>
      <c r="AF110" s="39">
        <f t="shared" si="65"/>
        <v>10366.302666666666</v>
      </c>
      <c r="AG110" s="39">
        <f t="shared" si="65"/>
        <v>10732.562750000001</v>
      </c>
      <c r="AH110" s="39">
        <f t="shared" si="65"/>
        <v>9105.5835833333331</v>
      </c>
      <c r="AI110" s="39">
        <f t="shared" si="65"/>
        <v>10440.417416666667</v>
      </c>
      <c r="AJ110" s="39">
        <f t="shared" si="65"/>
        <v>8303.1186666666672</v>
      </c>
      <c r="AK110" s="39">
        <f t="shared" si="65"/>
        <v>8865.7425000000003</v>
      </c>
      <c r="AL110" s="39">
        <f t="shared" si="65"/>
        <v>8628.6307500000003</v>
      </c>
      <c r="AM110" s="39">
        <f t="shared" si="55"/>
        <v>5003.7696666666661</v>
      </c>
      <c r="AN110" s="39">
        <f t="shared" si="65"/>
        <v>11058.227500000001</v>
      </c>
      <c r="AO110" s="39">
        <f t="shared" si="65"/>
        <v>15030.796999999999</v>
      </c>
      <c r="AP110" s="39">
        <f t="shared" si="56"/>
        <v>11048.227083333333</v>
      </c>
      <c r="AQ110" s="518">
        <f t="shared" si="57"/>
        <v>11805.924583333333</v>
      </c>
      <c r="AR110" s="39">
        <f t="shared" si="58"/>
        <v>5757.6083333333336</v>
      </c>
      <c r="AS110" s="518">
        <f t="shared" si="60"/>
        <v>779.89166666666665</v>
      </c>
      <c r="AT110" s="39">
        <f t="shared" si="63"/>
        <v>568.33333333333337</v>
      </c>
      <c r="AU110" s="39">
        <f t="shared" si="64"/>
        <v>606.45416666666665</v>
      </c>
      <c r="AV110" s="39">
        <f t="shared" si="64"/>
        <v>227.18866666666665</v>
      </c>
      <c r="AW110" s="39"/>
      <c r="AX110" s="39">
        <f t="shared" si="61"/>
        <v>334883.66983333335</v>
      </c>
    </row>
    <row r="111" spans="1:50" s="335" customFormat="1" outlineLevel="1">
      <c r="A111" s="327" t="s">
        <v>57</v>
      </c>
      <c r="B111" s="327">
        <f t="shared" si="46"/>
        <v>2022</v>
      </c>
      <c r="C111" s="327" t="s">
        <v>47</v>
      </c>
      <c r="D111" s="518"/>
      <c r="E111" s="39"/>
      <c r="F111" s="39"/>
      <c r="G111" s="39">
        <f t="shared" si="34"/>
        <v>0</v>
      </c>
      <c r="H111" s="518">
        <f>SUM($G$5:G111)</f>
        <v>40186040.380000003</v>
      </c>
      <c r="I111" s="518"/>
      <c r="J111" s="614">
        <v>256469.029999994</v>
      </c>
      <c r="K111" s="39">
        <f t="shared" si="52"/>
        <v>33257737.659999996</v>
      </c>
      <c r="L111" s="518"/>
      <c r="M111" s="92">
        <f t="shared" si="59"/>
        <v>6928302.7200000063</v>
      </c>
      <c r="O111" s="39">
        <f t="shared" si="62"/>
        <v>13796.4</v>
      </c>
      <c r="P111" s="39">
        <f t="shared" si="62"/>
        <v>9722.28125</v>
      </c>
      <c r="Q111" s="39">
        <f t="shared" si="62"/>
        <v>12080.370666666666</v>
      </c>
      <c r="R111" s="39">
        <f t="shared" si="62"/>
        <v>15260.065666666665</v>
      </c>
      <c r="S111" s="39">
        <f t="shared" si="62"/>
        <v>15944.075000000001</v>
      </c>
      <c r="T111" s="39">
        <f t="shared" si="62"/>
        <v>17603.616250000003</v>
      </c>
      <c r="U111" s="39">
        <f t="shared" si="65"/>
        <v>10939.370833333332</v>
      </c>
      <c r="V111" s="39">
        <f t="shared" si="65"/>
        <v>15243.782083333334</v>
      </c>
      <c r="W111" s="39">
        <f t="shared" si="65"/>
        <v>11017.99425</v>
      </c>
      <c r="X111" s="39">
        <f t="shared" si="65"/>
        <v>17485.601749999998</v>
      </c>
      <c r="Y111" s="39">
        <f t="shared" si="65"/>
        <v>10890.147916666667</v>
      </c>
      <c r="Z111" s="39">
        <f t="shared" si="65"/>
        <v>7488.6954166666665</v>
      </c>
      <c r="AA111" s="39">
        <f t="shared" si="65"/>
        <v>8225.8129166666677</v>
      </c>
      <c r="AB111" s="39">
        <f t="shared" si="65"/>
        <v>8388.9866666666676</v>
      </c>
      <c r="AC111" s="39">
        <f t="shared" si="65"/>
        <v>13769.138416666667</v>
      </c>
      <c r="AD111" s="39">
        <f t="shared" si="65"/>
        <v>8700.2379166666669</v>
      </c>
      <c r="AE111" s="39">
        <f t="shared" si="65"/>
        <v>9998.3125</v>
      </c>
      <c r="AF111" s="39">
        <f t="shared" si="65"/>
        <v>10366.302666666666</v>
      </c>
      <c r="AG111" s="39">
        <f t="shared" si="65"/>
        <v>10732.562750000001</v>
      </c>
      <c r="AH111" s="39">
        <f t="shared" si="65"/>
        <v>9105.5835833333331</v>
      </c>
      <c r="AI111" s="39">
        <f t="shared" si="65"/>
        <v>10440.417416666667</v>
      </c>
      <c r="AJ111" s="39">
        <f t="shared" si="65"/>
        <v>8303.1186666666672</v>
      </c>
      <c r="AK111" s="39">
        <f t="shared" si="65"/>
        <v>8865.7425000000003</v>
      </c>
      <c r="AL111" s="39">
        <f t="shared" si="65"/>
        <v>8628.6307500000003</v>
      </c>
      <c r="AM111" s="39">
        <f t="shared" si="55"/>
        <v>5003.7696666666661</v>
      </c>
      <c r="AN111" s="39">
        <f t="shared" si="65"/>
        <v>11058.227500000001</v>
      </c>
      <c r="AO111" s="39">
        <f t="shared" si="65"/>
        <v>15030.796999999999</v>
      </c>
      <c r="AP111" s="39">
        <f t="shared" si="56"/>
        <v>11048.227083333333</v>
      </c>
      <c r="AQ111" s="518">
        <f t="shared" si="57"/>
        <v>11805.924583333333</v>
      </c>
      <c r="AR111" s="39">
        <f t="shared" si="58"/>
        <v>5757.6083333333336</v>
      </c>
      <c r="AS111" s="518">
        <f t="shared" si="60"/>
        <v>779.89166666666665</v>
      </c>
      <c r="AT111" s="39">
        <f t="shared" si="63"/>
        <v>568.33333333333337</v>
      </c>
      <c r="AU111" s="39">
        <f t="shared" si="64"/>
        <v>606.45416666666665</v>
      </c>
      <c r="AV111" s="39">
        <f t="shared" si="64"/>
        <v>227.18866666666665</v>
      </c>
      <c r="AW111" s="39"/>
      <c r="AX111" s="39">
        <f t="shared" si="61"/>
        <v>334883.66983333335</v>
      </c>
    </row>
    <row r="112" spans="1:50" s="335" customFormat="1" outlineLevel="1">
      <c r="A112" s="327" t="s">
        <v>58</v>
      </c>
      <c r="B112" s="327">
        <f t="shared" si="46"/>
        <v>2022</v>
      </c>
      <c r="C112" s="327" t="s">
        <v>47</v>
      </c>
      <c r="D112" s="518"/>
      <c r="E112" s="39"/>
      <c r="F112" s="39"/>
      <c r="G112" s="39">
        <f t="shared" ref="G112:G157" si="66">G111</f>
        <v>0</v>
      </c>
      <c r="H112" s="518">
        <f>SUM($G$5:G112)</f>
        <v>40186040.380000003</v>
      </c>
      <c r="I112" s="518"/>
      <c r="J112" s="614">
        <v>320471.39999999298</v>
      </c>
      <c r="K112" s="39">
        <f t="shared" si="52"/>
        <v>33578209.059999987</v>
      </c>
      <c r="L112" s="518"/>
      <c r="M112" s="92">
        <f t="shared" si="59"/>
        <v>6607831.3200000152</v>
      </c>
      <c r="O112" s="39">
        <f t="shared" si="62"/>
        <v>13796.4</v>
      </c>
      <c r="P112" s="39">
        <f t="shared" si="62"/>
        <v>9722.28125</v>
      </c>
      <c r="Q112" s="39">
        <f t="shared" si="62"/>
        <v>12080.370666666666</v>
      </c>
      <c r="R112" s="39">
        <f t="shared" si="62"/>
        <v>15260.065666666665</v>
      </c>
      <c r="S112" s="39">
        <f t="shared" si="62"/>
        <v>15944.075000000001</v>
      </c>
      <c r="T112" s="39">
        <f t="shared" si="62"/>
        <v>17603.616250000003</v>
      </c>
      <c r="U112" s="39">
        <f t="shared" si="65"/>
        <v>10939.370833333332</v>
      </c>
      <c r="V112" s="39">
        <f t="shared" si="65"/>
        <v>15243.782083333334</v>
      </c>
      <c r="W112" s="39">
        <f t="shared" si="65"/>
        <v>11017.99425</v>
      </c>
      <c r="X112" s="39">
        <f t="shared" si="65"/>
        <v>17485.601749999998</v>
      </c>
      <c r="Y112" s="39">
        <f t="shared" si="65"/>
        <v>10890.147916666667</v>
      </c>
      <c r="Z112" s="39">
        <f t="shared" si="65"/>
        <v>7488.6954166666665</v>
      </c>
      <c r="AA112" s="39">
        <f t="shared" si="65"/>
        <v>8225.8129166666677</v>
      </c>
      <c r="AB112" s="39">
        <f t="shared" si="65"/>
        <v>8388.9866666666676</v>
      </c>
      <c r="AC112" s="39">
        <f t="shared" si="65"/>
        <v>13769.138416666667</v>
      </c>
      <c r="AD112" s="39">
        <f t="shared" si="65"/>
        <v>8700.2379166666669</v>
      </c>
      <c r="AE112" s="39">
        <f t="shared" si="65"/>
        <v>9998.3125</v>
      </c>
      <c r="AF112" s="39">
        <f t="shared" si="65"/>
        <v>10366.302666666666</v>
      </c>
      <c r="AG112" s="39">
        <f t="shared" si="65"/>
        <v>10732.562750000001</v>
      </c>
      <c r="AH112" s="39">
        <f t="shared" si="65"/>
        <v>9105.5835833333331</v>
      </c>
      <c r="AI112" s="39">
        <f t="shared" si="65"/>
        <v>10440.417416666667</v>
      </c>
      <c r="AJ112" s="39">
        <f t="shared" si="65"/>
        <v>8303.1186666666672</v>
      </c>
      <c r="AK112" s="39">
        <f t="shared" si="65"/>
        <v>8865.7425000000003</v>
      </c>
      <c r="AL112" s="39">
        <f t="shared" si="65"/>
        <v>8628.6307500000003</v>
      </c>
      <c r="AM112" s="39">
        <f t="shared" si="55"/>
        <v>5003.7696666666661</v>
      </c>
      <c r="AN112" s="39">
        <f t="shared" si="65"/>
        <v>11058.227500000001</v>
      </c>
      <c r="AO112" s="39">
        <f t="shared" si="65"/>
        <v>15030.796999999999</v>
      </c>
      <c r="AP112" s="39">
        <f t="shared" si="56"/>
        <v>11048.227083333333</v>
      </c>
      <c r="AQ112" s="518">
        <f t="shared" si="57"/>
        <v>11805.924583333333</v>
      </c>
      <c r="AR112" s="39">
        <f t="shared" si="58"/>
        <v>5757.6083333333336</v>
      </c>
      <c r="AS112" s="518">
        <f t="shared" si="60"/>
        <v>779.89166666666665</v>
      </c>
      <c r="AT112" s="39">
        <f t="shared" si="63"/>
        <v>568.33333333333337</v>
      </c>
      <c r="AU112" s="39">
        <f t="shared" si="64"/>
        <v>606.45416666666665</v>
      </c>
      <c r="AV112" s="39">
        <f t="shared" si="64"/>
        <v>227.18866666666665</v>
      </c>
      <c r="AW112" s="39"/>
      <c r="AX112" s="39">
        <f t="shared" si="61"/>
        <v>334883.66983333335</v>
      </c>
    </row>
    <row r="113" spans="1:50" s="335" customFormat="1" outlineLevel="1">
      <c r="A113" s="327" t="s">
        <v>59</v>
      </c>
      <c r="B113" s="327">
        <f t="shared" si="46"/>
        <v>2022</v>
      </c>
      <c r="C113" s="327" t="s">
        <v>47</v>
      </c>
      <c r="D113" s="518"/>
      <c r="E113" s="39"/>
      <c r="F113" s="39"/>
      <c r="G113" s="39">
        <f t="shared" si="66"/>
        <v>0</v>
      </c>
      <c r="H113" s="518">
        <f>SUM($G$5:G113)</f>
        <v>40186040.380000003</v>
      </c>
      <c r="I113" s="518"/>
      <c r="J113" s="614">
        <v>255319.51999999399</v>
      </c>
      <c r="K113" s="39">
        <f t="shared" si="52"/>
        <v>33833528.579999983</v>
      </c>
      <c r="L113" s="518"/>
      <c r="M113" s="92">
        <f t="shared" si="59"/>
        <v>6352511.8000000194</v>
      </c>
      <c r="O113" s="39">
        <f t="shared" si="62"/>
        <v>13796.4</v>
      </c>
      <c r="P113" s="39">
        <f t="shared" si="62"/>
        <v>9722.28125</v>
      </c>
      <c r="Q113" s="39">
        <f t="shared" si="62"/>
        <v>12080.370666666666</v>
      </c>
      <c r="R113" s="39">
        <f t="shared" si="62"/>
        <v>15260.065666666665</v>
      </c>
      <c r="S113" s="39">
        <f t="shared" si="62"/>
        <v>15944.075000000001</v>
      </c>
      <c r="T113" s="39">
        <f t="shared" si="62"/>
        <v>17603.616250000003</v>
      </c>
      <c r="U113" s="39">
        <f t="shared" si="65"/>
        <v>10939.370833333332</v>
      </c>
      <c r="V113" s="39">
        <f t="shared" si="65"/>
        <v>15243.782083333334</v>
      </c>
      <c r="W113" s="39">
        <f t="shared" si="65"/>
        <v>11017.99425</v>
      </c>
      <c r="X113" s="39">
        <f t="shared" si="65"/>
        <v>17485.601749999998</v>
      </c>
      <c r="Y113" s="39">
        <f t="shared" si="65"/>
        <v>10890.147916666667</v>
      </c>
      <c r="Z113" s="39">
        <f t="shared" si="65"/>
        <v>7488.6954166666665</v>
      </c>
      <c r="AA113" s="39">
        <f t="shared" si="65"/>
        <v>8225.8129166666677</v>
      </c>
      <c r="AB113" s="39">
        <f t="shared" si="65"/>
        <v>8388.9866666666676</v>
      </c>
      <c r="AC113" s="39">
        <f t="shared" si="65"/>
        <v>13769.138416666667</v>
      </c>
      <c r="AD113" s="39">
        <f t="shared" si="65"/>
        <v>8700.2379166666669</v>
      </c>
      <c r="AE113" s="39">
        <f t="shared" si="65"/>
        <v>9998.3125</v>
      </c>
      <c r="AF113" s="39">
        <f t="shared" si="65"/>
        <v>10366.302666666666</v>
      </c>
      <c r="AG113" s="39">
        <f t="shared" si="65"/>
        <v>10732.562750000001</v>
      </c>
      <c r="AH113" s="39">
        <f t="shared" si="65"/>
        <v>9105.5835833333331</v>
      </c>
      <c r="AI113" s="39">
        <f t="shared" si="65"/>
        <v>10440.417416666667</v>
      </c>
      <c r="AJ113" s="39">
        <f t="shared" si="65"/>
        <v>8303.1186666666672</v>
      </c>
      <c r="AK113" s="39">
        <f t="shared" si="65"/>
        <v>8865.7425000000003</v>
      </c>
      <c r="AL113" s="39">
        <f t="shared" si="65"/>
        <v>8628.6307500000003</v>
      </c>
      <c r="AM113" s="39">
        <f t="shared" si="55"/>
        <v>5003.7696666666661</v>
      </c>
      <c r="AN113" s="39">
        <f t="shared" si="65"/>
        <v>11058.227500000001</v>
      </c>
      <c r="AO113" s="39">
        <f t="shared" si="65"/>
        <v>15030.796999999999</v>
      </c>
      <c r="AP113" s="39">
        <f t="shared" si="56"/>
        <v>11048.227083333333</v>
      </c>
      <c r="AQ113" s="518">
        <f t="shared" si="57"/>
        <v>11805.924583333333</v>
      </c>
      <c r="AR113" s="39">
        <f t="shared" si="58"/>
        <v>5757.6083333333336</v>
      </c>
      <c r="AS113" s="518">
        <f t="shared" si="60"/>
        <v>779.89166666666665</v>
      </c>
      <c r="AT113" s="39">
        <f t="shared" si="63"/>
        <v>568.33333333333337</v>
      </c>
      <c r="AU113" s="39">
        <f t="shared" si="64"/>
        <v>606.45416666666665</v>
      </c>
      <c r="AV113" s="39">
        <f t="shared" si="64"/>
        <v>227.18866666666665</v>
      </c>
      <c r="AW113" s="39"/>
      <c r="AX113" s="39">
        <f t="shared" si="61"/>
        <v>334883.66983333335</v>
      </c>
    </row>
    <row r="114" spans="1:50" s="335" customFormat="1" outlineLevel="1">
      <c r="A114" s="327" t="s">
        <v>46</v>
      </c>
      <c r="B114" s="327">
        <f t="shared" si="46"/>
        <v>2022</v>
      </c>
      <c r="C114" s="327" t="s">
        <v>47</v>
      </c>
      <c r="D114" s="518"/>
      <c r="E114" s="39"/>
      <c r="F114" s="39"/>
      <c r="G114" s="39">
        <f t="shared" si="66"/>
        <v>0</v>
      </c>
      <c r="H114" s="518">
        <f>SUM($G$5:G114)</f>
        <v>40186040.380000003</v>
      </c>
      <c r="I114" s="518"/>
      <c r="J114" s="614">
        <v>365602.99</v>
      </c>
      <c r="K114" s="39">
        <f t="shared" si="52"/>
        <v>34199131.569999985</v>
      </c>
      <c r="L114" s="518"/>
      <c r="M114" s="92">
        <f t="shared" si="59"/>
        <v>5986908.8100000173</v>
      </c>
      <c r="O114" s="39">
        <f t="shared" si="62"/>
        <v>13796.4</v>
      </c>
      <c r="P114" s="39">
        <f t="shared" si="62"/>
        <v>9722.28125</v>
      </c>
      <c r="Q114" s="39">
        <f t="shared" si="62"/>
        <v>12080.370666666666</v>
      </c>
      <c r="R114" s="39">
        <f t="shared" si="62"/>
        <v>15260.065666666665</v>
      </c>
      <c r="S114" s="39">
        <f t="shared" si="62"/>
        <v>15944.075000000001</v>
      </c>
      <c r="T114" s="39">
        <f t="shared" si="62"/>
        <v>17603.616250000003</v>
      </c>
      <c r="U114" s="39">
        <f t="shared" si="65"/>
        <v>10939.370833333332</v>
      </c>
      <c r="V114" s="39">
        <f t="shared" si="65"/>
        <v>15243.782083333334</v>
      </c>
      <c r="W114" s="39">
        <f t="shared" si="65"/>
        <v>11017.99425</v>
      </c>
      <c r="X114" s="39">
        <f t="shared" si="65"/>
        <v>17485.601749999998</v>
      </c>
      <c r="Y114" s="39">
        <f t="shared" si="65"/>
        <v>10890.147916666667</v>
      </c>
      <c r="Z114" s="39">
        <f t="shared" si="65"/>
        <v>7488.6954166666665</v>
      </c>
      <c r="AA114" s="39">
        <f t="shared" si="65"/>
        <v>8225.8129166666677</v>
      </c>
      <c r="AB114" s="39">
        <f t="shared" si="65"/>
        <v>8388.9866666666676</v>
      </c>
      <c r="AC114" s="39">
        <f t="shared" si="65"/>
        <v>13769.138416666667</v>
      </c>
      <c r="AD114" s="39">
        <f t="shared" si="65"/>
        <v>8700.2379166666669</v>
      </c>
      <c r="AE114" s="39">
        <f t="shared" si="65"/>
        <v>9998.3125</v>
      </c>
      <c r="AF114" s="39">
        <f t="shared" si="65"/>
        <v>10366.302666666666</v>
      </c>
      <c r="AG114" s="39">
        <f t="shared" si="65"/>
        <v>10732.562750000001</v>
      </c>
      <c r="AH114" s="39">
        <f t="shared" si="65"/>
        <v>9105.5835833333331</v>
      </c>
      <c r="AI114" s="39">
        <f t="shared" si="65"/>
        <v>10440.417416666667</v>
      </c>
      <c r="AJ114" s="39">
        <f t="shared" si="65"/>
        <v>8303.1186666666672</v>
      </c>
      <c r="AK114" s="39">
        <f t="shared" si="65"/>
        <v>8865.7425000000003</v>
      </c>
      <c r="AL114" s="39">
        <f t="shared" si="65"/>
        <v>8628.6307500000003</v>
      </c>
      <c r="AM114" s="39">
        <f t="shared" si="55"/>
        <v>5003.7696666666661</v>
      </c>
      <c r="AN114" s="39">
        <f t="shared" si="65"/>
        <v>11058.227500000001</v>
      </c>
      <c r="AO114" s="39">
        <f t="shared" si="65"/>
        <v>15030.796999999999</v>
      </c>
      <c r="AP114" s="39">
        <f t="shared" si="56"/>
        <v>11048.227083333333</v>
      </c>
      <c r="AQ114" s="518">
        <f t="shared" si="57"/>
        <v>11805.924583333333</v>
      </c>
      <c r="AR114" s="39">
        <f t="shared" si="58"/>
        <v>5757.6083333333336</v>
      </c>
      <c r="AS114" s="518">
        <f t="shared" si="60"/>
        <v>779.89166666666665</v>
      </c>
      <c r="AT114" s="39">
        <f t="shared" si="63"/>
        <v>568.33333333333337</v>
      </c>
      <c r="AU114" s="39">
        <f t="shared" si="64"/>
        <v>606.45416666666665</v>
      </c>
      <c r="AV114" s="39">
        <f t="shared" si="64"/>
        <v>227.18866666666665</v>
      </c>
      <c r="AW114" s="39"/>
      <c r="AX114" s="39">
        <f t="shared" si="61"/>
        <v>334883.66983333335</v>
      </c>
    </row>
    <row r="115" spans="1:50" s="335" customFormat="1" outlineLevel="1">
      <c r="A115" s="327" t="s">
        <v>48</v>
      </c>
      <c r="B115" s="327">
        <f t="shared" si="46"/>
        <v>2022</v>
      </c>
      <c r="C115" s="327" t="s">
        <v>47</v>
      </c>
      <c r="D115" s="518"/>
      <c r="E115" s="39"/>
      <c r="F115" s="39"/>
      <c r="G115" s="39">
        <f t="shared" si="66"/>
        <v>0</v>
      </c>
      <c r="H115" s="518">
        <f>SUM($G$5:G115)</f>
        <v>40186040.380000003</v>
      </c>
      <c r="I115" s="518"/>
      <c r="J115" s="614">
        <v>255580.82999999399</v>
      </c>
      <c r="K115" s="39">
        <f t="shared" si="52"/>
        <v>34454712.399999976</v>
      </c>
      <c r="L115" s="518"/>
      <c r="M115" s="92">
        <f t="shared" si="59"/>
        <v>5731327.9800000265</v>
      </c>
      <c r="O115" s="39">
        <f t="shared" si="62"/>
        <v>13796.4</v>
      </c>
      <c r="P115" s="39">
        <f t="shared" si="62"/>
        <v>9722.28125</v>
      </c>
      <c r="Q115" s="39">
        <f t="shared" si="62"/>
        <v>12080.370666666666</v>
      </c>
      <c r="R115" s="39">
        <f t="shared" si="62"/>
        <v>15260.065666666665</v>
      </c>
      <c r="S115" s="39">
        <f t="shared" si="62"/>
        <v>15944.075000000001</v>
      </c>
      <c r="T115" s="39">
        <f t="shared" si="62"/>
        <v>17603.616250000003</v>
      </c>
      <c r="U115" s="39">
        <f t="shared" si="65"/>
        <v>10939.370833333332</v>
      </c>
      <c r="V115" s="39">
        <f t="shared" si="65"/>
        <v>15243.782083333334</v>
      </c>
      <c r="W115" s="39">
        <f t="shared" si="65"/>
        <v>11017.99425</v>
      </c>
      <c r="X115" s="39">
        <f t="shared" si="65"/>
        <v>17485.601749999998</v>
      </c>
      <c r="Y115" s="39">
        <f t="shared" si="65"/>
        <v>10890.147916666667</v>
      </c>
      <c r="Z115" s="39">
        <f t="shared" si="65"/>
        <v>7488.6954166666665</v>
      </c>
      <c r="AA115" s="39">
        <f t="shared" si="65"/>
        <v>8225.8129166666677</v>
      </c>
      <c r="AB115" s="39">
        <f t="shared" si="65"/>
        <v>8388.9866666666676</v>
      </c>
      <c r="AC115" s="39">
        <f t="shared" si="65"/>
        <v>13769.138416666667</v>
      </c>
      <c r="AD115" s="39">
        <f t="shared" si="65"/>
        <v>8700.2379166666669</v>
      </c>
      <c r="AE115" s="39">
        <f t="shared" si="65"/>
        <v>9998.3125</v>
      </c>
      <c r="AF115" s="39">
        <f t="shared" si="65"/>
        <v>10366.302666666666</v>
      </c>
      <c r="AG115" s="39">
        <f t="shared" si="65"/>
        <v>10732.562750000001</v>
      </c>
      <c r="AH115" s="39">
        <f t="shared" si="65"/>
        <v>9105.5835833333331</v>
      </c>
      <c r="AI115" s="39">
        <f t="shared" si="65"/>
        <v>10440.417416666667</v>
      </c>
      <c r="AJ115" s="39">
        <f t="shared" si="65"/>
        <v>8303.1186666666672</v>
      </c>
      <c r="AK115" s="39">
        <f t="shared" si="65"/>
        <v>8865.7425000000003</v>
      </c>
      <c r="AL115" s="39">
        <f t="shared" si="65"/>
        <v>8628.6307500000003</v>
      </c>
      <c r="AM115" s="39">
        <f t="shared" si="55"/>
        <v>5003.7696666666661</v>
      </c>
      <c r="AN115" s="39">
        <f t="shared" si="65"/>
        <v>11058.227500000001</v>
      </c>
      <c r="AO115" s="39">
        <f t="shared" si="65"/>
        <v>15030.796999999999</v>
      </c>
      <c r="AP115" s="39">
        <f t="shared" si="56"/>
        <v>11048.227083333333</v>
      </c>
      <c r="AQ115" s="518">
        <f t="shared" si="57"/>
        <v>11805.924583333333</v>
      </c>
      <c r="AR115" s="39">
        <f t="shared" si="58"/>
        <v>5757.6083333333336</v>
      </c>
      <c r="AS115" s="518">
        <f t="shared" si="60"/>
        <v>779.89166666666665</v>
      </c>
      <c r="AT115" s="39">
        <f t="shared" si="63"/>
        <v>568.33333333333337</v>
      </c>
      <c r="AU115" s="39">
        <f t="shared" si="64"/>
        <v>606.45416666666665</v>
      </c>
      <c r="AV115" s="39">
        <f t="shared" si="64"/>
        <v>227.18866666666665</v>
      </c>
      <c r="AW115" s="39"/>
      <c r="AX115" s="39">
        <f t="shared" si="61"/>
        <v>334883.66983333335</v>
      </c>
    </row>
    <row r="116" spans="1:50" s="335" customFormat="1" outlineLevel="1">
      <c r="A116" s="327" t="s">
        <v>50</v>
      </c>
      <c r="B116" s="327">
        <f t="shared" si="46"/>
        <v>2022</v>
      </c>
      <c r="C116" s="327" t="s">
        <v>47</v>
      </c>
      <c r="D116" s="518"/>
      <c r="E116" s="39"/>
      <c r="F116" s="39"/>
      <c r="G116" s="39">
        <f t="shared" si="66"/>
        <v>0</v>
      </c>
      <c r="H116" s="518">
        <f>SUM($G$5:G116)</f>
        <v>40186040.380000003</v>
      </c>
      <c r="I116" s="518"/>
      <c r="J116" s="614">
        <v>240913.709999994</v>
      </c>
      <c r="K116" s="39">
        <f t="shared" si="52"/>
        <v>34695626.10999997</v>
      </c>
      <c r="L116" s="518"/>
      <c r="M116" s="92">
        <f t="shared" si="59"/>
        <v>5490414.2700000331</v>
      </c>
      <c r="O116" s="39">
        <f t="shared" si="62"/>
        <v>13796.4</v>
      </c>
      <c r="P116" s="39">
        <f t="shared" si="62"/>
        <v>9722.28125</v>
      </c>
      <c r="Q116" s="39">
        <f t="shared" si="62"/>
        <v>12080.370666666666</v>
      </c>
      <c r="R116" s="39">
        <f t="shared" si="62"/>
        <v>15260.065666666665</v>
      </c>
      <c r="S116" s="39">
        <f t="shared" si="62"/>
        <v>15944.075000000001</v>
      </c>
      <c r="T116" s="39">
        <f t="shared" si="62"/>
        <v>17603.616250000003</v>
      </c>
      <c r="U116" s="39">
        <f t="shared" si="65"/>
        <v>10939.370833333332</v>
      </c>
      <c r="V116" s="39">
        <f t="shared" si="65"/>
        <v>15243.782083333334</v>
      </c>
      <c r="W116" s="39">
        <f t="shared" si="65"/>
        <v>11017.99425</v>
      </c>
      <c r="X116" s="39">
        <f t="shared" si="65"/>
        <v>17485.601749999998</v>
      </c>
      <c r="Y116" s="39">
        <f t="shared" si="65"/>
        <v>10890.147916666667</v>
      </c>
      <c r="Z116" s="39">
        <f t="shared" si="65"/>
        <v>7488.6954166666665</v>
      </c>
      <c r="AA116" s="39">
        <f t="shared" si="65"/>
        <v>8225.8129166666677</v>
      </c>
      <c r="AB116" s="39">
        <f t="shared" si="65"/>
        <v>8388.9866666666676</v>
      </c>
      <c r="AC116" s="39">
        <f t="shared" si="65"/>
        <v>13769.138416666667</v>
      </c>
      <c r="AD116" s="39">
        <f t="shared" si="65"/>
        <v>8700.2379166666669</v>
      </c>
      <c r="AE116" s="39">
        <f t="shared" si="65"/>
        <v>9998.3125</v>
      </c>
      <c r="AF116" s="39">
        <f t="shared" si="65"/>
        <v>10366.302666666666</v>
      </c>
      <c r="AG116" s="39">
        <f t="shared" si="65"/>
        <v>10732.562750000001</v>
      </c>
      <c r="AH116" s="39">
        <f t="shared" si="65"/>
        <v>9105.5835833333331</v>
      </c>
      <c r="AI116" s="39">
        <f t="shared" si="65"/>
        <v>10440.417416666667</v>
      </c>
      <c r="AJ116" s="39">
        <f t="shared" si="65"/>
        <v>8303.1186666666672</v>
      </c>
      <c r="AK116" s="39">
        <f t="shared" si="65"/>
        <v>8865.7425000000003</v>
      </c>
      <c r="AL116" s="39">
        <f t="shared" si="65"/>
        <v>8628.6307500000003</v>
      </c>
      <c r="AM116" s="39">
        <f t="shared" si="55"/>
        <v>5003.7696666666661</v>
      </c>
      <c r="AN116" s="39">
        <f t="shared" si="65"/>
        <v>11058.227500000001</v>
      </c>
      <c r="AO116" s="39">
        <f t="shared" si="65"/>
        <v>15030.796999999999</v>
      </c>
      <c r="AP116" s="39">
        <f t="shared" si="56"/>
        <v>11048.227083333333</v>
      </c>
      <c r="AQ116" s="518">
        <f t="shared" si="57"/>
        <v>11805.924583333333</v>
      </c>
      <c r="AR116" s="39">
        <f t="shared" si="58"/>
        <v>5757.6083333333336</v>
      </c>
      <c r="AS116" s="518">
        <f t="shared" si="60"/>
        <v>779.89166666666665</v>
      </c>
      <c r="AT116" s="39">
        <f t="shared" si="63"/>
        <v>568.33333333333337</v>
      </c>
      <c r="AU116" s="39">
        <f t="shared" si="64"/>
        <v>606.45416666666665</v>
      </c>
      <c r="AV116" s="39">
        <f t="shared" si="64"/>
        <v>227.18866666666665</v>
      </c>
      <c r="AW116" s="39"/>
      <c r="AX116" s="39">
        <f t="shared" si="61"/>
        <v>334883.66983333335</v>
      </c>
    </row>
    <row r="117" spans="1:50" s="585" customFormat="1" outlineLevel="1">
      <c r="A117" s="308" t="s">
        <v>51</v>
      </c>
      <c r="B117" s="308">
        <f t="shared" si="46"/>
        <v>2022</v>
      </c>
      <c r="C117" s="308" t="s">
        <v>47</v>
      </c>
      <c r="D117" s="518"/>
      <c r="E117" s="518"/>
      <c r="F117" s="518"/>
      <c r="G117" s="518">
        <f t="shared" si="66"/>
        <v>0</v>
      </c>
      <c r="H117" s="518">
        <f>SUM($G$5:G117)</f>
        <v>40186040.380000003</v>
      </c>
      <c r="I117" s="518"/>
      <c r="J117" s="614">
        <v>234190.99999999499</v>
      </c>
      <c r="K117" s="518">
        <f t="shared" si="52"/>
        <v>34929817.109999962</v>
      </c>
      <c r="L117" s="518"/>
      <c r="M117" s="583">
        <f t="shared" si="59"/>
        <v>5256223.2700000405</v>
      </c>
      <c r="O117" s="518">
        <f t="shared" si="62"/>
        <v>13796.4</v>
      </c>
      <c r="P117" s="518">
        <f t="shared" si="62"/>
        <v>9722.28125</v>
      </c>
      <c r="Q117" s="518">
        <f t="shared" si="62"/>
        <v>12080.370666666666</v>
      </c>
      <c r="R117" s="518">
        <f t="shared" si="62"/>
        <v>15260.065666666665</v>
      </c>
      <c r="S117" s="518">
        <f t="shared" si="62"/>
        <v>15944.075000000001</v>
      </c>
      <c r="T117" s="518">
        <f t="shared" si="62"/>
        <v>17603.616250000003</v>
      </c>
      <c r="U117" s="518">
        <f t="shared" si="65"/>
        <v>10939.370833333332</v>
      </c>
      <c r="V117" s="518">
        <f t="shared" si="65"/>
        <v>15243.782083333334</v>
      </c>
      <c r="W117" s="518">
        <f t="shared" si="65"/>
        <v>11017.99425</v>
      </c>
      <c r="X117" s="518">
        <f t="shared" si="65"/>
        <v>17485.601749999998</v>
      </c>
      <c r="Y117" s="518">
        <f t="shared" si="65"/>
        <v>10890.147916666667</v>
      </c>
      <c r="Z117" s="518">
        <f t="shared" si="65"/>
        <v>7488.6954166666665</v>
      </c>
      <c r="AA117" s="518">
        <f t="shared" si="65"/>
        <v>8225.8129166666677</v>
      </c>
      <c r="AB117" s="518">
        <f t="shared" si="65"/>
        <v>8388.9866666666676</v>
      </c>
      <c r="AC117" s="518">
        <f t="shared" si="65"/>
        <v>13769.138416666667</v>
      </c>
      <c r="AD117" s="518">
        <f t="shared" si="65"/>
        <v>8700.2379166666669</v>
      </c>
      <c r="AE117" s="518">
        <f t="shared" si="65"/>
        <v>9998.3125</v>
      </c>
      <c r="AF117" s="518">
        <f t="shared" si="65"/>
        <v>10366.302666666666</v>
      </c>
      <c r="AG117" s="518">
        <f t="shared" si="65"/>
        <v>10732.562750000001</v>
      </c>
      <c r="AH117" s="518">
        <f t="shared" si="65"/>
        <v>9105.5835833333331</v>
      </c>
      <c r="AI117" s="518">
        <f t="shared" si="65"/>
        <v>10440.417416666667</v>
      </c>
      <c r="AJ117" s="518">
        <f t="shared" si="65"/>
        <v>8303.1186666666672</v>
      </c>
      <c r="AK117" s="518">
        <f t="shared" si="65"/>
        <v>8865.7425000000003</v>
      </c>
      <c r="AL117" s="518">
        <f t="shared" si="65"/>
        <v>8628.6307500000003</v>
      </c>
      <c r="AM117" s="518">
        <f t="shared" si="55"/>
        <v>5003.7696666666661</v>
      </c>
      <c r="AN117" s="518">
        <f t="shared" si="65"/>
        <v>11058.227500000001</v>
      </c>
      <c r="AO117" s="518">
        <f t="shared" si="65"/>
        <v>15030.796999999999</v>
      </c>
      <c r="AP117" s="518">
        <f t="shared" si="56"/>
        <v>11048.227083333333</v>
      </c>
      <c r="AQ117" s="518">
        <f t="shared" si="57"/>
        <v>11805.924583333333</v>
      </c>
      <c r="AR117" s="518">
        <f t="shared" si="58"/>
        <v>5757.6083333333336</v>
      </c>
      <c r="AS117" s="518">
        <f t="shared" si="60"/>
        <v>779.89166666666665</v>
      </c>
      <c r="AT117" s="518">
        <f t="shared" si="63"/>
        <v>568.33333333333337</v>
      </c>
      <c r="AU117" s="518">
        <f t="shared" si="64"/>
        <v>606.45416666666665</v>
      </c>
      <c r="AV117" s="518">
        <f t="shared" si="64"/>
        <v>227.18866666666665</v>
      </c>
      <c r="AW117" s="518"/>
      <c r="AX117" s="518">
        <f t="shared" si="61"/>
        <v>334883.66983333335</v>
      </c>
    </row>
    <row r="118" spans="1:50" s="585" customFormat="1" outlineLevel="1">
      <c r="A118" s="308" t="s">
        <v>52</v>
      </c>
      <c r="B118" s="308">
        <f t="shared" si="46"/>
        <v>2022</v>
      </c>
      <c r="C118" s="308" t="s">
        <v>47</v>
      </c>
      <c r="D118" s="518"/>
      <c r="E118" s="518"/>
      <c r="F118" s="518"/>
      <c r="G118" s="518">
        <f t="shared" si="66"/>
        <v>0</v>
      </c>
      <c r="H118" s="518">
        <f>SUM($G$5:G118)</f>
        <v>40186040.380000003</v>
      </c>
      <c r="I118" s="518"/>
      <c r="J118" s="614">
        <v>259084.44999999399</v>
      </c>
      <c r="K118" s="518">
        <f t="shared" si="52"/>
        <v>35188901.559999958</v>
      </c>
      <c r="L118" s="518"/>
      <c r="M118" s="583">
        <f t="shared" si="59"/>
        <v>4997138.820000045</v>
      </c>
      <c r="O118" s="518">
        <f t="shared" ref="O118:X124" si="67">+O117</f>
        <v>13796.4</v>
      </c>
      <c r="P118" s="518">
        <f t="shared" si="67"/>
        <v>9722.28125</v>
      </c>
      <c r="Q118" s="518">
        <f t="shared" si="67"/>
        <v>12080.370666666666</v>
      </c>
      <c r="R118" s="518">
        <f t="shared" si="67"/>
        <v>15260.065666666665</v>
      </c>
      <c r="S118" s="518">
        <f t="shared" si="67"/>
        <v>15944.075000000001</v>
      </c>
      <c r="T118" s="518">
        <f t="shared" si="67"/>
        <v>17603.616250000003</v>
      </c>
      <c r="U118" s="518">
        <f t="shared" si="65"/>
        <v>10939.370833333332</v>
      </c>
      <c r="V118" s="518">
        <f t="shared" si="65"/>
        <v>15243.782083333334</v>
      </c>
      <c r="W118" s="518">
        <f t="shared" si="65"/>
        <v>11017.99425</v>
      </c>
      <c r="X118" s="518">
        <f t="shared" si="65"/>
        <v>17485.601749999998</v>
      </c>
      <c r="Y118" s="518">
        <f t="shared" si="65"/>
        <v>10890.147916666667</v>
      </c>
      <c r="Z118" s="518">
        <f t="shared" si="65"/>
        <v>7488.6954166666665</v>
      </c>
      <c r="AA118" s="518">
        <f t="shared" si="65"/>
        <v>8225.8129166666677</v>
      </c>
      <c r="AB118" s="518">
        <f t="shared" si="65"/>
        <v>8388.9866666666676</v>
      </c>
      <c r="AC118" s="518">
        <f t="shared" si="65"/>
        <v>13769.138416666667</v>
      </c>
      <c r="AD118" s="518">
        <f t="shared" si="65"/>
        <v>8700.2379166666669</v>
      </c>
      <c r="AE118" s="518">
        <f t="shared" si="65"/>
        <v>9998.3125</v>
      </c>
      <c r="AF118" s="518">
        <f t="shared" si="65"/>
        <v>10366.302666666666</v>
      </c>
      <c r="AG118" s="518">
        <f t="shared" si="65"/>
        <v>10732.562750000001</v>
      </c>
      <c r="AH118" s="518">
        <f t="shared" si="65"/>
        <v>9105.5835833333331</v>
      </c>
      <c r="AI118" s="518">
        <f t="shared" si="65"/>
        <v>10440.417416666667</v>
      </c>
      <c r="AJ118" s="518">
        <f t="shared" si="65"/>
        <v>8303.1186666666672</v>
      </c>
      <c r="AK118" s="518">
        <f t="shared" si="65"/>
        <v>8865.7425000000003</v>
      </c>
      <c r="AL118" s="518">
        <f t="shared" si="65"/>
        <v>8628.6307500000003</v>
      </c>
      <c r="AM118" s="518">
        <f t="shared" si="55"/>
        <v>5003.7696666666661</v>
      </c>
      <c r="AN118" s="518">
        <f t="shared" si="65"/>
        <v>11058.227500000001</v>
      </c>
      <c r="AO118" s="518">
        <f t="shared" si="65"/>
        <v>15030.796999999999</v>
      </c>
      <c r="AP118" s="518">
        <f t="shared" si="56"/>
        <v>11048.227083333333</v>
      </c>
      <c r="AQ118" s="518">
        <f t="shared" si="57"/>
        <v>11805.924583333333</v>
      </c>
      <c r="AR118" s="518">
        <f t="shared" si="58"/>
        <v>5757.6083333333336</v>
      </c>
      <c r="AS118" s="518">
        <f t="shared" si="60"/>
        <v>779.89166666666665</v>
      </c>
      <c r="AT118" s="518">
        <f t="shared" si="63"/>
        <v>568.33333333333337</v>
      </c>
      <c r="AU118" s="518">
        <f t="shared" si="64"/>
        <v>606.45416666666665</v>
      </c>
      <c r="AV118" s="518">
        <f t="shared" si="64"/>
        <v>227.18866666666665</v>
      </c>
      <c r="AW118" s="518"/>
      <c r="AX118" s="518">
        <f t="shared" si="61"/>
        <v>334883.66983333335</v>
      </c>
    </row>
    <row r="119" spans="1:50" s="585" customFormat="1" outlineLevel="1">
      <c r="A119" s="308" t="s">
        <v>53</v>
      </c>
      <c r="B119" s="308">
        <f t="shared" si="46"/>
        <v>2023</v>
      </c>
      <c r="C119" s="308" t="s">
        <v>47</v>
      </c>
      <c r="D119" s="518"/>
      <c r="E119" s="518"/>
      <c r="F119" s="518"/>
      <c r="G119" s="518">
        <f t="shared" si="66"/>
        <v>0</v>
      </c>
      <c r="H119" s="518">
        <f>SUM($G$5:G119)</f>
        <v>40186040.380000003</v>
      </c>
      <c r="I119" s="518"/>
      <c r="J119" s="614">
        <v>256245.00999999401</v>
      </c>
      <c r="K119" s="518">
        <f t="shared" si="52"/>
        <v>35445146.569999948</v>
      </c>
      <c r="L119" s="518"/>
      <c r="M119" s="583">
        <f t="shared" si="59"/>
        <v>4740893.8100000545</v>
      </c>
      <c r="O119" s="518">
        <f t="shared" si="67"/>
        <v>13796.4</v>
      </c>
      <c r="P119" s="518">
        <f t="shared" si="67"/>
        <v>9722.28125</v>
      </c>
      <c r="Q119" s="518">
        <f t="shared" si="67"/>
        <v>12080.370666666666</v>
      </c>
      <c r="R119" s="518">
        <f t="shared" si="67"/>
        <v>15260.065666666665</v>
      </c>
      <c r="S119" s="518">
        <f t="shared" si="67"/>
        <v>15944.075000000001</v>
      </c>
      <c r="T119" s="518">
        <f t="shared" si="67"/>
        <v>17603.616250000003</v>
      </c>
      <c r="U119" s="518">
        <f t="shared" si="65"/>
        <v>10939.370833333332</v>
      </c>
      <c r="V119" s="518">
        <f t="shared" si="65"/>
        <v>15243.782083333334</v>
      </c>
      <c r="W119" s="518">
        <f t="shared" si="65"/>
        <v>11017.99425</v>
      </c>
      <c r="X119" s="518">
        <f t="shared" si="65"/>
        <v>17485.601749999998</v>
      </c>
      <c r="Y119" s="518">
        <f t="shared" si="65"/>
        <v>10890.147916666667</v>
      </c>
      <c r="Z119" s="518">
        <f t="shared" si="65"/>
        <v>7488.6954166666665</v>
      </c>
      <c r="AA119" s="518">
        <f t="shared" si="65"/>
        <v>8225.8129166666677</v>
      </c>
      <c r="AB119" s="518">
        <f t="shared" si="65"/>
        <v>8388.9866666666676</v>
      </c>
      <c r="AC119" s="518">
        <f t="shared" si="65"/>
        <v>13769.138416666667</v>
      </c>
      <c r="AD119" s="518">
        <f t="shared" si="65"/>
        <v>8700.2379166666669</v>
      </c>
      <c r="AE119" s="518">
        <f t="shared" si="65"/>
        <v>9998.3125</v>
      </c>
      <c r="AF119" s="518">
        <f t="shared" si="65"/>
        <v>10366.302666666666</v>
      </c>
      <c r="AG119" s="518">
        <f t="shared" si="65"/>
        <v>10732.562750000001</v>
      </c>
      <c r="AH119" s="518">
        <f t="shared" si="65"/>
        <v>9105.5835833333331</v>
      </c>
      <c r="AI119" s="518">
        <f t="shared" si="65"/>
        <v>10440.417416666667</v>
      </c>
      <c r="AJ119" s="518">
        <f t="shared" si="65"/>
        <v>8303.1186666666672</v>
      </c>
      <c r="AK119" s="518">
        <f t="shared" si="65"/>
        <v>8865.7425000000003</v>
      </c>
      <c r="AL119" s="518">
        <f t="shared" si="65"/>
        <v>8628.6307500000003</v>
      </c>
      <c r="AM119" s="518">
        <f t="shared" si="55"/>
        <v>5003.7696666666661</v>
      </c>
      <c r="AN119" s="518">
        <f t="shared" si="65"/>
        <v>11058.227500000001</v>
      </c>
      <c r="AO119" s="518">
        <f t="shared" si="65"/>
        <v>15030.796999999999</v>
      </c>
      <c r="AP119" s="518">
        <f t="shared" si="56"/>
        <v>11048.227083333333</v>
      </c>
      <c r="AQ119" s="518">
        <f t="shared" si="57"/>
        <v>11805.924583333333</v>
      </c>
      <c r="AR119" s="518">
        <f t="shared" si="58"/>
        <v>5757.6083333333336</v>
      </c>
      <c r="AS119" s="518">
        <f t="shared" si="60"/>
        <v>779.89166666666665</v>
      </c>
      <c r="AT119" s="518">
        <f t="shared" si="63"/>
        <v>568.33333333333337</v>
      </c>
      <c r="AU119" s="518">
        <f t="shared" si="64"/>
        <v>606.45416666666665</v>
      </c>
      <c r="AV119" s="518">
        <f t="shared" si="64"/>
        <v>227.18866666666665</v>
      </c>
      <c r="AW119" s="518"/>
      <c r="AX119" s="518">
        <f t="shared" si="61"/>
        <v>334883.66983333335</v>
      </c>
    </row>
    <row r="120" spans="1:50" s="585" customFormat="1" outlineLevel="1">
      <c r="A120" s="308" t="s">
        <v>54</v>
      </c>
      <c r="B120" s="308">
        <f t="shared" si="46"/>
        <v>2023</v>
      </c>
      <c r="C120" s="308" t="s">
        <v>47</v>
      </c>
      <c r="D120" s="518"/>
      <c r="E120" s="518"/>
      <c r="F120" s="518"/>
      <c r="G120" s="518">
        <f t="shared" si="66"/>
        <v>0</v>
      </c>
      <c r="H120" s="518">
        <f>SUM($G$5:G120)</f>
        <v>40186040.380000003</v>
      </c>
      <c r="I120" s="518"/>
      <c r="J120" s="614">
        <v>218946.23999999501</v>
      </c>
      <c r="K120" s="518">
        <f t="shared" si="52"/>
        <v>35664092.809999943</v>
      </c>
      <c r="L120" s="518"/>
      <c r="M120" s="583">
        <f t="shared" si="59"/>
        <v>4521947.5700000599</v>
      </c>
      <c r="O120" s="518">
        <f t="shared" si="67"/>
        <v>13796.4</v>
      </c>
      <c r="P120" s="518">
        <f t="shared" si="67"/>
        <v>9722.28125</v>
      </c>
      <c r="Q120" s="518">
        <f t="shared" si="67"/>
        <v>12080.370666666666</v>
      </c>
      <c r="R120" s="518">
        <f t="shared" si="67"/>
        <v>15260.065666666665</v>
      </c>
      <c r="S120" s="518">
        <f t="shared" si="67"/>
        <v>15944.075000000001</v>
      </c>
      <c r="T120" s="518">
        <f t="shared" si="67"/>
        <v>17603.616250000003</v>
      </c>
      <c r="U120" s="518">
        <f t="shared" si="65"/>
        <v>10939.370833333332</v>
      </c>
      <c r="V120" s="518">
        <f t="shared" si="65"/>
        <v>15243.782083333334</v>
      </c>
      <c r="W120" s="518">
        <f t="shared" si="65"/>
        <v>11017.99425</v>
      </c>
      <c r="X120" s="518">
        <f t="shared" si="65"/>
        <v>17485.601749999998</v>
      </c>
      <c r="Y120" s="518">
        <f t="shared" si="65"/>
        <v>10890.147916666667</v>
      </c>
      <c r="Z120" s="518">
        <f t="shared" si="65"/>
        <v>7488.6954166666665</v>
      </c>
      <c r="AA120" s="518">
        <f t="shared" si="65"/>
        <v>8225.8129166666677</v>
      </c>
      <c r="AB120" s="518">
        <f t="shared" si="65"/>
        <v>8388.9866666666676</v>
      </c>
      <c r="AC120" s="518">
        <f t="shared" si="65"/>
        <v>13769.138416666667</v>
      </c>
      <c r="AD120" s="518">
        <f t="shared" si="65"/>
        <v>8700.2379166666669</v>
      </c>
      <c r="AE120" s="518">
        <f t="shared" si="65"/>
        <v>9998.3125</v>
      </c>
      <c r="AF120" s="518">
        <f t="shared" si="65"/>
        <v>10366.302666666666</v>
      </c>
      <c r="AG120" s="518">
        <f t="shared" si="65"/>
        <v>10732.562750000001</v>
      </c>
      <c r="AH120" s="518">
        <f t="shared" si="65"/>
        <v>9105.5835833333331</v>
      </c>
      <c r="AI120" s="518">
        <f t="shared" si="65"/>
        <v>10440.417416666667</v>
      </c>
      <c r="AJ120" s="518">
        <f t="shared" si="65"/>
        <v>8303.1186666666672</v>
      </c>
      <c r="AK120" s="518">
        <f t="shared" si="65"/>
        <v>8865.7425000000003</v>
      </c>
      <c r="AL120" s="518">
        <f t="shared" si="65"/>
        <v>8628.6307500000003</v>
      </c>
      <c r="AM120" s="518">
        <f t="shared" si="55"/>
        <v>5003.7696666666661</v>
      </c>
      <c r="AN120" s="518">
        <f>+AN119</f>
        <v>11058.227500000001</v>
      </c>
      <c r="AO120" s="518">
        <f>+AO119</f>
        <v>15030.796999999999</v>
      </c>
      <c r="AP120" s="518">
        <f t="shared" si="56"/>
        <v>11048.227083333333</v>
      </c>
      <c r="AQ120" s="518">
        <f t="shared" si="57"/>
        <v>11805.924583333333</v>
      </c>
      <c r="AR120" s="518">
        <f t="shared" si="58"/>
        <v>5757.6083333333336</v>
      </c>
      <c r="AS120" s="518">
        <f t="shared" si="60"/>
        <v>779.89166666666665</v>
      </c>
      <c r="AT120" s="518">
        <f t="shared" si="63"/>
        <v>568.33333333333337</v>
      </c>
      <c r="AU120" s="518">
        <f t="shared" si="64"/>
        <v>606.45416666666665</v>
      </c>
      <c r="AV120" s="518">
        <f t="shared" si="64"/>
        <v>227.18866666666665</v>
      </c>
      <c r="AW120" s="518"/>
      <c r="AX120" s="518">
        <f t="shared" si="61"/>
        <v>334883.66983333335</v>
      </c>
    </row>
    <row r="121" spans="1:50" s="585" customFormat="1" outlineLevel="1">
      <c r="A121" s="308" t="s">
        <v>55</v>
      </c>
      <c r="B121" s="308">
        <f t="shared" si="46"/>
        <v>2023</v>
      </c>
      <c r="C121" s="308" t="s">
        <v>47</v>
      </c>
      <c r="D121" s="518"/>
      <c r="E121" s="518"/>
      <c r="F121" s="518"/>
      <c r="G121" s="518">
        <f t="shared" si="66"/>
        <v>0</v>
      </c>
      <c r="H121" s="518">
        <f>SUM($G$5:G121)</f>
        <v>40186040.380000003</v>
      </c>
      <c r="I121" s="518"/>
      <c r="J121" s="614">
        <v>288672.88999999402</v>
      </c>
      <c r="K121" s="518">
        <f t="shared" si="52"/>
        <v>35952765.699999936</v>
      </c>
      <c r="L121" s="518"/>
      <c r="M121" s="583">
        <f t="shared" si="59"/>
        <v>4233274.6800000668</v>
      </c>
      <c r="O121" s="518">
        <f t="shared" si="67"/>
        <v>13796.4</v>
      </c>
      <c r="P121" s="518">
        <f t="shared" si="67"/>
        <v>9722.28125</v>
      </c>
      <c r="Q121" s="518">
        <f t="shared" si="67"/>
        <v>12080.370666666666</v>
      </c>
      <c r="R121" s="518">
        <f t="shared" si="67"/>
        <v>15260.065666666665</v>
      </c>
      <c r="S121" s="518">
        <f t="shared" si="67"/>
        <v>15944.075000000001</v>
      </c>
      <c r="T121" s="518">
        <f t="shared" si="67"/>
        <v>17603.616250000003</v>
      </c>
      <c r="U121" s="518">
        <f t="shared" si="67"/>
        <v>10939.370833333332</v>
      </c>
      <c r="V121" s="518">
        <f t="shared" si="67"/>
        <v>15243.782083333334</v>
      </c>
      <c r="W121" s="518">
        <f t="shared" si="67"/>
        <v>11017.99425</v>
      </c>
      <c r="X121" s="518">
        <f t="shared" si="67"/>
        <v>17485.601749999998</v>
      </c>
      <c r="Y121" s="518">
        <f t="shared" ref="U121:AO131" si="68">+Y120</f>
        <v>10890.147916666667</v>
      </c>
      <c r="Z121" s="518">
        <f t="shared" si="68"/>
        <v>7488.6954166666665</v>
      </c>
      <c r="AA121" s="518">
        <f t="shared" si="68"/>
        <v>8225.8129166666677</v>
      </c>
      <c r="AB121" s="518">
        <f t="shared" si="68"/>
        <v>8388.9866666666676</v>
      </c>
      <c r="AC121" s="518">
        <f t="shared" si="68"/>
        <v>13769.138416666667</v>
      </c>
      <c r="AD121" s="518">
        <f t="shared" si="68"/>
        <v>8700.2379166666669</v>
      </c>
      <c r="AE121" s="518">
        <f t="shared" si="68"/>
        <v>9998.3125</v>
      </c>
      <c r="AF121" s="518">
        <f t="shared" si="68"/>
        <v>10366.302666666666</v>
      </c>
      <c r="AG121" s="518">
        <f t="shared" si="68"/>
        <v>10732.562750000001</v>
      </c>
      <c r="AH121" s="518">
        <f t="shared" si="68"/>
        <v>9105.5835833333331</v>
      </c>
      <c r="AI121" s="518">
        <f t="shared" si="68"/>
        <v>10440.417416666667</v>
      </c>
      <c r="AJ121" s="518">
        <f t="shared" si="68"/>
        <v>8303.1186666666672</v>
      </c>
      <c r="AK121" s="518">
        <f t="shared" si="68"/>
        <v>8865.7425000000003</v>
      </c>
      <c r="AL121" s="518">
        <f t="shared" si="68"/>
        <v>8628.6307500000003</v>
      </c>
      <c r="AM121" s="518">
        <f t="shared" si="55"/>
        <v>5003.7696666666661</v>
      </c>
      <c r="AN121" s="518">
        <f t="shared" si="68"/>
        <v>11058.227500000001</v>
      </c>
      <c r="AO121" s="518">
        <f>+AO120</f>
        <v>15030.796999999999</v>
      </c>
      <c r="AP121" s="518">
        <f t="shared" si="56"/>
        <v>11048.227083333333</v>
      </c>
      <c r="AQ121" s="518">
        <f t="shared" si="57"/>
        <v>11805.924583333333</v>
      </c>
      <c r="AR121" s="518">
        <f t="shared" si="58"/>
        <v>5757.6083333333336</v>
      </c>
      <c r="AS121" s="518">
        <f t="shared" si="60"/>
        <v>779.89166666666665</v>
      </c>
      <c r="AT121" s="518">
        <f t="shared" si="63"/>
        <v>568.33333333333337</v>
      </c>
      <c r="AU121" s="518">
        <f t="shared" si="64"/>
        <v>606.45416666666665</v>
      </c>
      <c r="AV121" s="518">
        <f t="shared" si="64"/>
        <v>227.18866666666665</v>
      </c>
      <c r="AW121" s="518"/>
      <c r="AX121" s="518">
        <f t="shared" si="61"/>
        <v>334883.66983333335</v>
      </c>
    </row>
    <row r="122" spans="1:50" s="585" customFormat="1" outlineLevel="1">
      <c r="A122" s="308" t="s">
        <v>56</v>
      </c>
      <c r="B122" s="308">
        <f t="shared" si="46"/>
        <v>2023</v>
      </c>
      <c r="C122" s="308" t="s">
        <v>68</v>
      </c>
      <c r="D122" s="518"/>
      <c r="E122" s="518"/>
      <c r="F122" s="518"/>
      <c r="G122" s="518">
        <f t="shared" si="66"/>
        <v>0</v>
      </c>
      <c r="H122" s="518">
        <f>SUM($G$5:G122)</f>
        <v>40186040.380000003</v>
      </c>
      <c r="I122" s="518"/>
      <c r="J122" s="614">
        <f t="shared" ref="J122:J138" si="69">J121</f>
        <v>288672.88999999402</v>
      </c>
      <c r="K122" s="518">
        <f t="shared" si="52"/>
        <v>36241438.589999929</v>
      </c>
      <c r="L122" s="518"/>
      <c r="M122" s="583">
        <f t="shared" si="59"/>
        <v>3944601.7900000736</v>
      </c>
      <c r="O122" s="518">
        <f t="shared" si="67"/>
        <v>13796.4</v>
      </c>
      <c r="P122" s="518">
        <f t="shared" si="67"/>
        <v>9722.28125</v>
      </c>
      <c r="Q122" s="518">
        <f t="shared" si="67"/>
        <v>12080.370666666666</v>
      </c>
      <c r="R122" s="518">
        <f t="shared" si="67"/>
        <v>15260.065666666665</v>
      </c>
      <c r="S122" s="518">
        <f t="shared" si="67"/>
        <v>15944.075000000001</v>
      </c>
      <c r="T122" s="518">
        <f t="shared" si="67"/>
        <v>17603.616250000003</v>
      </c>
      <c r="U122" s="518">
        <f t="shared" si="68"/>
        <v>10939.370833333332</v>
      </c>
      <c r="V122" s="518">
        <f t="shared" si="68"/>
        <v>15243.782083333334</v>
      </c>
      <c r="W122" s="518">
        <f t="shared" si="68"/>
        <v>11017.99425</v>
      </c>
      <c r="X122" s="518">
        <f t="shared" si="68"/>
        <v>17485.601749999998</v>
      </c>
      <c r="Y122" s="518">
        <f t="shared" si="68"/>
        <v>10890.147916666667</v>
      </c>
      <c r="Z122" s="518">
        <f t="shared" si="68"/>
        <v>7488.6954166666665</v>
      </c>
      <c r="AA122" s="518">
        <f t="shared" si="68"/>
        <v>8225.8129166666677</v>
      </c>
      <c r="AB122" s="518">
        <f t="shared" si="68"/>
        <v>8388.9866666666676</v>
      </c>
      <c r="AC122" s="518">
        <f t="shared" si="68"/>
        <v>13769.138416666667</v>
      </c>
      <c r="AD122" s="518">
        <f t="shared" si="68"/>
        <v>8700.2379166666669</v>
      </c>
      <c r="AE122" s="518">
        <f t="shared" si="68"/>
        <v>9998.3125</v>
      </c>
      <c r="AF122" s="518">
        <f t="shared" si="68"/>
        <v>10366.302666666666</v>
      </c>
      <c r="AG122" s="518">
        <f t="shared" si="68"/>
        <v>10732.562750000001</v>
      </c>
      <c r="AH122" s="518">
        <f t="shared" si="68"/>
        <v>9105.5835833333331</v>
      </c>
      <c r="AI122" s="518">
        <f t="shared" si="68"/>
        <v>10440.417416666667</v>
      </c>
      <c r="AJ122" s="518">
        <f t="shared" si="68"/>
        <v>8303.1186666666672</v>
      </c>
      <c r="AK122" s="518">
        <f t="shared" si="68"/>
        <v>8865.7425000000003</v>
      </c>
      <c r="AL122" s="518">
        <f t="shared" si="68"/>
        <v>8628.6307500000003</v>
      </c>
      <c r="AM122" s="518">
        <f t="shared" si="55"/>
        <v>5003.7696666666661</v>
      </c>
      <c r="AN122" s="518">
        <f t="shared" si="68"/>
        <v>11058.227500000001</v>
      </c>
      <c r="AO122" s="518">
        <f t="shared" si="68"/>
        <v>15030.796999999999</v>
      </c>
      <c r="AP122" s="518">
        <f t="shared" si="56"/>
        <v>11048.227083333333</v>
      </c>
      <c r="AQ122" s="518">
        <f t="shared" si="57"/>
        <v>11805.924583333333</v>
      </c>
      <c r="AR122" s="518">
        <f t="shared" si="58"/>
        <v>5757.6083333333336</v>
      </c>
      <c r="AS122" s="518">
        <f t="shared" si="60"/>
        <v>779.89166666666665</v>
      </c>
      <c r="AT122" s="518">
        <f t="shared" si="63"/>
        <v>568.33333333333337</v>
      </c>
      <c r="AU122" s="518">
        <f t="shared" si="64"/>
        <v>606.45416666666665</v>
      </c>
      <c r="AV122" s="518">
        <f t="shared" si="64"/>
        <v>227.18866666666665</v>
      </c>
      <c r="AW122" s="518"/>
      <c r="AX122" s="518">
        <f t="shared" si="61"/>
        <v>334883.66983333335</v>
      </c>
    </row>
    <row r="123" spans="1:50" s="585" customFormat="1" outlineLevel="1">
      <c r="A123" s="308" t="s">
        <v>57</v>
      </c>
      <c r="B123" s="308">
        <f t="shared" si="46"/>
        <v>2023</v>
      </c>
      <c r="C123" s="308" t="s">
        <v>68</v>
      </c>
      <c r="D123" s="518"/>
      <c r="E123" s="518"/>
      <c r="F123" s="518"/>
      <c r="G123" s="518">
        <f t="shared" si="66"/>
        <v>0</v>
      </c>
      <c r="H123" s="518">
        <f>SUM($G$5:G123)</f>
        <v>40186040.380000003</v>
      </c>
      <c r="I123" s="518"/>
      <c r="J123" s="614">
        <f t="shared" si="69"/>
        <v>288672.88999999402</v>
      </c>
      <c r="K123" s="518">
        <f t="shared" si="52"/>
        <v>36530111.479999922</v>
      </c>
      <c r="L123" s="518"/>
      <c r="M123" s="583">
        <f t="shared" si="59"/>
        <v>3655928.9000000805</v>
      </c>
      <c r="O123" s="518">
        <f t="shared" si="67"/>
        <v>13796.4</v>
      </c>
      <c r="P123" s="518">
        <f t="shared" si="67"/>
        <v>9722.28125</v>
      </c>
      <c r="Q123" s="518">
        <f t="shared" si="67"/>
        <v>12080.370666666666</v>
      </c>
      <c r="R123" s="518">
        <f t="shared" si="67"/>
        <v>15260.065666666665</v>
      </c>
      <c r="S123" s="518">
        <f t="shared" si="67"/>
        <v>15944.075000000001</v>
      </c>
      <c r="T123" s="518">
        <f t="shared" si="67"/>
        <v>17603.616250000003</v>
      </c>
      <c r="U123" s="518">
        <f t="shared" si="68"/>
        <v>10939.370833333332</v>
      </c>
      <c r="V123" s="518">
        <f t="shared" si="68"/>
        <v>15243.782083333334</v>
      </c>
      <c r="W123" s="518">
        <f t="shared" si="68"/>
        <v>11017.99425</v>
      </c>
      <c r="X123" s="518">
        <f t="shared" si="68"/>
        <v>17485.601749999998</v>
      </c>
      <c r="Y123" s="518">
        <f t="shared" si="68"/>
        <v>10890.147916666667</v>
      </c>
      <c r="Z123" s="518">
        <f t="shared" si="68"/>
        <v>7488.6954166666665</v>
      </c>
      <c r="AA123" s="518">
        <f t="shared" si="68"/>
        <v>8225.8129166666677</v>
      </c>
      <c r="AB123" s="518">
        <f t="shared" si="68"/>
        <v>8388.9866666666676</v>
      </c>
      <c r="AC123" s="518">
        <f t="shared" si="68"/>
        <v>13769.138416666667</v>
      </c>
      <c r="AD123" s="518">
        <f t="shared" si="68"/>
        <v>8700.2379166666669</v>
      </c>
      <c r="AE123" s="518">
        <f t="shared" si="68"/>
        <v>9998.3125</v>
      </c>
      <c r="AF123" s="518">
        <f t="shared" si="68"/>
        <v>10366.302666666666</v>
      </c>
      <c r="AG123" s="518">
        <f t="shared" si="68"/>
        <v>10732.562750000001</v>
      </c>
      <c r="AH123" s="518">
        <f t="shared" si="68"/>
        <v>9105.5835833333331</v>
      </c>
      <c r="AI123" s="518">
        <f t="shared" si="68"/>
        <v>10440.417416666667</v>
      </c>
      <c r="AJ123" s="518">
        <f t="shared" si="68"/>
        <v>8303.1186666666672</v>
      </c>
      <c r="AK123" s="518">
        <f t="shared" si="68"/>
        <v>8865.7425000000003</v>
      </c>
      <c r="AL123" s="518">
        <f t="shared" si="68"/>
        <v>8628.6307500000003</v>
      </c>
      <c r="AM123" s="518">
        <f t="shared" si="55"/>
        <v>5003.7696666666661</v>
      </c>
      <c r="AN123" s="518">
        <f t="shared" si="68"/>
        <v>11058.227500000001</v>
      </c>
      <c r="AO123" s="518">
        <f t="shared" si="68"/>
        <v>15030.796999999999</v>
      </c>
      <c r="AP123" s="518">
        <f t="shared" si="56"/>
        <v>11048.227083333333</v>
      </c>
      <c r="AQ123" s="518">
        <f t="shared" si="57"/>
        <v>11805.924583333333</v>
      </c>
      <c r="AR123" s="518">
        <f t="shared" si="58"/>
        <v>5757.6083333333336</v>
      </c>
      <c r="AS123" s="518">
        <f t="shared" si="60"/>
        <v>779.89166666666665</v>
      </c>
      <c r="AT123" s="518">
        <f t="shared" si="63"/>
        <v>568.33333333333337</v>
      </c>
      <c r="AU123" s="518">
        <f t="shared" si="64"/>
        <v>606.45416666666665</v>
      </c>
      <c r="AV123" s="518">
        <f t="shared" si="64"/>
        <v>227.18866666666665</v>
      </c>
      <c r="AW123" s="518"/>
      <c r="AX123" s="518">
        <f t="shared" si="61"/>
        <v>334883.66983333335</v>
      </c>
    </row>
    <row r="124" spans="1:50" s="585" customFormat="1" outlineLevel="1">
      <c r="A124" s="308" t="s">
        <v>58</v>
      </c>
      <c r="B124" s="308">
        <f t="shared" si="46"/>
        <v>2023</v>
      </c>
      <c r="C124" s="308" t="s">
        <v>68</v>
      </c>
      <c r="D124" s="518"/>
      <c r="E124" s="518"/>
      <c r="F124" s="518"/>
      <c r="G124" s="518">
        <f t="shared" si="66"/>
        <v>0</v>
      </c>
      <c r="H124" s="518">
        <f>SUM($G$5:G124)</f>
        <v>40186040.380000003</v>
      </c>
      <c r="I124" s="518"/>
      <c r="J124" s="614">
        <f t="shared" si="69"/>
        <v>288672.88999999402</v>
      </c>
      <c r="K124" s="518">
        <f t="shared" si="52"/>
        <v>36818784.369999915</v>
      </c>
      <c r="L124" s="518"/>
      <c r="M124" s="583">
        <f t="shared" si="59"/>
        <v>3367256.0100000873</v>
      </c>
      <c r="O124" s="518">
        <f t="shared" si="67"/>
        <v>13796.4</v>
      </c>
      <c r="P124" s="518">
        <f t="shared" si="67"/>
        <v>9722.28125</v>
      </c>
      <c r="Q124" s="518">
        <f t="shared" si="67"/>
        <v>12080.370666666666</v>
      </c>
      <c r="R124" s="518">
        <f t="shared" si="67"/>
        <v>15260.065666666665</v>
      </c>
      <c r="S124" s="518">
        <f t="shared" si="67"/>
        <v>15944.075000000001</v>
      </c>
      <c r="T124" s="518">
        <f t="shared" si="67"/>
        <v>17603.616250000003</v>
      </c>
      <c r="U124" s="518">
        <f t="shared" si="68"/>
        <v>10939.370833333332</v>
      </c>
      <c r="V124" s="518">
        <f t="shared" si="68"/>
        <v>15243.782083333334</v>
      </c>
      <c r="W124" s="518">
        <f t="shared" si="68"/>
        <v>11017.99425</v>
      </c>
      <c r="X124" s="518">
        <f t="shared" si="68"/>
        <v>17485.601749999998</v>
      </c>
      <c r="Y124" s="518">
        <f t="shared" si="68"/>
        <v>10890.147916666667</v>
      </c>
      <c r="Z124" s="518">
        <f t="shared" si="68"/>
        <v>7488.6954166666665</v>
      </c>
      <c r="AA124" s="518">
        <f t="shared" si="68"/>
        <v>8225.8129166666677</v>
      </c>
      <c r="AB124" s="518">
        <f t="shared" si="68"/>
        <v>8388.9866666666676</v>
      </c>
      <c r="AC124" s="518">
        <f t="shared" si="68"/>
        <v>13769.138416666667</v>
      </c>
      <c r="AD124" s="518">
        <f t="shared" si="68"/>
        <v>8700.2379166666669</v>
      </c>
      <c r="AE124" s="518">
        <f t="shared" si="68"/>
        <v>9998.3125</v>
      </c>
      <c r="AF124" s="518">
        <f t="shared" si="68"/>
        <v>10366.302666666666</v>
      </c>
      <c r="AG124" s="518">
        <f t="shared" si="68"/>
        <v>10732.562750000001</v>
      </c>
      <c r="AH124" s="518">
        <f t="shared" si="68"/>
        <v>9105.5835833333331</v>
      </c>
      <c r="AI124" s="518">
        <f t="shared" si="68"/>
        <v>10440.417416666667</v>
      </c>
      <c r="AJ124" s="518">
        <f t="shared" si="68"/>
        <v>8303.1186666666672</v>
      </c>
      <c r="AK124" s="518">
        <f t="shared" si="68"/>
        <v>8865.7425000000003</v>
      </c>
      <c r="AL124" s="518">
        <f t="shared" si="68"/>
        <v>8628.6307500000003</v>
      </c>
      <c r="AM124" s="518">
        <f t="shared" si="55"/>
        <v>5003.7696666666661</v>
      </c>
      <c r="AN124" s="518">
        <f t="shared" si="68"/>
        <v>11058.227500000001</v>
      </c>
      <c r="AO124" s="518">
        <f t="shared" si="68"/>
        <v>15030.796999999999</v>
      </c>
      <c r="AP124" s="518">
        <f t="shared" si="56"/>
        <v>11048.227083333333</v>
      </c>
      <c r="AQ124" s="518">
        <f t="shared" si="57"/>
        <v>11805.924583333333</v>
      </c>
      <c r="AR124" s="518">
        <f t="shared" si="58"/>
        <v>5757.6083333333336</v>
      </c>
      <c r="AS124" s="518">
        <f t="shared" si="60"/>
        <v>779.89166666666665</v>
      </c>
      <c r="AT124" s="518">
        <f t="shared" si="63"/>
        <v>568.33333333333337</v>
      </c>
      <c r="AU124" s="518">
        <f t="shared" si="64"/>
        <v>606.45416666666665</v>
      </c>
      <c r="AV124" s="518">
        <f t="shared" si="64"/>
        <v>227.18866666666665</v>
      </c>
      <c r="AW124" s="518"/>
      <c r="AX124" s="518">
        <f t="shared" si="61"/>
        <v>334883.66983333335</v>
      </c>
    </row>
    <row r="125" spans="1:50" s="585" customFormat="1" outlineLevel="1">
      <c r="A125" s="308" t="s">
        <v>59</v>
      </c>
      <c r="B125" s="308">
        <f t="shared" si="46"/>
        <v>2023</v>
      </c>
      <c r="C125" s="308" t="s">
        <v>68</v>
      </c>
      <c r="D125" s="518"/>
      <c r="E125" s="518"/>
      <c r="F125" s="518"/>
      <c r="G125" s="518">
        <f t="shared" si="66"/>
        <v>0</v>
      </c>
      <c r="H125" s="518">
        <f>SUM($G$5:G125)</f>
        <v>40186040.380000003</v>
      </c>
      <c r="I125" s="518"/>
      <c r="J125" s="614">
        <f t="shared" si="69"/>
        <v>288672.88999999402</v>
      </c>
      <c r="K125" s="518">
        <f t="shared" si="52"/>
        <v>37107457.259999909</v>
      </c>
      <c r="L125" s="518"/>
      <c r="M125" s="583">
        <f t="shared" si="59"/>
        <v>3078583.1200000942</v>
      </c>
      <c r="P125" s="518">
        <f>+P124</f>
        <v>9722.28125</v>
      </c>
      <c r="Q125" s="518">
        <f>+Q124</f>
        <v>12080.370666666666</v>
      </c>
      <c r="R125" s="518">
        <f>+R124</f>
        <v>15260.065666666665</v>
      </c>
      <c r="S125" s="518">
        <f>+S124</f>
        <v>15944.075000000001</v>
      </c>
      <c r="T125" s="518">
        <f>+T124</f>
        <v>17603.616250000003</v>
      </c>
      <c r="U125" s="518">
        <f t="shared" si="68"/>
        <v>10939.370833333332</v>
      </c>
      <c r="V125" s="518">
        <f t="shared" si="68"/>
        <v>15243.782083333334</v>
      </c>
      <c r="W125" s="518">
        <f t="shared" si="68"/>
        <v>11017.99425</v>
      </c>
      <c r="X125" s="518">
        <f t="shared" si="68"/>
        <v>17485.601749999998</v>
      </c>
      <c r="Y125" s="518">
        <f t="shared" si="68"/>
        <v>10890.147916666667</v>
      </c>
      <c r="Z125" s="518">
        <f t="shared" si="68"/>
        <v>7488.6954166666665</v>
      </c>
      <c r="AA125" s="518">
        <f t="shared" si="68"/>
        <v>8225.8129166666677</v>
      </c>
      <c r="AB125" s="518">
        <f t="shared" si="68"/>
        <v>8388.9866666666676</v>
      </c>
      <c r="AC125" s="518">
        <f t="shared" si="68"/>
        <v>13769.138416666667</v>
      </c>
      <c r="AD125" s="518">
        <f t="shared" si="68"/>
        <v>8700.2379166666669</v>
      </c>
      <c r="AE125" s="518">
        <f t="shared" si="68"/>
        <v>9998.3125</v>
      </c>
      <c r="AF125" s="518">
        <f t="shared" si="68"/>
        <v>10366.302666666666</v>
      </c>
      <c r="AG125" s="518">
        <f t="shared" si="68"/>
        <v>10732.562750000001</v>
      </c>
      <c r="AH125" s="518">
        <f t="shared" si="68"/>
        <v>9105.5835833333331</v>
      </c>
      <c r="AI125" s="518">
        <f t="shared" si="68"/>
        <v>10440.417416666667</v>
      </c>
      <c r="AJ125" s="518">
        <f t="shared" si="68"/>
        <v>8303.1186666666672</v>
      </c>
      <c r="AK125" s="518">
        <f t="shared" si="68"/>
        <v>8865.7425000000003</v>
      </c>
      <c r="AL125" s="518">
        <f t="shared" si="68"/>
        <v>8628.6307500000003</v>
      </c>
      <c r="AM125" s="518">
        <f t="shared" si="55"/>
        <v>5003.7696666666661</v>
      </c>
      <c r="AN125" s="518">
        <f t="shared" si="68"/>
        <v>11058.227500000001</v>
      </c>
      <c r="AO125" s="518">
        <f t="shared" si="68"/>
        <v>15030.796999999999</v>
      </c>
      <c r="AP125" s="518">
        <f t="shared" si="56"/>
        <v>11048.227083333333</v>
      </c>
      <c r="AQ125" s="518">
        <f t="shared" si="57"/>
        <v>11805.924583333333</v>
      </c>
      <c r="AR125" s="518">
        <f t="shared" si="58"/>
        <v>5757.6083333333336</v>
      </c>
      <c r="AS125" s="518">
        <f t="shared" si="60"/>
        <v>779.89166666666665</v>
      </c>
      <c r="AT125" s="518">
        <f t="shared" si="63"/>
        <v>568.33333333333337</v>
      </c>
      <c r="AU125" s="518">
        <f t="shared" si="64"/>
        <v>606.45416666666665</v>
      </c>
      <c r="AV125" s="518">
        <f t="shared" si="64"/>
        <v>227.18866666666665</v>
      </c>
      <c r="AW125" s="518"/>
      <c r="AX125" s="518">
        <f t="shared" si="61"/>
        <v>321087.26983333332</v>
      </c>
    </row>
    <row r="126" spans="1:50" s="585" customFormat="1" outlineLevel="1">
      <c r="A126" s="308" t="s">
        <v>46</v>
      </c>
      <c r="B126" s="308">
        <f t="shared" si="46"/>
        <v>2023</v>
      </c>
      <c r="C126" s="308" t="s">
        <v>68</v>
      </c>
      <c r="D126" s="518"/>
      <c r="E126" s="518"/>
      <c r="F126" s="518"/>
      <c r="G126" s="518">
        <f t="shared" si="66"/>
        <v>0</v>
      </c>
      <c r="H126" s="518">
        <f>SUM($G$5:G126)</f>
        <v>40186040.380000003</v>
      </c>
      <c r="I126" s="518"/>
      <c r="J126" s="614">
        <f t="shared" si="69"/>
        <v>288672.88999999402</v>
      </c>
      <c r="K126" s="518">
        <f t="shared" si="52"/>
        <v>37396130.149999902</v>
      </c>
      <c r="L126" s="518"/>
      <c r="M126" s="583">
        <f t="shared" si="59"/>
        <v>2789910.230000101</v>
      </c>
      <c r="Q126" s="518">
        <f>+Q125</f>
        <v>12080.370666666666</v>
      </c>
      <c r="R126" s="518">
        <f>+R125</f>
        <v>15260.065666666665</v>
      </c>
      <c r="S126" s="518">
        <f>+S125</f>
        <v>15944.075000000001</v>
      </c>
      <c r="T126" s="518">
        <f>+T125</f>
        <v>17603.616250000003</v>
      </c>
      <c r="U126" s="518">
        <f t="shared" si="68"/>
        <v>10939.370833333332</v>
      </c>
      <c r="V126" s="518">
        <f t="shared" si="68"/>
        <v>15243.782083333334</v>
      </c>
      <c r="W126" s="518">
        <f t="shared" si="68"/>
        <v>11017.99425</v>
      </c>
      <c r="X126" s="518">
        <f t="shared" si="68"/>
        <v>17485.601749999998</v>
      </c>
      <c r="Y126" s="518">
        <f t="shared" si="68"/>
        <v>10890.147916666667</v>
      </c>
      <c r="Z126" s="518">
        <f t="shared" si="68"/>
        <v>7488.6954166666665</v>
      </c>
      <c r="AA126" s="518">
        <f t="shared" si="68"/>
        <v>8225.8129166666677</v>
      </c>
      <c r="AB126" s="518">
        <f t="shared" si="68"/>
        <v>8388.9866666666676</v>
      </c>
      <c r="AC126" s="518">
        <f t="shared" si="68"/>
        <v>13769.138416666667</v>
      </c>
      <c r="AD126" s="518">
        <f t="shared" si="68"/>
        <v>8700.2379166666669</v>
      </c>
      <c r="AE126" s="518">
        <f t="shared" si="68"/>
        <v>9998.3125</v>
      </c>
      <c r="AF126" s="518">
        <f t="shared" si="68"/>
        <v>10366.302666666666</v>
      </c>
      <c r="AG126" s="518">
        <f t="shared" si="68"/>
        <v>10732.562750000001</v>
      </c>
      <c r="AH126" s="518">
        <f t="shared" si="68"/>
        <v>9105.5835833333331</v>
      </c>
      <c r="AI126" s="518">
        <f t="shared" si="68"/>
        <v>10440.417416666667</v>
      </c>
      <c r="AJ126" s="518">
        <f t="shared" si="68"/>
        <v>8303.1186666666672</v>
      </c>
      <c r="AK126" s="518">
        <f t="shared" si="68"/>
        <v>8865.7425000000003</v>
      </c>
      <c r="AL126" s="518">
        <f t="shared" si="68"/>
        <v>8628.6307500000003</v>
      </c>
      <c r="AM126" s="518">
        <f t="shared" si="55"/>
        <v>5003.7696666666661</v>
      </c>
      <c r="AN126" s="518">
        <f t="shared" si="68"/>
        <v>11058.227500000001</v>
      </c>
      <c r="AO126" s="518">
        <f t="shared" si="68"/>
        <v>15030.796999999999</v>
      </c>
      <c r="AP126" s="518">
        <f t="shared" si="56"/>
        <v>11048.227083333333</v>
      </c>
      <c r="AQ126" s="518">
        <f t="shared" si="57"/>
        <v>11805.924583333333</v>
      </c>
      <c r="AR126" s="518">
        <f t="shared" si="58"/>
        <v>5757.6083333333336</v>
      </c>
      <c r="AS126" s="518">
        <f t="shared" si="60"/>
        <v>779.89166666666665</v>
      </c>
      <c r="AT126" s="518">
        <f t="shared" si="63"/>
        <v>568.33333333333337</v>
      </c>
      <c r="AU126" s="518">
        <f t="shared" si="64"/>
        <v>606.45416666666665</v>
      </c>
      <c r="AV126" s="518">
        <f t="shared" si="64"/>
        <v>227.18866666666665</v>
      </c>
      <c r="AW126" s="518"/>
      <c r="AX126" s="518">
        <f t="shared" si="61"/>
        <v>311364.98858333332</v>
      </c>
    </row>
    <row r="127" spans="1:50" s="585" customFormat="1" outlineLevel="1">
      <c r="A127" s="308" t="s">
        <v>48</v>
      </c>
      <c r="B127" s="308">
        <f t="shared" si="46"/>
        <v>2023</v>
      </c>
      <c r="C127" s="308" t="s">
        <v>68</v>
      </c>
      <c r="D127" s="518"/>
      <c r="E127" s="518"/>
      <c r="F127" s="518"/>
      <c r="G127" s="518">
        <f t="shared" si="66"/>
        <v>0</v>
      </c>
      <c r="H127" s="518">
        <f>SUM($G$5:G127)</f>
        <v>40186040.380000003</v>
      </c>
      <c r="I127" s="518"/>
      <c r="J127" s="614">
        <f t="shared" si="69"/>
        <v>288672.88999999402</v>
      </c>
      <c r="K127" s="518">
        <f t="shared" si="52"/>
        <v>37684803.039999895</v>
      </c>
      <c r="L127" s="518"/>
      <c r="M127" s="583">
        <f t="shared" si="59"/>
        <v>2501237.3400001079</v>
      </c>
      <c r="R127" s="518">
        <f>+R126</f>
        <v>15260.065666666665</v>
      </c>
      <c r="S127" s="518">
        <f>+S126</f>
        <v>15944.075000000001</v>
      </c>
      <c r="T127" s="518">
        <f>+T126</f>
        <v>17603.616250000003</v>
      </c>
      <c r="U127" s="518">
        <f t="shared" si="68"/>
        <v>10939.370833333332</v>
      </c>
      <c r="V127" s="518">
        <f t="shared" si="68"/>
        <v>15243.782083333334</v>
      </c>
      <c r="W127" s="518">
        <f t="shared" si="68"/>
        <v>11017.99425</v>
      </c>
      <c r="X127" s="518">
        <f t="shared" si="68"/>
        <v>17485.601749999998</v>
      </c>
      <c r="Y127" s="518">
        <f t="shared" si="68"/>
        <v>10890.147916666667</v>
      </c>
      <c r="Z127" s="518">
        <f t="shared" si="68"/>
        <v>7488.6954166666665</v>
      </c>
      <c r="AA127" s="518">
        <f t="shared" si="68"/>
        <v>8225.8129166666677</v>
      </c>
      <c r="AB127" s="518">
        <f t="shared" si="68"/>
        <v>8388.9866666666676</v>
      </c>
      <c r="AC127" s="518">
        <f t="shared" si="68"/>
        <v>13769.138416666667</v>
      </c>
      <c r="AD127" s="518">
        <f t="shared" si="68"/>
        <v>8700.2379166666669</v>
      </c>
      <c r="AE127" s="518">
        <f t="shared" si="68"/>
        <v>9998.3125</v>
      </c>
      <c r="AF127" s="518">
        <f t="shared" si="68"/>
        <v>10366.302666666666</v>
      </c>
      <c r="AG127" s="518">
        <f t="shared" si="68"/>
        <v>10732.562750000001</v>
      </c>
      <c r="AH127" s="518">
        <f t="shared" si="68"/>
        <v>9105.5835833333331</v>
      </c>
      <c r="AI127" s="518">
        <f t="shared" si="68"/>
        <v>10440.417416666667</v>
      </c>
      <c r="AJ127" s="518">
        <f t="shared" si="68"/>
        <v>8303.1186666666672</v>
      </c>
      <c r="AK127" s="518">
        <f t="shared" si="68"/>
        <v>8865.7425000000003</v>
      </c>
      <c r="AL127" s="518">
        <f t="shared" si="68"/>
        <v>8628.6307500000003</v>
      </c>
      <c r="AM127" s="518">
        <f t="shared" si="55"/>
        <v>5003.7696666666661</v>
      </c>
      <c r="AN127" s="518">
        <f t="shared" si="68"/>
        <v>11058.227500000001</v>
      </c>
      <c r="AO127" s="518">
        <f t="shared" si="68"/>
        <v>15030.796999999999</v>
      </c>
      <c r="AP127" s="518">
        <f t="shared" si="56"/>
        <v>11048.227083333333</v>
      </c>
      <c r="AQ127" s="518">
        <f t="shared" si="57"/>
        <v>11805.924583333333</v>
      </c>
      <c r="AR127" s="518">
        <f t="shared" si="58"/>
        <v>5757.6083333333336</v>
      </c>
      <c r="AS127" s="518">
        <f t="shared" si="60"/>
        <v>779.89166666666665</v>
      </c>
      <c r="AT127" s="518">
        <f t="shared" si="63"/>
        <v>568.33333333333337</v>
      </c>
      <c r="AU127" s="518">
        <f t="shared" si="64"/>
        <v>606.45416666666665</v>
      </c>
      <c r="AV127" s="518">
        <f t="shared" si="64"/>
        <v>227.18866666666665</v>
      </c>
      <c r="AW127" s="518"/>
      <c r="AX127" s="518">
        <f t="shared" si="61"/>
        <v>299284.61791666667</v>
      </c>
    </row>
    <row r="128" spans="1:50" s="585" customFormat="1" outlineLevel="1">
      <c r="A128" s="308" t="s">
        <v>50</v>
      </c>
      <c r="B128" s="308">
        <f t="shared" si="46"/>
        <v>2023</v>
      </c>
      <c r="C128" s="308" t="s">
        <v>68</v>
      </c>
      <c r="D128" s="518"/>
      <c r="E128" s="518"/>
      <c r="F128" s="518"/>
      <c r="G128" s="518">
        <f t="shared" si="66"/>
        <v>0</v>
      </c>
      <c r="H128" s="518">
        <f>SUM($G$5:G128)</f>
        <v>40186040.380000003</v>
      </c>
      <c r="I128" s="518"/>
      <c r="J128" s="614">
        <f t="shared" si="69"/>
        <v>288672.88999999402</v>
      </c>
      <c r="K128" s="518">
        <f>K127+J128+2917</f>
        <v>37976392.929999888</v>
      </c>
      <c r="L128" s="518"/>
      <c r="M128" s="583">
        <f t="shared" si="59"/>
        <v>2209647.4500001147</v>
      </c>
      <c r="S128" s="518">
        <f>+S127</f>
        <v>15944.075000000001</v>
      </c>
      <c r="T128" s="518">
        <f>+T127</f>
        <v>17603.616250000003</v>
      </c>
      <c r="U128" s="518">
        <f t="shared" si="68"/>
        <v>10939.370833333332</v>
      </c>
      <c r="V128" s="518">
        <f t="shared" si="68"/>
        <v>15243.782083333334</v>
      </c>
      <c r="W128" s="518">
        <f t="shared" si="68"/>
        <v>11017.99425</v>
      </c>
      <c r="X128" s="518">
        <f t="shared" si="68"/>
        <v>17485.601749999998</v>
      </c>
      <c r="Y128" s="518">
        <f t="shared" si="68"/>
        <v>10890.147916666667</v>
      </c>
      <c r="Z128" s="518">
        <f t="shared" si="68"/>
        <v>7488.6954166666665</v>
      </c>
      <c r="AA128" s="518">
        <f t="shared" si="68"/>
        <v>8225.8129166666677</v>
      </c>
      <c r="AB128" s="518">
        <f t="shared" si="68"/>
        <v>8388.9866666666676</v>
      </c>
      <c r="AC128" s="518">
        <f t="shared" si="68"/>
        <v>13769.138416666667</v>
      </c>
      <c r="AD128" s="518">
        <f t="shared" si="68"/>
        <v>8700.2379166666669</v>
      </c>
      <c r="AE128" s="518">
        <f t="shared" si="68"/>
        <v>9998.3125</v>
      </c>
      <c r="AF128" s="518">
        <f t="shared" si="68"/>
        <v>10366.302666666666</v>
      </c>
      <c r="AG128" s="518">
        <f t="shared" si="68"/>
        <v>10732.562750000001</v>
      </c>
      <c r="AH128" s="518">
        <f t="shared" si="68"/>
        <v>9105.5835833333331</v>
      </c>
      <c r="AI128" s="518">
        <f t="shared" si="68"/>
        <v>10440.417416666667</v>
      </c>
      <c r="AJ128" s="518">
        <f t="shared" si="68"/>
        <v>8303.1186666666672</v>
      </c>
      <c r="AK128" s="518">
        <f t="shared" si="68"/>
        <v>8865.7425000000003</v>
      </c>
      <c r="AL128" s="518">
        <f t="shared" si="68"/>
        <v>8628.6307500000003</v>
      </c>
      <c r="AM128" s="518">
        <f t="shared" si="55"/>
        <v>5003.7696666666661</v>
      </c>
      <c r="AN128" s="518">
        <f t="shared" si="68"/>
        <v>11058.227500000001</v>
      </c>
      <c r="AO128" s="518">
        <f t="shared" si="68"/>
        <v>15030.796999999999</v>
      </c>
      <c r="AP128" s="518">
        <f t="shared" si="56"/>
        <v>11048.227083333333</v>
      </c>
      <c r="AQ128" s="518">
        <f t="shared" si="57"/>
        <v>11805.924583333333</v>
      </c>
      <c r="AR128" s="518">
        <f t="shared" si="58"/>
        <v>5757.6083333333336</v>
      </c>
      <c r="AS128" s="518">
        <f t="shared" si="60"/>
        <v>779.89166666666665</v>
      </c>
      <c r="AT128" s="518">
        <f t="shared" si="63"/>
        <v>568.33333333333337</v>
      </c>
      <c r="AU128" s="518">
        <f t="shared" si="64"/>
        <v>606.45416666666665</v>
      </c>
      <c r="AV128" s="518">
        <f t="shared" si="64"/>
        <v>227.18866666666665</v>
      </c>
      <c r="AW128" s="518"/>
      <c r="AX128" s="518">
        <f t="shared" si="61"/>
        <v>284024.55224999995</v>
      </c>
    </row>
    <row r="129" spans="1:50" s="585" customFormat="1" outlineLevel="1">
      <c r="A129" s="308" t="s">
        <v>51</v>
      </c>
      <c r="B129" s="308">
        <f t="shared" si="46"/>
        <v>2023</v>
      </c>
      <c r="C129" s="308" t="s">
        <v>68</v>
      </c>
      <c r="D129" s="518"/>
      <c r="E129" s="518"/>
      <c r="F129" s="518"/>
      <c r="G129" s="518">
        <f t="shared" si="66"/>
        <v>0</v>
      </c>
      <c r="H129" s="518">
        <f>SUM($G$5:G129)</f>
        <v>40186040.380000003</v>
      </c>
      <c r="I129" s="518"/>
      <c r="J129" s="614">
        <f t="shared" si="69"/>
        <v>288672.88999999402</v>
      </c>
      <c r="K129" s="518">
        <f t="shared" si="52"/>
        <v>38265065.819999881</v>
      </c>
      <c r="L129" s="518"/>
      <c r="M129" s="583">
        <f t="shared" si="59"/>
        <v>1920974.5600001216</v>
      </c>
      <c r="T129" s="518">
        <f>+T128</f>
        <v>17603.616250000003</v>
      </c>
      <c r="U129" s="518">
        <f t="shared" si="68"/>
        <v>10939.370833333332</v>
      </c>
      <c r="V129" s="518">
        <f t="shared" si="68"/>
        <v>15243.782083333334</v>
      </c>
      <c r="W129" s="518">
        <f t="shared" si="68"/>
        <v>11017.99425</v>
      </c>
      <c r="X129" s="518">
        <f t="shared" si="68"/>
        <v>17485.601749999998</v>
      </c>
      <c r="Y129" s="518">
        <f t="shared" si="68"/>
        <v>10890.147916666667</v>
      </c>
      <c r="Z129" s="518">
        <f t="shared" si="68"/>
        <v>7488.6954166666665</v>
      </c>
      <c r="AA129" s="518">
        <f t="shared" si="68"/>
        <v>8225.8129166666677</v>
      </c>
      <c r="AB129" s="518">
        <f t="shared" si="68"/>
        <v>8388.9866666666676</v>
      </c>
      <c r="AC129" s="518">
        <f t="shared" si="68"/>
        <v>13769.138416666667</v>
      </c>
      <c r="AD129" s="518">
        <f t="shared" si="68"/>
        <v>8700.2379166666669</v>
      </c>
      <c r="AE129" s="518">
        <f t="shared" si="68"/>
        <v>9998.3125</v>
      </c>
      <c r="AF129" s="518">
        <f t="shared" si="68"/>
        <v>10366.302666666666</v>
      </c>
      <c r="AG129" s="518">
        <f t="shared" si="68"/>
        <v>10732.562750000001</v>
      </c>
      <c r="AH129" s="518">
        <f t="shared" si="68"/>
        <v>9105.5835833333331</v>
      </c>
      <c r="AI129" s="518">
        <f t="shared" si="68"/>
        <v>10440.417416666667</v>
      </c>
      <c r="AJ129" s="518">
        <f t="shared" si="68"/>
        <v>8303.1186666666672</v>
      </c>
      <c r="AK129" s="518">
        <f t="shared" si="68"/>
        <v>8865.7425000000003</v>
      </c>
      <c r="AL129" s="518">
        <f t="shared" si="68"/>
        <v>8628.6307500000003</v>
      </c>
      <c r="AM129" s="518">
        <f t="shared" si="55"/>
        <v>5003.7696666666661</v>
      </c>
      <c r="AN129" s="518">
        <f t="shared" si="68"/>
        <v>11058.227500000001</v>
      </c>
      <c r="AO129" s="518">
        <f t="shared" si="68"/>
        <v>15030.796999999999</v>
      </c>
      <c r="AP129" s="518">
        <f t="shared" si="56"/>
        <v>11048.227083333333</v>
      </c>
      <c r="AQ129" s="518">
        <f t="shared" si="57"/>
        <v>11805.924583333333</v>
      </c>
      <c r="AR129" s="518">
        <f t="shared" si="58"/>
        <v>5757.6083333333336</v>
      </c>
      <c r="AS129" s="518">
        <f t="shared" si="60"/>
        <v>779.89166666666665</v>
      </c>
      <c r="AT129" s="518">
        <f t="shared" si="63"/>
        <v>568.33333333333337</v>
      </c>
      <c r="AU129" s="518">
        <f t="shared" si="64"/>
        <v>606.45416666666665</v>
      </c>
      <c r="AV129" s="518">
        <f t="shared" si="64"/>
        <v>227.18866666666665</v>
      </c>
      <c r="AW129" s="518"/>
      <c r="AX129" s="518">
        <f t="shared" si="61"/>
        <v>268080.47725</v>
      </c>
    </row>
    <row r="130" spans="1:50" s="585" customFormat="1" outlineLevel="1">
      <c r="A130" s="308" t="s">
        <v>52</v>
      </c>
      <c r="B130" s="308">
        <f t="shared" si="46"/>
        <v>2023</v>
      </c>
      <c r="C130" s="308" t="s">
        <v>68</v>
      </c>
      <c r="D130" s="518"/>
      <c r="E130" s="518"/>
      <c r="F130" s="518"/>
      <c r="G130" s="518">
        <f t="shared" si="66"/>
        <v>0</v>
      </c>
      <c r="H130" s="518">
        <f>SUM($G$5:G130)</f>
        <v>40186040.380000003</v>
      </c>
      <c r="I130" s="518"/>
      <c r="J130" s="614">
        <f t="shared" si="69"/>
        <v>288672.88999999402</v>
      </c>
      <c r="K130" s="518">
        <f t="shared" si="52"/>
        <v>38553738.709999874</v>
      </c>
      <c r="L130" s="518"/>
      <c r="M130" s="583">
        <f t="shared" si="59"/>
        <v>1632301.6700001284</v>
      </c>
      <c r="U130" s="518">
        <f t="shared" si="68"/>
        <v>10939.370833333332</v>
      </c>
      <c r="V130" s="518">
        <f t="shared" si="68"/>
        <v>15243.782083333334</v>
      </c>
      <c r="W130" s="518">
        <f t="shared" si="68"/>
        <v>11017.99425</v>
      </c>
      <c r="X130" s="518">
        <f t="shared" si="68"/>
        <v>17485.601749999998</v>
      </c>
      <c r="Y130" s="518">
        <f t="shared" si="68"/>
        <v>10890.147916666667</v>
      </c>
      <c r="Z130" s="518">
        <f t="shared" si="68"/>
        <v>7488.6954166666665</v>
      </c>
      <c r="AA130" s="518">
        <f t="shared" si="68"/>
        <v>8225.8129166666677</v>
      </c>
      <c r="AB130" s="518">
        <f t="shared" si="68"/>
        <v>8388.9866666666676</v>
      </c>
      <c r="AC130" s="518">
        <f t="shared" si="68"/>
        <v>13769.138416666667</v>
      </c>
      <c r="AD130" s="518">
        <f t="shared" si="68"/>
        <v>8700.2379166666669</v>
      </c>
      <c r="AE130" s="518">
        <f t="shared" si="68"/>
        <v>9998.3125</v>
      </c>
      <c r="AF130" s="518">
        <f t="shared" si="68"/>
        <v>10366.302666666666</v>
      </c>
      <c r="AG130" s="518">
        <f t="shared" si="68"/>
        <v>10732.562750000001</v>
      </c>
      <c r="AH130" s="518">
        <f t="shared" si="68"/>
        <v>9105.5835833333331</v>
      </c>
      <c r="AI130" s="518">
        <f t="shared" si="68"/>
        <v>10440.417416666667</v>
      </c>
      <c r="AJ130" s="518">
        <f t="shared" si="68"/>
        <v>8303.1186666666672</v>
      </c>
      <c r="AK130" s="518">
        <f t="shared" si="68"/>
        <v>8865.7425000000003</v>
      </c>
      <c r="AL130" s="518">
        <f t="shared" si="68"/>
        <v>8628.6307500000003</v>
      </c>
      <c r="AM130" s="518">
        <f t="shared" si="55"/>
        <v>5003.7696666666661</v>
      </c>
      <c r="AN130" s="518">
        <f t="shared" si="68"/>
        <v>11058.227500000001</v>
      </c>
      <c r="AO130" s="518">
        <f t="shared" si="68"/>
        <v>15030.796999999999</v>
      </c>
      <c r="AP130" s="518">
        <f t="shared" si="56"/>
        <v>11048.227083333333</v>
      </c>
      <c r="AQ130" s="518">
        <f t="shared" si="57"/>
        <v>11805.924583333333</v>
      </c>
      <c r="AR130" s="518">
        <f t="shared" si="58"/>
        <v>5757.6083333333336</v>
      </c>
      <c r="AS130" s="518">
        <f t="shared" si="60"/>
        <v>779.89166666666665</v>
      </c>
      <c r="AT130" s="518">
        <f t="shared" si="63"/>
        <v>568.33333333333337</v>
      </c>
      <c r="AU130" s="518">
        <f t="shared" si="64"/>
        <v>606.45416666666665</v>
      </c>
      <c r="AV130" s="518">
        <f t="shared" si="64"/>
        <v>227.18866666666665</v>
      </c>
      <c r="AW130" s="518"/>
      <c r="AX130" s="518">
        <f t="shared" si="61"/>
        <v>250476.861</v>
      </c>
    </row>
    <row r="131" spans="1:50" s="585" customFormat="1" outlineLevel="1">
      <c r="A131" s="308" t="s">
        <v>53</v>
      </c>
      <c r="B131" s="308">
        <f t="shared" si="46"/>
        <v>2024</v>
      </c>
      <c r="C131" s="308" t="s">
        <v>68</v>
      </c>
      <c r="D131" s="518"/>
      <c r="E131" s="518"/>
      <c r="F131" s="518"/>
      <c r="G131" s="518">
        <f t="shared" si="66"/>
        <v>0</v>
      </c>
      <c r="H131" s="518">
        <f>SUM($G$5:G131)</f>
        <v>40186040.380000003</v>
      </c>
      <c r="I131" s="518"/>
      <c r="J131" s="614">
        <f t="shared" si="69"/>
        <v>288672.88999999402</v>
      </c>
      <c r="K131" s="518">
        <f t="shared" si="52"/>
        <v>38842411.599999867</v>
      </c>
      <c r="L131" s="518"/>
      <c r="M131" s="583">
        <f t="shared" si="59"/>
        <v>1343628.7800001353</v>
      </c>
      <c r="V131" s="518">
        <f t="shared" si="68"/>
        <v>15243.782083333334</v>
      </c>
      <c r="W131" s="518">
        <f t="shared" si="68"/>
        <v>11017.99425</v>
      </c>
      <c r="X131" s="518">
        <f t="shared" si="68"/>
        <v>17485.601749999998</v>
      </c>
      <c r="Y131" s="518">
        <f t="shared" si="68"/>
        <v>10890.147916666667</v>
      </c>
      <c r="Z131" s="518">
        <f t="shared" si="68"/>
        <v>7488.6954166666665</v>
      </c>
      <c r="AA131" s="518">
        <f t="shared" si="68"/>
        <v>8225.8129166666677</v>
      </c>
      <c r="AB131" s="518">
        <f t="shared" si="68"/>
        <v>8388.9866666666676</v>
      </c>
      <c r="AC131" s="518">
        <f t="shared" si="68"/>
        <v>13769.138416666667</v>
      </c>
      <c r="AD131" s="518">
        <f t="shared" si="68"/>
        <v>8700.2379166666669</v>
      </c>
      <c r="AE131" s="518">
        <f t="shared" si="68"/>
        <v>9998.3125</v>
      </c>
      <c r="AF131" s="518">
        <f t="shared" si="68"/>
        <v>10366.302666666666</v>
      </c>
      <c r="AG131" s="518">
        <f t="shared" si="68"/>
        <v>10732.562750000001</v>
      </c>
      <c r="AH131" s="518">
        <f t="shared" si="68"/>
        <v>9105.5835833333331</v>
      </c>
      <c r="AI131" s="518">
        <f t="shared" si="68"/>
        <v>10440.417416666667</v>
      </c>
      <c r="AJ131" s="518">
        <f t="shared" si="68"/>
        <v>8303.1186666666672</v>
      </c>
      <c r="AK131" s="518">
        <f t="shared" si="68"/>
        <v>8865.7425000000003</v>
      </c>
      <c r="AL131" s="518">
        <f t="shared" si="68"/>
        <v>8628.6307500000003</v>
      </c>
      <c r="AM131" s="518">
        <f t="shared" si="55"/>
        <v>5003.7696666666661</v>
      </c>
      <c r="AN131" s="518">
        <f t="shared" si="68"/>
        <v>11058.227500000001</v>
      </c>
      <c r="AO131" s="518">
        <f t="shared" si="68"/>
        <v>15030.796999999999</v>
      </c>
      <c r="AP131" s="518">
        <f t="shared" si="56"/>
        <v>11048.227083333333</v>
      </c>
      <c r="AQ131" s="518">
        <f t="shared" si="57"/>
        <v>11805.924583333333</v>
      </c>
      <c r="AR131" s="518">
        <f t="shared" si="58"/>
        <v>5757.6083333333336</v>
      </c>
      <c r="AS131" s="518">
        <f t="shared" si="60"/>
        <v>779.89166666666665</v>
      </c>
      <c r="AT131" s="518">
        <f t="shared" si="63"/>
        <v>568.33333333333337</v>
      </c>
      <c r="AU131" s="518">
        <f t="shared" si="64"/>
        <v>606.45416666666665</v>
      </c>
      <c r="AV131" s="518">
        <f t="shared" si="64"/>
        <v>227.18866666666665</v>
      </c>
      <c r="AW131" s="518"/>
      <c r="AX131" s="518">
        <f t="shared" si="61"/>
        <v>239537.49016666666</v>
      </c>
    </row>
    <row r="132" spans="1:50" s="585" customFormat="1" outlineLevel="1">
      <c r="A132" s="308" t="s">
        <v>54</v>
      </c>
      <c r="B132" s="308">
        <f t="shared" si="46"/>
        <v>2024</v>
      </c>
      <c r="C132" s="308" t="s">
        <v>68</v>
      </c>
      <c r="D132" s="518"/>
      <c r="E132" s="518"/>
      <c r="F132" s="518"/>
      <c r="G132" s="518">
        <f t="shared" si="66"/>
        <v>0</v>
      </c>
      <c r="H132" s="518">
        <f>SUM($G$5:G132)</f>
        <v>40186040.380000003</v>
      </c>
      <c r="I132" s="518"/>
      <c r="J132" s="614">
        <f t="shared" si="69"/>
        <v>288672.88999999402</v>
      </c>
      <c r="K132" s="518">
        <f t="shared" ref="K132" si="70">K131+J132</f>
        <v>39131084.489999861</v>
      </c>
      <c r="L132" s="518"/>
      <c r="M132" s="583">
        <f t="shared" ref="M132" si="71">+H132-K132</f>
        <v>1054955.8900001422</v>
      </c>
      <c r="W132" s="518">
        <f t="shared" ref="W132:AO140" si="72">+W131</f>
        <v>11017.99425</v>
      </c>
      <c r="X132" s="518">
        <f t="shared" si="72"/>
        <v>17485.601749999998</v>
      </c>
      <c r="Y132" s="518">
        <f t="shared" si="72"/>
        <v>10890.147916666667</v>
      </c>
      <c r="Z132" s="518">
        <f t="shared" si="72"/>
        <v>7488.6954166666665</v>
      </c>
      <c r="AA132" s="518">
        <f t="shared" si="72"/>
        <v>8225.8129166666677</v>
      </c>
      <c r="AB132" s="518">
        <f t="shared" si="72"/>
        <v>8388.9866666666676</v>
      </c>
      <c r="AC132" s="518">
        <f t="shared" si="72"/>
        <v>13769.138416666667</v>
      </c>
      <c r="AD132" s="518">
        <f t="shared" si="72"/>
        <v>8700.2379166666669</v>
      </c>
      <c r="AE132" s="518">
        <f t="shared" si="72"/>
        <v>9998.3125</v>
      </c>
      <c r="AF132" s="518">
        <f t="shared" si="72"/>
        <v>10366.302666666666</v>
      </c>
      <c r="AG132" s="518">
        <f t="shared" si="72"/>
        <v>10732.562750000001</v>
      </c>
      <c r="AH132" s="518">
        <f t="shared" si="72"/>
        <v>9105.5835833333331</v>
      </c>
      <c r="AI132" s="518">
        <f t="shared" si="72"/>
        <v>10440.417416666667</v>
      </c>
      <c r="AJ132" s="518">
        <f t="shared" si="72"/>
        <v>8303.1186666666672</v>
      </c>
      <c r="AK132" s="518">
        <f t="shared" si="72"/>
        <v>8865.7425000000003</v>
      </c>
      <c r="AL132" s="518">
        <f t="shared" si="72"/>
        <v>8628.6307500000003</v>
      </c>
      <c r="AM132" s="518">
        <f t="shared" si="55"/>
        <v>5003.7696666666661</v>
      </c>
      <c r="AN132" s="518">
        <f t="shared" si="72"/>
        <v>11058.227500000001</v>
      </c>
      <c r="AO132" s="518">
        <f t="shared" si="72"/>
        <v>15030.796999999999</v>
      </c>
      <c r="AP132" s="518">
        <f t="shared" si="56"/>
        <v>11048.227083333333</v>
      </c>
      <c r="AQ132" s="518">
        <f t="shared" si="57"/>
        <v>11805.924583333333</v>
      </c>
      <c r="AR132" s="518">
        <f t="shared" si="58"/>
        <v>5757.6083333333336</v>
      </c>
      <c r="AS132" s="518">
        <f t="shared" si="60"/>
        <v>779.89166666666665</v>
      </c>
      <c r="AT132" s="518">
        <f t="shared" si="63"/>
        <v>568.33333333333337</v>
      </c>
      <c r="AU132" s="518">
        <f t="shared" si="64"/>
        <v>606.45416666666665</v>
      </c>
      <c r="AV132" s="518">
        <f t="shared" si="64"/>
        <v>227.18866666666665</v>
      </c>
      <c r="AW132" s="518"/>
      <c r="AX132" s="518">
        <f t="shared" si="61"/>
        <v>224293.70808333333</v>
      </c>
    </row>
    <row r="133" spans="1:50" s="585" customFormat="1" outlineLevel="1">
      <c r="A133" s="308" t="s">
        <v>55</v>
      </c>
      <c r="B133" s="308">
        <f t="shared" si="46"/>
        <v>2024</v>
      </c>
      <c r="C133" s="308" t="s">
        <v>68</v>
      </c>
      <c r="D133" s="518"/>
      <c r="E133" s="518"/>
      <c r="F133" s="518"/>
      <c r="G133" s="518">
        <f t="shared" si="66"/>
        <v>0</v>
      </c>
      <c r="H133" s="518">
        <f>SUM($G$5:G133)</f>
        <v>40186040.380000003</v>
      </c>
      <c r="I133" s="518"/>
      <c r="J133" s="614">
        <f t="shared" si="69"/>
        <v>288672.88999999402</v>
      </c>
      <c r="K133" s="518">
        <f t="shared" ref="K133:K138" si="73">K132+J133</f>
        <v>39419757.379999854</v>
      </c>
      <c r="L133" s="518"/>
      <c r="M133" s="583">
        <f t="shared" ref="M133:M138" si="74">+H133-K133</f>
        <v>766283.00000014901</v>
      </c>
      <c r="X133" s="518">
        <f t="shared" si="72"/>
        <v>17485.601749999998</v>
      </c>
      <c r="Y133" s="518">
        <f t="shared" si="72"/>
        <v>10890.147916666667</v>
      </c>
      <c r="Z133" s="518">
        <f t="shared" si="72"/>
        <v>7488.6954166666665</v>
      </c>
      <c r="AA133" s="518">
        <f t="shared" si="72"/>
        <v>8225.8129166666677</v>
      </c>
      <c r="AB133" s="518">
        <f t="shared" si="72"/>
        <v>8388.9866666666676</v>
      </c>
      <c r="AC133" s="518">
        <f t="shared" si="72"/>
        <v>13769.138416666667</v>
      </c>
      <c r="AD133" s="518">
        <f t="shared" si="72"/>
        <v>8700.2379166666669</v>
      </c>
      <c r="AE133" s="518">
        <f t="shared" si="72"/>
        <v>9998.3125</v>
      </c>
      <c r="AF133" s="518">
        <f t="shared" si="72"/>
        <v>10366.302666666666</v>
      </c>
      <c r="AG133" s="518">
        <f t="shared" si="72"/>
        <v>10732.562750000001</v>
      </c>
      <c r="AH133" s="518">
        <f t="shared" si="72"/>
        <v>9105.5835833333331</v>
      </c>
      <c r="AI133" s="518">
        <f t="shared" si="72"/>
        <v>10440.417416666667</v>
      </c>
      <c r="AJ133" s="518">
        <f t="shared" si="72"/>
        <v>8303.1186666666672</v>
      </c>
      <c r="AK133" s="518">
        <f t="shared" si="72"/>
        <v>8865.7425000000003</v>
      </c>
      <c r="AL133" s="518">
        <f t="shared" si="72"/>
        <v>8628.6307500000003</v>
      </c>
      <c r="AM133" s="518">
        <f t="shared" si="55"/>
        <v>5003.7696666666661</v>
      </c>
      <c r="AN133" s="518">
        <f t="shared" si="72"/>
        <v>11058.227500000001</v>
      </c>
      <c r="AO133" s="518">
        <f t="shared" si="72"/>
        <v>15030.796999999999</v>
      </c>
      <c r="AP133" s="518">
        <f t="shared" si="56"/>
        <v>11048.227083333333</v>
      </c>
      <c r="AQ133" s="518">
        <f t="shared" si="57"/>
        <v>11805.924583333333</v>
      </c>
      <c r="AR133" s="518">
        <f t="shared" si="58"/>
        <v>5757.6083333333336</v>
      </c>
      <c r="AS133" s="518">
        <f t="shared" si="60"/>
        <v>779.89166666666665</v>
      </c>
      <c r="AT133" s="518">
        <f t="shared" si="63"/>
        <v>568.33333333333337</v>
      </c>
      <c r="AU133" s="518">
        <f t="shared" si="64"/>
        <v>606.45416666666665</v>
      </c>
      <c r="AV133" s="518">
        <f t="shared" si="64"/>
        <v>227.18866666666665</v>
      </c>
      <c r="AW133" s="518"/>
      <c r="AX133" s="518">
        <f t="shared" ref="AX133:AX157" si="75">SUM(O133:AV133)</f>
        <v>213275.71383333334</v>
      </c>
    </row>
    <row r="134" spans="1:50" s="335" customFormat="1" outlineLevel="1">
      <c r="A134" s="327" t="s">
        <v>56</v>
      </c>
      <c r="B134" s="327">
        <f t="shared" si="46"/>
        <v>2024</v>
      </c>
      <c r="C134" s="327" t="s">
        <v>68</v>
      </c>
      <c r="D134" s="518"/>
      <c r="E134" s="39"/>
      <c r="F134" s="39"/>
      <c r="G134" s="39">
        <f t="shared" si="66"/>
        <v>0</v>
      </c>
      <c r="H134" s="518">
        <f>SUM($G$5:G134)</f>
        <v>40186040.380000003</v>
      </c>
      <c r="I134" s="518"/>
      <c r="J134" s="614">
        <f t="shared" si="69"/>
        <v>288672.88999999402</v>
      </c>
      <c r="K134" s="39">
        <f t="shared" si="73"/>
        <v>39708430.269999847</v>
      </c>
      <c r="L134" s="518"/>
      <c r="M134" s="92">
        <f t="shared" si="74"/>
        <v>477610.11000015587</v>
      </c>
      <c r="Y134" s="39">
        <f t="shared" si="72"/>
        <v>10890.147916666667</v>
      </c>
      <c r="Z134" s="39">
        <f t="shared" si="72"/>
        <v>7488.6954166666665</v>
      </c>
      <c r="AA134" s="39">
        <f t="shared" si="72"/>
        <v>8225.8129166666677</v>
      </c>
      <c r="AB134" s="39">
        <f t="shared" si="72"/>
        <v>8388.9866666666676</v>
      </c>
      <c r="AC134" s="39">
        <f t="shared" si="72"/>
        <v>13769.138416666667</v>
      </c>
      <c r="AD134" s="39">
        <f t="shared" si="72"/>
        <v>8700.2379166666669</v>
      </c>
      <c r="AE134" s="39">
        <f t="shared" si="72"/>
        <v>9998.3125</v>
      </c>
      <c r="AF134" s="39">
        <f t="shared" si="72"/>
        <v>10366.302666666666</v>
      </c>
      <c r="AG134" s="39">
        <f t="shared" si="72"/>
        <v>10732.562750000001</v>
      </c>
      <c r="AH134" s="39">
        <f t="shared" si="72"/>
        <v>9105.5835833333331</v>
      </c>
      <c r="AI134" s="39">
        <f t="shared" si="72"/>
        <v>10440.417416666667</v>
      </c>
      <c r="AJ134" s="39">
        <f t="shared" si="72"/>
        <v>8303.1186666666672</v>
      </c>
      <c r="AK134" s="39">
        <f t="shared" si="72"/>
        <v>8865.7425000000003</v>
      </c>
      <c r="AL134" s="39">
        <f t="shared" si="72"/>
        <v>8628.6307500000003</v>
      </c>
      <c r="AM134" s="39">
        <f t="shared" si="55"/>
        <v>5003.7696666666661</v>
      </c>
      <c r="AN134" s="39">
        <f t="shared" si="72"/>
        <v>11058.227500000001</v>
      </c>
      <c r="AO134" s="39">
        <f t="shared" si="72"/>
        <v>15030.796999999999</v>
      </c>
      <c r="AP134" s="39">
        <f t="shared" si="56"/>
        <v>11048.227083333333</v>
      </c>
      <c r="AQ134" s="518">
        <f t="shared" si="57"/>
        <v>11805.924583333333</v>
      </c>
      <c r="AR134" s="39">
        <f t="shared" si="58"/>
        <v>5757.6083333333336</v>
      </c>
      <c r="AS134" s="518">
        <f t="shared" si="60"/>
        <v>779.89166666666665</v>
      </c>
      <c r="AT134" s="39">
        <f t="shared" si="63"/>
        <v>568.33333333333337</v>
      </c>
      <c r="AU134" s="39">
        <f t="shared" si="64"/>
        <v>606.45416666666665</v>
      </c>
      <c r="AV134" s="39">
        <f t="shared" si="64"/>
        <v>227.18866666666665</v>
      </c>
      <c r="AW134" s="39"/>
      <c r="AX134" s="39">
        <f t="shared" si="75"/>
        <v>195790.11208333334</v>
      </c>
    </row>
    <row r="135" spans="1:50" s="335" customFormat="1" outlineLevel="1">
      <c r="A135" s="327" t="s">
        <v>57</v>
      </c>
      <c r="B135" s="327">
        <f t="shared" si="46"/>
        <v>2024</v>
      </c>
      <c r="C135" s="327" t="s">
        <v>68</v>
      </c>
      <c r="D135" s="518"/>
      <c r="E135" s="39"/>
      <c r="F135" s="39"/>
      <c r="G135" s="39">
        <f t="shared" si="66"/>
        <v>0</v>
      </c>
      <c r="H135" s="518">
        <f>SUM($G$5:G135)</f>
        <v>40186040.380000003</v>
      </c>
      <c r="I135" s="518"/>
      <c r="J135" s="614">
        <f t="shared" si="69"/>
        <v>288672.88999999402</v>
      </c>
      <c r="K135" s="39">
        <f t="shared" si="73"/>
        <v>39997103.15999984</v>
      </c>
      <c r="L135" s="518"/>
      <c r="M135" s="92">
        <f t="shared" si="74"/>
        <v>188937.22000016272</v>
      </c>
      <c r="Z135" s="39">
        <f t="shared" si="72"/>
        <v>7488.6954166666665</v>
      </c>
      <c r="AA135" s="39">
        <f t="shared" si="72"/>
        <v>8225.8129166666677</v>
      </c>
      <c r="AB135" s="39">
        <f t="shared" si="72"/>
        <v>8388.9866666666676</v>
      </c>
      <c r="AC135" s="39">
        <f t="shared" si="72"/>
        <v>13769.138416666667</v>
      </c>
      <c r="AD135" s="39">
        <f t="shared" si="72"/>
        <v>8700.2379166666669</v>
      </c>
      <c r="AE135" s="39">
        <f t="shared" si="72"/>
        <v>9998.3125</v>
      </c>
      <c r="AF135" s="39">
        <f t="shared" si="72"/>
        <v>10366.302666666666</v>
      </c>
      <c r="AG135" s="39">
        <f t="shared" si="72"/>
        <v>10732.562750000001</v>
      </c>
      <c r="AH135" s="39">
        <f t="shared" si="72"/>
        <v>9105.5835833333331</v>
      </c>
      <c r="AI135" s="39">
        <f t="shared" si="72"/>
        <v>10440.417416666667</v>
      </c>
      <c r="AJ135" s="39">
        <f t="shared" si="72"/>
        <v>8303.1186666666672</v>
      </c>
      <c r="AK135" s="39">
        <f t="shared" si="72"/>
        <v>8865.7425000000003</v>
      </c>
      <c r="AL135" s="39">
        <f t="shared" si="72"/>
        <v>8628.6307500000003</v>
      </c>
      <c r="AM135" s="39">
        <f t="shared" si="55"/>
        <v>5003.7696666666661</v>
      </c>
      <c r="AN135" s="39">
        <f t="shared" si="72"/>
        <v>11058.227500000001</v>
      </c>
      <c r="AO135" s="39">
        <f t="shared" si="72"/>
        <v>15030.796999999999</v>
      </c>
      <c r="AP135" s="39">
        <f t="shared" si="56"/>
        <v>11048.227083333333</v>
      </c>
      <c r="AQ135" s="518">
        <f t="shared" si="57"/>
        <v>11805.924583333333</v>
      </c>
      <c r="AR135" s="39">
        <f t="shared" si="58"/>
        <v>5757.6083333333336</v>
      </c>
      <c r="AS135" s="518">
        <f t="shared" si="60"/>
        <v>779.89166666666665</v>
      </c>
      <c r="AT135" s="39">
        <f t="shared" si="63"/>
        <v>568.33333333333337</v>
      </c>
      <c r="AU135" s="39">
        <f t="shared" si="64"/>
        <v>606.45416666666665</v>
      </c>
      <c r="AV135" s="39">
        <f t="shared" si="64"/>
        <v>227.18866666666665</v>
      </c>
      <c r="AW135" s="39"/>
      <c r="AX135" s="39">
        <f t="shared" si="75"/>
        <v>184899.96416666664</v>
      </c>
    </row>
    <row r="136" spans="1:50" s="335" customFormat="1" outlineLevel="1">
      <c r="A136" s="327" t="s">
        <v>58</v>
      </c>
      <c r="B136" s="327">
        <f t="shared" si="46"/>
        <v>2024</v>
      </c>
      <c r="C136" s="327" t="s">
        <v>68</v>
      </c>
      <c r="D136" s="518"/>
      <c r="E136" s="39"/>
      <c r="F136" s="39"/>
      <c r="G136" s="39">
        <f t="shared" si="66"/>
        <v>0</v>
      </c>
      <c r="H136" s="518">
        <f>SUM($G$5:G136)</f>
        <v>40186040.380000003</v>
      </c>
      <c r="I136" s="518"/>
      <c r="J136" s="614">
        <f t="shared" si="69"/>
        <v>288672.88999999402</v>
      </c>
      <c r="K136" s="39">
        <f t="shared" si="73"/>
        <v>40285776.049999833</v>
      </c>
      <c r="L136" s="518"/>
      <c r="M136" s="92">
        <f t="shared" si="74"/>
        <v>-99735.669999830425</v>
      </c>
      <c r="AA136" s="39">
        <f t="shared" si="72"/>
        <v>8225.8129166666677</v>
      </c>
      <c r="AB136" s="39">
        <f t="shared" si="72"/>
        <v>8388.9866666666676</v>
      </c>
      <c r="AC136" s="39">
        <f t="shared" si="72"/>
        <v>13769.138416666667</v>
      </c>
      <c r="AD136" s="39">
        <f t="shared" si="72"/>
        <v>8700.2379166666669</v>
      </c>
      <c r="AE136" s="39">
        <f t="shared" si="72"/>
        <v>9998.3125</v>
      </c>
      <c r="AF136" s="39">
        <f t="shared" si="72"/>
        <v>10366.302666666666</v>
      </c>
      <c r="AG136" s="39">
        <f t="shared" si="72"/>
        <v>10732.562750000001</v>
      </c>
      <c r="AH136" s="39">
        <f t="shared" si="72"/>
        <v>9105.5835833333331</v>
      </c>
      <c r="AI136" s="39">
        <f t="shared" si="72"/>
        <v>10440.417416666667</v>
      </c>
      <c r="AJ136" s="39">
        <f t="shared" si="72"/>
        <v>8303.1186666666672</v>
      </c>
      <c r="AK136" s="39">
        <f t="shared" si="72"/>
        <v>8865.7425000000003</v>
      </c>
      <c r="AL136" s="39">
        <f t="shared" si="72"/>
        <v>8628.6307500000003</v>
      </c>
      <c r="AM136" s="39">
        <f t="shared" si="55"/>
        <v>5003.7696666666661</v>
      </c>
      <c r="AN136" s="39">
        <f t="shared" si="72"/>
        <v>11058.227500000001</v>
      </c>
      <c r="AO136" s="39">
        <f t="shared" si="72"/>
        <v>15030.796999999999</v>
      </c>
      <c r="AP136" s="39">
        <f t="shared" si="56"/>
        <v>11048.227083333333</v>
      </c>
      <c r="AQ136" s="518">
        <f t="shared" si="57"/>
        <v>11805.924583333333</v>
      </c>
      <c r="AR136" s="39">
        <f t="shared" si="58"/>
        <v>5757.6083333333336</v>
      </c>
      <c r="AS136" s="518">
        <f t="shared" si="60"/>
        <v>779.89166666666665</v>
      </c>
      <c r="AT136" s="39">
        <f t="shared" si="63"/>
        <v>568.33333333333337</v>
      </c>
      <c r="AU136" s="39">
        <f t="shared" si="64"/>
        <v>606.45416666666665</v>
      </c>
      <c r="AV136" s="39">
        <f t="shared" si="64"/>
        <v>227.18866666666665</v>
      </c>
      <c r="AW136" s="39"/>
      <c r="AX136" s="39">
        <f t="shared" si="75"/>
        <v>177411.26874999996</v>
      </c>
    </row>
    <row r="137" spans="1:50" s="335" customFormat="1" outlineLevel="1">
      <c r="A137" s="327" t="s">
        <v>59</v>
      </c>
      <c r="B137" s="327">
        <f t="shared" si="46"/>
        <v>2024</v>
      </c>
      <c r="C137" s="327" t="s">
        <v>68</v>
      </c>
      <c r="D137" s="518"/>
      <c r="E137" s="39"/>
      <c r="F137" s="39"/>
      <c r="G137" s="39">
        <f t="shared" si="66"/>
        <v>0</v>
      </c>
      <c r="H137" s="518">
        <f>SUM($G$5:G137)</f>
        <v>40186040.380000003</v>
      </c>
      <c r="I137" s="518"/>
      <c r="J137" s="614">
        <f t="shared" si="69"/>
        <v>288672.88999999402</v>
      </c>
      <c r="K137" s="39">
        <f t="shared" si="73"/>
        <v>40574448.939999826</v>
      </c>
      <c r="L137" s="518"/>
      <c r="M137" s="92">
        <f t="shared" si="74"/>
        <v>-388408.55999982357</v>
      </c>
      <c r="AB137" s="39">
        <f t="shared" si="72"/>
        <v>8388.9866666666676</v>
      </c>
      <c r="AC137" s="39">
        <f t="shared" si="72"/>
        <v>13769.138416666667</v>
      </c>
      <c r="AD137" s="39">
        <f t="shared" si="72"/>
        <v>8700.2379166666669</v>
      </c>
      <c r="AE137" s="39">
        <f t="shared" si="72"/>
        <v>9998.3125</v>
      </c>
      <c r="AF137" s="39">
        <f t="shared" si="72"/>
        <v>10366.302666666666</v>
      </c>
      <c r="AG137" s="39">
        <f t="shared" si="72"/>
        <v>10732.562750000001</v>
      </c>
      <c r="AH137" s="39">
        <f t="shared" si="72"/>
        <v>9105.5835833333331</v>
      </c>
      <c r="AI137" s="39">
        <f t="shared" si="72"/>
        <v>10440.417416666667</v>
      </c>
      <c r="AJ137" s="39">
        <f t="shared" si="72"/>
        <v>8303.1186666666672</v>
      </c>
      <c r="AK137" s="39">
        <f t="shared" si="72"/>
        <v>8865.7425000000003</v>
      </c>
      <c r="AL137" s="39">
        <f t="shared" si="72"/>
        <v>8628.6307500000003</v>
      </c>
      <c r="AM137" s="39">
        <f t="shared" si="55"/>
        <v>5003.7696666666661</v>
      </c>
      <c r="AN137" s="39">
        <f t="shared" si="72"/>
        <v>11058.227500000001</v>
      </c>
      <c r="AO137" s="39">
        <f t="shared" si="72"/>
        <v>15030.796999999999</v>
      </c>
      <c r="AP137" s="39">
        <f t="shared" si="56"/>
        <v>11048.227083333333</v>
      </c>
      <c r="AQ137" s="518">
        <f t="shared" si="57"/>
        <v>11805.924583333333</v>
      </c>
      <c r="AR137" s="39">
        <f t="shared" si="58"/>
        <v>5757.6083333333336</v>
      </c>
      <c r="AS137" s="518">
        <f t="shared" si="60"/>
        <v>779.89166666666665</v>
      </c>
      <c r="AT137" s="39">
        <f t="shared" si="63"/>
        <v>568.33333333333337</v>
      </c>
      <c r="AU137" s="39">
        <f t="shared" si="64"/>
        <v>606.45416666666665</v>
      </c>
      <c r="AV137" s="39">
        <f t="shared" si="64"/>
        <v>227.18866666666665</v>
      </c>
      <c r="AW137" s="39"/>
      <c r="AX137" s="39">
        <f t="shared" si="75"/>
        <v>169185.45583333331</v>
      </c>
    </row>
    <row r="138" spans="1:50" s="335" customFormat="1" outlineLevel="1">
      <c r="A138" s="327" t="s">
        <v>46</v>
      </c>
      <c r="B138" s="327">
        <f t="shared" si="46"/>
        <v>2024</v>
      </c>
      <c r="C138" s="327" t="s">
        <v>68</v>
      </c>
      <c r="D138" s="518"/>
      <c r="E138" s="39"/>
      <c r="F138" s="39"/>
      <c r="G138" s="39">
        <f t="shared" si="66"/>
        <v>0</v>
      </c>
      <c r="H138" s="518">
        <f>SUM($G$5:G138)</f>
        <v>40186040.380000003</v>
      </c>
      <c r="I138" s="518"/>
      <c r="J138" s="614">
        <f t="shared" si="69"/>
        <v>288672.88999999402</v>
      </c>
      <c r="K138" s="39">
        <f t="shared" si="73"/>
        <v>40863121.829999819</v>
      </c>
      <c r="L138" s="518"/>
      <c r="M138" s="92">
        <f t="shared" si="74"/>
        <v>-677081.44999981672</v>
      </c>
      <c r="AC138" s="39">
        <f t="shared" si="72"/>
        <v>13769.138416666667</v>
      </c>
      <c r="AD138" s="39">
        <f t="shared" si="72"/>
        <v>8700.2379166666669</v>
      </c>
      <c r="AE138" s="39">
        <f t="shared" si="72"/>
        <v>9998.3125</v>
      </c>
      <c r="AF138" s="39">
        <f t="shared" si="72"/>
        <v>10366.302666666666</v>
      </c>
      <c r="AG138" s="39">
        <f t="shared" si="72"/>
        <v>10732.562750000001</v>
      </c>
      <c r="AH138" s="39">
        <f t="shared" si="72"/>
        <v>9105.5835833333331</v>
      </c>
      <c r="AI138" s="39">
        <f t="shared" si="72"/>
        <v>10440.417416666667</v>
      </c>
      <c r="AJ138" s="39">
        <f t="shared" si="72"/>
        <v>8303.1186666666672</v>
      </c>
      <c r="AK138" s="39">
        <f t="shared" si="72"/>
        <v>8865.7425000000003</v>
      </c>
      <c r="AL138" s="39">
        <f t="shared" si="72"/>
        <v>8628.6307500000003</v>
      </c>
      <c r="AM138" s="39">
        <f t="shared" si="55"/>
        <v>5003.7696666666661</v>
      </c>
      <c r="AN138" s="39">
        <f t="shared" si="72"/>
        <v>11058.227500000001</v>
      </c>
      <c r="AO138" s="39">
        <f t="shared" si="72"/>
        <v>15030.796999999999</v>
      </c>
      <c r="AP138" s="39">
        <f t="shared" si="56"/>
        <v>11048.227083333333</v>
      </c>
      <c r="AQ138" s="518">
        <f t="shared" si="57"/>
        <v>11805.924583333333</v>
      </c>
      <c r="AR138" s="39">
        <f t="shared" si="58"/>
        <v>5757.6083333333336</v>
      </c>
      <c r="AS138" s="518">
        <f t="shared" si="60"/>
        <v>779.89166666666665</v>
      </c>
      <c r="AT138" s="39">
        <f t="shared" si="63"/>
        <v>568.33333333333337</v>
      </c>
      <c r="AU138" s="39">
        <f t="shared" si="64"/>
        <v>606.45416666666665</v>
      </c>
      <c r="AV138" s="39">
        <f t="shared" si="64"/>
        <v>227.18866666666665</v>
      </c>
      <c r="AW138" s="39"/>
      <c r="AX138" s="39">
        <f t="shared" si="75"/>
        <v>160796.46916666665</v>
      </c>
    </row>
    <row r="139" spans="1:50" s="335" customFormat="1" outlineLevel="1">
      <c r="A139" s="327" t="s">
        <v>48</v>
      </c>
      <c r="B139" s="327">
        <f t="shared" si="46"/>
        <v>2024</v>
      </c>
      <c r="C139" s="327" t="s">
        <v>68</v>
      </c>
      <c r="D139" s="518"/>
      <c r="E139" s="39"/>
      <c r="F139" s="39"/>
      <c r="G139" s="39">
        <f t="shared" si="66"/>
        <v>0</v>
      </c>
      <c r="H139" s="518">
        <f>SUM($G$5:G139)</f>
        <v>40186040.380000003</v>
      </c>
      <c r="I139" s="518"/>
      <c r="J139" s="614">
        <f>M138</f>
        <v>-677081.44999981672</v>
      </c>
      <c r="K139" s="39">
        <f t="shared" ref="K139" si="76">K138+J139</f>
        <v>40186040.380000003</v>
      </c>
      <c r="L139" s="518"/>
      <c r="M139" s="92">
        <f t="shared" ref="M139" si="77">+H139-K139</f>
        <v>0</v>
      </c>
      <c r="AD139" s="39">
        <f>+AD138</f>
        <v>8700.2379166666669</v>
      </c>
      <c r="AE139" s="39">
        <f>+AE138</f>
        <v>9998.3125</v>
      </c>
      <c r="AF139" s="39">
        <f>+AF138</f>
        <v>10366.302666666666</v>
      </c>
      <c r="AG139" s="39">
        <f t="shared" si="72"/>
        <v>10732.562750000001</v>
      </c>
      <c r="AH139" s="39">
        <f t="shared" si="72"/>
        <v>9105.5835833333331</v>
      </c>
      <c r="AI139" s="39">
        <f t="shared" si="72"/>
        <v>10440.417416666667</v>
      </c>
      <c r="AJ139" s="39">
        <f t="shared" si="72"/>
        <v>8303.1186666666672</v>
      </c>
      <c r="AK139" s="39">
        <f t="shared" si="72"/>
        <v>8865.7425000000003</v>
      </c>
      <c r="AL139" s="39">
        <f t="shared" si="72"/>
        <v>8628.6307500000003</v>
      </c>
      <c r="AM139" s="39">
        <f t="shared" si="55"/>
        <v>5003.7696666666661</v>
      </c>
      <c r="AN139" s="39">
        <f t="shared" si="72"/>
        <v>11058.227500000001</v>
      </c>
      <c r="AO139" s="39">
        <f t="shared" si="72"/>
        <v>15030.796999999999</v>
      </c>
      <c r="AP139" s="39">
        <f t="shared" si="56"/>
        <v>11048.227083333333</v>
      </c>
      <c r="AQ139" s="518">
        <f t="shared" si="57"/>
        <v>11805.924583333333</v>
      </c>
      <c r="AR139" s="39">
        <f t="shared" si="58"/>
        <v>5757.6083333333336</v>
      </c>
      <c r="AS139" s="518">
        <f t="shared" si="60"/>
        <v>779.89166666666665</v>
      </c>
      <c r="AT139" s="39">
        <f t="shared" si="63"/>
        <v>568.33333333333337</v>
      </c>
      <c r="AU139" s="39">
        <f t="shared" si="64"/>
        <v>606.45416666666665</v>
      </c>
      <c r="AV139" s="39">
        <f t="shared" si="64"/>
        <v>227.18866666666665</v>
      </c>
      <c r="AW139" s="39"/>
      <c r="AX139" s="39">
        <f t="shared" si="75"/>
        <v>147027.33074999996</v>
      </c>
    </row>
    <row r="140" spans="1:50" s="335" customFormat="1" outlineLevel="1">
      <c r="A140" s="327" t="s">
        <v>50</v>
      </c>
      <c r="B140" s="327">
        <f>+B128+1</f>
        <v>2024</v>
      </c>
      <c r="C140" s="327" t="s">
        <v>68</v>
      </c>
      <c r="D140" s="518"/>
      <c r="E140" s="39"/>
      <c r="F140" s="39"/>
      <c r="G140" s="39">
        <f t="shared" si="66"/>
        <v>0</v>
      </c>
      <c r="H140" s="518">
        <f>SUM($G$5:G140)</f>
        <v>40186040.380000003</v>
      </c>
      <c r="I140" s="518"/>
      <c r="J140" s="614"/>
      <c r="K140" s="39"/>
      <c r="L140" s="518"/>
      <c r="M140" s="92"/>
      <c r="AE140" s="39">
        <f>+AE139</f>
        <v>9998.3125</v>
      </c>
      <c r="AF140" s="39">
        <f>+AF139</f>
        <v>10366.302666666666</v>
      </c>
      <c r="AG140" s="39">
        <f t="shared" si="72"/>
        <v>10732.562750000001</v>
      </c>
      <c r="AH140" s="39">
        <f t="shared" si="72"/>
        <v>9105.5835833333331</v>
      </c>
      <c r="AI140" s="39">
        <f t="shared" si="72"/>
        <v>10440.417416666667</v>
      </c>
      <c r="AJ140" s="39">
        <f t="shared" si="72"/>
        <v>8303.1186666666672</v>
      </c>
      <c r="AK140" s="39">
        <f t="shared" si="72"/>
        <v>8865.7425000000003</v>
      </c>
      <c r="AL140" s="39">
        <f t="shared" si="72"/>
        <v>8628.6307500000003</v>
      </c>
      <c r="AM140" s="39">
        <f t="shared" si="55"/>
        <v>5003.7696666666661</v>
      </c>
      <c r="AN140" s="39">
        <f t="shared" si="72"/>
        <v>11058.227500000001</v>
      </c>
      <c r="AO140" s="39">
        <f t="shared" si="72"/>
        <v>15030.796999999999</v>
      </c>
      <c r="AP140" s="39">
        <f t="shared" si="56"/>
        <v>11048.227083333333</v>
      </c>
      <c r="AQ140" s="518">
        <f t="shared" si="57"/>
        <v>11805.924583333333</v>
      </c>
      <c r="AR140" s="39">
        <f t="shared" si="58"/>
        <v>5757.6083333333336</v>
      </c>
      <c r="AS140" s="518">
        <f t="shared" si="60"/>
        <v>779.89166666666665</v>
      </c>
      <c r="AT140" s="39">
        <f t="shared" si="63"/>
        <v>568.33333333333337</v>
      </c>
      <c r="AU140" s="39">
        <f t="shared" si="64"/>
        <v>606.45416666666665</v>
      </c>
      <c r="AV140" s="39">
        <f t="shared" si="64"/>
        <v>227.18866666666665</v>
      </c>
      <c r="AW140" s="39"/>
      <c r="AX140" s="39">
        <f t="shared" si="75"/>
        <v>138327.09283333333</v>
      </c>
    </row>
    <row r="141" spans="1:50" s="585" customFormat="1" outlineLevel="1">
      <c r="A141" s="308" t="s">
        <v>51</v>
      </c>
      <c r="B141" s="308">
        <f>+B129+1</f>
        <v>2024</v>
      </c>
      <c r="C141" s="308" t="s">
        <v>68</v>
      </c>
      <c r="D141" s="518"/>
      <c r="E141" s="518"/>
      <c r="F141" s="518"/>
      <c r="G141" s="518">
        <f t="shared" si="66"/>
        <v>0</v>
      </c>
      <c r="H141" s="518">
        <f>SUM($G$5:G141)</f>
        <v>40186040.380000003</v>
      </c>
      <c r="I141" s="518"/>
      <c r="J141" s="614"/>
      <c r="K141" s="39"/>
      <c r="L141" s="518"/>
      <c r="M141" s="92"/>
      <c r="AF141" s="518">
        <f>+AF140</f>
        <v>10366.302666666666</v>
      </c>
      <c r="AG141" s="518">
        <f t="shared" ref="AG141:AO150" si="78">+AG140</f>
        <v>10732.562750000001</v>
      </c>
      <c r="AH141" s="518">
        <f t="shared" si="78"/>
        <v>9105.5835833333331</v>
      </c>
      <c r="AI141" s="518">
        <f t="shared" si="78"/>
        <v>10440.417416666667</v>
      </c>
      <c r="AJ141" s="518">
        <f t="shared" si="78"/>
        <v>8303.1186666666672</v>
      </c>
      <c r="AK141" s="518">
        <f t="shared" si="78"/>
        <v>8865.7425000000003</v>
      </c>
      <c r="AL141" s="518">
        <f t="shared" si="78"/>
        <v>8628.6307500000003</v>
      </c>
      <c r="AM141" s="39">
        <f t="shared" si="55"/>
        <v>5003.7696666666661</v>
      </c>
      <c r="AN141" s="518">
        <f t="shared" si="78"/>
        <v>11058.227500000001</v>
      </c>
      <c r="AO141" s="518">
        <f t="shared" si="78"/>
        <v>15030.796999999999</v>
      </c>
      <c r="AP141" s="39">
        <f t="shared" si="56"/>
        <v>11048.227083333333</v>
      </c>
      <c r="AQ141" s="518">
        <f t="shared" si="57"/>
        <v>11805.924583333333</v>
      </c>
      <c r="AR141" s="39">
        <f t="shared" si="58"/>
        <v>5757.6083333333336</v>
      </c>
      <c r="AS141" s="518">
        <f t="shared" si="60"/>
        <v>779.89166666666665</v>
      </c>
      <c r="AT141" s="39">
        <f t="shared" si="63"/>
        <v>568.33333333333337</v>
      </c>
      <c r="AU141" s="39">
        <f t="shared" si="64"/>
        <v>606.45416666666665</v>
      </c>
      <c r="AV141" s="39">
        <f t="shared" si="64"/>
        <v>227.18866666666665</v>
      </c>
      <c r="AW141" s="518"/>
      <c r="AX141" s="518">
        <f t="shared" si="75"/>
        <v>128328.78033333333</v>
      </c>
    </row>
    <row r="142" spans="1:50" s="335" customFormat="1" outlineLevel="1">
      <c r="A142" s="332" t="s">
        <v>52</v>
      </c>
      <c r="B142" s="332">
        <f>+B130+1</f>
        <v>2024</v>
      </c>
      <c r="C142" s="332" t="s">
        <v>68</v>
      </c>
      <c r="D142" s="212"/>
      <c r="E142" s="212"/>
      <c r="F142" s="212"/>
      <c r="G142" s="212">
        <f t="shared" si="66"/>
        <v>0</v>
      </c>
      <c r="H142" s="518">
        <f>SUM($G$5:G142)</f>
        <v>40186040.380000003</v>
      </c>
      <c r="I142" s="518"/>
      <c r="J142" s="614"/>
      <c r="K142" s="39"/>
      <c r="L142" s="518"/>
      <c r="M142" s="92"/>
      <c r="N142" s="333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  <c r="Z142" s="333"/>
      <c r="AA142" s="333"/>
      <c r="AB142" s="333"/>
      <c r="AC142" s="333"/>
      <c r="AD142" s="333"/>
      <c r="AE142" s="333"/>
      <c r="AF142" s="212"/>
      <c r="AG142" s="212">
        <f t="shared" si="78"/>
        <v>10732.562750000001</v>
      </c>
      <c r="AH142" s="212">
        <f t="shared" si="78"/>
        <v>9105.5835833333331</v>
      </c>
      <c r="AI142" s="212">
        <f t="shared" si="78"/>
        <v>10440.417416666667</v>
      </c>
      <c r="AJ142" s="212">
        <f t="shared" si="78"/>
        <v>8303.1186666666672</v>
      </c>
      <c r="AK142" s="212">
        <f t="shared" si="78"/>
        <v>8865.7425000000003</v>
      </c>
      <c r="AL142" s="212">
        <f t="shared" si="78"/>
        <v>8628.6307500000003</v>
      </c>
      <c r="AM142" s="212">
        <f t="shared" si="55"/>
        <v>5003.7696666666661</v>
      </c>
      <c r="AN142" s="212">
        <f t="shared" si="78"/>
        <v>11058.227500000001</v>
      </c>
      <c r="AO142" s="212">
        <f t="shared" si="78"/>
        <v>15030.796999999999</v>
      </c>
      <c r="AP142" s="212">
        <f t="shared" si="56"/>
        <v>11048.227083333333</v>
      </c>
      <c r="AQ142" s="212">
        <f t="shared" si="57"/>
        <v>11805.924583333333</v>
      </c>
      <c r="AR142" s="212">
        <f t="shared" si="58"/>
        <v>5757.6083333333336</v>
      </c>
      <c r="AS142" s="212">
        <f t="shared" si="60"/>
        <v>779.89166666666665</v>
      </c>
      <c r="AT142" s="212">
        <f t="shared" si="63"/>
        <v>568.33333333333337</v>
      </c>
      <c r="AU142" s="212">
        <f t="shared" si="64"/>
        <v>606.45416666666665</v>
      </c>
      <c r="AV142" s="212">
        <f t="shared" si="64"/>
        <v>227.18866666666665</v>
      </c>
      <c r="AW142" s="212"/>
      <c r="AX142" s="212">
        <f t="shared" si="75"/>
        <v>117962.47766666667</v>
      </c>
    </row>
    <row r="143" spans="1:50" s="335" customFormat="1" outlineLevel="1">
      <c r="A143" s="327" t="s">
        <v>53</v>
      </c>
      <c r="B143" s="327">
        <f t="shared" ref="B143:B157" si="79">+B131+1</f>
        <v>2025</v>
      </c>
      <c r="C143" s="327" t="s">
        <v>68</v>
      </c>
      <c r="D143" s="518"/>
      <c r="E143" s="39"/>
      <c r="F143" s="39"/>
      <c r="G143" s="39">
        <f t="shared" si="66"/>
        <v>0</v>
      </c>
      <c r="H143" s="518">
        <f>SUM($G$5:G143)</f>
        <v>40186040.380000003</v>
      </c>
      <c r="I143" s="518"/>
      <c r="J143" s="614"/>
      <c r="K143" s="39"/>
      <c r="L143" s="518"/>
      <c r="M143" s="92"/>
      <c r="U143" s="585"/>
      <c r="V143" s="585"/>
      <c r="W143" s="585"/>
      <c r="X143" s="585"/>
      <c r="Y143" s="585"/>
      <c r="Z143" s="585"/>
      <c r="AA143" s="585"/>
      <c r="AB143" s="585"/>
      <c r="AC143" s="585"/>
      <c r="AD143" s="585"/>
      <c r="AE143" s="585"/>
      <c r="AF143" s="518"/>
      <c r="AH143" s="39">
        <f t="shared" si="78"/>
        <v>9105.5835833333331</v>
      </c>
      <c r="AI143" s="39">
        <f t="shared" si="78"/>
        <v>10440.417416666667</v>
      </c>
      <c r="AJ143" s="39">
        <f t="shared" si="78"/>
        <v>8303.1186666666672</v>
      </c>
      <c r="AK143" s="39">
        <f t="shared" si="78"/>
        <v>8865.7425000000003</v>
      </c>
      <c r="AL143" s="39">
        <f t="shared" si="78"/>
        <v>8628.6307500000003</v>
      </c>
      <c r="AM143" s="39">
        <f t="shared" si="55"/>
        <v>5003.7696666666661</v>
      </c>
      <c r="AN143" s="39">
        <f t="shared" si="78"/>
        <v>11058.227500000001</v>
      </c>
      <c r="AO143" s="39">
        <f t="shared" si="78"/>
        <v>15030.796999999999</v>
      </c>
      <c r="AP143" s="39">
        <f t="shared" si="56"/>
        <v>11048.227083333333</v>
      </c>
      <c r="AQ143" s="518">
        <f t="shared" si="57"/>
        <v>11805.924583333333</v>
      </c>
      <c r="AR143" s="39">
        <f t="shared" si="58"/>
        <v>5757.6083333333336</v>
      </c>
      <c r="AS143" s="518">
        <f t="shared" si="60"/>
        <v>779.89166666666665</v>
      </c>
      <c r="AT143" s="39">
        <f t="shared" si="63"/>
        <v>568.33333333333337</v>
      </c>
      <c r="AU143" s="39">
        <f t="shared" si="64"/>
        <v>606.45416666666665</v>
      </c>
      <c r="AV143" s="39">
        <f t="shared" si="64"/>
        <v>227.18866666666665</v>
      </c>
      <c r="AW143" s="518"/>
      <c r="AX143" s="518">
        <f t="shared" si="75"/>
        <v>107229.91491666666</v>
      </c>
    </row>
    <row r="144" spans="1:50" s="335" customFormat="1" outlineLevel="1">
      <c r="A144" s="327" t="s">
        <v>54</v>
      </c>
      <c r="B144" s="327">
        <f t="shared" si="79"/>
        <v>2025</v>
      </c>
      <c r="C144" s="327" t="s">
        <v>68</v>
      </c>
      <c r="D144" s="518"/>
      <c r="E144" s="39"/>
      <c r="F144" s="39"/>
      <c r="G144" s="39">
        <f t="shared" si="66"/>
        <v>0</v>
      </c>
      <c r="H144" s="518">
        <f>SUM($G$5:G144)</f>
        <v>40186040.380000003</v>
      </c>
      <c r="I144" s="518"/>
      <c r="J144" s="614"/>
      <c r="K144" s="39"/>
      <c r="L144" s="518"/>
      <c r="M144" s="92"/>
      <c r="U144" s="585"/>
      <c r="V144" s="585"/>
      <c r="W144" s="585"/>
      <c r="X144" s="585"/>
      <c r="Y144" s="585"/>
      <c r="Z144" s="585"/>
      <c r="AA144" s="585"/>
      <c r="AB144" s="585"/>
      <c r="AC144" s="585"/>
      <c r="AD144" s="585"/>
      <c r="AE144" s="585"/>
      <c r="AF144" s="518"/>
      <c r="AI144" s="39">
        <f t="shared" si="78"/>
        <v>10440.417416666667</v>
      </c>
      <c r="AJ144" s="39">
        <f t="shared" si="78"/>
        <v>8303.1186666666672</v>
      </c>
      <c r="AK144" s="39">
        <f t="shared" si="78"/>
        <v>8865.7425000000003</v>
      </c>
      <c r="AL144" s="39">
        <f t="shared" si="78"/>
        <v>8628.6307500000003</v>
      </c>
      <c r="AM144" s="39">
        <f t="shared" si="55"/>
        <v>5003.7696666666661</v>
      </c>
      <c r="AN144" s="39">
        <f t="shared" si="78"/>
        <v>11058.227500000001</v>
      </c>
      <c r="AO144" s="39">
        <f t="shared" si="78"/>
        <v>15030.796999999999</v>
      </c>
      <c r="AP144" s="39">
        <f t="shared" si="56"/>
        <v>11048.227083333333</v>
      </c>
      <c r="AQ144" s="518">
        <f t="shared" si="57"/>
        <v>11805.924583333333</v>
      </c>
      <c r="AR144" s="39">
        <f t="shared" si="58"/>
        <v>5757.6083333333336</v>
      </c>
      <c r="AS144" s="518">
        <f t="shared" si="60"/>
        <v>779.89166666666665</v>
      </c>
      <c r="AT144" s="39">
        <f t="shared" si="63"/>
        <v>568.33333333333337</v>
      </c>
      <c r="AU144" s="39">
        <f t="shared" si="64"/>
        <v>606.45416666666665</v>
      </c>
      <c r="AV144" s="39">
        <f t="shared" si="64"/>
        <v>227.18866666666665</v>
      </c>
      <c r="AW144" s="518"/>
      <c r="AX144" s="518">
        <f t="shared" si="75"/>
        <v>98124.331333333335</v>
      </c>
    </row>
    <row r="145" spans="1:50" s="335" customFormat="1" outlineLevel="1">
      <c r="A145" s="327" t="s">
        <v>55</v>
      </c>
      <c r="B145" s="327">
        <f t="shared" si="79"/>
        <v>2025</v>
      </c>
      <c r="C145" s="327" t="s">
        <v>68</v>
      </c>
      <c r="D145" s="518"/>
      <c r="E145" s="39"/>
      <c r="F145" s="39"/>
      <c r="G145" s="39">
        <f t="shared" si="66"/>
        <v>0</v>
      </c>
      <c r="H145" s="518">
        <f>SUM($G$5:G145)</f>
        <v>40186040.380000003</v>
      </c>
      <c r="I145" s="518"/>
      <c r="J145" s="614"/>
      <c r="K145" s="39"/>
      <c r="L145" s="518"/>
      <c r="M145" s="92"/>
      <c r="U145" s="585"/>
      <c r="V145" s="585"/>
      <c r="W145" s="585"/>
      <c r="X145" s="585"/>
      <c r="Y145" s="585"/>
      <c r="Z145" s="585"/>
      <c r="AA145" s="585"/>
      <c r="AB145" s="585"/>
      <c r="AC145" s="585"/>
      <c r="AD145" s="585"/>
      <c r="AE145" s="585"/>
      <c r="AF145" s="518"/>
      <c r="AJ145" s="39">
        <f t="shared" si="78"/>
        <v>8303.1186666666672</v>
      </c>
      <c r="AK145" s="39">
        <f t="shared" si="78"/>
        <v>8865.7425000000003</v>
      </c>
      <c r="AL145" s="39">
        <f t="shared" si="78"/>
        <v>8628.6307500000003</v>
      </c>
      <c r="AM145" s="39">
        <f t="shared" si="55"/>
        <v>5003.7696666666661</v>
      </c>
      <c r="AN145" s="39">
        <f t="shared" si="78"/>
        <v>11058.227500000001</v>
      </c>
      <c r="AO145" s="39">
        <f t="shared" si="78"/>
        <v>15030.796999999999</v>
      </c>
      <c r="AP145" s="39">
        <f t="shared" si="56"/>
        <v>11048.227083333333</v>
      </c>
      <c r="AQ145" s="518">
        <f t="shared" si="57"/>
        <v>11805.924583333333</v>
      </c>
      <c r="AR145" s="39">
        <f t="shared" si="58"/>
        <v>5757.6083333333336</v>
      </c>
      <c r="AS145" s="518">
        <f t="shared" si="60"/>
        <v>779.89166666666665</v>
      </c>
      <c r="AT145" s="39">
        <f t="shared" si="63"/>
        <v>568.33333333333337</v>
      </c>
      <c r="AU145" s="39">
        <f t="shared" si="64"/>
        <v>606.45416666666665</v>
      </c>
      <c r="AV145" s="39">
        <f t="shared" si="64"/>
        <v>227.18866666666665</v>
      </c>
      <c r="AW145" s="518"/>
      <c r="AX145" s="518">
        <f t="shared" si="75"/>
        <v>87683.913916666672</v>
      </c>
    </row>
    <row r="146" spans="1:50" s="335" customFormat="1" outlineLevel="1">
      <c r="A146" s="327" t="s">
        <v>56</v>
      </c>
      <c r="B146" s="327">
        <f t="shared" si="79"/>
        <v>2025</v>
      </c>
      <c r="C146" s="327" t="s">
        <v>68</v>
      </c>
      <c r="D146" s="518"/>
      <c r="E146" s="39"/>
      <c r="F146" s="39"/>
      <c r="G146" s="39">
        <f t="shared" si="66"/>
        <v>0</v>
      </c>
      <c r="H146" s="518">
        <f>SUM($G$5:G146)</f>
        <v>40186040.380000003</v>
      </c>
      <c r="I146" s="518"/>
      <c r="J146" s="614"/>
      <c r="K146" s="39"/>
      <c r="L146" s="518"/>
      <c r="M146" s="92"/>
      <c r="U146" s="585"/>
      <c r="V146" s="585"/>
      <c r="W146" s="585"/>
      <c r="X146" s="585"/>
      <c r="Y146" s="585"/>
      <c r="Z146" s="585"/>
      <c r="AA146" s="585"/>
      <c r="AB146" s="585"/>
      <c r="AC146" s="585"/>
      <c r="AD146" s="585"/>
      <c r="AE146" s="585"/>
      <c r="AF146" s="518"/>
      <c r="AK146" s="39">
        <f t="shared" si="78"/>
        <v>8865.7425000000003</v>
      </c>
      <c r="AL146" s="39">
        <f t="shared" si="78"/>
        <v>8628.6307500000003</v>
      </c>
      <c r="AM146" s="39">
        <f t="shared" si="55"/>
        <v>5003.7696666666661</v>
      </c>
      <c r="AN146" s="39">
        <f t="shared" si="78"/>
        <v>11058.227500000001</v>
      </c>
      <c r="AO146" s="39">
        <f t="shared" si="78"/>
        <v>15030.796999999999</v>
      </c>
      <c r="AP146" s="39">
        <f t="shared" si="56"/>
        <v>11048.227083333333</v>
      </c>
      <c r="AQ146" s="518">
        <f t="shared" si="57"/>
        <v>11805.924583333333</v>
      </c>
      <c r="AR146" s="39">
        <f t="shared" si="58"/>
        <v>5757.6083333333336</v>
      </c>
      <c r="AS146" s="518">
        <f t="shared" si="60"/>
        <v>779.89166666666665</v>
      </c>
      <c r="AT146" s="39">
        <f t="shared" si="63"/>
        <v>568.33333333333337</v>
      </c>
      <c r="AU146" s="39">
        <f t="shared" si="64"/>
        <v>606.45416666666665</v>
      </c>
      <c r="AV146" s="39">
        <f t="shared" si="64"/>
        <v>227.18866666666665</v>
      </c>
      <c r="AW146" s="518"/>
      <c r="AX146" s="518">
        <f t="shared" si="75"/>
        <v>79380.795249999996</v>
      </c>
    </row>
    <row r="147" spans="1:50" s="335" customFormat="1" outlineLevel="1">
      <c r="A147" s="327" t="s">
        <v>57</v>
      </c>
      <c r="B147" s="327">
        <f t="shared" si="79"/>
        <v>2025</v>
      </c>
      <c r="C147" s="327" t="s">
        <v>68</v>
      </c>
      <c r="D147" s="518"/>
      <c r="E147" s="39"/>
      <c r="F147" s="39"/>
      <c r="G147" s="39">
        <f t="shared" si="66"/>
        <v>0</v>
      </c>
      <c r="H147" s="518">
        <f>SUM($G$5:G147)</f>
        <v>40186040.380000003</v>
      </c>
      <c r="I147" s="518"/>
      <c r="J147" s="614"/>
      <c r="K147" s="39"/>
      <c r="L147" s="518"/>
      <c r="M147" s="92"/>
      <c r="U147" s="585"/>
      <c r="V147" s="585"/>
      <c r="W147" s="585"/>
      <c r="X147" s="585"/>
      <c r="Y147" s="585"/>
      <c r="Z147" s="585"/>
      <c r="AA147" s="585"/>
      <c r="AB147" s="585"/>
      <c r="AC147" s="585"/>
      <c r="AD147" s="585"/>
      <c r="AE147" s="585"/>
      <c r="AF147" s="518"/>
      <c r="AL147" s="39">
        <f t="shared" si="78"/>
        <v>8628.6307500000003</v>
      </c>
      <c r="AM147" s="39">
        <f t="shared" si="55"/>
        <v>5003.7696666666661</v>
      </c>
      <c r="AN147" s="39">
        <f t="shared" si="78"/>
        <v>11058.227500000001</v>
      </c>
      <c r="AO147" s="39">
        <f t="shared" si="78"/>
        <v>15030.796999999999</v>
      </c>
      <c r="AP147" s="39">
        <f t="shared" si="56"/>
        <v>11048.227083333333</v>
      </c>
      <c r="AQ147" s="518">
        <f t="shared" si="57"/>
        <v>11805.924583333333</v>
      </c>
      <c r="AR147" s="39">
        <f t="shared" si="58"/>
        <v>5757.6083333333336</v>
      </c>
      <c r="AS147" s="518">
        <f t="shared" si="60"/>
        <v>779.89166666666665</v>
      </c>
      <c r="AT147" s="39">
        <f t="shared" si="63"/>
        <v>568.33333333333337</v>
      </c>
      <c r="AU147" s="39">
        <f t="shared" si="64"/>
        <v>606.45416666666665</v>
      </c>
      <c r="AV147" s="39">
        <f t="shared" si="64"/>
        <v>227.18866666666665</v>
      </c>
      <c r="AW147" s="518"/>
      <c r="AX147" s="518">
        <f t="shared" si="75"/>
        <v>70515.052749999988</v>
      </c>
    </row>
    <row r="148" spans="1:50" s="335" customFormat="1" outlineLevel="1">
      <c r="A148" s="327" t="s">
        <v>58</v>
      </c>
      <c r="B148" s="327">
        <f t="shared" si="79"/>
        <v>2025</v>
      </c>
      <c r="C148" s="327" t="s">
        <v>68</v>
      </c>
      <c r="D148" s="518"/>
      <c r="E148" s="39"/>
      <c r="F148" s="39"/>
      <c r="G148" s="39">
        <f t="shared" si="66"/>
        <v>0</v>
      </c>
      <c r="H148" s="518">
        <f>SUM($G$5:G148)</f>
        <v>40186040.380000003</v>
      </c>
      <c r="I148" s="518"/>
      <c r="J148" s="614"/>
      <c r="K148" s="39"/>
      <c r="L148" s="518"/>
      <c r="M148" s="92"/>
      <c r="U148" s="585"/>
      <c r="V148" s="585"/>
      <c r="W148" s="585"/>
      <c r="X148" s="585"/>
      <c r="Y148" s="585"/>
      <c r="Z148" s="585"/>
      <c r="AA148" s="585"/>
      <c r="AB148" s="585"/>
      <c r="AC148" s="585"/>
      <c r="AD148" s="585"/>
      <c r="AE148" s="585"/>
      <c r="AF148" s="518"/>
      <c r="AM148" s="39">
        <f t="shared" si="55"/>
        <v>5003.7696666666661</v>
      </c>
      <c r="AN148" s="39">
        <f t="shared" si="78"/>
        <v>11058.227500000001</v>
      </c>
      <c r="AO148" s="39">
        <f t="shared" si="78"/>
        <v>15030.796999999999</v>
      </c>
      <c r="AP148" s="39">
        <f t="shared" si="56"/>
        <v>11048.227083333333</v>
      </c>
      <c r="AQ148" s="518">
        <f t="shared" si="57"/>
        <v>11805.924583333333</v>
      </c>
      <c r="AR148" s="39">
        <f t="shared" si="58"/>
        <v>5757.6083333333336</v>
      </c>
      <c r="AS148" s="518">
        <f t="shared" si="60"/>
        <v>779.89166666666665</v>
      </c>
      <c r="AT148" s="39">
        <f t="shared" si="63"/>
        <v>568.33333333333337</v>
      </c>
      <c r="AU148" s="39">
        <f t="shared" si="64"/>
        <v>606.45416666666665</v>
      </c>
      <c r="AV148" s="39">
        <f t="shared" si="64"/>
        <v>227.18866666666665</v>
      </c>
      <c r="AW148" s="518"/>
      <c r="AX148" s="518">
        <f t="shared" si="75"/>
        <v>61886.422000000013</v>
      </c>
    </row>
    <row r="149" spans="1:50" s="335" customFormat="1" outlineLevel="1">
      <c r="A149" s="327" t="s">
        <v>59</v>
      </c>
      <c r="B149" s="327">
        <f t="shared" si="79"/>
        <v>2025</v>
      </c>
      <c r="C149" s="327" t="s">
        <v>68</v>
      </c>
      <c r="D149" s="518"/>
      <c r="E149" s="39"/>
      <c r="F149" s="39"/>
      <c r="G149" s="39">
        <f t="shared" si="66"/>
        <v>0</v>
      </c>
      <c r="H149" s="518">
        <f>SUM($G$5:G149)</f>
        <v>40186040.380000003</v>
      </c>
      <c r="I149" s="518"/>
      <c r="J149" s="614"/>
      <c r="K149" s="39"/>
      <c r="L149" s="518"/>
      <c r="M149" s="92"/>
      <c r="U149" s="585"/>
      <c r="V149" s="585"/>
      <c r="W149" s="585"/>
      <c r="X149" s="585"/>
      <c r="Y149" s="585"/>
      <c r="Z149" s="585"/>
      <c r="AA149" s="585"/>
      <c r="AB149" s="585"/>
      <c r="AC149" s="585"/>
      <c r="AD149" s="585"/>
      <c r="AE149" s="585"/>
      <c r="AF149" s="518"/>
      <c r="AN149" s="39">
        <f t="shared" si="78"/>
        <v>11058.227500000001</v>
      </c>
      <c r="AO149" s="39">
        <f t="shared" si="78"/>
        <v>15030.796999999999</v>
      </c>
      <c r="AP149" s="39">
        <f t="shared" si="56"/>
        <v>11048.227083333333</v>
      </c>
      <c r="AQ149" s="518">
        <f t="shared" si="57"/>
        <v>11805.924583333333</v>
      </c>
      <c r="AR149" s="39">
        <f t="shared" si="58"/>
        <v>5757.6083333333336</v>
      </c>
      <c r="AS149" s="518">
        <f t="shared" si="60"/>
        <v>779.89166666666665</v>
      </c>
      <c r="AT149" s="39">
        <f t="shared" si="63"/>
        <v>568.33333333333337</v>
      </c>
      <c r="AU149" s="39">
        <f t="shared" si="64"/>
        <v>606.45416666666665</v>
      </c>
      <c r="AV149" s="39">
        <f t="shared" si="64"/>
        <v>227.18866666666665</v>
      </c>
      <c r="AW149" s="518"/>
      <c r="AX149" s="518">
        <f t="shared" si="75"/>
        <v>56882.652333333339</v>
      </c>
    </row>
    <row r="150" spans="1:50" s="335" customFormat="1" outlineLevel="1">
      <c r="A150" s="327" t="s">
        <v>46</v>
      </c>
      <c r="B150" s="327">
        <f t="shared" si="79"/>
        <v>2025</v>
      </c>
      <c r="C150" s="327" t="s">
        <v>68</v>
      </c>
      <c r="D150" s="518"/>
      <c r="E150" s="39"/>
      <c r="F150" s="39"/>
      <c r="G150" s="39">
        <f t="shared" si="66"/>
        <v>0</v>
      </c>
      <c r="H150" s="518">
        <f>SUM($G$5:G150)</f>
        <v>40186040.380000003</v>
      </c>
      <c r="I150" s="518"/>
      <c r="J150" s="614"/>
      <c r="K150" s="39"/>
      <c r="L150" s="518"/>
      <c r="M150" s="92"/>
      <c r="U150" s="585"/>
      <c r="V150" s="585"/>
      <c r="W150" s="585"/>
      <c r="X150" s="585"/>
      <c r="Y150" s="585"/>
      <c r="Z150" s="585"/>
      <c r="AA150" s="585"/>
      <c r="AB150" s="585"/>
      <c r="AC150" s="585"/>
      <c r="AD150" s="585"/>
      <c r="AE150" s="585"/>
      <c r="AF150" s="518"/>
      <c r="AO150" s="39">
        <f t="shared" si="78"/>
        <v>15030.796999999999</v>
      </c>
      <c r="AP150" s="39">
        <f t="shared" si="56"/>
        <v>11048.227083333333</v>
      </c>
      <c r="AQ150" s="518">
        <f t="shared" si="57"/>
        <v>11805.924583333333</v>
      </c>
      <c r="AR150" s="39">
        <f t="shared" si="58"/>
        <v>5757.6083333333336</v>
      </c>
      <c r="AS150" s="518">
        <f t="shared" si="60"/>
        <v>779.89166666666665</v>
      </c>
      <c r="AT150" s="39">
        <f t="shared" si="63"/>
        <v>568.33333333333337</v>
      </c>
      <c r="AU150" s="39">
        <f t="shared" si="64"/>
        <v>606.45416666666665</v>
      </c>
      <c r="AV150" s="39">
        <f t="shared" si="64"/>
        <v>227.18866666666665</v>
      </c>
      <c r="AW150" s="518"/>
      <c r="AX150" s="518">
        <f t="shared" si="75"/>
        <v>45824.424833333345</v>
      </c>
    </row>
    <row r="151" spans="1:50" s="335" customFormat="1" outlineLevel="1">
      <c r="A151" s="327" t="s">
        <v>48</v>
      </c>
      <c r="B151" s="327">
        <f t="shared" si="79"/>
        <v>2025</v>
      </c>
      <c r="C151" s="327" t="s">
        <v>68</v>
      </c>
      <c r="D151" s="518"/>
      <c r="E151" s="39"/>
      <c r="F151" s="39"/>
      <c r="G151" s="39">
        <f t="shared" si="66"/>
        <v>0</v>
      </c>
      <c r="H151" s="518">
        <f>SUM($G$5:G151)</f>
        <v>40186040.380000003</v>
      </c>
      <c r="I151" s="518"/>
      <c r="J151" s="614"/>
      <c r="K151" s="39"/>
      <c r="L151" s="518"/>
      <c r="M151" s="92"/>
      <c r="U151" s="585"/>
      <c r="V151" s="585"/>
      <c r="W151" s="585"/>
      <c r="X151" s="585"/>
      <c r="Y151" s="585"/>
      <c r="Z151" s="585"/>
      <c r="AA151" s="585"/>
      <c r="AB151" s="585"/>
      <c r="AC151" s="585"/>
      <c r="AD151" s="585"/>
      <c r="AE151" s="585"/>
      <c r="AF151" s="518"/>
      <c r="AP151" s="39">
        <f t="shared" si="56"/>
        <v>11048.227083333333</v>
      </c>
      <c r="AQ151" s="518">
        <f t="shared" si="57"/>
        <v>11805.924583333333</v>
      </c>
      <c r="AR151" s="39">
        <f t="shared" si="58"/>
        <v>5757.6083333333336</v>
      </c>
      <c r="AS151" s="518">
        <f t="shared" si="60"/>
        <v>779.89166666666665</v>
      </c>
      <c r="AT151" s="39">
        <f t="shared" si="63"/>
        <v>568.33333333333337</v>
      </c>
      <c r="AU151" s="39">
        <f t="shared" si="64"/>
        <v>606.45416666666665</v>
      </c>
      <c r="AV151" s="39">
        <f t="shared" si="64"/>
        <v>227.18866666666665</v>
      </c>
      <c r="AW151" s="518"/>
      <c r="AX151" s="518">
        <f t="shared" si="75"/>
        <v>30793.627833333328</v>
      </c>
    </row>
    <row r="152" spans="1:50" s="335" customFormat="1" outlineLevel="1">
      <c r="A152" s="327" t="s">
        <v>50</v>
      </c>
      <c r="B152" s="327">
        <f t="shared" si="79"/>
        <v>2025</v>
      </c>
      <c r="C152" s="327" t="s">
        <v>68</v>
      </c>
      <c r="D152" s="518"/>
      <c r="E152" s="39"/>
      <c r="F152" s="39"/>
      <c r="G152" s="39">
        <f t="shared" si="66"/>
        <v>0</v>
      </c>
      <c r="H152" s="518">
        <f>SUM($G$5:G152)</f>
        <v>40186040.380000003</v>
      </c>
      <c r="I152" s="518"/>
      <c r="J152" s="614"/>
      <c r="K152" s="39"/>
      <c r="L152" s="518"/>
      <c r="M152" s="92"/>
      <c r="U152" s="585"/>
      <c r="V152" s="585"/>
      <c r="W152" s="585"/>
      <c r="X152" s="585"/>
      <c r="Y152" s="585"/>
      <c r="Z152" s="585"/>
      <c r="AA152" s="585"/>
      <c r="AB152" s="585"/>
      <c r="AC152" s="585"/>
      <c r="AD152" s="585"/>
      <c r="AE152" s="585"/>
      <c r="AF152" s="518"/>
      <c r="AQ152" s="518">
        <f t="shared" si="57"/>
        <v>11805.924583333333</v>
      </c>
      <c r="AR152" s="39">
        <f t="shared" si="58"/>
        <v>5757.6083333333336</v>
      </c>
      <c r="AS152" s="518">
        <f t="shared" si="60"/>
        <v>779.89166666666665</v>
      </c>
      <c r="AT152" s="39">
        <f t="shared" si="63"/>
        <v>568.33333333333337</v>
      </c>
      <c r="AU152" s="39">
        <f t="shared" si="64"/>
        <v>606.45416666666665</v>
      </c>
      <c r="AV152" s="39">
        <f t="shared" si="64"/>
        <v>227.18866666666665</v>
      </c>
      <c r="AW152" s="518"/>
      <c r="AX152" s="518">
        <f t="shared" si="75"/>
        <v>19745.400749999997</v>
      </c>
    </row>
    <row r="153" spans="1:50" s="335" customFormat="1" outlineLevel="1">
      <c r="A153" s="327" t="s">
        <v>51</v>
      </c>
      <c r="B153" s="327">
        <f t="shared" si="79"/>
        <v>2025</v>
      </c>
      <c r="C153" s="327" t="s">
        <v>68</v>
      </c>
      <c r="D153" s="518"/>
      <c r="E153" s="39"/>
      <c r="F153" s="39"/>
      <c r="G153" s="39">
        <f t="shared" si="66"/>
        <v>0</v>
      </c>
      <c r="H153" s="518">
        <f>SUM($G$5:G153)</f>
        <v>40186040.380000003</v>
      </c>
      <c r="I153" s="518"/>
      <c r="J153" s="614"/>
      <c r="K153" s="39"/>
      <c r="L153" s="518"/>
      <c r="M153" s="92"/>
      <c r="U153" s="585"/>
      <c r="V153" s="585"/>
      <c r="W153" s="585"/>
      <c r="X153" s="585"/>
      <c r="Y153" s="585"/>
      <c r="Z153" s="585"/>
      <c r="AA153" s="585"/>
      <c r="AB153" s="585"/>
      <c r="AC153" s="585"/>
      <c r="AD153" s="585"/>
      <c r="AE153" s="585"/>
      <c r="AF153" s="518"/>
      <c r="AR153" s="39">
        <f t="shared" si="58"/>
        <v>5757.6083333333336</v>
      </c>
      <c r="AS153" s="518">
        <f t="shared" si="60"/>
        <v>779.89166666666665</v>
      </c>
      <c r="AT153" s="39">
        <f t="shared" si="63"/>
        <v>568.33333333333337</v>
      </c>
      <c r="AU153" s="39">
        <f t="shared" si="64"/>
        <v>606.45416666666665</v>
      </c>
      <c r="AV153" s="39">
        <f t="shared" si="64"/>
        <v>227.18866666666665</v>
      </c>
      <c r="AW153" s="518"/>
      <c r="AX153" s="518">
        <f t="shared" si="75"/>
        <v>7939.4761666666664</v>
      </c>
    </row>
    <row r="154" spans="1:50" s="335" customFormat="1" outlineLevel="1">
      <c r="A154" s="332" t="s">
        <v>52</v>
      </c>
      <c r="B154" s="332">
        <f t="shared" si="79"/>
        <v>2025</v>
      </c>
      <c r="C154" s="332" t="s">
        <v>68</v>
      </c>
      <c r="D154" s="212"/>
      <c r="E154" s="212"/>
      <c r="F154" s="212"/>
      <c r="G154" s="212">
        <f t="shared" si="66"/>
        <v>0</v>
      </c>
      <c r="H154" s="518">
        <f>SUM($G$5:G154)</f>
        <v>40186040.380000003</v>
      </c>
      <c r="I154" s="518"/>
      <c r="J154" s="614"/>
      <c r="K154" s="39"/>
      <c r="L154" s="518"/>
      <c r="M154" s="92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>
        <f t="shared" si="60"/>
        <v>779.89166666666665</v>
      </c>
      <c r="AT154" s="212">
        <f t="shared" si="63"/>
        <v>568.33333333333337</v>
      </c>
      <c r="AU154" s="212">
        <f t="shared" si="64"/>
        <v>606.45416666666665</v>
      </c>
      <c r="AV154" s="212">
        <f t="shared" si="64"/>
        <v>227.18866666666665</v>
      </c>
      <c r="AW154" s="212"/>
      <c r="AX154" s="212">
        <f t="shared" si="75"/>
        <v>2181.8678333333332</v>
      </c>
    </row>
    <row r="155" spans="1:50" s="335" customFormat="1" outlineLevel="1">
      <c r="A155" s="327" t="s">
        <v>53</v>
      </c>
      <c r="B155" s="327">
        <f t="shared" si="79"/>
        <v>2026</v>
      </c>
      <c r="C155" s="327" t="s">
        <v>68</v>
      </c>
      <c r="D155" s="518"/>
      <c r="E155" s="39"/>
      <c r="F155" s="39"/>
      <c r="G155" s="39">
        <f t="shared" si="66"/>
        <v>0</v>
      </c>
      <c r="H155" s="518">
        <f>SUM($G$5:G155)</f>
        <v>40186040.380000003</v>
      </c>
      <c r="I155" s="518"/>
      <c r="J155" s="614"/>
      <c r="K155" s="39"/>
      <c r="L155" s="518"/>
      <c r="M155" s="92"/>
      <c r="U155" s="585"/>
      <c r="V155" s="585"/>
      <c r="W155" s="585"/>
      <c r="X155" s="585"/>
      <c r="Y155" s="585"/>
      <c r="Z155" s="585"/>
      <c r="AA155" s="585"/>
      <c r="AB155" s="585"/>
      <c r="AC155" s="585"/>
      <c r="AD155" s="585"/>
      <c r="AE155" s="585"/>
      <c r="AF155" s="518"/>
      <c r="AG155" s="518"/>
      <c r="AH155" s="518"/>
      <c r="AI155" s="518"/>
      <c r="AJ155" s="518"/>
      <c r="AK155" s="518"/>
      <c r="AL155" s="518"/>
      <c r="AM155" s="518"/>
      <c r="AN155" s="518"/>
      <c r="AO155" s="518"/>
      <c r="AP155" s="518"/>
      <c r="AQ155" s="518"/>
      <c r="AR155" s="518"/>
      <c r="AS155" s="518"/>
      <c r="AT155" s="39">
        <f t="shared" si="63"/>
        <v>568.33333333333337</v>
      </c>
      <c r="AU155" s="39">
        <f t="shared" si="64"/>
        <v>606.45416666666665</v>
      </c>
      <c r="AV155" s="39">
        <f t="shared" si="64"/>
        <v>227.18866666666665</v>
      </c>
      <c r="AW155" s="518"/>
      <c r="AX155" s="518">
        <f t="shared" si="75"/>
        <v>1401.9761666666666</v>
      </c>
    </row>
    <row r="156" spans="1:50" s="335" customFormat="1" outlineLevel="1">
      <c r="A156" s="327" t="s">
        <v>54</v>
      </c>
      <c r="B156" s="327">
        <f t="shared" si="79"/>
        <v>2026</v>
      </c>
      <c r="C156" s="327" t="s">
        <v>68</v>
      </c>
      <c r="D156" s="518"/>
      <c r="E156" s="39"/>
      <c r="F156" s="39"/>
      <c r="G156" s="39">
        <f t="shared" si="66"/>
        <v>0</v>
      </c>
      <c r="H156" s="518">
        <f>SUM($G$5:G156)</f>
        <v>40186040.380000003</v>
      </c>
      <c r="I156" s="518"/>
      <c r="J156" s="614"/>
      <c r="K156" s="39"/>
      <c r="L156" s="518"/>
      <c r="M156" s="92"/>
      <c r="U156" s="585"/>
      <c r="V156" s="585"/>
      <c r="W156" s="585"/>
      <c r="X156" s="585"/>
      <c r="Y156" s="585"/>
      <c r="Z156" s="585"/>
      <c r="AA156" s="585"/>
      <c r="AB156" s="585"/>
      <c r="AC156" s="585"/>
      <c r="AD156" s="585"/>
      <c r="AE156" s="585"/>
      <c r="AF156" s="518"/>
      <c r="AG156" s="518"/>
      <c r="AH156" s="518"/>
      <c r="AI156" s="518"/>
      <c r="AJ156" s="518"/>
      <c r="AK156" s="518"/>
      <c r="AL156" s="518"/>
      <c r="AM156" s="518"/>
      <c r="AN156" s="518"/>
      <c r="AO156" s="518"/>
      <c r="AP156" s="518"/>
      <c r="AQ156" s="518"/>
      <c r="AR156" s="518"/>
      <c r="AS156" s="518"/>
      <c r="AT156" s="518"/>
      <c r="AU156" s="39">
        <f t="shared" si="64"/>
        <v>606.45416666666665</v>
      </c>
      <c r="AV156" s="39">
        <f t="shared" si="64"/>
        <v>227.18866666666665</v>
      </c>
      <c r="AW156" s="518"/>
      <c r="AX156" s="518">
        <f t="shared" si="75"/>
        <v>833.64283333333333</v>
      </c>
    </row>
    <row r="157" spans="1:50" s="335" customFormat="1" outlineLevel="1">
      <c r="A157" s="327" t="s">
        <v>55</v>
      </c>
      <c r="B157" s="327">
        <f t="shared" si="79"/>
        <v>2026</v>
      </c>
      <c r="C157" s="327" t="s">
        <v>68</v>
      </c>
      <c r="D157" s="518"/>
      <c r="E157" s="518"/>
      <c r="F157" s="518"/>
      <c r="G157" s="39">
        <f t="shared" si="66"/>
        <v>0</v>
      </c>
      <c r="H157" s="518">
        <f>SUM($G$5:G157)</f>
        <v>40186040.380000003</v>
      </c>
      <c r="I157" s="518"/>
      <c r="J157" s="614"/>
      <c r="K157" s="39"/>
      <c r="L157" s="518"/>
      <c r="M157" s="92"/>
      <c r="O157" s="586"/>
      <c r="P157" s="586"/>
      <c r="Q157" s="586"/>
      <c r="R157" s="586"/>
      <c r="S157" s="586"/>
      <c r="T157" s="586"/>
      <c r="U157" s="586"/>
      <c r="V157" s="586"/>
      <c r="W157" s="586"/>
      <c r="X157" s="586"/>
      <c r="Y157" s="586"/>
      <c r="Z157" s="586"/>
      <c r="AA157" s="586"/>
      <c r="AB157" s="586"/>
      <c r="AC157" s="586"/>
      <c r="AD157" s="586"/>
      <c r="AE157" s="586"/>
      <c r="AF157" s="586"/>
      <c r="AG157" s="586"/>
      <c r="AH157" s="586"/>
      <c r="AI157" s="586"/>
      <c r="AJ157" s="586"/>
      <c r="AK157" s="586"/>
      <c r="AL157" s="586"/>
      <c r="AM157" s="586"/>
      <c r="AN157" s="586"/>
      <c r="AO157" s="586"/>
      <c r="AP157" s="586"/>
      <c r="AQ157" s="586"/>
      <c r="AR157" s="586"/>
      <c r="AS157" s="586"/>
      <c r="AT157" s="586"/>
      <c r="AU157" s="586"/>
      <c r="AV157" s="39">
        <f>AV156</f>
        <v>227.18866666666665</v>
      </c>
      <c r="AW157" s="586"/>
      <c r="AX157" s="518">
        <f t="shared" si="75"/>
        <v>227.18866666666665</v>
      </c>
    </row>
    <row r="158" spans="1:50">
      <c r="A158" s="7"/>
      <c r="B158" s="7"/>
      <c r="C158" s="7"/>
      <c r="D158" s="114"/>
      <c r="E158" s="114"/>
      <c r="F158" s="114"/>
      <c r="G158" s="114"/>
      <c r="H158" s="114"/>
      <c r="I158" s="114"/>
      <c r="J158" s="114"/>
      <c r="K158" s="18"/>
      <c r="L158" s="114"/>
      <c r="M158" s="18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</row>
    <row r="159" spans="1:50">
      <c r="A159" s="7"/>
      <c r="B159" s="7"/>
      <c r="C159" s="7"/>
      <c r="D159" s="114"/>
      <c r="E159" s="114"/>
      <c r="F159" s="114"/>
      <c r="G159" s="114"/>
      <c r="H159" s="114"/>
      <c r="I159" s="114"/>
      <c r="J159" s="114"/>
      <c r="K159" s="18"/>
      <c r="L159" s="114"/>
      <c r="M159" s="18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</row>
    <row r="160" spans="1:50">
      <c r="A160" s="7"/>
      <c r="B160" s="7"/>
      <c r="C160" s="7"/>
      <c r="D160" s="114"/>
      <c r="E160" s="114"/>
      <c r="F160" s="114"/>
      <c r="G160" s="114"/>
      <c r="H160" s="114"/>
      <c r="I160" s="114"/>
      <c r="J160" s="114"/>
      <c r="K160" s="18"/>
      <c r="L160" s="114"/>
      <c r="M160" s="18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</row>
    <row r="161" spans="1:50">
      <c r="A161" s="7"/>
      <c r="B161" s="7"/>
      <c r="C161" s="7"/>
      <c r="D161" s="114"/>
      <c r="E161" s="206"/>
      <c r="F161" s="206"/>
      <c r="G161" s="206"/>
      <c r="H161" s="206"/>
      <c r="I161" s="206"/>
      <c r="J161" s="114"/>
      <c r="K161" s="18"/>
      <c r="L161" s="114"/>
      <c r="M161" s="18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</row>
    <row r="162" spans="1:50">
      <c r="A162" s="7"/>
      <c r="B162" s="7"/>
      <c r="C162" s="7"/>
      <c r="D162" s="114"/>
      <c r="E162" s="51"/>
      <c r="F162" s="51"/>
      <c r="G162" s="51"/>
      <c r="H162" s="51"/>
      <c r="I162" s="51"/>
      <c r="J162" s="114"/>
      <c r="K162" s="18"/>
      <c r="L162" s="114"/>
      <c r="M162" s="18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</row>
    <row r="163" spans="1:50">
      <c r="A163" s="7"/>
      <c r="B163" s="7"/>
      <c r="C163" s="7"/>
      <c r="D163" s="114"/>
      <c r="E163" s="114"/>
      <c r="F163" s="114"/>
      <c r="G163" s="114"/>
      <c r="H163" s="114"/>
      <c r="I163" s="114"/>
      <c r="J163" s="114"/>
      <c r="K163" s="18"/>
      <c r="L163" s="114"/>
      <c r="M163" s="18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</row>
    <row r="164" spans="1:50">
      <c r="A164" s="7"/>
      <c r="B164" s="7"/>
      <c r="C164" s="7"/>
      <c r="D164" s="114"/>
      <c r="E164" s="114"/>
      <c r="F164" s="114"/>
      <c r="G164" s="114"/>
      <c r="H164" s="114"/>
      <c r="I164" s="114"/>
      <c r="J164" s="114"/>
      <c r="K164" s="18"/>
      <c r="L164" s="114"/>
      <c r="M164" s="18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</row>
    <row r="165" spans="1:50">
      <c r="A165" s="7"/>
      <c r="B165" s="7"/>
      <c r="C165" s="7"/>
      <c r="D165" s="114"/>
      <c r="E165" s="114"/>
      <c r="F165" s="114"/>
      <c r="G165" s="114"/>
      <c r="H165" s="114"/>
      <c r="I165" s="114"/>
      <c r="J165" s="114"/>
      <c r="K165" s="18"/>
      <c r="L165" s="114"/>
      <c r="M165" s="18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</row>
    <row r="166" spans="1:50">
      <c r="A166" s="7"/>
      <c r="B166" s="7"/>
      <c r="C166" s="7"/>
      <c r="D166" s="114"/>
      <c r="E166" s="114"/>
      <c r="F166" s="114"/>
      <c r="G166" s="114"/>
      <c r="H166" s="114"/>
      <c r="I166" s="114"/>
      <c r="J166" s="114"/>
      <c r="K166" s="18"/>
      <c r="L166" s="114"/>
      <c r="M166" s="18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</row>
    <row r="167" spans="1:50">
      <c r="A167" s="7"/>
      <c r="B167" s="7"/>
      <c r="C167" s="7"/>
      <c r="D167" s="114"/>
      <c r="E167" s="114"/>
      <c r="F167" s="114"/>
      <c r="G167" s="114"/>
      <c r="H167" s="114"/>
      <c r="I167" s="114"/>
      <c r="J167" s="114"/>
      <c r="K167" s="18"/>
      <c r="L167" s="114"/>
      <c r="M167" s="18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</row>
    <row r="168" spans="1:50">
      <c r="A168" s="7"/>
      <c r="B168" s="7"/>
      <c r="C168" s="7"/>
      <c r="D168" s="114"/>
      <c r="E168" s="114"/>
      <c r="F168" s="114"/>
      <c r="G168" s="114"/>
      <c r="H168" s="114"/>
      <c r="I168" s="114"/>
      <c r="J168" s="114"/>
      <c r="K168" s="18"/>
      <c r="L168" s="114"/>
      <c r="M168" s="18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</row>
    <row r="169" spans="1:50">
      <c r="A169" s="7"/>
      <c r="B169" s="7"/>
      <c r="C169" s="7"/>
      <c r="D169" s="114"/>
      <c r="E169" s="114"/>
      <c r="F169" s="114"/>
      <c r="G169" s="114"/>
      <c r="H169" s="114"/>
      <c r="I169" s="114"/>
      <c r="J169" s="114"/>
      <c r="K169" s="18"/>
      <c r="L169" s="114"/>
      <c r="M169" s="18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</row>
    <row r="170" spans="1:50">
      <c r="A170" s="7"/>
      <c r="B170" s="7"/>
      <c r="C170" s="7"/>
      <c r="D170" s="114"/>
      <c r="E170" s="114"/>
      <c r="F170" s="114"/>
      <c r="G170" s="114"/>
      <c r="H170" s="114"/>
      <c r="I170" s="114"/>
      <c r="J170" s="114"/>
      <c r="K170" s="18"/>
      <c r="L170" s="114"/>
      <c r="M170" s="18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</row>
    <row r="171" spans="1:50">
      <c r="A171" s="7"/>
      <c r="B171" s="7"/>
      <c r="C171" s="7"/>
      <c r="D171" s="114"/>
      <c r="E171" s="114"/>
      <c r="F171" s="114"/>
      <c r="G171" s="114"/>
      <c r="H171" s="114"/>
      <c r="I171" s="114"/>
      <c r="J171" s="114"/>
      <c r="K171" s="18"/>
      <c r="L171" s="114"/>
      <c r="M171" s="18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</row>
    <row r="172" spans="1:50">
      <c r="A172" s="7"/>
      <c r="B172" s="7"/>
      <c r="C172" s="7"/>
      <c r="D172" s="114"/>
      <c r="E172" s="114"/>
      <c r="F172" s="114"/>
      <c r="G172" s="114"/>
      <c r="H172" s="114"/>
      <c r="I172" s="114"/>
      <c r="J172" s="114"/>
      <c r="K172" s="18"/>
      <c r="L172" s="114"/>
      <c r="M172" s="18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</row>
    <row r="173" spans="1:50">
      <c r="A173" s="7"/>
      <c r="B173" s="7"/>
      <c r="C173" s="7"/>
      <c r="D173" s="114"/>
      <c r="E173" s="114"/>
      <c r="F173" s="114"/>
      <c r="G173" s="114"/>
      <c r="H173" s="114"/>
      <c r="I173" s="114"/>
      <c r="J173" s="114"/>
      <c r="K173" s="18"/>
      <c r="L173" s="114"/>
      <c r="M173" s="18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</row>
    <row r="174" spans="1:50">
      <c r="A174" s="7"/>
      <c r="B174" s="7"/>
      <c r="C174" s="7"/>
      <c r="D174" s="114"/>
      <c r="E174" s="114"/>
      <c r="F174" s="114"/>
      <c r="G174" s="114"/>
      <c r="H174" s="114"/>
      <c r="I174" s="114"/>
      <c r="J174" s="114"/>
      <c r="K174" s="18"/>
      <c r="L174" s="114"/>
      <c r="M174" s="18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</row>
    <row r="175" spans="1:50">
      <c r="A175" s="7"/>
      <c r="B175" s="7"/>
      <c r="C175" s="7"/>
      <c r="D175" s="114"/>
      <c r="E175" s="114"/>
      <c r="F175" s="114"/>
      <c r="G175" s="114"/>
      <c r="H175" s="114"/>
      <c r="I175" s="114"/>
      <c r="J175" s="114"/>
      <c r="K175" s="18"/>
      <c r="L175" s="114"/>
      <c r="M175" s="18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</row>
    <row r="176" spans="1:50">
      <c r="A176" s="7"/>
      <c r="B176" s="7"/>
      <c r="C176" s="7"/>
      <c r="D176" s="114"/>
      <c r="E176" s="114"/>
      <c r="F176" s="114"/>
      <c r="G176" s="114"/>
      <c r="H176" s="114"/>
      <c r="I176" s="114"/>
      <c r="J176" s="114"/>
      <c r="K176" s="18"/>
      <c r="L176" s="114"/>
      <c r="M176" s="18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</row>
    <row r="177" spans="1:50">
      <c r="A177" s="7"/>
      <c r="B177" s="7"/>
      <c r="C177" s="7"/>
      <c r="D177" s="114"/>
      <c r="E177" s="114"/>
      <c r="F177" s="114"/>
      <c r="G177" s="114"/>
      <c r="H177" s="114"/>
      <c r="I177" s="114"/>
      <c r="J177" s="114"/>
      <c r="K177" s="18"/>
      <c r="L177" s="114"/>
      <c r="M177" s="18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</row>
    <row r="178" spans="1:50">
      <c r="A178" s="7"/>
      <c r="B178" s="7"/>
      <c r="C178" s="7"/>
      <c r="D178" s="114"/>
      <c r="E178" s="114"/>
      <c r="F178" s="114"/>
      <c r="G178" s="114"/>
      <c r="H178" s="114"/>
      <c r="I178" s="114"/>
      <c r="J178" s="114"/>
      <c r="K178" s="18"/>
      <c r="L178" s="114"/>
      <c r="M178" s="18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</row>
    <row r="179" spans="1:50">
      <c r="A179" s="7"/>
      <c r="B179" s="7"/>
      <c r="C179" s="7"/>
      <c r="D179" s="114"/>
      <c r="E179" s="114"/>
      <c r="F179" s="114"/>
      <c r="G179" s="114"/>
      <c r="H179" s="114"/>
      <c r="I179" s="114"/>
      <c r="J179" s="114"/>
      <c r="K179" s="18"/>
      <c r="L179" s="114"/>
      <c r="M179" s="18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</row>
    <row r="180" spans="1:50">
      <c r="A180" s="7"/>
      <c r="B180" s="7"/>
      <c r="C180" s="7"/>
      <c r="D180" s="114"/>
      <c r="E180" s="114"/>
      <c r="F180" s="114"/>
      <c r="G180" s="114"/>
      <c r="H180" s="114"/>
      <c r="I180" s="114"/>
      <c r="J180" s="114"/>
      <c r="K180" s="18"/>
      <c r="L180" s="114"/>
      <c r="M180" s="18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</row>
    <row r="181" spans="1:50">
      <c r="A181" s="7"/>
      <c r="B181" s="7"/>
      <c r="C181" s="7"/>
      <c r="D181" s="114"/>
      <c r="E181" s="114"/>
      <c r="F181" s="114"/>
      <c r="G181" s="114"/>
      <c r="H181" s="114"/>
      <c r="I181" s="114"/>
      <c r="J181" s="114"/>
      <c r="K181" s="18"/>
      <c r="L181" s="114"/>
      <c r="M181" s="18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</row>
    <row r="182" spans="1:50">
      <c r="A182" s="7"/>
      <c r="B182" s="7"/>
      <c r="C182" s="7"/>
      <c r="D182" s="114"/>
      <c r="E182" s="114"/>
      <c r="F182" s="114"/>
      <c r="G182" s="114"/>
      <c r="H182" s="114"/>
      <c r="I182" s="114"/>
      <c r="J182" s="114"/>
      <c r="K182" s="18"/>
      <c r="L182" s="114"/>
      <c r="M182" s="18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</row>
    <row r="183" spans="1:50">
      <c r="A183" s="7"/>
      <c r="B183" s="7"/>
      <c r="C183" s="7"/>
      <c r="D183" s="114"/>
      <c r="E183" s="114"/>
      <c r="F183" s="114"/>
      <c r="G183" s="114"/>
      <c r="H183" s="114"/>
      <c r="I183" s="114"/>
      <c r="J183" s="114"/>
      <c r="K183" s="18"/>
      <c r="L183" s="114"/>
      <c r="M183" s="18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</row>
    <row r="184" spans="1:50">
      <c r="A184" s="7"/>
      <c r="B184" s="7"/>
      <c r="C184" s="7"/>
      <c r="D184" s="114"/>
      <c r="E184" s="18"/>
      <c r="F184" s="18"/>
      <c r="G184" s="18"/>
      <c r="H184" s="114"/>
      <c r="I184" s="114"/>
      <c r="J184" s="114"/>
      <c r="K184" s="18"/>
      <c r="L184" s="114"/>
      <c r="M184" s="18"/>
    </row>
    <row r="185" spans="1:50">
      <c r="A185" s="7"/>
      <c r="B185" s="7"/>
      <c r="C185" s="7"/>
      <c r="D185" s="114"/>
      <c r="E185" s="18"/>
      <c r="F185" s="18"/>
      <c r="G185" s="18"/>
      <c r="H185" s="114"/>
      <c r="I185" s="114"/>
      <c r="J185" s="114"/>
      <c r="K185" s="18"/>
      <c r="L185" s="114"/>
      <c r="M185" s="18"/>
    </row>
    <row r="186" spans="1:50">
      <c r="A186" s="7"/>
      <c r="B186" s="7"/>
      <c r="C186" s="7"/>
      <c r="D186" s="114"/>
      <c r="E186" s="18"/>
      <c r="F186" s="18"/>
      <c r="G186" s="18"/>
      <c r="H186" s="114"/>
      <c r="I186" s="114"/>
      <c r="J186" s="114"/>
      <c r="K186" s="18"/>
      <c r="L186" s="114"/>
      <c r="M186" s="18"/>
    </row>
    <row r="187" spans="1:50">
      <c r="A187" s="7"/>
      <c r="B187" s="7"/>
      <c r="C187" s="7"/>
      <c r="D187" s="114"/>
      <c r="E187" s="18"/>
      <c r="F187" s="18"/>
      <c r="G187" s="18"/>
      <c r="H187" s="114"/>
      <c r="I187" s="114"/>
      <c r="J187" s="114"/>
      <c r="K187" s="18"/>
      <c r="L187" s="114"/>
      <c r="M187" s="18"/>
    </row>
    <row r="188" spans="1:50">
      <c r="A188" s="7"/>
      <c r="B188" s="7"/>
      <c r="C188" s="7"/>
      <c r="D188" s="114"/>
      <c r="E188" s="18"/>
      <c r="F188" s="18"/>
      <c r="G188" s="18"/>
      <c r="H188" s="114"/>
      <c r="I188" s="114"/>
      <c r="J188" s="114"/>
      <c r="K188" s="18"/>
      <c r="L188" s="114"/>
      <c r="M188" s="18"/>
    </row>
    <row r="189" spans="1:50">
      <c r="D189" s="114"/>
      <c r="E189" s="18"/>
      <c r="F189" s="18"/>
      <c r="G189" s="18"/>
      <c r="H189" s="114"/>
      <c r="I189" s="114"/>
      <c r="J189" s="114"/>
      <c r="K189" s="18"/>
      <c r="L189" s="114"/>
      <c r="M189" s="18"/>
    </row>
    <row r="190" spans="1:50">
      <c r="D190" s="114"/>
      <c r="E190" s="18"/>
      <c r="F190" s="18"/>
      <c r="G190" s="18"/>
      <c r="H190" s="114"/>
      <c r="I190" s="114"/>
      <c r="J190" s="114"/>
      <c r="K190" s="18"/>
      <c r="L190" s="114"/>
      <c r="M190" s="18"/>
    </row>
    <row r="191" spans="1:50">
      <c r="D191" s="114"/>
      <c r="E191" s="18"/>
      <c r="F191" s="18"/>
      <c r="G191" s="18"/>
      <c r="H191" s="114"/>
      <c r="I191" s="114"/>
      <c r="J191" s="114"/>
      <c r="K191" s="18"/>
      <c r="L191" s="114"/>
      <c r="M191" s="18"/>
    </row>
    <row r="192" spans="1:50">
      <c r="D192" s="114"/>
      <c r="E192" s="18"/>
      <c r="F192" s="18"/>
      <c r="G192" s="18"/>
      <c r="H192" s="114"/>
      <c r="I192" s="114"/>
      <c r="J192" s="114"/>
      <c r="K192" s="18"/>
      <c r="L192" s="114"/>
      <c r="M192" s="18"/>
    </row>
    <row r="193" spans="4:13">
      <c r="D193" s="114"/>
      <c r="E193" s="18"/>
      <c r="F193" s="18"/>
      <c r="G193" s="18"/>
      <c r="H193" s="114"/>
      <c r="I193" s="114"/>
      <c r="J193" s="114"/>
      <c r="K193" s="18"/>
      <c r="L193" s="114"/>
      <c r="M193" s="18"/>
    </row>
    <row r="194" spans="4:13">
      <c r="D194" s="114"/>
      <c r="E194" s="18"/>
      <c r="F194" s="18"/>
      <c r="G194" s="18"/>
      <c r="H194" s="114"/>
      <c r="I194" s="114"/>
      <c r="J194" s="114"/>
      <c r="K194" s="18"/>
      <c r="L194" s="114"/>
      <c r="M194" s="18"/>
    </row>
    <row r="195" spans="4:13">
      <c r="D195" s="114"/>
      <c r="E195" s="18"/>
      <c r="F195" s="18"/>
      <c r="G195" s="18"/>
      <c r="H195" s="114"/>
      <c r="I195" s="114"/>
      <c r="J195" s="114"/>
      <c r="K195" s="18"/>
      <c r="L195" s="114"/>
      <c r="M195" s="18"/>
    </row>
    <row r="196" spans="4:13">
      <c r="D196" s="114"/>
      <c r="E196" s="18"/>
      <c r="F196" s="18"/>
      <c r="G196" s="18"/>
      <c r="H196" s="114"/>
      <c r="I196" s="114"/>
      <c r="J196" s="114"/>
      <c r="K196" s="18"/>
      <c r="L196" s="114"/>
      <c r="M196" s="18"/>
    </row>
    <row r="197" spans="4:13">
      <c r="D197" s="114"/>
      <c r="E197" s="18"/>
      <c r="F197" s="18"/>
      <c r="G197" s="18"/>
      <c r="H197" s="114"/>
      <c r="I197" s="114"/>
      <c r="J197" s="114"/>
      <c r="K197" s="18"/>
      <c r="L197" s="114"/>
      <c r="M197" s="18"/>
    </row>
    <row r="198" spans="4:13">
      <c r="D198" s="114"/>
      <c r="E198" s="18"/>
      <c r="F198" s="18"/>
      <c r="G198" s="18"/>
      <c r="H198" s="114"/>
      <c r="I198" s="114"/>
      <c r="J198" s="114"/>
      <c r="K198" s="18"/>
      <c r="L198" s="114"/>
      <c r="M198" s="18"/>
    </row>
    <row r="199" spans="4:13">
      <c r="D199" s="114"/>
      <c r="E199" s="18"/>
      <c r="F199" s="18"/>
      <c r="G199" s="18"/>
      <c r="H199" s="114"/>
      <c r="I199" s="114"/>
      <c r="J199" s="114"/>
      <c r="K199" s="18"/>
      <c r="L199" s="114"/>
      <c r="M199" s="18"/>
    </row>
    <row r="200" spans="4:13">
      <c r="D200" s="114"/>
      <c r="E200" s="18"/>
      <c r="F200" s="18"/>
      <c r="G200" s="18"/>
      <c r="H200" s="114"/>
      <c r="I200" s="114"/>
      <c r="J200" s="114"/>
      <c r="K200" s="18"/>
      <c r="L200" s="114"/>
      <c r="M200" s="18"/>
    </row>
    <row r="201" spans="4:13">
      <c r="D201" s="114"/>
      <c r="E201" s="18"/>
      <c r="F201" s="18"/>
      <c r="G201" s="18"/>
      <c r="H201" s="114"/>
      <c r="I201" s="114"/>
      <c r="J201" s="114"/>
      <c r="K201" s="18"/>
      <c r="L201" s="114"/>
      <c r="M201" s="18"/>
    </row>
    <row r="202" spans="4:13">
      <c r="D202" s="114"/>
      <c r="E202" s="18"/>
      <c r="F202" s="18"/>
      <c r="G202" s="18"/>
      <c r="H202" s="114"/>
      <c r="I202" s="114"/>
      <c r="J202" s="114"/>
      <c r="K202" s="18"/>
      <c r="L202" s="114"/>
      <c r="M202" s="18"/>
    </row>
    <row r="203" spans="4:13">
      <c r="D203" s="114"/>
      <c r="E203" s="18"/>
      <c r="F203" s="18"/>
      <c r="G203" s="18"/>
      <c r="H203" s="114"/>
      <c r="I203" s="114"/>
      <c r="J203" s="114"/>
      <c r="K203" s="18"/>
      <c r="L203" s="114"/>
      <c r="M203" s="18"/>
    </row>
    <row r="204" spans="4:13">
      <c r="D204" s="114"/>
      <c r="E204" s="18"/>
      <c r="F204" s="18"/>
      <c r="G204" s="18"/>
      <c r="H204" s="114"/>
      <c r="I204" s="114"/>
      <c r="J204" s="114"/>
      <c r="K204" s="18"/>
      <c r="L204" s="114"/>
      <c r="M204" s="18"/>
    </row>
    <row r="205" spans="4:13">
      <c r="D205" s="114"/>
      <c r="E205" s="18"/>
      <c r="F205" s="18"/>
      <c r="G205" s="18"/>
      <c r="H205" s="114"/>
      <c r="I205" s="114"/>
      <c r="J205" s="114"/>
      <c r="K205" s="18"/>
      <c r="L205" s="114"/>
      <c r="M205" s="18"/>
    </row>
    <row r="206" spans="4:13">
      <c r="D206" s="114"/>
      <c r="E206" s="18"/>
      <c r="F206" s="18"/>
      <c r="G206" s="18"/>
      <c r="H206" s="114"/>
      <c r="I206" s="114"/>
      <c r="J206" s="114"/>
      <c r="K206" s="18"/>
      <c r="L206" s="114"/>
      <c r="M206" s="18"/>
    </row>
    <row r="207" spans="4:13">
      <c r="D207" s="114"/>
      <c r="E207" s="18"/>
      <c r="F207" s="18"/>
      <c r="G207" s="18"/>
      <c r="H207" s="114"/>
      <c r="I207" s="114"/>
      <c r="J207" s="114"/>
      <c r="K207" s="18"/>
      <c r="L207" s="114"/>
      <c r="M207" s="18"/>
    </row>
    <row r="208" spans="4:13">
      <c r="D208" s="114"/>
      <c r="E208" s="18"/>
      <c r="F208" s="18"/>
      <c r="G208" s="18"/>
      <c r="H208" s="114"/>
      <c r="I208" s="114"/>
      <c r="J208" s="114"/>
      <c r="K208" s="18"/>
      <c r="L208" s="114"/>
      <c r="M208" s="18"/>
    </row>
    <row r="209" spans="4:13">
      <c r="D209" s="114"/>
      <c r="E209" s="18"/>
      <c r="F209" s="18"/>
      <c r="G209" s="18"/>
      <c r="H209" s="114"/>
      <c r="I209" s="114"/>
      <c r="J209" s="114"/>
      <c r="K209" s="18"/>
      <c r="L209" s="114"/>
      <c r="M209" s="18"/>
    </row>
    <row r="210" spans="4:13">
      <c r="D210" s="114"/>
      <c r="E210" s="18"/>
      <c r="F210" s="18"/>
      <c r="G210" s="18"/>
      <c r="H210" s="114"/>
      <c r="I210" s="114"/>
      <c r="J210" s="114"/>
      <c r="K210" s="18"/>
      <c r="L210" s="114"/>
      <c r="M210" s="18"/>
    </row>
    <row r="211" spans="4:13">
      <c r="D211" s="114"/>
      <c r="E211" s="18"/>
      <c r="F211" s="18"/>
      <c r="G211" s="18"/>
      <c r="H211" s="114"/>
      <c r="I211" s="114"/>
      <c r="J211" s="114"/>
      <c r="K211" s="18"/>
      <c r="L211" s="114"/>
      <c r="M211" s="18"/>
    </row>
    <row r="212" spans="4:13">
      <c r="D212" s="114"/>
      <c r="E212" s="18"/>
      <c r="F212" s="18"/>
      <c r="G212" s="18"/>
      <c r="H212" s="114"/>
      <c r="I212" s="114"/>
      <c r="J212" s="114"/>
      <c r="K212" s="18"/>
      <c r="L212" s="114"/>
      <c r="M212" s="18"/>
    </row>
    <row r="213" spans="4:13">
      <c r="D213" s="114"/>
      <c r="E213" s="18"/>
      <c r="F213" s="18"/>
      <c r="G213" s="18"/>
      <c r="H213" s="114"/>
      <c r="I213" s="114"/>
      <c r="J213" s="114"/>
      <c r="K213" s="18"/>
      <c r="L213" s="114"/>
      <c r="M213" s="18"/>
    </row>
    <row r="214" spans="4:13">
      <c r="D214" s="114"/>
      <c r="E214" s="18"/>
      <c r="F214" s="18"/>
      <c r="G214" s="18"/>
      <c r="H214" s="114"/>
      <c r="I214" s="114"/>
      <c r="J214" s="114"/>
      <c r="K214" s="18"/>
      <c r="L214" s="114"/>
      <c r="M214" s="18"/>
    </row>
  </sheetData>
  <mergeCells count="2">
    <mergeCell ref="D1:L1"/>
    <mergeCell ref="O1:AX1"/>
  </mergeCells>
  <pageMargins left="0.7" right="0.7" top="0.75" bottom="0.75" header="0.3" footer="0.3"/>
  <pageSetup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>
    <tabColor theme="0" tint="-0.34998626667073579"/>
    <pageSetUpPr fitToPage="1"/>
  </sheetPr>
  <dimension ref="A1:AY151"/>
  <sheetViews>
    <sheetView zoomScale="112" zoomScaleNormal="112" workbookViewId="0">
      <pane xSplit="3" ySplit="2" topLeftCell="D95" activePane="bottomRight" state="frozen"/>
      <selection pane="topRight" activeCell="E1" sqref="E1"/>
      <selection pane="bottomLeft" activeCell="A3" sqref="A3"/>
      <selection pane="bottomRight" activeCell="G104" sqref="G104"/>
    </sheetView>
  </sheetViews>
  <sheetFormatPr defaultColWidth="9.140625" defaultRowHeight="12.75" outlineLevelRow="1" outlineLevelCol="1"/>
  <cols>
    <col min="1" max="3" width="9.140625" style="3"/>
    <col min="4" max="4" width="11.28515625" style="3" bestFit="1" customWidth="1"/>
    <col min="5" max="5" width="4.28515625" style="3" customWidth="1"/>
    <col min="6" max="6" width="11.140625" style="3" customWidth="1"/>
    <col min="7" max="7" width="14" style="3" bestFit="1" customWidth="1"/>
    <col min="8" max="8" width="2.140625" style="4" customWidth="1"/>
    <col min="9" max="9" width="11.7109375" style="3" customWidth="1"/>
    <col min="10" max="10" width="11.5703125" style="3" customWidth="1"/>
    <col min="11" max="11" width="2.85546875" style="3" customWidth="1"/>
    <col min="12" max="12" width="11.85546875" style="3" customWidth="1"/>
    <col min="13" max="13" width="3.140625" style="4" customWidth="1"/>
    <col min="14" max="18" width="9.140625" style="3" hidden="1" customWidth="1" outlineLevel="1"/>
    <col min="19" max="19" width="10.140625" style="3" hidden="1" customWidth="1" outlineLevel="1"/>
    <col min="20" max="20" width="10.85546875" style="3" hidden="1" customWidth="1" outlineLevel="1"/>
    <col min="21" max="21" width="11.28515625" style="3" hidden="1" customWidth="1" outlineLevel="1"/>
    <col min="22" max="22" width="11.140625" style="3" hidden="1" customWidth="1" outlineLevel="1"/>
    <col min="23" max="23" width="10.5703125" style="3" hidden="1" customWidth="1" outlineLevel="1"/>
    <col min="24" max="24" width="10.42578125" style="3" hidden="1" customWidth="1" outlineLevel="1"/>
    <col min="25" max="25" width="10" style="3" hidden="1" customWidth="1" outlineLevel="1"/>
    <col min="26" max="27" width="11.140625" style="3" hidden="1" customWidth="1" outlineLevel="1"/>
    <col min="28" max="28" width="12.140625" style="3" hidden="1" customWidth="1" outlineLevel="1"/>
    <col min="29" max="41" width="11.42578125" style="3" hidden="1" customWidth="1" outlineLevel="1"/>
    <col min="42" max="42" width="11.42578125" style="3" customWidth="1" collapsed="1"/>
    <col min="43" max="47" width="11.42578125" style="3" customWidth="1"/>
    <col min="48" max="48" width="5" style="3" customWidth="1"/>
    <col min="49" max="49" width="11.140625" style="3" customWidth="1"/>
    <col min="50" max="16384" width="9.140625" style="3"/>
  </cols>
  <sheetData>
    <row r="1" spans="1:51">
      <c r="D1" s="336"/>
      <c r="E1" s="336"/>
      <c r="H1" s="216"/>
      <c r="I1" s="337"/>
      <c r="J1" s="337"/>
      <c r="K1" s="337"/>
      <c r="L1" s="5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  <c r="AV1" s="694"/>
      <c r="AW1" s="694"/>
    </row>
    <row r="2" spans="1:51" ht="51">
      <c r="A2" s="325"/>
      <c r="B2" s="325"/>
      <c r="C2" s="7" t="s">
        <v>16</v>
      </c>
      <c r="D2" s="51" t="s">
        <v>150</v>
      </c>
      <c r="E2" s="51"/>
      <c r="F2" s="51" t="s">
        <v>104</v>
      </c>
      <c r="G2" s="122" t="s">
        <v>149</v>
      </c>
      <c r="H2" s="51"/>
      <c r="I2" s="51" t="s">
        <v>99</v>
      </c>
      <c r="J2" s="51" t="s">
        <v>100</v>
      </c>
      <c r="K2" s="52"/>
      <c r="L2" s="52" t="s">
        <v>101</v>
      </c>
      <c r="M2" s="338"/>
      <c r="N2" s="220">
        <v>41518</v>
      </c>
      <c r="O2" s="220">
        <f t="shared" ref="O2:Y2" si="0">+N2+31</f>
        <v>41549</v>
      </c>
      <c r="P2" s="220">
        <f t="shared" si="0"/>
        <v>41580</v>
      </c>
      <c r="Q2" s="220">
        <f t="shared" si="0"/>
        <v>41611</v>
      </c>
      <c r="R2" s="220">
        <f t="shared" si="0"/>
        <v>41642</v>
      </c>
      <c r="S2" s="220">
        <f t="shared" si="0"/>
        <v>41673</v>
      </c>
      <c r="T2" s="220">
        <f t="shared" si="0"/>
        <v>41704</v>
      </c>
      <c r="U2" s="220">
        <f t="shared" si="0"/>
        <v>41735</v>
      </c>
      <c r="V2" s="220">
        <f t="shared" si="0"/>
        <v>41766</v>
      </c>
      <c r="W2" s="220">
        <f t="shared" si="0"/>
        <v>41797</v>
      </c>
      <c r="X2" s="220">
        <f t="shared" si="0"/>
        <v>41828</v>
      </c>
      <c r="Y2" s="220">
        <f t="shared" si="0"/>
        <v>41859</v>
      </c>
      <c r="Z2" s="220">
        <f>+Y2+31</f>
        <v>41890</v>
      </c>
      <c r="AA2" s="220">
        <f>+Z2+31</f>
        <v>41921</v>
      </c>
      <c r="AB2" s="220">
        <f>+AA2+31</f>
        <v>41952</v>
      </c>
      <c r="AC2" s="220">
        <f>+AB2+31</f>
        <v>41983</v>
      </c>
      <c r="AD2" s="220">
        <f t="shared" ref="AD2:AL2" si="1">+AC2+31</f>
        <v>42014</v>
      </c>
      <c r="AE2" s="220">
        <f t="shared" si="1"/>
        <v>42045</v>
      </c>
      <c r="AF2" s="220">
        <f t="shared" si="1"/>
        <v>42076</v>
      </c>
      <c r="AG2" s="220">
        <f t="shared" si="1"/>
        <v>42107</v>
      </c>
      <c r="AH2" s="220">
        <f t="shared" si="1"/>
        <v>42138</v>
      </c>
      <c r="AI2" s="220">
        <f t="shared" si="1"/>
        <v>42169</v>
      </c>
      <c r="AJ2" s="220">
        <f t="shared" si="1"/>
        <v>42200</v>
      </c>
      <c r="AK2" s="220">
        <f t="shared" si="1"/>
        <v>42231</v>
      </c>
      <c r="AL2" s="220">
        <f t="shared" si="1"/>
        <v>42262</v>
      </c>
      <c r="AM2" s="220">
        <f t="shared" ref="AM2:AU2" si="2">+AL2+31</f>
        <v>42293</v>
      </c>
      <c r="AN2" s="220">
        <f t="shared" si="2"/>
        <v>42324</v>
      </c>
      <c r="AO2" s="220">
        <f t="shared" si="2"/>
        <v>42355</v>
      </c>
      <c r="AP2" s="220">
        <f t="shared" si="2"/>
        <v>42386</v>
      </c>
      <c r="AQ2" s="220">
        <f t="shared" si="2"/>
        <v>42417</v>
      </c>
      <c r="AR2" s="220">
        <f t="shared" si="2"/>
        <v>42448</v>
      </c>
      <c r="AS2" s="220">
        <f t="shared" si="2"/>
        <v>42479</v>
      </c>
      <c r="AT2" s="220">
        <f t="shared" si="2"/>
        <v>42510</v>
      </c>
      <c r="AU2" s="220">
        <f t="shared" si="2"/>
        <v>42541</v>
      </c>
      <c r="AV2" s="220"/>
      <c r="AW2" s="325" t="s">
        <v>69</v>
      </c>
      <c r="AX2" s="338"/>
      <c r="AY2" s="4"/>
    </row>
    <row r="3" spans="1:51" ht="15.75">
      <c r="A3" s="126" t="s">
        <v>27</v>
      </c>
      <c r="B3" s="126"/>
      <c r="C3" s="124" t="s">
        <v>28</v>
      </c>
      <c r="D3" s="54"/>
      <c r="E3" s="54"/>
      <c r="F3" s="54"/>
      <c r="G3" s="54"/>
      <c r="H3" s="9"/>
      <c r="I3" s="54" t="s">
        <v>67</v>
      </c>
      <c r="J3" s="54"/>
      <c r="K3" s="12"/>
      <c r="L3" s="9"/>
      <c r="AX3" s="4"/>
      <c r="AY3" s="4"/>
    </row>
    <row r="4" spans="1:51">
      <c r="A4" s="7"/>
      <c r="B4" s="7"/>
      <c r="C4" s="7"/>
      <c r="D4" s="18"/>
      <c r="E4" s="18"/>
      <c r="F4" s="18"/>
      <c r="G4" s="18"/>
      <c r="H4" s="114"/>
      <c r="I4" s="114"/>
      <c r="J4" s="18"/>
      <c r="K4" s="114"/>
      <c r="L4" s="23"/>
      <c r="AX4" s="4"/>
      <c r="AY4" s="4"/>
    </row>
    <row r="5" spans="1:51" outlineLevel="1">
      <c r="A5" s="7" t="s">
        <v>48</v>
      </c>
      <c r="B5" s="7">
        <v>2013</v>
      </c>
      <c r="C5" s="7" t="s">
        <v>47</v>
      </c>
      <c r="D5" s="18">
        <v>19500</v>
      </c>
      <c r="E5" s="18"/>
      <c r="F5" s="18">
        <f t="shared" ref="F5:F44" si="3">SUM(D5:D5)</f>
        <v>19500</v>
      </c>
      <c r="G5" s="123">
        <f>SUM(F$5:F5)</f>
        <v>19500</v>
      </c>
      <c r="H5" s="114"/>
      <c r="I5" s="114">
        <v>0</v>
      </c>
      <c r="J5" s="18">
        <f>SUM(I$5:I5)</f>
        <v>0</v>
      </c>
      <c r="K5" s="114"/>
      <c r="L5" s="18">
        <f>+G5-J5</f>
        <v>19500</v>
      </c>
      <c r="N5" s="18">
        <f>(+$F5)/60</f>
        <v>325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>
        <f t="shared" ref="AW5:AW36" si="4">SUM(N5:AV5)</f>
        <v>325</v>
      </c>
      <c r="AX5" s="4"/>
      <c r="AY5" s="4"/>
    </row>
    <row r="6" spans="1:51" outlineLevel="1">
      <c r="A6" s="7" t="s">
        <v>50</v>
      </c>
      <c r="B6" s="7">
        <f>+B5</f>
        <v>2013</v>
      </c>
      <c r="C6" s="7" t="s">
        <v>47</v>
      </c>
      <c r="D6" s="18">
        <v>17250</v>
      </c>
      <c r="E6" s="18"/>
      <c r="F6" s="18">
        <f>SUM(D6:D6)</f>
        <v>17250</v>
      </c>
      <c r="G6" s="123">
        <f>SUM(F$5:F6)</f>
        <v>36750</v>
      </c>
      <c r="H6" s="114"/>
      <c r="I6" s="114">
        <v>325.02</v>
      </c>
      <c r="J6" s="18">
        <f>SUM(I$5:I6)</f>
        <v>325.02</v>
      </c>
      <c r="K6" s="114"/>
      <c r="L6" s="18">
        <f t="shared" ref="L6:L69" si="5">+G6-J6</f>
        <v>36424.980000000003</v>
      </c>
      <c r="N6" s="18">
        <f>+N5</f>
        <v>325</v>
      </c>
      <c r="O6" s="18">
        <f>(+$F6)/60</f>
        <v>287.5</v>
      </c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>
        <f t="shared" si="4"/>
        <v>612.5</v>
      </c>
      <c r="AX6" s="4"/>
      <c r="AY6" s="4"/>
    </row>
    <row r="7" spans="1:51" outlineLevel="1">
      <c r="A7" s="7" t="s">
        <v>51</v>
      </c>
      <c r="B7" s="7">
        <f>+B6</f>
        <v>2013</v>
      </c>
      <c r="C7" s="7" t="s">
        <v>47</v>
      </c>
      <c r="D7" s="18">
        <v>58300</v>
      </c>
      <c r="E7" s="18"/>
      <c r="F7" s="18">
        <f t="shared" si="3"/>
        <v>58300</v>
      </c>
      <c r="G7" s="123">
        <f>SUM(F$5:F7)</f>
        <v>95050</v>
      </c>
      <c r="H7" s="114"/>
      <c r="I7" s="114">
        <v>829.21</v>
      </c>
      <c r="J7" s="18">
        <f>SUM(I$5:I7)</f>
        <v>1154.23</v>
      </c>
      <c r="K7" s="114"/>
      <c r="L7" s="18">
        <f t="shared" si="5"/>
        <v>93895.77</v>
      </c>
      <c r="N7" s="18">
        <f t="shared" ref="N7:R14" si="6">+N6</f>
        <v>325</v>
      </c>
      <c r="O7" s="18">
        <f t="shared" si="6"/>
        <v>287.5</v>
      </c>
      <c r="P7" s="18">
        <f>(+$F7)/60</f>
        <v>971.66666666666663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>
        <f t="shared" si="4"/>
        <v>1584.1666666666665</v>
      </c>
      <c r="AX7" s="4"/>
      <c r="AY7" s="4"/>
    </row>
    <row r="8" spans="1:51" outlineLevel="1">
      <c r="A8" s="124" t="s">
        <v>52</v>
      </c>
      <c r="B8" s="124">
        <f>+B7</f>
        <v>2013</v>
      </c>
      <c r="C8" s="124" t="s">
        <v>47</v>
      </c>
      <c r="D8" s="121">
        <v>83350</v>
      </c>
      <c r="E8" s="121"/>
      <c r="F8" s="121">
        <f t="shared" si="3"/>
        <v>83350</v>
      </c>
      <c r="G8" s="125">
        <f>SUM(F$5:F8)</f>
        <v>178400</v>
      </c>
      <c r="H8" s="114"/>
      <c r="I8" s="116">
        <v>2008.44</v>
      </c>
      <c r="J8" s="121">
        <f>SUM(I$5:I8)</f>
        <v>3162.67</v>
      </c>
      <c r="K8" s="116"/>
      <c r="L8" s="121">
        <f t="shared" si="5"/>
        <v>175237.33</v>
      </c>
      <c r="N8" s="121">
        <f t="shared" si="6"/>
        <v>325</v>
      </c>
      <c r="O8" s="121">
        <f t="shared" si="6"/>
        <v>287.5</v>
      </c>
      <c r="P8" s="121">
        <f t="shared" si="6"/>
        <v>971.66666666666663</v>
      </c>
      <c r="Q8" s="121">
        <f>(+$F8)/60</f>
        <v>1389.1666666666667</v>
      </c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>
        <f t="shared" si="4"/>
        <v>2973.333333333333</v>
      </c>
      <c r="AX8" s="4"/>
      <c r="AY8" s="4"/>
    </row>
    <row r="9" spans="1:51" outlineLevel="1">
      <c r="A9" s="7" t="s">
        <v>53</v>
      </c>
      <c r="B9" s="7">
        <v>2014</v>
      </c>
      <c r="C9" s="7" t="s">
        <v>47</v>
      </c>
      <c r="D9" s="464">
        <f>87115-6500</f>
        <v>80615</v>
      </c>
      <c r="E9" s="18"/>
      <c r="F9" s="18">
        <f t="shared" si="3"/>
        <v>80615</v>
      </c>
      <c r="G9" s="123">
        <f>SUM(F$5:F9)</f>
        <v>259015</v>
      </c>
      <c r="H9" s="114"/>
      <c r="I9" s="468">
        <f>3496.03-108.34</f>
        <v>3387.69</v>
      </c>
      <c r="J9" s="18">
        <f>SUM(I$5:I9)</f>
        <v>6550.3600000000006</v>
      </c>
      <c r="K9" s="114"/>
      <c r="L9" s="18">
        <f t="shared" si="5"/>
        <v>252464.64000000001</v>
      </c>
      <c r="N9" s="18">
        <f t="shared" si="6"/>
        <v>325</v>
      </c>
      <c r="O9" s="18">
        <f t="shared" si="6"/>
        <v>287.5</v>
      </c>
      <c r="P9" s="18">
        <f t="shared" si="6"/>
        <v>971.66666666666663</v>
      </c>
      <c r="Q9" s="18">
        <f t="shared" si="6"/>
        <v>1389.1666666666667</v>
      </c>
      <c r="R9" s="18">
        <f>(+$F9)/60</f>
        <v>1343.5833333333333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>
        <f t="shared" si="4"/>
        <v>4316.9166666666661</v>
      </c>
      <c r="AX9" s="4"/>
      <c r="AY9" s="4"/>
    </row>
    <row r="10" spans="1:51" outlineLevel="1">
      <c r="A10" s="29" t="s">
        <v>54</v>
      </c>
      <c r="B10" s="7">
        <v>2014</v>
      </c>
      <c r="C10" s="7" t="s">
        <v>47</v>
      </c>
      <c r="D10" s="18">
        <v>66865</v>
      </c>
      <c r="E10" s="18"/>
      <c r="F10" s="18">
        <f t="shared" si="3"/>
        <v>66865</v>
      </c>
      <c r="G10" s="123">
        <f>SUM(F$5:F10)</f>
        <v>325880</v>
      </c>
      <c r="H10" s="114"/>
      <c r="I10" s="114">
        <v>4279.91</v>
      </c>
      <c r="J10" s="18">
        <f>SUM(I$5:I10)</f>
        <v>10830.27</v>
      </c>
      <c r="K10" s="114"/>
      <c r="L10" s="18">
        <f t="shared" si="5"/>
        <v>315049.73</v>
      </c>
      <c r="N10" s="20">
        <f t="shared" si="6"/>
        <v>325</v>
      </c>
      <c r="O10" s="20">
        <f t="shared" si="6"/>
        <v>287.5</v>
      </c>
      <c r="P10" s="20">
        <f t="shared" si="6"/>
        <v>971.66666666666663</v>
      </c>
      <c r="Q10" s="20">
        <f t="shared" si="6"/>
        <v>1389.1666666666667</v>
      </c>
      <c r="R10" s="18">
        <f>+R9</f>
        <v>1343.5833333333333</v>
      </c>
      <c r="S10" s="18">
        <f>(+$F10)/60</f>
        <v>1114.4166666666667</v>
      </c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18">
        <f t="shared" si="4"/>
        <v>5431.333333333333</v>
      </c>
      <c r="AX10" s="4"/>
      <c r="AY10" s="4"/>
    </row>
    <row r="11" spans="1:51" outlineLevel="1">
      <c r="A11" s="29" t="s">
        <v>55</v>
      </c>
      <c r="B11" s="7">
        <v>2014</v>
      </c>
      <c r="C11" s="7" t="s">
        <v>47</v>
      </c>
      <c r="D11" s="18">
        <v>87550</v>
      </c>
      <c r="E11" s="18"/>
      <c r="F11" s="18">
        <f t="shared" si="3"/>
        <v>87550</v>
      </c>
      <c r="G11" s="123">
        <f>SUM(F$5:F11)</f>
        <v>413430</v>
      </c>
      <c r="H11" s="114"/>
      <c r="I11" s="114">
        <v>6277.54</v>
      </c>
      <c r="J11" s="18">
        <f>SUM(I$5:I11)</f>
        <v>17107.810000000001</v>
      </c>
      <c r="K11" s="114"/>
      <c r="L11" s="18">
        <f t="shared" si="5"/>
        <v>396322.19</v>
      </c>
      <c r="N11" s="20">
        <f t="shared" si="6"/>
        <v>325</v>
      </c>
      <c r="O11" s="20">
        <f t="shared" si="6"/>
        <v>287.5</v>
      </c>
      <c r="P11" s="20">
        <f t="shared" si="6"/>
        <v>971.66666666666663</v>
      </c>
      <c r="Q11" s="20">
        <f t="shared" si="6"/>
        <v>1389.1666666666667</v>
      </c>
      <c r="R11" s="18">
        <f>+R10</f>
        <v>1343.5833333333333</v>
      </c>
      <c r="S11" s="18">
        <f>+S10</f>
        <v>1114.4166666666667</v>
      </c>
      <c r="T11" s="18">
        <f>(+$F11)/60</f>
        <v>1459.1666666666667</v>
      </c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18">
        <f t="shared" si="4"/>
        <v>6890.5</v>
      </c>
      <c r="AX11" s="4"/>
      <c r="AY11" s="4"/>
    </row>
    <row r="12" spans="1:51" outlineLevel="1">
      <c r="A12" s="29" t="s">
        <v>56</v>
      </c>
      <c r="B12" s="7">
        <v>2014</v>
      </c>
      <c r="C12" s="7" t="s">
        <v>47</v>
      </c>
      <c r="D12" s="464">
        <f>102600-6500</f>
        <v>96100</v>
      </c>
      <c r="E12" s="18"/>
      <c r="F12" s="18">
        <f t="shared" si="3"/>
        <v>96100</v>
      </c>
      <c r="G12" s="123">
        <f>SUM(F$5:F12)</f>
        <v>509530</v>
      </c>
      <c r="H12" s="114"/>
      <c r="I12" s="114">
        <v>13602.58</v>
      </c>
      <c r="J12" s="18">
        <f>SUM(I$5:I12)</f>
        <v>30710.39</v>
      </c>
      <c r="K12" s="114"/>
      <c r="L12" s="18">
        <f t="shared" si="5"/>
        <v>478819.61</v>
      </c>
      <c r="N12" s="20">
        <f t="shared" si="6"/>
        <v>325</v>
      </c>
      <c r="O12" s="20">
        <f t="shared" si="6"/>
        <v>287.5</v>
      </c>
      <c r="P12" s="20">
        <f t="shared" si="6"/>
        <v>971.66666666666663</v>
      </c>
      <c r="Q12" s="20">
        <f t="shared" si="6"/>
        <v>1389.1666666666667</v>
      </c>
      <c r="R12" s="18">
        <f t="shared" si="6"/>
        <v>1343.5833333333333</v>
      </c>
      <c r="S12" s="18">
        <f>+S11</f>
        <v>1114.4166666666667</v>
      </c>
      <c r="T12" s="18">
        <f>+T11</f>
        <v>1459.1666666666667</v>
      </c>
      <c r="U12" s="18">
        <f>(+$F12)/60</f>
        <v>1601.6666666666667</v>
      </c>
      <c r="V12" s="18"/>
      <c r="W12" s="18"/>
      <c r="X12" s="18"/>
      <c r="Y12" s="18"/>
      <c r="Z12" s="18"/>
      <c r="AA12" s="18"/>
      <c r="AB12" s="18"/>
      <c r="AC12" s="18"/>
      <c r="AD12" s="18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18">
        <f t="shared" si="4"/>
        <v>8492.1666666666661</v>
      </c>
      <c r="AX12" s="4"/>
      <c r="AY12" s="4"/>
    </row>
    <row r="13" spans="1:51" outlineLevel="1">
      <c r="A13" s="29" t="s">
        <v>57</v>
      </c>
      <c r="B13" s="7">
        <v>2014</v>
      </c>
      <c r="C13" s="7" t="s">
        <v>47</v>
      </c>
      <c r="D13" s="18">
        <v>57450</v>
      </c>
      <c r="E13" s="18"/>
      <c r="F13" s="18">
        <f t="shared" si="3"/>
        <v>57450</v>
      </c>
      <c r="G13" s="123">
        <f>SUM(F$5:F13)</f>
        <v>566980</v>
      </c>
      <c r="H13" s="114"/>
      <c r="I13" s="468">
        <f>8817.68-433.36</f>
        <v>8384.32</v>
      </c>
      <c r="J13" s="18">
        <f>SUM(I$5:I13)</f>
        <v>39094.71</v>
      </c>
      <c r="K13" s="114"/>
      <c r="L13" s="18">
        <f t="shared" si="5"/>
        <v>527885.29</v>
      </c>
      <c r="N13" s="20">
        <f t="shared" si="6"/>
        <v>325</v>
      </c>
      <c r="O13" s="20">
        <f t="shared" si="6"/>
        <v>287.5</v>
      </c>
      <c r="P13" s="20">
        <f t="shared" si="6"/>
        <v>971.66666666666663</v>
      </c>
      <c r="Q13" s="20">
        <f t="shared" si="6"/>
        <v>1389.1666666666667</v>
      </c>
      <c r="R13" s="18">
        <f t="shared" si="6"/>
        <v>1343.5833333333333</v>
      </c>
      <c r="S13" s="18">
        <f>+S12</f>
        <v>1114.4166666666667</v>
      </c>
      <c r="T13" s="18">
        <f>+T12</f>
        <v>1459.1666666666667</v>
      </c>
      <c r="U13" s="18">
        <f>+U12</f>
        <v>1601.6666666666667</v>
      </c>
      <c r="V13" s="18">
        <f>(+$F13)/60</f>
        <v>957.5</v>
      </c>
      <c r="W13" s="18"/>
      <c r="X13" s="18"/>
      <c r="Y13" s="18"/>
      <c r="Z13" s="18"/>
      <c r="AA13" s="18"/>
      <c r="AB13" s="18"/>
      <c r="AC13" s="18"/>
      <c r="AD13" s="18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18">
        <f t="shared" si="4"/>
        <v>9449.6666666666661</v>
      </c>
      <c r="AX13" s="4"/>
      <c r="AY13" s="4"/>
    </row>
    <row r="14" spans="1:51" outlineLevel="1">
      <c r="A14" s="29" t="s">
        <v>58</v>
      </c>
      <c r="B14" s="7">
        <v>2014</v>
      </c>
      <c r="C14" s="7" t="s">
        <v>47</v>
      </c>
      <c r="D14" s="464">
        <f>117424-5450</f>
        <v>111974</v>
      </c>
      <c r="E14" s="18"/>
      <c r="F14" s="18">
        <f t="shared" si="3"/>
        <v>111974</v>
      </c>
      <c r="G14" s="123">
        <f>SUM(F$5:F14)</f>
        <v>678954</v>
      </c>
      <c r="H14" s="114"/>
      <c r="I14" s="468">
        <f>9974.42-272.52</f>
        <v>9701.9</v>
      </c>
      <c r="J14" s="18">
        <f>SUM(I$5:I14)</f>
        <v>48796.61</v>
      </c>
      <c r="K14" s="114"/>
      <c r="L14" s="18">
        <f t="shared" si="5"/>
        <v>630157.39</v>
      </c>
      <c r="N14" s="20">
        <f t="shared" si="6"/>
        <v>325</v>
      </c>
      <c r="O14" s="20">
        <f t="shared" si="6"/>
        <v>287.5</v>
      </c>
      <c r="P14" s="20">
        <f t="shared" si="6"/>
        <v>971.66666666666663</v>
      </c>
      <c r="Q14" s="20">
        <f t="shared" si="6"/>
        <v>1389.1666666666667</v>
      </c>
      <c r="R14" s="18">
        <f t="shared" si="6"/>
        <v>1343.5833333333333</v>
      </c>
      <c r="S14" s="18">
        <f>+S13</f>
        <v>1114.4166666666667</v>
      </c>
      <c r="T14" s="18">
        <f>+T13</f>
        <v>1459.1666666666667</v>
      </c>
      <c r="U14" s="18">
        <f>+U13</f>
        <v>1601.6666666666667</v>
      </c>
      <c r="V14" s="18">
        <f>+V13</f>
        <v>957.5</v>
      </c>
      <c r="W14" s="18">
        <f>(+$F14)/60</f>
        <v>1866.2333333333333</v>
      </c>
      <c r="X14" s="18"/>
      <c r="Y14" s="18"/>
      <c r="Z14" s="18"/>
      <c r="AA14" s="18"/>
      <c r="AB14" s="18"/>
      <c r="AC14" s="18"/>
      <c r="AD14" s="18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18">
        <f t="shared" si="4"/>
        <v>11315.9</v>
      </c>
      <c r="AX14" s="4"/>
      <c r="AY14" s="4"/>
    </row>
    <row r="15" spans="1:51" outlineLevel="1">
      <c r="A15" s="7" t="s">
        <v>59</v>
      </c>
      <c r="B15" s="7">
        <v>2014</v>
      </c>
      <c r="C15" s="73" t="s">
        <v>47</v>
      </c>
      <c r="D15" s="18">
        <v>127625</v>
      </c>
      <c r="E15" s="18"/>
      <c r="F15" s="18">
        <f t="shared" si="3"/>
        <v>127625</v>
      </c>
      <c r="G15" s="123">
        <f>SUM(F$5:F15)</f>
        <v>806579</v>
      </c>
      <c r="H15" s="114"/>
      <c r="I15" s="468">
        <f>18112.21-1625.1</f>
        <v>16487.11</v>
      </c>
      <c r="J15" s="18">
        <f>SUM(I$5:I15)</f>
        <v>65283.72</v>
      </c>
      <c r="K15" s="114"/>
      <c r="L15" s="18">
        <f t="shared" si="5"/>
        <v>741295.28</v>
      </c>
      <c r="N15" s="18">
        <f t="shared" ref="N15:U30" si="7">+N14</f>
        <v>325</v>
      </c>
      <c r="O15" s="18">
        <f t="shared" si="7"/>
        <v>287.5</v>
      </c>
      <c r="P15" s="18">
        <f t="shared" si="7"/>
        <v>971.66666666666663</v>
      </c>
      <c r="Q15" s="18">
        <f t="shared" si="7"/>
        <v>1389.1666666666667</v>
      </c>
      <c r="R15" s="18">
        <f t="shared" si="7"/>
        <v>1343.5833333333333</v>
      </c>
      <c r="S15" s="18">
        <f>+S14</f>
        <v>1114.4166666666667</v>
      </c>
      <c r="T15" s="18">
        <f>+T14</f>
        <v>1459.1666666666667</v>
      </c>
      <c r="U15" s="18">
        <f>+U14</f>
        <v>1601.6666666666667</v>
      </c>
      <c r="V15" s="18">
        <f>+V14</f>
        <v>957.5</v>
      </c>
      <c r="W15" s="18">
        <f>+W14</f>
        <v>1866.2333333333333</v>
      </c>
      <c r="X15" s="18">
        <f>(+$F15)/60</f>
        <v>2127.0833333333335</v>
      </c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>
        <f t="shared" si="4"/>
        <v>13442.983333333334</v>
      </c>
      <c r="AX15" s="4"/>
      <c r="AY15" s="4"/>
    </row>
    <row r="16" spans="1:51" outlineLevel="1">
      <c r="A16" s="7" t="s">
        <v>46</v>
      </c>
      <c r="B16" s="7">
        <v>2014</v>
      </c>
      <c r="C16" s="73" t="s">
        <v>47</v>
      </c>
      <c r="D16" s="464">
        <f>131580-6500-6500-6500</f>
        <v>112080</v>
      </c>
      <c r="E16" s="18"/>
      <c r="F16" s="18">
        <f t="shared" si="3"/>
        <v>112080</v>
      </c>
      <c r="G16" s="123">
        <f>SUM(F$5:F16)</f>
        <v>918659</v>
      </c>
      <c r="H16" s="114"/>
      <c r="I16" s="468">
        <f>15605.13-108.34-650.04</f>
        <v>14846.75</v>
      </c>
      <c r="J16" s="18">
        <f>SUM(I$5:I16)</f>
        <v>80130.47</v>
      </c>
      <c r="K16" s="114"/>
      <c r="L16" s="18">
        <f t="shared" si="5"/>
        <v>838528.53</v>
      </c>
      <c r="N16" s="18">
        <f t="shared" si="7"/>
        <v>325</v>
      </c>
      <c r="O16" s="18">
        <f t="shared" si="7"/>
        <v>287.5</v>
      </c>
      <c r="P16" s="18">
        <f t="shared" si="7"/>
        <v>971.66666666666663</v>
      </c>
      <c r="Q16" s="18">
        <f t="shared" si="7"/>
        <v>1389.1666666666667</v>
      </c>
      <c r="R16" s="18">
        <f t="shared" si="7"/>
        <v>1343.5833333333333</v>
      </c>
      <c r="S16" s="18">
        <f t="shared" si="7"/>
        <v>1114.4166666666667</v>
      </c>
      <c r="T16" s="18">
        <f t="shared" si="7"/>
        <v>1459.1666666666667</v>
      </c>
      <c r="U16" s="18">
        <f t="shared" si="7"/>
        <v>1601.6666666666667</v>
      </c>
      <c r="V16" s="18">
        <f t="shared" ref="V16:AH30" si="8">+V15</f>
        <v>957.5</v>
      </c>
      <c r="W16" s="18">
        <f t="shared" si="8"/>
        <v>1866.2333333333333</v>
      </c>
      <c r="X16" s="18">
        <f t="shared" si="8"/>
        <v>2127.0833333333335</v>
      </c>
      <c r="Y16" s="18">
        <f>(+$F16)/60</f>
        <v>1868</v>
      </c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>
        <f t="shared" si="4"/>
        <v>15310.983333333334</v>
      </c>
      <c r="AX16" s="4"/>
      <c r="AY16" s="4"/>
    </row>
    <row r="17" spans="1:51" outlineLevel="1">
      <c r="A17" s="7" t="s">
        <v>48</v>
      </c>
      <c r="B17" s="7">
        <f t="shared" ref="B17:B73" si="9">+B5+1</f>
        <v>2014</v>
      </c>
      <c r="C17" s="73" t="s">
        <v>47</v>
      </c>
      <c r="D17" s="464">
        <f>119675-6500-6500</f>
        <v>106675</v>
      </c>
      <c r="E17" s="18"/>
      <c r="F17" s="18">
        <f t="shared" si="3"/>
        <v>106675</v>
      </c>
      <c r="G17" s="123">
        <f>SUM(F$5:F17)</f>
        <v>1025334</v>
      </c>
      <c r="H17" s="114"/>
      <c r="I17" s="468">
        <f>15961.81-433.36-541.7</f>
        <v>14986.749999999998</v>
      </c>
      <c r="J17" s="18">
        <f>SUM(I$5:I17)</f>
        <v>95117.22</v>
      </c>
      <c r="K17" s="114"/>
      <c r="L17" s="18">
        <f t="shared" si="5"/>
        <v>930216.78</v>
      </c>
      <c r="N17" s="18">
        <f t="shared" si="7"/>
        <v>325</v>
      </c>
      <c r="O17" s="18">
        <f t="shared" si="7"/>
        <v>287.5</v>
      </c>
      <c r="P17" s="18">
        <f t="shared" si="7"/>
        <v>971.66666666666663</v>
      </c>
      <c r="Q17" s="18">
        <f t="shared" si="7"/>
        <v>1389.1666666666667</v>
      </c>
      <c r="R17" s="18">
        <f t="shared" si="7"/>
        <v>1343.5833333333333</v>
      </c>
      <c r="S17" s="18">
        <f t="shared" si="7"/>
        <v>1114.4166666666667</v>
      </c>
      <c r="T17" s="18">
        <f t="shared" si="7"/>
        <v>1459.1666666666667</v>
      </c>
      <c r="U17" s="18">
        <f t="shared" si="7"/>
        <v>1601.6666666666667</v>
      </c>
      <c r="V17" s="18">
        <f t="shared" si="8"/>
        <v>957.5</v>
      </c>
      <c r="W17" s="18">
        <f t="shared" si="8"/>
        <v>1866.2333333333333</v>
      </c>
      <c r="X17" s="18">
        <f t="shared" si="8"/>
        <v>2127.0833333333335</v>
      </c>
      <c r="Y17" s="18">
        <f t="shared" si="8"/>
        <v>1868</v>
      </c>
      <c r="Z17" s="18">
        <f>(+$F17)/60</f>
        <v>1777.9166666666667</v>
      </c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>
        <f t="shared" si="4"/>
        <v>17088.900000000001</v>
      </c>
      <c r="AX17" s="4"/>
      <c r="AY17" s="4"/>
    </row>
    <row r="18" spans="1:51" outlineLevel="1">
      <c r="A18" s="7" t="s">
        <v>50</v>
      </c>
      <c r="B18" s="7">
        <f t="shared" si="9"/>
        <v>2014</v>
      </c>
      <c r="C18" s="73" t="s">
        <v>47</v>
      </c>
      <c r="D18" s="464">
        <f>111700-6500</f>
        <v>105200</v>
      </c>
      <c r="E18" s="18"/>
      <c r="F18" s="18">
        <f t="shared" si="3"/>
        <v>105200</v>
      </c>
      <c r="G18" s="123">
        <f>SUM(F$5:F18)</f>
        <v>1130534</v>
      </c>
      <c r="H18" s="114"/>
      <c r="I18" s="468">
        <f>19128.23-108.34-325.02</f>
        <v>18694.87</v>
      </c>
      <c r="J18" s="18">
        <f>I18+J17</f>
        <v>113812.09</v>
      </c>
      <c r="K18" s="114"/>
      <c r="L18" s="18">
        <f t="shared" si="5"/>
        <v>1016721.91</v>
      </c>
      <c r="N18" s="18">
        <f t="shared" si="7"/>
        <v>325</v>
      </c>
      <c r="O18" s="18">
        <f t="shared" si="7"/>
        <v>287.5</v>
      </c>
      <c r="P18" s="18">
        <f t="shared" si="7"/>
        <v>971.66666666666663</v>
      </c>
      <c r="Q18" s="18">
        <f t="shared" si="7"/>
        <v>1389.1666666666667</v>
      </c>
      <c r="R18" s="18">
        <f t="shared" si="7"/>
        <v>1343.5833333333333</v>
      </c>
      <c r="S18" s="18">
        <f t="shared" si="7"/>
        <v>1114.4166666666667</v>
      </c>
      <c r="T18" s="18">
        <f t="shared" si="7"/>
        <v>1459.1666666666667</v>
      </c>
      <c r="U18" s="18">
        <f t="shared" si="7"/>
        <v>1601.6666666666667</v>
      </c>
      <c r="V18" s="18">
        <f t="shared" si="8"/>
        <v>957.5</v>
      </c>
      <c r="W18" s="18">
        <f t="shared" si="8"/>
        <v>1866.2333333333333</v>
      </c>
      <c r="X18" s="18">
        <f t="shared" si="8"/>
        <v>2127.0833333333335</v>
      </c>
      <c r="Y18" s="18">
        <f t="shared" si="8"/>
        <v>1868</v>
      </c>
      <c r="Z18" s="18">
        <f>+Z17</f>
        <v>1777.9166666666667</v>
      </c>
      <c r="AA18" s="18">
        <f>(+$F18)/60</f>
        <v>1753.3333333333333</v>
      </c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>
        <f t="shared" si="4"/>
        <v>18842.233333333334</v>
      </c>
      <c r="AX18" s="4"/>
      <c r="AY18" s="4"/>
    </row>
    <row r="19" spans="1:51" outlineLevel="1">
      <c r="A19" s="7" t="s">
        <v>51</v>
      </c>
      <c r="B19" s="7">
        <f t="shared" si="9"/>
        <v>2014</v>
      </c>
      <c r="C19" s="73" t="s">
        <v>47</v>
      </c>
      <c r="D19" s="464">
        <f>211075-6500-5975</f>
        <v>198600</v>
      </c>
      <c r="E19" s="18"/>
      <c r="F19" s="18">
        <f t="shared" si="3"/>
        <v>198600</v>
      </c>
      <c r="G19" s="123">
        <f>SUM(F$5:F19)</f>
        <v>1329134</v>
      </c>
      <c r="H19" s="114"/>
      <c r="I19" s="114">
        <v>16948.21</v>
      </c>
      <c r="J19" s="18">
        <f t="shared" ref="J19:J82" si="10">I19+J18</f>
        <v>130760.29999999999</v>
      </c>
      <c r="K19" s="114"/>
      <c r="L19" s="18">
        <f t="shared" si="5"/>
        <v>1198373.7</v>
      </c>
      <c r="N19" s="18">
        <f t="shared" si="7"/>
        <v>325</v>
      </c>
      <c r="O19" s="18">
        <f t="shared" si="7"/>
        <v>287.5</v>
      </c>
      <c r="P19" s="18">
        <f t="shared" si="7"/>
        <v>971.66666666666663</v>
      </c>
      <c r="Q19" s="18">
        <f t="shared" si="7"/>
        <v>1389.1666666666667</v>
      </c>
      <c r="R19" s="18">
        <f t="shared" si="7"/>
        <v>1343.5833333333333</v>
      </c>
      <c r="S19" s="18">
        <f t="shared" si="7"/>
        <v>1114.4166666666667</v>
      </c>
      <c r="T19" s="18">
        <f t="shared" si="7"/>
        <v>1459.1666666666667</v>
      </c>
      <c r="U19" s="18">
        <f t="shared" si="7"/>
        <v>1601.6666666666667</v>
      </c>
      <c r="V19" s="18">
        <f t="shared" si="8"/>
        <v>957.5</v>
      </c>
      <c r="W19" s="18">
        <f t="shared" si="8"/>
        <v>1866.2333333333333</v>
      </c>
      <c r="X19" s="18">
        <f t="shared" si="8"/>
        <v>2127.0833333333335</v>
      </c>
      <c r="Y19" s="18">
        <f t="shared" si="8"/>
        <v>1868</v>
      </c>
      <c r="Z19" s="18">
        <f t="shared" si="8"/>
        <v>1777.9166666666667</v>
      </c>
      <c r="AA19" s="18">
        <f t="shared" si="8"/>
        <v>1753.3333333333333</v>
      </c>
      <c r="AB19" s="18">
        <f>(+$F19)/60</f>
        <v>3310</v>
      </c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>
        <f t="shared" si="4"/>
        <v>22152.233333333334</v>
      </c>
      <c r="AX19" s="4"/>
      <c r="AY19" s="4"/>
    </row>
    <row r="20" spans="1:51" outlineLevel="1">
      <c r="A20" s="124" t="s">
        <v>52</v>
      </c>
      <c r="B20" s="124">
        <f t="shared" si="9"/>
        <v>2014</v>
      </c>
      <c r="C20" s="322" t="s">
        <v>47</v>
      </c>
      <c r="D20" s="465">
        <f>321571-6500</f>
        <v>315071</v>
      </c>
      <c r="E20" s="121"/>
      <c r="F20" s="121">
        <f t="shared" si="3"/>
        <v>315071</v>
      </c>
      <c r="G20" s="125">
        <f>SUM(F$5:F20)</f>
        <v>1644205</v>
      </c>
      <c r="H20" s="114"/>
      <c r="I20" s="469">
        <f>24977.22-325.02-199.18</f>
        <v>24453.02</v>
      </c>
      <c r="J20" s="121">
        <f t="shared" si="10"/>
        <v>155213.31999999998</v>
      </c>
      <c r="K20" s="116"/>
      <c r="L20" s="121">
        <f t="shared" si="5"/>
        <v>1488991.68</v>
      </c>
      <c r="N20" s="121">
        <f t="shared" si="7"/>
        <v>325</v>
      </c>
      <c r="O20" s="121">
        <f t="shared" si="7"/>
        <v>287.5</v>
      </c>
      <c r="P20" s="121">
        <f t="shared" si="7"/>
        <v>971.66666666666663</v>
      </c>
      <c r="Q20" s="121">
        <f t="shared" si="7"/>
        <v>1389.1666666666667</v>
      </c>
      <c r="R20" s="121">
        <f t="shared" si="7"/>
        <v>1343.5833333333333</v>
      </c>
      <c r="S20" s="121">
        <f t="shared" si="7"/>
        <v>1114.4166666666667</v>
      </c>
      <c r="T20" s="121">
        <f t="shared" si="7"/>
        <v>1459.1666666666667</v>
      </c>
      <c r="U20" s="121">
        <f t="shared" si="7"/>
        <v>1601.6666666666667</v>
      </c>
      <c r="V20" s="121">
        <f t="shared" si="8"/>
        <v>957.5</v>
      </c>
      <c r="W20" s="121">
        <f t="shared" si="8"/>
        <v>1866.2333333333333</v>
      </c>
      <c r="X20" s="121">
        <f t="shared" si="8"/>
        <v>2127.0833333333335</v>
      </c>
      <c r="Y20" s="121">
        <f t="shared" si="8"/>
        <v>1868</v>
      </c>
      <c r="Z20" s="121">
        <f t="shared" si="8"/>
        <v>1777.9166666666667</v>
      </c>
      <c r="AA20" s="121">
        <f t="shared" si="8"/>
        <v>1753.3333333333333</v>
      </c>
      <c r="AB20" s="121">
        <f t="shared" si="8"/>
        <v>3310</v>
      </c>
      <c r="AC20" s="121">
        <f>(+$F20)/60</f>
        <v>5251.1833333333334</v>
      </c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>
        <f t="shared" si="4"/>
        <v>27403.416666666668</v>
      </c>
      <c r="AX20" s="4"/>
      <c r="AY20" s="4"/>
    </row>
    <row r="21" spans="1:51" s="4" customFormat="1" outlineLevel="1">
      <c r="A21" s="29" t="s">
        <v>53</v>
      </c>
      <c r="B21" s="29">
        <f t="shared" si="9"/>
        <v>2015</v>
      </c>
      <c r="C21" s="33" t="s">
        <v>47</v>
      </c>
      <c r="D21" s="466">
        <f>261658.5-6500-6400-6200-6500</f>
        <v>236058.5</v>
      </c>
      <c r="E21" s="20"/>
      <c r="F21" s="20">
        <f t="shared" si="3"/>
        <v>236058.5</v>
      </c>
      <c r="G21" s="215">
        <f>SUM(F$5:F21)</f>
        <v>1880263.5</v>
      </c>
      <c r="H21" s="114"/>
      <c r="I21" s="468">
        <f>29676.98-106.67-433.36-206.68</f>
        <v>28930.27</v>
      </c>
      <c r="J21" s="20">
        <f t="shared" si="10"/>
        <v>184143.58999999997</v>
      </c>
      <c r="K21" s="114"/>
      <c r="L21" s="20">
        <f t="shared" si="5"/>
        <v>1696119.9100000001</v>
      </c>
      <c r="N21" s="20">
        <f t="shared" si="7"/>
        <v>325</v>
      </c>
      <c r="O21" s="20">
        <f t="shared" si="7"/>
        <v>287.5</v>
      </c>
      <c r="P21" s="20">
        <f t="shared" si="7"/>
        <v>971.66666666666663</v>
      </c>
      <c r="Q21" s="20">
        <f t="shared" si="7"/>
        <v>1389.1666666666667</v>
      </c>
      <c r="R21" s="20">
        <f t="shared" si="7"/>
        <v>1343.5833333333333</v>
      </c>
      <c r="S21" s="20">
        <f t="shared" si="7"/>
        <v>1114.4166666666667</v>
      </c>
      <c r="T21" s="20">
        <f t="shared" si="7"/>
        <v>1459.1666666666667</v>
      </c>
      <c r="U21" s="20">
        <f t="shared" si="7"/>
        <v>1601.6666666666667</v>
      </c>
      <c r="V21" s="20">
        <f t="shared" si="8"/>
        <v>957.5</v>
      </c>
      <c r="W21" s="20">
        <f t="shared" si="8"/>
        <v>1866.2333333333333</v>
      </c>
      <c r="X21" s="20">
        <f t="shared" si="8"/>
        <v>2127.0833333333335</v>
      </c>
      <c r="Y21" s="20">
        <f t="shared" si="8"/>
        <v>1868</v>
      </c>
      <c r="Z21" s="20">
        <f t="shared" si="8"/>
        <v>1777.9166666666667</v>
      </c>
      <c r="AA21" s="20">
        <f t="shared" si="8"/>
        <v>1753.3333333333333</v>
      </c>
      <c r="AB21" s="20">
        <f t="shared" si="8"/>
        <v>3310</v>
      </c>
      <c r="AC21" s="20">
        <f t="shared" si="8"/>
        <v>5251.1833333333334</v>
      </c>
      <c r="AD21" s="20">
        <f>(+$F21)/60</f>
        <v>3934.3083333333334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>
        <f t="shared" si="4"/>
        <v>31337.725000000002</v>
      </c>
    </row>
    <row r="22" spans="1:51" outlineLevel="1">
      <c r="A22" s="7" t="s">
        <v>54</v>
      </c>
      <c r="B22" s="7">
        <f t="shared" si="9"/>
        <v>2015</v>
      </c>
      <c r="C22" s="7" t="s">
        <v>47</v>
      </c>
      <c r="D22" s="464">
        <f>173552-6100</f>
        <v>167452</v>
      </c>
      <c r="E22" s="18"/>
      <c r="F22" s="18">
        <f t="shared" si="3"/>
        <v>167452</v>
      </c>
      <c r="G22" s="123">
        <f>SUM(F$5:F22)</f>
        <v>2047715.5</v>
      </c>
      <c r="H22" s="114"/>
      <c r="I22" s="468">
        <f>35310.65-433.36</f>
        <v>34877.29</v>
      </c>
      <c r="J22" s="18">
        <f>I22+J21</f>
        <v>219020.87999999998</v>
      </c>
      <c r="K22" s="114"/>
      <c r="L22" s="18">
        <f t="shared" si="5"/>
        <v>1828694.62</v>
      </c>
      <c r="N22" s="18">
        <f t="shared" si="7"/>
        <v>325</v>
      </c>
      <c r="O22" s="18">
        <f t="shared" si="7"/>
        <v>287.5</v>
      </c>
      <c r="P22" s="18">
        <f t="shared" si="7"/>
        <v>971.66666666666663</v>
      </c>
      <c r="Q22" s="18">
        <f t="shared" si="7"/>
        <v>1389.1666666666667</v>
      </c>
      <c r="R22" s="18">
        <f t="shared" si="7"/>
        <v>1343.5833333333333</v>
      </c>
      <c r="S22" s="18">
        <f t="shared" si="7"/>
        <v>1114.4166666666667</v>
      </c>
      <c r="T22" s="18">
        <f t="shared" si="7"/>
        <v>1459.1666666666667</v>
      </c>
      <c r="U22" s="18">
        <f t="shared" si="7"/>
        <v>1601.6666666666667</v>
      </c>
      <c r="V22" s="18">
        <f t="shared" si="8"/>
        <v>957.5</v>
      </c>
      <c r="W22" s="18">
        <f t="shared" si="8"/>
        <v>1866.2333333333333</v>
      </c>
      <c r="X22" s="18">
        <f t="shared" si="8"/>
        <v>2127.0833333333335</v>
      </c>
      <c r="Y22" s="18">
        <f t="shared" si="8"/>
        <v>1868</v>
      </c>
      <c r="Z22" s="18">
        <f t="shared" si="8"/>
        <v>1777.9166666666667</v>
      </c>
      <c r="AA22" s="18">
        <f t="shared" si="8"/>
        <v>1753.3333333333333</v>
      </c>
      <c r="AB22" s="18">
        <f t="shared" si="8"/>
        <v>3310</v>
      </c>
      <c r="AC22" s="18">
        <f t="shared" si="8"/>
        <v>5251.1833333333334</v>
      </c>
      <c r="AD22" s="18">
        <f>+AD21</f>
        <v>3934.3083333333334</v>
      </c>
      <c r="AE22" s="18">
        <f>(+$F22)/60</f>
        <v>2790.8666666666668</v>
      </c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>
        <f t="shared" si="4"/>
        <v>34128.591666666667</v>
      </c>
      <c r="AX22" s="4"/>
      <c r="AY22" s="4"/>
    </row>
    <row r="23" spans="1:51" outlineLevel="1">
      <c r="A23" s="7" t="s">
        <v>55</v>
      </c>
      <c r="B23" s="7">
        <f t="shared" si="9"/>
        <v>2015</v>
      </c>
      <c r="C23" s="7" t="s">
        <v>47</v>
      </c>
      <c r="D23" s="464">
        <f>243415-4945-2500-6500</f>
        <v>229470</v>
      </c>
      <c r="E23" s="18"/>
      <c r="F23" s="18">
        <f>SUM(D23:D23)</f>
        <v>229470</v>
      </c>
      <c r="G23" s="123">
        <f>SUM(F$5:F23)</f>
        <v>2277185.5</v>
      </c>
      <c r="H23" s="114"/>
      <c r="I23" s="468">
        <f>42288.83-101.67</f>
        <v>42187.16</v>
      </c>
      <c r="J23" s="18">
        <f>I23+J22</f>
        <v>261208.03999999998</v>
      </c>
      <c r="K23" s="114"/>
      <c r="L23" s="18">
        <f t="shared" si="5"/>
        <v>2015977.46</v>
      </c>
      <c r="N23" s="18">
        <f t="shared" si="7"/>
        <v>325</v>
      </c>
      <c r="O23" s="18">
        <f t="shared" si="7"/>
        <v>287.5</v>
      </c>
      <c r="P23" s="18">
        <f t="shared" si="7"/>
        <v>971.66666666666663</v>
      </c>
      <c r="Q23" s="18">
        <f t="shared" si="7"/>
        <v>1389.1666666666667</v>
      </c>
      <c r="R23" s="18">
        <f t="shared" si="7"/>
        <v>1343.5833333333333</v>
      </c>
      <c r="S23" s="18">
        <f t="shared" si="7"/>
        <v>1114.4166666666667</v>
      </c>
      <c r="T23" s="18">
        <f t="shared" si="7"/>
        <v>1459.1666666666667</v>
      </c>
      <c r="U23" s="18">
        <f t="shared" si="7"/>
        <v>1601.6666666666667</v>
      </c>
      <c r="V23" s="18">
        <f t="shared" si="8"/>
        <v>957.5</v>
      </c>
      <c r="W23" s="18">
        <f t="shared" si="8"/>
        <v>1866.2333333333333</v>
      </c>
      <c r="X23" s="18">
        <f t="shared" si="8"/>
        <v>2127.0833333333335</v>
      </c>
      <c r="Y23" s="18">
        <f t="shared" si="8"/>
        <v>1868</v>
      </c>
      <c r="Z23" s="18">
        <f t="shared" si="8"/>
        <v>1777.9166666666667</v>
      </c>
      <c r="AA23" s="18">
        <f t="shared" si="8"/>
        <v>1753.3333333333333</v>
      </c>
      <c r="AB23" s="18">
        <f t="shared" si="8"/>
        <v>3310</v>
      </c>
      <c r="AC23" s="18">
        <f t="shared" si="8"/>
        <v>5251.1833333333334</v>
      </c>
      <c r="AD23" s="18">
        <f>+AD22</f>
        <v>3934.3083333333334</v>
      </c>
      <c r="AE23" s="18">
        <f>+AE22</f>
        <v>2790.8666666666668</v>
      </c>
      <c r="AF23" s="18">
        <f>(+$F23)/60</f>
        <v>3824.5</v>
      </c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>
        <f t="shared" si="4"/>
        <v>37953.091666666667</v>
      </c>
      <c r="AX23" s="4"/>
      <c r="AY23" s="4"/>
    </row>
    <row r="24" spans="1:51" outlineLevel="1">
      <c r="A24" s="7" t="s">
        <v>56</v>
      </c>
      <c r="B24" s="7">
        <f t="shared" si="9"/>
        <v>2015</v>
      </c>
      <c r="C24" s="7" t="s">
        <v>47</v>
      </c>
      <c r="D24" s="464">
        <f>150347-6500-6500-4300</f>
        <v>133047</v>
      </c>
      <c r="E24" s="18"/>
      <c r="F24" s="18">
        <f>SUM(D24:D24)</f>
        <v>133047</v>
      </c>
      <c r="G24" s="123">
        <f>SUM(F$5:F24)</f>
        <v>2410232.5</v>
      </c>
      <c r="H24" s="114"/>
      <c r="I24" s="468">
        <f>44011.35-108.34-216.68-143.34-1191.74</f>
        <v>42351.250000000007</v>
      </c>
      <c r="J24" s="18">
        <f t="shared" si="10"/>
        <v>303559.28999999998</v>
      </c>
      <c r="K24" s="114"/>
      <c r="L24" s="18">
        <f t="shared" si="5"/>
        <v>2106673.21</v>
      </c>
      <c r="N24" s="18">
        <f t="shared" si="7"/>
        <v>325</v>
      </c>
      <c r="O24" s="18">
        <f t="shared" si="7"/>
        <v>287.5</v>
      </c>
      <c r="P24" s="18">
        <f t="shared" si="7"/>
        <v>971.66666666666663</v>
      </c>
      <c r="Q24" s="18">
        <f t="shared" si="7"/>
        <v>1389.1666666666667</v>
      </c>
      <c r="R24" s="18">
        <f t="shared" si="7"/>
        <v>1343.5833333333333</v>
      </c>
      <c r="S24" s="18">
        <f t="shared" si="7"/>
        <v>1114.4166666666667</v>
      </c>
      <c r="T24" s="18">
        <f t="shared" si="7"/>
        <v>1459.1666666666667</v>
      </c>
      <c r="U24" s="18">
        <f t="shared" si="7"/>
        <v>1601.6666666666667</v>
      </c>
      <c r="V24" s="18">
        <f t="shared" si="8"/>
        <v>957.5</v>
      </c>
      <c r="W24" s="18">
        <f t="shared" si="8"/>
        <v>1866.2333333333333</v>
      </c>
      <c r="X24" s="18">
        <f t="shared" si="8"/>
        <v>2127.0833333333335</v>
      </c>
      <c r="Y24" s="18">
        <f t="shared" si="8"/>
        <v>1868</v>
      </c>
      <c r="Z24" s="18">
        <f t="shared" si="8"/>
        <v>1777.9166666666667</v>
      </c>
      <c r="AA24" s="18">
        <f t="shared" si="8"/>
        <v>1753.3333333333333</v>
      </c>
      <c r="AB24" s="18">
        <f t="shared" si="8"/>
        <v>3310</v>
      </c>
      <c r="AC24" s="18">
        <f t="shared" si="8"/>
        <v>5251.1833333333334</v>
      </c>
      <c r="AD24" s="18">
        <f t="shared" si="8"/>
        <v>3934.3083333333334</v>
      </c>
      <c r="AE24" s="18">
        <f t="shared" si="8"/>
        <v>2790.8666666666668</v>
      </c>
      <c r="AF24" s="18">
        <f t="shared" si="8"/>
        <v>3824.5</v>
      </c>
      <c r="AG24" s="18">
        <f>(+$F24)/60</f>
        <v>2217.4499999999998</v>
      </c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>
        <f t="shared" si="4"/>
        <v>40170.541666666664</v>
      </c>
      <c r="AX24" s="4"/>
      <c r="AY24" s="4"/>
    </row>
    <row r="25" spans="1:51" outlineLevel="1">
      <c r="A25" s="7" t="s">
        <v>57</v>
      </c>
      <c r="B25" s="7">
        <f t="shared" si="9"/>
        <v>2015</v>
      </c>
      <c r="C25" s="7" t="s">
        <v>47</v>
      </c>
      <c r="D25" s="464">
        <f>118750-6500-6500</f>
        <v>105750</v>
      </c>
      <c r="E25" s="18"/>
      <c r="F25" s="18">
        <f>SUM(D25:D25)</f>
        <v>105750</v>
      </c>
      <c r="G25" s="123">
        <f>SUM(F$5:F25)</f>
        <v>2515982.5</v>
      </c>
      <c r="H25" s="114"/>
      <c r="I25" s="468">
        <f>39659.74-108.34</f>
        <v>39551.4</v>
      </c>
      <c r="J25" s="18">
        <f t="shared" si="10"/>
        <v>343110.69</v>
      </c>
      <c r="K25" s="114"/>
      <c r="L25" s="18">
        <f t="shared" si="5"/>
        <v>2172871.81</v>
      </c>
      <c r="N25" s="18">
        <f t="shared" si="7"/>
        <v>325</v>
      </c>
      <c r="O25" s="18">
        <f t="shared" si="7"/>
        <v>287.5</v>
      </c>
      <c r="P25" s="18">
        <f t="shared" si="7"/>
        <v>971.66666666666663</v>
      </c>
      <c r="Q25" s="18">
        <f t="shared" si="7"/>
        <v>1389.1666666666667</v>
      </c>
      <c r="R25" s="18">
        <f t="shared" si="7"/>
        <v>1343.5833333333333</v>
      </c>
      <c r="S25" s="18">
        <f t="shared" si="7"/>
        <v>1114.4166666666667</v>
      </c>
      <c r="T25" s="18">
        <f t="shared" si="7"/>
        <v>1459.1666666666667</v>
      </c>
      <c r="U25" s="18">
        <f t="shared" si="7"/>
        <v>1601.6666666666667</v>
      </c>
      <c r="V25" s="18">
        <f t="shared" si="8"/>
        <v>957.5</v>
      </c>
      <c r="W25" s="18">
        <f t="shared" si="8"/>
        <v>1866.2333333333333</v>
      </c>
      <c r="X25" s="18">
        <f t="shared" si="8"/>
        <v>2127.0833333333335</v>
      </c>
      <c r="Y25" s="18">
        <f t="shared" si="8"/>
        <v>1868</v>
      </c>
      <c r="Z25" s="18">
        <f t="shared" si="8"/>
        <v>1777.9166666666667</v>
      </c>
      <c r="AA25" s="18">
        <f t="shared" si="8"/>
        <v>1753.3333333333333</v>
      </c>
      <c r="AB25" s="18">
        <f t="shared" si="8"/>
        <v>3310</v>
      </c>
      <c r="AC25" s="18">
        <f t="shared" si="8"/>
        <v>5251.1833333333334</v>
      </c>
      <c r="AD25" s="18">
        <f t="shared" si="8"/>
        <v>3934.3083333333334</v>
      </c>
      <c r="AE25" s="18">
        <f t="shared" si="8"/>
        <v>2790.8666666666668</v>
      </c>
      <c r="AF25" s="18">
        <f t="shared" si="8"/>
        <v>3824.5</v>
      </c>
      <c r="AG25" s="18">
        <f t="shared" si="8"/>
        <v>2217.4499999999998</v>
      </c>
      <c r="AH25" s="18">
        <f>(+$F25)/60</f>
        <v>1762.5</v>
      </c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>
        <f t="shared" si="4"/>
        <v>41933.041666666664</v>
      </c>
      <c r="AX25" s="4"/>
      <c r="AY25" s="4"/>
    </row>
    <row r="26" spans="1:51" outlineLevel="1">
      <c r="A26" s="7" t="s">
        <v>58</v>
      </c>
      <c r="B26" s="7">
        <f t="shared" si="9"/>
        <v>2015</v>
      </c>
      <c r="C26" s="7" t="s">
        <v>47</v>
      </c>
      <c r="D26" s="18">
        <v>195745</v>
      </c>
      <c r="E26" s="18"/>
      <c r="F26" s="18">
        <f>SUM(D26:D26)</f>
        <v>195745</v>
      </c>
      <c r="G26" s="123">
        <f>SUM(F$5:F26)</f>
        <v>2711727.5</v>
      </c>
      <c r="H26" s="114"/>
      <c r="I26" s="468">
        <f>45206.68-758.38</f>
        <v>44448.3</v>
      </c>
      <c r="J26" s="18">
        <f t="shared" si="10"/>
        <v>387558.99</v>
      </c>
      <c r="K26" s="114"/>
      <c r="L26" s="18">
        <f t="shared" si="5"/>
        <v>2324168.5099999998</v>
      </c>
      <c r="N26" s="18">
        <f t="shared" si="7"/>
        <v>325</v>
      </c>
      <c r="O26" s="18">
        <f t="shared" si="7"/>
        <v>287.5</v>
      </c>
      <c r="P26" s="18">
        <f t="shared" si="7"/>
        <v>971.66666666666663</v>
      </c>
      <c r="Q26" s="18">
        <f t="shared" si="7"/>
        <v>1389.1666666666667</v>
      </c>
      <c r="R26" s="18">
        <f t="shared" si="7"/>
        <v>1343.5833333333333</v>
      </c>
      <c r="S26" s="18">
        <f t="shared" si="7"/>
        <v>1114.4166666666667</v>
      </c>
      <c r="T26" s="18">
        <f t="shared" si="7"/>
        <v>1459.1666666666667</v>
      </c>
      <c r="U26" s="18">
        <f t="shared" si="7"/>
        <v>1601.6666666666667</v>
      </c>
      <c r="V26" s="18">
        <f t="shared" si="8"/>
        <v>957.5</v>
      </c>
      <c r="W26" s="18">
        <f t="shared" si="8"/>
        <v>1866.2333333333333</v>
      </c>
      <c r="X26" s="18">
        <f t="shared" si="8"/>
        <v>2127.0833333333335</v>
      </c>
      <c r="Y26" s="18">
        <f t="shared" si="8"/>
        <v>1868</v>
      </c>
      <c r="Z26" s="18">
        <f t="shared" si="8"/>
        <v>1777.9166666666667</v>
      </c>
      <c r="AA26" s="18">
        <f t="shared" si="8"/>
        <v>1753.3333333333333</v>
      </c>
      <c r="AB26" s="18">
        <f t="shared" si="8"/>
        <v>3310</v>
      </c>
      <c r="AC26" s="18">
        <f t="shared" si="8"/>
        <v>5251.1833333333334</v>
      </c>
      <c r="AD26" s="18">
        <f t="shared" si="8"/>
        <v>3934.3083333333334</v>
      </c>
      <c r="AE26" s="18">
        <f t="shared" si="8"/>
        <v>2790.8666666666668</v>
      </c>
      <c r="AF26" s="18">
        <f t="shared" si="8"/>
        <v>3824.5</v>
      </c>
      <c r="AG26" s="18">
        <f t="shared" si="8"/>
        <v>2217.4499999999998</v>
      </c>
      <c r="AH26" s="18">
        <f t="shared" si="8"/>
        <v>1762.5</v>
      </c>
      <c r="AI26" s="18">
        <f>(+$F26)/60</f>
        <v>3262.4166666666665</v>
      </c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>
        <f t="shared" si="4"/>
        <v>45195.458333333328</v>
      </c>
      <c r="AX26" s="4"/>
      <c r="AY26" s="4"/>
    </row>
    <row r="27" spans="1:51" outlineLevel="1">
      <c r="A27" s="7" t="s">
        <v>59</v>
      </c>
      <c r="B27" s="7">
        <f t="shared" si="9"/>
        <v>2015</v>
      </c>
      <c r="C27" s="7" t="s">
        <v>47</v>
      </c>
      <c r="D27" s="467">
        <f>182518-6500-6500-4800</f>
        <v>164718</v>
      </c>
      <c r="E27" s="18"/>
      <c r="F27" s="18">
        <f t="shared" ref="F27:F32" si="11">SUM(D27:D27)</f>
        <v>164718</v>
      </c>
      <c r="G27" s="123">
        <f>SUM(F$5:F27)</f>
        <v>2876445.5</v>
      </c>
      <c r="H27" s="114"/>
      <c r="I27" s="468">
        <f>47147.93-216.68-320</f>
        <v>46611.25</v>
      </c>
      <c r="J27" s="20">
        <f t="shared" si="10"/>
        <v>434170.24</v>
      </c>
      <c r="K27" s="114"/>
      <c r="L27" s="18">
        <f t="shared" si="5"/>
        <v>2442275.2599999998</v>
      </c>
      <c r="N27" s="18">
        <f t="shared" si="7"/>
        <v>325</v>
      </c>
      <c r="O27" s="18">
        <f t="shared" si="7"/>
        <v>287.5</v>
      </c>
      <c r="P27" s="18">
        <f t="shared" si="7"/>
        <v>971.66666666666663</v>
      </c>
      <c r="Q27" s="18">
        <f t="shared" si="7"/>
        <v>1389.1666666666667</v>
      </c>
      <c r="R27" s="18">
        <f t="shared" si="7"/>
        <v>1343.5833333333333</v>
      </c>
      <c r="S27" s="18">
        <f t="shared" si="7"/>
        <v>1114.4166666666667</v>
      </c>
      <c r="T27" s="18">
        <f t="shared" si="7"/>
        <v>1459.1666666666667</v>
      </c>
      <c r="U27" s="18">
        <f t="shared" si="7"/>
        <v>1601.6666666666667</v>
      </c>
      <c r="V27" s="18">
        <f t="shared" si="8"/>
        <v>957.5</v>
      </c>
      <c r="W27" s="18">
        <f t="shared" si="8"/>
        <v>1866.2333333333333</v>
      </c>
      <c r="X27" s="18">
        <f t="shared" si="8"/>
        <v>2127.0833333333335</v>
      </c>
      <c r="Y27" s="18">
        <f t="shared" si="8"/>
        <v>1868</v>
      </c>
      <c r="Z27" s="18">
        <f t="shared" si="8"/>
        <v>1777.9166666666667</v>
      </c>
      <c r="AA27" s="18">
        <f t="shared" si="8"/>
        <v>1753.3333333333333</v>
      </c>
      <c r="AB27" s="18">
        <f t="shared" si="8"/>
        <v>3310</v>
      </c>
      <c r="AC27" s="18">
        <f t="shared" si="8"/>
        <v>5251.1833333333334</v>
      </c>
      <c r="AD27" s="18">
        <f t="shared" si="8"/>
        <v>3934.3083333333334</v>
      </c>
      <c r="AE27" s="18">
        <f t="shared" si="8"/>
        <v>2790.8666666666668</v>
      </c>
      <c r="AF27" s="18">
        <f t="shared" si="8"/>
        <v>3824.5</v>
      </c>
      <c r="AG27" s="18">
        <f t="shared" si="8"/>
        <v>2217.4499999999998</v>
      </c>
      <c r="AH27" s="18">
        <f t="shared" si="8"/>
        <v>1762.5</v>
      </c>
      <c r="AI27" s="18">
        <f>+AI26</f>
        <v>3262.4166666666665</v>
      </c>
      <c r="AJ27" s="18">
        <f>(+$F27)/60</f>
        <v>2745.3</v>
      </c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>
        <f t="shared" si="4"/>
        <v>47940.758333333331</v>
      </c>
      <c r="AX27" s="4"/>
      <c r="AY27" s="4"/>
    </row>
    <row r="28" spans="1:51" outlineLevel="1">
      <c r="A28" s="7" t="s">
        <v>46</v>
      </c>
      <c r="B28" s="7">
        <f t="shared" si="9"/>
        <v>2015</v>
      </c>
      <c r="C28" s="7" t="s">
        <v>47</v>
      </c>
      <c r="D28" s="467">
        <f>263552-6500</f>
        <v>257052</v>
      </c>
      <c r="E28" s="18"/>
      <c r="F28" s="18">
        <f t="shared" si="11"/>
        <v>257052</v>
      </c>
      <c r="G28" s="123">
        <f>SUM(F$5:F28)</f>
        <v>3133497.5</v>
      </c>
      <c r="H28" s="114"/>
      <c r="I28" s="468">
        <f>62856.74-108.34</f>
        <v>62748.4</v>
      </c>
      <c r="J28" s="20">
        <f t="shared" si="10"/>
        <v>496918.64</v>
      </c>
      <c r="K28" s="114"/>
      <c r="L28" s="18">
        <f t="shared" si="5"/>
        <v>2636578.86</v>
      </c>
      <c r="N28" s="18">
        <f t="shared" si="7"/>
        <v>325</v>
      </c>
      <c r="O28" s="18">
        <f t="shared" si="7"/>
        <v>287.5</v>
      </c>
      <c r="P28" s="18">
        <f t="shared" si="7"/>
        <v>971.66666666666663</v>
      </c>
      <c r="Q28" s="18">
        <f t="shared" si="7"/>
        <v>1389.1666666666667</v>
      </c>
      <c r="R28" s="18">
        <f t="shared" si="7"/>
        <v>1343.5833333333333</v>
      </c>
      <c r="S28" s="18">
        <f t="shared" si="7"/>
        <v>1114.4166666666667</v>
      </c>
      <c r="T28" s="18">
        <f t="shared" si="7"/>
        <v>1459.1666666666667</v>
      </c>
      <c r="U28" s="18">
        <f t="shared" si="7"/>
        <v>1601.6666666666667</v>
      </c>
      <c r="V28" s="18">
        <f t="shared" si="8"/>
        <v>957.5</v>
      </c>
      <c r="W28" s="18">
        <f t="shared" si="8"/>
        <v>1866.2333333333333</v>
      </c>
      <c r="X28" s="18">
        <f t="shared" si="8"/>
        <v>2127.0833333333335</v>
      </c>
      <c r="Y28" s="18">
        <f t="shared" si="8"/>
        <v>1868</v>
      </c>
      <c r="Z28" s="18">
        <f t="shared" si="8"/>
        <v>1777.9166666666667</v>
      </c>
      <c r="AA28" s="18">
        <f t="shared" si="8"/>
        <v>1753.3333333333333</v>
      </c>
      <c r="AB28" s="18">
        <f t="shared" si="8"/>
        <v>3310</v>
      </c>
      <c r="AC28" s="18">
        <f t="shared" si="8"/>
        <v>5251.1833333333334</v>
      </c>
      <c r="AD28" s="18">
        <f t="shared" si="8"/>
        <v>3934.3083333333334</v>
      </c>
      <c r="AE28" s="18">
        <f t="shared" si="8"/>
        <v>2790.8666666666668</v>
      </c>
      <c r="AF28" s="18">
        <f t="shared" si="8"/>
        <v>3824.5</v>
      </c>
      <c r="AG28" s="18">
        <f t="shared" si="8"/>
        <v>2217.4499999999998</v>
      </c>
      <c r="AH28" s="18">
        <f t="shared" si="8"/>
        <v>1762.5</v>
      </c>
      <c r="AI28" s="18">
        <f>+AI27</f>
        <v>3262.4166666666665</v>
      </c>
      <c r="AJ28" s="18">
        <f>+AJ27</f>
        <v>2745.3</v>
      </c>
      <c r="AK28" s="18">
        <f>(+$F28)/60</f>
        <v>4284.2</v>
      </c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>
        <f t="shared" si="4"/>
        <v>52224.958333333328</v>
      </c>
      <c r="AX28" s="4"/>
      <c r="AY28" s="4"/>
    </row>
    <row r="29" spans="1:51" outlineLevel="1">
      <c r="A29" s="7" t="s">
        <v>48</v>
      </c>
      <c r="B29" s="7">
        <f t="shared" si="9"/>
        <v>2015</v>
      </c>
      <c r="C29" s="7" t="s">
        <v>47</v>
      </c>
      <c r="D29" s="221">
        <v>83875</v>
      </c>
      <c r="E29" s="18"/>
      <c r="F29" s="18">
        <f t="shared" si="11"/>
        <v>83875</v>
      </c>
      <c r="G29" s="123">
        <f>SUM(F$5:F29)</f>
        <v>3217372.5</v>
      </c>
      <c r="H29" s="114"/>
      <c r="I29" s="114">
        <v>52567.63</v>
      </c>
      <c r="J29" s="20">
        <f t="shared" si="10"/>
        <v>549486.27</v>
      </c>
      <c r="K29" s="114"/>
      <c r="L29" s="18">
        <f t="shared" si="5"/>
        <v>2667886.23</v>
      </c>
      <c r="N29" s="18">
        <f t="shared" si="7"/>
        <v>325</v>
      </c>
      <c r="O29" s="18">
        <f t="shared" si="7"/>
        <v>287.5</v>
      </c>
      <c r="P29" s="18">
        <f t="shared" si="7"/>
        <v>971.66666666666663</v>
      </c>
      <c r="Q29" s="18">
        <f t="shared" si="7"/>
        <v>1389.1666666666667</v>
      </c>
      <c r="R29" s="18">
        <f t="shared" si="7"/>
        <v>1343.5833333333333</v>
      </c>
      <c r="S29" s="18">
        <f t="shared" si="7"/>
        <v>1114.4166666666667</v>
      </c>
      <c r="T29" s="18">
        <f t="shared" si="7"/>
        <v>1459.1666666666667</v>
      </c>
      <c r="U29" s="18">
        <f t="shared" si="7"/>
        <v>1601.6666666666667</v>
      </c>
      <c r="V29" s="18">
        <f t="shared" si="8"/>
        <v>957.5</v>
      </c>
      <c r="W29" s="18">
        <f t="shared" si="8"/>
        <v>1866.2333333333333</v>
      </c>
      <c r="X29" s="18">
        <f t="shared" si="8"/>
        <v>2127.0833333333335</v>
      </c>
      <c r="Y29" s="18">
        <f t="shared" si="8"/>
        <v>1868</v>
      </c>
      <c r="Z29" s="18">
        <f t="shared" si="8"/>
        <v>1777.9166666666667</v>
      </c>
      <c r="AA29" s="18">
        <f t="shared" si="8"/>
        <v>1753.3333333333333</v>
      </c>
      <c r="AB29" s="18">
        <f t="shared" si="8"/>
        <v>3310</v>
      </c>
      <c r="AC29" s="18">
        <f t="shared" si="8"/>
        <v>5251.1833333333334</v>
      </c>
      <c r="AD29" s="18">
        <f t="shared" si="8"/>
        <v>3934.3083333333334</v>
      </c>
      <c r="AE29" s="18">
        <f t="shared" si="8"/>
        <v>2790.8666666666668</v>
      </c>
      <c r="AF29" s="18">
        <f>+AF28</f>
        <v>3824.5</v>
      </c>
      <c r="AG29" s="18">
        <f>+AG28</f>
        <v>2217.4499999999998</v>
      </c>
      <c r="AH29" s="18">
        <f>+AH28</f>
        <v>1762.5</v>
      </c>
      <c r="AI29" s="18">
        <f>+AI28</f>
        <v>3262.4166666666665</v>
      </c>
      <c r="AJ29" s="18">
        <f>+AJ28</f>
        <v>2745.3</v>
      </c>
      <c r="AK29" s="18">
        <f>+AK28</f>
        <v>4284.2</v>
      </c>
      <c r="AL29" s="18">
        <f>(+$F29)/60</f>
        <v>1397.9166666666667</v>
      </c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>
        <f t="shared" si="4"/>
        <v>53622.874999999993</v>
      </c>
      <c r="AX29" s="4"/>
      <c r="AY29" s="4"/>
    </row>
    <row r="30" spans="1:51" outlineLevel="1">
      <c r="A30" s="7" t="s">
        <v>50</v>
      </c>
      <c r="B30" s="7">
        <f t="shared" si="9"/>
        <v>2015</v>
      </c>
      <c r="C30" s="7" t="s">
        <v>47</v>
      </c>
      <c r="D30" s="467">
        <f>51750-6500-6500</f>
        <v>38750</v>
      </c>
      <c r="E30" s="18"/>
      <c r="F30" s="18">
        <f t="shared" si="11"/>
        <v>38750</v>
      </c>
      <c r="G30" s="123">
        <f>SUM(F$5:F30)</f>
        <v>3256122.5</v>
      </c>
      <c r="H30" s="114"/>
      <c r="I30" s="470">
        <f>59778.02-216.68</f>
        <v>59561.34</v>
      </c>
      <c r="J30" s="20">
        <f t="shared" si="10"/>
        <v>609047.61</v>
      </c>
      <c r="K30" s="114"/>
      <c r="L30" s="18">
        <f t="shared" si="5"/>
        <v>2647074.89</v>
      </c>
      <c r="N30" s="18">
        <f t="shared" si="7"/>
        <v>325</v>
      </c>
      <c r="O30" s="18">
        <f t="shared" si="7"/>
        <v>287.5</v>
      </c>
      <c r="P30" s="18">
        <f t="shared" si="7"/>
        <v>971.66666666666663</v>
      </c>
      <c r="Q30" s="18">
        <f t="shared" si="7"/>
        <v>1389.1666666666667</v>
      </c>
      <c r="R30" s="18">
        <f t="shared" si="7"/>
        <v>1343.5833333333333</v>
      </c>
      <c r="S30" s="18">
        <f t="shared" si="7"/>
        <v>1114.4166666666667</v>
      </c>
      <c r="T30" s="18">
        <f t="shared" si="7"/>
        <v>1459.1666666666667</v>
      </c>
      <c r="U30" s="18">
        <f t="shared" si="7"/>
        <v>1601.6666666666667</v>
      </c>
      <c r="V30" s="18">
        <f t="shared" si="8"/>
        <v>957.5</v>
      </c>
      <c r="W30" s="18">
        <f t="shared" si="8"/>
        <v>1866.2333333333333</v>
      </c>
      <c r="X30" s="18">
        <f t="shared" si="8"/>
        <v>2127.0833333333335</v>
      </c>
      <c r="Y30" s="18">
        <f t="shared" si="8"/>
        <v>1868</v>
      </c>
      <c r="Z30" s="18">
        <f t="shared" si="8"/>
        <v>1777.9166666666667</v>
      </c>
      <c r="AA30" s="18">
        <f t="shared" si="8"/>
        <v>1753.3333333333333</v>
      </c>
      <c r="AB30" s="18">
        <f t="shared" si="8"/>
        <v>3310</v>
      </c>
      <c r="AC30" s="18">
        <f t="shared" si="8"/>
        <v>5251.1833333333334</v>
      </c>
      <c r="AD30" s="18">
        <f t="shared" si="8"/>
        <v>3934.3083333333334</v>
      </c>
      <c r="AE30" s="18">
        <f t="shared" si="8"/>
        <v>2790.8666666666668</v>
      </c>
      <c r="AF30" s="18">
        <f t="shared" si="8"/>
        <v>3824.5</v>
      </c>
      <c r="AG30" s="18">
        <f t="shared" si="8"/>
        <v>2217.4499999999998</v>
      </c>
      <c r="AH30" s="18">
        <f t="shared" si="8"/>
        <v>1762.5</v>
      </c>
      <c r="AI30" s="18">
        <f>+AI29</f>
        <v>3262.4166666666665</v>
      </c>
      <c r="AJ30" s="18">
        <f>+AJ29</f>
        <v>2745.3</v>
      </c>
      <c r="AK30" s="18">
        <f>+AK29</f>
        <v>4284.2</v>
      </c>
      <c r="AL30" s="18">
        <f>AL29</f>
        <v>1397.9166666666667</v>
      </c>
      <c r="AM30" s="18">
        <f>(+$F30)/60</f>
        <v>645.83333333333337</v>
      </c>
      <c r="AN30" s="18"/>
      <c r="AO30" s="18"/>
      <c r="AP30" s="18"/>
      <c r="AQ30" s="18"/>
      <c r="AR30" s="18"/>
      <c r="AS30" s="18"/>
      <c r="AT30" s="18"/>
      <c r="AU30" s="18"/>
      <c r="AV30" s="18"/>
      <c r="AW30" s="18">
        <f t="shared" si="4"/>
        <v>54268.708333333328</v>
      </c>
      <c r="AX30" s="4"/>
      <c r="AY30" s="4"/>
    </row>
    <row r="31" spans="1:51" outlineLevel="1">
      <c r="A31" s="7" t="s">
        <v>51</v>
      </c>
      <c r="B31" s="7">
        <f t="shared" si="9"/>
        <v>2015</v>
      </c>
      <c r="C31" s="7" t="s">
        <v>47</v>
      </c>
      <c r="D31" s="467">
        <f>48985-6500-5085</f>
        <v>37400</v>
      </c>
      <c r="E31" s="18"/>
      <c r="F31" s="18">
        <f t="shared" si="11"/>
        <v>37400</v>
      </c>
      <c r="G31" s="123">
        <f>SUM(F$5:F31)</f>
        <v>3293522.5</v>
      </c>
      <c r="H31" s="114"/>
      <c r="I31" s="470">
        <f>60118.21-216.68-169.5-108.34-5794.99</f>
        <v>53828.700000000004</v>
      </c>
      <c r="J31" s="20">
        <f t="shared" si="10"/>
        <v>662876.30999999994</v>
      </c>
      <c r="K31" s="114"/>
      <c r="L31" s="18">
        <f t="shared" si="5"/>
        <v>2630646.19</v>
      </c>
      <c r="N31" s="18">
        <f t="shared" ref="N31:W32" si="12">+N30</f>
        <v>325</v>
      </c>
      <c r="O31" s="18">
        <f t="shared" si="12"/>
        <v>287.5</v>
      </c>
      <c r="P31" s="18">
        <f t="shared" si="12"/>
        <v>971.66666666666663</v>
      </c>
      <c r="Q31" s="18">
        <f t="shared" si="12"/>
        <v>1389.1666666666667</v>
      </c>
      <c r="R31" s="18">
        <f t="shared" si="12"/>
        <v>1343.5833333333333</v>
      </c>
      <c r="S31" s="18">
        <f t="shared" si="12"/>
        <v>1114.4166666666667</v>
      </c>
      <c r="T31" s="18">
        <f t="shared" si="12"/>
        <v>1459.1666666666667</v>
      </c>
      <c r="U31" s="18">
        <f t="shared" si="12"/>
        <v>1601.6666666666667</v>
      </c>
      <c r="V31" s="18">
        <f t="shared" si="12"/>
        <v>957.5</v>
      </c>
      <c r="W31" s="18">
        <f t="shared" si="12"/>
        <v>1866.2333333333333</v>
      </c>
      <c r="X31" s="18">
        <f t="shared" ref="X31:AG32" si="13">+X30</f>
        <v>2127.0833333333335</v>
      </c>
      <c r="Y31" s="18">
        <f t="shared" si="13"/>
        <v>1868</v>
      </c>
      <c r="Z31" s="18">
        <f t="shared" si="13"/>
        <v>1777.9166666666667</v>
      </c>
      <c r="AA31" s="18">
        <f t="shared" si="13"/>
        <v>1753.3333333333333</v>
      </c>
      <c r="AB31" s="18">
        <f t="shared" si="13"/>
        <v>3310</v>
      </c>
      <c r="AC31" s="18">
        <f t="shared" si="13"/>
        <v>5251.1833333333334</v>
      </c>
      <c r="AD31" s="18">
        <f t="shared" si="13"/>
        <v>3934.3083333333334</v>
      </c>
      <c r="AE31" s="18">
        <f t="shared" si="13"/>
        <v>2790.8666666666668</v>
      </c>
      <c r="AF31" s="18">
        <f t="shared" si="13"/>
        <v>3824.5</v>
      </c>
      <c r="AG31" s="18">
        <f t="shared" si="13"/>
        <v>2217.4499999999998</v>
      </c>
      <c r="AH31" s="18">
        <f t="shared" ref="AH31:AH32" si="14">+AH30</f>
        <v>1762.5</v>
      </c>
      <c r="AI31" s="18">
        <f>+AI30</f>
        <v>3262.4166666666665</v>
      </c>
      <c r="AJ31" s="18">
        <f>+AJ30</f>
        <v>2745.3</v>
      </c>
      <c r="AK31" s="18">
        <f>+AK30</f>
        <v>4284.2</v>
      </c>
      <c r="AL31" s="18">
        <f t="shared" ref="AL31:AL88" si="15">AL30</f>
        <v>1397.9166666666667</v>
      </c>
      <c r="AM31" s="18">
        <f>AM30</f>
        <v>645.83333333333337</v>
      </c>
      <c r="AN31" s="18">
        <f>(+$F31)/60</f>
        <v>623.33333333333337</v>
      </c>
      <c r="AO31" s="18"/>
      <c r="AP31" s="18"/>
      <c r="AQ31" s="18"/>
      <c r="AR31" s="18"/>
      <c r="AS31" s="18"/>
      <c r="AT31" s="18"/>
      <c r="AU31" s="18"/>
      <c r="AV31" s="18"/>
      <c r="AW31" s="18">
        <f t="shared" si="4"/>
        <v>54892.041666666664</v>
      </c>
      <c r="AX31" s="4"/>
      <c r="AY31" s="4"/>
    </row>
    <row r="32" spans="1:51" outlineLevel="1">
      <c r="A32" s="124" t="s">
        <v>52</v>
      </c>
      <c r="B32" s="124">
        <f t="shared" si="9"/>
        <v>2015</v>
      </c>
      <c r="C32" s="124" t="s">
        <v>47</v>
      </c>
      <c r="D32" s="228">
        <v>44340</v>
      </c>
      <c r="E32" s="121"/>
      <c r="F32" s="121">
        <f t="shared" si="11"/>
        <v>44340</v>
      </c>
      <c r="G32" s="125">
        <f>SUM(F$5:F32)</f>
        <v>3337862.5</v>
      </c>
      <c r="H32" s="114"/>
      <c r="I32" s="340">
        <v>65222.76</v>
      </c>
      <c r="J32" s="121">
        <f t="shared" si="10"/>
        <v>728099.07</v>
      </c>
      <c r="K32" s="116"/>
      <c r="L32" s="121">
        <f t="shared" si="5"/>
        <v>2609763.4300000002</v>
      </c>
      <c r="N32" s="121">
        <f t="shared" si="12"/>
        <v>325</v>
      </c>
      <c r="O32" s="121">
        <f t="shared" si="12"/>
        <v>287.5</v>
      </c>
      <c r="P32" s="121">
        <f t="shared" si="12"/>
        <v>971.66666666666663</v>
      </c>
      <c r="Q32" s="121">
        <f t="shared" si="12"/>
        <v>1389.1666666666667</v>
      </c>
      <c r="R32" s="37">
        <f t="shared" si="12"/>
        <v>1343.5833333333333</v>
      </c>
      <c r="S32" s="37">
        <f t="shared" si="12"/>
        <v>1114.4166666666667</v>
      </c>
      <c r="T32" s="37">
        <f t="shared" si="12"/>
        <v>1459.1666666666667</v>
      </c>
      <c r="U32" s="37">
        <f t="shared" si="12"/>
        <v>1601.6666666666667</v>
      </c>
      <c r="V32" s="37">
        <f t="shared" si="12"/>
        <v>957.5</v>
      </c>
      <c r="W32" s="37">
        <f t="shared" si="12"/>
        <v>1866.2333333333333</v>
      </c>
      <c r="X32" s="37">
        <f t="shared" si="13"/>
        <v>2127.0833333333335</v>
      </c>
      <c r="Y32" s="37">
        <f t="shared" si="13"/>
        <v>1868</v>
      </c>
      <c r="Z32" s="37">
        <f t="shared" si="13"/>
        <v>1777.9166666666667</v>
      </c>
      <c r="AA32" s="37">
        <f t="shared" si="13"/>
        <v>1753.3333333333333</v>
      </c>
      <c r="AB32" s="37">
        <f t="shared" si="13"/>
        <v>3310</v>
      </c>
      <c r="AC32" s="37">
        <f t="shared" si="13"/>
        <v>5251.1833333333334</v>
      </c>
      <c r="AD32" s="121">
        <f t="shared" si="13"/>
        <v>3934.3083333333334</v>
      </c>
      <c r="AE32" s="121">
        <f t="shared" si="13"/>
        <v>2790.8666666666668</v>
      </c>
      <c r="AF32" s="121">
        <f t="shared" si="13"/>
        <v>3824.5</v>
      </c>
      <c r="AG32" s="121">
        <f t="shared" si="13"/>
        <v>2217.4499999999998</v>
      </c>
      <c r="AH32" s="121">
        <f t="shared" si="14"/>
        <v>1762.5</v>
      </c>
      <c r="AI32" s="121">
        <f t="shared" ref="S32:AK42" si="16">+AI31</f>
        <v>3262.4166666666665</v>
      </c>
      <c r="AJ32" s="121">
        <f t="shared" si="16"/>
        <v>2745.3</v>
      </c>
      <c r="AK32" s="121">
        <f t="shared" si="16"/>
        <v>4284.2</v>
      </c>
      <c r="AL32" s="121">
        <f t="shared" si="15"/>
        <v>1397.9166666666667</v>
      </c>
      <c r="AM32" s="121">
        <f t="shared" ref="AM32:AM89" si="17">AM31</f>
        <v>645.83333333333337</v>
      </c>
      <c r="AN32" s="121">
        <f>AN31</f>
        <v>623.33333333333337</v>
      </c>
      <c r="AO32" s="121">
        <f>(+$F32)/60</f>
        <v>739</v>
      </c>
      <c r="AP32" s="121"/>
      <c r="AQ32" s="121"/>
      <c r="AR32" s="121"/>
      <c r="AS32" s="121"/>
      <c r="AT32" s="121"/>
      <c r="AU32" s="121"/>
      <c r="AV32" s="37"/>
      <c r="AW32" s="121">
        <f t="shared" si="4"/>
        <v>55631.041666666664</v>
      </c>
      <c r="AX32" s="4"/>
      <c r="AY32" s="4"/>
    </row>
    <row r="33" spans="1:51" outlineLevel="1">
      <c r="A33" s="7" t="s">
        <v>53</v>
      </c>
      <c r="B33" s="7">
        <f t="shared" si="9"/>
        <v>2016</v>
      </c>
      <c r="C33" s="29" t="s">
        <v>47</v>
      </c>
      <c r="D33" s="221">
        <v>6500</v>
      </c>
      <c r="E33" s="18"/>
      <c r="F33" s="18">
        <f t="shared" si="3"/>
        <v>6500</v>
      </c>
      <c r="G33" s="123">
        <f>SUM(F$5:F33)</f>
        <v>3344362.5</v>
      </c>
      <c r="H33" s="114"/>
      <c r="I33" s="339">
        <v>53855.68</v>
      </c>
      <c r="J33" s="20">
        <f t="shared" si="10"/>
        <v>781954.75</v>
      </c>
      <c r="K33" s="114"/>
      <c r="L33" s="18">
        <f t="shared" si="5"/>
        <v>2562407.75</v>
      </c>
      <c r="N33" s="18">
        <f t="shared" ref="N33:N46" si="18">+N32</f>
        <v>325</v>
      </c>
      <c r="O33" s="18">
        <f t="shared" ref="O33:O46" si="19">+O32</f>
        <v>287.5</v>
      </c>
      <c r="P33" s="18">
        <f t="shared" ref="P33:P46" si="20">+P32</f>
        <v>971.66666666666663</v>
      </c>
      <c r="Q33" s="18">
        <f t="shared" ref="Q33:Q46" si="21">+Q32</f>
        <v>1389.1666666666667</v>
      </c>
      <c r="R33" s="18">
        <f t="shared" ref="R33:R46" si="22">+R32</f>
        <v>1343.5833333333333</v>
      </c>
      <c r="S33" s="18">
        <f t="shared" si="16"/>
        <v>1114.4166666666667</v>
      </c>
      <c r="T33" s="18">
        <f t="shared" si="16"/>
        <v>1459.1666666666667</v>
      </c>
      <c r="U33" s="18">
        <f t="shared" si="16"/>
        <v>1601.6666666666667</v>
      </c>
      <c r="V33" s="18">
        <f t="shared" si="16"/>
        <v>957.5</v>
      </c>
      <c r="W33" s="18">
        <f t="shared" si="16"/>
        <v>1866.2333333333333</v>
      </c>
      <c r="X33" s="18">
        <f t="shared" si="16"/>
        <v>2127.0833333333335</v>
      </c>
      <c r="Y33" s="18">
        <f t="shared" si="16"/>
        <v>1868</v>
      </c>
      <c r="Z33" s="18">
        <f t="shared" si="16"/>
        <v>1777.9166666666667</v>
      </c>
      <c r="AA33" s="18">
        <f t="shared" si="16"/>
        <v>1753.3333333333333</v>
      </c>
      <c r="AB33" s="18">
        <f t="shared" si="16"/>
        <v>3310</v>
      </c>
      <c r="AC33" s="18">
        <f t="shared" si="16"/>
        <v>5251.1833333333334</v>
      </c>
      <c r="AD33" s="18">
        <f t="shared" si="16"/>
        <v>3934.3083333333334</v>
      </c>
      <c r="AE33" s="18">
        <f t="shared" si="16"/>
        <v>2790.8666666666668</v>
      </c>
      <c r="AF33" s="18">
        <f t="shared" si="16"/>
        <v>3824.5</v>
      </c>
      <c r="AG33" s="18">
        <f t="shared" si="16"/>
        <v>2217.4499999999998</v>
      </c>
      <c r="AH33" s="18">
        <f t="shared" si="16"/>
        <v>1762.5</v>
      </c>
      <c r="AI33" s="18">
        <f t="shared" si="16"/>
        <v>3262.4166666666665</v>
      </c>
      <c r="AJ33" s="18">
        <f t="shared" si="16"/>
        <v>2745.3</v>
      </c>
      <c r="AK33" s="18">
        <f t="shared" si="16"/>
        <v>4284.2</v>
      </c>
      <c r="AL33" s="18">
        <f t="shared" si="15"/>
        <v>1397.9166666666667</v>
      </c>
      <c r="AM33" s="18">
        <f t="shared" si="17"/>
        <v>645.83333333333337</v>
      </c>
      <c r="AN33" s="18">
        <f t="shared" ref="AN33:AN90" si="23">AN32</f>
        <v>623.33333333333337</v>
      </c>
      <c r="AO33" s="18">
        <f>AO32</f>
        <v>739</v>
      </c>
      <c r="AP33" s="18">
        <f>(+$F33)/60</f>
        <v>108.33333333333333</v>
      </c>
      <c r="AQ33" s="18"/>
      <c r="AR33" s="18"/>
      <c r="AS33" s="18"/>
      <c r="AT33" s="18"/>
      <c r="AU33" s="18"/>
      <c r="AV33" s="18"/>
      <c r="AW33" s="18">
        <f t="shared" si="4"/>
        <v>55739.375</v>
      </c>
      <c r="AX33" s="4"/>
      <c r="AY33" s="4"/>
    </row>
    <row r="34" spans="1:51" outlineLevel="1">
      <c r="A34" s="29" t="s">
        <v>54</v>
      </c>
      <c r="B34" s="29">
        <f t="shared" si="9"/>
        <v>2016</v>
      </c>
      <c r="C34" s="29" t="s">
        <v>47</v>
      </c>
      <c r="D34" s="221">
        <v>19500</v>
      </c>
      <c r="E34" s="20"/>
      <c r="F34" s="18">
        <f t="shared" si="3"/>
        <v>19500</v>
      </c>
      <c r="G34" s="123">
        <f>SUM(F$5:F34)</f>
        <v>3363862.5</v>
      </c>
      <c r="H34" s="114"/>
      <c r="I34" s="339">
        <v>52344.52</v>
      </c>
      <c r="J34" s="20">
        <f t="shared" si="10"/>
        <v>834299.27</v>
      </c>
      <c r="K34" s="114"/>
      <c r="L34" s="18">
        <f t="shared" si="5"/>
        <v>2529563.23</v>
      </c>
      <c r="N34" s="20">
        <f t="shared" si="18"/>
        <v>325</v>
      </c>
      <c r="O34" s="20">
        <f t="shared" si="19"/>
        <v>287.5</v>
      </c>
      <c r="P34" s="20">
        <f t="shared" si="20"/>
        <v>971.66666666666663</v>
      </c>
      <c r="Q34" s="20">
        <f t="shared" si="21"/>
        <v>1389.1666666666667</v>
      </c>
      <c r="R34" s="20">
        <f t="shared" si="22"/>
        <v>1343.5833333333333</v>
      </c>
      <c r="S34" s="20">
        <f t="shared" si="16"/>
        <v>1114.4166666666667</v>
      </c>
      <c r="T34" s="20">
        <f t="shared" si="16"/>
        <v>1459.1666666666667</v>
      </c>
      <c r="U34" s="20">
        <f t="shared" si="16"/>
        <v>1601.6666666666667</v>
      </c>
      <c r="V34" s="20">
        <f t="shared" si="16"/>
        <v>957.5</v>
      </c>
      <c r="W34" s="20">
        <f t="shared" si="16"/>
        <v>1866.2333333333333</v>
      </c>
      <c r="X34" s="20">
        <f t="shared" si="16"/>
        <v>2127.0833333333335</v>
      </c>
      <c r="Y34" s="20">
        <f t="shared" si="16"/>
        <v>1868</v>
      </c>
      <c r="Z34" s="20">
        <f t="shared" si="16"/>
        <v>1777.9166666666667</v>
      </c>
      <c r="AA34" s="20">
        <f t="shared" si="16"/>
        <v>1753.3333333333333</v>
      </c>
      <c r="AB34" s="20">
        <f t="shared" si="16"/>
        <v>3310</v>
      </c>
      <c r="AC34" s="20">
        <f t="shared" si="16"/>
        <v>5251.1833333333334</v>
      </c>
      <c r="AD34" s="20">
        <f t="shared" si="16"/>
        <v>3934.3083333333334</v>
      </c>
      <c r="AE34" s="20">
        <f t="shared" si="16"/>
        <v>2790.8666666666668</v>
      </c>
      <c r="AF34" s="20">
        <f t="shared" si="16"/>
        <v>3824.5</v>
      </c>
      <c r="AG34" s="20">
        <f t="shared" si="16"/>
        <v>2217.4499999999998</v>
      </c>
      <c r="AH34" s="20">
        <f t="shared" si="16"/>
        <v>1762.5</v>
      </c>
      <c r="AI34" s="20">
        <f t="shared" si="16"/>
        <v>3262.4166666666665</v>
      </c>
      <c r="AJ34" s="20">
        <f t="shared" si="16"/>
        <v>2745.3</v>
      </c>
      <c r="AK34" s="20">
        <f t="shared" si="16"/>
        <v>4284.2</v>
      </c>
      <c r="AL34" s="18">
        <f t="shared" si="15"/>
        <v>1397.9166666666667</v>
      </c>
      <c r="AM34" s="18">
        <f t="shared" si="17"/>
        <v>645.83333333333337</v>
      </c>
      <c r="AN34" s="18">
        <f t="shared" si="23"/>
        <v>623.33333333333337</v>
      </c>
      <c r="AO34" s="18">
        <f t="shared" ref="AO34:AO91" si="24">AO33</f>
        <v>739</v>
      </c>
      <c r="AP34" s="18">
        <f>AP33</f>
        <v>108.33333333333333</v>
      </c>
      <c r="AQ34" s="18">
        <f>(+$F34)/60</f>
        <v>325</v>
      </c>
      <c r="AR34" s="18"/>
      <c r="AS34" s="18"/>
      <c r="AT34" s="18"/>
      <c r="AU34" s="18"/>
      <c r="AV34" s="18"/>
      <c r="AW34" s="18">
        <f t="shared" si="4"/>
        <v>56064.375</v>
      </c>
      <c r="AX34" s="4"/>
      <c r="AY34" s="4"/>
    </row>
    <row r="35" spans="1:51" outlineLevel="1">
      <c r="A35" s="7" t="s">
        <v>55</v>
      </c>
      <c r="B35" s="7">
        <f t="shared" si="9"/>
        <v>2016</v>
      </c>
      <c r="C35" s="29" t="s">
        <v>47</v>
      </c>
      <c r="D35" s="221">
        <v>0</v>
      </c>
      <c r="E35" s="18"/>
      <c r="F35" s="18">
        <f t="shared" si="3"/>
        <v>0</v>
      </c>
      <c r="G35" s="123">
        <f>SUM(F$5:F35)</f>
        <v>3363862.5</v>
      </c>
      <c r="H35" s="114"/>
      <c r="I35" s="339">
        <v>57406.5</v>
      </c>
      <c r="J35" s="20">
        <f t="shared" si="10"/>
        <v>891705.77</v>
      </c>
      <c r="K35" s="114"/>
      <c r="L35" s="18">
        <f t="shared" si="5"/>
        <v>2472156.73</v>
      </c>
      <c r="N35" s="18">
        <f t="shared" si="18"/>
        <v>325</v>
      </c>
      <c r="O35" s="18">
        <f t="shared" si="19"/>
        <v>287.5</v>
      </c>
      <c r="P35" s="18">
        <f t="shared" si="20"/>
        <v>971.66666666666663</v>
      </c>
      <c r="Q35" s="18">
        <f t="shared" si="21"/>
        <v>1389.1666666666667</v>
      </c>
      <c r="R35" s="18">
        <f t="shared" si="22"/>
        <v>1343.5833333333333</v>
      </c>
      <c r="S35" s="18">
        <f t="shared" si="16"/>
        <v>1114.4166666666667</v>
      </c>
      <c r="T35" s="18">
        <f t="shared" si="16"/>
        <v>1459.1666666666667</v>
      </c>
      <c r="U35" s="18">
        <f t="shared" si="16"/>
        <v>1601.6666666666667</v>
      </c>
      <c r="V35" s="18">
        <f t="shared" si="16"/>
        <v>957.5</v>
      </c>
      <c r="W35" s="18">
        <f t="shared" si="16"/>
        <v>1866.2333333333333</v>
      </c>
      <c r="X35" s="18">
        <f t="shared" si="16"/>
        <v>2127.0833333333335</v>
      </c>
      <c r="Y35" s="18">
        <f t="shared" si="16"/>
        <v>1868</v>
      </c>
      <c r="Z35" s="18">
        <f t="shared" si="16"/>
        <v>1777.9166666666667</v>
      </c>
      <c r="AA35" s="18">
        <f t="shared" si="16"/>
        <v>1753.3333333333333</v>
      </c>
      <c r="AB35" s="18">
        <f t="shared" si="16"/>
        <v>3310</v>
      </c>
      <c r="AC35" s="18">
        <f t="shared" si="16"/>
        <v>5251.1833333333334</v>
      </c>
      <c r="AD35" s="18">
        <f t="shared" si="16"/>
        <v>3934.3083333333334</v>
      </c>
      <c r="AE35" s="18">
        <f t="shared" si="16"/>
        <v>2790.8666666666668</v>
      </c>
      <c r="AF35" s="18">
        <f t="shared" si="16"/>
        <v>3824.5</v>
      </c>
      <c r="AG35" s="18">
        <f t="shared" si="16"/>
        <v>2217.4499999999998</v>
      </c>
      <c r="AH35" s="18">
        <f t="shared" si="16"/>
        <v>1762.5</v>
      </c>
      <c r="AI35" s="18">
        <f t="shared" si="16"/>
        <v>3262.4166666666665</v>
      </c>
      <c r="AJ35" s="18">
        <f t="shared" si="16"/>
        <v>2745.3</v>
      </c>
      <c r="AK35" s="18">
        <f t="shared" si="16"/>
        <v>4284.2</v>
      </c>
      <c r="AL35" s="18">
        <f t="shared" si="15"/>
        <v>1397.9166666666667</v>
      </c>
      <c r="AM35" s="18">
        <f t="shared" si="17"/>
        <v>645.83333333333337</v>
      </c>
      <c r="AN35" s="18">
        <f t="shared" si="23"/>
        <v>623.33333333333337</v>
      </c>
      <c r="AO35" s="18">
        <f t="shared" si="24"/>
        <v>739</v>
      </c>
      <c r="AP35" s="18">
        <f t="shared" ref="AP35:AP92" si="25">AP34</f>
        <v>108.33333333333333</v>
      </c>
      <c r="AQ35" s="18">
        <f>AQ34</f>
        <v>325</v>
      </c>
      <c r="AR35" s="18">
        <f>(F35)/60</f>
        <v>0</v>
      </c>
      <c r="AS35" s="18"/>
      <c r="AT35" s="18"/>
      <c r="AU35" s="18"/>
      <c r="AV35" s="18"/>
      <c r="AW35" s="18">
        <f t="shared" si="4"/>
        <v>56064.375</v>
      </c>
      <c r="AX35" s="4"/>
      <c r="AY35" s="4"/>
    </row>
    <row r="36" spans="1:51" outlineLevel="1">
      <c r="A36" s="7" t="s">
        <v>56</v>
      </c>
      <c r="B36" s="7">
        <f t="shared" si="9"/>
        <v>2016</v>
      </c>
      <c r="C36" s="29" t="s">
        <v>47</v>
      </c>
      <c r="D36" s="18">
        <v>6500</v>
      </c>
      <c r="E36" s="18"/>
      <c r="F36" s="18">
        <f t="shared" si="3"/>
        <v>6500</v>
      </c>
      <c r="G36" s="123">
        <f>SUM(F$5:F36)</f>
        <v>3370362.5</v>
      </c>
      <c r="H36" s="114"/>
      <c r="I36" s="339">
        <v>63705.31</v>
      </c>
      <c r="J36" s="20">
        <f t="shared" si="10"/>
        <v>955411.08000000007</v>
      </c>
      <c r="K36" s="114"/>
      <c r="L36" s="18">
        <f t="shared" si="5"/>
        <v>2414951.42</v>
      </c>
      <c r="N36" s="18">
        <f t="shared" si="18"/>
        <v>325</v>
      </c>
      <c r="O36" s="18">
        <f t="shared" si="19"/>
        <v>287.5</v>
      </c>
      <c r="P36" s="18">
        <f t="shared" si="20"/>
        <v>971.66666666666663</v>
      </c>
      <c r="Q36" s="18">
        <f t="shared" si="21"/>
        <v>1389.1666666666667</v>
      </c>
      <c r="R36" s="18">
        <f t="shared" si="22"/>
        <v>1343.5833333333333</v>
      </c>
      <c r="S36" s="18">
        <f t="shared" si="16"/>
        <v>1114.4166666666667</v>
      </c>
      <c r="T36" s="18">
        <f t="shared" si="16"/>
        <v>1459.1666666666667</v>
      </c>
      <c r="U36" s="18">
        <f t="shared" si="16"/>
        <v>1601.6666666666667</v>
      </c>
      <c r="V36" s="18">
        <f t="shared" si="16"/>
        <v>957.5</v>
      </c>
      <c r="W36" s="18">
        <f t="shared" si="16"/>
        <v>1866.2333333333333</v>
      </c>
      <c r="X36" s="18">
        <f t="shared" si="16"/>
        <v>2127.0833333333335</v>
      </c>
      <c r="Y36" s="18">
        <f t="shared" si="16"/>
        <v>1868</v>
      </c>
      <c r="Z36" s="18">
        <f t="shared" si="16"/>
        <v>1777.9166666666667</v>
      </c>
      <c r="AA36" s="18">
        <f t="shared" si="16"/>
        <v>1753.3333333333333</v>
      </c>
      <c r="AB36" s="18">
        <f t="shared" si="16"/>
        <v>3310</v>
      </c>
      <c r="AC36" s="18">
        <f t="shared" si="16"/>
        <v>5251.1833333333334</v>
      </c>
      <c r="AD36" s="18">
        <f t="shared" si="16"/>
        <v>3934.3083333333334</v>
      </c>
      <c r="AE36" s="18">
        <f t="shared" si="16"/>
        <v>2790.8666666666668</v>
      </c>
      <c r="AF36" s="18">
        <f t="shared" si="16"/>
        <v>3824.5</v>
      </c>
      <c r="AG36" s="18">
        <f t="shared" si="16"/>
        <v>2217.4499999999998</v>
      </c>
      <c r="AH36" s="18">
        <f t="shared" si="16"/>
        <v>1762.5</v>
      </c>
      <c r="AI36" s="18">
        <f t="shared" si="16"/>
        <v>3262.4166666666665</v>
      </c>
      <c r="AJ36" s="18">
        <f t="shared" si="16"/>
        <v>2745.3</v>
      </c>
      <c r="AK36" s="18">
        <f t="shared" si="16"/>
        <v>4284.2</v>
      </c>
      <c r="AL36" s="18">
        <f t="shared" si="15"/>
        <v>1397.9166666666667</v>
      </c>
      <c r="AM36" s="18">
        <f t="shared" si="17"/>
        <v>645.83333333333337</v>
      </c>
      <c r="AN36" s="18">
        <f t="shared" si="23"/>
        <v>623.33333333333337</v>
      </c>
      <c r="AO36" s="18">
        <f t="shared" si="24"/>
        <v>739</v>
      </c>
      <c r="AP36" s="18">
        <f t="shared" si="25"/>
        <v>108.33333333333333</v>
      </c>
      <c r="AQ36" s="18">
        <f t="shared" ref="AQ36:AR93" si="26">AQ35</f>
        <v>325</v>
      </c>
      <c r="AR36" s="18">
        <f>AR35</f>
        <v>0</v>
      </c>
      <c r="AS36" s="18">
        <f>(+$F$36)/60</f>
        <v>108.33333333333333</v>
      </c>
      <c r="AT36" s="18"/>
      <c r="AU36" s="18"/>
      <c r="AV36" s="18"/>
      <c r="AW36" s="18">
        <f t="shared" si="4"/>
        <v>56172.708333333336</v>
      </c>
      <c r="AX36" s="4"/>
      <c r="AY36" s="4"/>
    </row>
    <row r="37" spans="1:51" outlineLevel="1">
      <c r="A37" s="7" t="s">
        <v>57</v>
      </c>
      <c r="B37" s="7">
        <f t="shared" si="9"/>
        <v>2016</v>
      </c>
      <c r="C37" s="29" t="s">
        <v>47</v>
      </c>
      <c r="D37" s="18">
        <v>4734</v>
      </c>
      <c r="E37" s="18"/>
      <c r="F37" s="18">
        <f t="shared" si="3"/>
        <v>4734</v>
      </c>
      <c r="G37" s="123">
        <f>SUM(F$5:F37)</f>
        <v>3375096.5</v>
      </c>
      <c r="H37" s="114"/>
      <c r="I37" s="339">
        <v>55995.79</v>
      </c>
      <c r="J37" s="20">
        <f t="shared" si="10"/>
        <v>1011406.8700000001</v>
      </c>
      <c r="K37" s="114"/>
      <c r="L37" s="18">
        <f t="shared" si="5"/>
        <v>2363689.63</v>
      </c>
      <c r="N37" s="18">
        <f t="shared" si="18"/>
        <v>325</v>
      </c>
      <c r="O37" s="18">
        <f t="shared" si="19"/>
        <v>287.5</v>
      </c>
      <c r="P37" s="18">
        <f t="shared" si="20"/>
        <v>971.66666666666663</v>
      </c>
      <c r="Q37" s="18">
        <f t="shared" si="21"/>
        <v>1389.1666666666667</v>
      </c>
      <c r="R37" s="18">
        <f t="shared" si="22"/>
        <v>1343.5833333333333</v>
      </c>
      <c r="S37" s="18">
        <f t="shared" si="16"/>
        <v>1114.4166666666667</v>
      </c>
      <c r="T37" s="18">
        <f t="shared" si="16"/>
        <v>1459.1666666666667</v>
      </c>
      <c r="U37" s="18">
        <f t="shared" si="16"/>
        <v>1601.6666666666667</v>
      </c>
      <c r="V37" s="18">
        <f t="shared" si="16"/>
        <v>957.5</v>
      </c>
      <c r="W37" s="18">
        <f t="shared" si="16"/>
        <v>1866.2333333333333</v>
      </c>
      <c r="X37" s="18">
        <f t="shared" si="16"/>
        <v>2127.0833333333335</v>
      </c>
      <c r="Y37" s="18">
        <f t="shared" si="16"/>
        <v>1868</v>
      </c>
      <c r="Z37" s="18">
        <f t="shared" si="16"/>
        <v>1777.9166666666667</v>
      </c>
      <c r="AA37" s="18">
        <f t="shared" si="16"/>
        <v>1753.3333333333333</v>
      </c>
      <c r="AB37" s="18">
        <f t="shared" si="16"/>
        <v>3310</v>
      </c>
      <c r="AC37" s="18">
        <f t="shared" si="16"/>
        <v>5251.1833333333334</v>
      </c>
      <c r="AD37" s="18">
        <f t="shared" si="16"/>
        <v>3934.3083333333334</v>
      </c>
      <c r="AE37" s="18">
        <f t="shared" si="16"/>
        <v>2790.8666666666668</v>
      </c>
      <c r="AF37" s="18">
        <f t="shared" si="16"/>
        <v>3824.5</v>
      </c>
      <c r="AG37" s="18">
        <f t="shared" si="16"/>
        <v>2217.4499999999998</v>
      </c>
      <c r="AH37" s="18">
        <f t="shared" si="16"/>
        <v>1762.5</v>
      </c>
      <c r="AI37" s="18">
        <f t="shared" si="16"/>
        <v>3262.4166666666665</v>
      </c>
      <c r="AJ37" s="18">
        <f t="shared" si="16"/>
        <v>2745.3</v>
      </c>
      <c r="AK37" s="18">
        <f t="shared" si="16"/>
        <v>4284.2</v>
      </c>
      <c r="AL37" s="18">
        <f t="shared" si="15"/>
        <v>1397.9166666666667</v>
      </c>
      <c r="AM37" s="18">
        <f t="shared" si="17"/>
        <v>645.83333333333337</v>
      </c>
      <c r="AN37" s="18">
        <f t="shared" si="23"/>
        <v>623.33333333333337</v>
      </c>
      <c r="AO37" s="18">
        <f t="shared" si="24"/>
        <v>739</v>
      </c>
      <c r="AP37" s="18">
        <f t="shared" si="25"/>
        <v>108.33333333333333</v>
      </c>
      <c r="AQ37" s="18">
        <f t="shared" si="26"/>
        <v>325</v>
      </c>
      <c r="AR37" s="18">
        <f t="shared" si="26"/>
        <v>0</v>
      </c>
      <c r="AS37" s="18">
        <f t="shared" ref="AS37:AS95" si="27">(+$F$36)/60</f>
        <v>108.33333333333333</v>
      </c>
      <c r="AT37" s="18">
        <f>(+$F$37)/60</f>
        <v>78.900000000000006</v>
      </c>
      <c r="AU37" s="18"/>
      <c r="AV37" s="18"/>
      <c r="AW37" s="18">
        <f t="shared" ref="AW37:AW68" si="28">SUM(N37:AV37)</f>
        <v>56251.608333333337</v>
      </c>
      <c r="AX37" s="4"/>
      <c r="AY37" s="4"/>
    </row>
    <row r="38" spans="1:51" outlineLevel="1">
      <c r="A38" s="7" t="s">
        <v>58</v>
      </c>
      <c r="B38" s="7">
        <f t="shared" si="9"/>
        <v>2016</v>
      </c>
      <c r="C38" s="29" t="s">
        <v>47</v>
      </c>
      <c r="D38" s="18"/>
      <c r="E38" s="18"/>
      <c r="F38" s="18">
        <f t="shared" si="3"/>
        <v>0</v>
      </c>
      <c r="G38" s="123">
        <f>SUM(F$5:F38)</f>
        <v>3375096.5</v>
      </c>
      <c r="H38" s="114"/>
      <c r="I38" s="339">
        <v>60655.93</v>
      </c>
      <c r="J38" s="20">
        <f t="shared" si="10"/>
        <v>1072062.8</v>
      </c>
      <c r="K38" s="114"/>
      <c r="L38" s="18">
        <f t="shared" si="5"/>
        <v>2303033.7000000002</v>
      </c>
      <c r="N38" s="18">
        <f t="shared" si="18"/>
        <v>325</v>
      </c>
      <c r="O38" s="18">
        <f t="shared" si="19"/>
        <v>287.5</v>
      </c>
      <c r="P38" s="18">
        <f t="shared" si="20"/>
        <v>971.66666666666663</v>
      </c>
      <c r="Q38" s="18">
        <f t="shared" si="21"/>
        <v>1389.1666666666667</v>
      </c>
      <c r="R38" s="18">
        <f t="shared" si="22"/>
        <v>1343.5833333333333</v>
      </c>
      <c r="S38" s="18">
        <f t="shared" si="16"/>
        <v>1114.4166666666667</v>
      </c>
      <c r="T38" s="18">
        <f t="shared" si="16"/>
        <v>1459.1666666666667</v>
      </c>
      <c r="U38" s="18">
        <f t="shared" si="16"/>
        <v>1601.6666666666667</v>
      </c>
      <c r="V38" s="18">
        <f t="shared" si="16"/>
        <v>957.5</v>
      </c>
      <c r="W38" s="18">
        <f t="shared" si="16"/>
        <v>1866.2333333333333</v>
      </c>
      <c r="X38" s="18">
        <f t="shared" si="16"/>
        <v>2127.0833333333335</v>
      </c>
      <c r="Y38" s="18">
        <f t="shared" si="16"/>
        <v>1868</v>
      </c>
      <c r="Z38" s="18">
        <f t="shared" si="16"/>
        <v>1777.9166666666667</v>
      </c>
      <c r="AA38" s="18">
        <f t="shared" si="16"/>
        <v>1753.3333333333333</v>
      </c>
      <c r="AB38" s="18">
        <f t="shared" si="16"/>
        <v>3310</v>
      </c>
      <c r="AC38" s="18">
        <f t="shared" si="16"/>
        <v>5251.1833333333334</v>
      </c>
      <c r="AD38" s="18">
        <f t="shared" si="16"/>
        <v>3934.3083333333334</v>
      </c>
      <c r="AE38" s="18">
        <f t="shared" si="16"/>
        <v>2790.8666666666668</v>
      </c>
      <c r="AF38" s="18">
        <f t="shared" si="16"/>
        <v>3824.5</v>
      </c>
      <c r="AG38" s="18">
        <f t="shared" si="16"/>
        <v>2217.4499999999998</v>
      </c>
      <c r="AH38" s="18">
        <f t="shared" si="16"/>
        <v>1762.5</v>
      </c>
      <c r="AI38" s="18">
        <f t="shared" si="16"/>
        <v>3262.4166666666665</v>
      </c>
      <c r="AJ38" s="18">
        <f t="shared" si="16"/>
        <v>2745.3</v>
      </c>
      <c r="AK38" s="18">
        <f t="shared" si="16"/>
        <v>4284.2</v>
      </c>
      <c r="AL38" s="18">
        <f t="shared" si="15"/>
        <v>1397.9166666666667</v>
      </c>
      <c r="AM38" s="18">
        <f t="shared" si="17"/>
        <v>645.83333333333337</v>
      </c>
      <c r="AN38" s="18">
        <f t="shared" si="23"/>
        <v>623.33333333333337</v>
      </c>
      <c r="AO38" s="18">
        <f t="shared" si="24"/>
        <v>739</v>
      </c>
      <c r="AP38" s="18">
        <f t="shared" si="25"/>
        <v>108.33333333333333</v>
      </c>
      <c r="AQ38" s="18">
        <f t="shared" si="26"/>
        <v>325</v>
      </c>
      <c r="AR38" s="18">
        <f t="shared" si="26"/>
        <v>0</v>
      </c>
      <c r="AS38" s="18">
        <f t="shared" si="27"/>
        <v>108.33333333333333</v>
      </c>
      <c r="AT38" s="18">
        <f t="shared" ref="AT38:AT96" si="29">(+$F$37)/60</f>
        <v>78.900000000000006</v>
      </c>
      <c r="AU38" s="18"/>
      <c r="AV38" s="18"/>
      <c r="AW38" s="18">
        <f t="shared" si="28"/>
        <v>56251.608333333337</v>
      </c>
      <c r="AX38" s="4"/>
      <c r="AY38" s="4"/>
    </row>
    <row r="39" spans="1:51">
      <c r="A39" s="7" t="s">
        <v>59</v>
      </c>
      <c r="B39" s="7">
        <f t="shared" si="9"/>
        <v>2016</v>
      </c>
      <c r="C39" s="29" t="s">
        <v>47</v>
      </c>
      <c r="D39" s="18"/>
      <c r="E39" s="18"/>
      <c r="F39" s="18">
        <f t="shared" si="3"/>
        <v>0</v>
      </c>
      <c r="G39" s="123">
        <f>SUM(F$5:F39)</f>
        <v>3375096.5</v>
      </c>
      <c r="H39" s="114"/>
      <c r="I39" s="339">
        <v>53072.73</v>
      </c>
      <c r="J39" s="20">
        <f t="shared" si="10"/>
        <v>1125135.53</v>
      </c>
      <c r="K39" s="114"/>
      <c r="L39" s="18">
        <f t="shared" si="5"/>
        <v>2249960.9699999997</v>
      </c>
      <c r="N39" s="18">
        <f t="shared" si="18"/>
        <v>325</v>
      </c>
      <c r="O39" s="18">
        <f t="shared" si="19"/>
        <v>287.5</v>
      </c>
      <c r="P39" s="18">
        <f t="shared" si="20"/>
        <v>971.66666666666663</v>
      </c>
      <c r="Q39" s="18">
        <f t="shared" si="21"/>
        <v>1389.1666666666667</v>
      </c>
      <c r="R39" s="18">
        <f t="shared" si="22"/>
        <v>1343.5833333333333</v>
      </c>
      <c r="S39" s="18">
        <f t="shared" si="16"/>
        <v>1114.4166666666667</v>
      </c>
      <c r="T39" s="18">
        <f t="shared" si="16"/>
        <v>1459.1666666666667</v>
      </c>
      <c r="U39" s="18">
        <f t="shared" si="16"/>
        <v>1601.6666666666667</v>
      </c>
      <c r="V39" s="18">
        <f t="shared" si="16"/>
        <v>957.5</v>
      </c>
      <c r="W39" s="18">
        <f t="shared" si="16"/>
        <v>1866.2333333333333</v>
      </c>
      <c r="X39" s="18">
        <f t="shared" si="16"/>
        <v>2127.0833333333335</v>
      </c>
      <c r="Y39" s="18">
        <f t="shared" si="16"/>
        <v>1868</v>
      </c>
      <c r="Z39" s="18">
        <f t="shared" si="16"/>
        <v>1777.9166666666667</v>
      </c>
      <c r="AA39" s="18">
        <f t="shared" si="16"/>
        <v>1753.3333333333333</v>
      </c>
      <c r="AB39" s="18">
        <f t="shared" si="16"/>
        <v>3310</v>
      </c>
      <c r="AC39" s="18">
        <f t="shared" si="16"/>
        <v>5251.1833333333334</v>
      </c>
      <c r="AD39" s="18">
        <f t="shared" si="16"/>
        <v>3934.3083333333334</v>
      </c>
      <c r="AE39" s="18">
        <f t="shared" si="16"/>
        <v>2790.8666666666668</v>
      </c>
      <c r="AF39" s="18">
        <f t="shared" si="16"/>
        <v>3824.5</v>
      </c>
      <c r="AG39" s="18">
        <f t="shared" si="16"/>
        <v>2217.4499999999998</v>
      </c>
      <c r="AH39" s="18">
        <f t="shared" si="16"/>
        <v>1762.5</v>
      </c>
      <c r="AI39" s="18">
        <f t="shared" si="16"/>
        <v>3262.4166666666665</v>
      </c>
      <c r="AJ39" s="18">
        <f t="shared" si="16"/>
        <v>2745.3</v>
      </c>
      <c r="AK39" s="18">
        <f t="shared" si="16"/>
        <v>4284.2</v>
      </c>
      <c r="AL39" s="18">
        <f t="shared" si="15"/>
        <v>1397.9166666666667</v>
      </c>
      <c r="AM39" s="18">
        <f t="shared" si="17"/>
        <v>645.83333333333337</v>
      </c>
      <c r="AN39" s="18">
        <f t="shared" si="23"/>
        <v>623.33333333333337</v>
      </c>
      <c r="AO39" s="18">
        <f t="shared" si="24"/>
        <v>739</v>
      </c>
      <c r="AP39" s="18">
        <f t="shared" si="25"/>
        <v>108.33333333333333</v>
      </c>
      <c r="AQ39" s="18">
        <f t="shared" si="26"/>
        <v>325</v>
      </c>
      <c r="AR39" s="18">
        <f t="shared" si="26"/>
        <v>0</v>
      </c>
      <c r="AS39" s="18">
        <f t="shared" si="27"/>
        <v>108.33333333333333</v>
      </c>
      <c r="AT39" s="18">
        <f t="shared" si="29"/>
        <v>78.900000000000006</v>
      </c>
      <c r="AU39" s="18"/>
      <c r="AV39" s="18"/>
      <c r="AW39" s="18">
        <f t="shared" si="28"/>
        <v>56251.608333333337</v>
      </c>
      <c r="AX39" s="4"/>
      <c r="AY39" s="4"/>
    </row>
    <row r="40" spans="1:51">
      <c r="A40" s="7" t="s">
        <v>46</v>
      </c>
      <c r="B40" s="7">
        <f t="shared" si="9"/>
        <v>2016</v>
      </c>
      <c r="C40" s="29" t="s">
        <v>47</v>
      </c>
      <c r="D40" s="18"/>
      <c r="E40" s="18"/>
      <c r="F40" s="18">
        <f t="shared" si="3"/>
        <v>0</v>
      </c>
      <c r="G40" s="123">
        <f>SUM(F$5:F40)</f>
        <v>3375096.5</v>
      </c>
      <c r="H40" s="114"/>
      <c r="I40" s="339">
        <v>83986.35</v>
      </c>
      <c r="J40" s="20">
        <f t="shared" si="10"/>
        <v>1209121.8800000001</v>
      </c>
      <c r="K40" s="114"/>
      <c r="L40" s="18">
        <f t="shared" si="5"/>
        <v>2165974.62</v>
      </c>
      <c r="N40" s="18">
        <f t="shared" si="18"/>
        <v>325</v>
      </c>
      <c r="O40" s="18">
        <f t="shared" si="19"/>
        <v>287.5</v>
      </c>
      <c r="P40" s="18">
        <f t="shared" si="20"/>
        <v>971.66666666666663</v>
      </c>
      <c r="Q40" s="18">
        <f t="shared" si="21"/>
        <v>1389.1666666666667</v>
      </c>
      <c r="R40" s="18">
        <f t="shared" si="22"/>
        <v>1343.5833333333333</v>
      </c>
      <c r="S40" s="18">
        <f t="shared" si="16"/>
        <v>1114.4166666666667</v>
      </c>
      <c r="T40" s="18">
        <f t="shared" si="16"/>
        <v>1459.1666666666667</v>
      </c>
      <c r="U40" s="18">
        <f t="shared" si="16"/>
        <v>1601.6666666666667</v>
      </c>
      <c r="V40" s="18">
        <f t="shared" si="16"/>
        <v>957.5</v>
      </c>
      <c r="W40" s="18">
        <f t="shared" si="16"/>
        <v>1866.2333333333333</v>
      </c>
      <c r="X40" s="18">
        <f t="shared" si="16"/>
        <v>2127.0833333333335</v>
      </c>
      <c r="Y40" s="18">
        <f t="shared" si="16"/>
        <v>1868</v>
      </c>
      <c r="Z40" s="18">
        <f t="shared" si="16"/>
        <v>1777.9166666666667</v>
      </c>
      <c r="AA40" s="18">
        <f t="shared" si="16"/>
        <v>1753.3333333333333</v>
      </c>
      <c r="AB40" s="18">
        <f t="shared" si="16"/>
        <v>3310</v>
      </c>
      <c r="AC40" s="18">
        <f t="shared" si="16"/>
        <v>5251.1833333333334</v>
      </c>
      <c r="AD40" s="18">
        <f t="shared" si="16"/>
        <v>3934.3083333333334</v>
      </c>
      <c r="AE40" s="18">
        <f t="shared" si="16"/>
        <v>2790.8666666666668</v>
      </c>
      <c r="AF40" s="18">
        <f t="shared" si="16"/>
        <v>3824.5</v>
      </c>
      <c r="AG40" s="18">
        <f t="shared" si="16"/>
        <v>2217.4499999999998</v>
      </c>
      <c r="AH40" s="18">
        <f t="shared" si="16"/>
        <v>1762.5</v>
      </c>
      <c r="AI40" s="18">
        <f t="shared" si="16"/>
        <v>3262.4166666666665</v>
      </c>
      <c r="AJ40" s="18">
        <f t="shared" si="16"/>
        <v>2745.3</v>
      </c>
      <c r="AK40" s="18">
        <f t="shared" si="16"/>
        <v>4284.2</v>
      </c>
      <c r="AL40" s="18">
        <f t="shared" si="15"/>
        <v>1397.9166666666667</v>
      </c>
      <c r="AM40" s="18">
        <f t="shared" si="17"/>
        <v>645.83333333333337</v>
      </c>
      <c r="AN40" s="18">
        <f t="shared" si="23"/>
        <v>623.33333333333337</v>
      </c>
      <c r="AO40" s="18">
        <f t="shared" si="24"/>
        <v>739</v>
      </c>
      <c r="AP40" s="18">
        <f t="shared" si="25"/>
        <v>108.33333333333333</v>
      </c>
      <c r="AQ40" s="18">
        <f t="shared" si="26"/>
        <v>325</v>
      </c>
      <c r="AR40" s="18">
        <f t="shared" si="26"/>
        <v>0</v>
      </c>
      <c r="AS40" s="18">
        <f t="shared" si="27"/>
        <v>108.33333333333333</v>
      </c>
      <c r="AT40" s="18">
        <f t="shared" si="29"/>
        <v>78.900000000000006</v>
      </c>
      <c r="AU40" s="18"/>
      <c r="AV40" s="18"/>
      <c r="AW40" s="18">
        <f t="shared" si="28"/>
        <v>56251.608333333337</v>
      </c>
      <c r="AX40" s="4"/>
      <c r="AY40" s="4"/>
    </row>
    <row r="41" spans="1:51">
      <c r="A41" s="7" t="s">
        <v>48</v>
      </c>
      <c r="B41" s="7">
        <f t="shared" si="9"/>
        <v>2016</v>
      </c>
      <c r="C41" s="29" t="s">
        <v>47</v>
      </c>
      <c r="D41" s="18"/>
      <c r="E41" s="18"/>
      <c r="F41" s="18">
        <f t="shared" si="3"/>
        <v>0</v>
      </c>
      <c r="G41" s="123">
        <f>SUM(F$5:F41)</f>
        <v>3375096.5</v>
      </c>
      <c r="H41" s="114"/>
      <c r="I41" s="339">
        <v>57964.2</v>
      </c>
      <c r="J41" s="20">
        <f t="shared" si="10"/>
        <v>1267086.08</v>
      </c>
      <c r="K41" s="114"/>
      <c r="L41" s="18">
        <f t="shared" si="5"/>
        <v>2108010.42</v>
      </c>
      <c r="N41" s="18">
        <f t="shared" si="18"/>
        <v>325</v>
      </c>
      <c r="O41" s="18">
        <f t="shared" si="19"/>
        <v>287.5</v>
      </c>
      <c r="P41" s="18">
        <f t="shared" si="20"/>
        <v>971.66666666666663</v>
      </c>
      <c r="Q41" s="18">
        <f t="shared" si="21"/>
        <v>1389.1666666666667</v>
      </c>
      <c r="R41" s="18">
        <f t="shared" si="22"/>
        <v>1343.5833333333333</v>
      </c>
      <c r="S41" s="18">
        <f t="shared" si="16"/>
        <v>1114.4166666666667</v>
      </c>
      <c r="T41" s="18">
        <f t="shared" si="16"/>
        <v>1459.1666666666667</v>
      </c>
      <c r="U41" s="18">
        <f t="shared" si="16"/>
        <v>1601.6666666666667</v>
      </c>
      <c r="V41" s="18">
        <f t="shared" si="16"/>
        <v>957.5</v>
      </c>
      <c r="W41" s="18">
        <f t="shared" si="16"/>
        <v>1866.2333333333333</v>
      </c>
      <c r="X41" s="18">
        <f t="shared" si="16"/>
        <v>2127.0833333333335</v>
      </c>
      <c r="Y41" s="18">
        <f t="shared" si="16"/>
        <v>1868</v>
      </c>
      <c r="Z41" s="18">
        <f t="shared" si="16"/>
        <v>1777.9166666666667</v>
      </c>
      <c r="AA41" s="18">
        <f t="shared" si="16"/>
        <v>1753.3333333333333</v>
      </c>
      <c r="AB41" s="18">
        <f t="shared" si="16"/>
        <v>3310</v>
      </c>
      <c r="AC41" s="18">
        <f t="shared" si="16"/>
        <v>5251.1833333333334</v>
      </c>
      <c r="AD41" s="18">
        <f t="shared" si="16"/>
        <v>3934.3083333333334</v>
      </c>
      <c r="AE41" s="18">
        <f t="shared" si="16"/>
        <v>2790.8666666666668</v>
      </c>
      <c r="AF41" s="18">
        <f t="shared" si="16"/>
        <v>3824.5</v>
      </c>
      <c r="AG41" s="18">
        <f t="shared" si="16"/>
        <v>2217.4499999999998</v>
      </c>
      <c r="AH41" s="18">
        <f t="shared" si="16"/>
        <v>1762.5</v>
      </c>
      <c r="AI41" s="18">
        <f t="shared" si="16"/>
        <v>3262.4166666666665</v>
      </c>
      <c r="AJ41" s="18">
        <f t="shared" si="16"/>
        <v>2745.3</v>
      </c>
      <c r="AK41" s="18">
        <f t="shared" si="16"/>
        <v>4284.2</v>
      </c>
      <c r="AL41" s="18">
        <f t="shared" si="15"/>
        <v>1397.9166666666667</v>
      </c>
      <c r="AM41" s="18">
        <f t="shared" si="17"/>
        <v>645.83333333333337</v>
      </c>
      <c r="AN41" s="18">
        <f t="shared" si="23"/>
        <v>623.33333333333337</v>
      </c>
      <c r="AO41" s="18">
        <f t="shared" si="24"/>
        <v>739</v>
      </c>
      <c r="AP41" s="18">
        <f t="shared" si="25"/>
        <v>108.33333333333333</v>
      </c>
      <c r="AQ41" s="18">
        <f t="shared" si="26"/>
        <v>325</v>
      </c>
      <c r="AR41" s="18">
        <f t="shared" si="26"/>
        <v>0</v>
      </c>
      <c r="AS41" s="18">
        <f t="shared" si="27"/>
        <v>108.33333333333333</v>
      </c>
      <c r="AT41" s="18">
        <f t="shared" si="29"/>
        <v>78.900000000000006</v>
      </c>
      <c r="AU41" s="18"/>
      <c r="AV41" s="18"/>
      <c r="AW41" s="18">
        <f t="shared" si="28"/>
        <v>56251.608333333337</v>
      </c>
      <c r="AX41" s="4"/>
      <c r="AY41" s="4"/>
    </row>
    <row r="42" spans="1:51">
      <c r="A42" s="7" t="s">
        <v>50</v>
      </c>
      <c r="B42" s="7">
        <f t="shared" si="9"/>
        <v>2016</v>
      </c>
      <c r="C42" s="29" t="s">
        <v>47</v>
      </c>
      <c r="D42" s="18"/>
      <c r="E42" s="18"/>
      <c r="F42" s="18">
        <f t="shared" si="3"/>
        <v>0</v>
      </c>
      <c r="G42" s="123">
        <f>SUM(F$5:F42)</f>
        <v>3375096.5</v>
      </c>
      <c r="H42" s="114"/>
      <c r="I42" s="339">
        <v>57129.02</v>
      </c>
      <c r="J42" s="20">
        <f t="shared" si="10"/>
        <v>1324215.1000000001</v>
      </c>
      <c r="K42" s="114"/>
      <c r="L42" s="18">
        <f t="shared" si="5"/>
        <v>2050881.4</v>
      </c>
      <c r="N42" s="18">
        <f t="shared" si="18"/>
        <v>325</v>
      </c>
      <c r="O42" s="18">
        <f t="shared" si="19"/>
        <v>287.5</v>
      </c>
      <c r="P42" s="18">
        <f t="shared" si="20"/>
        <v>971.66666666666663</v>
      </c>
      <c r="Q42" s="18">
        <f t="shared" si="21"/>
        <v>1389.1666666666667</v>
      </c>
      <c r="R42" s="18">
        <f t="shared" si="22"/>
        <v>1343.5833333333333</v>
      </c>
      <c r="S42" s="18">
        <f t="shared" si="16"/>
        <v>1114.4166666666667</v>
      </c>
      <c r="T42" s="18">
        <f t="shared" si="16"/>
        <v>1459.1666666666667</v>
      </c>
      <c r="U42" s="18">
        <f t="shared" si="16"/>
        <v>1601.6666666666667</v>
      </c>
      <c r="V42" s="18">
        <f t="shared" si="16"/>
        <v>957.5</v>
      </c>
      <c r="W42" s="18">
        <f t="shared" si="16"/>
        <v>1866.2333333333333</v>
      </c>
      <c r="X42" s="18">
        <f t="shared" si="16"/>
        <v>2127.0833333333335</v>
      </c>
      <c r="Y42" s="18">
        <f t="shared" si="16"/>
        <v>1868</v>
      </c>
      <c r="Z42" s="18">
        <f t="shared" si="16"/>
        <v>1777.9166666666667</v>
      </c>
      <c r="AA42" s="18">
        <f t="shared" si="16"/>
        <v>1753.3333333333333</v>
      </c>
      <c r="AB42" s="18">
        <f t="shared" si="16"/>
        <v>3310</v>
      </c>
      <c r="AC42" s="18">
        <f t="shared" si="16"/>
        <v>5251.1833333333334</v>
      </c>
      <c r="AD42" s="18">
        <f t="shared" si="16"/>
        <v>3934.3083333333334</v>
      </c>
      <c r="AE42" s="18">
        <f t="shared" ref="S42:AK50" si="30">+AE41</f>
        <v>2790.8666666666668</v>
      </c>
      <c r="AF42" s="18">
        <f t="shared" si="30"/>
        <v>3824.5</v>
      </c>
      <c r="AG42" s="18">
        <f t="shared" si="30"/>
        <v>2217.4499999999998</v>
      </c>
      <c r="AH42" s="18">
        <f t="shared" si="30"/>
        <v>1762.5</v>
      </c>
      <c r="AI42" s="18">
        <f t="shared" si="30"/>
        <v>3262.4166666666665</v>
      </c>
      <c r="AJ42" s="18">
        <f t="shared" si="30"/>
        <v>2745.3</v>
      </c>
      <c r="AK42" s="18">
        <f t="shared" si="30"/>
        <v>4284.2</v>
      </c>
      <c r="AL42" s="18">
        <f t="shared" si="15"/>
        <v>1397.9166666666667</v>
      </c>
      <c r="AM42" s="18">
        <f t="shared" si="17"/>
        <v>645.83333333333337</v>
      </c>
      <c r="AN42" s="18">
        <f t="shared" si="23"/>
        <v>623.33333333333337</v>
      </c>
      <c r="AO42" s="18">
        <f t="shared" si="24"/>
        <v>739</v>
      </c>
      <c r="AP42" s="18">
        <f t="shared" si="25"/>
        <v>108.33333333333333</v>
      </c>
      <c r="AQ42" s="18">
        <f t="shared" si="26"/>
        <v>325</v>
      </c>
      <c r="AR42" s="18">
        <f t="shared" si="26"/>
        <v>0</v>
      </c>
      <c r="AS42" s="18">
        <f t="shared" si="27"/>
        <v>108.33333333333333</v>
      </c>
      <c r="AT42" s="18">
        <f t="shared" si="29"/>
        <v>78.900000000000006</v>
      </c>
      <c r="AU42" s="18"/>
      <c r="AV42" s="18"/>
      <c r="AW42" s="18">
        <f t="shared" si="28"/>
        <v>56251.608333333337</v>
      </c>
      <c r="AX42" s="4"/>
      <c r="AY42" s="4"/>
    </row>
    <row r="43" spans="1:51">
      <c r="A43" s="7" t="s">
        <v>51</v>
      </c>
      <c r="B43" s="7">
        <f t="shared" si="9"/>
        <v>2016</v>
      </c>
      <c r="C43" s="29" t="s">
        <v>47</v>
      </c>
      <c r="D43" s="18"/>
      <c r="E43" s="18"/>
      <c r="F43" s="18">
        <f t="shared" si="3"/>
        <v>0</v>
      </c>
      <c r="G43" s="123">
        <f>SUM(F$5:F43)</f>
        <v>3375096.5</v>
      </c>
      <c r="H43" s="114"/>
      <c r="I43" s="471">
        <f>60528.19-108.34</f>
        <v>60419.850000000006</v>
      </c>
      <c r="J43" s="20">
        <f t="shared" si="10"/>
        <v>1384634.9500000002</v>
      </c>
      <c r="K43" s="114"/>
      <c r="L43" s="18">
        <f t="shared" si="5"/>
        <v>1990461.5499999998</v>
      </c>
      <c r="N43" s="18">
        <f t="shared" si="18"/>
        <v>325</v>
      </c>
      <c r="O43" s="18">
        <f t="shared" si="19"/>
        <v>287.5</v>
      </c>
      <c r="P43" s="18">
        <f t="shared" si="20"/>
        <v>971.66666666666663</v>
      </c>
      <c r="Q43" s="18">
        <f t="shared" si="21"/>
        <v>1389.1666666666667</v>
      </c>
      <c r="R43" s="18">
        <f t="shared" si="22"/>
        <v>1343.5833333333333</v>
      </c>
      <c r="S43" s="18">
        <f t="shared" si="30"/>
        <v>1114.4166666666667</v>
      </c>
      <c r="T43" s="18">
        <f t="shared" si="30"/>
        <v>1459.1666666666667</v>
      </c>
      <c r="U43" s="18">
        <f t="shared" si="30"/>
        <v>1601.6666666666667</v>
      </c>
      <c r="V43" s="18">
        <f t="shared" si="30"/>
        <v>957.5</v>
      </c>
      <c r="W43" s="18">
        <f t="shared" si="30"/>
        <v>1866.2333333333333</v>
      </c>
      <c r="X43" s="18">
        <f t="shared" si="30"/>
        <v>2127.0833333333335</v>
      </c>
      <c r="Y43" s="18">
        <f t="shared" si="30"/>
        <v>1868</v>
      </c>
      <c r="Z43" s="18">
        <f t="shared" si="30"/>
        <v>1777.9166666666667</v>
      </c>
      <c r="AA43" s="18">
        <f t="shared" si="30"/>
        <v>1753.3333333333333</v>
      </c>
      <c r="AB43" s="18">
        <f t="shared" si="30"/>
        <v>3310</v>
      </c>
      <c r="AC43" s="18">
        <f t="shared" si="30"/>
        <v>5251.1833333333334</v>
      </c>
      <c r="AD43" s="18">
        <f t="shared" si="30"/>
        <v>3934.3083333333334</v>
      </c>
      <c r="AE43" s="18">
        <f t="shared" si="30"/>
        <v>2790.8666666666668</v>
      </c>
      <c r="AF43" s="18">
        <f t="shared" si="30"/>
        <v>3824.5</v>
      </c>
      <c r="AG43" s="18">
        <f t="shared" si="30"/>
        <v>2217.4499999999998</v>
      </c>
      <c r="AH43" s="18">
        <f t="shared" si="30"/>
        <v>1762.5</v>
      </c>
      <c r="AI43" s="18">
        <f t="shared" si="30"/>
        <v>3262.4166666666665</v>
      </c>
      <c r="AJ43" s="18">
        <f t="shared" si="30"/>
        <v>2745.3</v>
      </c>
      <c r="AK43" s="18">
        <f t="shared" si="30"/>
        <v>4284.2</v>
      </c>
      <c r="AL43" s="18">
        <f t="shared" si="15"/>
        <v>1397.9166666666667</v>
      </c>
      <c r="AM43" s="18">
        <f t="shared" si="17"/>
        <v>645.83333333333337</v>
      </c>
      <c r="AN43" s="18">
        <f t="shared" si="23"/>
        <v>623.33333333333337</v>
      </c>
      <c r="AO43" s="18">
        <f t="shared" si="24"/>
        <v>739</v>
      </c>
      <c r="AP43" s="18">
        <f t="shared" si="25"/>
        <v>108.33333333333333</v>
      </c>
      <c r="AQ43" s="18">
        <f t="shared" si="26"/>
        <v>325</v>
      </c>
      <c r="AR43" s="18">
        <f t="shared" si="26"/>
        <v>0</v>
      </c>
      <c r="AS43" s="18">
        <f t="shared" si="27"/>
        <v>108.33333333333333</v>
      </c>
      <c r="AT43" s="18">
        <f t="shared" si="29"/>
        <v>78.900000000000006</v>
      </c>
      <c r="AU43" s="18"/>
      <c r="AV43" s="18"/>
      <c r="AW43" s="18">
        <f t="shared" si="28"/>
        <v>56251.608333333337</v>
      </c>
      <c r="AX43" s="4"/>
      <c r="AY43" s="4"/>
    </row>
    <row r="44" spans="1:51" s="4" customFormat="1">
      <c r="A44" s="124" t="s">
        <v>52</v>
      </c>
      <c r="B44" s="124">
        <f t="shared" si="9"/>
        <v>2016</v>
      </c>
      <c r="C44" s="124" t="s">
        <v>47</v>
      </c>
      <c r="D44" s="121"/>
      <c r="E44" s="121"/>
      <c r="F44" s="121">
        <f t="shared" si="3"/>
        <v>0</v>
      </c>
      <c r="G44" s="125">
        <f>SUM(F$5:F44)</f>
        <v>3375096.5</v>
      </c>
      <c r="H44" s="114"/>
      <c r="I44" s="472">
        <f>62773.47-108.34</f>
        <v>62665.130000000005</v>
      </c>
      <c r="J44" s="121">
        <f t="shared" si="10"/>
        <v>1447300.08</v>
      </c>
      <c r="K44" s="116"/>
      <c r="L44" s="121">
        <f t="shared" si="5"/>
        <v>1927796.42</v>
      </c>
      <c r="N44" s="121">
        <f t="shared" si="18"/>
        <v>325</v>
      </c>
      <c r="O44" s="121">
        <f t="shared" si="19"/>
        <v>287.5</v>
      </c>
      <c r="P44" s="121">
        <f t="shared" si="20"/>
        <v>971.66666666666663</v>
      </c>
      <c r="Q44" s="121">
        <f t="shared" si="21"/>
        <v>1389.1666666666667</v>
      </c>
      <c r="R44" s="121">
        <f t="shared" si="22"/>
        <v>1343.5833333333333</v>
      </c>
      <c r="S44" s="121">
        <f>+S43</f>
        <v>1114.4166666666667</v>
      </c>
      <c r="T44" s="121">
        <f>+T43</f>
        <v>1459.1666666666667</v>
      </c>
      <c r="U44" s="121">
        <f>+U43</f>
        <v>1601.6666666666667</v>
      </c>
      <c r="V44" s="121">
        <f t="shared" si="30"/>
        <v>957.5</v>
      </c>
      <c r="W44" s="121">
        <f t="shared" si="30"/>
        <v>1866.2333333333333</v>
      </c>
      <c r="X44" s="121">
        <f t="shared" si="30"/>
        <v>2127.0833333333335</v>
      </c>
      <c r="Y44" s="121">
        <f t="shared" si="30"/>
        <v>1868</v>
      </c>
      <c r="Z44" s="121">
        <f t="shared" si="30"/>
        <v>1777.9166666666667</v>
      </c>
      <c r="AA44" s="121">
        <f t="shared" si="30"/>
        <v>1753.3333333333333</v>
      </c>
      <c r="AB44" s="121">
        <f t="shared" si="30"/>
        <v>3310</v>
      </c>
      <c r="AC44" s="121">
        <f t="shared" si="30"/>
        <v>5251.1833333333334</v>
      </c>
      <c r="AD44" s="37">
        <f t="shared" si="30"/>
        <v>3934.3083333333334</v>
      </c>
      <c r="AE44" s="37">
        <f t="shared" si="30"/>
        <v>2790.8666666666668</v>
      </c>
      <c r="AF44" s="37">
        <f t="shared" si="30"/>
        <v>3824.5</v>
      </c>
      <c r="AG44" s="37">
        <f t="shared" si="30"/>
        <v>2217.4499999999998</v>
      </c>
      <c r="AH44" s="37">
        <f t="shared" si="30"/>
        <v>1762.5</v>
      </c>
      <c r="AI44" s="37">
        <f t="shared" si="30"/>
        <v>3262.4166666666665</v>
      </c>
      <c r="AJ44" s="37">
        <f t="shared" si="30"/>
        <v>2745.3</v>
      </c>
      <c r="AK44" s="37">
        <f t="shared" si="30"/>
        <v>4284.2</v>
      </c>
      <c r="AL44" s="121">
        <f t="shared" si="15"/>
        <v>1397.9166666666667</v>
      </c>
      <c r="AM44" s="121">
        <f t="shared" si="17"/>
        <v>645.83333333333337</v>
      </c>
      <c r="AN44" s="121">
        <f t="shared" si="23"/>
        <v>623.33333333333337</v>
      </c>
      <c r="AO44" s="121">
        <f t="shared" si="24"/>
        <v>739</v>
      </c>
      <c r="AP44" s="121">
        <f t="shared" si="25"/>
        <v>108.33333333333333</v>
      </c>
      <c r="AQ44" s="121">
        <f t="shared" si="26"/>
        <v>325</v>
      </c>
      <c r="AR44" s="18">
        <f t="shared" si="26"/>
        <v>0</v>
      </c>
      <c r="AS44" s="121">
        <f t="shared" si="27"/>
        <v>108.33333333333333</v>
      </c>
      <c r="AT44" s="121">
        <f t="shared" si="29"/>
        <v>78.900000000000006</v>
      </c>
      <c r="AU44" s="121"/>
      <c r="AV44" s="121"/>
      <c r="AW44" s="121">
        <f t="shared" si="28"/>
        <v>56251.608333333337</v>
      </c>
    </row>
    <row r="45" spans="1:51">
      <c r="A45" s="7" t="s">
        <v>53</v>
      </c>
      <c r="B45" s="7">
        <f t="shared" si="9"/>
        <v>2017</v>
      </c>
      <c r="C45" s="29" t="s">
        <v>47</v>
      </c>
      <c r="D45" s="18"/>
      <c r="E45" s="18"/>
      <c r="F45" s="18">
        <f>F44</f>
        <v>0</v>
      </c>
      <c r="G45" s="123">
        <f>SUM(F$5:F45)</f>
        <v>3375096.5</v>
      </c>
      <c r="H45" s="114"/>
      <c r="I45" s="471">
        <f>64523.96-108.34</f>
        <v>64415.62</v>
      </c>
      <c r="J45" s="20">
        <f t="shared" si="10"/>
        <v>1511715.7000000002</v>
      </c>
      <c r="K45" s="114"/>
      <c r="L45" s="18">
        <f t="shared" si="5"/>
        <v>1863380.7999999998</v>
      </c>
      <c r="N45" s="18">
        <f t="shared" si="18"/>
        <v>325</v>
      </c>
      <c r="O45" s="18">
        <f t="shared" si="19"/>
        <v>287.5</v>
      </c>
      <c r="P45" s="18">
        <f t="shared" si="20"/>
        <v>971.66666666666663</v>
      </c>
      <c r="Q45" s="18">
        <f t="shared" si="21"/>
        <v>1389.1666666666667</v>
      </c>
      <c r="R45" s="18">
        <f t="shared" si="22"/>
        <v>1343.5833333333333</v>
      </c>
      <c r="S45" s="18">
        <f t="shared" si="30"/>
        <v>1114.4166666666667</v>
      </c>
      <c r="T45" s="18">
        <f t="shared" si="30"/>
        <v>1459.1666666666667</v>
      </c>
      <c r="U45" s="18">
        <f t="shared" si="30"/>
        <v>1601.6666666666667</v>
      </c>
      <c r="V45" s="18">
        <f t="shared" si="30"/>
        <v>957.5</v>
      </c>
      <c r="W45" s="18">
        <f t="shared" si="30"/>
        <v>1866.2333333333333</v>
      </c>
      <c r="X45" s="18">
        <f t="shared" si="30"/>
        <v>2127.0833333333335</v>
      </c>
      <c r="Y45" s="18">
        <f t="shared" si="30"/>
        <v>1868</v>
      </c>
      <c r="Z45" s="18">
        <f t="shared" si="30"/>
        <v>1777.9166666666667</v>
      </c>
      <c r="AA45" s="18">
        <f t="shared" si="30"/>
        <v>1753.3333333333333</v>
      </c>
      <c r="AB45" s="18">
        <f t="shared" si="30"/>
        <v>3310</v>
      </c>
      <c r="AC45" s="18">
        <f t="shared" si="30"/>
        <v>5251.1833333333334</v>
      </c>
      <c r="AD45" s="18">
        <f t="shared" si="30"/>
        <v>3934.3083333333334</v>
      </c>
      <c r="AE45" s="18">
        <f t="shared" si="30"/>
        <v>2790.8666666666668</v>
      </c>
      <c r="AF45" s="18">
        <f t="shared" si="30"/>
        <v>3824.5</v>
      </c>
      <c r="AG45" s="18">
        <f t="shared" si="30"/>
        <v>2217.4499999999998</v>
      </c>
      <c r="AH45" s="18">
        <f t="shared" si="30"/>
        <v>1762.5</v>
      </c>
      <c r="AI45" s="18">
        <f t="shared" si="30"/>
        <v>3262.4166666666665</v>
      </c>
      <c r="AJ45" s="18">
        <f t="shared" si="30"/>
        <v>2745.3</v>
      </c>
      <c r="AK45" s="18">
        <f t="shared" si="30"/>
        <v>4284.2</v>
      </c>
      <c r="AL45" s="18">
        <f t="shared" si="15"/>
        <v>1397.9166666666667</v>
      </c>
      <c r="AM45" s="18">
        <f t="shared" si="17"/>
        <v>645.83333333333337</v>
      </c>
      <c r="AN45" s="18">
        <f t="shared" si="23"/>
        <v>623.33333333333337</v>
      </c>
      <c r="AO45" s="18">
        <f t="shared" si="24"/>
        <v>739</v>
      </c>
      <c r="AP45" s="18">
        <f t="shared" si="25"/>
        <v>108.33333333333333</v>
      </c>
      <c r="AQ45" s="18">
        <f t="shared" si="26"/>
        <v>325</v>
      </c>
      <c r="AR45" s="18">
        <f t="shared" si="26"/>
        <v>0</v>
      </c>
      <c r="AS45" s="18">
        <f t="shared" si="27"/>
        <v>108.33333333333333</v>
      </c>
      <c r="AT45" s="18">
        <f t="shared" si="29"/>
        <v>78.900000000000006</v>
      </c>
      <c r="AU45" s="18"/>
      <c r="AV45" s="18"/>
      <c r="AW45" s="18">
        <f t="shared" si="28"/>
        <v>56251.608333333337</v>
      </c>
      <c r="AX45" s="4"/>
      <c r="AY45" s="4"/>
    </row>
    <row r="46" spans="1:51">
      <c r="A46" s="7" t="s">
        <v>54</v>
      </c>
      <c r="B46" s="7">
        <f t="shared" si="9"/>
        <v>2017</v>
      </c>
      <c r="C46" s="29" t="s">
        <v>47</v>
      </c>
      <c r="D46" s="18"/>
      <c r="E46" s="18"/>
      <c r="F46" s="18">
        <f t="shared" ref="F46:F96" si="31">F45</f>
        <v>0</v>
      </c>
      <c r="G46" s="123">
        <f>SUM(F$5:F46)</f>
        <v>3375096.5</v>
      </c>
      <c r="H46" s="114"/>
      <c r="I46" s="471">
        <f>49903.36-108.34</f>
        <v>49795.020000000004</v>
      </c>
      <c r="J46" s="20">
        <f t="shared" si="10"/>
        <v>1561510.7200000002</v>
      </c>
      <c r="K46" s="114"/>
      <c r="L46" s="18">
        <f t="shared" si="5"/>
        <v>1813585.7799999998</v>
      </c>
      <c r="N46" s="18">
        <f t="shared" si="18"/>
        <v>325</v>
      </c>
      <c r="O46" s="18">
        <f t="shared" si="19"/>
        <v>287.5</v>
      </c>
      <c r="P46" s="18">
        <f t="shared" si="20"/>
        <v>971.66666666666663</v>
      </c>
      <c r="Q46" s="18">
        <f t="shared" si="21"/>
        <v>1389.1666666666667</v>
      </c>
      <c r="R46" s="20">
        <f t="shared" si="22"/>
        <v>1343.5833333333333</v>
      </c>
      <c r="S46" s="20">
        <f t="shared" si="30"/>
        <v>1114.4166666666667</v>
      </c>
      <c r="T46" s="20">
        <f t="shared" si="30"/>
        <v>1459.1666666666667</v>
      </c>
      <c r="U46" s="20">
        <f t="shared" si="30"/>
        <v>1601.6666666666667</v>
      </c>
      <c r="V46" s="20">
        <f t="shared" si="30"/>
        <v>957.5</v>
      </c>
      <c r="W46" s="20">
        <f t="shared" si="30"/>
        <v>1866.2333333333333</v>
      </c>
      <c r="X46" s="20">
        <f t="shared" si="30"/>
        <v>2127.0833333333335</v>
      </c>
      <c r="Y46" s="20">
        <f t="shared" si="30"/>
        <v>1868</v>
      </c>
      <c r="Z46" s="20">
        <f t="shared" si="30"/>
        <v>1777.9166666666667</v>
      </c>
      <c r="AA46" s="20">
        <f t="shared" si="30"/>
        <v>1753.3333333333333</v>
      </c>
      <c r="AB46" s="20">
        <f t="shared" si="30"/>
        <v>3310</v>
      </c>
      <c r="AC46" s="20">
        <f t="shared" si="30"/>
        <v>5251.1833333333334</v>
      </c>
      <c r="AD46" s="20">
        <f t="shared" si="30"/>
        <v>3934.3083333333334</v>
      </c>
      <c r="AE46" s="20">
        <f t="shared" si="30"/>
        <v>2790.8666666666668</v>
      </c>
      <c r="AF46" s="20">
        <f t="shared" si="30"/>
        <v>3824.5</v>
      </c>
      <c r="AG46" s="20">
        <f t="shared" si="30"/>
        <v>2217.4499999999998</v>
      </c>
      <c r="AH46" s="20">
        <f t="shared" si="30"/>
        <v>1762.5</v>
      </c>
      <c r="AI46" s="20">
        <f t="shared" si="30"/>
        <v>3262.4166666666665</v>
      </c>
      <c r="AJ46" s="20">
        <f t="shared" si="30"/>
        <v>2745.3</v>
      </c>
      <c r="AK46" s="20">
        <f t="shared" si="30"/>
        <v>4284.2</v>
      </c>
      <c r="AL46" s="18">
        <f t="shared" si="15"/>
        <v>1397.9166666666667</v>
      </c>
      <c r="AM46" s="18">
        <f t="shared" si="17"/>
        <v>645.83333333333337</v>
      </c>
      <c r="AN46" s="18">
        <f t="shared" si="23"/>
        <v>623.33333333333337</v>
      </c>
      <c r="AO46" s="18">
        <f t="shared" si="24"/>
        <v>739</v>
      </c>
      <c r="AP46" s="18">
        <f t="shared" si="25"/>
        <v>108.33333333333333</v>
      </c>
      <c r="AQ46" s="18">
        <f t="shared" si="26"/>
        <v>325</v>
      </c>
      <c r="AR46" s="18">
        <f t="shared" si="26"/>
        <v>0</v>
      </c>
      <c r="AS46" s="18">
        <f t="shared" si="27"/>
        <v>108.33333333333333</v>
      </c>
      <c r="AT46" s="18">
        <f t="shared" si="29"/>
        <v>78.900000000000006</v>
      </c>
      <c r="AU46" s="18"/>
      <c r="AV46" s="18"/>
      <c r="AW46" s="18">
        <f t="shared" si="28"/>
        <v>56251.608333333337</v>
      </c>
      <c r="AX46" s="4"/>
      <c r="AY46" s="4"/>
    </row>
    <row r="47" spans="1:51">
      <c r="A47" s="7" t="s">
        <v>55</v>
      </c>
      <c r="B47" s="7">
        <f t="shared" si="9"/>
        <v>2017</v>
      </c>
      <c r="C47" s="29" t="s">
        <v>47</v>
      </c>
      <c r="D47" s="18"/>
      <c r="E47" s="18"/>
      <c r="F47" s="18">
        <f t="shared" si="31"/>
        <v>0</v>
      </c>
      <c r="G47" s="123">
        <f>SUM(F$5:F47)</f>
        <v>3375096.5</v>
      </c>
      <c r="H47" s="114"/>
      <c r="I47" s="471">
        <f>63683.48-108.34</f>
        <v>63575.140000000007</v>
      </c>
      <c r="J47" s="20">
        <f t="shared" si="10"/>
        <v>1625085.86</v>
      </c>
      <c r="K47" s="114"/>
      <c r="L47" s="18">
        <f t="shared" si="5"/>
        <v>1750010.64</v>
      </c>
      <c r="N47" s="18">
        <f t="shared" ref="N47:U62" si="32">+N46</f>
        <v>325</v>
      </c>
      <c r="O47" s="18">
        <f t="shared" si="32"/>
        <v>287.5</v>
      </c>
      <c r="P47" s="18">
        <f t="shared" si="32"/>
        <v>971.66666666666663</v>
      </c>
      <c r="Q47" s="18">
        <f t="shared" si="32"/>
        <v>1389.1666666666667</v>
      </c>
      <c r="R47" s="20">
        <f t="shared" si="32"/>
        <v>1343.5833333333333</v>
      </c>
      <c r="S47" s="20">
        <f t="shared" si="30"/>
        <v>1114.4166666666667</v>
      </c>
      <c r="T47" s="20">
        <f t="shared" si="30"/>
        <v>1459.1666666666667</v>
      </c>
      <c r="U47" s="20">
        <f t="shared" si="30"/>
        <v>1601.6666666666667</v>
      </c>
      <c r="V47" s="20">
        <f t="shared" si="30"/>
        <v>957.5</v>
      </c>
      <c r="W47" s="20">
        <f t="shared" si="30"/>
        <v>1866.2333333333333</v>
      </c>
      <c r="X47" s="20">
        <f t="shared" si="30"/>
        <v>2127.0833333333335</v>
      </c>
      <c r="Y47" s="20">
        <f t="shared" si="30"/>
        <v>1868</v>
      </c>
      <c r="Z47" s="20">
        <f t="shared" si="30"/>
        <v>1777.9166666666667</v>
      </c>
      <c r="AA47" s="20">
        <f t="shared" si="30"/>
        <v>1753.3333333333333</v>
      </c>
      <c r="AB47" s="20">
        <f t="shared" si="30"/>
        <v>3310</v>
      </c>
      <c r="AC47" s="20">
        <f t="shared" si="30"/>
        <v>5251.1833333333334</v>
      </c>
      <c r="AD47" s="20">
        <f t="shared" si="30"/>
        <v>3934.3083333333334</v>
      </c>
      <c r="AE47" s="20">
        <f t="shared" si="30"/>
        <v>2790.8666666666668</v>
      </c>
      <c r="AF47" s="20">
        <f t="shared" si="30"/>
        <v>3824.5</v>
      </c>
      <c r="AG47" s="20">
        <f t="shared" si="30"/>
        <v>2217.4499999999998</v>
      </c>
      <c r="AH47" s="20">
        <f t="shared" si="30"/>
        <v>1762.5</v>
      </c>
      <c r="AI47" s="20">
        <f t="shared" si="30"/>
        <v>3262.4166666666665</v>
      </c>
      <c r="AJ47" s="20">
        <f t="shared" si="30"/>
        <v>2745.3</v>
      </c>
      <c r="AK47" s="20">
        <f t="shared" si="30"/>
        <v>4284.2</v>
      </c>
      <c r="AL47" s="18">
        <f t="shared" si="15"/>
        <v>1397.9166666666667</v>
      </c>
      <c r="AM47" s="18">
        <f t="shared" si="17"/>
        <v>645.83333333333337</v>
      </c>
      <c r="AN47" s="18">
        <f t="shared" si="23"/>
        <v>623.33333333333337</v>
      </c>
      <c r="AO47" s="18">
        <f t="shared" si="24"/>
        <v>739</v>
      </c>
      <c r="AP47" s="18">
        <f t="shared" si="25"/>
        <v>108.33333333333333</v>
      </c>
      <c r="AQ47" s="18">
        <f t="shared" si="26"/>
        <v>325</v>
      </c>
      <c r="AR47" s="18">
        <f t="shared" si="26"/>
        <v>0</v>
      </c>
      <c r="AS47" s="18">
        <f t="shared" si="27"/>
        <v>108.33333333333333</v>
      </c>
      <c r="AT47" s="18">
        <f t="shared" si="29"/>
        <v>78.900000000000006</v>
      </c>
      <c r="AU47" s="18"/>
      <c r="AV47" s="18"/>
      <c r="AW47" s="18">
        <f t="shared" si="28"/>
        <v>56251.608333333337</v>
      </c>
      <c r="AX47" s="4"/>
      <c r="AY47" s="4"/>
    </row>
    <row r="48" spans="1:51">
      <c r="A48" s="7" t="s">
        <v>56</v>
      </c>
      <c r="B48" s="7">
        <f t="shared" si="9"/>
        <v>2017</v>
      </c>
      <c r="C48" s="29" t="s">
        <v>47</v>
      </c>
      <c r="D48" s="18"/>
      <c r="E48" s="18"/>
      <c r="F48" s="18">
        <f t="shared" si="31"/>
        <v>0</v>
      </c>
      <c r="G48" s="123">
        <f>SUM(F$5:F48)</f>
        <v>3375096.5</v>
      </c>
      <c r="H48" s="114"/>
      <c r="I48" s="471">
        <f>48980.02-108.34</f>
        <v>48871.68</v>
      </c>
      <c r="J48" s="20">
        <f t="shared" si="10"/>
        <v>1673957.54</v>
      </c>
      <c r="K48" s="114"/>
      <c r="L48" s="18">
        <f t="shared" si="5"/>
        <v>1701138.96</v>
      </c>
      <c r="N48" s="18">
        <f t="shared" si="32"/>
        <v>325</v>
      </c>
      <c r="O48" s="18">
        <f t="shared" si="32"/>
        <v>287.5</v>
      </c>
      <c r="P48" s="18">
        <f t="shared" si="32"/>
        <v>971.66666666666663</v>
      </c>
      <c r="Q48" s="18">
        <f t="shared" si="32"/>
        <v>1389.1666666666667</v>
      </c>
      <c r="R48" s="18">
        <f t="shared" si="32"/>
        <v>1343.5833333333333</v>
      </c>
      <c r="S48" s="18">
        <f t="shared" si="30"/>
        <v>1114.4166666666667</v>
      </c>
      <c r="T48" s="18">
        <f t="shared" si="30"/>
        <v>1459.1666666666667</v>
      </c>
      <c r="U48" s="18">
        <f t="shared" si="30"/>
        <v>1601.6666666666667</v>
      </c>
      <c r="V48" s="18">
        <f t="shared" si="30"/>
        <v>957.5</v>
      </c>
      <c r="W48" s="18">
        <f t="shared" si="30"/>
        <v>1866.2333333333333</v>
      </c>
      <c r="X48" s="18">
        <f t="shared" si="30"/>
        <v>2127.0833333333335</v>
      </c>
      <c r="Y48" s="18">
        <f t="shared" si="30"/>
        <v>1868</v>
      </c>
      <c r="Z48" s="18">
        <f t="shared" si="30"/>
        <v>1777.9166666666667</v>
      </c>
      <c r="AA48" s="18">
        <f t="shared" si="30"/>
        <v>1753.3333333333333</v>
      </c>
      <c r="AB48" s="18">
        <f t="shared" si="30"/>
        <v>3310</v>
      </c>
      <c r="AC48" s="18">
        <f t="shared" si="30"/>
        <v>5251.1833333333334</v>
      </c>
      <c r="AD48" s="18">
        <f t="shared" si="30"/>
        <v>3934.3083333333334</v>
      </c>
      <c r="AE48" s="18">
        <f t="shared" si="30"/>
        <v>2790.8666666666668</v>
      </c>
      <c r="AF48" s="18">
        <f t="shared" si="30"/>
        <v>3824.5</v>
      </c>
      <c r="AG48" s="18">
        <f t="shared" si="30"/>
        <v>2217.4499999999998</v>
      </c>
      <c r="AH48" s="18">
        <f t="shared" si="30"/>
        <v>1762.5</v>
      </c>
      <c r="AI48" s="18">
        <f t="shared" si="30"/>
        <v>3262.4166666666665</v>
      </c>
      <c r="AJ48" s="18">
        <f t="shared" si="30"/>
        <v>2745.3</v>
      </c>
      <c r="AK48" s="18">
        <f t="shared" si="30"/>
        <v>4284.2</v>
      </c>
      <c r="AL48" s="18">
        <f t="shared" si="15"/>
        <v>1397.9166666666667</v>
      </c>
      <c r="AM48" s="18">
        <f t="shared" si="17"/>
        <v>645.83333333333337</v>
      </c>
      <c r="AN48" s="18">
        <f t="shared" si="23"/>
        <v>623.33333333333337</v>
      </c>
      <c r="AO48" s="18">
        <f t="shared" si="24"/>
        <v>739</v>
      </c>
      <c r="AP48" s="18">
        <f t="shared" si="25"/>
        <v>108.33333333333333</v>
      </c>
      <c r="AQ48" s="18">
        <f t="shared" si="26"/>
        <v>325</v>
      </c>
      <c r="AR48" s="18">
        <f t="shared" si="26"/>
        <v>0</v>
      </c>
      <c r="AS48" s="18">
        <f t="shared" si="27"/>
        <v>108.33333333333333</v>
      </c>
      <c r="AT48" s="18">
        <f t="shared" si="29"/>
        <v>78.900000000000006</v>
      </c>
      <c r="AU48" s="18"/>
      <c r="AV48" s="18"/>
      <c r="AW48" s="18">
        <f t="shared" si="28"/>
        <v>56251.608333333337</v>
      </c>
      <c r="AX48" s="4"/>
      <c r="AY48" s="4"/>
    </row>
    <row r="49" spans="1:51">
      <c r="A49" s="7" t="s">
        <v>57</v>
      </c>
      <c r="B49" s="7">
        <f t="shared" si="9"/>
        <v>2017</v>
      </c>
      <c r="C49" s="29" t="s">
        <v>47</v>
      </c>
      <c r="D49" s="18"/>
      <c r="E49" s="18"/>
      <c r="F49" s="18">
        <f t="shared" si="31"/>
        <v>0</v>
      </c>
      <c r="G49" s="123">
        <f>SUM(F$5:F49)</f>
        <v>3375096.5</v>
      </c>
      <c r="H49" s="114"/>
      <c r="I49" s="471">
        <f>55558.66-108.34</f>
        <v>55450.320000000007</v>
      </c>
      <c r="J49" s="20">
        <f t="shared" si="10"/>
        <v>1729407.86</v>
      </c>
      <c r="K49" s="114"/>
      <c r="L49" s="18">
        <f t="shared" si="5"/>
        <v>1645688.64</v>
      </c>
      <c r="N49" s="18">
        <f t="shared" si="32"/>
        <v>325</v>
      </c>
      <c r="O49" s="18">
        <f t="shared" si="32"/>
        <v>287.5</v>
      </c>
      <c r="P49" s="18">
        <f t="shared" si="32"/>
        <v>971.66666666666663</v>
      </c>
      <c r="Q49" s="18">
        <f t="shared" si="32"/>
        <v>1389.1666666666667</v>
      </c>
      <c r="R49" s="18">
        <f t="shared" si="32"/>
        <v>1343.5833333333333</v>
      </c>
      <c r="S49" s="18">
        <f t="shared" si="30"/>
        <v>1114.4166666666667</v>
      </c>
      <c r="T49" s="18">
        <f t="shared" si="30"/>
        <v>1459.1666666666667</v>
      </c>
      <c r="U49" s="18">
        <f t="shared" si="30"/>
        <v>1601.6666666666667</v>
      </c>
      <c r="V49" s="18">
        <f t="shared" si="30"/>
        <v>957.5</v>
      </c>
      <c r="W49" s="18">
        <f t="shared" si="30"/>
        <v>1866.2333333333333</v>
      </c>
      <c r="X49" s="18">
        <f t="shared" si="30"/>
        <v>2127.0833333333335</v>
      </c>
      <c r="Y49" s="18">
        <f t="shared" si="30"/>
        <v>1868</v>
      </c>
      <c r="Z49" s="18">
        <f t="shared" si="30"/>
        <v>1777.9166666666667</v>
      </c>
      <c r="AA49" s="18">
        <f t="shared" si="30"/>
        <v>1753.3333333333333</v>
      </c>
      <c r="AB49" s="18">
        <f t="shared" si="30"/>
        <v>3310</v>
      </c>
      <c r="AC49" s="18">
        <f t="shared" si="30"/>
        <v>5251.1833333333334</v>
      </c>
      <c r="AD49" s="18">
        <f t="shared" si="30"/>
        <v>3934.3083333333334</v>
      </c>
      <c r="AE49" s="18">
        <f t="shared" si="30"/>
        <v>2790.8666666666668</v>
      </c>
      <c r="AF49" s="18">
        <f t="shared" si="30"/>
        <v>3824.5</v>
      </c>
      <c r="AG49" s="18">
        <f t="shared" si="30"/>
        <v>2217.4499999999998</v>
      </c>
      <c r="AH49" s="18">
        <f t="shared" si="30"/>
        <v>1762.5</v>
      </c>
      <c r="AI49" s="18">
        <f t="shared" si="30"/>
        <v>3262.4166666666665</v>
      </c>
      <c r="AJ49" s="18">
        <f t="shared" si="30"/>
        <v>2745.3</v>
      </c>
      <c r="AK49" s="18">
        <f t="shared" si="30"/>
        <v>4284.2</v>
      </c>
      <c r="AL49" s="18">
        <f t="shared" si="15"/>
        <v>1397.9166666666667</v>
      </c>
      <c r="AM49" s="18">
        <f t="shared" si="17"/>
        <v>645.83333333333337</v>
      </c>
      <c r="AN49" s="18">
        <f t="shared" si="23"/>
        <v>623.33333333333337</v>
      </c>
      <c r="AO49" s="18">
        <f t="shared" si="24"/>
        <v>739</v>
      </c>
      <c r="AP49" s="18">
        <f t="shared" si="25"/>
        <v>108.33333333333333</v>
      </c>
      <c r="AQ49" s="18">
        <f t="shared" si="26"/>
        <v>325</v>
      </c>
      <c r="AR49" s="18">
        <f t="shared" si="26"/>
        <v>0</v>
      </c>
      <c r="AS49" s="18">
        <f t="shared" si="27"/>
        <v>108.33333333333333</v>
      </c>
      <c r="AT49" s="18">
        <f t="shared" si="29"/>
        <v>78.900000000000006</v>
      </c>
      <c r="AU49" s="18"/>
      <c r="AV49" s="18"/>
      <c r="AW49" s="18">
        <f t="shared" si="28"/>
        <v>56251.608333333337</v>
      </c>
      <c r="AX49" s="4"/>
      <c r="AY49" s="4"/>
    </row>
    <row r="50" spans="1:51">
      <c r="A50" s="7" t="s">
        <v>58</v>
      </c>
      <c r="B50" s="7">
        <f t="shared" si="9"/>
        <v>2017</v>
      </c>
      <c r="C50" s="29" t="s">
        <v>47</v>
      </c>
      <c r="D50" s="18"/>
      <c r="E50" s="18"/>
      <c r="F50" s="18">
        <f t="shared" si="31"/>
        <v>0</v>
      </c>
      <c r="G50" s="123">
        <f>SUM(F$5:F50)</f>
        <v>3375096.5</v>
      </c>
      <c r="H50" s="114"/>
      <c r="I50" s="471">
        <f>56979.23-108.34</f>
        <v>56870.890000000007</v>
      </c>
      <c r="J50" s="20">
        <f t="shared" si="10"/>
        <v>1786278.75</v>
      </c>
      <c r="K50" s="114"/>
      <c r="L50" s="18">
        <f t="shared" si="5"/>
        <v>1588817.75</v>
      </c>
      <c r="N50" s="18">
        <f t="shared" si="32"/>
        <v>325</v>
      </c>
      <c r="O50" s="18">
        <f t="shared" si="32"/>
        <v>287.5</v>
      </c>
      <c r="P50" s="18">
        <f t="shared" si="32"/>
        <v>971.66666666666663</v>
      </c>
      <c r="Q50" s="18">
        <f t="shared" si="32"/>
        <v>1389.1666666666667</v>
      </c>
      <c r="R50" s="18">
        <f t="shared" si="32"/>
        <v>1343.5833333333333</v>
      </c>
      <c r="S50" s="18">
        <f t="shared" si="30"/>
        <v>1114.4166666666667</v>
      </c>
      <c r="T50" s="18">
        <f t="shared" si="30"/>
        <v>1459.1666666666667</v>
      </c>
      <c r="U50" s="18">
        <f t="shared" si="30"/>
        <v>1601.6666666666667</v>
      </c>
      <c r="V50" s="18">
        <f t="shared" si="30"/>
        <v>957.5</v>
      </c>
      <c r="W50" s="18">
        <f t="shared" si="30"/>
        <v>1866.2333333333333</v>
      </c>
      <c r="X50" s="18">
        <f t="shared" si="30"/>
        <v>2127.0833333333335</v>
      </c>
      <c r="Y50" s="18">
        <f t="shared" si="30"/>
        <v>1868</v>
      </c>
      <c r="Z50" s="18">
        <f t="shared" si="30"/>
        <v>1777.9166666666667</v>
      </c>
      <c r="AA50" s="18">
        <f t="shared" si="30"/>
        <v>1753.3333333333333</v>
      </c>
      <c r="AB50" s="18">
        <f t="shared" si="30"/>
        <v>3310</v>
      </c>
      <c r="AC50" s="18">
        <f t="shared" ref="S50:AK57" si="33">+AC49</f>
        <v>5251.1833333333334</v>
      </c>
      <c r="AD50" s="18">
        <f t="shared" si="33"/>
        <v>3934.3083333333334</v>
      </c>
      <c r="AE50" s="18">
        <f t="shared" si="33"/>
        <v>2790.8666666666668</v>
      </c>
      <c r="AF50" s="18">
        <f t="shared" si="33"/>
        <v>3824.5</v>
      </c>
      <c r="AG50" s="18">
        <f t="shared" si="33"/>
        <v>2217.4499999999998</v>
      </c>
      <c r="AH50" s="18">
        <f t="shared" si="33"/>
        <v>1762.5</v>
      </c>
      <c r="AI50" s="18">
        <f t="shared" si="33"/>
        <v>3262.4166666666665</v>
      </c>
      <c r="AJ50" s="18">
        <f t="shared" si="33"/>
        <v>2745.3</v>
      </c>
      <c r="AK50" s="18">
        <f t="shared" si="33"/>
        <v>4284.2</v>
      </c>
      <c r="AL50" s="18">
        <f t="shared" si="15"/>
        <v>1397.9166666666667</v>
      </c>
      <c r="AM50" s="18">
        <f t="shared" si="17"/>
        <v>645.83333333333337</v>
      </c>
      <c r="AN50" s="18">
        <f t="shared" si="23"/>
        <v>623.33333333333337</v>
      </c>
      <c r="AO50" s="18">
        <f t="shared" si="24"/>
        <v>739</v>
      </c>
      <c r="AP50" s="18">
        <f t="shared" si="25"/>
        <v>108.33333333333333</v>
      </c>
      <c r="AQ50" s="18">
        <f t="shared" si="26"/>
        <v>325</v>
      </c>
      <c r="AR50" s="18">
        <f t="shared" si="26"/>
        <v>0</v>
      </c>
      <c r="AS50" s="18">
        <f t="shared" si="27"/>
        <v>108.33333333333333</v>
      </c>
      <c r="AT50" s="18">
        <f t="shared" si="29"/>
        <v>78.900000000000006</v>
      </c>
      <c r="AU50" s="18"/>
      <c r="AV50" s="18"/>
      <c r="AW50" s="18">
        <f t="shared" si="28"/>
        <v>56251.608333333337</v>
      </c>
      <c r="AX50" s="4"/>
      <c r="AY50" s="4"/>
    </row>
    <row r="51" spans="1:51">
      <c r="A51" s="7" t="s">
        <v>59</v>
      </c>
      <c r="B51" s="7">
        <f t="shared" si="9"/>
        <v>2017</v>
      </c>
      <c r="C51" s="29" t="s">
        <v>47</v>
      </c>
      <c r="D51" s="18"/>
      <c r="E51" s="18"/>
      <c r="F51" s="18">
        <f t="shared" si="31"/>
        <v>0</v>
      </c>
      <c r="G51" s="123">
        <f>SUM(F$5:F51)</f>
        <v>3375096.5</v>
      </c>
      <c r="H51" s="114"/>
      <c r="I51" s="471">
        <f>56897.61-108.34-5524.91</f>
        <v>51264.36</v>
      </c>
      <c r="J51" s="20">
        <f t="shared" si="10"/>
        <v>1837543.11</v>
      </c>
      <c r="K51" s="114"/>
      <c r="L51" s="18">
        <f t="shared" si="5"/>
        <v>1537553.39</v>
      </c>
      <c r="N51" s="18">
        <f t="shared" si="32"/>
        <v>325</v>
      </c>
      <c r="O51" s="18">
        <f t="shared" si="32"/>
        <v>287.5</v>
      </c>
      <c r="P51" s="18">
        <f t="shared" si="32"/>
        <v>971.66666666666663</v>
      </c>
      <c r="Q51" s="18">
        <f t="shared" si="32"/>
        <v>1389.1666666666667</v>
      </c>
      <c r="R51" s="18">
        <f t="shared" si="32"/>
        <v>1343.5833333333333</v>
      </c>
      <c r="S51" s="18">
        <f t="shared" si="33"/>
        <v>1114.4166666666667</v>
      </c>
      <c r="T51" s="18">
        <f t="shared" si="33"/>
        <v>1459.1666666666667</v>
      </c>
      <c r="U51" s="18">
        <f t="shared" si="33"/>
        <v>1601.6666666666667</v>
      </c>
      <c r="V51" s="18">
        <f t="shared" si="33"/>
        <v>957.5</v>
      </c>
      <c r="W51" s="18">
        <f t="shared" si="33"/>
        <v>1866.2333333333333</v>
      </c>
      <c r="X51" s="18">
        <f t="shared" si="33"/>
        <v>2127.0833333333335</v>
      </c>
      <c r="Y51" s="18">
        <f t="shared" si="33"/>
        <v>1868</v>
      </c>
      <c r="Z51" s="18">
        <f t="shared" si="33"/>
        <v>1777.9166666666667</v>
      </c>
      <c r="AA51" s="18">
        <f t="shared" si="33"/>
        <v>1753.3333333333333</v>
      </c>
      <c r="AB51" s="18">
        <f t="shared" si="33"/>
        <v>3310</v>
      </c>
      <c r="AC51" s="18">
        <f t="shared" si="33"/>
        <v>5251.1833333333334</v>
      </c>
      <c r="AD51" s="18">
        <f t="shared" si="33"/>
        <v>3934.3083333333334</v>
      </c>
      <c r="AE51" s="18">
        <f t="shared" si="33"/>
        <v>2790.8666666666668</v>
      </c>
      <c r="AF51" s="18">
        <f t="shared" si="33"/>
        <v>3824.5</v>
      </c>
      <c r="AG51" s="18">
        <f t="shared" si="33"/>
        <v>2217.4499999999998</v>
      </c>
      <c r="AH51" s="18">
        <f t="shared" si="33"/>
        <v>1762.5</v>
      </c>
      <c r="AI51" s="18">
        <f t="shared" si="33"/>
        <v>3262.4166666666665</v>
      </c>
      <c r="AJ51" s="18">
        <f t="shared" si="33"/>
        <v>2745.3</v>
      </c>
      <c r="AK51" s="18">
        <f t="shared" si="33"/>
        <v>4284.2</v>
      </c>
      <c r="AL51" s="18">
        <f t="shared" si="15"/>
        <v>1397.9166666666667</v>
      </c>
      <c r="AM51" s="18">
        <f t="shared" si="17"/>
        <v>645.83333333333337</v>
      </c>
      <c r="AN51" s="18">
        <f t="shared" si="23"/>
        <v>623.33333333333337</v>
      </c>
      <c r="AO51" s="18">
        <f t="shared" si="24"/>
        <v>739</v>
      </c>
      <c r="AP51" s="18">
        <f t="shared" si="25"/>
        <v>108.33333333333333</v>
      </c>
      <c r="AQ51" s="18">
        <f t="shared" si="26"/>
        <v>325</v>
      </c>
      <c r="AR51" s="18">
        <f t="shared" si="26"/>
        <v>0</v>
      </c>
      <c r="AS51" s="18">
        <f t="shared" si="27"/>
        <v>108.33333333333333</v>
      </c>
      <c r="AT51" s="18">
        <f t="shared" si="29"/>
        <v>78.900000000000006</v>
      </c>
      <c r="AU51" s="18"/>
      <c r="AV51" s="18"/>
      <c r="AW51" s="18">
        <f t="shared" si="28"/>
        <v>56251.608333333337</v>
      </c>
      <c r="AX51" s="4"/>
      <c r="AY51" s="4"/>
    </row>
    <row r="52" spans="1:51">
      <c r="A52" s="7" t="s">
        <v>46</v>
      </c>
      <c r="B52" s="7">
        <f t="shared" si="9"/>
        <v>2017</v>
      </c>
      <c r="C52" s="29" t="s">
        <v>47</v>
      </c>
      <c r="D52" s="18"/>
      <c r="E52" s="18"/>
      <c r="F52" s="18">
        <f t="shared" si="31"/>
        <v>0</v>
      </c>
      <c r="G52" s="123">
        <f>SUM(F$5:F52)</f>
        <v>3375096.5</v>
      </c>
      <c r="H52" s="114"/>
      <c r="I52" s="339">
        <v>71297.42</v>
      </c>
      <c r="J52" s="20">
        <f t="shared" si="10"/>
        <v>1908840.53</v>
      </c>
      <c r="K52" s="114"/>
      <c r="L52" s="18">
        <f t="shared" si="5"/>
        <v>1466255.97</v>
      </c>
      <c r="N52" s="18">
        <f t="shared" si="32"/>
        <v>325</v>
      </c>
      <c r="O52" s="18">
        <f t="shared" si="32"/>
        <v>287.5</v>
      </c>
      <c r="P52" s="18">
        <f t="shared" si="32"/>
        <v>971.66666666666663</v>
      </c>
      <c r="Q52" s="18">
        <f t="shared" si="32"/>
        <v>1389.1666666666667</v>
      </c>
      <c r="R52" s="18">
        <f t="shared" si="32"/>
        <v>1343.5833333333333</v>
      </c>
      <c r="S52" s="18">
        <f t="shared" si="32"/>
        <v>1114.4166666666667</v>
      </c>
      <c r="T52" s="18">
        <f t="shared" si="32"/>
        <v>1459.1666666666667</v>
      </c>
      <c r="U52" s="18">
        <f t="shared" si="32"/>
        <v>1601.6666666666667</v>
      </c>
      <c r="V52" s="18">
        <f t="shared" si="33"/>
        <v>957.5</v>
      </c>
      <c r="W52" s="18">
        <f t="shared" si="33"/>
        <v>1866.2333333333333</v>
      </c>
      <c r="X52" s="18">
        <f t="shared" si="33"/>
        <v>2127.0833333333335</v>
      </c>
      <c r="Y52" s="18">
        <f t="shared" si="33"/>
        <v>1868</v>
      </c>
      <c r="Z52" s="18">
        <f t="shared" si="33"/>
        <v>1777.9166666666667</v>
      </c>
      <c r="AA52" s="18">
        <f t="shared" si="33"/>
        <v>1753.3333333333333</v>
      </c>
      <c r="AB52" s="18">
        <f t="shared" si="33"/>
        <v>3310</v>
      </c>
      <c r="AC52" s="18">
        <f t="shared" si="33"/>
        <v>5251.1833333333334</v>
      </c>
      <c r="AD52" s="18">
        <f t="shared" si="33"/>
        <v>3934.3083333333334</v>
      </c>
      <c r="AE52" s="18">
        <f t="shared" si="33"/>
        <v>2790.8666666666668</v>
      </c>
      <c r="AF52" s="18">
        <f t="shared" si="33"/>
        <v>3824.5</v>
      </c>
      <c r="AG52" s="18">
        <f t="shared" si="33"/>
        <v>2217.4499999999998</v>
      </c>
      <c r="AH52" s="18">
        <f t="shared" si="33"/>
        <v>1762.5</v>
      </c>
      <c r="AI52" s="18">
        <f t="shared" si="33"/>
        <v>3262.4166666666665</v>
      </c>
      <c r="AJ52" s="18">
        <f t="shared" si="33"/>
        <v>2745.3</v>
      </c>
      <c r="AK52" s="18">
        <f t="shared" si="33"/>
        <v>4284.2</v>
      </c>
      <c r="AL52" s="18">
        <f t="shared" si="15"/>
        <v>1397.9166666666667</v>
      </c>
      <c r="AM52" s="18">
        <f t="shared" si="17"/>
        <v>645.83333333333337</v>
      </c>
      <c r="AN52" s="18">
        <f t="shared" si="23"/>
        <v>623.33333333333337</v>
      </c>
      <c r="AO52" s="18">
        <f t="shared" si="24"/>
        <v>739</v>
      </c>
      <c r="AP52" s="18">
        <f t="shared" si="25"/>
        <v>108.33333333333333</v>
      </c>
      <c r="AQ52" s="18">
        <f t="shared" si="26"/>
        <v>325</v>
      </c>
      <c r="AR52" s="18">
        <f t="shared" si="26"/>
        <v>0</v>
      </c>
      <c r="AS52" s="18">
        <f t="shared" si="27"/>
        <v>108.33333333333333</v>
      </c>
      <c r="AT52" s="18">
        <f t="shared" si="29"/>
        <v>78.900000000000006</v>
      </c>
      <c r="AU52" s="18"/>
      <c r="AV52" s="18"/>
      <c r="AW52" s="18">
        <f t="shared" si="28"/>
        <v>56251.608333333337</v>
      </c>
      <c r="AX52" s="4"/>
      <c r="AY52" s="4"/>
    </row>
    <row r="53" spans="1:51">
      <c r="A53" s="7" t="s">
        <v>48</v>
      </c>
      <c r="B53" s="7">
        <f t="shared" si="9"/>
        <v>2017</v>
      </c>
      <c r="C53" s="29" t="s">
        <v>47</v>
      </c>
      <c r="D53" s="18"/>
      <c r="E53" s="18"/>
      <c r="F53" s="18">
        <f t="shared" si="31"/>
        <v>0</v>
      </c>
      <c r="G53" s="123">
        <f>SUM(F$5:F53)</f>
        <v>3375096.5</v>
      </c>
      <c r="H53" s="114"/>
      <c r="I53" s="339">
        <v>54928.94</v>
      </c>
      <c r="J53" s="20">
        <f t="shared" si="10"/>
        <v>1963769.47</v>
      </c>
      <c r="K53" s="114"/>
      <c r="L53" s="18">
        <f t="shared" si="5"/>
        <v>1411327.03</v>
      </c>
      <c r="N53" s="18">
        <f>+N52</f>
        <v>325</v>
      </c>
      <c r="O53" s="18">
        <f t="shared" si="32"/>
        <v>287.5</v>
      </c>
      <c r="P53" s="18">
        <f t="shared" si="32"/>
        <v>971.66666666666663</v>
      </c>
      <c r="Q53" s="18">
        <f t="shared" si="32"/>
        <v>1389.1666666666667</v>
      </c>
      <c r="R53" s="18">
        <f t="shared" si="32"/>
        <v>1343.5833333333333</v>
      </c>
      <c r="S53" s="18">
        <f t="shared" si="33"/>
        <v>1114.4166666666667</v>
      </c>
      <c r="T53" s="18">
        <f t="shared" si="33"/>
        <v>1459.1666666666667</v>
      </c>
      <c r="U53" s="18">
        <f t="shared" si="33"/>
        <v>1601.6666666666667</v>
      </c>
      <c r="V53" s="18">
        <f t="shared" si="33"/>
        <v>957.5</v>
      </c>
      <c r="W53" s="18">
        <f t="shared" si="33"/>
        <v>1866.2333333333333</v>
      </c>
      <c r="X53" s="18">
        <f t="shared" si="33"/>
        <v>2127.0833333333335</v>
      </c>
      <c r="Y53" s="18">
        <f t="shared" si="33"/>
        <v>1868</v>
      </c>
      <c r="Z53" s="18">
        <f t="shared" si="33"/>
        <v>1777.9166666666667</v>
      </c>
      <c r="AA53" s="18">
        <f t="shared" si="33"/>
        <v>1753.3333333333333</v>
      </c>
      <c r="AB53" s="18">
        <f t="shared" si="33"/>
        <v>3310</v>
      </c>
      <c r="AC53" s="18">
        <f t="shared" si="33"/>
        <v>5251.1833333333334</v>
      </c>
      <c r="AD53" s="18">
        <f t="shared" si="33"/>
        <v>3934.3083333333334</v>
      </c>
      <c r="AE53" s="18">
        <f t="shared" si="33"/>
        <v>2790.8666666666668</v>
      </c>
      <c r="AF53" s="18">
        <f t="shared" si="33"/>
        <v>3824.5</v>
      </c>
      <c r="AG53" s="18">
        <f t="shared" si="33"/>
        <v>2217.4499999999998</v>
      </c>
      <c r="AH53" s="18">
        <f t="shared" si="33"/>
        <v>1762.5</v>
      </c>
      <c r="AI53" s="18">
        <f t="shared" si="33"/>
        <v>3262.4166666666665</v>
      </c>
      <c r="AJ53" s="18">
        <f t="shared" si="33"/>
        <v>2745.3</v>
      </c>
      <c r="AK53" s="18">
        <f t="shared" si="33"/>
        <v>4284.2</v>
      </c>
      <c r="AL53" s="18">
        <f t="shared" si="15"/>
        <v>1397.9166666666667</v>
      </c>
      <c r="AM53" s="18">
        <f t="shared" si="17"/>
        <v>645.83333333333337</v>
      </c>
      <c r="AN53" s="18">
        <f t="shared" si="23"/>
        <v>623.33333333333337</v>
      </c>
      <c r="AO53" s="18">
        <f t="shared" si="24"/>
        <v>739</v>
      </c>
      <c r="AP53" s="18">
        <f t="shared" si="25"/>
        <v>108.33333333333333</v>
      </c>
      <c r="AQ53" s="18">
        <f t="shared" si="26"/>
        <v>325</v>
      </c>
      <c r="AR53" s="18">
        <f t="shared" si="26"/>
        <v>0</v>
      </c>
      <c r="AS53" s="18">
        <f t="shared" si="27"/>
        <v>108.33333333333333</v>
      </c>
      <c r="AT53" s="18">
        <f t="shared" si="29"/>
        <v>78.900000000000006</v>
      </c>
      <c r="AU53" s="18"/>
      <c r="AV53" s="18"/>
      <c r="AW53" s="18">
        <f t="shared" si="28"/>
        <v>56251.608333333337</v>
      </c>
      <c r="AX53" s="4"/>
      <c r="AY53" s="4"/>
    </row>
    <row r="54" spans="1:51">
      <c r="A54" s="7" t="s">
        <v>50</v>
      </c>
      <c r="B54" s="7">
        <f t="shared" si="9"/>
        <v>2017</v>
      </c>
      <c r="C54" s="29" t="s">
        <v>47</v>
      </c>
      <c r="D54" s="18"/>
      <c r="E54" s="18"/>
      <c r="F54" s="18">
        <f t="shared" si="31"/>
        <v>0</v>
      </c>
      <c r="G54" s="123">
        <f>SUM(F$5:F54)</f>
        <v>3375096.5</v>
      </c>
      <c r="H54" s="114"/>
      <c r="I54" s="339">
        <v>55751.61</v>
      </c>
      <c r="J54" s="20">
        <f t="shared" si="10"/>
        <v>2019521.08</v>
      </c>
      <c r="K54" s="114"/>
      <c r="L54" s="18">
        <f t="shared" si="5"/>
        <v>1355575.42</v>
      </c>
      <c r="N54" s="18">
        <f>+N53</f>
        <v>325</v>
      </c>
      <c r="O54" s="18">
        <f>+O53</f>
        <v>287.5</v>
      </c>
      <c r="P54" s="18">
        <f t="shared" si="32"/>
        <v>971.66666666666663</v>
      </c>
      <c r="Q54" s="18">
        <f t="shared" si="32"/>
        <v>1389.1666666666667</v>
      </c>
      <c r="R54" s="18">
        <f t="shared" si="32"/>
        <v>1343.5833333333333</v>
      </c>
      <c r="S54" s="18">
        <f t="shared" si="33"/>
        <v>1114.4166666666667</v>
      </c>
      <c r="T54" s="18">
        <f t="shared" si="33"/>
        <v>1459.1666666666667</v>
      </c>
      <c r="U54" s="18">
        <f t="shared" si="33"/>
        <v>1601.6666666666667</v>
      </c>
      <c r="V54" s="18">
        <f t="shared" si="33"/>
        <v>957.5</v>
      </c>
      <c r="W54" s="18">
        <f t="shared" si="33"/>
        <v>1866.2333333333333</v>
      </c>
      <c r="X54" s="18">
        <f t="shared" si="33"/>
        <v>2127.0833333333335</v>
      </c>
      <c r="Y54" s="18">
        <f t="shared" si="33"/>
        <v>1868</v>
      </c>
      <c r="Z54" s="18">
        <f t="shared" si="33"/>
        <v>1777.9166666666667</v>
      </c>
      <c r="AA54" s="18">
        <f t="shared" si="33"/>
        <v>1753.3333333333333</v>
      </c>
      <c r="AB54" s="18">
        <f t="shared" si="33"/>
        <v>3310</v>
      </c>
      <c r="AC54" s="18">
        <f t="shared" si="33"/>
        <v>5251.1833333333334</v>
      </c>
      <c r="AD54" s="18">
        <f t="shared" si="33"/>
        <v>3934.3083333333334</v>
      </c>
      <c r="AE54" s="18">
        <f t="shared" si="33"/>
        <v>2790.8666666666668</v>
      </c>
      <c r="AF54" s="18">
        <f t="shared" si="33"/>
        <v>3824.5</v>
      </c>
      <c r="AG54" s="18">
        <f t="shared" si="33"/>
        <v>2217.4499999999998</v>
      </c>
      <c r="AH54" s="18">
        <f t="shared" si="33"/>
        <v>1762.5</v>
      </c>
      <c r="AI54" s="18">
        <f t="shared" si="33"/>
        <v>3262.4166666666665</v>
      </c>
      <c r="AJ54" s="18">
        <f t="shared" si="33"/>
        <v>2745.3</v>
      </c>
      <c r="AK54" s="18">
        <f t="shared" si="33"/>
        <v>4284.2</v>
      </c>
      <c r="AL54" s="18">
        <f t="shared" si="15"/>
        <v>1397.9166666666667</v>
      </c>
      <c r="AM54" s="18">
        <f t="shared" si="17"/>
        <v>645.83333333333337</v>
      </c>
      <c r="AN54" s="18">
        <f t="shared" si="23"/>
        <v>623.33333333333337</v>
      </c>
      <c r="AO54" s="18">
        <f t="shared" si="24"/>
        <v>739</v>
      </c>
      <c r="AP54" s="18">
        <f t="shared" si="25"/>
        <v>108.33333333333333</v>
      </c>
      <c r="AQ54" s="18">
        <f t="shared" si="26"/>
        <v>325</v>
      </c>
      <c r="AR54" s="18">
        <f t="shared" si="26"/>
        <v>0</v>
      </c>
      <c r="AS54" s="18">
        <f t="shared" si="27"/>
        <v>108.33333333333333</v>
      </c>
      <c r="AT54" s="18">
        <f t="shared" si="29"/>
        <v>78.900000000000006</v>
      </c>
      <c r="AU54" s="18"/>
      <c r="AV54" s="18"/>
      <c r="AW54" s="18">
        <f t="shared" si="28"/>
        <v>56251.608333333337</v>
      </c>
      <c r="AX54" s="4"/>
      <c r="AY54" s="4"/>
    </row>
    <row r="55" spans="1:51">
      <c r="A55" s="7" t="s">
        <v>51</v>
      </c>
      <c r="B55" s="7">
        <f t="shared" si="9"/>
        <v>2017</v>
      </c>
      <c r="C55" s="29" t="s">
        <v>47</v>
      </c>
      <c r="D55" s="18"/>
      <c r="E55" s="18"/>
      <c r="F55" s="18">
        <f t="shared" si="31"/>
        <v>0</v>
      </c>
      <c r="G55" s="123">
        <f>SUM(F$5:F55)</f>
        <v>3375096.5</v>
      </c>
      <c r="H55" s="114"/>
      <c r="I55" s="339">
        <v>48531.53</v>
      </c>
      <c r="J55" s="20">
        <f t="shared" si="10"/>
        <v>2068052.61</v>
      </c>
      <c r="K55" s="114"/>
      <c r="L55" s="18">
        <f t="shared" si="5"/>
        <v>1307043.8899999999</v>
      </c>
      <c r="N55" s="18">
        <f>+N54</f>
        <v>325</v>
      </c>
      <c r="O55" s="18">
        <f>+O54</f>
        <v>287.5</v>
      </c>
      <c r="P55" s="18">
        <f>+P54</f>
        <v>971.66666666666663</v>
      </c>
      <c r="Q55" s="18">
        <f t="shared" si="32"/>
        <v>1389.1666666666667</v>
      </c>
      <c r="R55" s="18">
        <f t="shared" si="32"/>
        <v>1343.5833333333333</v>
      </c>
      <c r="S55" s="18">
        <f t="shared" si="33"/>
        <v>1114.4166666666667</v>
      </c>
      <c r="T55" s="18">
        <f t="shared" si="33"/>
        <v>1459.1666666666667</v>
      </c>
      <c r="U55" s="18">
        <f t="shared" si="33"/>
        <v>1601.6666666666667</v>
      </c>
      <c r="V55" s="18">
        <f t="shared" si="33"/>
        <v>957.5</v>
      </c>
      <c r="W55" s="18">
        <f t="shared" si="33"/>
        <v>1866.2333333333333</v>
      </c>
      <c r="X55" s="18">
        <f t="shared" si="33"/>
        <v>2127.0833333333335</v>
      </c>
      <c r="Y55" s="18">
        <f t="shared" si="33"/>
        <v>1868</v>
      </c>
      <c r="Z55" s="18">
        <f t="shared" si="33"/>
        <v>1777.9166666666667</v>
      </c>
      <c r="AA55" s="18">
        <f t="shared" si="33"/>
        <v>1753.3333333333333</v>
      </c>
      <c r="AB55" s="18">
        <f t="shared" si="33"/>
        <v>3310</v>
      </c>
      <c r="AC55" s="18">
        <f t="shared" si="33"/>
        <v>5251.1833333333334</v>
      </c>
      <c r="AD55" s="18">
        <f t="shared" si="33"/>
        <v>3934.3083333333334</v>
      </c>
      <c r="AE55" s="18">
        <f t="shared" si="33"/>
        <v>2790.8666666666668</v>
      </c>
      <c r="AF55" s="18">
        <f t="shared" si="33"/>
        <v>3824.5</v>
      </c>
      <c r="AG55" s="18">
        <f t="shared" si="33"/>
        <v>2217.4499999999998</v>
      </c>
      <c r="AH55" s="18">
        <f t="shared" si="33"/>
        <v>1762.5</v>
      </c>
      <c r="AI55" s="18">
        <f t="shared" si="33"/>
        <v>3262.4166666666665</v>
      </c>
      <c r="AJ55" s="18">
        <f t="shared" si="33"/>
        <v>2745.3</v>
      </c>
      <c r="AK55" s="18">
        <f t="shared" si="33"/>
        <v>4284.2</v>
      </c>
      <c r="AL55" s="18">
        <f t="shared" si="15"/>
        <v>1397.9166666666667</v>
      </c>
      <c r="AM55" s="18">
        <f t="shared" si="17"/>
        <v>645.83333333333337</v>
      </c>
      <c r="AN55" s="18">
        <f t="shared" si="23"/>
        <v>623.33333333333337</v>
      </c>
      <c r="AO55" s="18">
        <f t="shared" si="24"/>
        <v>739</v>
      </c>
      <c r="AP55" s="18">
        <f t="shared" si="25"/>
        <v>108.33333333333333</v>
      </c>
      <c r="AQ55" s="18">
        <f t="shared" si="26"/>
        <v>325</v>
      </c>
      <c r="AR55" s="18">
        <f t="shared" si="26"/>
        <v>0</v>
      </c>
      <c r="AS55" s="18">
        <f t="shared" si="27"/>
        <v>108.33333333333333</v>
      </c>
      <c r="AT55" s="18">
        <f t="shared" si="29"/>
        <v>78.900000000000006</v>
      </c>
      <c r="AU55" s="18"/>
      <c r="AV55" s="18"/>
      <c r="AW55" s="18">
        <f t="shared" si="28"/>
        <v>56251.608333333337</v>
      </c>
      <c r="AX55" s="4"/>
      <c r="AY55" s="4"/>
    </row>
    <row r="56" spans="1:51" s="4" customFormat="1">
      <c r="A56" s="124" t="s">
        <v>52</v>
      </c>
      <c r="B56" s="124">
        <f t="shared" si="9"/>
        <v>2017</v>
      </c>
      <c r="C56" s="124" t="s">
        <v>47</v>
      </c>
      <c r="D56" s="121"/>
      <c r="E56" s="121"/>
      <c r="F56" s="121">
        <f t="shared" si="31"/>
        <v>0</v>
      </c>
      <c r="G56" s="125">
        <f>SUM(F$5:F56)</f>
        <v>3375096.5</v>
      </c>
      <c r="H56" s="114"/>
      <c r="I56" s="340">
        <v>52918.34</v>
      </c>
      <c r="J56" s="121">
        <f t="shared" si="10"/>
        <v>2120970.9500000002</v>
      </c>
      <c r="K56" s="116"/>
      <c r="L56" s="121">
        <f t="shared" si="5"/>
        <v>1254125.5499999998</v>
      </c>
      <c r="N56" s="121">
        <f>+N55</f>
        <v>325</v>
      </c>
      <c r="O56" s="121">
        <f>+O55</f>
        <v>287.5</v>
      </c>
      <c r="P56" s="121">
        <f>+P55</f>
        <v>971.66666666666663</v>
      </c>
      <c r="Q56" s="121">
        <f>+Q55</f>
        <v>1389.1666666666667</v>
      </c>
      <c r="R56" s="121">
        <f t="shared" si="32"/>
        <v>1343.5833333333333</v>
      </c>
      <c r="S56" s="121">
        <f t="shared" si="33"/>
        <v>1114.4166666666667</v>
      </c>
      <c r="T56" s="121">
        <f t="shared" si="33"/>
        <v>1459.1666666666667</v>
      </c>
      <c r="U56" s="121">
        <f t="shared" si="33"/>
        <v>1601.6666666666667</v>
      </c>
      <c r="V56" s="121">
        <f t="shared" si="33"/>
        <v>957.5</v>
      </c>
      <c r="W56" s="121">
        <f t="shared" si="33"/>
        <v>1866.2333333333333</v>
      </c>
      <c r="X56" s="121">
        <f t="shared" si="33"/>
        <v>2127.0833333333335</v>
      </c>
      <c r="Y56" s="121">
        <f t="shared" si="33"/>
        <v>1868</v>
      </c>
      <c r="Z56" s="121">
        <f t="shared" si="33"/>
        <v>1777.9166666666667</v>
      </c>
      <c r="AA56" s="121">
        <f t="shared" si="33"/>
        <v>1753.3333333333333</v>
      </c>
      <c r="AB56" s="121">
        <f t="shared" si="33"/>
        <v>3310</v>
      </c>
      <c r="AC56" s="121">
        <f t="shared" si="33"/>
        <v>5251.1833333333334</v>
      </c>
      <c r="AD56" s="121">
        <f t="shared" si="33"/>
        <v>3934.3083333333334</v>
      </c>
      <c r="AE56" s="121">
        <f t="shared" si="33"/>
        <v>2790.8666666666668</v>
      </c>
      <c r="AF56" s="121">
        <f t="shared" si="33"/>
        <v>3824.5</v>
      </c>
      <c r="AG56" s="121">
        <f t="shared" si="33"/>
        <v>2217.4499999999998</v>
      </c>
      <c r="AH56" s="121">
        <f t="shared" si="33"/>
        <v>1762.5</v>
      </c>
      <c r="AI56" s="121">
        <f t="shared" si="33"/>
        <v>3262.4166666666665</v>
      </c>
      <c r="AJ56" s="121">
        <f t="shared" si="33"/>
        <v>2745.3</v>
      </c>
      <c r="AK56" s="121">
        <f t="shared" si="33"/>
        <v>4284.2</v>
      </c>
      <c r="AL56" s="121">
        <f t="shared" si="15"/>
        <v>1397.9166666666667</v>
      </c>
      <c r="AM56" s="121">
        <f t="shared" si="17"/>
        <v>645.83333333333337</v>
      </c>
      <c r="AN56" s="121">
        <f t="shared" si="23"/>
        <v>623.33333333333337</v>
      </c>
      <c r="AO56" s="121">
        <f t="shared" si="24"/>
        <v>739</v>
      </c>
      <c r="AP56" s="121">
        <f t="shared" si="25"/>
        <v>108.33333333333333</v>
      </c>
      <c r="AQ56" s="121">
        <f t="shared" si="26"/>
        <v>325</v>
      </c>
      <c r="AR56" s="18">
        <f t="shared" si="26"/>
        <v>0</v>
      </c>
      <c r="AS56" s="121">
        <f t="shared" si="27"/>
        <v>108.33333333333333</v>
      </c>
      <c r="AT56" s="121">
        <f t="shared" si="29"/>
        <v>78.900000000000006</v>
      </c>
      <c r="AU56" s="121"/>
      <c r="AV56" s="121"/>
      <c r="AW56" s="121">
        <f t="shared" si="28"/>
        <v>56251.608333333337</v>
      </c>
    </row>
    <row r="57" spans="1:51">
      <c r="A57" s="7" t="s">
        <v>53</v>
      </c>
      <c r="B57" s="7">
        <f t="shared" si="9"/>
        <v>2018</v>
      </c>
      <c r="C57" s="29" t="s">
        <v>47</v>
      </c>
      <c r="D57" s="18"/>
      <c r="E57" s="18"/>
      <c r="F57" s="18">
        <f t="shared" si="31"/>
        <v>0</v>
      </c>
      <c r="G57" s="123">
        <f>SUM(F$5:F57)</f>
        <v>3375096.5</v>
      </c>
      <c r="H57" s="114"/>
      <c r="I57" s="339">
        <v>59247.4</v>
      </c>
      <c r="J57" s="20">
        <f t="shared" si="10"/>
        <v>2180218.35</v>
      </c>
      <c r="K57" s="114"/>
      <c r="L57" s="18">
        <f t="shared" si="5"/>
        <v>1194878.1499999999</v>
      </c>
      <c r="N57" s="18">
        <f t="shared" si="32"/>
        <v>325</v>
      </c>
      <c r="O57" s="18">
        <f t="shared" si="32"/>
        <v>287.5</v>
      </c>
      <c r="P57" s="18">
        <f t="shared" si="32"/>
        <v>971.66666666666663</v>
      </c>
      <c r="Q57" s="18">
        <f t="shared" si="32"/>
        <v>1389.1666666666667</v>
      </c>
      <c r="R57" s="18">
        <f t="shared" si="32"/>
        <v>1343.5833333333333</v>
      </c>
      <c r="S57" s="18">
        <f t="shared" si="33"/>
        <v>1114.4166666666667</v>
      </c>
      <c r="T57" s="18">
        <f t="shared" si="33"/>
        <v>1459.1666666666667</v>
      </c>
      <c r="U57" s="18">
        <f t="shared" si="33"/>
        <v>1601.6666666666667</v>
      </c>
      <c r="V57" s="18">
        <f t="shared" si="33"/>
        <v>957.5</v>
      </c>
      <c r="W57" s="18">
        <f t="shared" si="33"/>
        <v>1866.2333333333333</v>
      </c>
      <c r="X57" s="18">
        <f t="shared" si="33"/>
        <v>2127.0833333333335</v>
      </c>
      <c r="Y57" s="18">
        <f t="shared" si="33"/>
        <v>1868</v>
      </c>
      <c r="Z57" s="18">
        <f t="shared" si="33"/>
        <v>1777.9166666666667</v>
      </c>
      <c r="AA57" s="18">
        <f t="shared" si="33"/>
        <v>1753.3333333333333</v>
      </c>
      <c r="AB57" s="18">
        <f t="shared" si="33"/>
        <v>3310</v>
      </c>
      <c r="AC57" s="18">
        <f t="shared" si="33"/>
        <v>5251.1833333333334</v>
      </c>
      <c r="AD57" s="18">
        <f t="shared" si="33"/>
        <v>3934.3083333333334</v>
      </c>
      <c r="AE57" s="18">
        <f t="shared" si="33"/>
        <v>2790.8666666666668</v>
      </c>
      <c r="AF57" s="18">
        <f t="shared" si="33"/>
        <v>3824.5</v>
      </c>
      <c r="AG57" s="18">
        <f t="shared" si="33"/>
        <v>2217.4499999999998</v>
      </c>
      <c r="AH57" s="18">
        <f t="shared" si="33"/>
        <v>1762.5</v>
      </c>
      <c r="AI57" s="18">
        <f t="shared" si="33"/>
        <v>3262.4166666666665</v>
      </c>
      <c r="AJ57" s="18">
        <f t="shared" si="33"/>
        <v>2745.3</v>
      </c>
      <c r="AK57" s="18">
        <f t="shared" si="33"/>
        <v>4284.2</v>
      </c>
      <c r="AL57" s="18">
        <f t="shared" si="15"/>
        <v>1397.9166666666667</v>
      </c>
      <c r="AM57" s="18">
        <f t="shared" si="17"/>
        <v>645.83333333333337</v>
      </c>
      <c r="AN57" s="18">
        <f t="shared" si="23"/>
        <v>623.33333333333337</v>
      </c>
      <c r="AO57" s="18">
        <f t="shared" si="24"/>
        <v>739</v>
      </c>
      <c r="AP57" s="18">
        <f t="shared" si="25"/>
        <v>108.33333333333333</v>
      </c>
      <c r="AQ57" s="18">
        <f t="shared" si="26"/>
        <v>325</v>
      </c>
      <c r="AR57" s="18">
        <f t="shared" si="26"/>
        <v>0</v>
      </c>
      <c r="AS57" s="18">
        <f t="shared" si="27"/>
        <v>108.33333333333333</v>
      </c>
      <c r="AT57" s="18">
        <f t="shared" si="29"/>
        <v>78.900000000000006</v>
      </c>
      <c r="AU57" s="18"/>
      <c r="AV57" s="18"/>
      <c r="AW57" s="18">
        <f t="shared" si="28"/>
        <v>56251.608333333337</v>
      </c>
      <c r="AX57" s="4"/>
      <c r="AY57" s="4"/>
    </row>
    <row r="58" spans="1:51">
      <c r="A58" s="7" t="s">
        <v>54</v>
      </c>
      <c r="B58" s="7">
        <f t="shared" si="9"/>
        <v>2018</v>
      </c>
      <c r="C58" s="29" t="s">
        <v>47</v>
      </c>
      <c r="D58" s="18"/>
      <c r="E58" s="18"/>
      <c r="F58" s="18">
        <f t="shared" si="31"/>
        <v>0</v>
      </c>
      <c r="G58" s="123">
        <f>SUM(F$5:F58)</f>
        <v>3375096.5</v>
      </c>
      <c r="H58" s="114"/>
      <c r="I58" s="339">
        <v>48602.1</v>
      </c>
      <c r="J58" s="20">
        <f t="shared" si="10"/>
        <v>2228820.4500000002</v>
      </c>
      <c r="K58" s="114"/>
      <c r="L58" s="18">
        <f t="shared" si="5"/>
        <v>1146276.0499999998</v>
      </c>
      <c r="N58" s="18">
        <f t="shared" si="32"/>
        <v>325</v>
      </c>
      <c r="O58" s="18">
        <f t="shared" si="32"/>
        <v>287.5</v>
      </c>
      <c r="P58" s="18">
        <f t="shared" si="32"/>
        <v>971.66666666666663</v>
      </c>
      <c r="Q58" s="18">
        <f t="shared" si="32"/>
        <v>1389.1666666666667</v>
      </c>
      <c r="R58" s="18">
        <f t="shared" si="32"/>
        <v>1343.5833333333333</v>
      </c>
      <c r="S58" s="18">
        <f t="shared" si="32"/>
        <v>1114.4166666666667</v>
      </c>
      <c r="T58" s="18">
        <f t="shared" si="32"/>
        <v>1459.1666666666667</v>
      </c>
      <c r="U58" s="18">
        <f t="shared" si="32"/>
        <v>1601.6666666666667</v>
      </c>
      <c r="V58" s="18">
        <f t="shared" ref="S58:AK73" si="34">+V57</f>
        <v>957.5</v>
      </c>
      <c r="W58" s="18">
        <f t="shared" si="34"/>
        <v>1866.2333333333333</v>
      </c>
      <c r="X58" s="18">
        <f t="shared" si="34"/>
        <v>2127.0833333333335</v>
      </c>
      <c r="Y58" s="18">
        <f t="shared" si="34"/>
        <v>1868</v>
      </c>
      <c r="Z58" s="18">
        <f t="shared" si="34"/>
        <v>1777.9166666666667</v>
      </c>
      <c r="AA58" s="18">
        <f t="shared" si="34"/>
        <v>1753.3333333333333</v>
      </c>
      <c r="AB58" s="18">
        <f t="shared" si="34"/>
        <v>3310</v>
      </c>
      <c r="AC58" s="18">
        <f t="shared" si="34"/>
        <v>5251.1833333333334</v>
      </c>
      <c r="AD58" s="20">
        <f t="shared" si="34"/>
        <v>3934.3083333333334</v>
      </c>
      <c r="AE58" s="20">
        <f t="shared" ref="AE58:AK62" si="35">+AE57</f>
        <v>2790.8666666666668</v>
      </c>
      <c r="AF58" s="20">
        <f t="shared" si="35"/>
        <v>3824.5</v>
      </c>
      <c r="AG58" s="20">
        <f t="shared" si="35"/>
        <v>2217.4499999999998</v>
      </c>
      <c r="AH58" s="20">
        <f t="shared" si="35"/>
        <v>1762.5</v>
      </c>
      <c r="AI58" s="20">
        <f t="shared" si="35"/>
        <v>3262.4166666666665</v>
      </c>
      <c r="AJ58" s="20">
        <f t="shared" si="35"/>
        <v>2745.3</v>
      </c>
      <c r="AK58" s="20">
        <f t="shared" si="35"/>
        <v>4284.2</v>
      </c>
      <c r="AL58" s="18">
        <f t="shared" si="15"/>
        <v>1397.9166666666667</v>
      </c>
      <c r="AM58" s="18">
        <f t="shared" si="17"/>
        <v>645.83333333333337</v>
      </c>
      <c r="AN58" s="18">
        <f t="shared" si="23"/>
        <v>623.33333333333337</v>
      </c>
      <c r="AO58" s="18">
        <f t="shared" si="24"/>
        <v>739</v>
      </c>
      <c r="AP58" s="18">
        <f t="shared" si="25"/>
        <v>108.33333333333333</v>
      </c>
      <c r="AQ58" s="18">
        <f t="shared" si="26"/>
        <v>325</v>
      </c>
      <c r="AR58" s="18">
        <f t="shared" si="26"/>
        <v>0</v>
      </c>
      <c r="AS58" s="18">
        <f t="shared" si="27"/>
        <v>108.33333333333333</v>
      </c>
      <c r="AT58" s="18">
        <f t="shared" si="29"/>
        <v>78.900000000000006</v>
      </c>
      <c r="AU58" s="18"/>
      <c r="AV58" s="20"/>
      <c r="AW58" s="18">
        <f t="shared" si="28"/>
        <v>56251.608333333337</v>
      </c>
      <c r="AX58" s="4"/>
      <c r="AY58" s="4"/>
    </row>
    <row r="59" spans="1:51">
      <c r="A59" s="7" t="s">
        <v>55</v>
      </c>
      <c r="B59" s="7">
        <f t="shared" si="9"/>
        <v>2018</v>
      </c>
      <c r="C59" s="29" t="s">
        <v>47</v>
      </c>
      <c r="D59" s="18"/>
      <c r="E59" s="18"/>
      <c r="F59" s="18">
        <f t="shared" si="31"/>
        <v>0</v>
      </c>
      <c r="G59" s="123">
        <f>SUM(F$5:F59)</f>
        <v>3375096.5</v>
      </c>
      <c r="H59" s="114"/>
      <c r="I59" s="339">
        <v>55200.36</v>
      </c>
      <c r="J59" s="20">
        <f t="shared" si="10"/>
        <v>2284020.81</v>
      </c>
      <c r="K59" s="114"/>
      <c r="L59" s="18">
        <f t="shared" si="5"/>
        <v>1091075.69</v>
      </c>
      <c r="N59" s="18">
        <f t="shared" si="32"/>
        <v>325</v>
      </c>
      <c r="O59" s="18">
        <f t="shared" si="32"/>
        <v>287.5</v>
      </c>
      <c r="P59" s="18">
        <f t="shared" si="32"/>
        <v>971.66666666666663</v>
      </c>
      <c r="Q59" s="18">
        <f t="shared" si="32"/>
        <v>1389.1666666666667</v>
      </c>
      <c r="R59" s="18">
        <f t="shared" si="32"/>
        <v>1343.5833333333333</v>
      </c>
      <c r="S59" s="18">
        <f t="shared" si="34"/>
        <v>1114.4166666666667</v>
      </c>
      <c r="T59" s="18">
        <f t="shared" si="34"/>
        <v>1459.1666666666667</v>
      </c>
      <c r="U59" s="18">
        <f t="shared" si="34"/>
        <v>1601.6666666666667</v>
      </c>
      <c r="V59" s="18">
        <f t="shared" si="34"/>
        <v>957.5</v>
      </c>
      <c r="W59" s="18">
        <f t="shared" si="34"/>
        <v>1866.2333333333333</v>
      </c>
      <c r="X59" s="18">
        <f t="shared" si="34"/>
        <v>2127.0833333333335</v>
      </c>
      <c r="Y59" s="18">
        <f t="shared" si="34"/>
        <v>1868</v>
      </c>
      <c r="Z59" s="18">
        <f t="shared" si="34"/>
        <v>1777.9166666666667</v>
      </c>
      <c r="AA59" s="18">
        <f t="shared" si="34"/>
        <v>1753.3333333333333</v>
      </c>
      <c r="AB59" s="18">
        <f t="shared" si="34"/>
        <v>3310</v>
      </c>
      <c r="AC59" s="18">
        <f t="shared" si="34"/>
        <v>5251.1833333333334</v>
      </c>
      <c r="AD59" s="18">
        <f t="shared" si="34"/>
        <v>3934.3083333333334</v>
      </c>
      <c r="AE59" s="18">
        <f t="shared" si="35"/>
        <v>2790.8666666666668</v>
      </c>
      <c r="AF59" s="18">
        <f t="shared" si="35"/>
        <v>3824.5</v>
      </c>
      <c r="AG59" s="18">
        <f t="shared" si="35"/>
        <v>2217.4499999999998</v>
      </c>
      <c r="AH59" s="18">
        <f t="shared" si="35"/>
        <v>1762.5</v>
      </c>
      <c r="AI59" s="18">
        <f t="shared" si="35"/>
        <v>3262.4166666666665</v>
      </c>
      <c r="AJ59" s="18">
        <f t="shared" si="35"/>
        <v>2745.3</v>
      </c>
      <c r="AK59" s="18">
        <f t="shared" si="35"/>
        <v>4284.2</v>
      </c>
      <c r="AL59" s="18">
        <f t="shared" si="15"/>
        <v>1397.9166666666667</v>
      </c>
      <c r="AM59" s="18">
        <f t="shared" si="17"/>
        <v>645.83333333333337</v>
      </c>
      <c r="AN59" s="18">
        <f t="shared" si="23"/>
        <v>623.33333333333337</v>
      </c>
      <c r="AO59" s="18">
        <f t="shared" si="24"/>
        <v>739</v>
      </c>
      <c r="AP59" s="18">
        <f t="shared" si="25"/>
        <v>108.33333333333333</v>
      </c>
      <c r="AQ59" s="18">
        <f t="shared" si="26"/>
        <v>325</v>
      </c>
      <c r="AR59" s="18">
        <f t="shared" si="26"/>
        <v>0</v>
      </c>
      <c r="AS59" s="18">
        <f t="shared" si="27"/>
        <v>108.33333333333333</v>
      </c>
      <c r="AT59" s="18">
        <f t="shared" si="29"/>
        <v>78.900000000000006</v>
      </c>
      <c r="AU59" s="18"/>
      <c r="AV59" s="18"/>
      <c r="AW59" s="18">
        <f t="shared" si="28"/>
        <v>56251.608333333337</v>
      </c>
      <c r="AX59" s="4"/>
      <c r="AY59" s="4"/>
    </row>
    <row r="60" spans="1:51">
      <c r="A60" s="7" t="s">
        <v>56</v>
      </c>
      <c r="B60" s="7">
        <f t="shared" si="9"/>
        <v>2018</v>
      </c>
      <c r="C60" s="29" t="s">
        <v>47</v>
      </c>
      <c r="D60" s="18"/>
      <c r="E60" s="18"/>
      <c r="F60" s="18">
        <f t="shared" si="31"/>
        <v>0</v>
      </c>
      <c r="G60" s="123">
        <f>SUM(F$5:F60)</f>
        <v>3375096.5</v>
      </c>
      <c r="H60" s="114"/>
      <c r="I60" s="339">
        <v>54621.56</v>
      </c>
      <c r="J60" s="20">
        <f t="shared" si="10"/>
        <v>2338642.37</v>
      </c>
      <c r="K60" s="114"/>
      <c r="L60" s="18">
        <f t="shared" si="5"/>
        <v>1036454.1299999999</v>
      </c>
      <c r="N60" s="18">
        <f t="shared" si="32"/>
        <v>325</v>
      </c>
      <c r="O60" s="18">
        <f t="shared" si="32"/>
        <v>287.5</v>
      </c>
      <c r="P60" s="18">
        <f t="shared" si="32"/>
        <v>971.66666666666663</v>
      </c>
      <c r="Q60" s="18">
        <f t="shared" si="32"/>
        <v>1389.1666666666667</v>
      </c>
      <c r="R60" s="18">
        <f t="shared" si="32"/>
        <v>1343.5833333333333</v>
      </c>
      <c r="S60" s="18">
        <f t="shared" si="34"/>
        <v>1114.4166666666667</v>
      </c>
      <c r="T60" s="18">
        <f t="shared" si="34"/>
        <v>1459.1666666666667</v>
      </c>
      <c r="U60" s="18">
        <f t="shared" si="34"/>
        <v>1601.6666666666667</v>
      </c>
      <c r="V60" s="18">
        <f t="shared" si="34"/>
        <v>957.5</v>
      </c>
      <c r="W60" s="18">
        <f t="shared" si="34"/>
        <v>1866.2333333333333</v>
      </c>
      <c r="X60" s="18">
        <f t="shared" si="34"/>
        <v>2127.0833333333335</v>
      </c>
      <c r="Y60" s="18">
        <f t="shared" si="34"/>
        <v>1868</v>
      </c>
      <c r="Z60" s="18">
        <f t="shared" si="34"/>
        <v>1777.9166666666667</v>
      </c>
      <c r="AA60" s="18">
        <f t="shared" si="34"/>
        <v>1753.3333333333333</v>
      </c>
      <c r="AB60" s="18">
        <f t="shared" si="34"/>
        <v>3310</v>
      </c>
      <c r="AC60" s="18">
        <f t="shared" si="34"/>
        <v>5251.1833333333334</v>
      </c>
      <c r="AD60" s="18">
        <f t="shared" si="34"/>
        <v>3934.3083333333334</v>
      </c>
      <c r="AE60" s="18">
        <f t="shared" si="35"/>
        <v>2790.8666666666668</v>
      </c>
      <c r="AF60" s="18">
        <f t="shared" si="35"/>
        <v>3824.5</v>
      </c>
      <c r="AG60" s="18">
        <f t="shared" si="35"/>
        <v>2217.4499999999998</v>
      </c>
      <c r="AH60" s="18">
        <f t="shared" si="35"/>
        <v>1762.5</v>
      </c>
      <c r="AI60" s="18">
        <f t="shared" si="35"/>
        <v>3262.4166666666665</v>
      </c>
      <c r="AJ60" s="18">
        <f t="shared" si="35"/>
        <v>2745.3</v>
      </c>
      <c r="AK60" s="18">
        <f t="shared" si="35"/>
        <v>4284.2</v>
      </c>
      <c r="AL60" s="18">
        <f t="shared" si="15"/>
        <v>1397.9166666666667</v>
      </c>
      <c r="AM60" s="18">
        <f t="shared" si="17"/>
        <v>645.83333333333337</v>
      </c>
      <c r="AN60" s="18">
        <f t="shared" si="23"/>
        <v>623.33333333333337</v>
      </c>
      <c r="AO60" s="18">
        <f t="shared" si="24"/>
        <v>739</v>
      </c>
      <c r="AP60" s="18">
        <f t="shared" si="25"/>
        <v>108.33333333333333</v>
      </c>
      <c r="AQ60" s="18">
        <f t="shared" si="26"/>
        <v>325</v>
      </c>
      <c r="AR60" s="18">
        <f t="shared" si="26"/>
        <v>0</v>
      </c>
      <c r="AS60" s="18">
        <f t="shared" si="27"/>
        <v>108.33333333333333</v>
      </c>
      <c r="AT60" s="18">
        <f t="shared" si="29"/>
        <v>78.900000000000006</v>
      </c>
      <c r="AU60" s="18"/>
      <c r="AV60" s="18"/>
      <c r="AW60" s="18">
        <f t="shared" si="28"/>
        <v>56251.608333333337</v>
      </c>
      <c r="AX60" s="4"/>
      <c r="AY60" s="4"/>
    </row>
    <row r="61" spans="1:51">
      <c r="A61" s="7" t="s">
        <v>57</v>
      </c>
      <c r="B61" s="7">
        <f t="shared" si="9"/>
        <v>2018</v>
      </c>
      <c r="C61" s="29" t="s">
        <v>47</v>
      </c>
      <c r="D61" s="18"/>
      <c r="E61" s="18"/>
      <c r="F61" s="18">
        <f t="shared" si="31"/>
        <v>0</v>
      </c>
      <c r="G61" s="123">
        <f>SUM(F$5:F61)</f>
        <v>3375096.5</v>
      </c>
      <c r="H61" s="114"/>
      <c r="I61" s="339">
        <v>58432</v>
      </c>
      <c r="J61" s="20">
        <f t="shared" si="10"/>
        <v>2397074.37</v>
      </c>
      <c r="K61" s="114"/>
      <c r="L61" s="18">
        <f t="shared" si="5"/>
        <v>978022.12999999989</v>
      </c>
      <c r="N61" s="18">
        <f t="shared" si="32"/>
        <v>325</v>
      </c>
      <c r="O61" s="18">
        <f t="shared" si="32"/>
        <v>287.5</v>
      </c>
      <c r="P61" s="18">
        <f t="shared" si="32"/>
        <v>971.66666666666663</v>
      </c>
      <c r="Q61" s="18">
        <f t="shared" si="32"/>
        <v>1389.1666666666667</v>
      </c>
      <c r="R61" s="18">
        <f t="shared" si="32"/>
        <v>1343.5833333333333</v>
      </c>
      <c r="S61" s="18">
        <f t="shared" si="34"/>
        <v>1114.4166666666667</v>
      </c>
      <c r="T61" s="18">
        <f t="shared" si="34"/>
        <v>1459.1666666666667</v>
      </c>
      <c r="U61" s="18">
        <f t="shared" si="34"/>
        <v>1601.6666666666667</v>
      </c>
      <c r="V61" s="18">
        <f t="shared" si="34"/>
        <v>957.5</v>
      </c>
      <c r="W61" s="18">
        <f t="shared" si="34"/>
        <v>1866.2333333333333</v>
      </c>
      <c r="X61" s="18">
        <f t="shared" si="34"/>
        <v>2127.0833333333335</v>
      </c>
      <c r="Y61" s="18">
        <f t="shared" si="34"/>
        <v>1868</v>
      </c>
      <c r="Z61" s="18">
        <f t="shared" si="34"/>
        <v>1777.9166666666667</v>
      </c>
      <c r="AA61" s="18">
        <f t="shared" si="34"/>
        <v>1753.3333333333333</v>
      </c>
      <c r="AB61" s="18">
        <f t="shared" si="34"/>
        <v>3310</v>
      </c>
      <c r="AC61" s="18">
        <f t="shared" si="34"/>
        <v>5251.1833333333334</v>
      </c>
      <c r="AD61" s="18">
        <f t="shared" si="34"/>
        <v>3934.3083333333334</v>
      </c>
      <c r="AE61" s="18">
        <f t="shared" si="35"/>
        <v>2790.8666666666668</v>
      </c>
      <c r="AF61" s="18">
        <f t="shared" si="35"/>
        <v>3824.5</v>
      </c>
      <c r="AG61" s="18">
        <f t="shared" si="35"/>
        <v>2217.4499999999998</v>
      </c>
      <c r="AH61" s="18">
        <f t="shared" si="35"/>
        <v>1762.5</v>
      </c>
      <c r="AI61" s="18">
        <f t="shared" si="35"/>
        <v>3262.4166666666665</v>
      </c>
      <c r="AJ61" s="18">
        <f t="shared" si="35"/>
        <v>2745.3</v>
      </c>
      <c r="AK61" s="18">
        <f t="shared" si="35"/>
        <v>4284.2</v>
      </c>
      <c r="AL61" s="18">
        <f t="shared" si="15"/>
        <v>1397.9166666666667</v>
      </c>
      <c r="AM61" s="18">
        <f t="shared" si="17"/>
        <v>645.83333333333337</v>
      </c>
      <c r="AN61" s="18">
        <f t="shared" si="23"/>
        <v>623.33333333333337</v>
      </c>
      <c r="AO61" s="18">
        <f t="shared" si="24"/>
        <v>739</v>
      </c>
      <c r="AP61" s="18">
        <f t="shared" si="25"/>
        <v>108.33333333333333</v>
      </c>
      <c r="AQ61" s="18">
        <f t="shared" si="26"/>
        <v>325</v>
      </c>
      <c r="AR61" s="18">
        <f t="shared" si="26"/>
        <v>0</v>
      </c>
      <c r="AS61" s="18">
        <f t="shared" si="27"/>
        <v>108.33333333333333</v>
      </c>
      <c r="AT61" s="18">
        <f t="shared" si="29"/>
        <v>78.900000000000006</v>
      </c>
      <c r="AU61" s="18"/>
      <c r="AV61" s="18"/>
      <c r="AW61" s="18">
        <f t="shared" si="28"/>
        <v>56251.608333333337</v>
      </c>
      <c r="AX61" s="4"/>
      <c r="AY61" s="4"/>
    </row>
    <row r="62" spans="1:51">
      <c r="A62" s="7" t="s">
        <v>58</v>
      </c>
      <c r="B62" s="7">
        <f t="shared" si="9"/>
        <v>2018</v>
      </c>
      <c r="C62" s="29" t="s">
        <v>47</v>
      </c>
      <c r="D62" s="18"/>
      <c r="E62" s="18"/>
      <c r="F62" s="18">
        <f t="shared" si="31"/>
        <v>0</v>
      </c>
      <c r="G62" s="123">
        <f>SUM(F$5:F62)</f>
        <v>3375096.5</v>
      </c>
      <c r="H62" s="114"/>
      <c r="I62" s="339">
        <v>60420</v>
      </c>
      <c r="J62" s="20">
        <f t="shared" si="10"/>
        <v>2457494.37</v>
      </c>
      <c r="K62" s="114"/>
      <c r="L62" s="18">
        <f t="shared" si="5"/>
        <v>917602.12999999989</v>
      </c>
      <c r="N62" s="18">
        <f t="shared" si="32"/>
        <v>325</v>
      </c>
      <c r="O62" s="18">
        <f t="shared" si="32"/>
        <v>287.5</v>
      </c>
      <c r="P62" s="18">
        <f t="shared" si="32"/>
        <v>971.66666666666663</v>
      </c>
      <c r="Q62" s="18">
        <f t="shared" si="32"/>
        <v>1389.1666666666667</v>
      </c>
      <c r="R62" s="18">
        <f t="shared" si="32"/>
        <v>1343.5833333333333</v>
      </c>
      <c r="S62" s="18">
        <f t="shared" si="34"/>
        <v>1114.4166666666667</v>
      </c>
      <c r="T62" s="18">
        <f t="shared" si="34"/>
        <v>1459.1666666666667</v>
      </c>
      <c r="U62" s="18">
        <f t="shared" si="34"/>
        <v>1601.6666666666667</v>
      </c>
      <c r="V62" s="18">
        <f t="shared" si="34"/>
        <v>957.5</v>
      </c>
      <c r="W62" s="18">
        <f t="shared" si="34"/>
        <v>1866.2333333333333</v>
      </c>
      <c r="X62" s="18">
        <f t="shared" si="34"/>
        <v>2127.0833333333335</v>
      </c>
      <c r="Y62" s="18">
        <f t="shared" si="34"/>
        <v>1868</v>
      </c>
      <c r="Z62" s="18">
        <f t="shared" si="34"/>
        <v>1777.9166666666667</v>
      </c>
      <c r="AA62" s="18">
        <f t="shared" si="34"/>
        <v>1753.3333333333333</v>
      </c>
      <c r="AB62" s="18">
        <f t="shared" si="34"/>
        <v>3310</v>
      </c>
      <c r="AC62" s="18">
        <f t="shared" si="34"/>
        <v>5251.1833333333334</v>
      </c>
      <c r="AD62" s="18">
        <f t="shared" si="34"/>
        <v>3934.3083333333334</v>
      </c>
      <c r="AE62" s="18">
        <f t="shared" si="35"/>
        <v>2790.8666666666668</v>
      </c>
      <c r="AF62" s="18">
        <f t="shared" si="35"/>
        <v>3824.5</v>
      </c>
      <c r="AG62" s="18">
        <f t="shared" si="35"/>
        <v>2217.4499999999998</v>
      </c>
      <c r="AH62" s="18">
        <f t="shared" si="35"/>
        <v>1762.5</v>
      </c>
      <c r="AI62" s="18">
        <f t="shared" si="35"/>
        <v>3262.4166666666665</v>
      </c>
      <c r="AJ62" s="18">
        <f t="shared" si="35"/>
        <v>2745.3</v>
      </c>
      <c r="AK62" s="18">
        <f t="shared" si="35"/>
        <v>4284.2</v>
      </c>
      <c r="AL62" s="18">
        <f t="shared" si="15"/>
        <v>1397.9166666666667</v>
      </c>
      <c r="AM62" s="18">
        <f t="shared" si="17"/>
        <v>645.83333333333337</v>
      </c>
      <c r="AN62" s="18">
        <f t="shared" si="23"/>
        <v>623.33333333333337</v>
      </c>
      <c r="AO62" s="18">
        <f t="shared" si="24"/>
        <v>739</v>
      </c>
      <c r="AP62" s="18">
        <f t="shared" si="25"/>
        <v>108.33333333333333</v>
      </c>
      <c r="AQ62" s="18">
        <f t="shared" si="26"/>
        <v>325</v>
      </c>
      <c r="AR62" s="18">
        <f t="shared" si="26"/>
        <v>0</v>
      </c>
      <c r="AS62" s="18">
        <f t="shared" si="27"/>
        <v>108.33333333333333</v>
      </c>
      <c r="AT62" s="18">
        <f t="shared" si="29"/>
        <v>78.900000000000006</v>
      </c>
      <c r="AU62" s="18"/>
      <c r="AV62" s="18"/>
      <c r="AW62" s="18">
        <f t="shared" si="28"/>
        <v>56251.608333333337</v>
      </c>
      <c r="AX62" s="4"/>
      <c r="AY62" s="4"/>
    </row>
    <row r="63" spans="1:51">
      <c r="A63" s="7" t="s">
        <v>59</v>
      </c>
      <c r="B63" s="7">
        <f t="shared" si="9"/>
        <v>2018</v>
      </c>
      <c r="C63" s="29" t="s">
        <v>47</v>
      </c>
      <c r="D63" s="18"/>
      <c r="E63" s="18"/>
      <c r="F63" s="18">
        <f t="shared" si="31"/>
        <v>0</v>
      </c>
      <c r="G63" s="123">
        <f>SUM(F$5:F63)</f>
        <v>3375096.5</v>
      </c>
      <c r="H63" s="114"/>
      <c r="I63" s="339">
        <v>54421</v>
      </c>
      <c r="J63" s="20">
        <f t="shared" si="10"/>
        <v>2511915.37</v>
      </c>
      <c r="K63" s="114"/>
      <c r="L63" s="18">
        <f t="shared" si="5"/>
        <v>863181.12999999989</v>
      </c>
      <c r="N63" s="18">
        <f t="shared" ref="N63:R64" si="36">+N62</f>
        <v>325</v>
      </c>
      <c r="O63" s="18">
        <f t="shared" si="36"/>
        <v>287.5</v>
      </c>
      <c r="P63" s="18">
        <f t="shared" si="36"/>
        <v>971.66666666666663</v>
      </c>
      <c r="Q63" s="18">
        <f t="shared" si="36"/>
        <v>1389.1666666666667</v>
      </c>
      <c r="R63" s="18">
        <f t="shared" si="36"/>
        <v>1343.5833333333333</v>
      </c>
      <c r="S63" s="18">
        <f t="shared" si="34"/>
        <v>1114.4166666666667</v>
      </c>
      <c r="T63" s="18">
        <f t="shared" si="34"/>
        <v>1459.1666666666667</v>
      </c>
      <c r="U63" s="18">
        <f t="shared" si="34"/>
        <v>1601.6666666666667</v>
      </c>
      <c r="V63" s="18">
        <f t="shared" si="34"/>
        <v>957.5</v>
      </c>
      <c r="W63" s="18">
        <f t="shared" si="34"/>
        <v>1866.2333333333333</v>
      </c>
      <c r="X63" s="18">
        <f t="shared" si="34"/>
        <v>2127.0833333333335</v>
      </c>
      <c r="Y63" s="18">
        <f t="shared" si="34"/>
        <v>1868</v>
      </c>
      <c r="Z63" s="18">
        <f t="shared" si="34"/>
        <v>1777.9166666666667</v>
      </c>
      <c r="AA63" s="18">
        <f t="shared" si="34"/>
        <v>1753.3333333333333</v>
      </c>
      <c r="AB63" s="18">
        <f t="shared" si="34"/>
        <v>3310</v>
      </c>
      <c r="AC63" s="18">
        <f t="shared" si="34"/>
        <v>5251.1833333333334</v>
      </c>
      <c r="AD63" s="18">
        <f t="shared" si="34"/>
        <v>3934.3083333333334</v>
      </c>
      <c r="AE63" s="18">
        <f t="shared" si="34"/>
        <v>2790.8666666666668</v>
      </c>
      <c r="AF63" s="18">
        <f t="shared" si="34"/>
        <v>3824.5</v>
      </c>
      <c r="AG63" s="18">
        <f t="shared" si="34"/>
        <v>2217.4499999999998</v>
      </c>
      <c r="AH63" s="18">
        <f t="shared" si="34"/>
        <v>1762.5</v>
      </c>
      <c r="AI63" s="18">
        <f t="shared" si="34"/>
        <v>3262.4166666666665</v>
      </c>
      <c r="AJ63" s="18">
        <f t="shared" si="34"/>
        <v>2745.3</v>
      </c>
      <c r="AK63" s="18">
        <f t="shared" si="34"/>
        <v>4284.2</v>
      </c>
      <c r="AL63" s="18">
        <f t="shared" si="15"/>
        <v>1397.9166666666667</v>
      </c>
      <c r="AM63" s="18">
        <f t="shared" si="17"/>
        <v>645.83333333333337</v>
      </c>
      <c r="AN63" s="18">
        <f t="shared" si="23"/>
        <v>623.33333333333337</v>
      </c>
      <c r="AO63" s="18">
        <f t="shared" si="24"/>
        <v>739</v>
      </c>
      <c r="AP63" s="18">
        <f t="shared" si="25"/>
        <v>108.33333333333333</v>
      </c>
      <c r="AQ63" s="18">
        <f t="shared" si="26"/>
        <v>325</v>
      </c>
      <c r="AR63" s="18">
        <f t="shared" si="26"/>
        <v>0</v>
      </c>
      <c r="AS63" s="18">
        <f t="shared" si="27"/>
        <v>108.33333333333333</v>
      </c>
      <c r="AT63" s="18">
        <f t="shared" si="29"/>
        <v>78.900000000000006</v>
      </c>
      <c r="AU63" s="18"/>
      <c r="AV63" s="18"/>
      <c r="AW63" s="18">
        <f t="shared" si="28"/>
        <v>56251.608333333337</v>
      </c>
      <c r="AX63" s="4"/>
      <c r="AY63" s="4"/>
    </row>
    <row r="64" spans="1:51">
      <c r="A64" s="7" t="s">
        <v>46</v>
      </c>
      <c r="B64" s="7">
        <f t="shared" si="9"/>
        <v>2018</v>
      </c>
      <c r="C64" s="7" t="s">
        <v>47</v>
      </c>
      <c r="D64" s="18"/>
      <c r="E64" s="18"/>
      <c r="F64" s="18">
        <f t="shared" si="31"/>
        <v>0</v>
      </c>
      <c r="G64" s="123">
        <f>SUM(F$5:F64)</f>
        <v>3375096.5</v>
      </c>
      <c r="H64" s="114"/>
      <c r="I64" s="339">
        <v>61791.56</v>
      </c>
      <c r="J64" s="20">
        <f t="shared" si="10"/>
        <v>2573706.9300000002</v>
      </c>
      <c r="K64" s="114"/>
      <c r="L64" s="18">
        <f t="shared" si="5"/>
        <v>801389.56999999983</v>
      </c>
      <c r="N64" s="18">
        <f t="shared" si="36"/>
        <v>325</v>
      </c>
      <c r="O64" s="18">
        <f t="shared" si="36"/>
        <v>287.5</v>
      </c>
      <c r="P64" s="18">
        <f t="shared" si="36"/>
        <v>971.66666666666663</v>
      </c>
      <c r="Q64" s="18">
        <f t="shared" si="36"/>
        <v>1389.1666666666667</v>
      </c>
      <c r="R64" s="18">
        <f t="shared" si="36"/>
        <v>1343.5833333333333</v>
      </c>
      <c r="S64" s="18">
        <f t="shared" si="34"/>
        <v>1114.4166666666667</v>
      </c>
      <c r="T64" s="18">
        <f t="shared" si="34"/>
        <v>1459.1666666666667</v>
      </c>
      <c r="U64" s="18">
        <f t="shared" si="34"/>
        <v>1601.6666666666667</v>
      </c>
      <c r="V64" s="18">
        <f t="shared" si="34"/>
        <v>957.5</v>
      </c>
      <c r="W64" s="18">
        <f t="shared" si="34"/>
        <v>1866.2333333333333</v>
      </c>
      <c r="X64" s="18">
        <f t="shared" si="34"/>
        <v>2127.0833333333335</v>
      </c>
      <c r="Y64" s="18">
        <f t="shared" si="34"/>
        <v>1868</v>
      </c>
      <c r="Z64" s="18">
        <f t="shared" si="34"/>
        <v>1777.9166666666667</v>
      </c>
      <c r="AA64" s="18">
        <f t="shared" si="34"/>
        <v>1753.3333333333333</v>
      </c>
      <c r="AB64" s="18">
        <f t="shared" si="34"/>
        <v>3310</v>
      </c>
      <c r="AC64" s="18">
        <f t="shared" si="34"/>
        <v>5251.1833333333334</v>
      </c>
      <c r="AD64" s="18">
        <f t="shared" si="34"/>
        <v>3934.3083333333334</v>
      </c>
      <c r="AE64" s="18">
        <f t="shared" si="34"/>
        <v>2790.8666666666668</v>
      </c>
      <c r="AF64" s="18">
        <f t="shared" si="34"/>
        <v>3824.5</v>
      </c>
      <c r="AG64" s="18">
        <f t="shared" si="34"/>
        <v>2217.4499999999998</v>
      </c>
      <c r="AH64" s="18">
        <f t="shared" si="34"/>
        <v>1762.5</v>
      </c>
      <c r="AI64" s="18">
        <f t="shared" si="34"/>
        <v>3262.4166666666665</v>
      </c>
      <c r="AJ64" s="18">
        <f t="shared" si="34"/>
        <v>2745.3</v>
      </c>
      <c r="AK64" s="18">
        <f t="shared" si="34"/>
        <v>4284.2</v>
      </c>
      <c r="AL64" s="18">
        <f t="shared" si="15"/>
        <v>1397.9166666666667</v>
      </c>
      <c r="AM64" s="18">
        <f t="shared" si="17"/>
        <v>645.83333333333337</v>
      </c>
      <c r="AN64" s="18">
        <f t="shared" si="23"/>
        <v>623.33333333333337</v>
      </c>
      <c r="AO64" s="18">
        <f t="shared" si="24"/>
        <v>739</v>
      </c>
      <c r="AP64" s="18">
        <f t="shared" si="25"/>
        <v>108.33333333333333</v>
      </c>
      <c r="AQ64" s="18">
        <f t="shared" si="26"/>
        <v>325</v>
      </c>
      <c r="AR64" s="18">
        <f t="shared" si="26"/>
        <v>0</v>
      </c>
      <c r="AS64" s="18">
        <f t="shared" si="27"/>
        <v>108.33333333333333</v>
      </c>
      <c r="AT64" s="18">
        <f t="shared" si="29"/>
        <v>78.900000000000006</v>
      </c>
      <c r="AU64" s="18"/>
      <c r="AV64" s="18"/>
      <c r="AW64" s="18">
        <f t="shared" si="28"/>
        <v>56251.608333333337</v>
      </c>
      <c r="AX64" s="4"/>
      <c r="AY64" s="4"/>
    </row>
    <row r="65" spans="1:51">
      <c r="A65" s="7" t="s">
        <v>48</v>
      </c>
      <c r="B65" s="7">
        <f t="shared" si="9"/>
        <v>2018</v>
      </c>
      <c r="C65" s="7" t="s">
        <v>47</v>
      </c>
      <c r="D65" s="18"/>
      <c r="E65" s="18"/>
      <c r="F65" s="18">
        <f t="shared" si="31"/>
        <v>0</v>
      </c>
      <c r="G65" s="123">
        <f>SUM(F$5:F65)</f>
        <v>3375096.5</v>
      </c>
      <c r="H65" s="114"/>
      <c r="I65" s="339">
        <v>47147.48</v>
      </c>
      <c r="J65" s="20">
        <f t="shared" si="10"/>
        <v>2620854.41</v>
      </c>
      <c r="K65" s="114"/>
      <c r="L65" s="18">
        <f t="shared" si="5"/>
        <v>754242.08999999985</v>
      </c>
      <c r="N65" s="18"/>
      <c r="O65" s="18">
        <f>+O64</f>
        <v>287.5</v>
      </c>
      <c r="P65" s="18">
        <f>+P64</f>
        <v>971.66666666666663</v>
      </c>
      <c r="Q65" s="18">
        <f>+Q64</f>
        <v>1389.1666666666667</v>
      </c>
      <c r="R65" s="18">
        <f>+R64</f>
        <v>1343.5833333333333</v>
      </c>
      <c r="S65" s="18">
        <f t="shared" si="34"/>
        <v>1114.4166666666667</v>
      </c>
      <c r="T65" s="18">
        <f t="shared" si="34"/>
        <v>1459.1666666666667</v>
      </c>
      <c r="U65" s="18">
        <f t="shared" si="34"/>
        <v>1601.6666666666667</v>
      </c>
      <c r="V65" s="18">
        <f t="shared" si="34"/>
        <v>957.5</v>
      </c>
      <c r="W65" s="18">
        <f t="shared" si="34"/>
        <v>1866.2333333333333</v>
      </c>
      <c r="X65" s="18">
        <f t="shared" si="34"/>
        <v>2127.0833333333335</v>
      </c>
      <c r="Y65" s="18">
        <f t="shared" si="34"/>
        <v>1868</v>
      </c>
      <c r="Z65" s="18">
        <f t="shared" si="34"/>
        <v>1777.9166666666667</v>
      </c>
      <c r="AA65" s="18">
        <f t="shared" si="34"/>
        <v>1753.3333333333333</v>
      </c>
      <c r="AB65" s="18">
        <f t="shared" si="34"/>
        <v>3310</v>
      </c>
      <c r="AC65" s="18">
        <f t="shared" si="34"/>
        <v>5251.1833333333334</v>
      </c>
      <c r="AD65" s="18">
        <f t="shared" si="34"/>
        <v>3934.3083333333334</v>
      </c>
      <c r="AE65" s="18">
        <f t="shared" si="34"/>
        <v>2790.8666666666668</v>
      </c>
      <c r="AF65" s="18">
        <f t="shared" si="34"/>
        <v>3824.5</v>
      </c>
      <c r="AG65" s="18">
        <f t="shared" si="34"/>
        <v>2217.4499999999998</v>
      </c>
      <c r="AH65" s="18">
        <f t="shared" si="34"/>
        <v>1762.5</v>
      </c>
      <c r="AI65" s="18">
        <f t="shared" si="34"/>
        <v>3262.4166666666665</v>
      </c>
      <c r="AJ65" s="18">
        <f t="shared" si="34"/>
        <v>2745.3</v>
      </c>
      <c r="AK65" s="18">
        <f t="shared" si="34"/>
        <v>4284.2</v>
      </c>
      <c r="AL65" s="18">
        <f t="shared" si="15"/>
        <v>1397.9166666666667</v>
      </c>
      <c r="AM65" s="18">
        <f t="shared" si="17"/>
        <v>645.83333333333337</v>
      </c>
      <c r="AN65" s="18">
        <f t="shared" si="23"/>
        <v>623.33333333333337</v>
      </c>
      <c r="AO65" s="18">
        <f t="shared" si="24"/>
        <v>739</v>
      </c>
      <c r="AP65" s="18">
        <f t="shared" si="25"/>
        <v>108.33333333333333</v>
      </c>
      <c r="AQ65" s="18">
        <f t="shared" si="26"/>
        <v>325</v>
      </c>
      <c r="AR65" s="18">
        <f t="shared" si="26"/>
        <v>0</v>
      </c>
      <c r="AS65" s="18">
        <f t="shared" si="27"/>
        <v>108.33333333333333</v>
      </c>
      <c r="AT65" s="18">
        <f t="shared" si="29"/>
        <v>78.900000000000006</v>
      </c>
      <c r="AU65" s="18"/>
      <c r="AV65" s="18"/>
      <c r="AW65" s="18">
        <f t="shared" si="28"/>
        <v>55926.608333333337</v>
      </c>
      <c r="AX65" s="4"/>
      <c r="AY65" s="4"/>
    </row>
    <row r="66" spans="1:51" outlineLevel="1">
      <c r="A66" s="7" t="s">
        <v>50</v>
      </c>
      <c r="B66" s="7">
        <f t="shared" si="9"/>
        <v>2018</v>
      </c>
      <c r="C66" s="7" t="s">
        <v>47</v>
      </c>
      <c r="D66" s="18"/>
      <c r="E66" s="18"/>
      <c r="F66" s="18">
        <f t="shared" si="31"/>
        <v>0</v>
      </c>
      <c r="G66" s="123">
        <f>SUM(F$5:F66)</f>
        <v>3375096.5</v>
      </c>
      <c r="H66" s="114"/>
      <c r="I66" s="339">
        <v>54419.11</v>
      </c>
      <c r="J66" s="20">
        <f t="shared" si="10"/>
        <v>2675273.52</v>
      </c>
      <c r="K66" s="114"/>
      <c r="L66" s="18">
        <f t="shared" si="5"/>
        <v>699822.98</v>
      </c>
      <c r="N66" s="18"/>
      <c r="O66" s="18"/>
      <c r="P66" s="18">
        <f>+P65</f>
        <v>971.66666666666663</v>
      </c>
      <c r="Q66" s="18">
        <f>+Q65</f>
        <v>1389.1666666666667</v>
      </c>
      <c r="R66" s="18">
        <f>+R65</f>
        <v>1343.5833333333333</v>
      </c>
      <c r="S66" s="18">
        <f t="shared" si="34"/>
        <v>1114.4166666666667</v>
      </c>
      <c r="T66" s="18">
        <f t="shared" si="34"/>
        <v>1459.1666666666667</v>
      </c>
      <c r="U66" s="18">
        <f t="shared" si="34"/>
        <v>1601.6666666666667</v>
      </c>
      <c r="V66" s="18">
        <f t="shared" si="34"/>
        <v>957.5</v>
      </c>
      <c r="W66" s="18">
        <f t="shared" si="34"/>
        <v>1866.2333333333333</v>
      </c>
      <c r="X66" s="18">
        <f t="shared" si="34"/>
        <v>2127.0833333333335</v>
      </c>
      <c r="Y66" s="18">
        <f t="shared" si="34"/>
        <v>1868</v>
      </c>
      <c r="Z66" s="18">
        <f t="shared" si="34"/>
        <v>1777.9166666666667</v>
      </c>
      <c r="AA66" s="18">
        <f t="shared" si="34"/>
        <v>1753.3333333333333</v>
      </c>
      <c r="AB66" s="18">
        <f t="shared" si="34"/>
        <v>3310</v>
      </c>
      <c r="AC66" s="18">
        <f t="shared" si="34"/>
        <v>5251.1833333333334</v>
      </c>
      <c r="AD66" s="18">
        <f t="shared" si="34"/>
        <v>3934.3083333333334</v>
      </c>
      <c r="AE66" s="18">
        <f t="shared" si="34"/>
        <v>2790.8666666666668</v>
      </c>
      <c r="AF66" s="18">
        <f t="shared" si="34"/>
        <v>3824.5</v>
      </c>
      <c r="AG66" s="18">
        <f t="shared" si="34"/>
        <v>2217.4499999999998</v>
      </c>
      <c r="AH66" s="18">
        <f t="shared" si="34"/>
        <v>1762.5</v>
      </c>
      <c r="AI66" s="18">
        <f t="shared" si="34"/>
        <v>3262.4166666666665</v>
      </c>
      <c r="AJ66" s="18">
        <f t="shared" si="34"/>
        <v>2745.3</v>
      </c>
      <c r="AK66" s="18">
        <f t="shared" si="34"/>
        <v>4284.2</v>
      </c>
      <c r="AL66" s="18">
        <f t="shared" si="15"/>
        <v>1397.9166666666667</v>
      </c>
      <c r="AM66" s="18">
        <f t="shared" si="17"/>
        <v>645.83333333333337</v>
      </c>
      <c r="AN66" s="18">
        <f t="shared" si="23"/>
        <v>623.33333333333337</v>
      </c>
      <c r="AO66" s="18">
        <f t="shared" si="24"/>
        <v>739</v>
      </c>
      <c r="AP66" s="18">
        <f t="shared" si="25"/>
        <v>108.33333333333333</v>
      </c>
      <c r="AQ66" s="18">
        <f t="shared" si="26"/>
        <v>325</v>
      </c>
      <c r="AR66" s="18">
        <f t="shared" ref="AR66:AR96" si="37">(+F66)/60</f>
        <v>0</v>
      </c>
      <c r="AS66" s="18">
        <f t="shared" si="27"/>
        <v>108.33333333333333</v>
      </c>
      <c r="AT66" s="18">
        <f t="shared" si="29"/>
        <v>78.900000000000006</v>
      </c>
      <c r="AU66" s="18"/>
      <c r="AV66" s="18"/>
      <c r="AW66" s="18">
        <f t="shared" si="28"/>
        <v>55639.108333333337</v>
      </c>
      <c r="AX66" s="4"/>
      <c r="AY66" s="4"/>
    </row>
    <row r="67" spans="1:51" outlineLevel="1">
      <c r="A67" s="7" t="s">
        <v>51</v>
      </c>
      <c r="B67" s="7">
        <f t="shared" si="9"/>
        <v>2018</v>
      </c>
      <c r="C67" s="7" t="s">
        <v>47</v>
      </c>
      <c r="D67" s="18"/>
      <c r="E67" s="18"/>
      <c r="F67" s="18">
        <f t="shared" si="31"/>
        <v>0</v>
      </c>
      <c r="G67" s="123">
        <f>SUM(F$5:F67)</f>
        <v>3375096.5</v>
      </c>
      <c r="H67" s="114"/>
      <c r="I67" s="339">
        <v>45731.42</v>
      </c>
      <c r="J67" s="20">
        <f t="shared" si="10"/>
        <v>2721004.94</v>
      </c>
      <c r="K67" s="114"/>
      <c r="L67" s="18">
        <f t="shared" si="5"/>
        <v>654091.56000000006</v>
      </c>
      <c r="N67" s="18"/>
      <c r="O67" s="18"/>
      <c r="P67" s="18"/>
      <c r="Q67" s="18">
        <f>+Q66</f>
        <v>1389.1666666666667</v>
      </c>
      <c r="R67" s="18">
        <f>+R66</f>
        <v>1343.5833333333333</v>
      </c>
      <c r="S67" s="18">
        <f t="shared" si="34"/>
        <v>1114.4166666666667</v>
      </c>
      <c r="T67" s="18">
        <f t="shared" si="34"/>
        <v>1459.1666666666667</v>
      </c>
      <c r="U67" s="18">
        <f t="shared" si="34"/>
        <v>1601.6666666666667</v>
      </c>
      <c r="V67" s="18">
        <f t="shared" si="34"/>
        <v>957.5</v>
      </c>
      <c r="W67" s="18">
        <f t="shared" si="34"/>
        <v>1866.2333333333333</v>
      </c>
      <c r="X67" s="18">
        <f t="shared" si="34"/>
        <v>2127.0833333333335</v>
      </c>
      <c r="Y67" s="18">
        <f t="shared" si="34"/>
        <v>1868</v>
      </c>
      <c r="Z67" s="18">
        <f t="shared" si="34"/>
        <v>1777.9166666666667</v>
      </c>
      <c r="AA67" s="18">
        <f t="shared" si="34"/>
        <v>1753.3333333333333</v>
      </c>
      <c r="AB67" s="18">
        <f t="shared" si="34"/>
        <v>3310</v>
      </c>
      <c r="AC67" s="18">
        <f t="shared" si="34"/>
        <v>5251.1833333333334</v>
      </c>
      <c r="AD67" s="18">
        <f t="shared" si="34"/>
        <v>3934.3083333333334</v>
      </c>
      <c r="AE67" s="18">
        <f t="shared" si="34"/>
        <v>2790.8666666666668</v>
      </c>
      <c r="AF67" s="18">
        <f t="shared" si="34"/>
        <v>3824.5</v>
      </c>
      <c r="AG67" s="18">
        <f t="shared" si="34"/>
        <v>2217.4499999999998</v>
      </c>
      <c r="AH67" s="18">
        <f t="shared" si="34"/>
        <v>1762.5</v>
      </c>
      <c r="AI67" s="18">
        <f t="shared" si="34"/>
        <v>3262.4166666666665</v>
      </c>
      <c r="AJ67" s="18">
        <f t="shared" si="34"/>
        <v>2745.3</v>
      </c>
      <c r="AK67" s="18">
        <f t="shared" si="34"/>
        <v>4284.2</v>
      </c>
      <c r="AL67" s="18">
        <f t="shared" si="15"/>
        <v>1397.9166666666667</v>
      </c>
      <c r="AM67" s="18">
        <f t="shared" si="17"/>
        <v>645.83333333333337</v>
      </c>
      <c r="AN67" s="18">
        <f t="shared" si="23"/>
        <v>623.33333333333337</v>
      </c>
      <c r="AO67" s="18">
        <f t="shared" si="24"/>
        <v>739</v>
      </c>
      <c r="AP67" s="18">
        <f t="shared" si="25"/>
        <v>108.33333333333333</v>
      </c>
      <c r="AQ67" s="18">
        <f t="shared" si="26"/>
        <v>325</v>
      </c>
      <c r="AR67" s="18">
        <f t="shared" si="37"/>
        <v>0</v>
      </c>
      <c r="AS67" s="18">
        <f t="shared" si="27"/>
        <v>108.33333333333333</v>
      </c>
      <c r="AT67" s="18">
        <f t="shared" si="29"/>
        <v>78.900000000000006</v>
      </c>
      <c r="AU67" s="18"/>
      <c r="AV67" s="18"/>
      <c r="AW67" s="18">
        <f t="shared" si="28"/>
        <v>54667.441666666673</v>
      </c>
      <c r="AX67" s="4"/>
      <c r="AY67" s="4"/>
    </row>
    <row r="68" spans="1:51" outlineLevel="1">
      <c r="A68" s="124" t="s">
        <v>52</v>
      </c>
      <c r="B68" s="124">
        <f t="shared" si="9"/>
        <v>2018</v>
      </c>
      <c r="C68" s="124" t="s">
        <v>47</v>
      </c>
      <c r="D68" s="121"/>
      <c r="E68" s="121"/>
      <c r="F68" s="121">
        <f t="shared" si="31"/>
        <v>0</v>
      </c>
      <c r="G68" s="125">
        <f>SUM(F$5:F68)</f>
        <v>3375096.5</v>
      </c>
      <c r="H68" s="114"/>
      <c r="I68" s="340">
        <v>48594.57</v>
      </c>
      <c r="J68" s="121">
        <f t="shared" si="10"/>
        <v>2769599.51</v>
      </c>
      <c r="K68" s="116"/>
      <c r="L68" s="121">
        <f t="shared" si="5"/>
        <v>605496.99000000022</v>
      </c>
      <c r="N68" s="121"/>
      <c r="O68" s="121"/>
      <c r="P68" s="121"/>
      <c r="Q68" s="121"/>
      <c r="R68" s="121">
        <f t="shared" ref="R68:AB69" si="38">+R67</f>
        <v>1343.5833333333333</v>
      </c>
      <c r="S68" s="121">
        <f t="shared" si="38"/>
        <v>1114.4166666666667</v>
      </c>
      <c r="T68" s="121">
        <f t="shared" si="38"/>
        <v>1459.1666666666667</v>
      </c>
      <c r="U68" s="121">
        <f t="shared" si="38"/>
        <v>1601.6666666666667</v>
      </c>
      <c r="V68" s="121">
        <f t="shared" si="38"/>
        <v>957.5</v>
      </c>
      <c r="W68" s="121">
        <f t="shared" si="38"/>
        <v>1866.2333333333333</v>
      </c>
      <c r="X68" s="121">
        <f t="shared" si="38"/>
        <v>2127.0833333333335</v>
      </c>
      <c r="Y68" s="121">
        <f t="shared" si="38"/>
        <v>1868</v>
      </c>
      <c r="Z68" s="121">
        <f t="shared" si="38"/>
        <v>1777.9166666666667</v>
      </c>
      <c r="AA68" s="121">
        <f t="shared" si="38"/>
        <v>1753.3333333333333</v>
      </c>
      <c r="AB68" s="121">
        <f t="shared" si="38"/>
        <v>3310</v>
      </c>
      <c r="AC68" s="121">
        <f t="shared" si="34"/>
        <v>5251.1833333333334</v>
      </c>
      <c r="AD68" s="121">
        <f t="shared" si="34"/>
        <v>3934.3083333333334</v>
      </c>
      <c r="AE68" s="121">
        <f t="shared" si="34"/>
        <v>2790.8666666666668</v>
      </c>
      <c r="AF68" s="121">
        <f t="shared" si="34"/>
        <v>3824.5</v>
      </c>
      <c r="AG68" s="121">
        <f t="shared" si="34"/>
        <v>2217.4499999999998</v>
      </c>
      <c r="AH68" s="121">
        <f t="shared" si="34"/>
        <v>1762.5</v>
      </c>
      <c r="AI68" s="121">
        <f t="shared" si="34"/>
        <v>3262.4166666666665</v>
      </c>
      <c r="AJ68" s="121">
        <f t="shared" si="34"/>
        <v>2745.3</v>
      </c>
      <c r="AK68" s="121">
        <f t="shared" si="34"/>
        <v>4284.2</v>
      </c>
      <c r="AL68" s="121">
        <f t="shared" si="15"/>
        <v>1397.9166666666667</v>
      </c>
      <c r="AM68" s="121">
        <f t="shared" si="17"/>
        <v>645.83333333333337</v>
      </c>
      <c r="AN68" s="121">
        <f t="shared" si="23"/>
        <v>623.33333333333337</v>
      </c>
      <c r="AO68" s="121">
        <f t="shared" si="24"/>
        <v>739</v>
      </c>
      <c r="AP68" s="121">
        <f t="shared" si="25"/>
        <v>108.33333333333333</v>
      </c>
      <c r="AQ68" s="121">
        <f t="shared" si="26"/>
        <v>325</v>
      </c>
      <c r="AR68" s="18">
        <f t="shared" si="37"/>
        <v>0</v>
      </c>
      <c r="AS68" s="121">
        <f t="shared" si="27"/>
        <v>108.33333333333333</v>
      </c>
      <c r="AT68" s="121">
        <f t="shared" si="29"/>
        <v>78.900000000000006</v>
      </c>
      <c r="AU68" s="121"/>
      <c r="AV68" s="37"/>
      <c r="AW68" s="121">
        <f t="shared" si="28"/>
        <v>53278.275000000009</v>
      </c>
      <c r="AX68" s="4"/>
      <c r="AY68" s="4"/>
    </row>
    <row r="69" spans="1:51" outlineLevel="1">
      <c r="A69" s="7" t="s">
        <v>53</v>
      </c>
      <c r="B69" s="7">
        <f t="shared" si="9"/>
        <v>2019</v>
      </c>
      <c r="C69" s="7" t="s">
        <v>47</v>
      </c>
      <c r="D69" s="18"/>
      <c r="E69" s="18"/>
      <c r="F69" s="18">
        <f t="shared" si="31"/>
        <v>0</v>
      </c>
      <c r="G69" s="123">
        <f>SUM(F$5:F69)</f>
        <v>3375096.5</v>
      </c>
      <c r="H69" s="114"/>
      <c r="I69" s="339">
        <v>49223.360000000001</v>
      </c>
      <c r="J69" s="20">
        <f t="shared" si="10"/>
        <v>2818822.8699999996</v>
      </c>
      <c r="K69" s="114"/>
      <c r="L69" s="18">
        <f t="shared" si="5"/>
        <v>556273.63000000035</v>
      </c>
      <c r="N69" s="18"/>
      <c r="O69" s="18"/>
      <c r="P69" s="18"/>
      <c r="Q69" s="18"/>
      <c r="R69" s="18"/>
      <c r="S69" s="18">
        <f t="shared" si="38"/>
        <v>1114.4166666666667</v>
      </c>
      <c r="T69" s="18">
        <f t="shared" si="38"/>
        <v>1459.1666666666667</v>
      </c>
      <c r="U69" s="18">
        <f t="shared" si="38"/>
        <v>1601.6666666666667</v>
      </c>
      <c r="V69" s="18">
        <f t="shared" si="38"/>
        <v>957.5</v>
      </c>
      <c r="W69" s="18">
        <f t="shared" si="38"/>
        <v>1866.2333333333333</v>
      </c>
      <c r="X69" s="18">
        <f t="shared" si="38"/>
        <v>2127.0833333333335</v>
      </c>
      <c r="Y69" s="18">
        <f t="shared" si="38"/>
        <v>1868</v>
      </c>
      <c r="Z69" s="18">
        <f t="shared" si="38"/>
        <v>1777.9166666666667</v>
      </c>
      <c r="AA69" s="18">
        <f t="shared" si="38"/>
        <v>1753.3333333333333</v>
      </c>
      <c r="AB69" s="18">
        <f t="shared" si="38"/>
        <v>3310</v>
      </c>
      <c r="AC69" s="18">
        <f t="shared" si="34"/>
        <v>5251.1833333333334</v>
      </c>
      <c r="AD69" s="18">
        <f t="shared" si="34"/>
        <v>3934.3083333333334</v>
      </c>
      <c r="AE69" s="18">
        <f t="shared" si="34"/>
        <v>2790.8666666666668</v>
      </c>
      <c r="AF69" s="18">
        <f t="shared" si="34"/>
        <v>3824.5</v>
      </c>
      <c r="AG69" s="18">
        <f t="shared" si="34"/>
        <v>2217.4499999999998</v>
      </c>
      <c r="AH69" s="18">
        <f t="shared" si="34"/>
        <v>1762.5</v>
      </c>
      <c r="AI69" s="18">
        <f t="shared" si="34"/>
        <v>3262.4166666666665</v>
      </c>
      <c r="AJ69" s="18">
        <f t="shared" si="34"/>
        <v>2745.3</v>
      </c>
      <c r="AK69" s="18">
        <f t="shared" si="34"/>
        <v>4284.2</v>
      </c>
      <c r="AL69" s="18">
        <f t="shared" si="15"/>
        <v>1397.9166666666667</v>
      </c>
      <c r="AM69" s="18">
        <f t="shared" si="17"/>
        <v>645.83333333333337</v>
      </c>
      <c r="AN69" s="18">
        <f t="shared" si="23"/>
        <v>623.33333333333337</v>
      </c>
      <c r="AO69" s="18">
        <f t="shared" si="24"/>
        <v>739</v>
      </c>
      <c r="AP69" s="18">
        <f t="shared" si="25"/>
        <v>108.33333333333333</v>
      </c>
      <c r="AQ69" s="18">
        <f t="shared" si="26"/>
        <v>325</v>
      </c>
      <c r="AR69" s="18">
        <f t="shared" si="37"/>
        <v>0</v>
      </c>
      <c r="AS69" s="18">
        <f t="shared" si="27"/>
        <v>108.33333333333333</v>
      </c>
      <c r="AT69" s="18">
        <f t="shared" si="29"/>
        <v>78.900000000000006</v>
      </c>
      <c r="AU69" s="18"/>
      <c r="AV69" s="18"/>
      <c r="AW69" s="18">
        <f t="shared" ref="AW69:AW95" si="39">SUM(N69:AV69)</f>
        <v>51934.691666666673</v>
      </c>
      <c r="AX69" s="4"/>
      <c r="AY69" s="4"/>
    </row>
    <row r="70" spans="1:51" outlineLevel="1">
      <c r="A70" s="7" t="s">
        <v>54</v>
      </c>
      <c r="B70" s="7">
        <f t="shared" si="9"/>
        <v>2019</v>
      </c>
      <c r="C70" s="7" t="s">
        <v>47</v>
      </c>
      <c r="D70" s="18"/>
      <c r="E70" s="18"/>
      <c r="F70" s="18">
        <f t="shared" si="31"/>
        <v>0</v>
      </c>
      <c r="G70" s="123">
        <f>SUM(F$5:F70)</f>
        <v>3375096.5</v>
      </c>
      <c r="H70" s="114"/>
      <c r="I70" s="339">
        <v>44222.85</v>
      </c>
      <c r="J70" s="20">
        <f t="shared" si="10"/>
        <v>2863045.7199999997</v>
      </c>
      <c r="K70" s="114"/>
      <c r="L70" s="18">
        <f t="shared" ref="L70:L85" si="40">+G70-J70</f>
        <v>512050.78000000026</v>
      </c>
      <c r="N70" s="18"/>
      <c r="O70" s="18"/>
      <c r="P70" s="18"/>
      <c r="Q70" s="18"/>
      <c r="R70" s="18"/>
      <c r="S70" s="18"/>
      <c r="T70" s="18">
        <f t="shared" si="34"/>
        <v>1459.1666666666667</v>
      </c>
      <c r="U70" s="18">
        <f t="shared" si="34"/>
        <v>1601.6666666666667</v>
      </c>
      <c r="V70" s="18">
        <f t="shared" si="34"/>
        <v>957.5</v>
      </c>
      <c r="W70" s="18">
        <f t="shared" si="34"/>
        <v>1866.2333333333333</v>
      </c>
      <c r="X70" s="18">
        <f t="shared" si="34"/>
        <v>2127.0833333333335</v>
      </c>
      <c r="Y70" s="18">
        <f t="shared" si="34"/>
        <v>1868</v>
      </c>
      <c r="Z70" s="18">
        <f t="shared" si="34"/>
        <v>1777.9166666666667</v>
      </c>
      <c r="AA70" s="18">
        <f t="shared" si="34"/>
        <v>1753.3333333333333</v>
      </c>
      <c r="AB70" s="18">
        <f t="shared" si="34"/>
        <v>3310</v>
      </c>
      <c r="AC70" s="18">
        <f t="shared" si="34"/>
        <v>5251.1833333333334</v>
      </c>
      <c r="AD70" s="18">
        <f t="shared" si="34"/>
        <v>3934.3083333333334</v>
      </c>
      <c r="AE70" s="18">
        <f t="shared" si="34"/>
        <v>2790.8666666666668</v>
      </c>
      <c r="AF70" s="18">
        <f t="shared" si="34"/>
        <v>3824.5</v>
      </c>
      <c r="AG70" s="18">
        <f t="shared" si="34"/>
        <v>2217.4499999999998</v>
      </c>
      <c r="AH70" s="18">
        <f t="shared" si="34"/>
        <v>1762.5</v>
      </c>
      <c r="AI70" s="18">
        <f t="shared" si="34"/>
        <v>3262.4166666666665</v>
      </c>
      <c r="AJ70" s="18">
        <f t="shared" si="34"/>
        <v>2745.3</v>
      </c>
      <c r="AK70" s="18">
        <f t="shared" si="34"/>
        <v>4284.2</v>
      </c>
      <c r="AL70" s="18">
        <f t="shared" si="15"/>
        <v>1397.9166666666667</v>
      </c>
      <c r="AM70" s="18">
        <f t="shared" si="17"/>
        <v>645.83333333333337</v>
      </c>
      <c r="AN70" s="18">
        <f t="shared" si="23"/>
        <v>623.33333333333337</v>
      </c>
      <c r="AO70" s="18">
        <f t="shared" si="24"/>
        <v>739</v>
      </c>
      <c r="AP70" s="18">
        <f t="shared" si="25"/>
        <v>108.33333333333333</v>
      </c>
      <c r="AQ70" s="18">
        <f t="shared" si="26"/>
        <v>325</v>
      </c>
      <c r="AR70" s="18">
        <f t="shared" si="37"/>
        <v>0</v>
      </c>
      <c r="AS70" s="18">
        <f t="shared" si="27"/>
        <v>108.33333333333333</v>
      </c>
      <c r="AT70" s="18">
        <f t="shared" si="29"/>
        <v>78.900000000000006</v>
      </c>
      <c r="AU70" s="18"/>
      <c r="AV70" s="20"/>
      <c r="AW70" s="18">
        <f t="shared" si="39"/>
        <v>50820.275000000009</v>
      </c>
      <c r="AX70" s="4"/>
      <c r="AY70" s="4"/>
    </row>
    <row r="71" spans="1:51" outlineLevel="1">
      <c r="A71" s="7" t="s">
        <v>55</v>
      </c>
      <c r="B71" s="7">
        <f t="shared" si="9"/>
        <v>2019</v>
      </c>
      <c r="C71" s="7" t="s">
        <v>47</v>
      </c>
      <c r="D71" s="18"/>
      <c r="E71" s="18"/>
      <c r="F71" s="18">
        <f t="shared" si="31"/>
        <v>0</v>
      </c>
      <c r="G71" s="123">
        <f>SUM(F$5:F71)</f>
        <v>3375096.5</v>
      </c>
      <c r="H71" s="114"/>
      <c r="I71" s="339">
        <v>45905.75</v>
      </c>
      <c r="J71" s="20">
        <f t="shared" si="10"/>
        <v>2908951.4699999997</v>
      </c>
      <c r="K71" s="114"/>
      <c r="L71" s="18">
        <f t="shared" si="40"/>
        <v>466145.03000000026</v>
      </c>
      <c r="N71" s="18"/>
      <c r="O71" s="18"/>
      <c r="P71" s="18"/>
      <c r="Q71" s="18"/>
      <c r="R71" s="18"/>
      <c r="S71" s="18"/>
      <c r="T71" s="18"/>
      <c r="U71" s="18">
        <f t="shared" si="34"/>
        <v>1601.6666666666667</v>
      </c>
      <c r="V71" s="18">
        <f t="shared" si="34"/>
        <v>957.5</v>
      </c>
      <c r="W71" s="18">
        <f t="shared" si="34"/>
        <v>1866.2333333333333</v>
      </c>
      <c r="X71" s="18">
        <f t="shared" si="34"/>
        <v>2127.0833333333335</v>
      </c>
      <c r="Y71" s="18">
        <f t="shared" si="34"/>
        <v>1868</v>
      </c>
      <c r="Z71" s="18">
        <f t="shared" si="34"/>
        <v>1777.9166666666667</v>
      </c>
      <c r="AA71" s="18">
        <f t="shared" si="34"/>
        <v>1753.3333333333333</v>
      </c>
      <c r="AB71" s="18">
        <f t="shared" si="34"/>
        <v>3310</v>
      </c>
      <c r="AC71" s="18">
        <f t="shared" si="34"/>
        <v>5251.1833333333334</v>
      </c>
      <c r="AD71" s="18">
        <f t="shared" si="34"/>
        <v>3934.3083333333334</v>
      </c>
      <c r="AE71" s="18">
        <f t="shared" si="34"/>
        <v>2790.8666666666668</v>
      </c>
      <c r="AF71" s="18">
        <f t="shared" si="34"/>
        <v>3824.5</v>
      </c>
      <c r="AG71" s="18">
        <f t="shared" si="34"/>
        <v>2217.4499999999998</v>
      </c>
      <c r="AH71" s="18">
        <f t="shared" si="34"/>
        <v>1762.5</v>
      </c>
      <c r="AI71" s="18">
        <f t="shared" si="34"/>
        <v>3262.4166666666665</v>
      </c>
      <c r="AJ71" s="18">
        <f t="shared" si="34"/>
        <v>2745.3</v>
      </c>
      <c r="AK71" s="18">
        <f t="shared" si="34"/>
        <v>4284.2</v>
      </c>
      <c r="AL71" s="18">
        <f t="shared" si="15"/>
        <v>1397.9166666666667</v>
      </c>
      <c r="AM71" s="18">
        <f t="shared" si="17"/>
        <v>645.83333333333337</v>
      </c>
      <c r="AN71" s="18">
        <f t="shared" si="23"/>
        <v>623.33333333333337</v>
      </c>
      <c r="AO71" s="18">
        <f t="shared" si="24"/>
        <v>739</v>
      </c>
      <c r="AP71" s="18">
        <f t="shared" si="25"/>
        <v>108.33333333333333</v>
      </c>
      <c r="AQ71" s="18">
        <f t="shared" si="26"/>
        <v>325</v>
      </c>
      <c r="AR71" s="18">
        <f t="shared" si="37"/>
        <v>0</v>
      </c>
      <c r="AS71" s="18">
        <f t="shared" si="27"/>
        <v>108.33333333333333</v>
      </c>
      <c r="AT71" s="18">
        <f t="shared" si="29"/>
        <v>78.900000000000006</v>
      </c>
      <c r="AU71" s="18"/>
      <c r="AV71" s="18"/>
      <c r="AW71" s="18">
        <f t="shared" si="39"/>
        <v>49361.108333333337</v>
      </c>
      <c r="AX71" s="4"/>
      <c r="AY71" s="4"/>
    </row>
    <row r="72" spans="1:51" outlineLevel="1">
      <c r="A72" s="7" t="s">
        <v>56</v>
      </c>
      <c r="B72" s="7">
        <f t="shared" si="9"/>
        <v>2019</v>
      </c>
      <c r="C72" s="7" t="s">
        <v>47</v>
      </c>
      <c r="D72" s="18"/>
      <c r="E72" s="18"/>
      <c r="F72" s="18">
        <f t="shared" si="31"/>
        <v>0</v>
      </c>
      <c r="G72" s="123">
        <f>SUM(F$5:F72)</f>
        <v>3375096.5</v>
      </c>
      <c r="H72" s="114"/>
      <c r="I72" s="339">
        <v>45283.65</v>
      </c>
      <c r="J72" s="20">
        <f t="shared" si="10"/>
        <v>2954235.1199999996</v>
      </c>
      <c r="K72" s="114"/>
      <c r="L72" s="18">
        <f t="shared" si="40"/>
        <v>420861.38000000035</v>
      </c>
      <c r="N72" s="18"/>
      <c r="O72" s="18"/>
      <c r="P72" s="18"/>
      <c r="Q72" s="18"/>
      <c r="R72" s="18"/>
      <c r="S72" s="18"/>
      <c r="T72" s="18"/>
      <c r="U72" s="18"/>
      <c r="V72" s="18">
        <f t="shared" si="34"/>
        <v>957.5</v>
      </c>
      <c r="W72" s="18">
        <f t="shared" si="34"/>
        <v>1866.2333333333333</v>
      </c>
      <c r="X72" s="18">
        <f t="shared" si="34"/>
        <v>2127.0833333333335</v>
      </c>
      <c r="Y72" s="18">
        <f t="shared" si="34"/>
        <v>1868</v>
      </c>
      <c r="Z72" s="18">
        <f t="shared" si="34"/>
        <v>1777.9166666666667</v>
      </c>
      <c r="AA72" s="18">
        <f t="shared" si="34"/>
        <v>1753.3333333333333</v>
      </c>
      <c r="AB72" s="18">
        <f t="shared" si="34"/>
        <v>3310</v>
      </c>
      <c r="AC72" s="18">
        <f t="shared" si="34"/>
        <v>5251.1833333333334</v>
      </c>
      <c r="AD72" s="18">
        <f t="shared" si="34"/>
        <v>3934.3083333333334</v>
      </c>
      <c r="AE72" s="18">
        <f t="shared" si="34"/>
        <v>2790.8666666666668</v>
      </c>
      <c r="AF72" s="18">
        <f t="shared" si="34"/>
        <v>3824.5</v>
      </c>
      <c r="AG72" s="18">
        <f t="shared" si="34"/>
        <v>2217.4499999999998</v>
      </c>
      <c r="AH72" s="18">
        <f t="shared" si="34"/>
        <v>1762.5</v>
      </c>
      <c r="AI72" s="18">
        <f t="shared" si="34"/>
        <v>3262.4166666666665</v>
      </c>
      <c r="AJ72" s="18">
        <f t="shared" si="34"/>
        <v>2745.3</v>
      </c>
      <c r="AK72" s="18">
        <f t="shared" si="34"/>
        <v>4284.2</v>
      </c>
      <c r="AL72" s="18">
        <f t="shared" si="15"/>
        <v>1397.9166666666667</v>
      </c>
      <c r="AM72" s="18">
        <f t="shared" si="17"/>
        <v>645.83333333333337</v>
      </c>
      <c r="AN72" s="18">
        <f t="shared" si="23"/>
        <v>623.33333333333337</v>
      </c>
      <c r="AO72" s="18">
        <f t="shared" si="24"/>
        <v>739</v>
      </c>
      <c r="AP72" s="18">
        <f t="shared" si="25"/>
        <v>108.33333333333333</v>
      </c>
      <c r="AQ72" s="18">
        <f t="shared" si="26"/>
        <v>325</v>
      </c>
      <c r="AR72" s="18">
        <f t="shared" si="37"/>
        <v>0</v>
      </c>
      <c r="AS72" s="18">
        <f t="shared" si="27"/>
        <v>108.33333333333333</v>
      </c>
      <c r="AT72" s="18">
        <f t="shared" si="29"/>
        <v>78.900000000000006</v>
      </c>
      <c r="AU72" s="18"/>
      <c r="AV72" s="18"/>
      <c r="AW72" s="18">
        <f t="shared" si="39"/>
        <v>47759.441666666673</v>
      </c>
      <c r="AX72" s="35"/>
      <c r="AY72" s="35"/>
    </row>
    <row r="73" spans="1:51" outlineLevel="1">
      <c r="A73" s="7" t="s">
        <v>57</v>
      </c>
      <c r="B73" s="7">
        <f t="shared" si="9"/>
        <v>2019</v>
      </c>
      <c r="C73" s="7" t="s">
        <v>47</v>
      </c>
      <c r="D73" s="18"/>
      <c r="E73" s="18"/>
      <c r="F73" s="18">
        <f t="shared" si="31"/>
        <v>0</v>
      </c>
      <c r="G73" s="123">
        <f>SUM(F$5:F73)</f>
        <v>3375096.5</v>
      </c>
      <c r="H73" s="114"/>
      <c r="I73" s="339">
        <v>47229.24</v>
      </c>
      <c r="J73" s="20">
        <f t="shared" si="10"/>
        <v>3001464.36</v>
      </c>
      <c r="K73" s="114"/>
      <c r="L73" s="18">
        <f t="shared" si="40"/>
        <v>373632.14000000013</v>
      </c>
      <c r="N73" s="18"/>
      <c r="O73" s="18"/>
      <c r="P73" s="18"/>
      <c r="Q73" s="18"/>
      <c r="R73" s="18"/>
      <c r="S73" s="18"/>
      <c r="T73" s="18"/>
      <c r="U73" s="18"/>
      <c r="V73" s="18"/>
      <c r="W73" s="18">
        <f t="shared" si="34"/>
        <v>1866.2333333333333</v>
      </c>
      <c r="X73" s="18">
        <f t="shared" si="34"/>
        <v>2127.0833333333335</v>
      </c>
      <c r="Y73" s="18">
        <f t="shared" si="34"/>
        <v>1868</v>
      </c>
      <c r="Z73" s="18">
        <f t="shared" si="34"/>
        <v>1777.9166666666667</v>
      </c>
      <c r="AA73" s="18">
        <f t="shared" si="34"/>
        <v>1753.3333333333333</v>
      </c>
      <c r="AB73" s="18">
        <f t="shared" si="34"/>
        <v>3310</v>
      </c>
      <c r="AC73" s="18">
        <f t="shared" si="34"/>
        <v>5251.1833333333334</v>
      </c>
      <c r="AD73" s="18">
        <f t="shared" si="34"/>
        <v>3934.3083333333334</v>
      </c>
      <c r="AE73" s="18">
        <f t="shared" si="34"/>
        <v>2790.8666666666668</v>
      </c>
      <c r="AF73" s="18">
        <f t="shared" si="34"/>
        <v>3824.5</v>
      </c>
      <c r="AG73" s="18">
        <f t="shared" si="34"/>
        <v>2217.4499999999998</v>
      </c>
      <c r="AH73" s="18">
        <f t="shared" si="34"/>
        <v>1762.5</v>
      </c>
      <c r="AI73" s="18">
        <f t="shared" si="34"/>
        <v>3262.4166666666665</v>
      </c>
      <c r="AJ73" s="18">
        <f t="shared" si="34"/>
        <v>2745.3</v>
      </c>
      <c r="AK73" s="18">
        <f t="shared" si="34"/>
        <v>4284.2</v>
      </c>
      <c r="AL73" s="18">
        <f t="shared" si="15"/>
        <v>1397.9166666666667</v>
      </c>
      <c r="AM73" s="18">
        <f t="shared" si="17"/>
        <v>645.83333333333337</v>
      </c>
      <c r="AN73" s="18">
        <f t="shared" si="23"/>
        <v>623.33333333333337</v>
      </c>
      <c r="AO73" s="18">
        <f t="shared" si="24"/>
        <v>739</v>
      </c>
      <c r="AP73" s="18">
        <f t="shared" si="25"/>
        <v>108.33333333333333</v>
      </c>
      <c r="AQ73" s="18">
        <f t="shared" si="26"/>
        <v>325</v>
      </c>
      <c r="AR73" s="18">
        <f t="shared" si="37"/>
        <v>0</v>
      </c>
      <c r="AS73" s="18">
        <f t="shared" si="27"/>
        <v>108.33333333333333</v>
      </c>
      <c r="AT73" s="18">
        <f t="shared" si="29"/>
        <v>78.900000000000006</v>
      </c>
      <c r="AU73" s="18"/>
      <c r="AV73" s="18"/>
      <c r="AW73" s="18">
        <f t="shared" si="39"/>
        <v>46801.94166666668</v>
      </c>
      <c r="AX73" s="4"/>
      <c r="AY73" s="4"/>
    </row>
    <row r="74" spans="1:51" outlineLevel="1">
      <c r="A74" s="7" t="s">
        <v>58</v>
      </c>
      <c r="B74" s="7">
        <f t="shared" ref="B74:B96" si="41">+B62+1</f>
        <v>2019</v>
      </c>
      <c r="C74" s="7" t="s">
        <v>47</v>
      </c>
      <c r="D74" s="18"/>
      <c r="E74" s="18"/>
      <c r="F74" s="18">
        <f t="shared" si="31"/>
        <v>0</v>
      </c>
      <c r="G74" s="123">
        <f>SUM(F$5:F74)</f>
        <v>3375096.5</v>
      </c>
      <c r="H74" s="114"/>
      <c r="I74" s="339">
        <v>42081.49</v>
      </c>
      <c r="J74" s="20">
        <f t="shared" si="10"/>
        <v>3043545.85</v>
      </c>
      <c r="K74" s="114"/>
      <c r="L74" s="18">
        <f t="shared" si="40"/>
        <v>331550.64999999991</v>
      </c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>
        <f t="shared" ref="X74:AK87" si="42">+X73</f>
        <v>2127.0833333333335</v>
      </c>
      <c r="Y74" s="18">
        <f t="shared" si="42"/>
        <v>1868</v>
      </c>
      <c r="Z74" s="18">
        <f t="shared" si="42"/>
        <v>1777.9166666666667</v>
      </c>
      <c r="AA74" s="18">
        <f t="shared" si="42"/>
        <v>1753.3333333333333</v>
      </c>
      <c r="AB74" s="18">
        <f t="shared" si="42"/>
        <v>3310</v>
      </c>
      <c r="AC74" s="18">
        <f t="shared" si="42"/>
        <v>5251.1833333333334</v>
      </c>
      <c r="AD74" s="18">
        <f t="shared" si="42"/>
        <v>3934.3083333333334</v>
      </c>
      <c r="AE74" s="18">
        <f t="shared" si="42"/>
        <v>2790.8666666666668</v>
      </c>
      <c r="AF74" s="18">
        <f t="shared" si="42"/>
        <v>3824.5</v>
      </c>
      <c r="AG74" s="18">
        <f t="shared" si="42"/>
        <v>2217.4499999999998</v>
      </c>
      <c r="AH74" s="18">
        <f t="shared" si="42"/>
        <v>1762.5</v>
      </c>
      <c r="AI74" s="18">
        <f t="shared" si="42"/>
        <v>3262.4166666666665</v>
      </c>
      <c r="AJ74" s="18">
        <f t="shared" si="42"/>
        <v>2745.3</v>
      </c>
      <c r="AK74" s="18">
        <f t="shared" si="42"/>
        <v>4284.2</v>
      </c>
      <c r="AL74" s="18">
        <f t="shared" si="15"/>
        <v>1397.9166666666667</v>
      </c>
      <c r="AM74" s="18">
        <f t="shared" si="17"/>
        <v>645.83333333333337</v>
      </c>
      <c r="AN74" s="18">
        <f t="shared" si="23"/>
        <v>623.33333333333337</v>
      </c>
      <c r="AO74" s="18">
        <f t="shared" si="24"/>
        <v>739</v>
      </c>
      <c r="AP74" s="18">
        <f t="shared" si="25"/>
        <v>108.33333333333333</v>
      </c>
      <c r="AQ74" s="18">
        <f t="shared" si="26"/>
        <v>325</v>
      </c>
      <c r="AR74" s="18">
        <f t="shared" si="37"/>
        <v>0</v>
      </c>
      <c r="AS74" s="18">
        <f t="shared" si="27"/>
        <v>108.33333333333333</v>
      </c>
      <c r="AT74" s="18">
        <f t="shared" si="29"/>
        <v>78.900000000000006</v>
      </c>
      <c r="AU74" s="18"/>
      <c r="AV74" s="18"/>
      <c r="AW74" s="18">
        <f t="shared" si="39"/>
        <v>44935.708333333343</v>
      </c>
      <c r="AX74" s="4"/>
      <c r="AY74" s="4"/>
    </row>
    <row r="75" spans="1:51" outlineLevel="1">
      <c r="A75" s="7" t="s">
        <v>59</v>
      </c>
      <c r="B75" s="7">
        <f t="shared" si="41"/>
        <v>2019</v>
      </c>
      <c r="C75" s="7" t="s">
        <v>47</v>
      </c>
      <c r="D75" s="18"/>
      <c r="E75" s="18"/>
      <c r="F75" s="18">
        <f t="shared" si="31"/>
        <v>0</v>
      </c>
      <c r="G75" s="123">
        <f>SUM(F$5:F75)</f>
        <v>3375096.5</v>
      </c>
      <c r="H75" s="114"/>
      <c r="I75" s="461">
        <f>108.34+40722.85</f>
        <v>40831.189999999995</v>
      </c>
      <c r="J75" s="20">
        <f t="shared" si="10"/>
        <v>3084377.04</v>
      </c>
      <c r="K75" s="114"/>
      <c r="L75" s="18">
        <f t="shared" si="40"/>
        <v>290719.45999999996</v>
      </c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>
        <f t="shared" si="42"/>
        <v>1868</v>
      </c>
      <c r="Z75" s="18">
        <f t="shared" si="42"/>
        <v>1777.9166666666667</v>
      </c>
      <c r="AA75" s="18">
        <f t="shared" si="42"/>
        <v>1753.3333333333333</v>
      </c>
      <c r="AB75" s="18">
        <f t="shared" si="42"/>
        <v>3310</v>
      </c>
      <c r="AC75" s="18">
        <f t="shared" si="42"/>
        <v>5251.1833333333334</v>
      </c>
      <c r="AD75" s="18">
        <f t="shared" si="42"/>
        <v>3934.3083333333334</v>
      </c>
      <c r="AE75" s="18">
        <f t="shared" si="42"/>
        <v>2790.8666666666668</v>
      </c>
      <c r="AF75" s="18">
        <f t="shared" si="42"/>
        <v>3824.5</v>
      </c>
      <c r="AG75" s="18">
        <f t="shared" si="42"/>
        <v>2217.4499999999998</v>
      </c>
      <c r="AH75" s="18">
        <f t="shared" si="42"/>
        <v>1762.5</v>
      </c>
      <c r="AI75" s="18">
        <f t="shared" si="42"/>
        <v>3262.4166666666665</v>
      </c>
      <c r="AJ75" s="18">
        <f t="shared" si="42"/>
        <v>2745.3</v>
      </c>
      <c r="AK75" s="18">
        <f t="shared" si="42"/>
        <v>4284.2</v>
      </c>
      <c r="AL75" s="18">
        <f t="shared" si="15"/>
        <v>1397.9166666666667</v>
      </c>
      <c r="AM75" s="18">
        <f t="shared" si="17"/>
        <v>645.83333333333337</v>
      </c>
      <c r="AN75" s="18">
        <f t="shared" si="23"/>
        <v>623.33333333333337</v>
      </c>
      <c r="AO75" s="18">
        <f t="shared" si="24"/>
        <v>739</v>
      </c>
      <c r="AP75" s="18">
        <f t="shared" si="25"/>
        <v>108.33333333333333</v>
      </c>
      <c r="AQ75" s="18">
        <f t="shared" si="26"/>
        <v>325</v>
      </c>
      <c r="AR75" s="18">
        <f t="shared" si="37"/>
        <v>0</v>
      </c>
      <c r="AS75" s="18">
        <f t="shared" si="27"/>
        <v>108.33333333333333</v>
      </c>
      <c r="AT75" s="18">
        <f t="shared" si="29"/>
        <v>78.900000000000006</v>
      </c>
      <c r="AU75" s="18"/>
      <c r="AV75" s="18"/>
      <c r="AW75" s="18">
        <f t="shared" si="39"/>
        <v>42808.625000000015</v>
      </c>
      <c r="AX75" s="4"/>
      <c r="AY75" s="4"/>
    </row>
    <row r="76" spans="1:51" outlineLevel="1">
      <c r="A76" s="7" t="s">
        <v>46</v>
      </c>
      <c r="B76" s="7">
        <f t="shared" si="41"/>
        <v>2019</v>
      </c>
      <c r="C76" s="7" t="s">
        <v>47</v>
      </c>
      <c r="D76" s="18"/>
      <c r="E76" s="18"/>
      <c r="F76" s="18">
        <f t="shared" si="31"/>
        <v>0</v>
      </c>
      <c r="G76" s="123">
        <f>SUM(F$5:F76)</f>
        <v>3375096.5</v>
      </c>
      <c r="H76" s="114"/>
      <c r="I76" s="339">
        <v>41180.33</v>
      </c>
      <c r="J76" s="20">
        <f t="shared" si="10"/>
        <v>3125557.37</v>
      </c>
      <c r="K76" s="114"/>
      <c r="L76" s="18">
        <f t="shared" si="40"/>
        <v>249539.12999999989</v>
      </c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>
        <f t="shared" si="42"/>
        <v>1777.9166666666667</v>
      </c>
      <c r="AA76" s="18">
        <f t="shared" si="42"/>
        <v>1753.3333333333333</v>
      </c>
      <c r="AB76" s="18">
        <f t="shared" si="42"/>
        <v>3310</v>
      </c>
      <c r="AC76" s="18">
        <f t="shared" si="42"/>
        <v>5251.1833333333334</v>
      </c>
      <c r="AD76" s="18">
        <f t="shared" si="42"/>
        <v>3934.3083333333334</v>
      </c>
      <c r="AE76" s="18">
        <f t="shared" si="42"/>
        <v>2790.8666666666668</v>
      </c>
      <c r="AF76" s="18">
        <f t="shared" si="42"/>
        <v>3824.5</v>
      </c>
      <c r="AG76" s="18">
        <f t="shared" si="42"/>
        <v>2217.4499999999998</v>
      </c>
      <c r="AH76" s="18">
        <f t="shared" si="42"/>
        <v>1762.5</v>
      </c>
      <c r="AI76" s="18">
        <f t="shared" si="42"/>
        <v>3262.4166666666665</v>
      </c>
      <c r="AJ76" s="18">
        <f t="shared" si="42"/>
        <v>2745.3</v>
      </c>
      <c r="AK76" s="18">
        <f t="shared" si="42"/>
        <v>4284.2</v>
      </c>
      <c r="AL76" s="18">
        <f t="shared" si="15"/>
        <v>1397.9166666666667</v>
      </c>
      <c r="AM76" s="18">
        <f t="shared" si="17"/>
        <v>645.83333333333337</v>
      </c>
      <c r="AN76" s="18">
        <f t="shared" si="23"/>
        <v>623.33333333333337</v>
      </c>
      <c r="AO76" s="18">
        <f t="shared" si="24"/>
        <v>739</v>
      </c>
      <c r="AP76" s="18">
        <f t="shared" si="25"/>
        <v>108.33333333333333</v>
      </c>
      <c r="AQ76" s="18">
        <f t="shared" si="26"/>
        <v>325</v>
      </c>
      <c r="AR76" s="18">
        <f t="shared" si="37"/>
        <v>0</v>
      </c>
      <c r="AS76" s="18">
        <f t="shared" si="27"/>
        <v>108.33333333333333</v>
      </c>
      <c r="AT76" s="18">
        <f t="shared" si="29"/>
        <v>78.900000000000006</v>
      </c>
      <c r="AU76" s="18"/>
      <c r="AV76" s="18"/>
      <c r="AW76" s="18">
        <f t="shared" si="39"/>
        <v>40940.625000000015</v>
      </c>
      <c r="AX76" s="4"/>
      <c r="AY76" s="4"/>
    </row>
    <row r="77" spans="1:51" outlineLevel="1">
      <c r="A77" s="7" t="s">
        <v>48</v>
      </c>
      <c r="B77" s="7">
        <f t="shared" si="41"/>
        <v>2019</v>
      </c>
      <c r="C77" s="7" t="s">
        <v>47</v>
      </c>
      <c r="D77" s="18"/>
      <c r="E77" s="18"/>
      <c r="F77" s="18">
        <f t="shared" si="31"/>
        <v>0</v>
      </c>
      <c r="G77" s="123">
        <f>SUM(F$5:F77)</f>
        <v>3375096.5</v>
      </c>
      <c r="H77" s="114"/>
      <c r="I77" s="339">
        <v>32530.18</v>
      </c>
      <c r="J77" s="20">
        <f t="shared" si="10"/>
        <v>3158087.5500000003</v>
      </c>
      <c r="K77" s="114"/>
      <c r="L77" s="18">
        <f t="shared" si="40"/>
        <v>217008.94999999972</v>
      </c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>
        <f t="shared" si="42"/>
        <v>1753.3333333333333</v>
      </c>
      <c r="AB77" s="18">
        <f t="shared" si="42"/>
        <v>3310</v>
      </c>
      <c r="AC77" s="18">
        <f t="shared" si="42"/>
        <v>5251.1833333333334</v>
      </c>
      <c r="AD77" s="18">
        <f t="shared" si="42"/>
        <v>3934.3083333333334</v>
      </c>
      <c r="AE77" s="18">
        <f t="shared" si="42"/>
        <v>2790.8666666666668</v>
      </c>
      <c r="AF77" s="18">
        <f t="shared" si="42"/>
        <v>3824.5</v>
      </c>
      <c r="AG77" s="18">
        <f t="shared" si="42"/>
        <v>2217.4499999999998</v>
      </c>
      <c r="AH77" s="18">
        <f t="shared" si="42"/>
        <v>1762.5</v>
      </c>
      <c r="AI77" s="18">
        <f t="shared" si="42"/>
        <v>3262.4166666666665</v>
      </c>
      <c r="AJ77" s="18">
        <f t="shared" si="42"/>
        <v>2745.3</v>
      </c>
      <c r="AK77" s="18">
        <f t="shared" si="42"/>
        <v>4284.2</v>
      </c>
      <c r="AL77" s="18">
        <f t="shared" si="15"/>
        <v>1397.9166666666667</v>
      </c>
      <c r="AM77" s="18">
        <f t="shared" si="17"/>
        <v>645.83333333333337</v>
      </c>
      <c r="AN77" s="18">
        <f t="shared" si="23"/>
        <v>623.33333333333337</v>
      </c>
      <c r="AO77" s="18">
        <f t="shared" si="24"/>
        <v>739</v>
      </c>
      <c r="AP77" s="18">
        <f t="shared" si="25"/>
        <v>108.33333333333333</v>
      </c>
      <c r="AQ77" s="18">
        <f t="shared" si="26"/>
        <v>325</v>
      </c>
      <c r="AR77" s="18">
        <f t="shared" si="37"/>
        <v>0</v>
      </c>
      <c r="AS77" s="18">
        <f t="shared" si="27"/>
        <v>108.33333333333333</v>
      </c>
      <c r="AT77" s="18">
        <f t="shared" si="29"/>
        <v>78.900000000000006</v>
      </c>
      <c r="AU77" s="18"/>
      <c r="AV77" s="18"/>
      <c r="AW77" s="18">
        <f t="shared" si="39"/>
        <v>39162.708333333343</v>
      </c>
      <c r="AX77" s="4"/>
      <c r="AY77" s="4"/>
    </row>
    <row r="78" spans="1:51" outlineLevel="1">
      <c r="A78" s="7" t="s">
        <v>50</v>
      </c>
      <c r="B78" s="7">
        <f t="shared" si="41"/>
        <v>2019</v>
      </c>
      <c r="C78" s="7" t="s">
        <v>47</v>
      </c>
      <c r="D78" s="18"/>
      <c r="E78" s="18"/>
      <c r="F78" s="18">
        <f t="shared" si="31"/>
        <v>0</v>
      </c>
      <c r="G78" s="123">
        <f>SUM(F$5:F78)</f>
        <v>3375096.5</v>
      </c>
      <c r="H78" s="114"/>
      <c r="I78" s="339">
        <v>36711.129999999997</v>
      </c>
      <c r="J78" s="20">
        <f t="shared" si="10"/>
        <v>3194798.68</v>
      </c>
      <c r="K78" s="114"/>
      <c r="L78" s="18">
        <f t="shared" si="40"/>
        <v>180297.81999999983</v>
      </c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>
        <f t="shared" si="42"/>
        <v>3310</v>
      </c>
      <c r="AC78" s="18">
        <f t="shared" si="42"/>
        <v>5251.1833333333334</v>
      </c>
      <c r="AD78" s="18">
        <f t="shared" si="42"/>
        <v>3934.3083333333334</v>
      </c>
      <c r="AE78" s="18">
        <f t="shared" si="42"/>
        <v>2790.8666666666668</v>
      </c>
      <c r="AF78" s="18">
        <f t="shared" si="42"/>
        <v>3824.5</v>
      </c>
      <c r="AG78" s="18">
        <f t="shared" si="42"/>
        <v>2217.4499999999998</v>
      </c>
      <c r="AH78" s="18">
        <f t="shared" si="42"/>
        <v>1762.5</v>
      </c>
      <c r="AI78" s="18">
        <f t="shared" si="42"/>
        <v>3262.4166666666665</v>
      </c>
      <c r="AJ78" s="18">
        <f t="shared" si="42"/>
        <v>2745.3</v>
      </c>
      <c r="AK78" s="18">
        <f t="shared" si="42"/>
        <v>4284.2</v>
      </c>
      <c r="AL78" s="18">
        <f t="shared" si="15"/>
        <v>1397.9166666666667</v>
      </c>
      <c r="AM78" s="18">
        <f t="shared" si="17"/>
        <v>645.83333333333337</v>
      </c>
      <c r="AN78" s="18">
        <f t="shared" si="23"/>
        <v>623.33333333333337</v>
      </c>
      <c r="AO78" s="18">
        <f t="shared" si="24"/>
        <v>739</v>
      </c>
      <c r="AP78" s="18">
        <f t="shared" si="25"/>
        <v>108.33333333333333</v>
      </c>
      <c r="AQ78" s="18">
        <f t="shared" si="26"/>
        <v>325</v>
      </c>
      <c r="AR78" s="18">
        <f t="shared" si="37"/>
        <v>0</v>
      </c>
      <c r="AS78" s="18">
        <f t="shared" si="27"/>
        <v>108.33333333333333</v>
      </c>
      <c r="AT78" s="18">
        <f t="shared" si="29"/>
        <v>78.900000000000006</v>
      </c>
      <c r="AU78" s="18"/>
      <c r="AV78" s="18"/>
      <c r="AW78" s="18">
        <f t="shared" si="39"/>
        <v>37409.375000000015</v>
      </c>
      <c r="AX78" s="4"/>
      <c r="AY78" s="4"/>
    </row>
    <row r="79" spans="1:51" outlineLevel="1">
      <c r="A79" s="7" t="s">
        <v>51</v>
      </c>
      <c r="B79" s="7">
        <f t="shared" si="41"/>
        <v>2019</v>
      </c>
      <c r="C79" s="7" t="s">
        <v>47</v>
      </c>
      <c r="D79" s="18"/>
      <c r="E79" s="18"/>
      <c r="F79" s="18">
        <f t="shared" si="31"/>
        <v>0</v>
      </c>
      <c r="G79" s="123">
        <f>SUM(F$5:F79)</f>
        <v>3375096.5</v>
      </c>
      <c r="H79" s="114"/>
      <c r="I79" s="461">
        <f>432.96+28101.67</f>
        <v>28534.629999999997</v>
      </c>
      <c r="J79" s="20">
        <f t="shared" si="10"/>
        <v>3223333.31</v>
      </c>
      <c r="K79" s="114"/>
      <c r="L79" s="18">
        <f t="shared" si="40"/>
        <v>151763.18999999994</v>
      </c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>
        <f t="shared" si="42"/>
        <v>5251.1833333333334</v>
      </c>
      <c r="AD79" s="18">
        <f t="shared" si="42"/>
        <v>3934.3083333333334</v>
      </c>
      <c r="AE79" s="18">
        <f t="shared" si="42"/>
        <v>2790.8666666666668</v>
      </c>
      <c r="AF79" s="18">
        <f t="shared" si="42"/>
        <v>3824.5</v>
      </c>
      <c r="AG79" s="18">
        <f t="shared" si="42"/>
        <v>2217.4499999999998</v>
      </c>
      <c r="AH79" s="18">
        <f t="shared" si="42"/>
        <v>1762.5</v>
      </c>
      <c r="AI79" s="18">
        <f t="shared" si="42"/>
        <v>3262.4166666666665</v>
      </c>
      <c r="AJ79" s="18">
        <f t="shared" si="42"/>
        <v>2745.3</v>
      </c>
      <c r="AK79" s="18">
        <f t="shared" si="42"/>
        <v>4284.2</v>
      </c>
      <c r="AL79" s="18">
        <f t="shared" si="15"/>
        <v>1397.9166666666667</v>
      </c>
      <c r="AM79" s="18">
        <f t="shared" si="17"/>
        <v>645.83333333333337</v>
      </c>
      <c r="AN79" s="18">
        <f t="shared" si="23"/>
        <v>623.33333333333337</v>
      </c>
      <c r="AO79" s="18">
        <f t="shared" si="24"/>
        <v>739</v>
      </c>
      <c r="AP79" s="18">
        <f t="shared" si="25"/>
        <v>108.33333333333333</v>
      </c>
      <c r="AQ79" s="18">
        <f t="shared" si="26"/>
        <v>325</v>
      </c>
      <c r="AR79" s="18">
        <f t="shared" si="37"/>
        <v>0</v>
      </c>
      <c r="AS79" s="18">
        <f t="shared" si="27"/>
        <v>108.33333333333333</v>
      </c>
      <c r="AT79" s="18">
        <f t="shared" si="29"/>
        <v>78.900000000000006</v>
      </c>
      <c r="AU79" s="18"/>
      <c r="AV79" s="18"/>
      <c r="AW79" s="18">
        <f t="shared" si="39"/>
        <v>34099.375000000007</v>
      </c>
      <c r="AX79" s="4"/>
      <c r="AY79" s="4"/>
    </row>
    <row r="80" spans="1:51" outlineLevel="1">
      <c r="A80" s="124" t="s">
        <v>52</v>
      </c>
      <c r="B80" s="124">
        <f t="shared" si="41"/>
        <v>2019</v>
      </c>
      <c r="C80" s="124" t="s">
        <v>47</v>
      </c>
      <c r="D80" s="121"/>
      <c r="E80" s="121"/>
      <c r="F80" s="121">
        <f t="shared" si="31"/>
        <v>0</v>
      </c>
      <c r="G80" s="125">
        <f>SUM(F$5:F80)</f>
        <v>3375096.5</v>
      </c>
      <c r="H80" s="114"/>
      <c r="I80" s="340">
        <v>27500.15</v>
      </c>
      <c r="J80" s="121">
        <f t="shared" si="10"/>
        <v>3250833.46</v>
      </c>
      <c r="K80" s="116"/>
      <c r="L80" s="121">
        <f t="shared" si="40"/>
        <v>124263.04000000004</v>
      </c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>
        <f t="shared" si="42"/>
        <v>3934.3083333333334</v>
      </c>
      <c r="AE80" s="121">
        <f t="shared" si="42"/>
        <v>2790.8666666666668</v>
      </c>
      <c r="AF80" s="121">
        <f t="shared" si="42"/>
        <v>3824.5</v>
      </c>
      <c r="AG80" s="121">
        <f t="shared" si="42"/>
        <v>2217.4499999999998</v>
      </c>
      <c r="AH80" s="121">
        <f t="shared" si="42"/>
        <v>1762.5</v>
      </c>
      <c r="AI80" s="121">
        <f t="shared" si="42"/>
        <v>3262.4166666666665</v>
      </c>
      <c r="AJ80" s="121">
        <f t="shared" si="42"/>
        <v>2745.3</v>
      </c>
      <c r="AK80" s="121">
        <f t="shared" si="42"/>
        <v>4284.2</v>
      </c>
      <c r="AL80" s="121">
        <f t="shared" si="15"/>
        <v>1397.9166666666667</v>
      </c>
      <c r="AM80" s="121">
        <f t="shared" si="17"/>
        <v>645.83333333333337</v>
      </c>
      <c r="AN80" s="121">
        <f t="shared" si="23"/>
        <v>623.33333333333337</v>
      </c>
      <c r="AO80" s="121">
        <f t="shared" si="24"/>
        <v>739</v>
      </c>
      <c r="AP80" s="121">
        <f t="shared" si="25"/>
        <v>108.33333333333333</v>
      </c>
      <c r="AQ80" s="121">
        <f t="shared" si="26"/>
        <v>325</v>
      </c>
      <c r="AR80" s="18">
        <f t="shared" si="37"/>
        <v>0</v>
      </c>
      <c r="AS80" s="121">
        <f t="shared" si="27"/>
        <v>108.33333333333333</v>
      </c>
      <c r="AT80" s="121">
        <f t="shared" si="29"/>
        <v>78.900000000000006</v>
      </c>
      <c r="AU80" s="121"/>
      <c r="AV80" s="121"/>
      <c r="AW80" s="121">
        <f t="shared" si="39"/>
        <v>28848.191666666666</v>
      </c>
      <c r="AX80" s="4"/>
      <c r="AY80" s="4"/>
    </row>
    <row r="81" spans="1:51" outlineLevel="1">
      <c r="A81" s="7" t="s">
        <v>53</v>
      </c>
      <c r="B81" s="7">
        <f t="shared" si="41"/>
        <v>2020</v>
      </c>
      <c r="C81" s="7" t="s">
        <v>47</v>
      </c>
      <c r="D81" s="18"/>
      <c r="E81" s="18"/>
      <c r="F81" s="18">
        <f t="shared" si="31"/>
        <v>0</v>
      </c>
      <c r="G81" s="123">
        <f>SUM(F$5:F81)</f>
        <v>3375096.5</v>
      </c>
      <c r="H81" s="114"/>
      <c r="I81" s="339">
        <v>24845.51</v>
      </c>
      <c r="J81" s="20">
        <f t="shared" si="10"/>
        <v>3275678.9699999997</v>
      </c>
      <c r="K81" s="114"/>
      <c r="L81" s="18">
        <f t="shared" si="40"/>
        <v>99417.530000000261</v>
      </c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>
        <f t="shared" si="42"/>
        <v>2790.8666666666668</v>
      </c>
      <c r="AF81" s="18">
        <f t="shared" si="42"/>
        <v>3824.5</v>
      </c>
      <c r="AG81" s="18">
        <f t="shared" si="42"/>
        <v>2217.4499999999998</v>
      </c>
      <c r="AH81" s="18">
        <f t="shared" si="42"/>
        <v>1762.5</v>
      </c>
      <c r="AI81" s="18">
        <f t="shared" si="42"/>
        <v>3262.4166666666665</v>
      </c>
      <c r="AJ81" s="18">
        <f t="shared" si="42"/>
        <v>2745.3</v>
      </c>
      <c r="AK81" s="18">
        <f t="shared" si="42"/>
        <v>4284.2</v>
      </c>
      <c r="AL81" s="18">
        <f t="shared" si="15"/>
        <v>1397.9166666666667</v>
      </c>
      <c r="AM81" s="18">
        <f t="shared" si="17"/>
        <v>645.83333333333337</v>
      </c>
      <c r="AN81" s="18">
        <f t="shared" si="23"/>
        <v>623.33333333333337</v>
      </c>
      <c r="AO81" s="18">
        <f t="shared" si="24"/>
        <v>739</v>
      </c>
      <c r="AP81" s="18">
        <f t="shared" si="25"/>
        <v>108.33333333333333</v>
      </c>
      <c r="AQ81" s="18">
        <f t="shared" si="26"/>
        <v>325</v>
      </c>
      <c r="AR81" s="18">
        <f t="shared" si="37"/>
        <v>0</v>
      </c>
      <c r="AS81" s="18">
        <f t="shared" si="27"/>
        <v>108.33333333333333</v>
      </c>
      <c r="AT81" s="18">
        <f t="shared" si="29"/>
        <v>78.900000000000006</v>
      </c>
      <c r="AU81" s="18"/>
      <c r="AV81" s="18"/>
      <c r="AW81" s="18">
        <f t="shared" si="39"/>
        <v>24913.883333333331</v>
      </c>
      <c r="AX81" s="4"/>
      <c r="AY81" s="4"/>
    </row>
    <row r="82" spans="1:51" outlineLevel="1">
      <c r="A82" s="7" t="s">
        <v>54</v>
      </c>
      <c r="B82" s="7">
        <f t="shared" si="41"/>
        <v>2020</v>
      </c>
      <c r="C82" s="7" t="s">
        <v>47</v>
      </c>
      <c r="D82" s="18"/>
      <c r="E82" s="18"/>
      <c r="F82" s="18">
        <f t="shared" si="31"/>
        <v>0</v>
      </c>
      <c r="G82" s="123">
        <f>SUM(F$5:F82)</f>
        <v>3375096.5</v>
      </c>
      <c r="H82" s="114"/>
      <c r="I82" s="339">
        <v>19163.060000000001</v>
      </c>
      <c r="J82" s="20">
        <f t="shared" si="10"/>
        <v>3294842.03</v>
      </c>
      <c r="K82" s="114"/>
      <c r="L82" s="18">
        <f t="shared" si="40"/>
        <v>80254.470000000205</v>
      </c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>
        <f t="shared" si="42"/>
        <v>3824.5</v>
      </c>
      <c r="AG82" s="18">
        <f t="shared" si="42"/>
        <v>2217.4499999999998</v>
      </c>
      <c r="AH82" s="18">
        <f t="shared" si="42"/>
        <v>1762.5</v>
      </c>
      <c r="AI82" s="18">
        <f t="shared" si="42"/>
        <v>3262.4166666666665</v>
      </c>
      <c r="AJ82" s="18">
        <f t="shared" si="42"/>
        <v>2745.3</v>
      </c>
      <c r="AK82" s="18">
        <f t="shared" si="42"/>
        <v>4284.2</v>
      </c>
      <c r="AL82" s="18">
        <f t="shared" si="15"/>
        <v>1397.9166666666667</v>
      </c>
      <c r="AM82" s="18">
        <f t="shared" si="17"/>
        <v>645.83333333333337</v>
      </c>
      <c r="AN82" s="18">
        <f t="shared" si="23"/>
        <v>623.33333333333337</v>
      </c>
      <c r="AO82" s="18">
        <f t="shared" si="24"/>
        <v>739</v>
      </c>
      <c r="AP82" s="18">
        <f t="shared" si="25"/>
        <v>108.33333333333333</v>
      </c>
      <c r="AQ82" s="18">
        <f t="shared" si="26"/>
        <v>325</v>
      </c>
      <c r="AR82" s="18">
        <f t="shared" si="37"/>
        <v>0</v>
      </c>
      <c r="AS82" s="18">
        <f t="shared" si="27"/>
        <v>108.33333333333333</v>
      </c>
      <c r="AT82" s="18">
        <f t="shared" si="29"/>
        <v>78.900000000000006</v>
      </c>
      <c r="AU82" s="18"/>
      <c r="AV82" s="20"/>
      <c r="AW82" s="18">
        <f t="shared" si="39"/>
        <v>22123.016666666666</v>
      </c>
      <c r="AX82" s="4"/>
      <c r="AY82" s="4"/>
    </row>
    <row r="83" spans="1:51" outlineLevel="1">
      <c r="A83" s="7" t="s">
        <v>55</v>
      </c>
      <c r="B83" s="7">
        <f t="shared" si="41"/>
        <v>2020</v>
      </c>
      <c r="C83" s="7" t="s">
        <v>47</v>
      </c>
      <c r="D83" s="18"/>
      <c r="E83" s="18"/>
      <c r="F83" s="18">
        <f t="shared" si="31"/>
        <v>0</v>
      </c>
      <c r="G83" s="123">
        <f>SUM(F$5:F83)</f>
        <v>3375096.5</v>
      </c>
      <c r="H83" s="114"/>
      <c r="I83" s="339">
        <v>19053.52</v>
      </c>
      <c r="J83" s="20">
        <f>I83+J82</f>
        <v>3313895.55</v>
      </c>
      <c r="K83" s="114"/>
      <c r="L83" s="18">
        <f t="shared" si="40"/>
        <v>61200.950000000186</v>
      </c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>
        <f t="shared" si="42"/>
        <v>2217.4499999999998</v>
      </c>
      <c r="AH83" s="18">
        <f t="shared" si="42"/>
        <v>1762.5</v>
      </c>
      <c r="AI83" s="18">
        <f t="shared" si="42"/>
        <v>3262.4166666666665</v>
      </c>
      <c r="AJ83" s="18">
        <f t="shared" si="42"/>
        <v>2745.3</v>
      </c>
      <c r="AK83" s="18">
        <f t="shared" si="42"/>
        <v>4284.2</v>
      </c>
      <c r="AL83" s="18">
        <f t="shared" si="15"/>
        <v>1397.9166666666667</v>
      </c>
      <c r="AM83" s="18">
        <f t="shared" si="17"/>
        <v>645.83333333333337</v>
      </c>
      <c r="AN83" s="18">
        <f t="shared" si="23"/>
        <v>623.33333333333337</v>
      </c>
      <c r="AO83" s="18">
        <f t="shared" si="24"/>
        <v>739</v>
      </c>
      <c r="AP83" s="18">
        <f t="shared" si="25"/>
        <v>108.33333333333333</v>
      </c>
      <c r="AQ83" s="18">
        <f t="shared" si="26"/>
        <v>325</v>
      </c>
      <c r="AR83" s="18">
        <f t="shared" si="37"/>
        <v>0</v>
      </c>
      <c r="AS83" s="18">
        <f t="shared" si="27"/>
        <v>108.33333333333333</v>
      </c>
      <c r="AT83" s="18">
        <f t="shared" si="29"/>
        <v>78.900000000000006</v>
      </c>
      <c r="AU83" s="18"/>
      <c r="AV83" s="18"/>
      <c r="AW83" s="18">
        <f t="shared" si="39"/>
        <v>18298.516666666666</v>
      </c>
      <c r="AX83" s="4"/>
      <c r="AY83" s="4"/>
    </row>
    <row r="84" spans="1:51" outlineLevel="1">
      <c r="A84" s="7" t="s">
        <v>56</v>
      </c>
      <c r="B84" s="7">
        <f t="shared" si="41"/>
        <v>2020</v>
      </c>
      <c r="C84" s="7" t="s">
        <v>47</v>
      </c>
      <c r="D84" s="18"/>
      <c r="E84" s="18"/>
      <c r="F84" s="18">
        <f t="shared" si="31"/>
        <v>0</v>
      </c>
      <c r="G84" s="123">
        <f>SUM(F$5:F84)</f>
        <v>3375096.5</v>
      </c>
      <c r="H84" s="114"/>
      <c r="I84" s="339">
        <v>15598.81</v>
      </c>
      <c r="J84" s="20">
        <f>I84+J83</f>
        <v>3329494.36</v>
      </c>
      <c r="K84" s="114"/>
      <c r="L84" s="18">
        <f t="shared" si="40"/>
        <v>45602.14000000013</v>
      </c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>
        <f t="shared" si="42"/>
        <v>1762.5</v>
      </c>
      <c r="AI84" s="18">
        <f t="shared" si="42"/>
        <v>3262.4166666666665</v>
      </c>
      <c r="AJ84" s="18">
        <f t="shared" si="42"/>
        <v>2745.3</v>
      </c>
      <c r="AK84" s="18">
        <f t="shared" si="42"/>
        <v>4284.2</v>
      </c>
      <c r="AL84" s="18">
        <f t="shared" si="15"/>
        <v>1397.9166666666667</v>
      </c>
      <c r="AM84" s="18">
        <f t="shared" si="17"/>
        <v>645.83333333333337</v>
      </c>
      <c r="AN84" s="18">
        <f t="shared" si="23"/>
        <v>623.33333333333337</v>
      </c>
      <c r="AO84" s="18">
        <f t="shared" si="24"/>
        <v>739</v>
      </c>
      <c r="AP84" s="18">
        <f t="shared" si="25"/>
        <v>108.33333333333333</v>
      </c>
      <c r="AQ84" s="18">
        <f t="shared" si="26"/>
        <v>325</v>
      </c>
      <c r="AR84" s="18">
        <f t="shared" si="37"/>
        <v>0</v>
      </c>
      <c r="AS84" s="18">
        <f t="shared" si="27"/>
        <v>108.33333333333333</v>
      </c>
      <c r="AT84" s="18">
        <f t="shared" si="29"/>
        <v>78.900000000000006</v>
      </c>
      <c r="AU84" s="18"/>
      <c r="AV84" s="18"/>
      <c r="AW84" s="18">
        <f t="shared" si="39"/>
        <v>16081.066666666668</v>
      </c>
      <c r="AX84" s="4"/>
      <c r="AY84" s="4"/>
    </row>
    <row r="85" spans="1:51" outlineLevel="1">
      <c r="A85" s="74" t="s">
        <v>57</v>
      </c>
      <c r="B85" s="74">
        <f t="shared" si="41"/>
        <v>2020</v>
      </c>
      <c r="C85" s="74" t="s">
        <v>47</v>
      </c>
      <c r="D85" s="254"/>
      <c r="E85" s="254"/>
      <c r="F85" s="254">
        <f t="shared" si="31"/>
        <v>0</v>
      </c>
      <c r="G85" s="347">
        <f>SUM(F$5:F85)</f>
        <v>3375096.5</v>
      </c>
      <c r="H85" s="344"/>
      <c r="I85" s="346">
        <v>12653.93</v>
      </c>
      <c r="J85" s="345">
        <f>I85+J84</f>
        <v>3342148.29</v>
      </c>
      <c r="K85" s="344"/>
      <c r="L85" s="254">
        <f t="shared" si="40"/>
        <v>32948.209999999963</v>
      </c>
      <c r="M85" s="251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>
        <f t="shared" si="42"/>
        <v>3262.4166666666665</v>
      </c>
      <c r="AJ85" s="254">
        <f t="shared" si="42"/>
        <v>2745.3</v>
      </c>
      <c r="AK85" s="254">
        <f t="shared" si="42"/>
        <v>4284.2</v>
      </c>
      <c r="AL85" s="254">
        <f t="shared" si="15"/>
        <v>1397.9166666666667</v>
      </c>
      <c r="AM85" s="254">
        <f t="shared" si="17"/>
        <v>645.83333333333337</v>
      </c>
      <c r="AN85" s="254">
        <f t="shared" si="23"/>
        <v>623.33333333333337</v>
      </c>
      <c r="AO85" s="254">
        <f t="shared" si="24"/>
        <v>739</v>
      </c>
      <c r="AP85" s="254">
        <f t="shared" si="25"/>
        <v>108.33333333333333</v>
      </c>
      <c r="AQ85" s="254">
        <f t="shared" si="26"/>
        <v>325</v>
      </c>
      <c r="AR85" s="254">
        <f t="shared" si="37"/>
        <v>0</v>
      </c>
      <c r="AS85" s="254">
        <f t="shared" si="27"/>
        <v>108.33333333333333</v>
      </c>
      <c r="AT85" s="254">
        <f t="shared" si="29"/>
        <v>78.900000000000006</v>
      </c>
      <c r="AU85" s="254"/>
      <c r="AV85" s="254"/>
      <c r="AW85" s="254">
        <f t="shared" si="39"/>
        <v>14318.566666666669</v>
      </c>
      <c r="AX85" s="4"/>
      <c r="AY85" s="4"/>
    </row>
    <row r="86" spans="1:51" outlineLevel="1">
      <c r="A86" s="74" t="s">
        <v>58</v>
      </c>
      <c r="B86" s="74">
        <f t="shared" si="41"/>
        <v>2020</v>
      </c>
      <c r="C86" s="74" t="s">
        <v>47</v>
      </c>
      <c r="D86" s="254"/>
      <c r="E86" s="254"/>
      <c r="F86" s="254">
        <f t="shared" si="31"/>
        <v>0</v>
      </c>
      <c r="G86" s="347">
        <f>SUM(F$5:F86)</f>
        <v>3375096.5</v>
      </c>
      <c r="H86" s="344"/>
      <c r="I86" s="461">
        <f>1124.52+10100</f>
        <v>11224.52</v>
      </c>
      <c r="J86" s="345">
        <f t="shared" ref="J86:J93" si="43">I86+J85</f>
        <v>3353372.81</v>
      </c>
      <c r="K86" s="344"/>
      <c r="L86" s="254">
        <f t="shared" ref="L86:L93" si="44">+G86-J86</f>
        <v>21723.689999999944</v>
      </c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>
        <f t="shared" si="42"/>
        <v>2745.3</v>
      </c>
      <c r="AK86" s="18">
        <f t="shared" si="42"/>
        <v>4284.2</v>
      </c>
      <c r="AL86" s="18">
        <f t="shared" si="15"/>
        <v>1397.9166666666667</v>
      </c>
      <c r="AM86" s="18">
        <f t="shared" si="17"/>
        <v>645.83333333333337</v>
      </c>
      <c r="AN86" s="18">
        <f t="shared" si="23"/>
        <v>623.33333333333337</v>
      </c>
      <c r="AO86" s="18">
        <f t="shared" si="24"/>
        <v>739</v>
      </c>
      <c r="AP86" s="18">
        <f t="shared" si="25"/>
        <v>108.33333333333333</v>
      </c>
      <c r="AQ86" s="18">
        <f t="shared" si="26"/>
        <v>325</v>
      </c>
      <c r="AR86" s="18">
        <f t="shared" si="37"/>
        <v>0</v>
      </c>
      <c r="AS86" s="18">
        <f t="shared" si="27"/>
        <v>108.33333333333333</v>
      </c>
      <c r="AT86" s="18">
        <f t="shared" si="29"/>
        <v>78.900000000000006</v>
      </c>
      <c r="AU86" s="18"/>
      <c r="AV86" s="18"/>
      <c r="AW86" s="254">
        <f t="shared" si="39"/>
        <v>11056.150000000001</v>
      </c>
      <c r="AX86" s="4"/>
      <c r="AY86" s="4"/>
    </row>
    <row r="87" spans="1:51" outlineLevel="1">
      <c r="A87" s="74" t="s">
        <v>59</v>
      </c>
      <c r="B87" s="74">
        <f t="shared" si="41"/>
        <v>2020</v>
      </c>
      <c r="C87" s="74" t="s">
        <v>47</v>
      </c>
      <c r="D87" s="254"/>
      <c r="E87" s="254"/>
      <c r="F87" s="254">
        <f t="shared" si="31"/>
        <v>0</v>
      </c>
      <c r="G87" s="347">
        <f>SUM(F$5:F87)</f>
        <v>3375096.5</v>
      </c>
      <c r="H87" s="344"/>
      <c r="I87" s="346">
        <v>9257.1299999999992</v>
      </c>
      <c r="J87" s="345">
        <f t="shared" si="43"/>
        <v>3362629.94</v>
      </c>
      <c r="K87" s="344"/>
      <c r="L87" s="254">
        <f t="shared" si="44"/>
        <v>12466.560000000056</v>
      </c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>
        <f t="shared" si="42"/>
        <v>4284.2</v>
      </c>
      <c r="AL87" s="18">
        <f t="shared" si="15"/>
        <v>1397.9166666666667</v>
      </c>
      <c r="AM87" s="18">
        <f t="shared" si="17"/>
        <v>645.83333333333337</v>
      </c>
      <c r="AN87" s="18">
        <f t="shared" si="23"/>
        <v>623.33333333333337</v>
      </c>
      <c r="AO87" s="18">
        <f t="shared" si="24"/>
        <v>739</v>
      </c>
      <c r="AP87" s="18">
        <f t="shared" si="25"/>
        <v>108.33333333333333</v>
      </c>
      <c r="AQ87" s="18">
        <f t="shared" si="26"/>
        <v>325</v>
      </c>
      <c r="AR87" s="18">
        <f t="shared" si="37"/>
        <v>0</v>
      </c>
      <c r="AS87" s="18">
        <f t="shared" si="27"/>
        <v>108.33333333333333</v>
      </c>
      <c r="AT87" s="18">
        <f t="shared" si="29"/>
        <v>78.900000000000006</v>
      </c>
      <c r="AU87" s="18"/>
      <c r="AV87" s="18"/>
      <c r="AW87" s="254">
        <f t="shared" si="39"/>
        <v>8310.8499999999985</v>
      </c>
      <c r="AX87" s="4"/>
      <c r="AY87" s="4"/>
    </row>
    <row r="88" spans="1:51" outlineLevel="1">
      <c r="A88" s="74" t="s">
        <v>46</v>
      </c>
      <c r="B88" s="74">
        <f t="shared" si="41"/>
        <v>2020</v>
      </c>
      <c r="C88" s="74" t="s">
        <v>47</v>
      </c>
      <c r="D88" s="254"/>
      <c r="E88" s="254"/>
      <c r="F88" s="254">
        <f t="shared" si="31"/>
        <v>0</v>
      </c>
      <c r="G88" s="347">
        <f>SUM(F$5:F88)</f>
        <v>3375096.5</v>
      </c>
      <c r="H88" s="344"/>
      <c r="I88" s="346">
        <v>5922.61</v>
      </c>
      <c r="J88" s="345">
        <f t="shared" si="43"/>
        <v>3368552.55</v>
      </c>
      <c r="K88" s="344"/>
      <c r="L88" s="254">
        <f t="shared" si="44"/>
        <v>6543.9500000001863</v>
      </c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>
        <f t="shared" si="15"/>
        <v>1397.9166666666667</v>
      </c>
      <c r="AM88" s="18">
        <f t="shared" si="17"/>
        <v>645.83333333333337</v>
      </c>
      <c r="AN88" s="18">
        <f t="shared" si="23"/>
        <v>623.33333333333337</v>
      </c>
      <c r="AO88" s="18">
        <f t="shared" si="24"/>
        <v>739</v>
      </c>
      <c r="AP88" s="18">
        <f t="shared" si="25"/>
        <v>108.33333333333333</v>
      </c>
      <c r="AQ88" s="18">
        <f t="shared" si="26"/>
        <v>325</v>
      </c>
      <c r="AR88" s="18">
        <f t="shared" si="37"/>
        <v>0</v>
      </c>
      <c r="AS88" s="18">
        <f t="shared" si="27"/>
        <v>108.33333333333333</v>
      </c>
      <c r="AT88" s="18">
        <f t="shared" si="29"/>
        <v>78.900000000000006</v>
      </c>
      <c r="AU88" s="18"/>
      <c r="AV88" s="18"/>
      <c r="AW88" s="254">
        <f t="shared" si="39"/>
        <v>4026.6500000000005</v>
      </c>
      <c r="AX88" s="4"/>
      <c r="AY88" s="4"/>
    </row>
    <row r="89" spans="1:51" outlineLevel="1">
      <c r="A89" s="74" t="s">
        <v>48</v>
      </c>
      <c r="B89" s="74">
        <f t="shared" si="41"/>
        <v>2020</v>
      </c>
      <c r="C89" s="74" t="s">
        <v>47</v>
      </c>
      <c r="D89" s="254"/>
      <c r="E89" s="254"/>
      <c r="F89" s="254">
        <f t="shared" si="31"/>
        <v>0</v>
      </c>
      <c r="G89" s="347">
        <f>SUM(F$5:F89)</f>
        <v>3375096.5</v>
      </c>
      <c r="H89" s="344"/>
      <c r="I89" s="346">
        <v>2947.11</v>
      </c>
      <c r="J89" s="345">
        <f t="shared" si="43"/>
        <v>3371499.6599999997</v>
      </c>
      <c r="K89" s="344"/>
      <c r="L89" s="254">
        <f t="shared" si="44"/>
        <v>3596.8400000003166</v>
      </c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>
        <f t="shared" si="17"/>
        <v>645.83333333333337</v>
      </c>
      <c r="AN89" s="18">
        <f t="shared" si="23"/>
        <v>623.33333333333337</v>
      </c>
      <c r="AO89" s="18">
        <f t="shared" si="24"/>
        <v>739</v>
      </c>
      <c r="AP89" s="18">
        <f t="shared" si="25"/>
        <v>108.33333333333333</v>
      </c>
      <c r="AQ89" s="18">
        <f t="shared" si="26"/>
        <v>325</v>
      </c>
      <c r="AR89" s="18">
        <f t="shared" si="37"/>
        <v>0</v>
      </c>
      <c r="AS89" s="18">
        <f t="shared" si="27"/>
        <v>108.33333333333333</v>
      </c>
      <c r="AT89" s="18">
        <f t="shared" si="29"/>
        <v>78.900000000000006</v>
      </c>
      <c r="AU89" s="18"/>
      <c r="AV89" s="18"/>
      <c r="AW89" s="254">
        <f t="shared" si="39"/>
        <v>2628.7333333333336</v>
      </c>
      <c r="AX89" s="4"/>
      <c r="AY89" s="4"/>
    </row>
    <row r="90" spans="1:51" outlineLevel="1">
      <c r="A90" s="74" t="s">
        <v>50</v>
      </c>
      <c r="B90" s="74">
        <f t="shared" si="41"/>
        <v>2020</v>
      </c>
      <c r="C90" s="74" t="s">
        <v>47</v>
      </c>
      <c r="D90" s="254"/>
      <c r="E90" s="254"/>
      <c r="F90" s="254">
        <f t="shared" si="31"/>
        <v>0</v>
      </c>
      <c r="G90" s="347">
        <f>SUM(F$5:F90)</f>
        <v>3375096.5</v>
      </c>
      <c r="H90" s="344"/>
      <c r="I90" s="344">
        <v>2198.4899999999998</v>
      </c>
      <c r="J90" s="345">
        <f t="shared" si="43"/>
        <v>3373698.15</v>
      </c>
      <c r="K90" s="344"/>
      <c r="L90" s="254">
        <f t="shared" si="44"/>
        <v>1398.3500000000931</v>
      </c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>
        <f t="shared" si="23"/>
        <v>623.33333333333337</v>
      </c>
      <c r="AO90" s="18">
        <f t="shared" si="24"/>
        <v>739</v>
      </c>
      <c r="AP90" s="18">
        <f t="shared" si="25"/>
        <v>108.33333333333333</v>
      </c>
      <c r="AQ90" s="18">
        <f t="shared" si="26"/>
        <v>325</v>
      </c>
      <c r="AR90" s="18">
        <f t="shared" si="37"/>
        <v>0</v>
      </c>
      <c r="AS90" s="18">
        <f t="shared" si="27"/>
        <v>108.33333333333333</v>
      </c>
      <c r="AT90" s="18">
        <f t="shared" si="29"/>
        <v>78.900000000000006</v>
      </c>
      <c r="AU90" s="18"/>
      <c r="AV90" s="18"/>
      <c r="AW90" s="254">
        <f t="shared" si="39"/>
        <v>1982.9</v>
      </c>
      <c r="AX90" s="4"/>
      <c r="AY90" s="4"/>
    </row>
    <row r="91" spans="1:51" outlineLevel="1">
      <c r="A91" s="74" t="s">
        <v>51</v>
      </c>
      <c r="B91" s="74">
        <f t="shared" si="41"/>
        <v>2020</v>
      </c>
      <c r="C91" s="74" t="s">
        <v>47</v>
      </c>
      <c r="D91" s="254"/>
      <c r="E91" s="254"/>
      <c r="F91" s="254">
        <f t="shared" si="31"/>
        <v>0</v>
      </c>
      <c r="G91" s="347">
        <f>SUM(F$5:F91)</f>
        <v>3375096.5</v>
      </c>
      <c r="H91" s="344"/>
      <c r="I91" s="344">
        <f>L90</f>
        <v>1398.3500000000931</v>
      </c>
      <c r="J91" s="345">
        <f t="shared" si="43"/>
        <v>3375096.5</v>
      </c>
      <c r="K91" s="344"/>
      <c r="L91" s="254">
        <f t="shared" si="44"/>
        <v>0</v>
      </c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>
        <f t="shared" si="24"/>
        <v>739</v>
      </c>
      <c r="AP91" s="18">
        <f t="shared" si="25"/>
        <v>108.33333333333333</v>
      </c>
      <c r="AQ91" s="18">
        <f t="shared" si="26"/>
        <v>325</v>
      </c>
      <c r="AR91" s="18">
        <f t="shared" si="37"/>
        <v>0</v>
      </c>
      <c r="AS91" s="18">
        <f t="shared" si="27"/>
        <v>108.33333333333333</v>
      </c>
      <c r="AT91" s="18">
        <f t="shared" si="29"/>
        <v>78.900000000000006</v>
      </c>
      <c r="AU91" s="18"/>
      <c r="AV91" s="18"/>
      <c r="AW91" s="254">
        <f t="shared" si="39"/>
        <v>1359.5666666666668</v>
      </c>
      <c r="AX91" s="4"/>
      <c r="AY91" s="4"/>
    </row>
    <row r="92" spans="1:51" outlineLevel="1">
      <c r="A92" s="454" t="s">
        <v>52</v>
      </c>
      <c r="B92" s="454">
        <f t="shared" si="41"/>
        <v>2020</v>
      </c>
      <c r="C92" s="454" t="s">
        <v>47</v>
      </c>
      <c r="D92" s="456"/>
      <c r="E92" s="456"/>
      <c r="F92" s="456">
        <f t="shared" si="31"/>
        <v>0</v>
      </c>
      <c r="G92" s="347">
        <f>SUM(F$5:F92)</f>
        <v>3375096.5</v>
      </c>
      <c r="H92" s="344"/>
      <c r="I92" s="458"/>
      <c r="J92" s="345">
        <f t="shared" si="43"/>
        <v>3375096.5</v>
      </c>
      <c r="K92" s="344"/>
      <c r="L92" s="254">
        <f t="shared" si="44"/>
        <v>0</v>
      </c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>
        <f t="shared" si="25"/>
        <v>108.33333333333333</v>
      </c>
      <c r="AQ92" s="121">
        <f t="shared" si="26"/>
        <v>325</v>
      </c>
      <c r="AR92" s="18">
        <f t="shared" si="37"/>
        <v>0</v>
      </c>
      <c r="AS92" s="121">
        <f t="shared" si="27"/>
        <v>108.33333333333333</v>
      </c>
      <c r="AT92" s="121">
        <f t="shared" si="29"/>
        <v>78.900000000000006</v>
      </c>
      <c r="AU92" s="121"/>
      <c r="AV92" s="121"/>
      <c r="AW92" s="456">
        <f t="shared" si="39"/>
        <v>620.56666666666661</v>
      </c>
      <c r="AX92" s="4"/>
      <c r="AY92" s="4"/>
    </row>
    <row r="93" spans="1:51" outlineLevel="1">
      <c r="A93" s="74" t="s">
        <v>53</v>
      </c>
      <c r="B93" s="74">
        <f t="shared" si="41"/>
        <v>2021</v>
      </c>
      <c r="C93" s="74" t="s">
        <v>47</v>
      </c>
      <c r="D93" s="254"/>
      <c r="E93" s="254"/>
      <c r="F93" s="254">
        <f t="shared" si="31"/>
        <v>0</v>
      </c>
      <c r="G93" s="347">
        <f>SUM(F$5:F93)</f>
        <v>3375096.5</v>
      </c>
      <c r="H93" s="344"/>
      <c r="I93" s="344"/>
      <c r="J93" s="345">
        <f t="shared" si="43"/>
        <v>3375096.5</v>
      </c>
      <c r="K93" s="344"/>
      <c r="L93" s="254">
        <f t="shared" si="44"/>
        <v>0</v>
      </c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448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  <c r="AK93" s="448"/>
      <c r="AL93" s="448"/>
      <c r="AM93" s="448"/>
      <c r="AN93" s="448"/>
      <c r="AO93" s="448"/>
      <c r="AP93" s="448"/>
      <c r="AQ93" s="448">
        <f t="shared" si="26"/>
        <v>325</v>
      </c>
      <c r="AR93" s="448">
        <f t="shared" si="37"/>
        <v>0</v>
      </c>
      <c r="AS93" s="448">
        <f t="shared" si="27"/>
        <v>108.33333333333333</v>
      </c>
      <c r="AT93" s="448">
        <f t="shared" si="29"/>
        <v>78.900000000000006</v>
      </c>
      <c r="AU93" s="448"/>
      <c r="AV93" s="448"/>
      <c r="AW93" s="254">
        <f t="shared" si="39"/>
        <v>512.23333333333335</v>
      </c>
      <c r="AX93" s="4"/>
      <c r="AY93" s="4"/>
    </row>
    <row r="94" spans="1:51" outlineLevel="1">
      <c r="A94" s="74" t="s">
        <v>54</v>
      </c>
      <c r="B94" s="74">
        <f t="shared" si="41"/>
        <v>2021</v>
      </c>
      <c r="C94" s="74" t="s">
        <v>47</v>
      </c>
      <c r="D94" s="254"/>
      <c r="E94" s="254"/>
      <c r="F94" s="254">
        <f t="shared" si="31"/>
        <v>0</v>
      </c>
      <c r="G94" s="347">
        <f>SUM(F$5:F94)</f>
        <v>3375096.5</v>
      </c>
      <c r="H94" s="344"/>
      <c r="I94" s="344"/>
      <c r="J94" s="345">
        <f>I94+J93</f>
        <v>3375096.5</v>
      </c>
      <c r="K94" s="344"/>
      <c r="L94" s="254">
        <f>+G94-J94</f>
        <v>0</v>
      </c>
      <c r="M94" s="251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>
        <f t="shared" si="37"/>
        <v>0</v>
      </c>
      <c r="AS94" s="254">
        <f t="shared" si="27"/>
        <v>108.33333333333333</v>
      </c>
      <c r="AT94" s="254">
        <f t="shared" si="29"/>
        <v>78.900000000000006</v>
      </c>
      <c r="AU94" s="254"/>
      <c r="AV94" s="254"/>
      <c r="AW94" s="254">
        <f t="shared" si="39"/>
        <v>187.23333333333335</v>
      </c>
      <c r="AX94" s="4"/>
      <c r="AY94" s="4"/>
    </row>
    <row r="95" spans="1:51" outlineLevel="1">
      <c r="A95" s="74" t="s">
        <v>55</v>
      </c>
      <c r="B95" s="74">
        <f t="shared" si="41"/>
        <v>2021</v>
      </c>
      <c r="C95" s="74" t="s">
        <v>47</v>
      </c>
      <c r="D95" s="254"/>
      <c r="E95" s="254"/>
      <c r="F95" s="254">
        <f t="shared" si="31"/>
        <v>0</v>
      </c>
      <c r="G95" s="347">
        <f>SUM(F$5:F95)</f>
        <v>3375096.5</v>
      </c>
      <c r="H95" s="344"/>
      <c r="I95" s="344"/>
      <c r="J95" s="345">
        <f>I95+J94</f>
        <v>3375096.5</v>
      </c>
      <c r="K95" s="344"/>
      <c r="L95" s="254">
        <f>+G95-J95</f>
        <v>0</v>
      </c>
      <c r="M95" s="251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254">
        <f t="shared" si="37"/>
        <v>0</v>
      </c>
      <c r="AS95" s="254">
        <f t="shared" si="27"/>
        <v>108.33333333333333</v>
      </c>
      <c r="AT95" s="254">
        <f t="shared" si="29"/>
        <v>78.900000000000006</v>
      </c>
      <c r="AU95" s="254"/>
      <c r="AV95" s="78"/>
      <c r="AW95" s="254">
        <f t="shared" si="39"/>
        <v>187.23333333333335</v>
      </c>
    </row>
    <row r="96" spans="1:51" outlineLevel="1">
      <c r="A96" s="74" t="s">
        <v>56</v>
      </c>
      <c r="B96" s="74">
        <f t="shared" si="41"/>
        <v>2021</v>
      </c>
      <c r="C96" s="74" t="s">
        <v>47</v>
      </c>
      <c r="D96" s="254"/>
      <c r="E96" s="254"/>
      <c r="F96" s="254">
        <f t="shared" si="31"/>
        <v>0</v>
      </c>
      <c r="G96" s="347">
        <f>SUM(F$5:F96)</f>
        <v>3375096.5</v>
      </c>
      <c r="H96" s="344"/>
      <c r="I96" s="344"/>
      <c r="J96" s="345">
        <f>I96+J95</f>
        <v>3375096.5</v>
      </c>
      <c r="K96" s="344"/>
      <c r="L96" s="254">
        <f>+G96-J96</f>
        <v>0</v>
      </c>
      <c r="M96" s="251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254">
        <f t="shared" si="37"/>
        <v>0</v>
      </c>
      <c r="AS96" s="254"/>
      <c r="AT96" s="254">
        <f t="shared" si="29"/>
        <v>78.900000000000006</v>
      </c>
      <c r="AU96" s="254"/>
      <c r="AV96" s="78"/>
      <c r="AW96" s="254">
        <f>SUM(N96:AV96)</f>
        <v>78.900000000000006</v>
      </c>
    </row>
    <row r="97" spans="1:49">
      <c r="A97" s="74" t="s">
        <v>57</v>
      </c>
      <c r="B97" s="74">
        <v>2021</v>
      </c>
      <c r="C97" s="74" t="s">
        <v>47</v>
      </c>
      <c r="D97" s="344"/>
      <c r="E97" s="344"/>
      <c r="F97" s="344"/>
      <c r="G97" s="347">
        <f>SUM(F$5:F97)</f>
        <v>3375096.5</v>
      </c>
      <c r="H97" s="344"/>
      <c r="I97" s="344"/>
      <c r="J97" s="345">
        <f t="shared" ref="J97" si="45">I97+J96</f>
        <v>3375096.5</v>
      </c>
      <c r="K97" s="344"/>
      <c r="L97" s="254"/>
      <c r="M97" s="251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254"/>
      <c r="AS97" s="254"/>
      <c r="AT97" s="254"/>
      <c r="AU97" s="254"/>
      <c r="AV97" s="78"/>
      <c r="AW97" s="254"/>
    </row>
    <row r="98" spans="1:49">
      <c r="A98" s="7"/>
      <c r="B98" s="7"/>
      <c r="C98" s="7"/>
      <c r="D98" s="206"/>
      <c r="E98" s="206"/>
      <c r="F98" s="206"/>
      <c r="G98" s="123"/>
      <c r="H98" s="114"/>
      <c r="I98" s="114"/>
      <c r="J98" s="20"/>
      <c r="K98" s="114"/>
      <c r="L98" s="448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448"/>
      <c r="AS98" s="448"/>
      <c r="AT98" s="448"/>
      <c r="AU98" s="448"/>
      <c r="AV98" s="22"/>
      <c r="AW98" s="448"/>
    </row>
    <row r="99" spans="1:49">
      <c r="A99" s="7"/>
      <c r="B99" s="7"/>
      <c r="C99" s="7"/>
      <c r="D99" s="51"/>
      <c r="E99" s="51"/>
      <c r="F99" s="51"/>
      <c r="G99" s="511"/>
      <c r="H99" s="512"/>
      <c r="I99" s="512"/>
      <c r="J99" s="512"/>
      <c r="K99" s="512"/>
      <c r="L99" s="448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448"/>
      <c r="AS99" s="448"/>
      <c r="AT99" s="448"/>
      <c r="AU99" s="448"/>
      <c r="AV99" s="22"/>
      <c r="AW99" s="448"/>
    </row>
    <row r="100" spans="1:49">
      <c r="A100" s="7"/>
      <c r="B100" s="7"/>
      <c r="C100" s="7"/>
      <c r="D100" s="114"/>
      <c r="E100" s="114"/>
      <c r="F100" s="114"/>
      <c r="G100" s="512"/>
      <c r="H100" s="512"/>
      <c r="I100" s="512"/>
      <c r="J100" s="512"/>
      <c r="K100" s="512"/>
      <c r="L100" s="448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448"/>
      <c r="AS100" s="448"/>
      <c r="AT100" s="448"/>
      <c r="AU100" s="448"/>
      <c r="AV100" s="22"/>
      <c r="AW100" s="448"/>
    </row>
    <row r="101" spans="1:49">
      <c r="A101" s="7"/>
      <c r="B101" s="7"/>
      <c r="C101" s="7"/>
      <c r="D101" s="114"/>
      <c r="E101" s="114"/>
      <c r="F101" s="114"/>
      <c r="G101" s="512"/>
      <c r="H101" s="512"/>
      <c r="I101" s="512"/>
      <c r="J101" s="512"/>
      <c r="K101" s="512"/>
      <c r="L101" s="448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448"/>
      <c r="AS101" s="448"/>
      <c r="AT101" s="448"/>
      <c r="AU101" s="448"/>
      <c r="AV101" s="22"/>
      <c r="AW101" s="448"/>
    </row>
    <row r="102" spans="1:49">
      <c r="A102" s="7"/>
      <c r="B102" s="7"/>
      <c r="C102" s="7"/>
      <c r="D102" s="114"/>
      <c r="E102" s="114"/>
      <c r="F102" s="114"/>
      <c r="G102" s="512"/>
      <c r="H102" s="512"/>
      <c r="I102" s="512"/>
      <c r="J102" s="512"/>
      <c r="K102" s="512"/>
      <c r="L102" s="448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448"/>
      <c r="AS102" s="448"/>
      <c r="AT102" s="448"/>
      <c r="AU102" s="448"/>
      <c r="AV102" s="22"/>
      <c r="AW102" s="448"/>
    </row>
    <row r="103" spans="1:49">
      <c r="A103" s="7"/>
      <c r="B103" s="7"/>
      <c r="C103" s="7"/>
      <c r="D103" s="114"/>
      <c r="E103" s="114"/>
      <c r="F103" s="114"/>
      <c r="G103" s="512"/>
      <c r="H103" s="512"/>
      <c r="I103" s="512"/>
      <c r="J103" s="512"/>
      <c r="K103" s="512"/>
      <c r="L103" s="448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448"/>
      <c r="AS103" s="448"/>
      <c r="AT103" s="448"/>
      <c r="AU103" s="448"/>
      <c r="AV103" s="22"/>
      <c r="AW103" s="448"/>
    </row>
    <row r="104" spans="1:49">
      <c r="A104" s="7"/>
      <c r="B104" s="7"/>
      <c r="C104" s="7"/>
      <c r="D104" s="114"/>
      <c r="E104" s="114"/>
      <c r="F104" s="114"/>
      <c r="G104" s="123"/>
      <c r="H104" s="114"/>
      <c r="I104" s="114"/>
      <c r="J104" s="20"/>
      <c r="K104" s="114"/>
      <c r="L104" s="448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114"/>
      <c r="AQ104" s="22"/>
      <c r="AR104" s="448"/>
      <c r="AS104" s="448"/>
      <c r="AT104" s="448"/>
      <c r="AU104" s="448"/>
      <c r="AV104" s="22"/>
      <c r="AW104" s="448"/>
    </row>
    <row r="105" spans="1:49">
      <c r="A105" s="7"/>
      <c r="B105" s="7"/>
      <c r="C105" s="7"/>
      <c r="D105" s="114"/>
      <c r="E105" s="114"/>
      <c r="F105" s="114"/>
      <c r="G105" s="114"/>
      <c r="H105" s="114"/>
      <c r="I105" s="114"/>
      <c r="J105" s="18"/>
      <c r="K105" s="114"/>
      <c r="L105" s="18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116"/>
      <c r="AQ105" s="22"/>
      <c r="AR105" s="22"/>
      <c r="AS105" s="22"/>
      <c r="AT105" s="22"/>
      <c r="AU105" s="22"/>
      <c r="AV105" s="22"/>
      <c r="AW105" s="22"/>
    </row>
    <row r="106" spans="1:49">
      <c r="A106" s="7"/>
      <c r="B106" s="7"/>
      <c r="C106" s="7"/>
      <c r="D106" s="114"/>
      <c r="E106" s="114"/>
      <c r="F106" s="114"/>
      <c r="G106" s="114"/>
      <c r="H106" s="114"/>
      <c r="I106" s="114"/>
      <c r="J106" s="18"/>
      <c r="K106" s="114"/>
      <c r="L106" s="18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114"/>
      <c r="AQ106" s="22"/>
      <c r="AR106" s="22"/>
      <c r="AS106" s="22"/>
      <c r="AT106" s="22"/>
      <c r="AU106" s="22"/>
      <c r="AV106" s="22"/>
      <c r="AW106" s="22"/>
    </row>
    <row r="107" spans="1:49">
      <c r="A107" s="7"/>
      <c r="B107" s="7"/>
      <c r="C107" s="7"/>
      <c r="D107" s="114"/>
      <c r="E107" s="114"/>
      <c r="F107" s="114"/>
      <c r="G107" s="114"/>
      <c r="H107" s="114"/>
      <c r="I107" s="114"/>
      <c r="J107" s="18"/>
      <c r="K107" s="114"/>
      <c r="L107" s="18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114"/>
      <c r="AQ107" s="22"/>
      <c r="AR107" s="22"/>
      <c r="AS107" s="22"/>
      <c r="AT107" s="22"/>
      <c r="AU107" s="22"/>
      <c r="AV107" s="22"/>
      <c r="AW107" s="22"/>
    </row>
    <row r="108" spans="1:49">
      <c r="A108" s="7"/>
      <c r="B108" s="7"/>
      <c r="C108" s="7"/>
      <c r="D108" s="114"/>
      <c r="E108" s="114"/>
      <c r="F108" s="114"/>
      <c r="G108" s="114"/>
      <c r="H108" s="114"/>
      <c r="I108" s="114"/>
      <c r="J108" s="18"/>
      <c r="K108" s="114"/>
      <c r="L108" s="18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114"/>
      <c r="AQ108" s="22"/>
      <c r="AR108" s="22"/>
      <c r="AS108" s="22"/>
      <c r="AT108" s="22"/>
      <c r="AU108" s="22"/>
      <c r="AV108" s="22"/>
      <c r="AW108" s="22"/>
    </row>
    <row r="109" spans="1:49">
      <c r="A109" s="7"/>
      <c r="B109" s="7"/>
      <c r="C109" s="7"/>
      <c r="D109" s="114"/>
      <c r="E109" s="114"/>
      <c r="F109" s="114"/>
      <c r="G109" s="114"/>
      <c r="H109" s="114"/>
      <c r="I109" s="114"/>
      <c r="J109" s="18"/>
      <c r="K109" s="114"/>
      <c r="L109" s="18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114"/>
      <c r="AQ109" s="22"/>
      <c r="AR109" s="22"/>
      <c r="AS109" s="22"/>
      <c r="AT109" s="22"/>
      <c r="AU109" s="22"/>
      <c r="AV109" s="22"/>
      <c r="AW109" s="22"/>
    </row>
    <row r="110" spans="1:49">
      <c r="A110" s="7"/>
      <c r="B110" s="7"/>
      <c r="C110" s="7"/>
      <c r="D110" s="114"/>
      <c r="E110" s="114"/>
      <c r="F110" s="114"/>
      <c r="G110" s="114"/>
      <c r="H110" s="114"/>
      <c r="I110" s="114"/>
      <c r="J110" s="18"/>
      <c r="K110" s="114"/>
      <c r="L110" s="18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</row>
    <row r="111" spans="1:49">
      <c r="A111" s="7"/>
      <c r="B111" s="7"/>
      <c r="C111" s="7"/>
      <c r="D111" s="114"/>
      <c r="E111" s="114"/>
      <c r="F111" s="114"/>
      <c r="G111" s="114"/>
      <c r="H111" s="114"/>
      <c r="I111" s="114"/>
      <c r="J111" s="18"/>
      <c r="K111" s="114"/>
      <c r="L111" s="18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</row>
    <row r="112" spans="1:49">
      <c r="A112" s="7"/>
      <c r="B112" s="7"/>
      <c r="C112" s="7"/>
      <c r="D112" s="114"/>
      <c r="E112" s="114"/>
      <c r="F112" s="114"/>
      <c r="G112" s="114"/>
      <c r="H112" s="114"/>
      <c r="I112" s="114"/>
      <c r="J112" s="18"/>
      <c r="K112" s="114"/>
      <c r="L112" s="18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</row>
    <row r="113" spans="1:49">
      <c r="A113" s="7"/>
      <c r="B113" s="7"/>
      <c r="C113" s="7"/>
      <c r="D113" s="114"/>
      <c r="E113" s="114"/>
      <c r="F113" s="114"/>
      <c r="G113" s="114"/>
      <c r="H113" s="114"/>
      <c r="I113" s="114"/>
      <c r="J113" s="18"/>
      <c r="K113" s="114"/>
      <c r="L113" s="18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</row>
    <row r="114" spans="1:49">
      <c r="A114" s="7"/>
      <c r="B114" s="7"/>
      <c r="C114" s="7"/>
      <c r="D114" s="114"/>
      <c r="E114" s="114"/>
      <c r="F114" s="114"/>
      <c r="G114" s="114"/>
      <c r="H114" s="114"/>
      <c r="I114" s="114"/>
      <c r="J114" s="18"/>
      <c r="K114" s="114"/>
      <c r="L114" s="18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</row>
    <row r="115" spans="1:49">
      <c r="A115" s="7"/>
      <c r="B115" s="7"/>
      <c r="C115" s="7"/>
      <c r="D115" s="114"/>
      <c r="E115" s="114"/>
      <c r="F115" s="114"/>
      <c r="G115" s="114"/>
      <c r="H115" s="114"/>
      <c r="I115" s="114"/>
      <c r="J115" s="18"/>
      <c r="K115" s="114"/>
      <c r="L115" s="18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</row>
    <row r="116" spans="1:49">
      <c r="A116" s="7"/>
      <c r="B116" s="7"/>
      <c r="C116" s="7"/>
      <c r="D116" s="114"/>
      <c r="E116" s="114"/>
      <c r="F116" s="114"/>
      <c r="G116" s="114"/>
      <c r="H116" s="114"/>
      <c r="I116" s="114"/>
      <c r="J116" s="18"/>
      <c r="K116" s="114"/>
      <c r="L116" s="18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</row>
    <row r="117" spans="1:49">
      <c r="A117" s="7"/>
      <c r="B117" s="7"/>
      <c r="C117" s="7"/>
      <c r="D117" s="114"/>
      <c r="E117" s="114"/>
      <c r="F117" s="114"/>
      <c r="G117" s="114"/>
      <c r="H117" s="114"/>
      <c r="I117" s="114"/>
      <c r="J117" s="18"/>
      <c r="K117" s="114"/>
      <c r="L117" s="18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</row>
    <row r="118" spans="1:49">
      <c r="A118" s="7"/>
      <c r="B118" s="7"/>
      <c r="C118" s="7"/>
      <c r="D118" s="114"/>
      <c r="E118" s="114"/>
      <c r="F118" s="114"/>
      <c r="G118" s="114"/>
      <c r="H118" s="114"/>
      <c r="I118" s="114"/>
      <c r="J118" s="18"/>
      <c r="K118" s="114"/>
      <c r="L118" s="18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</row>
    <row r="119" spans="1:49">
      <c r="A119" s="7"/>
      <c r="B119" s="7"/>
      <c r="C119" s="7"/>
      <c r="D119" s="114"/>
      <c r="E119" s="114"/>
      <c r="F119" s="114"/>
      <c r="G119" s="114"/>
      <c r="H119" s="114"/>
      <c r="I119" s="114"/>
      <c r="J119" s="18"/>
      <c r="K119" s="114"/>
      <c r="L119" s="18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</row>
    <row r="120" spans="1:49">
      <c r="A120" s="7"/>
      <c r="B120" s="7"/>
      <c r="C120" s="7"/>
      <c r="D120" s="114"/>
      <c r="E120" s="114"/>
      <c r="F120" s="114"/>
      <c r="G120" s="114"/>
      <c r="H120" s="114"/>
      <c r="I120" s="114"/>
      <c r="J120" s="18"/>
      <c r="K120" s="114"/>
      <c r="L120" s="18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</row>
    <row r="121" spans="1:49">
      <c r="A121" s="7"/>
      <c r="B121" s="7"/>
      <c r="C121" s="7"/>
      <c r="D121" s="18"/>
      <c r="E121" s="18"/>
      <c r="F121" s="18"/>
      <c r="G121" s="18"/>
      <c r="H121" s="114"/>
      <c r="I121" s="114"/>
      <c r="J121" s="18"/>
      <c r="K121" s="114"/>
      <c r="L121" s="18"/>
    </row>
    <row r="122" spans="1:49">
      <c r="A122" s="7"/>
      <c r="B122" s="7"/>
      <c r="C122" s="7"/>
      <c r="D122" s="18"/>
      <c r="E122" s="18"/>
      <c r="F122" s="18"/>
      <c r="G122" s="18"/>
      <c r="H122" s="114"/>
      <c r="I122" s="114"/>
      <c r="J122" s="18"/>
      <c r="K122" s="114"/>
      <c r="L122" s="18"/>
    </row>
    <row r="123" spans="1:49">
      <c r="A123" s="7"/>
      <c r="B123" s="7"/>
      <c r="C123" s="7"/>
      <c r="D123" s="18"/>
      <c r="E123" s="18"/>
      <c r="F123" s="18"/>
      <c r="G123" s="18"/>
      <c r="H123" s="114"/>
      <c r="I123" s="114"/>
      <c r="J123" s="18"/>
      <c r="K123" s="114"/>
      <c r="L123" s="18"/>
    </row>
    <row r="124" spans="1:49">
      <c r="A124" s="7"/>
      <c r="B124" s="7"/>
      <c r="C124" s="7"/>
      <c r="D124" s="18"/>
      <c r="E124" s="18"/>
      <c r="F124" s="18"/>
      <c r="G124" s="18"/>
      <c r="H124" s="114"/>
      <c r="I124" s="114"/>
      <c r="J124" s="18"/>
      <c r="K124" s="114"/>
      <c r="L124" s="18"/>
    </row>
    <row r="125" spans="1:49">
      <c r="A125" s="7"/>
      <c r="B125" s="7"/>
      <c r="C125" s="7"/>
      <c r="D125" s="18"/>
      <c r="E125" s="18"/>
      <c r="F125" s="18"/>
      <c r="G125" s="18"/>
      <c r="H125" s="114"/>
      <c r="I125" s="114"/>
      <c r="J125" s="18"/>
      <c r="K125" s="114"/>
      <c r="L125" s="18"/>
    </row>
    <row r="126" spans="1:49">
      <c r="D126" s="18"/>
      <c r="E126" s="18"/>
      <c r="F126" s="18"/>
      <c r="G126" s="18"/>
      <c r="H126" s="114"/>
      <c r="I126" s="114"/>
      <c r="J126" s="18"/>
      <c r="K126" s="114"/>
      <c r="L126" s="18"/>
    </row>
    <row r="127" spans="1:49">
      <c r="D127" s="18"/>
      <c r="E127" s="18"/>
      <c r="F127" s="18"/>
      <c r="G127" s="18"/>
      <c r="H127" s="114"/>
      <c r="I127" s="114"/>
      <c r="J127" s="18"/>
      <c r="K127" s="114"/>
      <c r="L127" s="18"/>
    </row>
    <row r="128" spans="1:49">
      <c r="D128" s="18"/>
      <c r="E128" s="18"/>
      <c r="F128" s="18"/>
      <c r="G128" s="18"/>
      <c r="H128" s="114"/>
      <c r="I128" s="114"/>
      <c r="J128" s="18"/>
      <c r="K128" s="114"/>
      <c r="L128" s="18"/>
    </row>
    <row r="129" spans="4:12">
      <c r="D129" s="18"/>
      <c r="E129" s="18"/>
      <c r="F129" s="18"/>
      <c r="G129" s="18"/>
      <c r="H129" s="114"/>
      <c r="I129" s="114"/>
      <c r="J129" s="18"/>
      <c r="K129" s="114"/>
      <c r="L129" s="18"/>
    </row>
    <row r="130" spans="4:12">
      <c r="D130" s="18"/>
      <c r="E130" s="18"/>
      <c r="F130" s="18"/>
      <c r="G130" s="18"/>
      <c r="H130" s="114"/>
      <c r="I130" s="114"/>
      <c r="J130" s="18"/>
      <c r="K130" s="114"/>
      <c r="L130" s="18"/>
    </row>
    <row r="131" spans="4:12">
      <c r="D131" s="18"/>
      <c r="E131" s="18"/>
      <c r="F131" s="18"/>
      <c r="G131" s="18"/>
      <c r="H131" s="114"/>
      <c r="I131" s="114"/>
      <c r="J131" s="18"/>
      <c r="K131" s="114"/>
      <c r="L131" s="18"/>
    </row>
    <row r="132" spans="4:12">
      <c r="D132" s="18"/>
      <c r="E132" s="18"/>
      <c r="F132" s="18"/>
      <c r="G132" s="18"/>
      <c r="H132" s="114"/>
      <c r="I132" s="114"/>
      <c r="J132" s="18"/>
      <c r="K132" s="114"/>
      <c r="L132" s="18"/>
    </row>
    <row r="133" spans="4:12">
      <c r="D133" s="18"/>
      <c r="E133" s="18"/>
      <c r="F133" s="18"/>
      <c r="G133" s="18"/>
      <c r="H133" s="114"/>
      <c r="I133" s="114"/>
      <c r="J133" s="18"/>
      <c r="K133" s="114"/>
      <c r="L133" s="18"/>
    </row>
    <row r="134" spans="4:12">
      <c r="D134" s="18"/>
      <c r="E134" s="18"/>
      <c r="F134" s="18"/>
      <c r="G134" s="18"/>
      <c r="H134" s="114"/>
      <c r="I134" s="114"/>
      <c r="J134" s="18"/>
      <c r="K134" s="114"/>
      <c r="L134" s="18"/>
    </row>
    <row r="135" spans="4:12">
      <c r="D135" s="18"/>
      <c r="E135" s="18"/>
      <c r="F135" s="18"/>
      <c r="G135" s="18"/>
      <c r="H135" s="114"/>
      <c r="I135" s="114"/>
      <c r="J135" s="18"/>
      <c r="K135" s="114"/>
      <c r="L135" s="18"/>
    </row>
    <row r="136" spans="4:12">
      <c r="D136" s="18"/>
      <c r="E136" s="18"/>
      <c r="F136" s="18"/>
      <c r="G136" s="18"/>
      <c r="H136" s="114"/>
      <c r="I136" s="114"/>
      <c r="J136" s="18"/>
      <c r="K136" s="114"/>
      <c r="L136" s="18"/>
    </row>
    <row r="137" spans="4:12">
      <c r="D137" s="18"/>
      <c r="E137" s="18"/>
      <c r="F137" s="18"/>
      <c r="G137" s="18"/>
      <c r="H137" s="114"/>
      <c r="I137" s="114"/>
      <c r="J137" s="18"/>
      <c r="K137" s="114"/>
      <c r="L137" s="18"/>
    </row>
    <row r="138" spans="4:12">
      <c r="D138" s="18"/>
      <c r="E138" s="18"/>
      <c r="F138" s="18"/>
      <c r="G138" s="18"/>
      <c r="H138" s="114"/>
      <c r="I138" s="114"/>
      <c r="J138" s="18"/>
      <c r="K138" s="114"/>
      <c r="L138" s="18"/>
    </row>
    <row r="139" spans="4:12">
      <c r="D139" s="18"/>
      <c r="E139" s="18"/>
      <c r="F139" s="18"/>
      <c r="G139" s="18"/>
      <c r="H139" s="114"/>
      <c r="I139" s="114"/>
      <c r="J139" s="18"/>
      <c r="K139" s="114"/>
      <c r="L139" s="18"/>
    </row>
    <row r="140" spans="4:12">
      <c r="D140" s="18"/>
      <c r="E140" s="18"/>
      <c r="F140" s="18"/>
      <c r="G140" s="18"/>
      <c r="H140" s="114"/>
      <c r="I140" s="114"/>
      <c r="J140" s="18"/>
      <c r="K140" s="114"/>
      <c r="L140" s="18"/>
    </row>
    <row r="141" spans="4:12">
      <c r="D141" s="18"/>
      <c r="E141" s="18"/>
      <c r="F141" s="18"/>
      <c r="G141" s="18"/>
      <c r="H141" s="114"/>
      <c r="I141" s="114"/>
      <c r="J141" s="18"/>
      <c r="K141" s="114"/>
      <c r="L141" s="18"/>
    </row>
    <row r="142" spans="4:12">
      <c r="D142" s="18"/>
      <c r="E142" s="18"/>
      <c r="F142" s="18"/>
      <c r="G142" s="18"/>
      <c r="H142" s="114"/>
      <c r="I142" s="114"/>
      <c r="J142" s="18"/>
      <c r="K142" s="114"/>
      <c r="L142" s="18"/>
    </row>
    <row r="143" spans="4:12">
      <c r="D143" s="18"/>
      <c r="E143" s="18"/>
      <c r="F143" s="18"/>
      <c r="G143" s="18"/>
      <c r="H143" s="114"/>
      <c r="I143" s="114"/>
      <c r="J143" s="18"/>
      <c r="K143" s="114"/>
      <c r="L143" s="18"/>
    </row>
    <row r="144" spans="4:12">
      <c r="D144" s="18"/>
      <c r="E144" s="18"/>
      <c r="F144" s="18"/>
      <c r="G144" s="18"/>
      <c r="H144" s="114"/>
      <c r="I144" s="114"/>
      <c r="J144" s="18"/>
      <c r="K144" s="114"/>
      <c r="L144" s="18"/>
    </row>
    <row r="145" spans="4:12">
      <c r="D145" s="18"/>
      <c r="E145" s="18"/>
      <c r="F145" s="18"/>
      <c r="G145" s="18"/>
      <c r="H145" s="114"/>
      <c r="I145" s="114"/>
      <c r="J145" s="18"/>
      <c r="K145" s="114"/>
      <c r="L145" s="18"/>
    </row>
    <row r="146" spans="4:12">
      <c r="D146" s="18"/>
      <c r="E146" s="18"/>
      <c r="F146" s="18"/>
      <c r="G146" s="18"/>
      <c r="H146" s="114"/>
      <c r="I146" s="114"/>
      <c r="J146" s="18"/>
      <c r="K146" s="114"/>
      <c r="L146" s="18"/>
    </row>
    <row r="147" spans="4:12">
      <c r="D147" s="18"/>
      <c r="E147" s="18"/>
      <c r="F147" s="18"/>
      <c r="G147" s="18"/>
      <c r="H147" s="114"/>
      <c r="I147" s="114"/>
      <c r="J147" s="18"/>
      <c r="K147" s="114"/>
      <c r="L147" s="18"/>
    </row>
    <row r="148" spans="4:12">
      <c r="D148" s="18"/>
      <c r="E148" s="18"/>
      <c r="F148" s="18"/>
      <c r="G148" s="18"/>
      <c r="H148" s="114"/>
      <c r="I148" s="114"/>
      <c r="J148" s="18"/>
      <c r="K148" s="114"/>
      <c r="L148" s="18"/>
    </row>
    <row r="149" spans="4:12">
      <c r="D149" s="18"/>
      <c r="E149" s="18"/>
      <c r="F149" s="18"/>
      <c r="G149" s="18"/>
      <c r="H149" s="114"/>
      <c r="I149" s="114"/>
      <c r="J149" s="18"/>
      <c r="K149" s="114"/>
      <c r="L149" s="18"/>
    </row>
    <row r="150" spans="4:12">
      <c r="D150" s="18"/>
      <c r="E150" s="18"/>
      <c r="F150" s="18"/>
      <c r="G150" s="18"/>
      <c r="H150" s="114"/>
      <c r="I150" s="114"/>
      <c r="J150" s="18"/>
      <c r="K150" s="114"/>
      <c r="L150" s="18"/>
    </row>
    <row r="151" spans="4:12">
      <c r="D151" s="18"/>
      <c r="E151" s="18"/>
      <c r="F151" s="18"/>
      <c r="G151" s="18"/>
      <c r="H151" s="114"/>
      <c r="I151" s="114"/>
      <c r="J151" s="18"/>
      <c r="K151" s="114"/>
      <c r="L151" s="18"/>
    </row>
  </sheetData>
  <mergeCells count="1">
    <mergeCell ref="N1:AW1"/>
  </mergeCells>
  <pageMargins left="0.7" right="0.7" top="0.75" bottom="0.75" header="0.3" footer="0.3"/>
  <pageSetup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3">
    <tabColor theme="1" tint="0.499984740745262"/>
    <pageSetUpPr fitToPage="1"/>
  </sheetPr>
  <dimension ref="A1:AK118"/>
  <sheetViews>
    <sheetView workbookViewId="0">
      <pane xSplit="3" ySplit="3" topLeftCell="D46" activePane="bottomRight" state="frozen"/>
      <selection activeCell="C23" sqref="C23"/>
      <selection pane="topRight" activeCell="C23" sqref="C23"/>
      <selection pane="bottomLeft" activeCell="C23" sqref="C23"/>
      <selection pane="bottomRight" activeCell="E52" sqref="E52"/>
    </sheetView>
  </sheetViews>
  <sheetFormatPr defaultColWidth="9.140625" defaultRowHeight="12.75" outlineLevelRow="1" outlineLevelCol="1"/>
  <cols>
    <col min="1" max="3" width="9.140625" style="1"/>
    <col min="4" max="4" width="3.5703125" style="3" customWidth="1"/>
    <col min="5" max="5" width="11.28515625" style="1" bestFit="1" customWidth="1"/>
    <col min="6" max="6" width="4.28515625" style="1" customWidth="1"/>
    <col min="7" max="7" width="9" style="1" bestFit="1" customWidth="1"/>
    <col min="8" max="8" width="11.140625" style="1" customWidth="1"/>
    <col min="9" max="9" width="2.140625" style="1" customWidth="1"/>
    <col min="10" max="10" width="11.7109375" style="1" customWidth="1"/>
    <col min="11" max="11" width="11.5703125" style="1" customWidth="1"/>
    <col min="12" max="12" width="2.85546875" style="1" customWidth="1"/>
    <col min="13" max="13" width="11.85546875" style="1" customWidth="1"/>
    <col min="14" max="14" width="3.140625" style="1" customWidth="1"/>
    <col min="15" max="15" width="10.42578125" style="1" hidden="1" customWidth="1" outlineLevel="1"/>
    <col min="16" max="16" width="10" style="1" hidden="1" customWidth="1" outlineLevel="1"/>
    <col min="17" max="18" width="11.140625" style="1" hidden="1" customWidth="1" outlineLevel="1"/>
    <col min="19" max="19" width="10.140625" style="1" hidden="1" customWidth="1" outlineLevel="1"/>
    <col min="20" max="32" width="11.42578125" style="1" hidden="1" customWidth="1" outlineLevel="1"/>
    <col min="33" max="33" width="11.42578125" style="1" customWidth="1" collapsed="1"/>
    <col min="34" max="34" width="11.42578125" style="1" customWidth="1"/>
    <col min="35" max="35" width="6.28515625" style="1" customWidth="1"/>
    <col min="36" max="36" width="8.7109375" style="1" bestFit="1" customWidth="1"/>
    <col min="37" max="49" width="6.28515625" style="1" customWidth="1"/>
    <col min="50" max="16384" width="9.140625" style="1"/>
  </cols>
  <sheetData>
    <row r="1" spans="1:37">
      <c r="D1" s="216"/>
      <c r="E1" s="697" t="s">
        <v>151</v>
      </c>
      <c r="F1" s="697"/>
      <c r="G1" s="697"/>
      <c r="H1" s="697"/>
      <c r="I1" s="697"/>
      <c r="J1" s="697"/>
      <c r="K1" s="697"/>
      <c r="L1" s="697"/>
      <c r="M1" s="697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681"/>
      <c r="AI1" s="681"/>
      <c r="AJ1" s="681"/>
    </row>
    <row r="2" spans="1:37" ht="38.25">
      <c r="A2" s="49"/>
      <c r="B2" s="49"/>
      <c r="C2" s="10" t="s">
        <v>16</v>
      </c>
      <c r="D2" s="51"/>
      <c r="E2" s="51" t="s">
        <v>152</v>
      </c>
      <c r="F2" s="51"/>
      <c r="G2" s="51" t="s">
        <v>104</v>
      </c>
      <c r="H2" s="127" t="s">
        <v>149</v>
      </c>
      <c r="I2" s="51"/>
      <c r="J2" s="50" t="s">
        <v>99</v>
      </c>
      <c r="K2" s="51" t="s">
        <v>100</v>
      </c>
      <c r="L2" s="52"/>
      <c r="M2" s="52" t="s">
        <v>101</v>
      </c>
      <c r="N2" s="49"/>
      <c r="O2" s="63">
        <v>41821</v>
      </c>
      <c r="P2" s="63">
        <f>+O2+31</f>
        <v>41852</v>
      </c>
      <c r="Q2" s="63">
        <f>+P2+31</f>
        <v>41883</v>
      </c>
      <c r="R2" s="63">
        <f>+Q2+31</f>
        <v>41914</v>
      </c>
      <c r="S2" s="63">
        <f>+R2+31</f>
        <v>41945</v>
      </c>
      <c r="T2" s="63">
        <f>+S2+31</f>
        <v>41976</v>
      </c>
      <c r="U2" s="63">
        <f t="shared" ref="U2:AC2" si="0">+T2+31</f>
        <v>42007</v>
      </c>
      <c r="V2" s="63">
        <f t="shared" si="0"/>
        <v>42038</v>
      </c>
      <c r="W2" s="63">
        <f t="shared" si="0"/>
        <v>42069</v>
      </c>
      <c r="X2" s="63">
        <f t="shared" si="0"/>
        <v>42100</v>
      </c>
      <c r="Y2" s="63">
        <f t="shared" si="0"/>
        <v>42131</v>
      </c>
      <c r="Z2" s="63">
        <f t="shared" si="0"/>
        <v>42162</v>
      </c>
      <c r="AA2" s="63">
        <f t="shared" si="0"/>
        <v>42193</v>
      </c>
      <c r="AB2" s="63">
        <f t="shared" si="0"/>
        <v>42224</v>
      </c>
      <c r="AC2" s="63">
        <f t="shared" si="0"/>
        <v>42255</v>
      </c>
      <c r="AD2" s="63">
        <f>+AC2+31</f>
        <v>42286</v>
      </c>
      <c r="AE2" s="63">
        <f>+AD2+31</f>
        <v>42317</v>
      </c>
      <c r="AF2" s="63">
        <f>+AE2+31</f>
        <v>42348</v>
      </c>
      <c r="AG2" s="63">
        <f>+AF2+31</f>
        <v>42379</v>
      </c>
      <c r="AH2" s="63">
        <f>+AG2+31</f>
        <v>42410</v>
      </c>
      <c r="AI2" s="63"/>
      <c r="AJ2" s="49" t="s">
        <v>69</v>
      </c>
      <c r="AK2" s="49"/>
    </row>
    <row r="3" spans="1:37" ht="15.75">
      <c r="A3" s="1" t="s">
        <v>27</v>
      </c>
      <c r="C3" s="10" t="s">
        <v>28</v>
      </c>
      <c r="D3" s="54"/>
      <c r="E3" s="54"/>
      <c r="F3" s="54"/>
      <c r="G3" s="54"/>
      <c r="H3" s="54"/>
      <c r="I3" s="12"/>
      <c r="J3" s="53" t="s">
        <v>67</v>
      </c>
      <c r="K3" s="54"/>
      <c r="L3" s="12"/>
      <c r="M3" s="9"/>
    </row>
    <row r="4" spans="1:37">
      <c r="A4" s="10"/>
      <c r="B4" s="10"/>
      <c r="C4" s="10"/>
      <c r="D4" s="114"/>
      <c r="E4" s="18"/>
      <c r="F4" s="18"/>
      <c r="G4" s="18"/>
      <c r="H4" s="18"/>
      <c r="I4" s="114"/>
      <c r="J4" s="129"/>
      <c r="K4" s="18"/>
      <c r="L4" s="114"/>
      <c r="M4" s="23"/>
    </row>
    <row r="5" spans="1:37" ht="14.25" customHeight="1" outlineLevel="1">
      <c r="A5" s="19" t="s">
        <v>59</v>
      </c>
      <c r="B5" s="19">
        <v>2014</v>
      </c>
      <c r="C5" s="10" t="s">
        <v>47</v>
      </c>
      <c r="D5" s="114"/>
      <c r="E5" s="18">
        <v>39950.300000000003</v>
      </c>
      <c r="F5" s="18"/>
      <c r="G5" s="18">
        <f t="shared" ref="G5:G34" si="1">SUM(E5:E5)</f>
        <v>39950.300000000003</v>
      </c>
      <c r="H5" s="128">
        <f>SUM(G$5:G5)</f>
        <v>39950.300000000003</v>
      </c>
      <c r="I5" s="114"/>
      <c r="J5" s="129">
        <v>1264.07</v>
      </c>
      <c r="K5" s="20">
        <f>J5</f>
        <v>1264.07</v>
      </c>
      <c r="L5" s="114"/>
      <c r="M5" s="115">
        <f>SUM(H5-K5)</f>
        <v>38686.230000000003</v>
      </c>
      <c r="N5" s="6"/>
      <c r="O5" s="115">
        <f>(+$G5)/24</f>
        <v>1664.5958333333335</v>
      </c>
      <c r="P5" s="115"/>
      <c r="Q5" s="115"/>
      <c r="R5" s="115"/>
      <c r="S5" s="115"/>
      <c r="T5" s="115"/>
      <c r="U5" s="115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5">
        <f t="shared" ref="AJ5:AJ50" si="2">SUM(O5:AI5)</f>
        <v>1664.5958333333335</v>
      </c>
      <c r="AK5" s="6"/>
    </row>
    <row r="6" spans="1:37" outlineLevel="1">
      <c r="A6" s="19" t="s">
        <v>46</v>
      </c>
      <c r="B6" s="19">
        <v>2014</v>
      </c>
      <c r="C6" s="10" t="s">
        <v>47</v>
      </c>
      <c r="D6" s="114"/>
      <c r="E6" s="18">
        <v>26605.93</v>
      </c>
      <c r="F6" s="18"/>
      <c r="G6" s="18">
        <f t="shared" si="1"/>
        <v>26605.93</v>
      </c>
      <c r="H6" s="128">
        <f>SUM(G$5:G6)</f>
        <v>66556.23000000001</v>
      </c>
      <c r="I6" s="114"/>
      <c r="J6" s="129">
        <v>2620.5300000000002</v>
      </c>
      <c r="K6" s="20">
        <f>J6+K5</f>
        <v>3884.6000000000004</v>
      </c>
      <c r="L6" s="114"/>
      <c r="M6" s="115">
        <f t="shared" ref="M6:M39" si="3">SUM(H6-K6)</f>
        <v>62671.630000000012</v>
      </c>
      <c r="N6" s="6"/>
      <c r="O6" s="115">
        <f>+O5</f>
        <v>1664.5958333333335</v>
      </c>
      <c r="P6" s="115">
        <f>(+$G6)/24</f>
        <v>1108.5804166666667</v>
      </c>
      <c r="Q6" s="115"/>
      <c r="R6" s="115"/>
      <c r="S6" s="115"/>
      <c r="T6" s="115"/>
      <c r="U6" s="115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5">
        <f t="shared" si="2"/>
        <v>2773.1762500000004</v>
      </c>
      <c r="AK6" s="6"/>
    </row>
    <row r="7" spans="1:37" outlineLevel="1">
      <c r="A7" s="19" t="s">
        <v>48</v>
      </c>
      <c r="B7" s="19">
        <v>2014</v>
      </c>
      <c r="C7" s="10" t="s">
        <v>47</v>
      </c>
      <c r="D7" s="114"/>
      <c r="E7" s="18">
        <v>38534.1</v>
      </c>
      <c r="F7" s="18"/>
      <c r="G7" s="18">
        <f t="shared" si="1"/>
        <v>38534.1</v>
      </c>
      <c r="H7" s="128">
        <f>SUM(G$5:G7)</f>
        <v>105090.33000000002</v>
      </c>
      <c r="I7" s="114"/>
      <c r="J7" s="129">
        <v>2773.45</v>
      </c>
      <c r="K7" s="20">
        <f>J7+K6</f>
        <v>6658.05</v>
      </c>
      <c r="L7" s="114"/>
      <c r="M7" s="115">
        <f t="shared" si="3"/>
        <v>98432.280000000013</v>
      </c>
      <c r="N7" s="6"/>
      <c r="O7" s="115">
        <f>+O6</f>
        <v>1664.5958333333335</v>
      </c>
      <c r="P7" s="115">
        <f>+P6</f>
        <v>1108.5804166666667</v>
      </c>
      <c r="Q7" s="115">
        <f>(+$G7)/24</f>
        <v>1605.5874999999999</v>
      </c>
      <c r="R7" s="115"/>
      <c r="S7" s="115"/>
      <c r="T7" s="115"/>
      <c r="U7" s="115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5">
        <f t="shared" si="2"/>
        <v>4378.7637500000001</v>
      </c>
      <c r="AK7" s="6"/>
    </row>
    <row r="8" spans="1:37" ht="13.5" customHeight="1" outlineLevel="1">
      <c r="A8" s="19" t="s">
        <v>50</v>
      </c>
      <c r="B8" s="19">
        <v>2014</v>
      </c>
      <c r="C8" s="10" t="s">
        <v>47</v>
      </c>
      <c r="D8" s="114"/>
      <c r="E8" s="18">
        <v>90582.18</v>
      </c>
      <c r="F8" s="18"/>
      <c r="G8" s="18">
        <f t="shared" si="1"/>
        <v>90582.18</v>
      </c>
      <c r="H8" s="128">
        <f>SUM(G$5:G8)</f>
        <v>195672.51</v>
      </c>
      <c r="I8" s="114"/>
      <c r="J8" s="129">
        <v>5955.73</v>
      </c>
      <c r="K8" s="20">
        <f>J8+K7</f>
        <v>12613.779999999999</v>
      </c>
      <c r="L8" s="114"/>
      <c r="M8" s="115">
        <f t="shared" si="3"/>
        <v>183058.73</v>
      </c>
      <c r="N8" s="6"/>
      <c r="O8" s="115">
        <f>+O7</f>
        <v>1664.5958333333335</v>
      </c>
      <c r="P8" s="115">
        <f>+P7</f>
        <v>1108.5804166666667</v>
      </c>
      <c r="Q8" s="115">
        <f>+Q7</f>
        <v>1605.5874999999999</v>
      </c>
      <c r="R8" s="115">
        <f>(+$G8)/24</f>
        <v>3774.2574999999997</v>
      </c>
      <c r="S8" s="115"/>
      <c r="T8" s="115"/>
      <c r="U8" s="115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5">
        <f t="shared" si="2"/>
        <v>8153.0212499999998</v>
      </c>
      <c r="AK8" s="6"/>
    </row>
    <row r="9" spans="1:37" ht="13.5" customHeight="1" outlineLevel="1">
      <c r="A9" s="19" t="s">
        <v>51</v>
      </c>
      <c r="B9" s="19">
        <v>2014</v>
      </c>
      <c r="C9" s="10" t="s">
        <v>47</v>
      </c>
      <c r="D9" s="114"/>
      <c r="E9" s="18">
        <v>0</v>
      </c>
      <c r="F9" s="18"/>
      <c r="G9" s="18">
        <f t="shared" si="1"/>
        <v>0</v>
      </c>
      <c r="H9" s="128">
        <f>SUM(G$5:G9)</f>
        <v>195672.51</v>
      </c>
      <c r="I9" s="114"/>
      <c r="J9" s="129">
        <v>6944.68</v>
      </c>
      <c r="K9" s="20">
        <f>J9+K8</f>
        <v>19558.46</v>
      </c>
      <c r="L9" s="114"/>
      <c r="M9" s="115">
        <f t="shared" si="3"/>
        <v>176114.05000000002</v>
      </c>
      <c r="N9" s="6"/>
      <c r="O9" s="115">
        <f t="shared" ref="O9:Y20" si="4">+O8</f>
        <v>1664.5958333333335</v>
      </c>
      <c r="P9" s="115">
        <f t="shared" si="4"/>
        <v>1108.5804166666667</v>
      </c>
      <c r="Q9" s="115">
        <f t="shared" si="4"/>
        <v>1605.5874999999999</v>
      </c>
      <c r="R9" s="115">
        <f t="shared" si="4"/>
        <v>3774.2574999999997</v>
      </c>
      <c r="S9" s="115">
        <f>(+$G9)/24</f>
        <v>0</v>
      </c>
      <c r="T9" s="115"/>
      <c r="U9" s="115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5">
        <f t="shared" si="2"/>
        <v>8153.0212499999998</v>
      </c>
      <c r="AK9" s="6"/>
    </row>
    <row r="10" spans="1:37" outlineLevel="1">
      <c r="A10" s="24" t="s">
        <v>52</v>
      </c>
      <c r="B10" s="24">
        <v>2014</v>
      </c>
      <c r="C10" s="24" t="s">
        <v>47</v>
      </c>
      <c r="D10" s="116"/>
      <c r="E10" s="121">
        <v>44477.01</v>
      </c>
      <c r="F10" s="121"/>
      <c r="G10" s="121">
        <f t="shared" si="1"/>
        <v>44477.01</v>
      </c>
      <c r="H10" s="121">
        <f>SUM(G$5:G10)</f>
        <v>240149.52000000002</v>
      </c>
      <c r="I10" s="116"/>
      <c r="J10" s="129">
        <v>10975.32</v>
      </c>
      <c r="K10" s="121">
        <f>J10+K9</f>
        <v>30533.78</v>
      </c>
      <c r="L10" s="116"/>
      <c r="M10" s="117">
        <f t="shared" si="3"/>
        <v>209615.74000000002</v>
      </c>
      <c r="N10" s="26"/>
      <c r="O10" s="117">
        <f t="shared" si="4"/>
        <v>1664.5958333333335</v>
      </c>
      <c r="P10" s="117">
        <f t="shared" si="4"/>
        <v>1108.5804166666667</v>
      </c>
      <c r="Q10" s="117">
        <f t="shared" si="4"/>
        <v>1605.5874999999999</v>
      </c>
      <c r="R10" s="117">
        <f t="shared" si="4"/>
        <v>3774.2574999999997</v>
      </c>
      <c r="S10" s="117">
        <f t="shared" si="4"/>
        <v>0</v>
      </c>
      <c r="T10" s="117">
        <f>(+$G10)/24</f>
        <v>1853.20875</v>
      </c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>
        <f t="shared" si="2"/>
        <v>10006.23</v>
      </c>
      <c r="AK10" s="6"/>
    </row>
    <row r="11" spans="1:37" outlineLevel="1">
      <c r="A11" s="10" t="s">
        <v>53</v>
      </c>
      <c r="B11" s="10">
        <v>2015</v>
      </c>
      <c r="C11" s="10" t="s">
        <v>47</v>
      </c>
      <c r="D11" s="114"/>
      <c r="E11" s="18">
        <v>152014.43</v>
      </c>
      <c r="F11" s="18"/>
      <c r="G11" s="18">
        <f t="shared" si="1"/>
        <v>152014.43</v>
      </c>
      <c r="H11" s="18">
        <f>SUM(G$5:G11)</f>
        <v>392163.95</v>
      </c>
      <c r="I11" s="114"/>
      <c r="J11" s="129">
        <v>12117.76</v>
      </c>
      <c r="K11" s="18">
        <f t="shared" ref="K11:K39" si="5">J11+K10</f>
        <v>42651.54</v>
      </c>
      <c r="L11" s="114"/>
      <c r="M11" s="115">
        <f t="shared" si="3"/>
        <v>349512.41000000003</v>
      </c>
      <c r="O11" s="115">
        <f t="shared" si="4"/>
        <v>1664.5958333333335</v>
      </c>
      <c r="P11" s="115">
        <f t="shared" si="4"/>
        <v>1108.5804166666667</v>
      </c>
      <c r="Q11" s="115">
        <f t="shared" si="4"/>
        <v>1605.5874999999999</v>
      </c>
      <c r="R11" s="115">
        <f t="shared" si="4"/>
        <v>3774.2574999999997</v>
      </c>
      <c r="S11" s="115">
        <f t="shared" si="4"/>
        <v>0</v>
      </c>
      <c r="T11" s="115">
        <f t="shared" si="4"/>
        <v>1853.20875</v>
      </c>
      <c r="U11" s="115">
        <f>(+$G11)/24</f>
        <v>6333.9345833333327</v>
      </c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>
        <f t="shared" si="2"/>
        <v>16340.164583333331</v>
      </c>
      <c r="AK11" s="6"/>
    </row>
    <row r="12" spans="1:37" outlineLevel="1">
      <c r="A12" s="19" t="s">
        <v>54</v>
      </c>
      <c r="B12" s="10">
        <v>2015</v>
      </c>
      <c r="C12" s="10" t="s">
        <v>47</v>
      </c>
      <c r="D12" s="114"/>
      <c r="E12" s="18">
        <f>77830.53-4586.52</f>
        <v>73244.009999999995</v>
      </c>
      <c r="F12" s="18"/>
      <c r="G12" s="18">
        <f t="shared" si="1"/>
        <v>73244.009999999995</v>
      </c>
      <c r="H12" s="18">
        <f>SUM(G$5:G12)</f>
        <v>465407.96</v>
      </c>
      <c r="I12" s="114"/>
      <c r="J12" s="129">
        <v>15099.17</v>
      </c>
      <c r="K12" s="20">
        <f t="shared" si="5"/>
        <v>57750.71</v>
      </c>
      <c r="L12" s="114"/>
      <c r="M12" s="115">
        <f t="shared" si="3"/>
        <v>407657.25</v>
      </c>
      <c r="N12" s="6"/>
      <c r="O12" s="115">
        <f t="shared" si="4"/>
        <v>1664.5958333333335</v>
      </c>
      <c r="P12" s="115">
        <f t="shared" si="4"/>
        <v>1108.5804166666667</v>
      </c>
      <c r="Q12" s="115">
        <f t="shared" si="4"/>
        <v>1605.5874999999999</v>
      </c>
      <c r="R12" s="115">
        <f t="shared" si="4"/>
        <v>3774.2574999999997</v>
      </c>
      <c r="S12" s="115">
        <f t="shared" si="4"/>
        <v>0</v>
      </c>
      <c r="T12" s="115">
        <f t="shared" si="4"/>
        <v>1853.20875</v>
      </c>
      <c r="U12" s="115">
        <f>+U11</f>
        <v>6333.9345833333327</v>
      </c>
      <c r="V12" s="119">
        <f>(+$G12)/24</f>
        <v>3051.8337499999998</v>
      </c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5">
        <f t="shared" si="2"/>
        <v>19391.998333333329</v>
      </c>
      <c r="AK12" s="6"/>
    </row>
    <row r="13" spans="1:37" outlineLevel="1">
      <c r="A13" s="19" t="s">
        <v>55</v>
      </c>
      <c r="B13" s="10">
        <v>2015</v>
      </c>
      <c r="C13" s="10" t="s">
        <v>47</v>
      </c>
      <c r="D13" s="114"/>
      <c r="E13" s="18">
        <v>137965.12</v>
      </c>
      <c r="F13" s="18"/>
      <c r="G13" s="18">
        <f t="shared" si="1"/>
        <v>137965.12</v>
      </c>
      <c r="H13" s="18">
        <f>SUM(G$5:G13)</f>
        <v>603373.08000000007</v>
      </c>
      <c r="I13" s="114"/>
      <c r="J13" s="129">
        <v>20995.57</v>
      </c>
      <c r="K13" s="20">
        <f>J13+K12</f>
        <v>78746.28</v>
      </c>
      <c r="L13" s="114"/>
      <c r="M13" s="115">
        <f t="shared" si="3"/>
        <v>524626.80000000005</v>
      </c>
      <c r="N13" s="6"/>
      <c r="O13" s="115">
        <f t="shared" si="4"/>
        <v>1664.5958333333335</v>
      </c>
      <c r="P13" s="115">
        <f t="shared" si="4"/>
        <v>1108.5804166666667</v>
      </c>
      <c r="Q13" s="115">
        <f t="shared" si="4"/>
        <v>1605.5874999999999</v>
      </c>
      <c r="R13" s="115">
        <f t="shared" si="4"/>
        <v>3774.2574999999997</v>
      </c>
      <c r="S13" s="115">
        <f t="shared" si="4"/>
        <v>0</v>
      </c>
      <c r="T13" s="115">
        <f t="shared" si="4"/>
        <v>1853.20875</v>
      </c>
      <c r="U13" s="115">
        <f>+U12</f>
        <v>6333.9345833333327</v>
      </c>
      <c r="V13" s="119">
        <f>+V12</f>
        <v>3051.8337499999998</v>
      </c>
      <c r="W13" s="119">
        <f>(+$G13)/24</f>
        <v>5748.5466666666662</v>
      </c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5">
        <f t="shared" si="2"/>
        <v>25140.544999999995</v>
      </c>
      <c r="AK13" s="6"/>
    </row>
    <row r="14" spans="1:37" outlineLevel="1">
      <c r="A14" s="19" t="s">
        <v>56</v>
      </c>
      <c r="B14" s="10">
        <v>2015</v>
      </c>
      <c r="C14" s="10" t="s">
        <v>47</v>
      </c>
      <c r="D14" s="114"/>
      <c r="E14" s="18">
        <v>30202.89</v>
      </c>
      <c r="F14" s="18"/>
      <c r="G14" s="18">
        <f t="shared" si="1"/>
        <v>30202.89</v>
      </c>
      <c r="H14" s="18">
        <f>SUM(G$5:G14)</f>
        <v>633575.97000000009</v>
      </c>
      <c r="I14" s="114"/>
      <c r="J14" s="129">
        <v>25628.400000000001</v>
      </c>
      <c r="K14" s="20">
        <f t="shared" si="5"/>
        <v>104374.68</v>
      </c>
      <c r="L14" s="114"/>
      <c r="M14" s="115">
        <f t="shared" si="3"/>
        <v>529201.29</v>
      </c>
      <c r="N14" s="6"/>
      <c r="O14" s="115">
        <f t="shared" si="4"/>
        <v>1664.5958333333335</v>
      </c>
      <c r="P14" s="115">
        <f t="shared" si="4"/>
        <v>1108.5804166666667</v>
      </c>
      <c r="Q14" s="115">
        <f t="shared" si="4"/>
        <v>1605.5874999999999</v>
      </c>
      <c r="R14" s="115">
        <f t="shared" si="4"/>
        <v>3774.2574999999997</v>
      </c>
      <c r="S14" s="115">
        <f t="shared" si="4"/>
        <v>0</v>
      </c>
      <c r="T14" s="115">
        <f t="shared" si="4"/>
        <v>1853.20875</v>
      </c>
      <c r="U14" s="115">
        <f t="shared" si="4"/>
        <v>6333.9345833333327</v>
      </c>
      <c r="V14" s="119">
        <f t="shared" si="4"/>
        <v>3051.8337499999998</v>
      </c>
      <c r="W14" s="119">
        <f t="shared" si="4"/>
        <v>5748.5466666666662</v>
      </c>
      <c r="X14" s="119">
        <f>(+$G14)/24</f>
        <v>1258.4537499999999</v>
      </c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5">
        <f t="shared" si="2"/>
        <v>26398.998749999995</v>
      </c>
      <c r="AK14" s="6"/>
    </row>
    <row r="15" spans="1:37" outlineLevel="1">
      <c r="A15" s="19" t="s">
        <v>57</v>
      </c>
      <c r="B15" s="10">
        <v>2015</v>
      </c>
      <c r="C15" s="10" t="s">
        <v>47</v>
      </c>
      <c r="D15" s="114"/>
      <c r="E15" s="18">
        <v>143237.48000000001</v>
      </c>
      <c r="F15" s="18"/>
      <c r="G15" s="18">
        <f t="shared" si="1"/>
        <v>143237.48000000001</v>
      </c>
      <c r="H15" s="18">
        <f>SUM(G$5:G15)</f>
        <v>776813.45000000007</v>
      </c>
      <c r="I15" s="114"/>
      <c r="J15" s="129">
        <v>25930.87</v>
      </c>
      <c r="K15" s="20">
        <f t="shared" si="5"/>
        <v>130305.54999999999</v>
      </c>
      <c r="L15" s="114"/>
      <c r="M15" s="115">
        <f t="shared" si="3"/>
        <v>646507.90000000014</v>
      </c>
      <c r="N15" s="6"/>
      <c r="O15" s="115">
        <f t="shared" si="4"/>
        <v>1664.5958333333335</v>
      </c>
      <c r="P15" s="115">
        <f t="shared" si="4"/>
        <v>1108.5804166666667</v>
      </c>
      <c r="Q15" s="115">
        <f t="shared" si="4"/>
        <v>1605.5874999999999</v>
      </c>
      <c r="R15" s="115">
        <f t="shared" si="4"/>
        <v>3774.2574999999997</v>
      </c>
      <c r="S15" s="115">
        <f t="shared" si="4"/>
        <v>0</v>
      </c>
      <c r="T15" s="115">
        <f t="shared" si="4"/>
        <v>1853.20875</v>
      </c>
      <c r="U15" s="115">
        <f t="shared" si="4"/>
        <v>6333.9345833333327</v>
      </c>
      <c r="V15" s="119">
        <f t="shared" si="4"/>
        <v>3051.8337499999998</v>
      </c>
      <c r="W15" s="119">
        <f t="shared" si="4"/>
        <v>5748.5466666666662</v>
      </c>
      <c r="X15" s="119">
        <f t="shared" si="4"/>
        <v>1258.4537499999999</v>
      </c>
      <c r="Y15" s="119">
        <f>(+$G15)/24</f>
        <v>5968.2283333333335</v>
      </c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5">
        <f t="shared" si="2"/>
        <v>32367.227083333328</v>
      </c>
      <c r="AK15" s="6"/>
    </row>
    <row r="16" spans="1:37" outlineLevel="1">
      <c r="A16" s="19" t="s">
        <v>58</v>
      </c>
      <c r="B16" s="10">
        <v>2015</v>
      </c>
      <c r="C16" s="10" t="s">
        <v>47</v>
      </c>
      <c r="D16" s="114"/>
      <c r="E16" s="18">
        <v>26549.19</v>
      </c>
      <c r="F16" s="18"/>
      <c r="G16" s="18">
        <f t="shared" si="1"/>
        <v>26549.19</v>
      </c>
      <c r="H16" s="18">
        <f>SUM(G$5:G16)</f>
        <v>803362.64</v>
      </c>
      <c r="I16" s="114"/>
      <c r="J16" s="129">
        <v>34945.58</v>
      </c>
      <c r="K16" s="20">
        <f t="shared" si="5"/>
        <v>165251.13</v>
      </c>
      <c r="L16" s="114"/>
      <c r="M16" s="115">
        <f t="shared" si="3"/>
        <v>638111.51</v>
      </c>
      <c r="N16" s="6"/>
      <c r="O16" s="115">
        <f t="shared" si="4"/>
        <v>1664.5958333333335</v>
      </c>
      <c r="P16" s="115">
        <f t="shared" si="4"/>
        <v>1108.5804166666667</v>
      </c>
      <c r="Q16" s="115">
        <f t="shared" si="4"/>
        <v>1605.5874999999999</v>
      </c>
      <c r="R16" s="115">
        <f t="shared" si="4"/>
        <v>3774.2574999999997</v>
      </c>
      <c r="S16" s="115">
        <f t="shared" si="4"/>
        <v>0</v>
      </c>
      <c r="T16" s="115">
        <f t="shared" si="4"/>
        <v>1853.20875</v>
      </c>
      <c r="U16" s="115">
        <f t="shared" si="4"/>
        <v>6333.9345833333327</v>
      </c>
      <c r="V16" s="119">
        <f t="shared" si="4"/>
        <v>3051.8337499999998</v>
      </c>
      <c r="W16" s="119">
        <f t="shared" si="4"/>
        <v>5748.5466666666662</v>
      </c>
      <c r="X16" s="119">
        <f t="shared" si="4"/>
        <v>1258.4537499999999</v>
      </c>
      <c r="Y16" s="119">
        <f t="shared" si="4"/>
        <v>5968.2283333333335</v>
      </c>
      <c r="Z16" s="119">
        <f>(+$G16)/24</f>
        <v>1106.2162499999999</v>
      </c>
      <c r="AA16" s="119"/>
      <c r="AB16" s="119"/>
      <c r="AC16" s="119"/>
      <c r="AD16" s="119"/>
      <c r="AE16" s="119"/>
      <c r="AF16" s="119"/>
      <c r="AG16" s="119"/>
      <c r="AH16" s="119"/>
      <c r="AI16" s="119"/>
      <c r="AJ16" s="115">
        <f t="shared" si="2"/>
        <v>33473.443333333329</v>
      </c>
      <c r="AK16" s="6"/>
    </row>
    <row r="17" spans="1:37" outlineLevel="1">
      <c r="A17" s="10" t="s">
        <v>59</v>
      </c>
      <c r="B17" s="10">
        <f t="shared" ref="B17:B52" si="6">+B5+1</f>
        <v>2015</v>
      </c>
      <c r="C17" s="10" t="s">
        <v>47</v>
      </c>
      <c r="D17" s="114"/>
      <c r="E17" s="222">
        <v>49235.74</v>
      </c>
      <c r="F17" s="18"/>
      <c r="G17" s="18">
        <f t="shared" si="1"/>
        <v>49235.74</v>
      </c>
      <c r="H17" s="128">
        <f>SUM(G$5:G17)</f>
        <v>852598.38</v>
      </c>
      <c r="I17" s="114"/>
      <c r="J17" s="129">
        <v>35119.230000000003</v>
      </c>
      <c r="K17" s="20">
        <v>200370.36000000002</v>
      </c>
      <c r="L17" s="114"/>
      <c r="M17" s="115">
        <f t="shared" si="3"/>
        <v>652228.02</v>
      </c>
      <c r="O17" s="115">
        <f t="shared" si="4"/>
        <v>1664.5958333333335</v>
      </c>
      <c r="P17" s="115">
        <f t="shared" si="4"/>
        <v>1108.5804166666667</v>
      </c>
      <c r="Q17" s="115">
        <f t="shared" si="4"/>
        <v>1605.5874999999999</v>
      </c>
      <c r="R17" s="115">
        <f t="shared" si="4"/>
        <v>3774.2574999999997</v>
      </c>
      <c r="S17" s="115">
        <f t="shared" si="4"/>
        <v>0</v>
      </c>
      <c r="T17" s="115">
        <f t="shared" si="4"/>
        <v>1853.20875</v>
      </c>
      <c r="U17" s="115">
        <f t="shared" si="4"/>
        <v>6333.9345833333327</v>
      </c>
      <c r="V17" s="115">
        <f t="shared" si="4"/>
        <v>3051.8337499999998</v>
      </c>
      <c r="W17" s="115">
        <f t="shared" si="4"/>
        <v>5748.5466666666662</v>
      </c>
      <c r="X17" s="115">
        <f t="shared" si="4"/>
        <v>1258.4537499999999</v>
      </c>
      <c r="Y17" s="115">
        <f t="shared" si="4"/>
        <v>5968.2283333333335</v>
      </c>
      <c r="Z17" s="115">
        <f>+Z16</f>
        <v>1106.2162499999999</v>
      </c>
      <c r="AA17" s="115">
        <f>(+$G17)/24</f>
        <v>2051.4891666666667</v>
      </c>
      <c r="AB17" s="115"/>
      <c r="AC17" s="115"/>
      <c r="AD17" s="115"/>
      <c r="AE17" s="115"/>
      <c r="AF17" s="115"/>
      <c r="AG17" s="115"/>
      <c r="AH17" s="115"/>
      <c r="AI17" s="115"/>
      <c r="AJ17" s="115">
        <f t="shared" si="2"/>
        <v>35524.932499999995</v>
      </c>
      <c r="AK17" s="6"/>
    </row>
    <row r="18" spans="1:37" outlineLevel="1">
      <c r="A18" s="10" t="s">
        <v>46</v>
      </c>
      <c r="B18" s="10">
        <f t="shared" si="6"/>
        <v>2015</v>
      </c>
      <c r="C18" s="10" t="s">
        <v>47</v>
      </c>
      <c r="D18" s="114"/>
      <c r="E18" s="222">
        <v>27694.93</v>
      </c>
      <c r="F18" s="18"/>
      <c r="G18" s="18">
        <f t="shared" si="1"/>
        <v>27694.93</v>
      </c>
      <c r="H18" s="128">
        <f>SUM(G$5:G18)</f>
        <v>880293.31</v>
      </c>
      <c r="I18" s="114"/>
      <c r="J18" s="129">
        <v>36400.46</v>
      </c>
      <c r="K18" s="20">
        <v>236770.82</v>
      </c>
      <c r="L18" s="114"/>
      <c r="M18" s="115">
        <f t="shared" si="3"/>
        <v>643522.49</v>
      </c>
      <c r="O18" s="115">
        <f t="shared" si="4"/>
        <v>1664.5958333333335</v>
      </c>
      <c r="P18" s="115">
        <f t="shared" si="4"/>
        <v>1108.5804166666667</v>
      </c>
      <c r="Q18" s="115">
        <f t="shared" si="4"/>
        <v>1605.5874999999999</v>
      </c>
      <c r="R18" s="115">
        <f t="shared" si="4"/>
        <v>3774.2574999999997</v>
      </c>
      <c r="S18" s="115">
        <f t="shared" si="4"/>
        <v>0</v>
      </c>
      <c r="T18" s="115">
        <f t="shared" si="4"/>
        <v>1853.20875</v>
      </c>
      <c r="U18" s="115">
        <f t="shared" si="4"/>
        <v>6333.9345833333327</v>
      </c>
      <c r="V18" s="115">
        <f t="shared" si="4"/>
        <v>3051.8337499999998</v>
      </c>
      <c r="W18" s="115">
        <f t="shared" si="4"/>
        <v>5748.5466666666662</v>
      </c>
      <c r="X18" s="115">
        <f t="shared" si="4"/>
        <v>1258.4537499999999</v>
      </c>
      <c r="Y18" s="115">
        <f t="shared" si="4"/>
        <v>5968.2283333333335</v>
      </c>
      <c r="Z18" s="115">
        <f>+Z17</f>
        <v>1106.2162499999999</v>
      </c>
      <c r="AA18" s="115">
        <f>+AA17</f>
        <v>2051.4891666666667</v>
      </c>
      <c r="AB18" s="115">
        <f>(+$G18)/24</f>
        <v>1153.9554166666667</v>
      </c>
      <c r="AC18" s="115"/>
      <c r="AD18" s="115"/>
      <c r="AE18" s="115"/>
      <c r="AF18" s="115"/>
      <c r="AG18" s="115"/>
      <c r="AH18" s="115"/>
      <c r="AI18" s="115"/>
      <c r="AJ18" s="115">
        <f t="shared" si="2"/>
        <v>36678.887916666659</v>
      </c>
      <c r="AK18" s="6"/>
    </row>
    <row r="19" spans="1:37" outlineLevel="1">
      <c r="A19" s="10" t="s">
        <v>48</v>
      </c>
      <c r="B19" s="10">
        <f t="shared" si="6"/>
        <v>2015</v>
      </c>
      <c r="C19" s="10" t="s">
        <v>47</v>
      </c>
      <c r="D19" s="114"/>
      <c r="E19" s="222">
        <v>113080.12</v>
      </c>
      <c r="F19" s="18"/>
      <c r="G19" s="18">
        <f t="shared" si="1"/>
        <v>113080.12</v>
      </c>
      <c r="H19" s="128">
        <f>SUM(G$5:G19)</f>
        <v>993373.43</v>
      </c>
      <c r="I19" s="114"/>
      <c r="J19" s="129">
        <v>37839.64</v>
      </c>
      <c r="K19" s="20">
        <v>274610.46000000002</v>
      </c>
      <c r="L19" s="114"/>
      <c r="M19" s="115">
        <f t="shared" si="3"/>
        <v>718762.97</v>
      </c>
      <c r="O19" s="115">
        <f t="shared" si="4"/>
        <v>1664.5958333333335</v>
      </c>
      <c r="P19" s="115">
        <f t="shared" si="4"/>
        <v>1108.5804166666667</v>
      </c>
      <c r="Q19" s="115">
        <f t="shared" si="4"/>
        <v>1605.5874999999999</v>
      </c>
      <c r="R19" s="115">
        <f t="shared" si="4"/>
        <v>3774.2574999999997</v>
      </c>
      <c r="S19" s="115">
        <f t="shared" si="4"/>
        <v>0</v>
      </c>
      <c r="T19" s="115">
        <f t="shared" si="4"/>
        <v>1853.20875</v>
      </c>
      <c r="U19" s="115">
        <f t="shared" si="4"/>
        <v>6333.9345833333327</v>
      </c>
      <c r="V19" s="115">
        <f t="shared" si="4"/>
        <v>3051.8337499999998</v>
      </c>
      <c r="W19" s="115">
        <f>+W18</f>
        <v>5748.5466666666662</v>
      </c>
      <c r="X19" s="115">
        <f>+X18</f>
        <v>1258.4537499999999</v>
      </c>
      <c r="Y19" s="115">
        <f>+Y18</f>
        <v>5968.2283333333335</v>
      </c>
      <c r="Z19" s="115">
        <f>+Z18</f>
        <v>1106.2162499999999</v>
      </c>
      <c r="AA19" s="115">
        <f>+AA18</f>
        <v>2051.4891666666667</v>
      </c>
      <c r="AB19" s="115">
        <f>+AB18</f>
        <v>1153.9554166666667</v>
      </c>
      <c r="AC19" s="115">
        <f>($G19)/24</f>
        <v>4711.6716666666662</v>
      </c>
      <c r="AD19" s="115"/>
      <c r="AE19" s="115"/>
      <c r="AF19" s="115"/>
      <c r="AG19" s="115"/>
      <c r="AH19" s="115"/>
      <c r="AI19" s="115"/>
      <c r="AJ19" s="115">
        <f t="shared" si="2"/>
        <v>41390.559583333328</v>
      </c>
      <c r="AK19" s="6"/>
    </row>
    <row r="20" spans="1:37" outlineLevel="1">
      <c r="A20" s="10" t="s">
        <v>50</v>
      </c>
      <c r="B20" s="10">
        <f t="shared" si="6"/>
        <v>2015</v>
      </c>
      <c r="C20" s="10" t="s">
        <v>47</v>
      </c>
      <c r="D20" s="114"/>
      <c r="E20" s="222">
        <v>113954.92</v>
      </c>
      <c r="F20" s="18"/>
      <c r="G20" s="18">
        <f t="shared" si="1"/>
        <v>113954.92</v>
      </c>
      <c r="H20" s="128">
        <f>SUM(G$5:G20)</f>
        <v>1107328.3500000001</v>
      </c>
      <c r="I20" s="114"/>
      <c r="J20" s="129">
        <v>45308.5</v>
      </c>
      <c r="K20" s="20">
        <v>319918.96000000002</v>
      </c>
      <c r="L20" s="114"/>
      <c r="M20" s="115">
        <f t="shared" si="3"/>
        <v>787409.39000000013</v>
      </c>
      <c r="O20" s="115">
        <f t="shared" si="4"/>
        <v>1664.5958333333335</v>
      </c>
      <c r="P20" s="115">
        <f t="shared" si="4"/>
        <v>1108.5804166666667</v>
      </c>
      <c r="Q20" s="115">
        <f t="shared" si="4"/>
        <v>1605.5874999999999</v>
      </c>
      <c r="R20" s="115">
        <f t="shared" si="4"/>
        <v>3774.2574999999997</v>
      </c>
      <c r="S20" s="115">
        <f t="shared" si="4"/>
        <v>0</v>
      </c>
      <c r="T20" s="115">
        <f t="shared" si="4"/>
        <v>1853.20875</v>
      </c>
      <c r="U20" s="115">
        <f t="shared" si="4"/>
        <v>6333.9345833333327</v>
      </c>
      <c r="V20" s="115">
        <f t="shared" si="4"/>
        <v>3051.8337499999998</v>
      </c>
      <c r="W20" s="115">
        <f t="shared" si="4"/>
        <v>5748.5466666666662</v>
      </c>
      <c r="X20" s="115">
        <f t="shared" si="4"/>
        <v>1258.4537499999999</v>
      </c>
      <c r="Y20" s="115">
        <f t="shared" si="4"/>
        <v>5968.2283333333335</v>
      </c>
      <c r="Z20" s="115">
        <f>+Z19</f>
        <v>1106.2162499999999</v>
      </c>
      <c r="AA20" s="115">
        <f>+AA19</f>
        <v>2051.4891666666667</v>
      </c>
      <c r="AB20" s="115">
        <f>+AB19</f>
        <v>1153.9554166666667</v>
      </c>
      <c r="AC20" s="115">
        <f>+AC19</f>
        <v>4711.6716666666662</v>
      </c>
      <c r="AD20" s="115">
        <f>($G$20)/24</f>
        <v>4748.1216666666669</v>
      </c>
      <c r="AE20" s="115"/>
      <c r="AF20" s="115"/>
      <c r="AG20" s="115"/>
      <c r="AH20" s="115"/>
      <c r="AI20" s="115"/>
      <c r="AJ20" s="115">
        <f t="shared" si="2"/>
        <v>46138.681249999994</v>
      </c>
      <c r="AK20" s="6"/>
    </row>
    <row r="21" spans="1:37" outlineLevel="1">
      <c r="A21" s="10" t="s">
        <v>51</v>
      </c>
      <c r="B21" s="10">
        <f t="shared" si="6"/>
        <v>2015</v>
      </c>
      <c r="C21" s="10" t="s">
        <v>47</v>
      </c>
      <c r="D21" s="114"/>
      <c r="E21" s="222">
        <v>169551.75</v>
      </c>
      <c r="F21" s="18"/>
      <c r="G21" s="18">
        <f t="shared" si="1"/>
        <v>169551.75</v>
      </c>
      <c r="H21" s="128">
        <f>SUM(G$5:G21)</f>
        <v>1276880.1000000001</v>
      </c>
      <c r="I21" s="114"/>
      <c r="J21" s="129">
        <v>42300.51</v>
      </c>
      <c r="K21" s="20">
        <v>362219.47000000003</v>
      </c>
      <c r="L21" s="114"/>
      <c r="M21" s="115">
        <f t="shared" si="3"/>
        <v>914660.63000000012</v>
      </c>
      <c r="O21" s="115">
        <f t="shared" ref="O21:Y36" si="7">+O20</f>
        <v>1664.5958333333335</v>
      </c>
      <c r="P21" s="115">
        <f t="shared" si="7"/>
        <v>1108.5804166666667</v>
      </c>
      <c r="Q21" s="115">
        <f t="shared" si="7"/>
        <v>1605.5874999999999</v>
      </c>
      <c r="R21" s="115">
        <f t="shared" si="7"/>
        <v>3774.2574999999997</v>
      </c>
      <c r="S21" s="115">
        <f t="shared" si="7"/>
        <v>0</v>
      </c>
      <c r="T21" s="115">
        <f t="shared" si="7"/>
        <v>1853.20875</v>
      </c>
      <c r="U21" s="115">
        <f t="shared" si="7"/>
        <v>6333.9345833333327</v>
      </c>
      <c r="V21" s="115">
        <f t="shared" si="7"/>
        <v>3051.8337499999998</v>
      </c>
      <c r="W21" s="115">
        <f t="shared" si="7"/>
        <v>5748.5466666666662</v>
      </c>
      <c r="X21" s="115">
        <f t="shared" si="7"/>
        <v>1258.4537499999999</v>
      </c>
      <c r="Y21" s="115">
        <f t="shared" si="7"/>
        <v>5968.2283333333335</v>
      </c>
      <c r="Z21" s="115">
        <f>+Z20</f>
        <v>1106.2162499999999</v>
      </c>
      <c r="AA21" s="115">
        <f>+AA20</f>
        <v>2051.4891666666667</v>
      </c>
      <c r="AB21" s="115">
        <f>+AB20</f>
        <v>1153.9554166666667</v>
      </c>
      <c r="AC21" s="115">
        <f>+AC20</f>
        <v>4711.6716666666662</v>
      </c>
      <c r="AD21" s="115">
        <f t="shared" ref="AD21:AD43" si="8">($G$20)/24</f>
        <v>4748.1216666666669</v>
      </c>
      <c r="AE21" s="115">
        <f>($G$21)/24</f>
        <v>7064.65625</v>
      </c>
      <c r="AF21" s="115"/>
      <c r="AG21" s="115"/>
      <c r="AH21" s="115"/>
      <c r="AI21" s="115"/>
      <c r="AJ21" s="115">
        <f t="shared" si="2"/>
        <v>53203.337499999994</v>
      </c>
      <c r="AK21" s="6"/>
    </row>
    <row r="22" spans="1:37" outlineLevel="1">
      <c r="A22" s="24" t="s">
        <v>52</v>
      </c>
      <c r="B22" s="24">
        <f t="shared" si="6"/>
        <v>2015</v>
      </c>
      <c r="C22" s="24" t="s">
        <v>47</v>
      </c>
      <c r="D22" s="116"/>
      <c r="E22" s="225">
        <v>69289.13</v>
      </c>
      <c r="F22" s="121"/>
      <c r="G22" s="121">
        <f t="shared" si="1"/>
        <v>69289.13</v>
      </c>
      <c r="H22" s="217">
        <f>SUM(G$5:G22)</f>
        <v>1346169.23</v>
      </c>
      <c r="I22" s="116"/>
      <c r="J22" s="129">
        <v>60569.83</v>
      </c>
      <c r="K22" s="121">
        <v>422789.30000000005</v>
      </c>
      <c r="L22" s="116"/>
      <c r="M22" s="117">
        <f t="shared" si="3"/>
        <v>923379.92999999993</v>
      </c>
      <c r="N22" s="26"/>
      <c r="O22" s="118">
        <f t="shared" si="7"/>
        <v>1664.5958333333335</v>
      </c>
      <c r="P22" s="118">
        <f t="shared" si="7"/>
        <v>1108.5804166666667</v>
      </c>
      <c r="Q22" s="118">
        <f t="shared" si="7"/>
        <v>1605.5874999999999</v>
      </c>
      <c r="R22" s="118">
        <f t="shared" si="7"/>
        <v>3774.2574999999997</v>
      </c>
      <c r="S22" s="118">
        <f t="shared" si="7"/>
        <v>0</v>
      </c>
      <c r="T22" s="118">
        <f t="shared" si="7"/>
        <v>1853.20875</v>
      </c>
      <c r="U22" s="117">
        <f t="shared" si="7"/>
        <v>6333.9345833333327</v>
      </c>
      <c r="V22" s="117">
        <f t="shared" si="7"/>
        <v>3051.8337499999998</v>
      </c>
      <c r="W22" s="117">
        <f t="shared" si="7"/>
        <v>5748.5466666666662</v>
      </c>
      <c r="X22" s="117">
        <f t="shared" si="7"/>
        <v>1258.4537499999999</v>
      </c>
      <c r="Y22" s="117">
        <f t="shared" si="7"/>
        <v>5968.2283333333335</v>
      </c>
      <c r="Z22" s="117">
        <f t="shared" ref="Z22:AC36" si="9">+Z21</f>
        <v>1106.2162499999999</v>
      </c>
      <c r="AA22" s="117">
        <f t="shared" si="9"/>
        <v>2051.4891666666667</v>
      </c>
      <c r="AB22" s="117">
        <f t="shared" si="9"/>
        <v>1153.9554166666667</v>
      </c>
      <c r="AC22" s="117">
        <f t="shared" si="9"/>
        <v>4711.6716666666662</v>
      </c>
      <c r="AD22" s="117">
        <f t="shared" si="8"/>
        <v>4748.1216666666669</v>
      </c>
      <c r="AE22" s="117">
        <f t="shared" ref="AE22:AE44" si="10">($G$21)/24</f>
        <v>7064.65625</v>
      </c>
      <c r="AF22" s="117">
        <f>($G$22)/24</f>
        <v>2887.0470833333334</v>
      </c>
      <c r="AG22" s="117"/>
      <c r="AH22" s="117"/>
      <c r="AI22" s="118"/>
      <c r="AJ22" s="117">
        <f t="shared" si="2"/>
        <v>56090.384583333325</v>
      </c>
      <c r="AK22" s="6"/>
    </row>
    <row r="23" spans="1:37" outlineLevel="1">
      <c r="A23" s="10" t="s">
        <v>53</v>
      </c>
      <c r="B23" s="10">
        <f t="shared" si="6"/>
        <v>2016</v>
      </c>
      <c r="C23" s="19" t="s">
        <v>47</v>
      </c>
      <c r="D23" s="114"/>
      <c r="E23" s="222">
        <v>242140.09</v>
      </c>
      <c r="F23" s="18"/>
      <c r="G23" s="18">
        <f t="shared" si="1"/>
        <v>242140.09</v>
      </c>
      <c r="H23" s="128">
        <f>SUM(G$5:G23)</f>
        <v>1588309.32</v>
      </c>
      <c r="I23" s="114"/>
      <c r="J23" s="129">
        <v>57751.62</v>
      </c>
      <c r="K23" s="20">
        <f t="shared" si="5"/>
        <v>480540.92000000004</v>
      </c>
      <c r="L23" s="114"/>
      <c r="M23" s="115">
        <f t="shared" si="3"/>
        <v>1107768.3999999999</v>
      </c>
      <c r="O23" s="115">
        <f t="shared" si="7"/>
        <v>1664.5958333333335</v>
      </c>
      <c r="P23" s="115">
        <f t="shared" si="7"/>
        <v>1108.5804166666667</v>
      </c>
      <c r="Q23" s="115">
        <f t="shared" si="7"/>
        <v>1605.5874999999999</v>
      </c>
      <c r="R23" s="115">
        <f t="shared" si="7"/>
        <v>3774.2574999999997</v>
      </c>
      <c r="S23" s="115">
        <f t="shared" si="7"/>
        <v>0</v>
      </c>
      <c r="T23" s="115">
        <f t="shared" si="7"/>
        <v>1853.20875</v>
      </c>
      <c r="U23" s="115">
        <f t="shared" si="7"/>
        <v>6333.9345833333327</v>
      </c>
      <c r="V23" s="115">
        <f t="shared" si="7"/>
        <v>3051.8337499999998</v>
      </c>
      <c r="W23" s="115">
        <f t="shared" si="7"/>
        <v>5748.5466666666662</v>
      </c>
      <c r="X23" s="115">
        <f t="shared" si="7"/>
        <v>1258.4537499999999</v>
      </c>
      <c r="Y23" s="115">
        <f t="shared" si="7"/>
        <v>5968.2283333333335</v>
      </c>
      <c r="Z23" s="115">
        <f t="shared" si="9"/>
        <v>1106.2162499999999</v>
      </c>
      <c r="AA23" s="115">
        <f t="shared" si="9"/>
        <v>2051.4891666666667</v>
      </c>
      <c r="AB23" s="115">
        <f t="shared" si="9"/>
        <v>1153.9554166666667</v>
      </c>
      <c r="AC23" s="115">
        <f t="shared" si="9"/>
        <v>4711.6716666666662</v>
      </c>
      <c r="AD23" s="115">
        <f t="shared" si="8"/>
        <v>4748.1216666666669</v>
      </c>
      <c r="AE23" s="115">
        <f t="shared" si="10"/>
        <v>7064.65625</v>
      </c>
      <c r="AF23" s="119">
        <f t="shared" ref="AF23:AF45" si="11">($G$22)/24</f>
        <v>2887.0470833333334</v>
      </c>
      <c r="AG23" s="115">
        <f>($G$23)/24</f>
        <v>10089.170416666666</v>
      </c>
      <c r="AH23" s="115"/>
      <c r="AI23" s="115"/>
      <c r="AJ23" s="115">
        <f t="shared" si="2"/>
        <v>66179.554999999993</v>
      </c>
      <c r="AK23" s="6"/>
    </row>
    <row r="24" spans="1:37" outlineLevel="1">
      <c r="A24" s="19" t="s">
        <v>54</v>
      </c>
      <c r="B24" s="19">
        <f t="shared" si="6"/>
        <v>2016</v>
      </c>
      <c r="C24" s="19" t="s">
        <v>47</v>
      </c>
      <c r="D24" s="114"/>
      <c r="E24" s="222">
        <v>53443.34</v>
      </c>
      <c r="F24" s="20"/>
      <c r="G24" s="18">
        <f t="shared" si="1"/>
        <v>53443.34</v>
      </c>
      <c r="H24" s="128">
        <f>SUM(G$5:G24)</f>
        <v>1641752.6600000001</v>
      </c>
      <c r="I24" s="114"/>
      <c r="J24" s="129">
        <v>66195.58</v>
      </c>
      <c r="K24" s="20">
        <f t="shared" si="5"/>
        <v>546736.5</v>
      </c>
      <c r="L24" s="114"/>
      <c r="M24" s="115">
        <f t="shared" si="3"/>
        <v>1095016.1600000001</v>
      </c>
      <c r="N24" s="6"/>
      <c r="O24" s="119">
        <f t="shared" si="7"/>
        <v>1664.5958333333335</v>
      </c>
      <c r="P24" s="119">
        <f t="shared" si="7"/>
        <v>1108.5804166666667</v>
      </c>
      <c r="Q24" s="119">
        <f t="shared" si="7"/>
        <v>1605.5874999999999</v>
      </c>
      <c r="R24" s="119">
        <f t="shared" si="7"/>
        <v>3774.2574999999997</v>
      </c>
      <c r="S24" s="119">
        <f t="shared" si="7"/>
        <v>0</v>
      </c>
      <c r="T24" s="119">
        <f t="shared" si="7"/>
        <v>1853.20875</v>
      </c>
      <c r="U24" s="119">
        <f t="shared" si="7"/>
        <v>6333.9345833333327</v>
      </c>
      <c r="V24" s="119">
        <f t="shared" si="7"/>
        <v>3051.8337499999998</v>
      </c>
      <c r="W24" s="119">
        <f t="shared" si="7"/>
        <v>5748.5466666666662</v>
      </c>
      <c r="X24" s="119">
        <f t="shared" si="7"/>
        <v>1258.4537499999999</v>
      </c>
      <c r="Y24" s="119">
        <f t="shared" si="7"/>
        <v>5968.2283333333335</v>
      </c>
      <c r="Z24" s="119">
        <f t="shared" si="9"/>
        <v>1106.2162499999999</v>
      </c>
      <c r="AA24" s="119">
        <f t="shared" si="9"/>
        <v>2051.4891666666667</v>
      </c>
      <c r="AB24" s="119">
        <f t="shared" si="9"/>
        <v>1153.9554166666667</v>
      </c>
      <c r="AC24" s="119">
        <f t="shared" si="9"/>
        <v>4711.6716666666662</v>
      </c>
      <c r="AD24" s="115">
        <f t="shared" si="8"/>
        <v>4748.1216666666669</v>
      </c>
      <c r="AE24" s="115">
        <f t="shared" si="10"/>
        <v>7064.65625</v>
      </c>
      <c r="AF24" s="119">
        <f t="shared" si="11"/>
        <v>2887.0470833333334</v>
      </c>
      <c r="AG24" s="115">
        <f t="shared" ref="AG24:AG46" si="12">($G$23)/24</f>
        <v>10089.170416666666</v>
      </c>
      <c r="AH24" s="115">
        <f>($G$24)/24</f>
        <v>2226.8058333333333</v>
      </c>
      <c r="AI24" s="115"/>
      <c r="AJ24" s="115">
        <f t="shared" si="2"/>
        <v>68406.360833333325</v>
      </c>
      <c r="AK24" s="6"/>
    </row>
    <row r="25" spans="1:37" s="3" customFormat="1" outlineLevel="1">
      <c r="A25" s="7" t="s">
        <v>55</v>
      </c>
      <c r="B25" s="7">
        <f t="shared" si="6"/>
        <v>2016</v>
      </c>
      <c r="C25" s="29" t="s">
        <v>47</v>
      </c>
      <c r="D25" s="114"/>
      <c r="E25" s="222">
        <v>0</v>
      </c>
      <c r="F25" s="18"/>
      <c r="G25" s="18">
        <f t="shared" si="1"/>
        <v>0</v>
      </c>
      <c r="H25" s="128">
        <f>SUM(G$5:G25)</f>
        <v>1641752.6600000001</v>
      </c>
      <c r="I25" s="114"/>
      <c r="J25" s="129">
        <v>69633.759999999995</v>
      </c>
      <c r="K25" s="20">
        <f t="shared" si="5"/>
        <v>616370.26</v>
      </c>
      <c r="L25" s="114"/>
      <c r="M25" s="18">
        <f t="shared" si="3"/>
        <v>1025382.4000000001</v>
      </c>
      <c r="O25" s="18">
        <f t="shared" si="7"/>
        <v>1664.5958333333335</v>
      </c>
      <c r="P25" s="18">
        <f t="shared" si="7"/>
        <v>1108.5804166666667</v>
      </c>
      <c r="Q25" s="18">
        <f t="shared" si="7"/>
        <v>1605.5874999999999</v>
      </c>
      <c r="R25" s="18">
        <f t="shared" si="7"/>
        <v>3774.2574999999997</v>
      </c>
      <c r="S25" s="18">
        <f t="shared" si="7"/>
        <v>0</v>
      </c>
      <c r="T25" s="18">
        <f t="shared" si="7"/>
        <v>1853.20875</v>
      </c>
      <c r="U25" s="18">
        <f t="shared" si="7"/>
        <v>6333.9345833333327</v>
      </c>
      <c r="V25" s="18">
        <f t="shared" si="7"/>
        <v>3051.8337499999998</v>
      </c>
      <c r="W25" s="18">
        <f t="shared" si="7"/>
        <v>5748.5466666666662</v>
      </c>
      <c r="X25" s="18">
        <f t="shared" si="7"/>
        <v>1258.4537499999999</v>
      </c>
      <c r="Y25" s="18">
        <f t="shared" si="7"/>
        <v>5968.2283333333335</v>
      </c>
      <c r="Z25" s="18">
        <f t="shared" si="9"/>
        <v>1106.2162499999999</v>
      </c>
      <c r="AA25" s="18">
        <f t="shared" si="9"/>
        <v>2051.4891666666667</v>
      </c>
      <c r="AB25" s="18">
        <f t="shared" si="9"/>
        <v>1153.9554166666667</v>
      </c>
      <c r="AC25" s="18">
        <f t="shared" si="9"/>
        <v>4711.6716666666662</v>
      </c>
      <c r="AD25" s="18">
        <f t="shared" si="8"/>
        <v>4748.1216666666669</v>
      </c>
      <c r="AE25" s="18">
        <f t="shared" si="10"/>
        <v>7064.65625</v>
      </c>
      <c r="AF25" s="20">
        <f t="shared" si="11"/>
        <v>2887.0470833333334</v>
      </c>
      <c r="AG25" s="18">
        <f t="shared" si="12"/>
        <v>10089.170416666666</v>
      </c>
      <c r="AH25" s="18">
        <f t="shared" ref="AH25:AH47" si="13">($G$24)/24</f>
        <v>2226.8058333333333</v>
      </c>
      <c r="AI25" s="18"/>
      <c r="AJ25" s="18">
        <f t="shared" si="2"/>
        <v>68406.360833333325</v>
      </c>
      <c r="AK25" s="4"/>
    </row>
    <row r="26" spans="1:37" outlineLevel="1">
      <c r="A26" s="10" t="s">
        <v>56</v>
      </c>
      <c r="B26" s="10">
        <f t="shared" si="6"/>
        <v>2016</v>
      </c>
      <c r="C26" s="29" t="s">
        <v>47</v>
      </c>
      <c r="D26" s="114"/>
      <c r="E26" s="18">
        <v>0</v>
      </c>
      <c r="F26" s="18"/>
      <c r="G26" s="18">
        <f t="shared" si="1"/>
        <v>0</v>
      </c>
      <c r="H26" s="128">
        <f>SUM(G$5:G26)</f>
        <v>1641752.6600000001</v>
      </c>
      <c r="I26" s="114"/>
      <c r="J26" s="129">
        <v>67914.67</v>
      </c>
      <c r="K26" s="20">
        <f t="shared" si="5"/>
        <v>684284.93</v>
      </c>
      <c r="L26" s="114"/>
      <c r="M26" s="115">
        <f t="shared" si="3"/>
        <v>957467.7300000001</v>
      </c>
      <c r="O26" s="115">
        <f t="shared" si="7"/>
        <v>1664.5958333333335</v>
      </c>
      <c r="P26" s="115">
        <f t="shared" si="7"/>
        <v>1108.5804166666667</v>
      </c>
      <c r="Q26" s="115">
        <f t="shared" si="7"/>
        <v>1605.5874999999999</v>
      </c>
      <c r="R26" s="115">
        <f t="shared" si="7"/>
        <v>3774.2574999999997</v>
      </c>
      <c r="S26" s="115">
        <f t="shared" si="7"/>
        <v>0</v>
      </c>
      <c r="T26" s="115">
        <f t="shared" si="7"/>
        <v>1853.20875</v>
      </c>
      <c r="U26" s="115">
        <f t="shared" si="7"/>
        <v>6333.9345833333327</v>
      </c>
      <c r="V26" s="115">
        <f t="shared" si="7"/>
        <v>3051.8337499999998</v>
      </c>
      <c r="W26" s="115">
        <f t="shared" si="7"/>
        <v>5748.5466666666662</v>
      </c>
      <c r="X26" s="115">
        <f t="shared" si="7"/>
        <v>1258.4537499999999</v>
      </c>
      <c r="Y26" s="115">
        <f t="shared" si="7"/>
        <v>5968.2283333333335</v>
      </c>
      <c r="Z26" s="115">
        <f t="shared" si="9"/>
        <v>1106.2162499999999</v>
      </c>
      <c r="AA26" s="115">
        <f t="shared" si="9"/>
        <v>2051.4891666666667</v>
      </c>
      <c r="AB26" s="115">
        <f t="shared" si="9"/>
        <v>1153.9554166666667</v>
      </c>
      <c r="AC26" s="115">
        <f t="shared" si="9"/>
        <v>4711.6716666666662</v>
      </c>
      <c r="AD26" s="115">
        <f t="shared" si="8"/>
        <v>4748.1216666666669</v>
      </c>
      <c r="AE26" s="115">
        <f t="shared" si="10"/>
        <v>7064.65625</v>
      </c>
      <c r="AF26" s="119">
        <f t="shared" si="11"/>
        <v>2887.0470833333334</v>
      </c>
      <c r="AG26" s="115">
        <f t="shared" si="12"/>
        <v>10089.170416666666</v>
      </c>
      <c r="AH26" s="115">
        <f t="shared" si="13"/>
        <v>2226.8058333333333</v>
      </c>
      <c r="AI26" s="115"/>
      <c r="AJ26" s="115">
        <f t="shared" si="2"/>
        <v>68406.360833333325</v>
      </c>
      <c r="AK26" s="6"/>
    </row>
    <row r="27" spans="1:37" outlineLevel="1">
      <c r="A27" s="10" t="s">
        <v>57</v>
      </c>
      <c r="B27" s="10">
        <f t="shared" si="6"/>
        <v>2016</v>
      </c>
      <c r="C27" s="29" t="s">
        <v>47</v>
      </c>
      <c r="D27" s="114"/>
      <c r="E27" s="18"/>
      <c r="F27" s="18"/>
      <c r="G27" s="18">
        <f t="shared" si="1"/>
        <v>0</v>
      </c>
      <c r="H27" s="128">
        <f>SUM(G$5:G27)</f>
        <v>1641752.6600000001</v>
      </c>
      <c r="I27" s="114"/>
      <c r="J27" s="129">
        <v>69339.14</v>
      </c>
      <c r="K27" s="20">
        <f t="shared" si="5"/>
        <v>753624.07000000007</v>
      </c>
      <c r="L27" s="114"/>
      <c r="M27" s="115">
        <f t="shared" si="3"/>
        <v>888128.59000000008</v>
      </c>
      <c r="O27" s="115">
        <f t="shared" si="7"/>
        <v>1664.5958333333335</v>
      </c>
      <c r="P27" s="115">
        <f t="shared" si="7"/>
        <v>1108.5804166666667</v>
      </c>
      <c r="Q27" s="115">
        <f t="shared" si="7"/>
        <v>1605.5874999999999</v>
      </c>
      <c r="R27" s="115">
        <f t="shared" si="7"/>
        <v>3774.2574999999997</v>
      </c>
      <c r="S27" s="115">
        <f t="shared" si="7"/>
        <v>0</v>
      </c>
      <c r="T27" s="115">
        <f t="shared" si="7"/>
        <v>1853.20875</v>
      </c>
      <c r="U27" s="115">
        <f t="shared" si="7"/>
        <v>6333.9345833333327</v>
      </c>
      <c r="V27" s="115">
        <f t="shared" si="7"/>
        <v>3051.8337499999998</v>
      </c>
      <c r="W27" s="115">
        <f t="shared" si="7"/>
        <v>5748.5466666666662</v>
      </c>
      <c r="X27" s="115">
        <f t="shared" si="7"/>
        <v>1258.4537499999999</v>
      </c>
      <c r="Y27" s="115">
        <f t="shared" si="7"/>
        <v>5968.2283333333335</v>
      </c>
      <c r="Z27" s="115">
        <f t="shared" si="9"/>
        <v>1106.2162499999999</v>
      </c>
      <c r="AA27" s="115">
        <f t="shared" si="9"/>
        <v>2051.4891666666667</v>
      </c>
      <c r="AB27" s="115">
        <f t="shared" si="9"/>
        <v>1153.9554166666667</v>
      </c>
      <c r="AC27" s="115">
        <f t="shared" si="9"/>
        <v>4711.6716666666662</v>
      </c>
      <c r="AD27" s="115">
        <f t="shared" si="8"/>
        <v>4748.1216666666669</v>
      </c>
      <c r="AE27" s="115">
        <f t="shared" si="10"/>
        <v>7064.65625</v>
      </c>
      <c r="AF27" s="119">
        <f t="shared" si="11"/>
        <v>2887.0470833333334</v>
      </c>
      <c r="AG27" s="115">
        <f t="shared" si="12"/>
        <v>10089.170416666666</v>
      </c>
      <c r="AH27" s="115">
        <f t="shared" si="13"/>
        <v>2226.8058333333333</v>
      </c>
      <c r="AI27" s="115"/>
      <c r="AJ27" s="115">
        <f t="shared" si="2"/>
        <v>68406.360833333325</v>
      </c>
      <c r="AK27" s="6"/>
    </row>
    <row r="28" spans="1:37" outlineLevel="1">
      <c r="A28" s="10" t="s">
        <v>58</v>
      </c>
      <c r="B28" s="10">
        <f t="shared" si="6"/>
        <v>2016</v>
      </c>
      <c r="C28" s="29" t="s">
        <v>47</v>
      </c>
      <c r="D28" s="114"/>
      <c r="E28" s="18"/>
      <c r="F28" s="18"/>
      <c r="G28" s="18">
        <f t="shared" si="1"/>
        <v>0</v>
      </c>
      <c r="H28" s="128">
        <f>SUM(G$5:G28)</f>
        <v>1641752.6600000001</v>
      </c>
      <c r="I28" s="114"/>
      <c r="J28" s="129">
        <v>74346.83</v>
      </c>
      <c r="K28" s="20">
        <f t="shared" si="5"/>
        <v>827970.9</v>
      </c>
      <c r="L28" s="114"/>
      <c r="M28" s="115">
        <f t="shared" si="3"/>
        <v>813781.76000000013</v>
      </c>
      <c r="O28" s="115">
        <f t="shared" si="7"/>
        <v>1664.5958333333335</v>
      </c>
      <c r="P28" s="115">
        <f t="shared" si="7"/>
        <v>1108.5804166666667</v>
      </c>
      <c r="Q28" s="115">
        <f t="shared" si="7"/>
        <v>1605.5874999999999</v>
      </c>
      <c r="R28" s="115">
        <f t="shared" si="7"/>
        <v>3774.2574999999997</v>
      </c>
      <c r="S28" s="115">
        <f t="shared" si="7"/>
        <v>0</v>
      </c>
      <c r="T28" s="115">
        <f t="shared" si="7"/>
        <v>1853.20875</v>
      </c>
      <c r="U28" s="115">
        <f t="shared" si="7"/>
        <v>6333.9345833333327</v>
      </c>
      <c r="V28" s="115">
        <f t="shared" si="7"/>
        <v>3051.8337499999998</v>
      </c>
      <c r="W28" s="115">
        <f t="shared" si="7"/>
        <v>5748.5466666666662</v>
      </c>
      <c r="X28" s="115">
        <f t="shared" si="7"/>
        <v>1258.4537499999999</v>
      </c>
      <c r="Y28" s="115">
        <f t="shared" si="7"/>
        <v>5968.2283333333335</v>
      </c>
      <c r="Z28" s="115">
        <f t="shared" si="9"/>
        <v>1106.2162499999999</v>
      </c>
      <c r="AA28" s="115">
        <f t="shared" si="9"/>
        <v>2051.4891666666667</v>
      </c>
      <c r="AB28" s="115">
        <f t="shared" si="9"/>
        <v>1153.9554166666667</v>
      </c>
      <c r="AC28" s="115">
        <f t="shared" si="9"/>
        <v>4711.6716666666662</v>
      </c>
      <c r="AD28" s="115">
        <f t="shared" si="8"/>
        <v>4748.1216666666669</v>
      </c>
      <c r="AE28" s="115">
        <f t="shared" si="10"/>
        <v>7064.65625</v>
      </c>
      <c r="AF28" s="119">
        <f t="shared" si="11"/>
        <v>2887.0470833333334</v>
      </c>
      <c r="AG28" s="115">
        <f t="shared" si="12"/>
        <v>10089.170416666666</v>
      </c>
      <c r="AH28" s="115">
        <f t="shared" si="13"/>
        <v>2226.8058333333333</v>
      </c>
      <c r="AI28" s="115"/>
      <c r="AJ28" s="115">
        <f t="shared" si="2"/>
        <v>68406.360833333325</v>
      </c>
    </row>
    <row r="29" spans="1:37">
      <c r="A29" s="10" t="s">
        <v>59</v>
      </c>
      <c r="B29" s="10">
        <f t="shared" si="6"/>
        <v>2016</v>
      </c>
      <c r="C29" s="29" t="s">
        <v>47</v>
      </c>
      <c r="D29" s="114"/>
      <c r="E29" s="18"/>
      <c r="F29" s="18"/>
      <c r="G29" s="18">
        <f t="shared" si="1"/>
        <v>0</v>
      </c>
      <c r="H29" s="128">
        <f>SUM(G$5:G29)</f>
        <v>1641752.6600000001</v>
      </c>
      <c r="I29" s="114"/>
      <c r="J29" s="129">
        <v>60426.73</v>
      </c>
      <c r="K29" s="20">
        <f t="shared" si="5"/>
        <v>888397.63</v>
      </c>
      <c r="L29" s="114"/>
      <c r="M29" s="115">
        <f t="shared" si="3"/>
        <v>753355.03000000014</v>
      </c>
      <c r="O29" s="115"/>
      <c r="P29" s="115">
        <f t="shared" si="7"/>
        <v>1108.5804166666667</v>
      </c>
      <c r="Q29" s="115">
        <f t="shared" si="7"/>
        <v>1605.5874999999999</v>
      </c>
      <c r="R29" s="115">
        <f t="shared" si="7"/>
        <v>3774.2574999999997</v>
      </c>
      <c r="S29" s="115">
        <f t="shared" si="7"/>
        <v>0</v>
      </c>
      <c r="T29" s="115">
        <f t="shared" si="7"/>
        <v>1853.20875</v>
      </c>
      <c r="U29" s="115">
        <f t="shared" si="7"/>
        <v>6333.9345833333327</v>
      </c>
      <c r="V29" s="115">
        <f t="shared" si="7"/>
        <v>3051.8337499999998</v>
      </c>
      <c r="W29" s="115">
        <f t="shared" si="7"/>
        <v>5748.5466666666662</v>
      </c>
      <c r="X29" s="115">
        <f t="shared" si="7"/>
        <v>1258.4537499999999</v>
      </c>
      <c r="Y29" s="115">
        <f t="shared" si="7"/>
        <v>5968.2283333333335</v>
      </c>
      <c r="Z29" s="115">
        <f t="shared" si="9"/>
        <v>1106.2162499999999</v>
      </c>
      <c r="AA29" s="115">
        <f t="shared" si="9"/>
        <v>2051.4891666666667</v>
      </c>
      <c r="AB29" s="115">
        <f t="shared" si="9"/>
        <v>1153.9554166666667</v>
      </c>
      <c r="AC29" s="115">
        <f t="shared" si="9"/>
        <v>4711.6716666666662</v>
      </c>
      <c r="AD29" s="115">
        <f t="shared" si="8"/>
        <v>4748.1216666666669</v>
      </c>
      <c r="AE29" s="115">
        <f t="shared" si="10"/>
        <v>7064.65625</v>
      </c>
      <c r="AF29" s="119">
        <f t="shared" si="11"/>
        <v>2887.0470833333334</v>
      </c>
      <c r="AG29" s="115">
        <f t="shared" si="12"/>
        <v>10089.170416666666</v>
      </c>
      <c r="AH29" s="115">
        <f t="shared" si="13"/>
        <v>2226.8058333333333</v>
      </c>
      <c r="AI29" s="115"/>
      <c r="AJ29" s="115">
        <f t="shared" si="2"/>
        <v>66741.764999999999</v>
      </c>
    </row>
    <row r="30" spans="1:37">
      <c r="A30" s="10" t="s">
        <v>46</v>
      </c>
      <c r="B30" s="10">
        <f t="shared" si="6"/>
        <v>2016</v>
      </c>
      <c r="C30" s="29" t="s">
        <v>47</v>
      </c>
      <c r="D30" s="114"/>
      <c r="E30" s="18"/>
      <c r="F30" s="18"/>
      <c r="G30" s="18">
        <f t="shared" si="1"/>
        <v>0</v>
      </c>
      <c r="H30" s="128">
        <f>SUM(G$5:G30)</f>
        <v>1641752.6600000001</v>
      </c>
      <c r="I30" s="114"/>
      <c r="J30" s="129">
        <v>80201.960000000006</v>
      </c>
      <c r="K30" s="20">
        <f t="shared" si="5"/>
        <v>968599.59</v>
      </c>
      <c r="L30" s="114"/>
      <c r="M30" s="115">
        <f t="shared" si="3"/>
        <v>673153.07000000018</v>
      </c>
      <c r="O30" s="115"/>
      <c r="P30" s="115"/>
      <c r="Q30" s="115">
        <f t="shared" si="7"/>
        <v>1605.5874999999999</v>
      </c>
      <c r="R30" s="115">
        <f t="shared" si="7"/>
        <v>3774.2574999999997</v>
      </c>
      <c r="S30" s="115">
        <f t="shared" si="7"/>
        <v>0</v>
      </c>
      <c r="T30" s="115">
        <f t="shared" si="7"/>
        <v>1853.20875</v>
      </c>
      <c r="U30" s="115">
        <f t="shared" si="7"/>
        <v>6333.9345833333327</v>
      </c>
      <c r="V30" s="115">
        <f t="shared" si="7"/>
        <v>3051.8337499999998</v>
      </c>
      <c r="W30" s="115">
        <f t="shared" si="7"/>
        <v>5748.5466666666662</v>
      </c>
      <c r="X30" s="115">
        <f t="shared" si="7"/>
        <v>1258.4537499999999</v>
      </c>
      <c r="Y30" s="115">
        <f t="shared" si="7"/>
        <v>5968.2283333333335</v>
      </c>
      <c r="Z30" s="115">
        <f t="shared" si="9"/>
        <v>1106.2162499999999</v>
      </c>
      <c r="AA30" s="115">
        <f t="shared" si="9"/>
        <v>2051.4891666666667</v>
      </c>
      <c r="AB30" s="115">
        <f t="shared" si="9"/>
        <v>1153.9554166666667</v>
      </c>
      <c r="AC30" s="115">
        <f t="shared" si="9"/>
        <v>4711.6716666666662</v>
      </c>
      <c r="AD30" s="115">
        <f t="shared" si="8"/>
        <v>4748.1216666666669</v>
      </c>
      <c r="AE30" s="115">
        <f t="shared" si="10"/>
        <v>7064.65625</v>
      </c>
      <c r="AF30" s="119">
        <f t="shared" si="11"/>
        <v>2887.0470833333334</v>
      </c>
      <c r="AG30" s="115">
        <f t="shared" si="12"/>
        <v>10089.170416666666</v>
      </c>
      <c r="AH30" s="115">
        <f t="shared" si="13"/>
        <v>2226.8058333333333</v>
      </c>
      <c r="AI30" s="115"/>
      <c r="AJ30" s="115">
        <f t="shared" si="2"/>
        <v>65633.184583333335</v>
      </c>
    </row>
    <row r="31" spans="1:37">
      <c r="A31" s="10" t="s">
        <v>48</v>
      </c>
      <c r="B31" s="10">
        <f t="shared" si="6"/>
        <v>2016</v>
      </c>
      <c r="C31" s="29" t="s">
        <v>47</v>
      </c>
      <c r="D31" s="114"/>
      <c r="E31" s="18"/>
      <c r="F31" s="18"/>
      <c r="G31" s="18">
        <f t="shared" si="1"/>
        <v>0</v>
      </c>
      <c r="H31" s="128">
        <f>SUM(G$5:G31)</f>
        <v>1641752.6600000001</v>
      </c>
      <c r="I31" s="114"/>
      <c r="J31" s="129">
        <v>65493.22</v>
      </c>
      <c r="K31" s="20">
        <f t="shared" si="5"/>
        <v>1034092.8099999999</v>
      </c>
      <c r="L31" s="114"/>
      <c r="M31" s="115">
        <f t="shared" si="3"/>
        <v>607659.85000000021</v>
      </c>
      <c r="O31" s="115"/>
      <c r="P31" s="115"/>
      <c r="Q31" s="115"/>
      <c r="R31" s="115">
        <f t="shared" si="7"/>
        <v>3774.2574999999997</v>
      </c>
      <c r="S31" s="115">
        <f t="shared" si="7"/>
        <v>0</v>
      </c>
      <c r="T31" s="115">
        <f t="shared" si="7"/>
        <v>1853.20875</v>
      </c>
      <c r="U31" s="115">
        <f t="shared" si="7"/>
        <v>6333.9345833333327</v>
      </c>
      <c r="V31" s="115">
        <f t="shared" si="7"/>
        <v>3051.8337499999998</v>
      </c>
      <c r="W31" s="115">
        <f t="shared" si="7"/>
        <v>5748.5466666666662</v>
      </c>
      <c r="X31" s="115">
        <f t="shared" si="7"/>
        <v>1258.4537499999999</v>
      </c>
      <c r="Y31" s="115">
        <f t="shared" si="7"/>
        <v>5968.2283333333335</v>
      </c>
      <c r="Z31" s="115">
        <f t="shared" si="9"/>
        <v>1106.2162499999999</v>
      </c>
      <c r="AA31" s="115">
        <f t="shared" si="9"/>
        <v>2051.4891666666667</v>
      </c>
      <c r="AB31" s="115">
        <f t="shared" si="9"/>
        <v>1153.9554166666667</v>
      </c>
      <c r="AC31" s="115">
        <f t="shared" si="9"/>
        <v>4711.6716666666662</v>
      </c>
      <c r="AD31" s="115">
        <f t="shared" si="8"/>
        <v>4748.1216666666669</v>
      </c>
      <c r="AE31" s="115">
        <f t="shared" si="10"/>
        <v>7064.65625</v>
      </c>
      <c r="AF31" s="119">
        <f t="shared" si="11"/>
        <v>2887.0470833333334</v>
      </c>
      <c r="AG31" s="115">
        <f t="shared" si="12"/>
        <v>10089.170416666666</v>
      </c>
      <c r="AH31" s="115">
        <f t="shared" si="13"/>
        <v>2226.8058333333333</v>
      </c>
      <c r="AI31" s="115"/>
      <c r="AJ31" s="115">
        <f t="shared" si="2"/>
        <v>64027.597083333334</v>
      </c>
    </row>
    <row r="32" spans="1:37">
      <c r="A32" s="10" t="s">
        <v>50</v>
      </c>
      <c r="B32" s="10">
        <f t="shared" si="6"/>
        <v>2016</v>
      </c>
      <c r="C32" s="29" t="s">
        <v>47</v>
      </c>
      <c r="D32" s="114"/>
      <c r="E32" s="18"/>
      <c r="F32" s="18"/>
      <c r="G32" s="18">
        <f t="shared" si="1"/>
        <v>0</v>
      </c>
      <c r="H32" s="128">
        <f>SUM(G$5:G32)</f>
        <v>1641752.6600000001</v>
      </c>
      <c r="I32" s="114"/>
      <c r="J32" s="129">
        <v>72983.820000000007</v>
      </c>
      <c r="K32" s="20">
        <f t="shared" si="5"/>
        <v>1107076.6299999999</v>
      </c>
      <c r="L32" s="114"/>
      <c r="M32" s="115">
        <f t="shared" si="3"/>
        <v>534676.03000000026</v>
      </c>
      <c r="O32" s="115"/>
      <c r="P32" s="115"/>
      <c r="Q32" s="115"/>
      <c r="R32" s="115"/>
      <c r="S32" s="115">
        <f>+S31</f>
        <v>0</v>
      </c>
      <c r="T32" s="115">
        <f>+T31</f>
        <v>1853.20875</v>
      </c>
      <c r="U32" s="115">
        <f>+U31</f>
        <v>6333.9345833333327</v>
      </c>
      <c r="V32" s="115">
        <f t="shared" si="7"/>
        <v>3051.8337499999998</v>
      </c>
      <c r="W32" s="115">
        <f t="shared" si="7"/>
        <v>5748.5466666666662</v>
      </c>
      <c r="X32" s="115">
        <f t="shared" si="7"/>
        <v>1258.4537499999999</v>
      </c>
      <c r="Y32" s="115">
        <f t="shared" si="7"/>
        <v>5968.2283333333335</v>
      </c>
      <c r="Z32" s="115">
        <f t="shared" si="9"/>
        <v>1106.2162499999999</v>
      </c>
      <c r="AA32" s="115">
        <f t="shared" si="9"/>
        <v>2051.4891666666667</v>
      </c>
      <c r="AB32" s="115">
        <f t="shared" si="9"/>
        <v>1153.9554166666667</v>
      </c>
      <c r="AC32" s="115">
        <f t="shared" si="9"/>
        <v>4711.6716666666662</v>
      </c>
      <c r="AD32" s="115">
        <f t="shared" si="8"/>
        <v>4748.1216666666669</v>
      </c>
      <c r="AE32" s="115">
        <f t="shared" si="10"/>
        <v>7064.65625</v>
      </c>
      <c r="AF32" s="119">
        <f t="shared" si="11"/>
        <v>2887.0470833333334</v>
      </c>
      <c r="AG32" s="115">
        <f t="shared" si="12"/>
        <v>10089.170416666666</v>
      </c>
      <c r="AH32" s="115">
        <f t="shared" si="13"/>
        <v>2226.8058333333333</v>
      </c>
      <c r="AI32" s="115"/>
      <c r="AJ32" s="115">
        <f t="shared" si="2"/>
        <v>60253.339583333327</v>
      </c>
    </row>
    <row r="33" spans="1:36">
      <c r="A33" s="10" t="s">
        <v>51</v>
      </c>
      <c r="B33" s="10">
        <f t="shared" si="6"/>
        <v>2016</v>
      </c>
      <c r="C33" s="29" t="s">
        <v>47</v>
      </c>
      <c r="D33" s="114"/>
      <c r="E33" s="18"/>
      <c r="F33" s="18"/>
      <c r="G33" s="18">
        <f t="shared" si="1"/>
        <v>0</v>
      </c>
      <c r="H33" s="128">
        <f>SUM(G$5:G33)</f>
        <v>1641752.6600000001</v>
      </c>
      <c r="I33" s="114"/>
      <c r="J33" s="129">
        <v>57854.09</v>
      </c>
      <c r="K33" s="20">
        <f t="shared" si="5"/>
        <v>1164930.72</v>
      </c>
      <c r="L33" s="114"/>
      <c r="M33" s="115">
        <f t="shared" si="3"/>
        <v>476821.94000000018</v>
      </c>
      <c r="O33" s="115"/>
      <c r="P33" s="115"/>
      <c r="Q33" s="115"/>
      <c r="R33" s="115"/>
      <c r="S33" s="115"/>
      <c r="T33" s="115">
        <f>+T32</f>
        <v>1853.20875</v>
      </c>
      <c r="U33" s="115">
        <f>+U32</f>
        <v>6333.9345833333327</v>
      </c>
      <c r="V33" s="115">
        <f t="shared" si="7"/>
        <v>3051.8337499999998</v>
      </c>
      <c r="W33" s="115">
        <f t="shared" si="7"/>
        <v>5748.5466666666662</v>
      </c>
      <c r="X33" s="115">
        <f t="shared" si="7"/>
        <v>1258.4537499999999</v>
      </c>
      <c r="Y33" s="115">
        <f t="shared" si="7"/>
        <v>5968.2283333333335</v>
      </c>
      <c r="Z33" s="115">
        <f t="shared" si="9"/>
        <v>1106.2162499999999</v>
      </c>
      <c r="AA33" s="115">
        <f t="shared" si="9"/>
        <v>2051.4891666666667</v>
      </c>
      <c r="AB33" s="115">
        <f t="shared" si="9"/>
        <v>1153.9554166666667</v>
      </c>
      <c r="AC33" s="115">
        <f t="shared" si="9"/>
        <v>4711.6716666666662</v>
      </c>
      <c r="AD33" s="115">
        <f t="shared" si="8"/>
        <v>4748.1216666666669</v>
      </c>
      <c r="AE33" s="115">
        <f t="shared" si="10"/>
        <v>7064.65625</v>
      </c>
      <c r="AF33" s="119">
        <f t="shared" si="11"/>
        <v>2887.0470833333334</v>
      </c>
      <c r="AG33" s="115">
        <f t="shared" si="12"/>
        <v>10089.170416666666</v>
      </c>
      <c r="AH33" s="115">
        <f t="shared" si="13"/>
        <v>2226.8058333333333</v>
      </c>
      <c r="AI33" s="115"/>
      <c r="AJ33" s="115">
        <f t="shared" si="2"/>
        <v>60253.339583333327</v>
      </c>
    </row>
    <row r="34" spans="1:36" s="6" customFormat="1">
      <c r="A34" s="24" t="s">
        <v>52</v>
      </c>
      <c r="B34" s="24">
        <f t="shared" si="6"/>
        <v>2016</v>
      </c>
      <c r="C34" s="124" t="s">
        <v>47</v>
      </c>
      <c r="D34" s="116"/>
      <c r="E34" s="121"/>
      <c r="F34" s="121"/>
      <c r="G34" s="121">
        <f t="shared" si="1"/>
        <v>0</v>
      </c>
      <c r="H34" s="217">
        <f>SUM(G$5:G34)</f>
        <v>1641752.6600000001</v>
      </c>
      <c r="I34" s="116"/>
      <c r="J34" s="130">
        <v>39372.86</v>
      </c>
      <c r="K34" s="121">
        <f t="shared" si="5"/>
        <v>1204303.58</v>
      </c>
      <c r="L34" s="116"/>
      <c r="M34" s="117">
        <f t="shared" si="3"/>
        <v>437449.08000000007</v>
      </c>
      <c r="N34" s="26"/>
      <c r="O34" s="117"/>
      <c r="P34" s="117"/>
      <c r="Q34" s="117"/>
      <c r="R34" s="117"/>
      <c r="S34" s="117"/>
      <c r="T34" s="117"/>
      <c r="U34" s="118">
        <f>+U33</f>
        <v>6333.9345833333327</v>
      </c>
      <c r="V34" s="118">
        <f t="shared" si="7"/>
        <v>3051.8337499999998</v>
      </c>
      <c r="W34" s="118">
        <f t="shared" si="7"/>
        <v>5748.5466666666662</v>
      </c>
      <c r="X34" s="118">
        <f t="shared" si="7"/>
        <v>1258.4537499999999</v>
      </c>
      <c r="Y34" s="118">
        <f t="shared" si="7"/>
        <v>5968.2283333333335</v>
      </c>
      <c r="Z34" s="118">
        <f t="shared" si="9"/>
        <v>1106.2162499999999</v>
      </c>
      <c r="AA34" s="118">
        <f t="shared" si="9"/>
        <v>2051.4891666666667</v>
      </c>
      <c r="AB34" s="118">
        <f t="shared" si="9"/>
        <v>1153.9554166666667</v>
      </c>
      <c r="AC34" s="118">
        <f t="shared" si="9"/>
        <v>4711.6716666666662</v>
      </c>
      <c r="AD34" s="117">
        <f t="shared" si="8"/>
        <v>4748.1216666666669</v>
      </c>
      <c r="AE34" s="117">
        <f t="shared" si="10"/>
        <v>7064.65625</v>
      </c>
      <c r="AF34" s="117">
        <f t="shared" si="11"/>
        <v>2887.0470833333334</v>
      </c>
      <c r="AG34" s="117">
        <f t="shared" si="12"/>
        <v>10089.170416666666</v>
      </c>
      <c r="AH34" s="117">
        <f t="shared" si="13"/>
        <v>2226.8058333333333</v>
      </c>
      <c r="AI34" s="117"/>
      <c r="AJ34" s="117">
        <f t="shared" si="2"/>
        <v>58400.130833333329</v>
      </c>
    </row>
    <row r="35" spans="1:36">
      <c r="A35" s="10" t="s">
        <v>53</v>
      </c>
      <c r="B35" s="10">
        <f t="shared" si="6"/>
        <v>2017</v>
      </c>
      <c r="C35" s="29" t="s">
        <v>47</v>
      </c>
      <c r="D35" s="114"/>
      <c r="E35" s="18"/>
      <c r="F35" s="18"/>
      <c r="G35" s="18">
        <f>G34</f>
        <v>0</v>
      </c>
      <c r="H35" s="128">
        <f>SUM(G$5:G35)</f>
        <v>1641752.6600000001</v>
      </c>
      <c r="I35" s="114"/>
      <c r="J35" s="129">
        <v>56153.11</v>
      </c>
      <c r="K35" s="20">
        <f t="shared" si="5"/>
        <v>1260456.6900000002</v>
      </c>
      <c r="L35" s="114"/>
      <c r="M35" s="115">
        <f t="shared" si="3"/>
        <v>381295.97</v>
      </c>
      <c r="O35" s="115"/>
      <c r="P35" s="115"/>
      <c r="Q35" s="115"/>
      <c r="R35" s="115"/>
      <c r="S35" s="115"/>
      <c r="T35" s="115"/>
      <c r="U35" s="115"/>
      <c r="V35" s="115">
        <f t="shared" si="7"/>
        <v>3051.8337499999998</v>
      </c>
      <c r="W35" s="115">
        <f t="shared" si="7"/>
        <v>5748.5466666666662</v>
      </c>
      <c r="X35" s="115">
        <f t="shared" si="7"/>
        <v>1258.4537499999999</v>
      </c>
      <c r="Y35" s="115">
        <f t="shared" si="7"/>
        <v>5968.2283333333335</v>
      </c>
      <c r="Z35" s="115">
        <f t="shared" si="9"/>
        <v>1106.2162499999999</v>
      </c>
      <c r="AA35" s="115">
        <f t="shared" si="9"/>
        <v>2051.4891666666667</v>
      </c>
      <c r="AB35" s="115">
        <f t="shared" si="9"/>
        <v>1153.9554166666667</v>
      </c>
      <c r="AC35" s="115">
        <f t="shared" si="9"/>
        <v>4711.6716666666662</v>
      </c>
      <c r="AD35" s="115">
        <f t="shared" si="8"/>
        <v>4748.1216666666669</v>
      </c>
      <c r="AE35" s="115">
        <f t="shared" si="10"/>
        <v>7064.65625</v>
      </c>
      <c r="AF35" s="119">
        <f t="shared" si="11"/>
        <v>2887.0470833333334</v>
      </c>
      <c r="AG35" s="115">
        <f t="shared" si="12"/>
        <v>10089.170416666666</v>
      </c>
      <c r="AH35" s="115">
        <f t="shared" si="13"/>
        <v>2226.8058333333333</v>
      </c>
      <c r="AI35" s="115"/>
      <c r="AJ35" s="115">
        <f t="shared" si="2"/>
        <v>52066.196249999994</v>
      </c>
    </row>
    <row r="36" spans="1:36">
      <c r="A36" s="10" t="s">
        <v>54</v>
      </c>
      <c r="B36" s="10">
        <f t="shared" si="6"/>
        <v>2017</v>
      </c>
      <c r="C36" s="29" t="s">
        <v>47</v>
      </c>
      <c r="D36" s="114"/>
      <c r="E36" s="18"/>
      <c r="F36" s="18"/>
      <c r="G36" s="18">
        <f t="shared" ref="G36:G47" si="14">G35</f>
        <v>0</v>
      </c>
      <c r="H36" s="128">
        <f>SUM(G$5:G36)</f>
        <v>1641752.6600000001</v>
      </c>
      <c r="I36" s="114"/>
      <c r="J36" s="129">
        <v>44872.85</v>
      </c>
      <c r="K36" s="20">
        <f t="shared" si="5"/>
        <v>1305329.5400000003</v>
      </c>
      <c r="L36" s="114"/>
      <c r="M36" s="115">
        <f t="shared" si="3"/>
        <v>336423.11999999988</v>
      </c>
      <c r="O36" s="119"/>
      <c r="P36" s="119"/>
      <c r="Q36" s="119"/>
      <c r="R36" s="119"/>
      <c r="S36" s="119"/>
      <c r="T36" s="119"/>
      <c r="U36" s="119"/>
      <c r="V36" s="119"/>
      <c r="W36" s="119">
        <f t="shared" si="7"/>
        <v>5748.5466666666662</v>
      </c>
      <c r="X36" s="119">
        <f t="shared" si="7"/>
        <v>1258.4537499999999</v>
      </c>
      <c r="Y36" s="119">
        <f t="shared" si="7"/>
        <v>5968.2283333333335</v>
      </c>
      <c r="Z36" s="119">
        <f t="shared" si="9"/>
        <v>1106.2162499999999</v>
      </c>
      <c r="AA36" s="119">
        <f t="shared" si="9"/>
        <v>2051.4891666666667</v>
      </c>
      <c r="AB36" s="119">
        <f t="shared" si="9"/>
        <v>1153.9554166666667</v>
      </c>
      <c r="AC36" s="119">
        <f t="shared" si="9"/>
        <v>4711.6716666666662</v>
      </c>
      <c r="AD36" s="115">
        <f t="shared" si="8"/>
        <v>4748.1216666666669</v>
      </c>
      <c r="AE36" s="115">
        <f t="shared" si="10"/>
        <v>7064.65625</v>
      </c>
      <c r="AF36" s="119">
        <f t="shared" si="11"/>
        <v>2887.0470833333334</v>
      </c>
      <c r="AG36" s="115">
        <f t="shared" si="12"/>
        <v>10089.170416666666</v>
      </c>
      <c r="AH36" s="115">
        <f t="shared" si="13"/>
        <v>2226.8058333333333</v>
      </c>
      <c r="AI36" s="115"/>
      <c r="AJ36" s="115">
        <f t="shared" si="2"/>
        <v>49014.362499999988</v>
      </c>
    </row>
    <row r="37" spans="1:36">
      <c r="A37" s="10" t="s">
        <v>55</v>
      </c>
      <c r="B37" s="10">
        <f t="shared" si="6"/>
        <v>2017</v>
      </c>
      <c r="C37" s="29" t="s">
        <v>47</v>
      </c>
      <c r="D37" s="114"/>
      <c r="E37" s="18"/>
      <c r="F37" s="18"/>
      <c r="G37" s="18">
        <f t="shared" si="14"/>
        <v>0</v>
      </c>
      <c r="H37" s="128">
        <f>SUM(G$5:G37)</f>
        <v>1641752.6600000001</v>
      </c>
      <c r="I37" s="114"/>
      <c r="J37" s="129">
        <v>54365.25</v>
      </c>
      <c r="K37" s="20">
        <f t="shared" si="5"/>
        <v>1359694.7900000003</v>
      </c>
      <c r="L37" s="114"/>
      <c r="M37" s="115">
        <f t="shared" si="3"/>
        <v>282057.86999999988</v>
      </c>
      <c r="O37" s="119"/>
      <c r="P37" s="119"/>
      <c r="Q37" s="119"/>
      <c r="R37" s="119"/>
      <c r="S37" s="119"/>
      <c r="T37" s="119"/>
      <c r="U37" s="119"/>
      <c r="V37" s="119"/>
      <c r="W37" s="119"/>
      <c r="X37" s="119">
        <f t="shared" ref="X37:AC42" si="15">+X36</f>
        <v>1258.4537499999999</v>
      </c>
      <c r="Y37" s="119">
        <f t="shared" si="15"/>
        <v>5968.2283333333335</v>
      </c>
      <c r="Z37" s="119">
        <f t="shared" si="15"/>
        <v>1106.2162499999999</v>
      </c>
      <c r="AA37" s="119">
        <f t="shared" si="15"/>
        <v>2051.4891666666667</v>
      </c>
      <c r="AB37" s="119">
        <f t="shared" si="15"/>
        <v>1153.9554166666667</v>
      </c>
      <c r="AC37" s="119">
        <f t="shared" si="15"/>
        <v>4711.6716666666662</v>
      </c>
      <c r="AD37" s="115">
        <f t="shared" si="8"/>
        <v>4748.1216666666669</v>
      </c>
      <c r="AE37" s="115">
        <f t="shared" si="10"/>
        <v>7064.65625</v>
      </c>
      <c r="AF37" s="119">
        <f t="shared" si="11"/>
        <v>2887.0470833333334</v>
      </c>
      <c r="AG37" s="115">
        <f t="shared" si="12"/>
        <v>10089.170416666666</v>
      </c>
      <c r="AH37" s="115">
        <f t="shared" si="13"/>
        <v>2226.8058333333333</v>
      </c>
      <c r="AI37" s="115"/>
      <c r="AJ37" s="115">
        <f t="shared" si="2"/>
        <v>43265.815833333327</v>
      </c>
    </row>
    <row r="38" spans="1:36">
      <c r="A38" s="7" t="s">
        <v>56</v>
      </c>
      <c r="B38" s="10">
        <f t="shared" si="6"/>
        <v>2017</v>
      </c>
      <c r="C38" s="29" t="s">
        <v>47</v>
      </c>
      <c r="D38" s="114"/>
      <c r="E38" s="18"/>
      <c r="F38" s="18"/>
      <c r="G38" s="18">
        <f t="shared" si="14"/>
        <v>0</v>
      </c>
      <c r="H38" s="128">
        <f>SUM(G$5:G38)</f>
        <v>1641752.6600000001</v>
      </c>
      <c r="I38" s="114"/>
      <c r="J38" s="129">
        <v>36785.47</v>
      </c>
      <c r="K38" s="20">
        <f t="shared" si="5"/>
        <v>1396480.2600000002</v>
      </c>
      <c r="L38" s="114"/>
      <c r="M38" s="115">
        <f t="shared" si="3"/>
        <v>245272.39999999991</v>
      </c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>
        <f t="shared" si="15"/>
        <v>5968.2283333333335</v>
      </c>
      <c r="Z38" s="115">
        <f t="shared" si="15"/>
        <v>1106.2162499999999</v>
      </c>
      <c r="AA38" s="115">
        <f t="shared" si="15"/>
        <v>2051.4891666666667</v>
      </c>
      <c r="AB38" s="115">
        <f t="shared" si="15"/>
        <v>1153.9554166666667</v>
      </c>
      <c r="AC38" s="115">
        <f t="shared" si="15"/>
        <v>4711.6716666666662</v>
      </c>
      <c r="AD38" s="115">
        <f t="shared" si="8"/>
        <v>4748.1216666666669</v>
      </c>
      <c r="AE38" s="115">
        <f t="shared" si="10"/>
        <v>7064.65625</v>
      </c>
      <c r="AF38" s="119">
        <f t="shared" si="11"/>
        <v>2887.0470833333334</v>
      </c>
      <c r="AG38" s="115">
        <f t="shared" si="12"/>
        <v>10089.170416666666</v>
      </c>
      <c r="AH38" s="115">
        <f t="shared" si="13"/>
        <v>2226.8058333333333</v>
      </c>
      <c r="AI38" s="115"/>
      <c r="AJ38" s="115">
        <f t="shared" si="2"/>
        <v>42007.362083333333</v>
      </c>
    </row>
    <row r="39" spans="1:36">
      <c r="A39" s="10" t="s">
        <v>57</v>
      </c>
      <c r="B39" s="10">
        <f t="shared" si="6"/>
        <v>2017</v>
      </c>
      <c r="C39" s="29" t="s">
        <v>47</v>
      </c>
      <c r="D39" s="114"/>
      <c r="E39" s="18"/>
      <c r="F39" s="18"/>
      <c r="G39" s="18">
        <f t="shared" si="14"/>
        <v>0</v>
      </c>
      <c r="H39" s="128">
        <f>SUM(G$5:G39)</f>
        <v>1641752.6600000001</v>
      </c>
      <c r="I39" s="114"/>
      <c r="J39" s="129">
        <v>41122.57</v>
      </c>
      <c r="K39" s="20">
        <f t="shared" si="5"/>
        <v>1437602.8300000003</v>
      </c>
      <c r="L39" s="114"/>
      <c r="M39" s="115">
        <f t="shared" si="3"/>
        <v>204149.82999999984</v>
      </c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>
        <f t="shared" si="15"/>
        <v>1106.2162499999999</v>
      </c>
      <c r="AA39" s="115">
        <f t="shared" si="15"/>
        <v>2051.4891666666667</v>
      </c>
      <c r="AB39" s="115">
        <f t="shared" si="15"/>
        <v>1153.9554166666667</v>
      </c>
      <c r="AC39" s="115">
        <f t="shared" si="15"/>
        <v>4711.6716666666662</v>
      </c>
      <c r="AD39" s="115">
        <f t="shared" si="8"/>
        <v>4748.1216666666669</v>
      </c>
      <c r="AE39" s="115">
        <f t="shared" si="10"/>
        <v>7064.65625</v>
      </c>
      <c r="AF39" s="119">
        <f t="shared" si="11"/>
        <v>2887.0470833333334</v>
      </c>
      <c r="AG39" s="115">
        <f t="shared" si="12"/>
        <v>10089.170416666666</v>
      </c>
      <c r="AH39" s="115">
        <f t="shared" si="13"/>
        <v>2226.8058333333333</v>
      </c>
      <c r="AI39" s="115"/>
      <c r="AJ39" s="115">
        <f t="shared" si="2"/>
        <v>36039.133750000001</v>
      </c>
    </row>
    <row r="40" spans="1:36">
      <c r="A40" s="10" t="s">
        <v>58</v>
      </c>
      <c r="B40" s="10">
        <f t="shared" si="6"/>
        <v>2017</v>
      </c>
      <c r="C40" s="29" t="s">
        <v>47</v>
      </c>
      <c r="D40" s="114"/>
      <c r="E40" s="18"/>
      <c r="F40" s="18"/>
      <c r="G40" s="18">
        <f t="shared" si="14"/>
        <v>0</v>
      </c>
      <c r="H40" s="128">
        <f>SUM(G$5:G40)</f>
        <v>1641752.6600000001</v>
      </c>
      <c r="I40" s="114"/>
      <c r="J40" s="129">
        <v>40549.96</v>
      </c>
      <c r="K40" s="20">
        <f t="shared" ref="K40:K46" si="16">J40+K39</f>
        <v>1478152.7900000003</v>
      </c>
      <c r="L40" s="114"/>
      <c r="M40" s="115">
        <f t="shared" ref="M40:M46" si="17">SUM(H40-K40)</f>
        <v>163599.86999999988</v>
      </c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>
        <f t="shared" si="15"/>
        <v>2051.4891666666667</v>
      </c>
      <c r="AB40" s="115">
        <f t="shared" si="15"/>
        <v>1153.9554166666667</v>
      </c>
      <c r="AC40" s="115">
        <f t="shared" si="15"/>
        <v>4711.6716666666662</v>
      </c>
      <c r="AD40" s="115">
        <f t="shared" si="8"/>
        <v>4748.1216666666669</v>
      </c>
      <c r="AE40" s="115">
        <f t="shared" si="10"/>
        <v>7064.65625</v>
      </c>
      <c r="AF40" s="119">
        <f t="shared" si="11"/>
        <v>2887.0470833333334</v>
      </c>
      <c r="AG40" s="115">
        <f t="shared" si="12"/>
        <v>10089.170416666666</v>
      </c>
      <c r="AH40" s="115">
        <f t="shared" si="13"/>
        <v>2226.8058333333333</v>
      </c>
      <c r="AI40" s="115"/>
      <c r="AJ40" s="115">
        <f t="shared" si="2"/>
        <v>34932.917499999996</v>
      </c>
    </row>
    <row r="41" spans="1:36">
      <c r="A41" s="10" t="s">
        <v>59</v>
      </c>
      <c r="B41" s="10">
        <f t="shared" si="6"/>
        <v>2017</v>
      </c>
      <c r="C41" s="29" t="s">
        <v>47</v>
      </c>
      <c r="D41" s="114"/>
      <c r="E41" s="18"/>
      <c r="F41" s="18"/>
      <c r="G41" s="18">
        <f t="shared" si="14"/>
        <v>0</v>
      </c>
      <c r="H41" s="128">
        <f>SUM(G$5:G41)</f>
        <v>1641752.6600000001</v>
      </c>
      <c r="I41" s="114"/>
      <c r="J41" s="129">
        <v>29845.64</v>
      </c>
      <c r="K41" s="20">
        <f t="shared" si="16"/>
        <v>1507998.4300000002</v>
      </c>
      <c r="L41" s="114"/>
      <c r="M41" s="115">
        <f t="shared" si="17"/>
        <v>133754.22999999998</v>
      </c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>
        <f t="shared" si="15"/>
        <v>1153.9554166666667</v>
      </c>
      <c r="AC41" s="115">
        <f t="shared" si="15"/>
        <v>4711.6716666666662</v>
      </c>
      <c r="AD41" s="115">
        <f t="shared" si="8"/>
        <v>4748.1216666666669</v>
      </c>
      <c r="AE41" s="115">
        <f t="shared" si="10"/>
        <v>7064.65625</v>
      </c>
      <c r="AF41" s="119">
        <f t="shared" si="11"/>
        <v>2887.0470833333334</v>
      </c>
      <c r="AG41" s="115">
        <f t="shared" si="12"/>
        <v>10089.170416666666</v>
      </c>
      <c r="AH41" s="115">
        <f t="shared" si="13"/>
        <v>2226.8058333333333</v>
      </c>
      <c r="AI41" s="115"/>
      <c r="AJ41" s="115">
        <f t="shared" si="2"/>
        <v>32881.42833333333</v>
      </c>
    </row>
    <row r="42" spans="1:36">
      <c r="A42" s="10" t="s">
        <v>46</v>
      </c>
      <c r="B42" s="10">
        <f t="shared" si="6"/>
        <v>2017</v>
      </c>
      <c r="C42" s="29" t="s">
        <v>47</v>
      </c>
      <c r="D42" s="114"/>
      <c r="E42" s="18"/>
      <c r="F42" s="18"/>
      <c r="G42" s="18">
        <f t="shared" si="14"/>
        <v>0</v>
      </c>
      <c r="H42" s="128">
        <f>SUM(G$5:G42)</f>
        <v>1641752.6600000001</v>
      </c>
      <c r="I42" s="114"/>
      <c r="J42" s="129">
        <v>39669.24</v>
      </c>
      <c r="K42" s="20">
        <f t="shared" si="16"/>
        <v>1547667.6700000002</v>
      </c>
      <c r="L42" s="114"/>
      <c r="M42" s="115">
        <f t="shared" si="17"/>
        <v>94084.989999999991</v>
      </c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>
        <f t="shared" si="15"/>
        <v>4711.6716666666662</v>
      </c>
      <c r="AD42" s="115">
        <f t="shared" si="8"/>
        <v>4748.1216666666669</v>
      </c>
      <c r="AE42" s="115">
        <f t="shared" si="10"/>
        <v>7064.65625</v>
      </c>
      <c r="AF42" s="119">
        <f t="shared" si="11"/>
        <v>2887.0470833333334</v>
      </c>
      <c r="AG42" s="115">
        <f t="shared" si="12"/>
        <v>10089.170416666666</v>
      </c>
      <c r="AH42" s="115">
        <f t="shared" si="13"/>
        <v>2226.8058333333333</v>
      </c>
      <c r="AI42" s="115"/>
      <c r="AJ42" s="115">
        <f t="shared" si="2"/>
        <v>31727.472916666666</v>
      </c>
    </row>
    <row r="43" spans="1:36">
      <c r="A43" s="10" t="s">
        <v>48</v>
      </c>
      <c r="B43" s="10">
        <f t="shared" si="6"/>
        <v>2017</v>
      </c>
      <c r="C43" s="29" t="s">
        <v>47</v>
      </c>
      <c r="D43" s="114"/>
      <c r="E43" s="18"/>
      <c r="F43" s="18"/>
      <c r="G43" s="18">
        <f t="shared" si="14"/>
        <v>0</v>
      </c>
      <c r="H43" s="128">
        <f>SUM(G$5:G43)</f>
        <v>1641752.6600000001</v>
      </c>
      <c r="I43" s="114"/>
      <c r="J43" s="129">
        <v>28727.5</v>
      </c>
      <c r="K43" s="20">
        <f t="shared" si="16"/>
        <v>1576395.1700000002</v>
      </c>
      <c r="L43" s="114"/>
      <c r="M43" s="115">
        <f t="shared" si="17"/>
        <v>65357.489999999991</v>
      </c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>
        <f t="shared" si="8"/>
        <v>4748.1216666666669</v>
      </c>
      <c r="AE43" s="115">
        <f t="shared" si="10"/>
        <v>7064.65625</v>
      </c>
      <c r="AF43" s="119">
        <f t="shared" si="11"/>
        <v>2887.0470833333334</v>
      </c>
      <c r="AG43" s="115">
        <f t="shared" si="12"/>
        <v>10089.170416666666</v>
      </c>
      <c r="AH43" s="115">
        <f t="shared" si="13"/>
        <v>2226.8058333333333</v>
      </c>
      <c r="AI43" s="115"/>
      <c r="AJ43" s="115">
        <f t="shared" si="2"/>
        <v>27015.801249999997</v>
      </c>
    </row>
    <row r="44" spans="1:36">
      <c r="A44" s="10" t="s">
        <v>50</v>
      </c>
      <c r="B44" s="10">
        <f t="shared" si="6"/>
        <v>2017</v>
      </c>
      <c r="C44" s="29" t="s">
        <v>47</v>
      </c>
      <c r="D44" s="114"/>
      <c r="E44" s="18"/>
      <c r="F44" s="18"/>
      <c r="G44" s="18">
        <f t="shared" si="14"/>
        <v>0</v>
      </c>
      <c r="H44" s="128">
        <f>SUM(G$5:G44)</f>
        <v>1641752.6600000001</v>
      </c>
      <c r="I44" s="114"/>
      <c r="J44" s="129">
        <v>22961.34</v>
      </c>
      <c r="K44" s="20">
        <f t="shared" si="16"/>
        <v>1599356.5100000002</v>
      </c>
      <c r="L44" s="114"/>
      <c r="M44" s="115">
        <f t="shared" si="17"/>
        <v>42396.149999999907</v>
      </c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>
        <f t="shared" si="10"/>
        <v>7064.65625</v>
      </c>
      <c r="AF44" s="119">
        <f t="shared" si="11"/>
        <v>2887.0470833333334</v>
      </c>
      <c r="AG44" s="115">
        <f t="shared" si="12"/>
        <v>10089.170416666666</v>
      </c>
      <c r="AH44" s="115">
        <f t="shared" si="13"/>
        <v>2226.8058333333333</v>
      </c>
      <c r="AI44" s="115"/>
      <c r="AJ44" s="115">
        <f t="shared" si="2"/>
        <v>22267.679583333331</v>
      </c>
    </row>
    <row r="45" spans="1:36">
      <c r="A45" s="10" t="s">
        <v>51</v>
      </c>
      <c r="B45" s="10">
        <f t="shared" si="6"/>
        <v>2017</v>
      </c>
      <c r="C45" s="29" t="s">
        <v>47</v>
      </c>
      <c r="D45" s="114"/>
      <c r="E45" s="18"/>
      <c r="F45" s="18"/>
      <c r="G45" s="18">
        <f t="shared" si="14"/>
        <v>0</v>
      </c>
      <c r="H45" s="128">
        <f>SUM(G$5:G45)</f>
        <v>1641752.6600000001</v>
      </c>
      <c r="I45" s="114"/>
      <c r="J45" s="129">
        <v>20291.34</v>
      </c>
      <c r="K45" s="20">
        <f t="shared" si="16"/>
        <v>1619647.8500000003</v>
      </c>
      <c r="L45" s="114"/>
      <c r="M45" s="115">
        <f t="shared" si="17"/>
        <v>22104.809999999823</v>
      </c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9">
        <f t="shared" si="11"/>
        <v>2887.0470833333334</v>
      </c>
      <c r="AG45" s="115">
        <f t="shared" si="12"/>
        <v>10089.170416666666</v>
      </c>
      <c r="AH45" s="115">
        <f t="shared" si="13"/>
        <v>2226.8058333333333</v>
      </c>
      <c r="AI45" s="115"/>
      <c r="AJ45" s="115">
        <f t="shared" si="2"/>
        <v>15203.023333333333</v>
      </c>
    </row>
    <row r="46" spans="1:36" s="6" customFormat="1">
      <c r="A46" s="24" t="s">
        <v>52</v>
      </c>
      <c r="B46" s="24">
        <f t="shared" si="6"/>
        <v>2017</v>
      </c>
      <c r="C46" s="29" t="s">
        <v>47</v>
      </c>
      <c r="D46" s="116"/>
      <c r="E46" s="121"/>
      <c r="F46" s="121"/>
      <c r="G46" s="121">
        <f t="shared" si="14"/>
        <v>0</v>
      </c>
      <c r="H46" s="217">
        <f>SUM(G$5:G46)</f>
        <v>1641752.6600000001</v>
      </c>
      <c r="I46" s="116"/>
      <c r="J46" s="129">
        <v>12526.13</v>
      </c>
      <c r="K46" s="121">
        <f t="shared" si="16"/>
        <v>1632173.9800000002</v>
      </c>
      <c r="L46" s="116"/>
      <c r="M46" s="117">
        <f t="shared" si="17"/>
        <v>9578.6799999999348</v>
      </c>
      <c r="N46" s="26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>
        <f t="shared" si="12"/>
        <v>10089.170416666666</v>
      </c>
      <c r="AH46" s="117">
        <f t="shared" si="13"/>
        <v>2226.8058333333333</v>
      </c>
      <c r="AI46" s="117"/>
      <c r="AJ46" s="117">
        <f t="shared" si="2"/>
        <v>12315.97625</v>
      </c>
    </row>
    <row r="47" spans="1:36">
      <c r="A47" s="19" t="s">
        <v>53</v>
      </c>
      <c r="B47" s="19">
        <f t="shared" si="6"/>
        <v>2018</v>
      </c>
      <c r="C47" s="29" t="s">
        <v>47</v>
      </c>
      <c r="D47" s="114"/>
      <c r="E47" s="20"/>
      <c r="F47" s="20"/>
      <c r="G47" s="20">
        <f t="shared" si="14"/>
        <v>0</v>
      </c>
      <c r="H47" s="226">
        <f>SUM(G$5:G47)</f>
        <v>1641752.6600000001</v>
      </c>
      <c r="I47" s="114"/>
      <c r="J47" s="129">
        <v>7081</v>
      </c>
      <c r="K47" s="20">
        <f t="shared" ref="K47:K52" si="18">J47+K46</f>
        <v>1639254.9800000002</v>
      </c>
      <c r="L47" s="114"/>
      <c r="M47" s="119">
        <f t="shared" ref="M47:M52" si="19">SUM(H47-K47)</f>
        <v>2497.6799999999348</v>
      </c>
      <c r="N47" s="3"/>
      <c r="O47" s="4"/>
      <c r="P47" s="6"/>
      <c r="Q47" s="6"/>
      <c r="R47" s="6"/>
      <c r="S47" s="6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5">
        <f t="shared" si="13"/>
        <v>2226.8058333333333</v>
      </c>
      <c r="AI47" s="119"/>
      <c r="AJ47" s="119">
        <f t="shared" si="2"/>
        <v>2226.8058333333333</v>
      </c>
    </row>
    <row r="48" spans="1:36">
      <c r="A48" s="19" t="s">
        <v>54</v>
      </c>
      <c r="B48" s="19">
        <f t="shared" si="6"/>
        <v>2018</v>
      </c>
      <c r="C48" s="29" t="s">
        <v>47</v>
      </c>
      <c r="D48" s="114"/>
      <c r="E48" s="114"/>
      <c r="F48" s="114"/>
      <c r="G48" s="114"/>
      <c r="H48" s="226">
        <f>SUM(G$5:G48)</f>
        <v>1641752.6600000001</v>
      </c>
      <c r="I48" s="114"/>
      <c r="J48" s="129">
        <v>499.58</v>
      </c>
      <c r="K48" s="20">
        <f t="shared" si="18"/>
        <v>1639754.5600000003</v>
      </c>
      <c r="L48" s="114"/>
      <c r="M48" s="119">
        <f t="shared" si="19"/>
        <v>1998.0999999998603</v>
      </c>
      <c r="N48" s="3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119">
        <f t="shared" si="2"/>
        <v>0</v>
      </c>
    </row>
    <row r="49" spans="1:36">
      <c r="A49" s="19" t="s">
        <v>55</v>
      </c>
      <c r="B49" s="19">
        <f t="shared" si="6"/>
        <v>2018</v>
      </c>
      <c r="C49" s="19" t="s">
        <v>47</v>
      </c>
      <c r="D49" s="114"/>
      <c r="E49" s="114"/>
      <c r="F49" s="114"/>
      <c r="G49" s="114"/>
      <c r="H49" s="226">
        <f>SUM(G$5:G49)</f>
        <v>1641752.6600000001</v>
      </c>
      <c r="I49" s="114"/>
      <c r="J49" s="129">
        <v>499.58</v>
      </c>
      <c r="K49" s="20">
        <f t="shared" si="18"/>
        <v>1640254.1400000004</v>
      </c>
      <c r="L49" s="114"/>
      <c r="M49" s="119">
        <f t="shared" si="19"/>
        <v>1498.5199999997858</v>
      </c>
      <c r="N49" s="3"/>
      <c r="O49" s="22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119">
        <f t="shared" si="2"/>
        <v>0</v>
      </c>
    </row>
    <row r="50" spans="1:36">
      <c r="A50" s="19" t="s">
        <v>56</v>
      </c>
      <c r="B50" s="19">
        <f t="shared" si="6"/>
        <v>2018</v>
      </c>
      <c r="C50" s="19" t="s">
        <v>47</v>
      </c>
      <c r="D50" s="114"/>
      <c r="E50" s="114"/>
      <c r="F50" s="114"/>
      <c r="G50" s="114"/>
      <c r="H50" s="226">
        <f>SUM(G$5:G50)</f>
        <v>1641752.6600000001</v>
      </c>
      <c r="I50" s="114"/>
      <c r="J50" s="129">
        <v>499.58</v>
      </c>
      <c r="K50" s="20">
        <f t="shared" si="18"/>
        <v>1640753.7200000004</v>
      </c>
      <c r="L50" s="114"/>
      <c r="M50" s="119">
        <f t="shared" si="19"/>
        <v>998.93999999971129</v>
      </c>
      <c r="N50" s="3"/>
      <c r="O50" s="22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119">
        <f t="shared" si="2"/>
        <v>0</v>
      </c>
    </row>
    <row r="51" spans="1:36">
      <c r="A51" s="19" t="s">
        <v>57</v>
      </c>
      <c r="B51" s="19">
        <f t="shared" si="6"/>
        <v>2018</v>
      </c>
      <c r="C51" s="19" t="s">
        <v>47</v>
      </c>
      <c r="D51" s="114"/>
      <c r="E51" s="114"/>
      <c r="F51" s="114"/>
      <c r="G51" s="114"/>
      <c r="H51" s="226">
        <f>SUM(G$5:G51)</f>
        <v>1641752.6600000001</v>
      </c>
      <c r="I51" s="114"/>
      <c r="J51" s="129">
        <v>500</v>
      </c>
      <c r="K51" s="20">
        <f t="shared" si="18"/>
        <v>1641253.7200000004</v>
      </c>
      <c r="L51" s="114"/>
      <c r="M51" s="119">
        <f t="shared" si="19"/>
        <v>498.93999999971129</v>
      </c>
      <c r="N51" s="3"/>
      <c r="O51" s="22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119">
        <f>SUM(O51:AI51)</f>
        <v>0</v>
      </c>
    </row>
    <row r="52" spans="1:36">
      <c r="A52" s="19" t="s">
        <v>58</v>
      </c>
      <c r="B52" s="19">
        <f t="shared" si="6"/>
        <v>2018</v>
      </c>
      <c r="C52" s="19" t="s">
        <v>47</v>
      </c>
      <c r="D52" s="114"/>
      <c r="E52" s="114"/>
      <c r="F52" s="114"/>
      <c r="G52" s="114"/>
      <c r="H52" s="226">
        <f>SUM(G$5:G52)</f>
        <v>1641752.6600000001</v>
      </c>
      <c r="I52" s="114"/>
      <c r="J52" s="129">
        <v>499</v>
      </c>
      <c r="K52" s="20">
        <f t="shared" si="18"/>
        <v>1641752.7200000004</v>
      </c>
      <c r="L52" s="114"/>
      <c r="M52" s="119">
        <f t="shared" si="19"/>
        <v>-6.0000000288709998E-2</v>
      </c>
      <c r="N52" s="3"/>
      <c r="O52" s="22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119">
        <f>SUM(O52:AI52)</f>
        <v>0</v>
      </c>
    </row>
    <row r="53" spans="1:36">
      <c r="A53" s="10"/>
      <c r="B53" s="10"/>
      <c r="C53" s="10"/>
      <c r="D53" s="114"/>
      <c r="E53" s="114"/>
      <c r="F53" s="114"/>
      <c r="G53" s="114"/>
      <c r="H53" s="114"/>
      <c r="I53" s="114"/>
      <c r="J53" s="114"/>
      <c r="K53" s="20"/>
      <c r="L53" s="114"/>
      <c r="M53" s="18"/>
      <c r="N53" s="3"/>
      <c r="O53" s="22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</row>
    <row r="54" spans="1:36">
      <c r="A54" s="10"/>
      <c r="B54" s="10"/>
      <c r="C54" s="10"/>
      <c r="D54" s="114"/>
      <c r="E54" s="114"/>
      <c r="F54" s="114"/>
      <c r="G54" s="114"/>
      <c r="H54" s="114"/>
      <c r="I54" s="114"/>
      <c r="J54" s="114"/>
      <c r="K54" s="18"/>
      <c r="L54" s="114"/>
      <c r="M54" s="18"/>
      <c r="N54" s="3"/>
      <c r="O54" s="22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</row>
    <row r="55" spans="1:36">
      <c r="A55" s="10"/>
      <c r="B55" s="10"/>
      <c r="C55" s="10"/>
      <c r="D55" s="114"/>
      <c r="E55" s="114"/>
      <c r="F55" s="114"/>
      <c r="G55" s="114"/>
      <c r="H55" s="114"/>
      <c r="I55" s="114"/>
      <c r="J55" s="114"/>
      <c r="K55" s="18"/>
      <c r="L55" s="114"/>
      <c r="M55" s="18"/>
      <c r="N55" s="3"/>
      <c r="O55" s="22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</row>
    <row r="56" spans="1:36">
      <c r="A56" s="10"/>
      <c r="B56" s="10"/>
      <c r="C56" s="10"/>
      <c r="D56" s="114"/>
      <c r="E56" s="114"/>
      <c r="F56" s="114"/>
      <c r="G56" s="114"/>
      <c r="H56" s="114"/>
      <c r="I56" s="114"/>
      <c r="J56" s="114"/>
      <c r="K56" s="18"/>
      <c r="L56" s="114"/>
      <c r="M56" s="18"/>
      <c r="N56" s="3"/>
      <c r="O56" s="22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</row>
    <row r="57" spans="1:36">
      <c r="A57" s="10"/>
      <c r="B57" s="10"/>
      <c r="C57" s="10"/>
      <c r="D57" s="114"/>
      <c r="E57" s="114"/>
      <c r="F57" s="114"/>
      <c r="G57" s="114"/>
      <c r="H57" s="114"/>
      <c r="I57" s="114"/>
      <c r="J57" s="114"/>
      <c r="K57" s="18"/>
      <c r="L57" s="114"/>
      <c r="M57" s="18"/>
      <c r="N57" s="3"/>
      <c r="O57" s="22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</row>
    <row r="58" spans="1:36">
      <c r="A58" s="10"/>
      <c r="B58" s="10"/>
      <c r="C58" s="10"/>
      <c r="D58" s="114"/>
      <c r="E58" s="114"/>
      <c r="F58" s="114"/>
      <c r="G58" s="114"/>
      <c r="H58" s="114"/>
      <c r="I58" s="114"/>
      <c r="J58" s="114"/>
      <c r="K58" s="18"/>
      <c r="L58" s="114"/>
      <c r="M58" s="18"/>
      <c r="N58" s="3"/>
      <c r="O58" s="22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</row>
    <row r="59" spans="1:36">
      <c r="A59" s="10"/>
      <c r="B59" s="10"/>
      <c r="C59" s="10"/>
      <c r="D59" s="114"/>
      <c r="E59" s="114"/>
      <c r="F59" s="114"/>
      <c r="G59" s="114"/>
      <c r="H59" s="114"/>
      <c r="I59" s="114"/>
      <c r="J59" s="114"/>
      <c r="K59" s="18"/>
      <c r="L59" s="114"/>
      <c r="M59" s="18"/>
      <c r="N59" s="3"/>
      <c r="O59" s="22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</row>
    <row r="60" spans="1:36">
      <c r="A60" s="10"/>
      <c r="B60" s="10"/>
      <c r="C60" s="10"/>
      <c r="D60" s="114"/>
      <c r="E60" s="114"/>
      <c r="F60" s="114"/>
      <c r="G60" s="114"/>
      <c r="H60" s="114"/>
      <c r="I60" s="114"/>
      <c r="J60" s="114"/>
      <c r="K60" s="18"/>
      <c r="L60" s="114"/>
      <c r="M60" s="18"/>
      <c r="N60" s="3"/>
      <c r="O60" s="22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</row>
    <row r="61" spans="1:36">
      <c r="A61" s="10"/>
      <c r="B61" s="10"/>
      <c r="C61" s="10"/>
      <c r="D61" s="114"/>
      <c r="E61" s="114"/>
      <c r="F61" s="114"/>
      <c r="G61" s="114"/>
      <c r="H61" s="114"/>
      <c r="I61" s="114"/>
      <c r="J61" s="114"/>
      <c r="K61" s="18"/>
      <c r="L61" s="114"/>
      <c r="M61" s="18"/>
      <c r="N61" s="3"/>
      <c r="O61" s="22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</row>
    <row r="62" spans="1:36">
      <c r="A62" s="10"/>
      <c r="B62" s="10"/>
      <c r="C62" s="10"/>
      <c r="D62" s="114"/>
      <c r="E62" s="114"/>
      <c r="F62" s="114"/>
      <c r="G62" s="114"/>
      <c r="H62" s="114"/>
      <c r="I62" s="114"/>
      <c r="J62" s="114"/>
      <c r="K62" s="18"/>
      <c r="L62" s="114"/>
      <c r="M62" s="18"/>
      <c r="N62" s="3"/>
      <c r="O62" s="22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</row>
    <row r="63" spans="1:36">
      <c r="A63" s="10"/>
      <c r="B63" s="10"/>
      <c r="C63" s="10"/>
      <c r="D63" s="114"/>
      <c r="E63" s="114"/>
      <c r="F63" s="114"/>
      <c r="G63" s="114"/>
      <c r="H63" s="114"/>
      <c r="I63" s="114"/>
      <c r="J63" s="114"/>
      <c r="K63" s="18"/>
      <c r="L63" s="114"/>
      <c r="M63" s="18"/>
      <c r="N63" s="3"/>
      <c r="O63" s="22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</row>
    <row r="64" spans="1:36">
      <c r="A64" s="10"/>
      <c r="B64" s="10"/>
      <c r="C64" s="10"/>
      <c r="D64" s="114"/>
      <c r="E64" s="114"/>
      <c r="F64" s="114"/>
      <c r="G64" s="114"/>
      <c r="H64" s="114"/>
      <c r="I64" s="114"/>
      <c r="J64" s="114"/>
      <c r="K64" s="18"/>
      <c r="L64" s="114"/>
      <c r="M64" s="18"/>
      <c r="N64" s="3"/>
      <c r="O64" s="22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</row>
    <row r="65" spans="1:36">
      <c r="A65" s="10"/>
      <c r="B65" s="10"/>
      <c r="C65" s="10"/>
      <c r="D65" s="114"/>
      <c r="E65" s="114"/>
      <c r="F65" s="114"/>
      <c r="G65" s="114"/>
      <c r="H65" s="114"/>
      <c r="I65" s="114"/>
      <c r="J65" s="114"/>
      <c r="K65" s="18"/>
      <c r="L65" s="114"/>
      <c r="M65" s="18"/>
      <c r="N65" s="3"/>
      <c r="O65" s="22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</row>
    <row r="66" spans="1:36">
      <c r="A66" s="10"/>
      <c r="B66" s="10"/>
      <c r="C66" s="10"/>
      <c r="D66" s="114"/>
      <c r="E66" s="114"/>
      <c r="F66" s="114"/>
      <c r="G66" s="114"/>
      <c r="H66" s="114"/>
      <c r="I66" s="114"/>
      <c r="J66" s="114"/>
      <c r="K66" s="18"/>
      <c r="L66" s="114"/>
      <c r="M66" s="18"/>
      <c r="N66" s="3"/>
      <c r="O66" s="22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</row>
    <row r="67" spans="1:36">
      <c r="A67" s="10"/>
      <c r="B67" s="10"/>
      <c r="C67" s="10"/>
      <c r="D67" s="114"/>
      <c r="E67" s="114"/>
      <c r="F67" s="114"/>
      <c r="G67" s="114"/>
      <c r="H67" s="114"/>
      <c r="I67" s="114"/>
      <c r="J67" s="114"/>
      <c r="K67" s="18"/>
      <c r="L67" s="114"/>
      <c r="M67" s="18"/>
      <c r="N67" s="3"/>
      <c r="O67" s="22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</row>
    <row r="68" spans="1:36">
      <c r="A68" s="10"/>
      <c r="B68" s="10"/>
      <c r="C68" s="10"/>
      <c r="D68" s="114"/>
      <c r="E68" s="114"/>
      <c r="F68" s="114"/>
      <c r="G68" s="114"/>
      <c r="H68" s="114"/>
      <c r="I68" s="114"/>
      <c r="J68" s="114"/>
      <c r="K68" s="18"/>
      <c r="L68" s="114"/>
      <c r="M68" s="18"/>
      <c r="N68" s="3"/>
      <c r="O68" s="22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</row>
    <row r="69" spans="1:36">
      <c r="A69" s="10"/>
      <c r="B69" s="10"/>
      <c r="C69" s="10"/>
      <c r="D69" s="114"/>
      <c r="E69" s="114"/>
      <c r="F69" s="114"/>
      <c r="G69" s="114"/>
      <c r="H69" s="114"/>
      <c r="I69" s="114"/>
      <c r="J69" s="114"/>
      <c r="K69" s="18"/>
      <c r="L69" s="114"/>
      <c r="M69" s="18"/>
      <c r="N69" s="3"/>
      <c r="O69" s="22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</row>
    <row r="70" spans="1:36">
      <c r="A70" s="10"/>
      <c r="B70" s="10"/>
      <c r="C70" s="10"/>
      <c r="D70" s="114"/>
      <c r="E70" s="114"/>
      <c r="F70" s="114"/>
      <c r="G70" s="114"/>
      <c r="H70" s="114"/>
      <c r="I70" s="114"/>
      <c r="J70" s="114"/>
      <c r="K70" s="18"/>
      <c r="L70" s="114"/>
      <c r="M70" s="18"/>
      <c r="N70" s="3"/>
      <c r="O70" s="22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</row>
    <row r="71" spans="1:36">
      <c r="A71" s="10"/>
      <c r="B71" s="10"/>
      <c r="C71" s="10"/>
      <c r="D71" s="114"/>
      <c r="E71" s="114"/>
      <c r="F71" s="114"/>
      <c r="G71" s="114"/>
      <c r="H71" s="114"/>
      <c r="I71" s="114"/>
      <c r="J71" s="114"/>
      <c r="K71" s="18"/>
      <c r="L71" s="114"/>
      <c r="M71" s="18"/>
      <c r="N71" s="3"/>
      <c r="O71" s="22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</row>
    <row r="72" spans="1:36">
      <c r="A72" s="10"/>
      <c r="B72" s="10"/>
      <c r="C72" s="10"/>
      <c r="D72" s="114"/>
      <c r="E72" s="114"/>
      <c r="F72" s="114"/>
      <c r="G72" s="114"/>
      <c r="H72" s="114"/>
      <c r="I72" s="114"/>
      <c r="J72" s="114"/>
      <c r="K72" s="18"/>
      <c r="L72" s="114"/>
      <c r="M72" s="18"/>
      <c r="N72" s="3"/>
      <c r="O72" s="22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</row>
    <row r="73" spans="1:36">
      <c r="A73" s="10"/>
      <c r="B73" s="10"/>
      <c r="C73" s="10"/>
      <c r="D73" s="114"/>
      <c r="E73" s="114"/>
      <c r="F73" s="114"/>
      <c r="G73" s="114"/>
      <c r="H73" s="114"/>
      <c r="I73" s="114"/>
      <c r="J73" s="114"/>
      <c r="K73" s="18"/>
      <c r="L73" s="114"/>
      <c r="M73" s="18"/>
      <c r="N73" s="3"/>
      <c r="O73" s="22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</row>
    <row r="74" spans="1:36">
      <c r="A74" s="10"/>
      <c r="B74" s="10"/>
      <c r="C74" s="10"/>
      <c r="D74" s="114"/>
      <c r="E74" s="18"/>
      <c r="F74" s="18"/>
      <c r="G74" s="18"/>
      <c r="H74" s="18"/>
      <c r="I74" s="114"/>
      <c r="J74" s="114"/>
      <c r="K74" s="18"/>
      <c r="L74" s="114"/>
      <c r="M74" s="18"/>
      <c r="N74" s="3"/>
      <c r="O74" s="3"/>
    </row>
    <row r="75" spans="1:36">
      <c r="A75" s="10"/>
      <c r="B75" s="10"/>
      <c r="C75" s="10"/>
      <c r="D75" s="114"/>
      <c r="E75" s="18"/>
      <c r="F75" s="18"/>
      <c r="G75" s="18"/>
      <c r="H75" s="18"/>
      <c r="I75" s="114"/>
      <c r="J75" s="114"/>
      <c r="K75" s="18"/>
      <c r="L75" s="114"/>
      <c r="M75" s="18"/>
      <c r="N75" s="3"/>
      <c r="O75" s="3"/>
    </row>
    <row r="76" spans="1:36">
      <c r="A76" s="10"/>
      <c r="B76" s="10"/>
      <c r="C76" s="10"/>
      <c r="D76" s="114"/>
      <c r="E76" s="18"/>
      <c r="F76" s="18"/>
      <c r="G76" s="18"/>
      <c r="H76" s="18"/>
      <c r="I76" s="114"/>
      <c r="J76" s="114"/>
      <c r="K76" s="18"/>
      <c r="L76" s="114"/>
      <c r="M76" s="18"/>
      <c r="N76" s="3"/>
      <c r="O76" s="3"/>
    </row>
    <row r="77" spans="1:36">
      <c r="A77" s="10"/>
      <c r="B77" s="10"/>
      <c r="C77" s="10"/>
      <c r="D77" s="114"/>
      <c r="E77" s="18"/>
      <c r="F77" s="18"/>
      <c r="G77" s="18"/>
      <c r="H77" s="18"/>
      <c r="I77" s="114"/>
      <c r="J77" s="114"/>
      <c r="K77" s="18"/>
      <c r="L77" s="114"/>
      <c r="M77" s="18"/>
      <c r="N77" s="3"/>
      <c r="O77" s="3"/>
    </row>
    <row r="78" spans="1:36">
      <c r="A78" s="10"/>
      <c r="B78" s="10"/>
      <c r="C78" s="10"/>
      <c r="D78" s="114"/>
      <c r="E78" s="18"/>
      <c r="F78" s="18"/>
      <c r="G78" s="18"/>
      <c r="H78" s="18"/>
      <c r="I78" s="114"/>
      <c r="J78" s="114"/>
      <c r="K78" s="18"/>
      <c r="L78" s="114"/>
      <c r="M78" s="18"/>
      <c r="N78" s="3"/>
      <c r="O78" s="3"/>
    </row>
    <row r="79" spans="1:36">
      <c r="D79" s="114"/>
      <c r="E79" s="18"/>
      <c r="F79" s="18"/>
      <c r="G79" s="18"/>
      <c r="H79" s="18"/>
      <c r="I79" s="114"/>
      <c r="J79" s="114"/>
      <c r="K79" s="18"/>
      <c r="L79" s="114"/>
      <c r="M79" s="18"/>
      <c r="N79" s="3"/>
      <c r="O79" s="3"/>
    </row>
    <row r="80" spans="1:36">
      <c r="D80" s="114"/>
      <c r="E80" s="18"/>
      <c r="F80" s="18"/>
      <c r="G80" s="18"/>
      <c r="H80" s="18"/>
      <c r="I80" s="114"/>
      <c r="J80" s="114"/>
      <c r="K80" s="18"/>
      <c r="L80" s="114"/>
      <c r="M80" s="18"/>
      <c r="N80" s="3"/>
      <c r="O80" s="3"/>
    </row>
    <row r="81" spans="4:15">
      <c r="D81" s="114"/>
      <c r="E81" s="18"/>
      <c r="F81" s="18"/>
      <c r="G81" s="18"/>
      <c r="H81" s="18"/>
      <c r="I81" s="114"/>
      <c r="J81" s="114"/>
      <c r="K81" s="18"/>
      <c r="L81" s="114"/>
      <c r="M81" s="18"/>
      <c r="N81" s="3"/>
      <c r="O81" s="3"/>
    </row>
    <row r="82" spans="4:15">
      <c r="D82" s="114"/>
      <c r="E82" s="18"/>
      <c r="F82" s="18"/>
      <c r="G82" s="18"/>
      <c r="H82" s="18"/>
      <c r="I82" s="114"/>
      <c r="J82" s="114"/>
      <c r="K82" s="18"/>
      <c r="L82" s="114"/>
      <c r="M82" s="18"/>
      <c r="N82" s="3"/>
      <c r="O82" s="3"/>
    </row>
    <row r="83" spans="4:15">
      <c r="D83" s="114"/>
      <c r="E83" s="18"/>
      <c r="F83" s="18"/>
      <c r="G83" s="18"/>
      <c r="H83" s="18"/>
      <c r="I83" s="114"/>
      <c r="J83" s="114"/>
      <c r="K83" s="18"/>
      <c r="L83" s="114"/>
      <c r="M83" s="18"/>
      <c r="N83" s="3"/>
      <c r="O83" s="3"/>
    </row>
    <row r="84" spans="4:15">
      <c r="D84" s="114"/>
      <c r="E84" s="18"/>
      <c r="F84" s="18"/>
      <c r="G84" s="18"/>
      <c r="H84" s="18"/>
      <c r="I84" s="114"/>
      <c r="J84" s="114"/>
      <c r="K84" s="18"/>
      <c r="L84" s="114"/>
      <c r="M84" s="18"/>
      <c r="N84" s="3"/>
      <c r="O84" s="3"/>
    </row>
    <row r="85" spans="4:15">
      <c r="D85" s="114"/>
      <c r="E85" s="18"/>
      <c r="F85" s="18"/>
      <c r="G85" s="18"/>
      <c r="H85" s="18"/>
      <c r="I85" s="114"/>
      <c r="J85" s="114"/>
      <c r="K85" s="18"/>
      <c r="L85" s="114"/>
      <c r="M85" s="18"/>
      <c r="N85" s="3"/>
      <c r="O85" s="3"/>
    </row>
    <row r="86" spans="4:15">
      <c r="D86" s="114"/>
      <c r="E86" s="18"/>
      <c r="F86" s="18"/>
      <c r="G86" s="18"/>
      <c r="H86" s="18"/>
      <c r="I86" s="114"/>
      <c r="J86" s="114"/>
      <c r="K86" s="18"/>
      <c r="L86" s="114"/>
      <c r="M86" s="18"/>
      <c r="N86" s="3"/>
      <c r="O86" s="3"/>
    </row>
    <row r="87" spans="4:15">
      <c r="D87" s="114"/>
      <c r="E87" s="18"/>
      <c r="F87" s="18"/>
      <c r="G87" s="18"/>
      <c r="H87" s="18"/>
      <c r="I87" s="114"/>
      <c r="J87" s="114"/>
      <c r="K87" s="18"/>
      <c r="L87" s="114"/>
      <c r="M87" s="18"/>
      <c r="N87" s="3"/>
      <c r="O87" s="3"/>
    </row>
    <row r="88" spans="4:15">
      <c r="D88" s="114"/>
      <c r="E88" s="18"/>
      <c r="F88" s="18"/>
      <c r="G88" s="18"/>
      <c r="H88" s="18"/>
      <c r="I88" s="114"/>
      <c r="J88" s="114"/>
      <c r="K88" s="18"/>
      <c r="L88" s="114"/>
      <c r="M88" s="18"/>
      <c r="N88" s="3"/>
      <c r="O88" s="3"/>
    </row>
    <row r="89" spans="4:15">
      <c r="D89" s="114"/>
      <c r="E89" s="18"/>
      <c r="F89" s="18"/>
      <c r="G89" s="18"/>
      <c r="H89" s="18"/>
      <c r="I89" s="114"/>
      <c r="J89" s="114"/>
      <c r="K89" s="18"/>
      <c r="L89" s="114"/>
      <c r="M89" s="18"/>
      <c r="N89" s="3"/>
      <c r="O89" s="3"/>
    </row>
    <row r="90" spans="4:15">
      <c r="D90" s="114"/>
      <c r="E90" s="18"/>
      <c r="F90" s="18"/>
      <c r="G90" s="18"/>
      <c r="H90" s="18"/>
      <c r="I90" s="114"/>
      <c r="J90" s="114"/>
      <c r="K90" s="18"/>
      <c r="L90" s="114"/>
      <c r="M90" s="18"/>
      <c r="N90" s="3"/>
      <c r="O90" s="3"/>
    </row>
    <row r="91" spans="4:15">
      <c r="D91" s="114"/>
      <c r="E91" s="18"/>
      <c r="F91" s="18"/>
      <c r="G91" s="18"/>
      <c r="H91" s="18"/>
      <c r="I91" s="114"/>
      <c r="J91" s="114"/>
      <c r="K91" s="18"/>
      <c r="L91" s="114"/>
      <c r="M91" s="18"/>
      <c r="N91" s="3"/>
      <c r="O91" s="3"/>
    </row>
    <row r="92" spans="4:15">
      <c r="D92" s="114"/>
      <c r="E92" s="18"/>
      <c r="F92" s="18"/>
      <c r="G92" s="18"/>
      <c r="H92" s="18"/>
      <c r="I92" s="114"/>
      <c r="J92" s="114"/>
      <c r="K92" s="18"/>
      <c r="L92" s="114"/>
      <c r="M92" s="18"/>
      <c r="N92" s="3"/>
      <c r="O92" s="3"/>
    </row>
    <row r="93" spans="4:15">
      <c r="D93" s="114"/>
      <c r="E93" s="18"/>
      <c r="F93" s="18"/>
      <c r="G93" s="18"/>
      <c r="H93" s="18"/>
      <c r="I93" s="114"/>
      <c r="J93" s="114"/>
      <c r="K93" s="18"/>
      <c r="L93" s="114"/>
      <c r="M93" s="18"/>
      <c r="N93" s="3"/>
      <c r="O93" s="3"/>
    </row>
    <row r="94" spans="4:15">
      <c r="D94" s="114"/>
      <c r="E94" s="18"/>
      <c r="F94" s="18"/>
      <c r="G94" s="18"/>
      <c r="H94" s="18"/>
      <c r="I94" s="114"/>
      <c r="J94" s="114"/>
      <c r="K94" s="18"/>
      <c r="L94" s="114"/>
      <c r="M94" s="18"/>
      <c r="N94" s="3"/>
      <c r="O94" s="3"/>
    </row>
    <row r="95" spans="4:15">
      <c r="D95" s="114"/>
      <c r="E95" s="18"/>
      <c r="F95" s="18"/>
      <c r="G95" s="18"/>
      <c r="H95" s="18"/>
      <c r="I95" s="114"/>
      <c r="J95" s="114"/>
      <c r="K95" s="18"/>
      <c r="L95" s="114"/>
      <c r="M95" s="18"/>
      <c r="N95" s="3"/>
      <c r="O95" s="3"/>
    </row>
    <row r="96" spans="4:15">
      <c r="D96" s="114"/>
      <c r="E96" s="18"/>
      <c r="F96" s="18"/>
      <c r="G96" s="18"/>
      <c r="H96" s="18"/>
      <c r="I96" s="114"/>
      <c r="J96" s="114"/>
      <c r="K96" s="18"/>
      <c r="L96" s="114"/>
      <c r="M96" s="18"/>
      <c r="N96" s="3"/>
      <c r="O96" s="3"/>
    </row>
    <row r="97" spans="4:15">
      <c r="D97" s="114"/>
      <c r="E97" s="18"/>
      <c r="F97" s="18"/>
      <c r="G97" s="18"/>
      <c r="H97" s="18"/>
      <c r="I97" s="114"/>
      <c r="J97" s="114"/>
      <c r="K97" s="18"/>
      <c r="L97" s="114"/>
      <c r="M97" s="18"/>
      <c r="N97" s="3"/>
      <c r="O97" s="3"/>
    </row>
    <row r="98" spans="4:15">
      <c r="D98" s="114"/>
      <c r="E98" s="18"/>
      <c r="F98" s="18"/>
      <c r="G98" s="18"/>
      <c r="H98" s="18"/>
      <c r="I98" s="114"/>
      <c r="J98" s="114"/>
      <c r="K98" s="18"/>
      <c r="L98" s="114"/>
      <c r="M98" s="18"/>
      <c r="N98" s="3"/>
      <c r="O98" s="3"/>
    </row>
    <row r="99" spans="4:15">
      <c r="D99" s="114"/>
      <c r="E99" s="18"/>
      <c r="F99" s="18"/>
      <c r="G99" s="18"/>
      <c r="H99" s="18"/>
      <c r="I99" s="114"/>
      <c r="J99" s="114"/>
      <c r="K99" s="18"/>
      <c r="L99" s="114"/>
      <c r="M99" s="18"/>
      <c r="N99" s="3"/>
      <c r="O99" s="3"/>
    </row>
    <row r="100" spans="4:15">
      <c r="D100" s="114"/>
      <c r="E100" s="18"/>
      <c r="F100" s="18"/>
      <c r="G100" s="18"/>
      <c r="H100" s="18"/>
      <c r="I100" s="114"/>
      <c r="J100" s="114"/>
      <c r="K100" s="18"/>
      <c r="L100" s="114"/>
      <c r="M100" s="18"/>
      <c r="N100" s="3"/>
      <c r="O100" s="3"/>
    </row>
    <row r="101" spans="4:15">
      <c r="D101" s="114"/>
      <c r="E101" s="18"/>
      <c r="F101" s="18"/>
      <c r="G101" s="18"/>
      <c r="H101" s="18"/>
      <c r="I101" s="114"/>
      <c r="J101" s="114"/>
      <c r="K101" s="18"/>
      <c r="L101" s="114"/>
      <c r="M101" s="18"/>
      <c r="N101" s="3"/>
      <c r="O101" s="3"/>
    </row>
    <row r="102" spans="4:15">
      <c r="D102" s="114"/>
      <c r="E102" s="18"/>
      <c r="F102" s="18"/>
      <c r="G102" s="18"/>
      <c r="H102" s="18"/>
      <c r="I102" s="114"/>
      <c r="J102" s="114"/>
      <c r="K102" s="18"/>
      <c r="L102" s="114"/>
      <c r="M102" s="18"/>
      <c r="N102" s="3"/>
      <c r="O102" s="3"/>
    </row>
    <row r="103" spans="4:15">
      <c r="D103" s="114"/>
      <c r="E103" s="18"/>
      <c r="F103" s="18"/>
      <c r="G103" s="18"/>
      <c r="H103" s="18"/>
      <c r="I103" s="114"/>
      <c r="J103" s="114"/>
      <c r="K103" s="18"/>
      <c r="L103" s="114"/>
      <c r="M103" s="18"/>
      <c r="N103" s="3"/>
      <c r="O103" s="3"/>
    </row>
    <row r="104" spans="4:15">
      <c r="D104" s="114"/>
      <c r="E104" s="18"/>
      <c r="F104" s="18"/>
      <c r="G104" s="18"/>
      <c r="H104" s="18"/>
      <c r="I104" s="114"/>
      <c r="J104" s="114"/>
      <c r="K104" s="18"/>
      <c r="L104" s="114"/>
      <c r="M104" s="18"/>
      <c r="N104" s="3"/>
      <c r="O104" s="3"/>
    </row>
    <row r="105" spans="4:15"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</row>
    <row r="106" spans="4:15"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</row>
    <row r="107" spans="4:15"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</row>
    <row r="108" spans="4:15"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</row>
    <row r="109" spans="4:15"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</row>
    <row r="110" spans="4:15"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</row>
    <row r="111" spans="4:15"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</row>
    <row r="112" spans="4:15"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</row>
    <row r="113" spans="5:15"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</row>
    <row r="114" spans="5:15"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</row>
    <row r="115" spans="5:15"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</row>
    <row r="116" spans="5:15"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</row>
    <row r="117" spans="5:15"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</row>
    <row r="118" spans="5:15"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</row>
  </sheetData>
  <mergeCells count="2">
    <mergeCell ref="O1:AJ1"/>
    <mergeCell ref="E1:M1"/>
  </mergeCells>
  <pageMargins left="0.7" right="0.7" top="0.75" bottom="0.75" header="0.3" footer="0.3"/>
  <pageSetup scale="8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4">
    <tabColor rgb="FF00B0F0"/>
  </sheetPr>
  <dimension ref="A1:BD112"/>
  <sheetViews>
    <sheetView view="pageBreakPreview" zoomScale="60" zoomScaleNormal="100" workbookViewId="0">
      <pane xSplit="2" ySplit="4" topLeftCell="Z5" activePane="bottomRight" state="frozen"/>
      <selection activeCell="C23" sqref="C23"/>
      <selection pane="topRight" activeCell="C23" sqref="C23"/>
      <selection pane="bottomLeft" activeCell="C23" sqref="C23"/>
      <selection pane="bottomRight" activeCell="AS58" sqref="AS58"/>
    </sheetView>
  </sheetViews>
  <sheetFormatPr defaultColWidth="9.140625" defaultRowHeight="12.75"/>
  <cols>
    <col min="1" max="1" width="9.140625" style="1"/>
    <col min="2" max="2" width="13.5703125" style="1" customWidth="1"/>
    <col min="3" max="3" width="11.28515625" style="1" customWidth="1"/>
    <col min="4" max="4" width="12.140625" style="1" customWidth="1"/>
    <col min="5" max="6" width="13.7109375" style="1" customWidth="1"/>
    <col min="7" max="7" width="9.85546875" style="1" customWidth="1"/>
    <col min="8" max="8" width="12.140625" style="1" customWidth="1"/>
    <col min="9" max="12" width="10.85546875" style="1" customWidth="1"/>
    <col min="13" max="13" width="9.7109375" style="1" customWidth="1"/>
    <col min="14" max="17" width="10.140625" style="1" customWidth="1"/>
    <col min="18" max="19" width="10" style="1" customWidth="1"/>
    <col min="20" max="20" width="2.140625" style="1" customWidth="1"/>
    <col min="21" max="21" width="9.140625" style="1"/>
    <col min="22" max="22" width="15.140625" style="1" customWidth="1"/>
    <col min="23" max="23" width="23" style="1" bestFit="1" customWidth="1"/>
    <col min="24" max="24" width="15.7109375" style="1" customWidth="1"/>
    <col min="25" max="25" width="24.7109375" style="1" bestFit="1" customWidth="1"/>
    <col min="26" max="26" width="17.5703125" style="1" customWidth="1"/>
    <col min="27" max="27" width="24.42578125" style="1" bestFit="1" customWidth="1"/>
    <col min="28" max="28" width="15.7109375" style="1" customWidth="1"/>
    <col min="29" max="29" width="23.5703125" style="1" customWidth="1"/>
    <col min="30" max="30" width="18.28515625" style="1" customWidth="1"/>
    <col min="31" max="31" width="20" style="1" customWidth="1"/>
    <col min="32" max="32" width="19.7109375" style="1" bestFit="1" customWidth="1"/>
    <col min="33" max="34" width="14.7109375" style="1" customWidth="1"/>
    <col min="35" max="35" width="18.28515625" style="1" bestFit="1" customWidth="1"/>
    <col min="36" max="36" width="14.7109375" style="1" customWidth="1"/>
    <col min="37" max="37" width="15.5703125" style="1" customWidth="1"/>
    <col min="38" max="38" width="17.42578125" style="1" customWidth="1"/>
    <col min="39" max="39" width="17.5703125" style="1" customWidth="1"/>
    <col min="40" max="40" width="19.140625" style="1" customWidth="1"/>
    <col min="41" max="41" width="16.28515625" style="1" customWidth="1"/>
    <col min="42" max="43" width="16.140625" style="1" customWidth="1"/>
    <col min="44" max="44" width="14.7109375" style="1" customWidth="1"/>
    <col min="45" max="45" width="18.140625" style="1" customWidth="1"/>
    <col min="46" max="46" width="9.140625" style="1"/>
    <col min="47" max="47" width="11.7109375" style="1" customWidth="1"/>
    <col min="48" max="48" width="11.28515625" style="1" customWidth="1"/>
    <col min="49" max="49" width="11.5703125" style="1" customWidth="1"/>
    <col min="50" max="50" width="10.5703125" style="1" customWidth="1"/>
    <col min="51" max="16384" width="9.140625" style="1"/>
  </cols>
  <sheetData>
    <row r="1" spans="1:56" ht="20.25">
      <c r="A1" s="131"/>
      <c r="B1" s="132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133"/>
      <c r="AC1" s="133"/>
      <c r="AD1" s="133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</row>
    <row r="2" spans="1:56" ht="19.5" thickBot="1">
      <c r="A2" s="131"/>
      <c r="C2" s="134"/>
    </row>
    <row r="3" spans="1:56" ht="19.5" customHeight="1" thickBot="1">
      <c r="A3" s="131"/>
      <c r="C3" s="698" t="s">
        <v>153</v>
      </c>
      <c r="D3" s="698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699"/>
      <c r="Q3" s="699"/>
      <c r="R3" s="700"/>
      <c r="S3" s="135"/>
      <c r="T3" s="135"/>
      <c r="U3" s="701" t="s">
        <v>154</v>
      </c>
      <c r="V3" s="702"/>
      <c r="W3" s="702"/>
      <c r="X3" s="702"/>
      <c r="Y3" s="702"/>
      <c r="Z3" s="702"/>
      <c r="AA3" s="702"/>
      <c r="AB3" s="702"/>
      <c r="AC3" s="702"/>
      <c r="AD3" s="702"/>
      <c r="AE3" s="702"/>
      <c r="AF3" s="702"/>
      <c r="AG3" s="702"/>
      <c r="AH3" s="702"/>
      <c r="AI3" s="702"/>
      <c r="AJ3" s="702"/>
      <c r="AK3" s="702"/>
      <c r="AL3" s="702"/>
      <c r="AM3" s="136"/>
      <c r="AN3" s="703" t="s">
        <v>155</v>
      </c>
      <c r="AO3" s="704"/>
      <c r="AP3" s="704"/>
      <c r="AQ3" s="705"/>
      <c r="AR3" s="705"/>
      <c r="AS3" s="705"/>
    </row>
    <row r="4" spans="1:56" ht="112.5">
      <c r="A4" s="131"/>
      <c r="B4" s="137" t="s">
        <v>156</v>
      </c>
      <c r="C4" s="138" t="s">
        <v>157</v>
      </c>
      <c r="D4" s="138" t="s">
        <v>158</v>
      </c>
      <c r="E4" s="138" t="s">
        <v>159</v>
      </c>
      <c r="F4" s="138" t="s">
        <v>160</v>
      </c>
      <c r="G4" s="138" t="s">
        <v>161</v>
      </c>
      <c r="H4" s="138" t="s">
        <v>162</v>
      </c>
      <c r="I4" s="138" t="s">
        <v>146</v>
      </c>
      <c r="J4" s="138" t="s">
        <v>147</v>
      </c>
      <c r="K4" s="138" t="s">
        <v>163</v>
      </c>
      <c r="L4" s="138" t="s">
        <v>148</v>
      </c>
      <c r="M4" s="138" t="s">
        <v>164</v>
      </c>
      <c r="N4" s="138" t="s">
        <v>165</v>
      </c>
      <c r="O4" s="138" t="s">
        <v>166</v>
      </c>
      <c r="P4" s="138" t="s">
        <v>167</v>
      </c>
      <c r="Q4" s="138" t="s">
        <v>168</v>
      </c>
      <c r="R4" s="138" t="s">
        <v>169</v>
      </c>
      <c r="S4" s="138" t="s">
        <v>170</v>
      </c>
      <c r="T4" s="139"/>
      <c r="U4" s="139" t="s">
        <v>157</v>
      </c>
      <c r="V4" s="138" t="str">
        <f>D4</f>
        <v>Gas Furnance &amp; Boiler Grants</v>
      </c>
      <c r="W4" s="138" t="str">
        <f>E4</f>
        <v>Gas Furnance,Boiler, HW Grants</v>
      </c>
      <c r="X4" s="138" t="s">
        <v>160</v>
      </c>
      <c r="Y4" s="138" t="s">
        <v>171</v>
      </c>
      <c r="Z4" s="138" t="s">
        <v>145</v>
      </c>
      <c r="AA4" s="138" t="s">
        <v>146</v>
      </c>
      <c r="AB4" s="138" t="s">
        <v>147</v>
      </c>
      <c r="AC4" s="138" t="s">
        <v>163</v>
      </c>
      <c r="AD4" s="138" t="s">
        <v>148</v>
      </c>
      <c r="AE4" s="138" t="s">
        <v>164</v>
      </c>
      <c r="AF4" s="138" t="s">
        <v>165</v>
      </c>
      <c r="AG4" s="138" t="s">
        <v>142</v>
      </c>
      <c r="AH4" s="138" t="s">
        <v>143</v>
      </c>
      <c r="AI4" s="138" t="s">
        <v>152</v>
      </c>
      <c r="AJ4" s="138" t="s">
        <v>169</v>
      </c>
      <c r="AK4" s="138" t="s">
        <v>170</v>
      </c>
      <c r="AL4" s="138" t="s">
        <v>1</v>
      </c>
      <c r="AN4" s="138" t="s">
        <v>172</v>
      </c>
      <c r="AO4" s="138" t="s">
        <v>173</v>
      </c>
      <c r="AP4" s="138" t="s">
        <v>174</v>
      </c>
      <c r="AQ4" s="138" t="s">
        <v>175</v>
      </c>
      <c r="AR4" s="140" t="s">
        <v>176</v>
      </c>
      <c r="AS4" s="140" t="s">
        <v>177</v>
      </c>
    </row>
    <row r="5" spans="1:56" ht="18.75">
      <c r="A5" s="131"/>
      <c r="B5" s="141"/>
      <c r="W5" s="28"/>
      <c r="X5" s="28"/>
      <c r="Y5" s="28"/>
      <c r="Z5" s="28"/>
      <c r="AA5" s="28"/>
      <c r="AB5" s="28"/>
      <c r="AC5" s="28"/>
      <c r="AD5" s="28"/>
    </row>
    <row r="6" spans="1:56" ht="18.75">
      <c r="A6" s="142" t="s">
        <v>47</v>
      </c>
      <c r="B6" s="143" t="s">
        <v>109</v>
      </c>
      <c r="C6" s="144"/>
      <c r="D6" s="144"/>
      <c r="E6" s="144"/>
      <c r="F6" s="144"/>
      <c r="G6" s="144"/>
      <c r="H6" s="144"/>
      <c r="I6" s="145"/>
      <c r="J6" s="145"/>
      <c r="K6" s="145"/>
      <c r="L6" s="145"/>
      <c r="M6" s="144"/>
      <c r="N6" s="144"/>
      <c r="O6" s="146"/>
      <c r="P6" s="146"/>
      <c r="Q6" s="147"/>
      <c r="R6" s="146"/>
      <c r="S6" s="146"/>
      <c r="U6" s="148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50"/>
      <c r="AH6" s="150"/>
      <c r="AI6" s="150"/>
      <c r="AJ6" s="150"/>
      <c r="AK6" s="150"/>
      <c r="AL6" s="151"/>
      <c r="AM6" s="29"/>
      <c r="AN6" s="151"/>
      <c r="AO6" s="151"/>
      <c r="AP6" s="151"/>
      <c r="AQ6" s="151"/>
      <c r="AR6" s="151"/>
      <c r="AS6" s="151"/>
    </row>
    <row r="7" spans="1:56" ht="18.75">
      <c r="A7" s="142" t="s">
        <v>47</v>
      </c>
      <c r="B7" s="143" t="s">
        <v>110</v>
      </c>
      <c r="C7" s="144"/>
      <c r="D7" s="144"/>
      <c r="E7" s="144"/>
      <c r="F7" s="144"/>
      <c r="G7" s="145"/>
      <c r="H7" s="145"/>
      <c r="I7" s="145"/>
      <c r="J7" s="145"/>
      <c r="K7" s="145"/>
      <c r="L7" s="145"/>
      <c r="M7" s="144"/>
      <c r="N7" s="144"/>
      <c r="O7" s="146"/>
      <c r="P7" s="146"/>
      <c r="Q7" s="147"/>
      <c r="R7" s="145"/>
      <c r="S7" s="145"/>
      <c r="U7" s="148"/>
      <c r="V7" s="145"/>
      <c r="W7" s="145"/>
      <c r="X7" s="145"/>
      <c r="Y7" s="145"/>
      <c r="Z7" s="149"/>
      <c r="AA7" s="145"/>
      <c r="AB7" s="145"/>
      <c r="AC7" s="145"/>
      <c r="AD7" s="145"/>
      <c r="AE7" s="145"/>
      <c r="AF7" s="145"/>
      <c r="AG7" s="146"/>
      <c r="AH7" s="146"/>
      <c r="AI7" s="146"/>
      <c r="AJ7" s="152"/>
      <c r="AK7" s="152"/>
      <c r="AL7" s="151"/>
      <c r="AM7" s="29"/>
      <c r="AN7" s="151"/>
      <c r="AO7" s="151"/>
      <c r="AP7" s="151"/>
      <c r="AQ7" s="151"/>
      <c r="AR7" s="151"/>
      <c r="AS7" s="151"/>
    </row>
    <row r="8" spans="1:56" ht="18.75">
      <c r="A8" s="142" t="s">
        <v>47</v>
      </c>
      <c r="B8" s="143" t="s">
        <v>111</v>
      </c>
      <c r="C8" s="153"/>
      <c r="D8" s="153"/>
      <c r="E8" s="144"/>
      <c r="F8" s="153"/>
      <c r="G8" s="154"/>
      <c r="H8" s="154"/>
      <c r="I8" s="154"/>
      <c r="J8" s="154"/>
      <c r="K8" s="154"/>
      <c r="L8" s="154"/>
      <c r="M8" s="153"/>
      <c r="N8" s="153"/>
      <c r="O8" s="146"/>
      <c r="P8" s="146"/>
      <c r="Q8" s="147"/>
      <c r="R8" s="155"/>
      <c r="S8" s="155"/>
      <c r="U8" s="156"/>
      <c r="V8" s="145"/>
      <c r="W8" s="145"/>
      <c r="X8" s="145"/>
      <c r="Y8" s="145"/>
      <c r="Z8" s="149"/>
      <c r="AA8" s="145"/>
      <c r="AB8" s="145"/>
      <c r="AC8" s="145"/>
      <c r="AD8" s="145"/>
      <c r="AE8" s="145"/>
      <c r="AF8" s="145"/>
      <c r="AG8" s="146"/>
      <c r="AH8" s="146"/>
      <c r="AI8" s="146"/>
      <c r="AJ8" s="152"/>
      <c r="AK8" s="152"/>
      <c r="AL8" s="151"/>
      <c r="AM8" s="29"/>
      <c r="AN8" s="151"/>
      <c r="AO8" s="151"/>
      <c r="AP8" s="151"/>
      <c r="AQ8" s="151"/>
      <c r="AR8" s="151"/>
      <c r="AS8" s="151"/>
    </row>
    <row r="9" spans="1:56" ht="18.75">
      <c r="A9" s="142" t="s">
        <v>47</v>
      </c>
      <c r="B9" s="157" t="s">
        <v>112</v>
      </c>
      <c r="C9" s="158"/>
      <c r="D9" s="158"/>
      <c r="E9" s="144"/>
      <c r="F9" s="159"/>
      <c r="G9" s="160"/>
      <c r="H9" s="160"/>
      <c r="I9" s="160"/>
      <c r="J9" s="160"/>
      <c r="K9" s="160"/>
      <c r="L9" s="160"/>
      <c r="M9" s="158"/>
      <c r="N9" s="158"/>
      <c r="O9" s="146"/>
      <c r="P9" s="146"/>
      <c r="Q9" s="147"/>
      <c r="R9" s="155"/>
      <c r="S9" s="155"/>
      <c r="U9" s="151"/>
      <c r="V9" s="145"/>
      <c r="W9" s="145"/>
      <c r="X9" s="145"/>
      <c r="Y9" s="145"/>
      <c r="Z9" s="149"/>
      <c r="AA9" s="145"/>
      <c r="AB9" s="145"/>
      <c r="AC9" s="145"/>
      <c r="AD9" s="145"/>
      <c r="AE9" s="145"/>
      <c r="AF9" s="145"/>
      <c r="AG9" s="146"/>
      <c r="AH9" s="146"/>
      <c r="AI9" s="146"/>
      <c r="AJ9" s="152"/>
      <c r="AK9" s="152"/>
      <c r="AL9" s="151"/>
      <c r="AM9" s="29"/>
      <c r="AN9" s="151"/>
      <c r="AO9" s="151"/>
      <c r="AP9" s="151"/>
      <c r="AQ9" s="151"/>
      <c r="AR9" s="151"/>
      <c r="AS9" s="151"/>
      <c r="AU9" s="28"/>
      <c r="AV9" s="28"/>
      <c r="AW9" s="28"/>
      <c r="BB9" s="161"/>
      <c r="BC9" s="161"/>
      <c r="BD9" s="161"/>
    </row>
    <row r="10" spans="1:56" ht="18.75">
      <c r="A10" s="142" t="s">
        <v>102</v>
      </c>
      <c r="B10" s="157" t="s">
        <v>57</v>
      </c>
      <c r="C10" s="158"/>
      <c r="D10" s="158"/>
      <c r="E10" s="144"/>
      <c r="F10" s="159"/>
      <c r="G10" s="160"/>
      <c r="H10" s="160"/>
      <c r="I10" s="160"/>
      <c r="J10" s="160"/>
      <c r="K10" s="160"/>
      <c r="L10" s="160"/>
      <c r="M10" s="158"/>
      <c r="N10" s="158"/>
      <c r="O10" s="146"/>
      <c r="P10" s="146"/>
      <c r="Q10" s="147"/>
      <c r="R10" s="155"/>
      <c r="S10" s="155"/>
      <c r="U10" s="151"/>
      <c r="V10" s="145"/>
      <c r="W10" s="145"/>
      <c r="X10" s="145"/>
      <c r="Y10" s="145"/>
      <c r="Z10" s="149"/>
      <c r="AA10" s="145"/>
      <c r="AB10" s="145"/>
      <c r="AC10" s="145"/>
      <c r="AD10" s="145"/>
      <c r="AE10" s="145"/>
      <c r="AF10" s="145"/>
      <c r="AG10" s="146"/>
      <c r="AH10" s="146"/>
      <c r="AI10" s="146"/>
      <c r="AJ10" s="152"/>
      <c r="AK10" s="152"/>
      <c r="AL10" s="151"/>
      <c r="AM10" s="29"/>
      <c r="AN10" s="151"/>
      <c r="AO10" s="151"/>
      <c r="AP10" s="151"/>
      <c r="AQ10" s="151"/>
      <c r="AR10" s="151"/>
      <c r="AS10" s="151"/>
      <c r="AU10" s="28"/>
      <c r="AV10" s="28"/>
      <c r="AW10" s="28"/>
      <c r="AX10" s="28"/>
      <c r="BC10" s="161"/>
      <c r="BD10" s="161"/>
    </row>
    <row r="11" spans="1:56" ht="18.75">
      <c r="A11" s="142" t="s">
        <v>102</v>
      </c>
      <c r="B11" s="157" t="s">
        <v>113</v>
      </c>
      <c r="C11" s="158"/>
      <c r="D11" s="158"/>
      <c r="E11" s="144"/>
      <c r="F11" s="159"/>
      <c r="G11" s="160"/>
      <c r="H11" s="160"/>
      <c r="I11" s="160"/>
      <c r="J11" s="160"/>
      <c r="K11" s="160"/>
      <c r="L11" s="160"/>
      <c r="M11" s="158"/>
      <c r="N11" s="158"/>
      <c r="O11" s="146"/>
      <c r="P11" s="146"/>
      <c r="Q11" s="147"/>
      <c r="R11" s="155"/>
      <c r="S11" s="155"/>
      <c r="U11" s="151"/>
      <c r="V11" s="145"/>
      <c r="W11" s="145"/>
      <c r="X11" s="145"/>
      <c r="Y11" s="145"/>
      <c r="Z11" s="149"/>
      <c r="AA11" s="145"/>
      <c r="AB11" s="145"/>
      <c r="AC11" s="145"/>
      <c r="AD11" s="145"/>
      <c r="AE11" s="145"/>
      <c r="AF11" s="145"/>
      <c r="AG11" s="146"/>
      <c r="AH11" s="146"/>
      <c r="AI11" s="146"/>
      <c r="AJ11" s="152"/>
      <c r="AK11" s="152"/>
      <c r="AL11" s="151"/>
      <c r="AM11" s="29"/>
      <c r="AN11" s="151"/>
      <c r="AO11" s="151"/>
      <c r="AP11" s="151"/>
      <c r="AQ11" s="151"/>
      <c r="AR11" s="151"/>
      <c r="AS11" s="151"/>
      <c r="AU11" s="28"/>
      <c r="AV11" s="28"/>
      <c r="AW11" s="28"/>
      <c r="BC11" s="161"/>
      <c r="BD11" s="161"/>
    </row>
    <row r="12" spans="1:56" ht="18.75">
      <c r="A12" s="142" t="s">
        <v>102</v>
      </c>
      <c r="B12" s="157" t="s">
        <v>178</v>
      </c>
      <c r="C12" s="158">
        <v>448</v>
      </c>
      <c r="D12" s="158">
        <v>66</v>
      </c>
      <c r="E12" s="144">
        <v>166</v>
      </c>
      <c r="F12" s="159"/>
      <c r="G12" s="160">
        <f>194*0.8</f>
        <v>155.20000000000002</v>
      </c>
      <c r="H12" s="160">
        <f>194*0.2</f>
        <v>38.800000000000004</v>
      </c>
      <c r="I12" s="160">
        <f>78*0.9</f>
        <v>70.2</v>
      </c>
      <c r="J12" s="160">
        <f>78*0.1</f>
        <v>7.8000000000000007</v>
      </c>
      <c r="K12" s="160">
        <f>20/450*350</f>
        <v>15.555555555555555</v>
      </c>
      <c r="L12" s="160">
        <f>20/450*100</f>
        <v>4.4444444444444446</v>
      </c>
      <c r="M12" s="158">
        <v>74</v>
      </c>
      <c r="N12" s="158">
        <v>44</v>
      </c>
      <c r="O12" s="146"/>
      <c r="P12" s="146"/>
      <c r="Q12" s="147">
        <v>8</v>
      </c>
      <c r="R12" s="155"/>
      <c r="S12" s="155"/>
      <c r="U12" s="151" t="s">
        <v>179</v>
      </c>
      <c r="V12" s="145">
        <f t="shared" ref="V12:W17" si="0">D12*500</f>
        <v>33000</v>
      </c>
      <c r="W12" s="145">
        <f t="shared" si="0"/>
        <v>83000</v>
      </c>
      <c r="X12" s="145">
        <f t="shared" ref="X12:X17" si="1">F12*300</f>
        <v>0</v>
      </c>
      <c r="Y12" s="145">
        <f t="shared" ref="Y12:Y17" si="2">G12*6500</f>
        <v>1008800.0000000001</v>
      </c>
      <c r="Z12" s="149">
        <f t="shared" ref="Z12:Z17" si="3">H12*10000</f>
        <v>388000.00000000006</v>
      </c>
      <c r="AA12" s="145">
        <f t="shared" ref="AA12:AA17" si="4">(I12*10000)</f>
        <v>702000</v>
      </c>
      <c r="AB12" s="145">
        <f t="shared" ref="AB12:AB17" si="5">(J12*5000)</f>
        <v>39000</v>
      </c>
      <c r="AC12" s="145">
        <f t="shared" ref="AC12:AC17" si="6">K12*5000</f>
        <v>77777.777777777781</v>
      </c>
      <c r="AD12" s="145">
        <f t="shared" ref="AD12:AD17" si="7">L12*10000</f>
        <v>44444.444444444445</v>
      </c>
      <c r="AE12" s="145">
        <f t="shared" ref="AE12:AE17" si="8">M12*2000</f>
        <v>148000</v>
      </c>
      <c r="AF12" s="145">
        <f t="shared" ref="AF12:AF17" si="9">N12*5000</f>
        <v>220000</v>
      </c>
      <c r="AG12" s="146">
        <f t="shared" ref="AG12:AG17" si="10">O12*15000</f>
        <v>0</v>
      </c>
      <c r="AH12" s="146">
        <f t="shared" ref="AH12:AH17" si="11">P12*25000</f>
        <v>0</v>
      </c>
      <c r="AI12" s="146">
        <f t="shared" ref="AI12:AI17" si="12">Q12*37500</f>
        <v>300000</v>
      </c>
      <c r="AJ12" s="152">
        <f t="shared" ref="AJ12:AJ17" si="13">R12*800</f>
        <v>0</v>
      </c>
      <c r="AK12" s="152">
        <f t="shared" ref="AK12:AK17" si="14">S12*1200</f>
        <v>0</v>
      </c>
      <c r="AL12" s="151">
        <f t="shared" ref="AL12:AL17" si="15">SUM(V12:AK12)</f>
        <v>3044022.2222222225</v>
      </c>
      <c r="AM12" s="29" t="s">
        <v>180</v>
      </c>
      <c r="AN12" s="151">
        <v>63976</v>
      </c>
      <c r="AO12" s="151">
        <v>89795</v>
      </c>
      <c r="AP12" s="151">
        <f t="shared" ref="AP12:AP17" si="16">AN12+AO12</f>
        <v>153771</v>
      </c>
      <c r="AQ12" s="151">
        <f t="shared" ref="AQ12:AQ17" si="17">(500000+115000+308900)/12</f>
        <v>76991.666666666672</v>
      </c>
      <c r="AR12" s="151">
        <f t="shared" ref="AR12:AR17" si="18">-62500/12</f>
        <v>-5208.333333333333</v>
      </c>
      <c r="AS12" s="151">
        <f t="shared" ref="AS12:AS17" si="19">AN12+AO12+AP12+AQ12+AR12</f>
        <v>379325.33333333337</v>
      </c>
      <c r="AU12" s="28"/>
      <c r="AV12" s="28"/>
      <c r="AW12" s="28"/>
      <c r="BC12" s="161"/>
      <c r="BD12" s="161"/>
    </row>
    <row r="13" spans="1:56" ht="18.75">
      <c r="A13" s="142" t="s">
        <v>102</v>
      </c>
      <c r="B13" s="157" t="s">
        <v>181</v>
      </c>
      <c r="C13" s="158">
        <v>485</v>
      </c>
      <c r="D13" s="158">
        <v>83</v>
      </c>
      <c r="E13" s="144">
        <v>207</v>
      </c>
      <c r="F13" s="159"/>
      <c r="G13" s="160">
        <f>194*0.8</f>
        <v>155.20000000000002</v>
      </c>
      <c r="H13" s="160">
        <f>194*0.2</f>
        <v>38.800000000000004</v>
      </c>
      <c r="I13" s="160">
        <f>77*0.9</f>
        <v>69.3</v>
      </c>
      <c r="J13" s="160">
        <f>77*0.1</f>
        <v>7.7</v>
      </c>
      <c r="K13" s="160">
        <f>30/450*350</f>
        <v>23.333333333333332</v>
      </c>
      <c r="L13" s="160">
        <f>30/450*100</f>
        <v>6.666666666666667</v>
      </c>
      <c r="M13" s="158">
        <v>74</v>
      </c>
      <c r="N13" s="158">
        <v>67</v>
      </c>
      <c r="O13" s="146"/>
      <c r="P13" s="146"/>
      <c r="Q13" s="147">
        <v>8</v>
      </c>
      <c r="R13" s="155"/>
      <c r="S13" s="155"/>
      <c r="U13" s="151" t="s">
        <v>179</v>
      </c>
      <c r="V13" s="145">
        <f t="shared" si="0"/>
        <v>41500</v>
      </c>
      <c r="W13" s="145">
        <f t="shared" si="0"/>
        <v>103500</v>
      </c>
      <c r="X13" s="145">
        <f t="shared" si="1"/>
        <v>0</v>
      </c>
      <c r="Y13" s="145">
        <f t="shared" si="2"/>
        <v>1008800.0000000001</v>
      </c>
      <c r="Z13" s="149">
        <f t="shared" si="3"/>
        <v>388000.00000000006</v>
      </c>
      <c r="AA13" s="145">
        <f t="shared" si="4"/>
        <v>693000</v>
      </c>
      <c r="AB13" s="145">
        <f t="shared" si="5"/>
        <v>38500</v>
      </c>
      <c r="AC13" s="145">
        <f t="shared" si="6"/>
        <v>116666.66666666666</v>
      </c>
      <c r="AD13" s="145">
        <f t="shared" si="7"/>
        <v>66666.666666666672</v>
      </c>
      <c r="AE13" s="145">
        <f t="shared" si="8"/>
        <v>148000</v>
      </c>
      <c r="AF13" s="145">
        <f t="shared" si="9"/>
        <v>335000</v>
      </c>
      <c r="AG13" s="146">
        <f t="shared" si="10"/>
        <v>0</v>
      </c>
      <c r="AH13" s="146">
        <f t="shared" si="11"/>
        <v>0</v>
      </c>
      <c r="AI13" s="146">
        <f t="shared" si="12"/>
        <v>300000</v>
      </c>
      <c r="AJ13" s="152">
        <f t="shared" si="13"/>
        <v>0</v>
      </c>
      <c r="AK13" s="152">
        <f t="shared" si="14"/>
        <v>0</v>
      </c>
      <c r="AL13" s="151">
        <f t="shared" si="15"/>
        <v>3239633.333333333</v>
      </c>
      <c r="AM13" s="29" t="s">
        <v>180</v>
      </c>
      <c r="AN13" s="151">
        <v>63976</v>
      </c>
      <c r="AO13" s="151">
        <v>89795</v>
      </c>
      <c r="AP13" s="151">
        <f t="shared" si="16"/>
        <v>153771</v>
      </c>
      <c r="AQ13" s="151">
        <f t="shared" si="17"/>
        <v>76991.666666666672</v>
      </c>
      <c r="AR13" s="151">
        <f t="shared" si="18"/>
        <v>-5208.333333333333</v>
      </c>
      <c r="AS13" s="151">
        <f t="shared" si="19"/>
        <v>379325.33333333337</v>
      </c>
      <c r="AU13" s="28"/>
      <c r="AV13" s="28"/>
      <c r="AW13" s="28"/>
      <c r="BC13" s="161"/>
      <c r="BD13" s="161"/>
    </row>
    <row r="14" spans="1:56" ht="18.75">
      <c r="A14" s="142" t="s">
        <v>102</v>
      </c>
      <c r="B14" s="157" t="s">
        <v>105</v>
      </c>
      <c r="C14" s="158">
        <v>457</v>
      </c>
      <c r="D14" s="158">
        <v>70</v>
      </c>
      <c r="E14" s="144">
        <v>176</v>
      </c>
      <c r="F14" s="159"/>
      <c r="G14" s="160">
        <f>266*0.8</f>
        <v>212.8</v>
      </c>
      <c r="H14" s="160">
        <f>266*0.2</f>
        <v>53.2</v>
      </c>
      <c r="I14" s="160">
        <f>107*0.9</f>
        <v>96.3</v>
      </c>
      <c r="J14" s="160">
        <f>107*0.1</f>
        <v>10.700000000000001</v>
      </c>
      <c r="K14" s="160">
        <f>35/450*350</f>
        <v>27.222222222222221</v>
      </c>
      <c r="L14" s="160">
        <f>35/450*100</f>
        <v>7.7777777777777777</v>
      </c>
      <c r="M14" s="158">
        <v>101</v>
      </c>
      <c r="N14" s="158">
        <v>77</v>
      </c>
      <c r="O14" s="146"/>
      <c r="P14" s="146"/>
      <c r="Q14" s="147">
        <v>8</v>
      </c>
      <c r="R14" s="155"/>
      <c r="S14" s="155"/>
      <c r="U14" s="151" t="s">
        <v>179</v>
      </c>
      <c r="V14" s="145">
        <f t="shared" si="0"/>
        <v>35000</v>
      </c>
      <c r="W14" s="145">
        <f t="shared" si="0"/>
        <v>88000</v>
      </c>
      <c r="X14" s="145">
        <f t="shared" si="1"/>
        <v>0</v>
      </c>
      <c r="Y14" s="145">
        <f t="shared" si="2"/>
        <v>1383200</v>
      </c>
      <c r="Z14" s="149">
        <f t="shared" si="3"/>
        <v>532000</v>
      </c>
      <c r="AA14" s="145">
        <f t="shared" si="4"/>
        <v>963000</v>
      </c>
      <c r="AB14" s="145">
        <f t="shared" si="5"/>
        <v>53500.000000000007</v>
      </c>
      <c r="AC14" s="145">
        <f t="shared" si="6"/>
        <v>136111.11111111109</v>
      </c>
      <c r="AD14" s="145">
        <f t="shared" si="7"/>
        <v>77777.777777777781</v>
      </c>
      <c r="AE14" s="145">
        <f t="shared" si="8"/>
        <v>202000</v>
      </c>
      <c r="AF14" s="145">
        <f t="shared" si="9"/>
        <v>385000</v>
      </c>
      <c r="AG14" s="146">
        <f t="shared" si="10"/>
        <v>0</v>
      </c>
      <c r="AH14" s="146">
        <f t="shared" si="11"/>
        <v>0</v>
      </c>
      <c r="AI14" s="146">
        <f t="shared" si="12"/>
        <v>300000</v>
      </c>
      <c r="AJ14" s="152">
        <f t="shared" si="13"/>
        <v>0</v>
      </c>
      <c r="AK14" s="152">
        <f t="shared" si="14"/>
        <v>0</v>
      </c>
      <c r="AL14" s="151">
        <f t="shared" si="15"/>
        <v>4155588.888888889</v>
      </c>
      <c r="AM14" s="29" t="s">
        <v>180</v>
      </c>
      <c r="AN14" s="151">
        <v>63976</v>
      </c>
      <c r="AO14" s="151">
        <v>89795</v>
      </c>
      <c r="AP14" s="151">
        <f t="shared" si="16"/>
        <v>153771</v>
      </c>
      <c r="AQ14" s="151">
        <f t="shared" si="17"/>
        <v>76991.666666666672</v>
      </c>
      <c r="AR14" s="151">
        <f t="shared" si="18"/>
        <v>-5208.333333333333</v>
      </c>
      <c r="AS14" s="151">
        <f t="shared" si="19"/>
        <v>379325.33333333337</v>
      </c>
      <c r="AU14" s="28"/>
      <c r="AV14" s="28"/>
      <c r="AW14" s="28"/>
      <c r="BC14" s="161"/>
      <c r="BD14" s="161"/>
    </row>
    <row r="15" spans="1:56" ht="18.75">
      <c r="A15" s="142" t="s">
        <v>102</v>
      </c>
      <c r="B15" s="157" t="s">
        <v>106</v>
      </c>
      <c r="C15" s="158">
        <v>516</v>
      </c>
      <c r="D15" s="158">
        <v>70</v>
      </c>
      <c r="E15" s="144">
        <v>176</v>
      </c>
      <c r="F15" s="159"/>
      <c r="G15" s="160">
        <f>417*0.8</f>
        <v>333.6</v>
      </c>
      <c r="H15" s="160">
        <f>417*0.2</f>
        <v>83.4</v>
      </c>
      <c r="I15" s="160">
        <f>167*0.9</f>
        <v>150.30000000000001</v>
      </c>
      <c r="J15" s="160">
        <f>167*0.1</f>
        <v>16.7</v>
      </c>
      <c r="K15" s="160">
        <f>35/450*350</f>
        <v>27.222222222222221</v>
      </c>
      <c r="L15" s="160">
        <f>35/450*100</f>
        <v>7.7777777777777777</v>
      </c>
      <c r="M15" s="158">
        <v>158</v>
      </c>
      <c r="N15" s="158">
        <v>77</v>
      </c>
      <c r="O15" s="146"/>
      <c r="P15" s="146"/>
      <c r="Q15" s="147">
        <v>8</v>
      </c>
      <c r="R15" s="155"/>
      <c r="S15" s="155"/>
      <c r="U15" s="151" t="s">
        <v>179</v>
      </c>
      <c r="V15" s="145">
        <f t="shared" si="0"/>
        <v>35000</v>
      </c>
      <c r="W15" s="145">
        <f t="shared" si="0"/>
        <v>88000</v>
      </c>
      <c r="X15" s="145">
        <f t="shared" si="1"/>
        <v>0</v>
      </c>
      <c r="Y15" s="145">
        <f t="shared" si="2"/>
        <v>2168400</v>
      </c>
      <c r="Z15" s="149">
        <f t="shared" si="3"/>
        <v>834000</v>
      </c>
      <c r="AA15" s="145">
        <f t="shared" si="4"/>
        <v>1503000</v>
      </c>
      <c r="AB15" s="145">
        <f t="shared" si="5"/>
        <v>83500</v>
      </c>
      <c r="AC15" s="145">
        <f t="shared" si="6"/>
        <v>136111.11111111109</v>
      </c>
      <c r="AD15" s="145">
        <f t="shared" si="7"/>
        <v>77777.777777777781</v>
      </c>
      <c r="AE15" s="145">
        <f t="shared" si="8"/>
        <v>316000</v>
      </c>
      <c r="AF15" s="145">
        <f t="shared" si="9"/>
        <v>385000</v>
      </c>
      <c r="AG15" s="146">
        <f t="shared" si="10"/>
        <v>0</v>
      </c>
      <c r="AH15" s="146">
        <f t="shared" si="11"/>
        <v>0</v>
      </c>
      <c r="AI15" s="146">
        <f t="shared" si="12"/>
        <v>300000</v>
      </c>
      <c r="AJ15" s="152">
        <f t="shared" si="13"/>
        <v>0</v>
      </c>
      <c r="AK15" s="152">
        <f t="shared" si="14"/>
        <v>0</v>
      </c>
      <c r="AL15" s="151">
        <f t="shared" si="15"/>
        <v>5926788.888888889</v>
      </c>
      <c r="AM15" s="29" t="s">
        <v>180</v>
      </c>
      <c r="AN15" s="151">
        <v>63976</v>
      </c>
      <c r="AO15" s="151">
        <v>89795</v>
      </c>
      <c r="AP15" s="151">
        <f t="shared" si="16"/>
        <v>153771</v>
      </c>
      <c r="AQ15" s="151">
        <f t="shared" si="17"/>
        <v>76991.666666666672</v>
      </c>
      <c r="AR15" s="151">
        <f t="shared" si="18"/>
        <v>-5208.333333333333</v>
      </c>
      <c r="AS15" s="151">
        <f t="shared" si="19"/>
        <v>379325.33333333337</v>
      </c>
      <c r="AU15" s="28"/>
      <c r="AV15" s="28"/>
      <c r="AW15" s="28"/>
      <c r="BC15" s="161"/>
      <c r="BD15" s="161"/>
    </row>
    <row r="16" spans="1:56" ht="18.75">
      <c r="A16" s="142" t="s">
        <v>102</v>
      </c>
      <c r="B16" s="157" t="s">
        <v>107</v>
      </c>
      <c r="C16" s="158">
        <v>537</v>
      </c>
      <c r="D16" s="158">
        <v>100</v>
      </c>
      <c r="E16" s="144">
        <v>250</v>
      </c>
      <c r="F16" s="159"/>
      <c r="G16" s="160">
        <f>309*0.8</f>
        <v>247.20000000000002</v>
      </c>
      <c r="H16" s="160">
        <f>309*0.2</f>
        <v>61.800000000000004</v>
      </c>
      <c r="I16" s="160">
        <f>124*0.9</f>
        <v>111.60000000000001</v>
      </c>
      <c r="J16" s="160">
        <f>124*0.1</f>
        <v>12.4</v>
      </c>
      <c r="K16" s="160">
        <f>35/450*350</f>
        <v>27.222222222222221</v>
      </c>
      <c r="L16" s="160">
        <f>35/450*100</f>
        <v>7.7777777777777777</v>
      </c>
      <c r="M16" s="158">
        <v>117</v>
      </c>
      <c r="N16" s="158">
        <v>78</v>
      </c>
      <c r="O16" s="146"/>
      <c r="P16" s="146"/>
      <c r="Q16" s="147">
        <v>10</v>
      </c>
      <c r="R16" s="155"/>
      <c r="S16" s="155"/>
      <c r="U16" s="151" t="s">
        <v>179</v>
      </c>
      <c r="V16" s="145">
        <f t="shared" si="0"/>
        <v>50000</v>
      </c>
      <c r="W16" s="145">
        <f t="shared" si="0"/>
        <v>125000</v>
      </c>
      <c r="X16" s="145">
        <f t="shared" si="1"/>
        <v>0</v>
      </c>
      <c r="Y16" s="145">
        <f t="shared" si="2"/>
        <v>1606800</v>
      </c>
      <c r="Z16" s="149">
        <f t="shared" si="3"/>
        <v>618000</v>
      </c>
      <c r="AA16" s="145">
        <f t="shared" si="4"/>
        <v>1116000</v>
      </c>
      <c r="AB16" s="145">
        <f t="shared" si="5"/>
        <v>62000</v>
      </c>
      <c r="AC16" s="145">
        <f t="shared" si="6"/>
        <v>136111.11111111109</v>
      </c>
      <c r="AD16" s="145">
        <f t="shared" si="7"/>
        <v>77777.777777777781</v>
      </c>
      <c r="AE16" s="145">
        <f t="shared" si="8"/>
        <v>234000</v>
      </c>
      <c r="AF16" s="145">
        <f t="shared" si="9"/>
        <v>390000</v>
      </c>
      <c r="AG16" s="146">
        <f t="shared" si="10"/>
        <v>0</v>
      </c>
      <c r="AH16" s="146">
        <f t="shared" si="11"/>
        <v>0</v>
      </c>
      <c r="AI16" s="146">
        <f t="shared" si="12"/>
        <v>375000</v>
      </c>
      <c r="AJ16" s="152">
        <f t="shared" si="13"/>
        <v>0</v>
      </c>
      <c r="AK16" s="152">
        <f t="shared" si="14"/>
        <v>0</v>
      </c>
      <c r="AL16" s="151">
        <f t="shared" si="15"/>
        <v>4790688.888888889</v>
      </c>
      <c r="AM16" s="29" t="s">
        <v>180</v>
      </c>
      <c r="AN16" s="151">
        <v>63976</v>
      </c>
      <c r="AO16" s="151">
        <v>89795</v>
      </c>
      <c r="AP16" s="151">
        <f t="shared" si="16"/>
        <v>153771</v>
      </c>
      <c r="AQ16" s="151">
        <f t="shared" si="17"/>
        <v>76991.666666666672</v>
      </c>
      <c r="AR16" s="151">
        <f t="shared" si="18"/>
        <v>-5208.333333333333</v>
      </c>
      <c r="AS16" s="151">
        <f t="shared" si="19"/>
        <v>379325.33333333337</v>
      </c>
      <c r="AU16" s="28"/>
      <c r="AV16" s="28"/>
      <c r="AW16" s="28"/>
    </row>
    <row r="17" spans="1:49" ht="19.5" thickBot="1">
      <c r="A17" s="142" t="s">
        <v>102</v>
      </c>
      <c r="B17" s="157" t="s">
        <v>108</v>
      </c>
      <c r="C17" s="162">
        <v>579</v>
      </c>
      <c r="D17" s="162">
        <v>85</v>
      </c>
      <c r="E17" s="162">
        <v>210</v>
      </c>
      <c r="F17" s="162"/>
      <c r="G17" s="163">
        <f>356*0.8</f>
        <v>284.8</v>
      </c>
      <c r="H17" s="163">
        <f>356*0.2</f>
        <v>71.2</v>
      </c>
      <c r="I17" s="163">
        <f>142*0.9</f>
        <v>127.8</v>
      </c>
      <c r="J17" s="163">
        <f>142*0.1</f>
        <v>14.200000000000001</v>
      </c>
      <c r="K17" s="163">
        <f>47/450*350</f>
        <v>36.555555555555557</v>
      </c>
      <c r="L17" s="163">
        <f>47/450*100</f>
        <v>10.444444444444445</v>
      </c>
      <c r="M17" s="162">
        <v>134</v>
      </c>
      <c r="N17" s="162">
        <v>108</v>
      </c>
      <c r="O17" s="146"/>
      <c r="P17" s="146"/>
      <c r="Q17" s="147">
        <v>10</v>
      </c>
      <c r="R17" s="163"/>
      <c r="S17" s="163"/>
      <c r="U17" s="151" t="s">
        <v>179</v>
      </c>
      <c r="V17" s="145">
        <f t="shared" si="0"/>
        <v>42500</v>
      </c>
      <c r="W17" s="145">
        <f t="shared" si="0"/>
        <v>105000</v>
      </c>
      <c r="X17" s="145">
        <f t="shared" si="1"/>
        <v>0</v>
      </c>
      <c r="Y17" s="145">
        <f t="shared" si="2"/>
        <v>1851200</v>
      </c>
      <c r="Z17" s="149">
        <f t="shared" si="3"/>
        <v>712000</v>
      </c>
      <c r="AA17" s="145">
        <f t="shared" si="4"/>
        <v>1278000</v>
      </c>
      <c r="AB17" s="145">
        <f t="shared" si="5"/>
        <v>71000</v>
      </c>
      <c r="AC17" s="145">
        <f t="shared" si="6"/>
        <v>182777.77777777778</v>
      </c>
      <c r="AD17" s="145">
        <f t="shared" si="7"/>
        <v>104444.44444444445</v>
      </c>
      <c r="AE17" s="145">
        <f t="shared" si="8"/>
        <v>268000</v>
      </c>
      <c r="AF17" s="145">
        <f t="shared" si="9"/>
        <v>540000</v>
      </c>
      <c r="AG17" s="146">
        <f t="shared" si="10"/>
        <v>0</v>
      </c>
      <c r="AH17" s="146">
        <f t="shared" si="11"/>
        <v>0</v>
      </c>
      <c r="AI17" s="146">
        <f t="shared" si="12"/>
        <v>375000</v>
      </c>
      <c r="AJ17" s="152">
        <f t="shared" si="13"/>
        <v>0</v>
      </c>
      <c r="AK17" s="152">
        <f t="shared" si="14"/>
        <v>0</v>
      </c>
      <c r="AL17" s="151">
        <f t="shared" si="15"/>
        <v>5529922.222222222</v>
      </c>
      <c r="AM17" s="29" t="s">
        <v>180</v>
      </c>
      <c r="AN17" s="151">
        <v>63976</v>
      </c>
      <c r="AO17" s="151">
        <v>89795</v>
      </c>
      <c r="AP17" s="151">
        <f t="shared" si="16"/>
        <v>153771</v>
      </c>
      <c r="AQ17" s="151">
        <f t="shared" si="17"/>
        <v>76991.666666666672</v>
      </c>
      <c r="AR17" s="151">
        <f t="shared" si="18"/>
        <v>-5208.333333333333</v>
      </c>
      <c r="AS17" s="151">
        <f t="shared" si="19"/>
        <v>379325.33333333337</v>
      </c>
      <c r="AU17" s="28"/>
      <c r="AV17" s="28"/>
      <c r="AW17" s="28"/>
    </row>
    <row r="18" spans="1:49" ht="19.5" thickTop="1">
      <c r="A18" s="164"/>
      <c r="C18" s="141">
        <f t="shared" ref="C18:S18" si="20">SUM(C6:C17)</f>
        <v>3022</v>
      </c>
      <c r="D18" s="141">
        <f t="shared" si="20"/>
        <v>474</v>
      </c>
      <c r="E18" s="165">
        <f t="shared" si="20"/>
        <v>1185</v>
      </c>
      <c r="F18" s="165">
        <f t="shared" si="20"/>
        <v>0</v>
      </c>
      <c r="G18" s="166">
        <f t="shared" si="20"/>
        <v>1388.8</v>
      </c>
      <c r="H18" s="166">
        <f t="shared" si="20"/>
        <v>347.2</v>
      </c>
      <c r="I18" s="166">
        <f t="shared" si="20"/>
        <v>625.5</v>
      </c>
      <c r="J18" s="166">
        <f t="shared" si="20"/>
        <v>69.5</v>
      </c>
      <c r="K18" s="166">
        <f t="shared" si="20"/>
        <v>157.11111111111114</v>
      </c>
      <c r="L18" s="166">
        <f t="shared" si="20"/>
        <v>44.888888888888886</v>
      </c>
      <c r="M18" s="141">
        <f t="shared" si="20"/>
        <v>658</v>
      </c>
      <c r="N18" s="141">
        <f t="shared" si="20"/>
        <v>451</v>
      </c>
      <c r="O18" s="165">
        <f t="shared" si="20"/>
        <v>0</v>
      </c>
      <c r="P18" s="165">
        <f t="shared" si="20"/>
        <v>0</v>
      </c>
      <c r="Q18" s="141">
        <f t="shared" si="20"/>
        <v>52</v>
      </c>
      <c r="R18" s="166">
        <f t="shared" si="20"/>
        <v>0</v>
      </c>
      <c r="S18" s="166">
        <f t="shared" si="20"/>
        <v>0</v>
      </c>
      <c r="V18" s="167">
        <f t="shared" ref="V18:AL18" si="21">SUM(V6:V17)</f>
        <v>237000</v>
      </c>
      <c r="W18" s="167">
        <f t="shared" si="21"/>
        <v>592500</v>
      </c>
      <c r="X18" s="167">
        <f t="shared" si="21"/>
        <v>0</v>
      </c>
      <c r="Y18" s="167">
        <f t="shared" si="21"/>
        <v>9027200</v>
      </c>
      <c r="Z18" s="167">
        <f t="shared" si="21"/>
        <v>3472000</v>
      </c>
      <c r="AA18" s="167">
        <f t="shared" si="21"/>
        <v>6255000</v>
      </c>
      <c r="AB18" s="167">
        <f t="shared" si="21"/>
        <v>347500</v>
      </c>
      <c r="AC18" s="167">
        <f t="shared" si="21"/>
        <v>785555.5555555555</v>
      </c>
      <c r="AD18" s="167">
        <f t="shared" si="21"/>
        <v>448888.88888888893</v>
      </c>
      <c r="AE18" s="167">
        <f t="shared" si="21"/>
        <v>1316000</v>
      </c>
      <c r="AF18" s="167">
        <f t="shared" si="21"/>
        <v>2255000</v>
      </c>
      <c r="AG18" s="167">
        <f t="shared" si="21"/>
        <v>0</v>
      </c>
      <c r="AH18" s="167">
        <f t="shared" si="21"/>
        <v>0</v>
      </c>
      <c r="AI18" s="167">
        <f t="shared" si="21"/>
        <v>1950000</v>
      </c>
      <c r="AJ18" s="167">
        <f t="shared" si="21"/>
        <v>0</v>
      </c>
      <c r="AK18" s="167">
        <f t="shared" si="21"/>
        <v>0</v>
      </c>
      <c r="AL18" s="168">
        <f t="shared" si="21"/>
        <v>26686644.44444444</v>
      </c>
      <c r="AN18" s="169">
        <f t="shared" ref="AN18:AS18" si="22">SUM(AN6:AN17)</f>
        <v>383856</v>
      </c>
      <c r="AO18" s="169">
        <f t="shared" si="22"/>
        <v>538770</v>
      </c>
      <c r="AP18" s="169">
        <f t="shared" si="22"/>
        <v>922626</v>
      </c>
      <c r="AQ18" s="169">
        <f>SUM(AQ6:AQ17)</f>
        <v>461950.00000000006</v>
      </c>
      <c r="AR18" s="169">
        <f t="shared" si="22"/>
        <v>-31249.999999999996</v>
      </c>
      <c r="AS18" s="169">
        <f t="shared" si="22"/>
        <v>2275952.0000000005</v>
      </c>
    </row>
    <row r="19" spans="1:49" ht="18.75"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70"/>
      <c r="AH19" s="170"/>
      <c r="AI19" s="170"/>
      <c r="AJ19" s="170"/>
      <c r="AK19" s="131"/>
      <c r="AL19" s="169"/>
      <c r="AO19" s="171"/>
    </row>
    <row r="20" spans="1:49" ht="18.75">
      <c r="B20" s="172" t="s">
        <v>182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V20" s="170">
        <f>V18</f>
        <v>237000</v>
      </c>
      <c r="W20" s="170">
        <f>W18</f>
        <v>592500</v>
      </c>
      <c r="X20" s="170">
        <f>X18</f>
        <v>0</v>
      </c>
      <c r="Y20" s="170"/>
      <c r="Z20" s="170"/>
      <c r="AA20" s="170"/>
      <c r="AB20" s="170"/>
      <c r="AC20" s="170"/>
      <c r="AD20" s="170"/>
      <c r="AE20" s="170">
        <f>AE18</f>
        <v>1316000</v>
      </c>
      <c r="AF20" s="170">
        <f>AF18</f>
        <v>2255000</v>
      </c>
      <c r="AG20" s="170">
        <f>AG18</f>
        <v>0</v>
      </c>
      <c r="AH20" s="170">
        <f>AH18</f>
        <v>0</v>
      </c>
      <c r="AI20" s="170"/>
      <c r="AJ20" s="170">
        <f>AJ18</f>
        <v>0</v>
      </c>
      <c r="AK20" s="170">
        <f>AK18</f>
        <v>0</v>
      </c>
      <c r="AL20" s="169">
        <f>SUM(V20:AK20)</f>
        <v>4400500</v>
      </c>
      <c r="AO20" s="173"/>
      <c r="AP20" s="28"/>
    </row>
    <row r="21" spans="1:49" ht="18.75">
      <c r="B21" s="172" t="s">
        <v>183</v>
      </c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V21" s="170"/>
      <c r="W21" s="170"/>
      <c r="X21" s="170"/>
      <c r="Y21" s="170">
        <f t="shared" ref="Y21:AD21" si="23">Y18</f>
        <v>9027200</v>
      </c>
      <c r="Z21" s="170">
        <f t="shared" si="23"/>
        <v>3472000</v>
      </c>
      <c r="AA21" s="170">
        <f t="shared" si="23"/>
        <v>6255000</v>
      </c>
      <c r="AB21" s="170">
        <f t="shared" si="23"/>
        <v>347500</v>
      </c>
      <c r="AC21" s="170">
        <f t="shared" si="23"/>
        <v>785555.5555555555</v>
      </c>
      <c r="AD21" s="170">
        <f t="shared" si="23"/>
        <v>448888.88888888893</v>
      </c>
      <c r="AE21" s="170"/>
      <c r="AF21" s="170"/>
      <c r="AG21" s="170"/>
      <c r="AH21" s="170"/>
      <c r="AI21" s="170">
        <f>AI18</f>
        <v>1950000</v>
      </c>
      <c r="AJ21" s="170"/>
      <c r="AK21" s="131"/>
      <c r="AL21" s="169">
        <f>SUM(V21:AK21)</f>
        <v>22286144.444444444</v>
      </c>
      <c r="AO21" s="173"/>
    </row>
    <row r="22" spans="1:49" ht="18.75">
      <c r="B22" s="172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</row>
    <row r="23" spans="1:49" ht="20.25">
      <c r="A23" s="131"/>
      <c r="B23" s="132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R23" s="706"/>
      <c r="S23" s="706"/>
      <c r="T23" s="706"/>
      <c r="U23" s="706"/>
      <c r="V23" s="706"/>
      <c r="W23" s="706"/>
      <c r="X23" s="706"/>
      <c r="Y23" s="706"/>
      <c r="Z23" s="706"/>
      <c r="AA23" s="706"/>
      <c r="AB23" s="133"/>
      <c r="AC23" s="133"/>
      <c r="AD23" s="133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</row>
    <row r="24" spans="1:49" ht="19.5" thickBot="1">
      <c r="A24" s="131"/>
      <c r="C24" s="134"/>
    </row>
    <row r="25" spans="1:49" ht="19.5" customHeight="1" thickBot="1">
      <c r="A25" s="131"/>
      <c r="C25" s="698" t="s">
        <v>153</v>
      </c>
      <c r="D25" s="698"/>
      <c r="E25" s="699"/>
      <c r="F25" s="699"/>
      <c r="G25" s="699"/>
      <c r="H25" s="699"/>
      <c r="I25" s="699"/>
      <c r="J25" s="699"/>
      <c r="K25" s="699"/>
      <c r="L25" s="699"/>
      <c r="M25" s="699"/>
      <c r="N25" s="699"/>
      <c r="O25" s="699"/>
      <c r="P25" s="699"/>
      <c r="Q25" s="699"/>
      <c r="R25" s="700"/>
      <c r="S25" s="135"/>
      <c r="T25" s="135"/>
      <c r="U25" s="701" t="s">
        <v>154</v>
      </c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136"/>
      <c r="AN25" s="703" t="s">
        <v>155</v>
      </c>
      <c r="AO25" s="704"/>
      <c r="AP25" s="704"/>
      <c r="AQ25" s="705"/>
      <c r="AR25" s="705"/>
      <c r="AS25" s="705"/>
    </row>
    <row r="26" spans="1:49" ht="112.5">
      <c r="A26" s="131"/>
      <c r="B26" s="137" t="s">
        <v>184</v>
      </c>
      <c r="C26" s="138" t="s">
        <v>157</v>
      </c>
      <c r="D26" s="138" t="s">
        <v>158</v>
      </c>
      <c r="E26" s="138" t="s">
        <v>159</v>
      </c>
      <c r="F26" s="138" t="s">
        <v>160</v>
      </c>
      <c r="G26" s="138" t="s">
        <v>161</v>
      </c>
      <c r="H26" s="138" t="s">
        <v>162</v>
      </c>
      <c r="I26" s="138" t="s">
        <v>146</v>
      </c>
      <c r="J26" s="138" t="s">
        <v>147</v>
      </c>
      <c r="K26" s="138" t="s">
        <v>163</v>
      </c>
      <c r="L26" s="138" t="s">
        <v>148</v>
      </c>
      <c r="M26" s="138" t="s">
        <v>164</v>
      </c>
      <c r="N26" s="138" t="s">
        <v>165</v>
      </c>
      <c r="O26" s="138" t="s">
        <v>166</v>
      </c>
      <c r="P26" s="138" t="s">
        <v>167</v>
      </c>
      <c r="Q26" s="138" t="s">
        <v>168</v>
      </c>
      <c r="R26" s="138" t="s">
        <v>169</v>
      </c>
      <c r="S26" s="138" t="s">
        <v>170</v>
      </c>
      <c r="T26" s="139"/>
      <c r="U26" s="139" t="s">
        <v>157</v>
      </c>
      <c r="V26" s="138" t="str">
        <f>D26</f>
        <v>Gas Furnance &amp; Boiler Grants</v>
      </c>
      <c r="W26" s="138" t="str">
        <f>E26</f>
        <v>Gas Furnance,Boiler, HW Grants</v>
      </c>
      <c r="X26" s="138" t="s">
        <v>160</v>
      </c>
      <c r="Y26" s="138" t="s">
        <v>171</v>
      </c>
      <c r="Z26" s="138" t="s">
        <v>145</v>
      </c>
      <c r="AA26" s="138" t="s">
        <v>146</v>
      </c>
      <c r="AB26" s="138" t="s">
        <v>147</v>
      </c>
      <c r="AC26" s="138" t="s">
        <v>163</v>
      </c>
      <c r="AD26" s="138" t="s">
        <v>148</v>
      </c>
      <c r="AE26" s="138" t="s">
        <v>164</v>
      </c>
      <c r="AF26" s="138" t="s">
        <v>165</v>
      </c>
      <c r="AG26" s="138" t="s">
        <v>142</v>
      </c>
      <c r="AH26" s="138" t="s">
        <v>143</v>
      </c>
      <c r="AI26" s="138" t="s">
        <v>152</v>
      </c>
      <c r="AJ26" s="138" t="s">
        <v>169</v>
      </c>
      <c r="AK26" s="138" t="s">
        <v>170</v>
      </c>
      <c r="AL26" s="138" t="s">
        <v>1</v>
      </c>
      <c r="AN26" s="138" t="s">
        <v>172</v>
      </c>
      <c r="AO26" s="138" t="s">
        <v>173</v>
      </c>
      <c r="AP26" s="138" t="s">
        <v>174</v>
      </c>
      <c r="AQ26" s="138" t="s">
        <v>175</v>
      </c>
      <c r="AR26" s="140" t="s">
        <v>176</v>
      </c>
      <c r="AS26" s="140" t="s">
        <v>177</v>
      </c>
    </row>
    <row r="27" spans="1:49" ht="18.75">
      <c r="A27" s="131"/>
      <c r="B27" s="141"/>
      <c r="W27" s="28"/>
      <c r="X27" s="28"/>
      <c r="Y27" s="28"/>
      <c r="Z27" s="28"/>
      <c r="AA27" s="28"/>
      <c r="AB27" s="28"/>
      <c r="AC27" s="28"/>
      <c r="AD27" s="28"/>
    </row>
    <row r="28" spans="1:49" ht="18.75">
      <c r="A28" s="142" t="s">
        <v>47</v>
      </c>
      <c r="B28" s="143" t="s">
        <v>109</v>
      </c>
      <c r="C28" s="144">
        <v>631</v>
      </c>
      <c r="D28" s="144">
        <v>69</v>
      </c>
      <c r="E28" s="144">
        <v>173</v>
      </c>
      <c r="F28" s="144"/>
      <c r="G28" s="144">
        <f>120*0.8</f>
        <v>96</v>
      </c>
      <c r="H28" s="144">
        <f>120*0.2</f>
        <v>24</v>
      </c>
      <c r="I28" s="145">
        <f>48*0.9</f>
        <v>43.2</v>
      </c>
      <c r="J28" s="145">
        <f>48*0.1</f>
        <v>4.8000000000000007</v>
      </c>
      <c r="K28" s="145">
        <f>75/450*350</f>
        <v>58.333333333333329</v>
      </c>
      <c r="L28" s="145">
        <f>75/450*100</f>
        <v>16.666666666666664</v>
      </c>
      <c r="M28" s="144">
        <v>46</v>
      </c>
      <c r="N28" s="144">
        <v>167</v>
      </c>
      <c r="O28" s="146"/>
      <c r="P28" s="146"/>
      <c r="Q28" s="147">
        <v>8</v>
      </c>
      <c r="R28" s="146"/>
      <c r="S28" s="146"/>
      <c r="U28" s="148"/>
      <c r="V28" s="149">
        <f>D28*500</f>
        <v>34500</v>
      </c>
      <c r="W28" s="149">
        <f>E28*500</f>
        <v>86500</v>
      </c>
      <c r="X28" s="149">
        <f>F28*300</f>
        <v>0</v>
      </c>
      <c r="Y28" s="149">
        <f>G28*6500</f>
        <v>624000</v>
      </c>
      <c r="Z28" s="149">
        <f>H28*10000</f>
        <v>240000</v>
      </c>
      <c r="AA28" s="149">
        <f t="shared" ref="AA28:AA39" si="24">(I28*10000)</f>
        <v>432000</v>
      </c>
      <c r="AB28" s="149">
        <f>(J28*5000)</f>
        <v>24000.000000000004</v>
      </c>
      <c r="AC28" s="149">
        <f>K28*5000</f>
        <v>291666.66666666663</v>
      </c>
      <c r="AD28" s="149">
        <f>L28*10000</f>
        <v>166666.66666666666</v>
      </c>
      <c r="AE28" s="149">
        <f t="shared" ref="AE28:AE39" si="25">M28*2000</f>
        <v>92000</v>
      </c>
      <c r="AF28" s="149">
        <f t="shared" ref="AF28:AF39" si="26">N28*5000</f>
        <v>835000</v>
      </c>
      <c r="AG28" s="150">
        <f>O28*15000</f>
        <v>0</v>
      </c>
      <c r="AH28" s="150">
        <f>P28*25000</f>
        <v>0</v>
      </c>
      <c r="AI28" s="150">
        <f>Q28*37500</f>
        <v>300000</v>
      </c>
      <c r="AJ28" s="150">
        <f>R28*800</f>
        <v>0</v>
      </c>
      <c r="AK28" s="150">
        <f>S28*1200</f>
        <v>0</v>
      </c>
      <c r="AL28" s="151">
        <f>SUM(V28:AK28)</f>
        <v>3126333.333333333</v>
      </c>
      <c r="AM28" s="29"/>
      <c r="AN28" s="151">
        <v>63976</v>
      </c>
      <c r="AO28" s="151">
        <v>89795</v>
      </c>
      <c r="AP28" s="151">
        <f t="shared" ref="AP28:AP33" si="27">AN28+AO28</f>
        <v>153771</v>
      </c>
      <c r="AQ28" s="151">
        <f t="shared" ref="AQ28:AQ33" si="28">(500000+115000+308900)/12</f>
        <v>76991.666666666672</v>
      </c>
      <c r="AR28" s="151">
        <f t="shared" ref="AR28:AR36" si="29">-62500/12</f>
        <v>-5208.333333333333</v>
      </c>
      <c r="AS28" s="151">
        <f t="shared" ref="AS28:AS34" si="30">AN28+AO28+AP28+AQ28+AR28</f>
        <v>379325.33333333337</v>
      </c>
    </row>
    <row r="29" spans="1:49" ht="18.75">
      <c r="A29" s="142" t="s">
        <v>47</v>
      </c>
      <c r="B29" s="143" t="s">
        <v>110</v>
      </c>
      <c r="C29" s="144">
        <v>587</v>
      </c>
      <c r="D29" s="144">
        <v>129</v>
      </c>
      <c r="E29" s="144">
        <v>322</v>
      </c>
      <c r="F29" s="144"/>
      <c r="G29" s="145">
        <f>89*0.8</f>
        <v>71.2</v>
      </c>
      <c r="H29" s="145">
        <f>89*0.2</f>
        <v>17.8</v>
      </c>
      <c r="I29" s="145">
        <f>36*0.9</f>
        <v>32.4</v>
      </c>
      <c r="J29" s="145">
        <f>36*0.1</f>
        <v>3.6</v>
      </c>
      <c r="K29" s="145">
        <f>56/450*350</f>
        <v>43.555555555555557</v>
      </c>
      <c r="L29" s="145">
        <f>56/450*100</f>
        <v>12.444444444444445</v>
      </c>
      <c r="M29" s="144">
        <v>34</v>
      </c>
      <c r="N29" s="144">
        <v>123</v>
      </c>
      <c r="O29" s="146"/>
      <c r="P29" s="146"/>
      <c r="Q29" s="147">
        <v>8</v>
      </c>
      <c r="R29" s="145"/>
      <c r="S29" s="145"/>
      <c r="U29" s="148"/>
      <c r="V29" s="149">
        <f t="shared" ref="V29:W39" si="31">D29*500</f>
        <v>64500</v>
      </c>
      <c r="W29" s="149">
        <f t="shared" si="31"/>
        <v>161000</v>
      </c>
      <c r="X29" s="145">
        <f t="shared" ref="X29:X39" si="32">F29*300</f>
        <v>0</v>
      </c>
      <c r="Y29" s="145">
        <f t="shared" ref="Y29:Y39" si="33">G29*6500</f>
        <v>462800</v>
      </c>
      <c r="Z29" s="149">
        <f t="shared" ref="Z29:Z39" si="34">H29*10000</f>
        <v>178000</v>
      </c>
      <c r="AA29" s="145">
        <f t="shared" si="24"/>
        <v>324000</v>
      </c>
      <c r="AB29" s="145">
        <f t="shared" ref="AB29:AB39" si="35">(J29*5000)</f>
        <v>18000</v>
      </c>
      <c r="AC29" s="145">
        <f t="shared" ref="AC29:AC39" si="36">K29*5000</f>
        <v>217777.77777777778</v>
      </c>
      <c r="AD29" s="145">
        <f t="shared" ref="AD29:AD39" si="37">L29*10000</f>
        <v>124444.44444444445</v>
      </c>
      <c r="AE29" s="145">
        <f t="shared" si="25"/>
        <v>68000</v>
      </c>
      <c r="AF29" s="145">
        <f t="shared" si="26"/>
        <v>615000</v>
      </c>
      <c r="AG29" s="146">
        <f t="shared" ref="AG29:AG39" si="38">O29*15000</f>
        <v>0</v>
      </c>
      <c r="AH29" s="146">
        <f t="shared" ref="AH29:AH39" si="39">P29*25000</f>
        <v>0</v>
      </c>
      <c r="AI29" s="146">
        <f>Q29*37500</f>
        <v>300000</v>
      </c>
      <c r="AJ29" s="152">
        <f t="shared" ref="AJ29:AJ39" si="40">R29*800</f>
        <v>0</v>
      </c>
      <c r="AK29" s="152">
        <f t="shared" ref="AK29:AK39" si="41">S29*1200</f>
        <v>0</v>
      </c>
      <c r="AL29" s="151">
        <f>SUM(V29:AK29)</f>
        <v>2533522.222222222</v>
      </c>
      <c r="AM29" s="29"/>
      <c r="AN29" s="151">
        <v>63976</v>
      </c>
      <c r="AO29" s="151">
        <v>89795</v>
      </c>
      <c r="AP29" s="151">
        <f t="shared" si="27"/>
        <v>153771</v>
      </c>
      <c r="AQ29" s="151">
        <f t="shared" si="28"/>
        <v>76991.666666666672</v>
      </c>
      <c r="AR29" s="151">
        <f t="shared" si="29"/>
        <v>-5208.333333333333</v>
      </c>
      <c r="AS29" s="151">
        <f t="shared" si="30"/>
        <v>379325.33333333337</v>
      </c>
    </row>
    <row r="30" spans="1:49" ht="18.75">
      <c r="A30" s="142" t="s">
        <v>47</v>
      </c>
      <c r="B30" s="143" t="s">
        <v>111</v>
      </c>
      <c r="C30" s="153">
        <v>748</v>
      </c>
      <c r="D30" s="153">
        <v>62</v>
      </c>
      <c r="E30" s="144">
        <v>156</v>
      </c>
      <c r="F30" s="153"/>
      <c r="G30" s="154">
        <f>84*0.8</f>
        <v>67.2</v>
      </c>
      <c r="H30" s="154">
        <f>84*0.2</f>
        <v>16.8</v>
      </c>
      <c r="I30" s="154">
        <f>33*0.9</f>
        <v>29.7</v>
      </c>
      <c r="J30" s="154">
        <f>33*0.1</f>
        <v>3.3000000000000003</v>
      </c>
      <c r="K30" s="154">
        <f>64/450*350</f>
        <v>49.777777777777779</v>
      </c>
      <c r="L30" s="154">
        <f>64/450*100</f>
        <v>14.222222222222221</v>
      </c>
      <c r="M30" s="153">
        <v>32</v>
      </c>
      <c r="N30" s="153">
        <v>142</v>
      </c>
      <c r="O30" s="146"/>
      <c r="P30" s="146"/>
      <c r="Q30" s="147">
        <v>8</v>
      </c>
      <c r="R30" s="155"/>
      <c r="S30" s="155"/>
      <c r="U30" s="156"/>
      <c r="V30" s="149">
        <f t="shared" si="31"/>
        <v>31000</v>
      </c>
      <c r="W30" s="149">
        <f t="shared" si="31"/>
        <v>78000</v>
      </c>
      <c r="X30" s="145">
        <f t="shared" si="32"/>
        <v>0</v>
      </c>
      <c r="Y30" s="145">
        <f t="shared" si="33"/>
        <v>436800</v>
      </c>
      <c r="Z30" s="149">
        <f t="shared" si="34"/>
        <v>168000</v>
      </c>
      <c r="AA30" s="145">
        <f t="shared" si="24"/>
        <v>297000</v>
      </c>
      <c r="AB30" s="145">
        <f t="shared" si="35"/>
        <v>16500</v>
      </c>
      <c r="AC30" s="145">
        <f t="shared" si="36"/>
        <v>248888.88888888891</v>
      </c>
      <c r="AD30" s="145">
        <f t="shared" si="37"/>
        <v>142222.22222222222</v>
      </c>
      <c r="AE30" s="145">
        <f t="shared" si="25"/>
        <v>64000</v>
      </c>
      <c r="AF30" s="145">
        <f t="shared" si="26"/>
        <v>710000</v>
      </c>
      <c r="AG30" s="146">
        <f t="shared" si="38"/>
        <v>0</v>
      </c>
      <c r="AH30" s="146">
        <f t="shared" si="39"/>
        <v>0</v>
      </c>
      <c r="AI30" s="146">
        <f t="shared" ref="AI30:AI39" si="42">Q30*37500</f>
        <v>300000</v>
      </c>
      <c r="AJ30" s="152">
        <f t="shared" si="40"/>
        <v>0</v>
      </c>
      <c r="AK30" s="152">
        <f t="shared" si="41"/>
        <v>0</v>
      </c>
      <c r="AL30" s="151">
        <f>SUM(V30:AK30)</f>
        <v>2492411.111111111</v>
      </c>
      <c r="AM30" s="29"/>
      <c r="AN30" s="151">
        <v>63976</v>
      </c>
      <c r="AO30" s="151">
        <v>89795</v>
      </c>
      <c r="AP30" s="151">
        <f t="shared" si="27"/>
        <v>153771</v>
      </c>
      <c r="AQ30" s="151">
        <f t="shared" si="28"/>
        <v>76991.666666666672</v>
      </c>
      <c r="AR30" s="151">
        <f t="shared" si="29"/>
        <v>-5208.333333333333</v>
      </c>
      <c r="AS30" s="151">
        <f t="shared" si="30"/>
        <v>379325.33333333337</v>
      </c>
    </row>
    <row r="31" spans="1:49" ht="18.75">
      <c r="A31" s="142" t="s">
        <v>47</v>
      </c>
      <c r="B31" s="157" t="s">
        <v>112</v>
      </c>
      <c r="C31" s="158">
        <v>667</v>
      </c>
      <c r="D31" s="158">
        <v>86</v>
      </c>
      <c r="E31" s="144">
        <v>215</v>
      </c>
      <c r="F31" s="159"/>
      <c r="G31" s="160">
        <f>110*0.8</f>
        <v>88</v>
      </c>
      <c r="H31" s="160">
        <f>110*0.2</f>
        <v>22</v>
      </c>
      <c r="I31" s="160">
        <f>44*0.9</f>
        <v>39.6</v>
      </c>
      <c r="J31" s="160">
        <f>44*0.1</f>
        <v>4.4000000000000004</v>
      </c>
      <c r="K31" s="160">
        <f>22/450*350</f>
        <v>17.111111111111111</v>
      </c>
      <c r="L31" s="160">
        <f>22/450*100</f>
        <v>4.8888888888888893</v>
      </c>
      <c r="M31" s="158">
        <v>42</v>
      </c>
      <c r="N31" s="158">
        <v>48</v>
      </c>
      <c r="O31" s="146"/>
      <c r="P31" s="146"/>
      <c r="Q31" s="147">
        <v>8</v>
      </c>
      <c r="R31" s="155"/>
      <c r="S31" s="155"/>
      <c r="U31" s="151" t="s">
        <v>179</v>
      </c>
      <c r="V31" s="149">
        <f t="shared" si="31"/>
        <v>43000</v>
      </c>
      <c r="W31" s="149">
        <f t="shared" si="31"/>
        <v>107500</v>
      </c>
      <c r="X31" s="145">
        <f t="shared" si="32"/>
        <v>0</v>
      </c>
      <c r="Y31" s="145">
        <f t="shared" si="33"/>
        <v>572000</v>
      </c>
      <c r="Z31" s="149">
        <f t="shared" si="34"/>
        <v>220000</v>
      </c>
      <c r="AA31" s="145">
        <f t="shared" si="24"/>
        <v>396000</v>
      </c>
      <c r="AB31" s="145">
        <f t="shared" si="35"/>
        <v>22000</v>
      </c>
      <c r="AC31" s="145">
        <f t="shared" si="36"/>
        <v>85555.555555555547</v>
      </c>
      <c r="AD31" s="145">
        <f t="shared" si="37"/>
        <v>48888.888888888891</v>
      </c>
      <c r="AE31" s="145">
        <f t="shared" si="25"/>
        <v>84000</v>
      </c>
      <c r="AF31" s="145">
        <f t="shared" si="26"/>
        <v>240000</v>
      </c>
      <c r="AG31" s="146">
        <f t="shared" si="38"/>
        <v>0</v>
      </c>
      <c r="AH31" s="146">
        <f t="shared" si="39"/>
        <v>0</v>
      </c>
      <c r="AI31" s="146">
        <f t="shared" si="42"/>
        <v>300000</v>
      </c>
      <c r="AJ31" s="152">
        <f t="shared" si="40"/>
        <v>0</v>
      </c>
      <c r="AK31" s="152">
        <f t="shared" si="41"/>
        <v>0</v>
      </c>
      <c r="AL31" s="151">
        <f>SUM(V31:AK31)</f>
        <v>2118944.4444444445</v>
      </c>
      <c r="AM31" s="29"/>
      <c r="AN31" s="151">
        <v>63976</v>
      </c>
      <c r="AO31" s="151">
        <v>89795</v>
      </c>
      <c r="AP31" s="151">
        <f t="shared" si="27"/>
        <v>153771</v>
      </c>
      <c r="AQ31" s="151">
        <f t="shared" si="28"/>
        <v>76991.666666666672</v>
      </c>
      <c r="AR31" s="151">
        <f t="shared" si="29"/>
        <v>-5208.333333333333</v>
      </c>
      <c r="AS31" s="151">
        <f t="shared" si="30"/>
        <v>379325.33333333337</v>
      </c>
    </row>
    <row r="32" spans="1:49" ht="18.75">
      <c r="A32" s="142" t="s">
        <v>102</v>
      </c>
      <c r="B32" s="157" t="s">
        <v>57</v>
      </c>
      <c r="C32" s="158">
        <v>644</v>
      </c>
      <c r="D32" s="158">
        <v>89</v>
      </c>
      <c r="E32" s="144">
        <v>223</v>
      </c>
      <c r="F32" s="159"/>
      <c r="G32" s="160">
        <f>167*0.8</f>
        <v>133.6</v>
      </c>
      <c r="H32" s="160">
        <f>167*0.2</f>
        <v>33.4</v>
      </c>
      <c r="I32" s="160">
        <f>67*0.9</f>
        <v>60.300000000000004</v>
      </c>
      <c r="J32" s="160">
        <f>67*0.1</f>
        <v>6.7</v>
      </c>
      <c r="K32" s="160">
        <f>16/450*350</f>
        <v>12.444444444444445</v>
      </c>
      <c r="L32" s="160">
        <f>16/450*100</f>
        <v>3.5555555555555554</v>
      </c>
      <c r="M32" s="158">
        <v>64</v>
      </c>
      <c r="N32" s="158">
        <v>36</v>
      </c>
      <c r="O32" s="146"/>
      <c r="P32" s="146"/>
      <c r="Q32" s="147">
        <v>8</v>
      </c>
      <c r="R32" s="155"/>
      <c r="S32" s="155"/>
      <c r="U32" s="151" t="s">
        <v>179</v>
      </c>
      <c r="V32" s="149">
        <f t="shared" si="31"/>
        <v>44500</v>
      </c>
      <c r="W32" s="149">
        <f t="shared" si="31"/>
        <v>111500</v>
      </c>
      <c r="X32" s="145">
        <f t="shared" si="32"/>
        <v>0</v>
      </c>
      <c r="Y32" s="145">
        <f t="shared" si="33"/>
        <v>868400</v>
      </c>
      <c r="Z32" s="149">
        <f t="shared" si="34"/>
        <v>334000</v>
      </c>
      <c r="AA32" s="145">
        <f t="shared" si="24"/>
        <v>603000</v>
      </c>
      <c r="AB32" s="145">
        <f t="shared" si="35"/>
        <v>33500</v>
      </c>
      <c r="AC32" s="145">
        <f t="shared" si="36"/>
        <v>62222.222222222226</v>
      </c>
      <c r="AD32" s="145">
        <f t="shared" si="37"/>
        <v>35555.555555555555</v>
      </c>
      <c r="AE32" s="145">
        <f t="shared" si="25"/>
        <v>128000</v>
      </c>
      <c r="AF32" s="145">
        <f t="shared" si="26"/>
        <v>180000</v>
      </c>
      <c r="AG32" s="146">
        <f t="shared" si="38"/>
        <v>0</v>
      </c>
      <c r="AH32" s="146">
        <f t="shared" si="39"/>
        <v>0</v>
      </c>
      <c r="AI32" s="146">
        <f t="shared" si="42"/>
        <v>300000</v>
      </c>
      <c r="AJ32" s="152">
        <f t="shared" si="40"/>
        <v>0</v>
      </c>
      <c r="AK32" s="152">
        <f t="shared" si="41"/>
        <v>0</v>
      </c>
      <c r="AL32" s="151">
        <f t="shared" ref="AL32:AL37" si="43">SUM(V32:AK32)</f>
        <v>2700677.777777778</v>
      </c>
      <c r="AM32" s="29"/>
      <c r="AN32" s="151">
        <v>63976</v>
      </c>
      <c r="AO32" s="151">
        <v>89795</v>
      </c>
      <c r="AP32" s="151">
        <f t="shared" si="27"/>
        <v>153771</v>
      </c>
      <c r="AQ32" s="151">
        <f t="shared" si="28"/>
        <v>76991.666666666672</v>
      </c>
      <c r="AR32" s="151">
        <f t="shared" si="29"/>
        <v>-5208.333333333333</v>
      </c>
      <c r="AS32" s="151">
        <f t="shared" si="30"/>
        <v>379325.33333333337</v>
      </c>
    </row>
    <row r="33" spans="1:45" ht="18.75">
      <c r="A33" s="142" t="s">
        <v>102</v>
      </c>
      <c r="B33" s="157" t="s">
        <v>113</v>
      </c>
      <c r="C33" s="158">
        <v>451</v>
      </c>
      <c r="D33" s="158">
        <v>91</v>
      </c>
      <c r="E33" s="144">
        <v>226</v>
      </c>
      <c r="F33" s="159"/>
      <c r="G33" s="160">
        <f>194*0.8</f>
        <v>155.20000000000002</v>
      </c>
      <c r="H33" s="160">
        <f>194*0.2</f>
        <v>38.800000000000004</v>
      </c>
      <c r="I33" s="160">
        <f>77*0.9</f>
        <v>69.3</v>
      </c>
      <c r="J33" s="160">
        <f>77*0.1</f>
        <v>7.7</v>
      </c>
      <c r="K33" s="160">
        <f>15/450*350</f>
        <v>11.666666666666666</v>
      </c>
      <c r="L33" s="160">
        <f>15/450*100</f>
        <v>3.3333333333333335</v>
      </c>
      <c r="M33" s="158">
        <v>74</v>
      </c>
      <c r="N33" s="158">
        <v>33</v>
      </c>
      <c r="O33" s="146"/>
      <c r="P33" s="146"/>
      <c r="Q33" s="147">
        <v>8</v>
      </c>
      <c r="R33" s="155"/>
      <c r="S33" s="155"/>
      <c r="U33" s="151" t="s">
        <v>179</v>
      </c>
      <c r="V33" s="149">
        <f t="shared" si="31"/>
        <v>45500</v>
      </c>
      <c r="W33" s="149">
        <f t="shared" si="31"/>
        <v>113000</v>
      </c>
      <c r="X33" s="145">
        <f t="shared" si="32"/>
        <v>0</v>
      </c>
      <c r="Y33" s="145">
        <f t="shared" si="33"/>
        <v>1008800.0000000001</v>
      </c>
      <c r="Z33" s="149">
        <f t="shared" si="34"/>
        <v>388000.00000000006</v>
      </c>
      <c r="AA33" s="145">
        <f t="shared" si="24"/>
        <v>693000</v>
      </c>
      <c r="AB33" s="145">
        <f t="shared" si="35"/>
        <v>38500</v>
      </c>
      <c r="AC33" s="145">
        <f t="shared" si="36"/>
        <v>58333.333333333328</v>
      </c>
      <c r="AD33" s="145">
        <f t="shared" si="37"/>
        <v>33333.333333333336</v>
      </c>
      <c r="AE33" s="145">
        <f t="shared" si="25"/>
        <v>148000</v>
      </c>
      <c r="AF33" s="145">
        <f t="shared" si="26"/>
        <v>165000</v>
      </c>
      <c r="AG33" s="146">
        <f t="shared" si="38"/>
        <v>0</v>
      </c>
      <c r="AH33" s="146">
        <f t="shared" si="39"/>
        <v>0</v>
      </c>
      <c r="AI33" s="146">
        <f t="shared" si="42"/>
        <v>300000</v>
      </c>
      <c r="AJ33" s="152">
        <f t="shared" si="40"/>
        <v>0</v>
      </c>
      <c r="AK33" s="152">
        <f t="shared" si="41"/>
        <v>0</v>
      </c>
      <c r="AL33" s="151">
        <f t="shared" si="43"/>
        <v>2991466.666666667</v>
      </c>
      <c r="AM33" s="29"/>
      <c r="AN33" s="151">
        <v>63976</v>
      </c>
      <c r="AO33" s="151">
        <v>89795</v>
      </c>
      <c r="AP33" s="151">
        <f t="shared" si="27"/>
        <v>153771</v>
      </c>
      <c r="AQ33" s="151">
        <f t="shared" si="28"/>
        <v>76991.666666666672</v>
      </c>
      <c r="AR33" s="151">
        <f t="shared" si="29"/>
        <v>-5208.333333333333</v>
      </c>
      <c r="AS33" s="151">
        <f t="shared" si="30"/>
        <v>379325.33333333337</v>
      </c>
    </row>
    <row r="34" spans="1:45" ht="18.75">
      <c r="A34" s="142" t="s">
        <v>102</v>
      </c>
      <c r="B34" s="157" t="s">
        <v>178</v>
      </c>
      <c r="C34" s="158">
        <v>448</v>
      </c>
      <c r="D34" s="158">
        <v>66</v>
      </c>
      <c r="E34" s="144">
        <v>166</v>
      </c>
      <c r="F34" s="159"/>
      <c r="G34" s="160">
        <f>194*0.8</f>
        <v>155.20000000000002</v>
      </c>
      <c r="H34" s="160">
        <f>194*0.2</f>
        <v>38.800000000000004</v>
      </c>
      <c r="I34" s="160">
        <f>78*0.9</f>
        <v>70.2</v>
      </c>
      <c r="J34" s="160">
        <f>78*0.1</f>
        <v>7.8000000000000007</v>
      </c>
      <c r="K34" s="160">
        <f>20/450*350</f>
        <v>15.555555555555555</v>
      </c>
      <c r="L34" s="160">
        <f>20/450*100</f>
        <v>4.4444444444444446</v>
      </c>
      <c r="M34" s="158">
        <v>74</v>
      </c>
      <c r="N34" s="158">
        <v>44</v>
      </c>
      <c r="O34" s="146"/>
      <c r="P34" s="146"/>
      <c r="Q34" s="147">
        <v>8</v>
      </c>
      <c r="R34" s="155"/>
      <c r="S34" s="155"/>
      <c r="U34" s="151" t="s">
        <v>179</v>
      </c>
      <c r="V34" s="149">
        <f t="shared" si="31"/>
        <v>33000</v>
      </c>
      <c r="W34" s="149">
        <f t="shared" si="31"/>
        <v>83000</v>
      </c>
      <c r="X34" s="145">
        <f t="shared" si="32"/>
        <v>0</v>
      </c>
      <c r="Y34" s="145">
        <f t="shared" si="33"/>
        <v>1008800.0000000001</v>
      </c>
      <c r="Z34" s="149">
        <f t="shared" si="34"/>
        <v>388000.00000000006</v>
      </c>
      <c r="AA34" s="145">
        <f t="shared" si="24"/>
        <v>702000</v>
      </c>
      <c r="AB34" s="145">
        <f t="shared" si="35"/>
        <v>39000</v>
      </c>
      <c r="AC34" s="145">
        <f t="shared" si="36"/>
        <v>77777.777777777781</v>
      </c>
      <c r="AD34" s="145">
        <f t="shared" si="37"/>
        <v>44444.444444444445</v>
      </c>
      <c r="AE34" s="145">
        <f t="shared" si="25"/>
        <v>148000</v>
      </c>
      <c r="AF34" s="145">
        <f t="shared" si="26"/>
        <v>220000</v>
      </c>
      <c r="AG34" s="146">
        <f t="shared" si="38"/>
        <v>0</v>
      </c>
      <c r="AH34" s="146">
        <f t="shared" si="39"/>
        <v>0</v>
      </c>
      <c r="AI34" s="146">
        <f t="shared" si="42"/>
        <v>300000</v>
      </c>
      <c r="AJ34" s="152">
        <f t="shared" si="40"/>
        <v>0</v>
      </c>
      <c r="AK34" s="152">
        <f t="shared" si="41"/>
        <v>0</v>
      </c>
      <c r="AL34" s="151">
        <f t="shared" si="43"/>
        <v>3044022.2222222225</v>
      </c>
      <c r="AM34" s="29"/>
      <c r="AN34" s="151">
        <f>(AN12*1.035)+((319429)/12)</f>
        <v>92834.243333333317</v>
      </c>
      <c r="AO34" s="151">
        <f t="shared" ref="AO34:AP36" si="44">AO12*1.035</f>
        <v>92937.824999999997</v>
      </c>
      <c r="AP34" s="151">
        <f t="shared" si="44"/>
        <v>159152.98499999999</v>
      </c>
      <c r="AQ34" s="151">
        <f>(((500000+115000)*1.035)+(308900+100000))/12</f>
        <v>87118.75</v>
      </c>
      <c r="AR34" s="151">
        <f t="shared" si="29"/>
        <v>-5208.333333333333</v>
      </c>
      <c r="AS34" s="151">
        <f t="shared" si="30"/>
        <v>426835.47</v>
      </c>
    </row>
    <row r="35" spans="1:45" ht="18.75">
      <c r="A35" s="142" t="s">
        <v>102</v>
      </c>
      <c r="B35" s="157" t="s">
        <v>181</v>
      </c>
      <c r="C35" s="158">
        <v>485</v>
      </c>
      <c r="D35" s="158">
        <v>83</v>
      </c>
      <c r="E35" s="144">
        <v>207</v>
      </c>
      <c r="F35" s="159"/>
      <c r="G35" s="160">
        <f>194*0.8</f>
        <v>155.20000000000002</v>
      </c>
      <c r="H35" s="160">
        <f>194*0.2</f>
        <v>38.800000000000004</v>
      </c>
      <c r="I35" s="160">
        <f>77*0.9</f>
        <v>69.3</v>
      </c>
      <c r="J35" s="160">
        <f>77*0.1</f>
        <v>7.7</v>
      </c>
      <c r="K35" s="160">
        <f>30/450*350</f>
        <v>23.333333333333332</v>
      </c>
      <c r="L35" s="160">
        <f>30/450*100</f>
        <v>6.666666666666667</v>
      </c>
      <c r="M35" s="158">
        <v>74</v>
      </c>
      <c r="N35" s="158">
        <v>67</v>
      </c>
      <c r="O35" s="146"/>
      <c r="P35" s="146"/>
      <c r="Q35" s="147">
        <v>8</v>
      </c>
      <c r="R35" s="155"/>
      <c r="S35" s="155"/>
      <c r="U35" s="151" t="s">
        <v>179</v>
      </c>
      <c r="V35" s="149">
        <f t="shared" si="31"/>
        <v>41500</v>
      </c>
      <c r="W35" s="149">
        <f t="shared" si="31"/>
        <v>103500</v>
      </c>
      <c r="X35" s="145">
        <f t="shared" si="32"/>
        <v>0</v>
      </c>
      <c r="Y35" s="145">
        <f t="shared" si="33"/>
        <v>1008800.0000000001</v>
      </c>
      <c r="Z35" s="149">
        <f t="shared" si="34"/>
        <v>388000.00000000006</v>
      </c>
      <c r="AA35" s="145">
        <f t="shared" si="24"/>
        <v>693000</v>
      </c>
      <c r="AB35" s="145">
        <f t="shared" si="35"/>
        <v>38500</v>
      </c>
      <c r="AC35" s="145">
        <f t="shared" si="36"/>
        <v>116666.66666666666</v>
      </c>
      <c r="AD35" s="145">
        <f t="shared" si="37"/>
        <v>66666.666666666672</v>
      </c>
      <c r="AE35" s="145">
        <f t="shared" si="25"/>
        <v>148000</v>
      </c>
      <c r="AF35" s="145">
        <f t="shared" si="26"/>
        <v>335000</v>
      </c>
      <c r="AG35" s="146">
        <f t="shared" si="38"/>
        <v>0</v>
      </c>
      <c r="AH35" s="146">
        <f t="shared" si="39"/>
        <v>0</v>
      </c>
      <c r="AI35" s="146">
        <f t="shared" si="42"/>
        <v>300000</v>
      </c>
      <c r="AJ35" s="152">
        <f t="shared" si="40"/>
        <v>0</v>
      </c>
      <c r="AK35" s="152">
        <f t="shared" si="41"/>
        <v>0</v>
      </c>
      <c r="AL35" s="151">
        <f t="shared" si="43"/>
        <v>3239633.333333333</v>
      </c>
      <c r="AM35" s="29"/>
      <c r="AN35" s="151">
        <f>(AN13*1.035)+((319429)/12)</f>
        <v>92834.243333333317</v>
      </c>
      <c r="AO35" s="151">
        <f t="shared" si="44"/>
        <v>92937.824999999997</v>
      </c>
      <c r="AP35" s="151">
        <f t="shared" si="44"/>
        <v>159152.98499999999</v>
      </c>
      <c r="AQ35" s="151">
        <f>(((500000+115000)*1.035)+(308900+100000))/12</f>
        <v>87118.75</v>
      </c>
      <c r="AR35" s="151">
        <f t="shared" si="29"/>
        <v>-5208.333333333333</v>
      </c>
      <c r="AS35" s="151">
        <f>AN35+AO35+AP35+AQ35+AR35</f>
        <v>426835.47</v>
      </c>
    </row>
    <row r="36" spans="1:45" ht="18.75">
      <c r="A36" s="142" t="s">
        <v>102</v>
      </c>
      <c r="B36" s="157" t="s">
        <v>105</v>
      </c>
      <c r="C36" s="158">
        <v>457</v>
      </c>
      <c r="D36" s="158">
        <v>70</v>
      </c>
      <c r="E36" s="144">
        <v>176</v>
      </c>
      <c r="F36" s="159"/>
      <c r="G36" s="160">
        <f>266*0.8</f>
        <v>212.8</v>
      </c>
      <c r="H36" s="160">
        <f>266*0.2</f>
        <v>53.2</v>
      </c>
      <c r="I36" s="160">
        <f>107*0.9</f>
        <v>96.3</v>
      </c>
      <c r="J36" s="160">
        <f>107*0.1</f>
        <v>10.700000000000001</v>
      </c>
      <c r="K36" s="160">
        <f>35/450*350</f>
        <v>27.222222222222221</v>
      </c>
      <c r="L36" s="160">
        <f>35/450*100</f>
        <v>7.7777777777777777</v>
      </c>
      <c r="M36" s="158">
        <v>101</v>
      </c>
      <c r="N36" s="158">
        <v>77</v>
      </c>
      <c r="O36" s="146"/>
      <c r="P36" s="146"/>
      <c r="Q36" s="147">
        <v>8</v>
      </c>
      <c r="R36" s="155"/>
      <c r="S36" s="155"/>
      <c r="U36" s="151" t="s">
        <v>179</v>
      </c>
      <c r="V36" s="149">
        <f t="shared" si="31"/>
        <v>35000</v>
      </c>
      <c r="W36" s="149">
        <f t="shared" si="31"/>
        <v>88000</v>
      </c>
      <c r="X36" s="145">
        <f t="shared" si="32"/>
        <v>0</v>
      </c>
      <c r="Y36" s="145">
        <f t="shared" si="33"/>
        <v>1383200</v>
      </c>
      <c r="Z36" s="149">
        <f t="shared" si="34"/>
        <v>532000</v>
      </c>
      <c r="AA36" s="145">
        <f t="shared" si="24"/>
        <v>963000</v>
      </c>
      <c r="AB36" s="145">
        <f t="shared" si="35"/>
        <v>53500.000000000007</v>
      </c>
      <c r="AC36" s="145">
        <f t="shared" si="36"/>
        <v>136111.11111111109</v>
      </c>
      <c r="AD36" s="145">
        <f t="shared" si="37"/>
        <v>77777.777777777781</v>
      </c>
      <c r="AE36" s="145">
        <f t="shared" si="25"/>
        <v>202000</v>
      </c>
      <c r="AF36" s="145">
        <f t="shared" si="26"/>
        <v>385000</v>
      </c>
      <c r="AG36" s="146">
        <f t="shared" si="38"/>
        <v>0</v>
      </c>
      <c r="AH36" s="146">
        <f t="shared" si="39"/>
        <v>0</v>
      </c>
      <c r="AI36" s="146">
        <f t="shared" si="42"/>
        <v>300000</v>
      </c>
      <c r="AJ36" s="152">
        <f t="shared" si="40"/>
        <v>0</v>
      </c>
      <c r="AK36" s="152">
        <f t="shared" si="41"/>
        <v>0</v>
      </c>
      <c r="AL36" s="151">
        <f t="shared" si="43"/>
        <v>4155588.888888889</v>
      </c>
      <c r="AM36" s="29"/>
      <c r="AN36" s="151">
        <f>(AN14*1.035)+((319429)/12)</f>
        <v>92834.243333333317</v>
      </c>
      <c r="AO36" s="151">
        <f t="shared" si="44"/>
        <v>92937.824999999997</v>
      </c>
      <c r="AP36" s="151">
        <f t="shared" si="44"/>
        <v>159152.98499999999</v>
      </c>
      <c r="AQ36" s="151">
        <f>(((500000+115000)*1.035)+(308900+100000))/12</f>
        <v>87118.75</v>
      </c>
      <c r="AR36" s="151">
        <f t="shared" si="29"/>
        <v>-5208.333333333333</v>
      </c>
      <c r="AS36" s="151">
        <f>AN36+AO36+AP36+AQ36+AR36</f>
        <v>426835.47</v>
      </c>
    </row>
    <row r="37" spans="1:45" ht="18.75">
      <c r="A37" s="142" t="s">
        <v>102</v>
      </c>
      <c r="B37" s="157" t="s">
        <v>106</v>
      </c>
      <c r="C37" s="158">
        <v>516</v>
      </c>
      <c r="D37" s="158">
        <v>70</v>
      </c>
      <c r="E37" s="144">
        <v>176</v>
      </c>
      <c r="F37" s="159"/>
      <c r="G37" s="160">
        <f>417*0.8</f>
        <v>333.6</v>
      </c>
      <c r="H37" s="160">
        <f>417*0.2</f>
        <v>83.4</v>
      </c>
      <c r="I37" s="160">
        <f>167*0.9</f>
        <v>150.30000000000001</v>
      </c>
      <c r="J37" s="160">
        <f>167*0.1</f>
        <v>16.7</v>
      </c>
      <c r="K37" s="160">
        <f>35/450*350</f>
        <v>27.222222222222221</v>
      </c>
      <c r="L37" s="160">
        <f>35/450*100</f>
        <v>7.7777777777777777</v>
      </c>
      <c r="M37" s="158">
        <v>158</v>
      </c>
      <c r="N37" s="158">
        <v>77</v>
      </c>
      <c r="O37" s="146"/>
      <c r="P37" s="146"/>
      <c r="Q37" s="147">
        <v>8</v>
      </c>
      <c r="R37" s="155"/>
      <c r="S37" s="155"/>
      <c r="U37" s="151" t="s">
        <v>179</v>
      </c>
      <c r="V37" s="149">
        <f t="shared" si="31"/>
        <v>35000</v>
      </c>
      <c r="W37" s="149">
        <f t="shared" si="31"/>
        <v>88000</v>
      </c>
      <c r="X37" s="145">
        <f t="shared" si="32"/>
        <v>0</v>
      </c>
      <c r="Y37" s="145">
        <f t="shared" si="33"/>
        <v>2168400</v>
      </c>
      <c r="Z37" s="149">
        <f t="shared" si="34"/>
        <v>834000</v>
      </c>
      <c r="AA37" s="145">
        <f t="shared" si="24"/>
        <v>1503000</v>
      </c>
      <c r="AB37" s="145">
        <f t="shared" si="35"/>
        <v>83500</v>
      </c>
      <c r="AC37" s="145">
        <f t="shared" si="36"/>
        <v>136111.11111111109</v>
      </c>
      <c r="AD37" s="145">
        <f t="shared" si="37"/>
        <v>77777.777777777781</v>
      </c>
      <c r="AE37" s="145">
        <f t="shared" si="25"/>
        <v>316000</v>
      </c>
      <c r="AF37" s="145">
        <f t="shared" si="26"/>
        <v>385000</v>
      </c>
      <c r="AG37" s="146">
        <f t="shared" si="38"/>
        <v>0</v>
      </c>
      <c r="AH37" s="146">
        <f t="shared" si="39"/>
        <v>0</v>
      </c>
      <c r="AI37" s="146">
        <f t="shared" si="42"/>
        <v>300000</v>
      </c>
      <c r="AJ37" s="152">
        <f t="shared" si="40"/>
        <v>0</v>
      </c>
      <c r="AK37" s="152">
        <f t="shared" si="41"/>
        <v>0</v>
      </c>
      <c r="AL37" s="151">
        <f t="shared" si="43"/>
        <v>5926788.888888889</v>
      </c>
      <c r="AM37" s="29" t="s">
        <v>180</v>
      </c>
      <c r="AN37" s="174">
        <v>281279.12</v>
      </c>
      <c r="AO37" s="174">
        <v>0</v>
      </c>
      <c r="AP37" s="174">
        <v>0</v>
      </c>
      <c r="AQ37" s="174">
        <v>31812.240000000002</v>
      </c>
      <c r="AR37" s="174">
        <v>-5208.333333333333</v>
      </c>
      <c r="AS37" s="174">
        <v>307883.02666666667</v>
      </c>
    </row>
    <row r="38" spans="1:45" ht="18.75">
      <c r="A38" s="142" t="s">
        <v>102</v>
      </c>
      <c r="B38" s="157" t="s">
        <v>107</v>
      </c>
      <c r="C38" s="158">
        <v>537</v>
      </c>
      <c r="D38" s="158">
        <v>100</v>
      </c>
      <c r="E38" s="144">
        <v>250</v>
      </c>
      <c r="F38" s="159"/>
      <c r="G38" s="160">
        <f>309*0.8</f>
        <v>247.20000000000002</v>
      </c>
      <c r="H38" s="160">
        <f>309*0.2</f>
        <v>61.800000000000004</v>
      </c>
      <c r="I38" s="160">
        <f>124*0.9</f>
        <v>111.60000000000001</v>
      </c>
      <c r="J38" s="160">
        <f>124*0.1</f>
        <v>12.4</v>
      </c>
      <c r="K38" s="160">
        <f>35/450*350</f>
        <v>27.222222222222221</v>
      </c>
      <c r="L38" s="160">
        <f>35/450*100</f>
        <v>7.7777777777777777</v>
      </c>
      <c r="M38" s="158">
        <v>117</v>
      </c>
      <c r="N38" s="158">
        <v>78</v>
      </c>
      <c r="O38" s="146"/>
      <c r="P38" s="146"/>
      <c r="Q38" s="147">
        <v>10</v>
      </c>
      <c r="R38" s="155"/>
      <c r="S38" s="155"/>
      <c r="U38" s="151" t="s">
        <v>179</v>
      </c>
      <c r="V38" s="149">
        <f t="shared" si="31"/>
        <v>50000</v>
      </c>
      <c r="W38" s="149">
        <f t="shared" si="31"/>
        <v>125000</v>
      </c>
      <c r="X38" s="145">
        <f t="shared" si="32"/>
        <v>0</v>
      </c>
      <c r="Y38" s="145">
        <f t="shared" si="33"/>
        <v>1606800</v>
      </c>
      <c r="Z38" s="149">
        <f t="shared" si="34"/>
        <v>618000</v>
      </c>
      <c r="AA38" s="145">
        <f t="shared" si="24"/>
        <v>1116000</v>
      </c>
      <c r="AB38" s="145">
        <f t="shared" si="35"/>
        <v>62000</v>
      </c>
      <c r="AC38" s="145">
        <f t="shared" si="36"/>
        <v>136111.11111111109</v>
      </c>
      <c r="AD38" s="145">
        <f t="shared" si="37"/>
        <v>77777.777777777781</v>
      </c>
      <c r="AE38" s="145">
        <f t="shared" si="25"/>
        <v>234000</v>
      </c>
      <c r="AF38" s="145">
        <f t="shared" si="26"/>
        <v>390000</v>
      </c>
      <c r="AG38" s="146">
        <f t="shared" si="38"/>
        <v>0</v>
      </c>
      <c r="AH38" s="146">
        <f t="shared" si="39"/>
        <v>0</v>
      </c>
      <c r="AI38" s="146">
        <f t="shared" si="42"/>
        <v>375000</v>
      </c>
      <c r="AJ38" s="152">
        <f t="shared" si="40"/>
        <v>0</v>
      </c>
      <c r="AK38" s="152">
        <f t="shared" si="41"/>
        <v>0</v>
      </c>
      <c r="AL38" s="151">
        <f>SUM(V38:AK38)</f>
        <v>4790688.888888889</v>
      </c>
      <c r="AM38" s="29" t="s">
        <v>180</v>
      </c>
      <c r="AN38" s="174">
        <v>277819.13</v>
      </c>
      <c r="AO38" s="174">
        <v>0</v>
      </c>
      <c r="AP38" s="174">
        <v>0</v>
      </c>
      <c r="AQ38" s="174">
        <v>43820.59</v>
      </c>
      <c r="AR38" s="174">
        <v>-5208.333333333333</v>
      </c>
      <c r="AS38" s="174">
        <v>316431.38666666666</v>
      </c>
    </row>
    <row r="39" spans="1:45" ht="19.5" thickBot="1">
      <c r="A39" s="142" t="s">
        <v>102</v>
      </c>
      <c r="B39" s="157" t="s">
        <v>108</v>
      </c>
      <c r="C39" s="162">
        <v>579</v>
      </c>
      <c r="D39" s="162">
        <v>85</v>
      </c>
      <c r="E39" s="162">
        <v>210</v>
      </c>
      <c r="F39" s="162"/>
      <c r="G39" s="163">
        <f>356*0.8</f>
        <v>284.8</v>
      </c>
      <c r="H39" s="163">
        <f>356*0.2</f>
        <v>71.2</v>
      </c>
      <c r="I39" s="163">
        <f>142*0.9</f>
        <v>127.8</v>
      </c>
      <c r="J39" s="163">
        <f>142*0.1</f>
        <v>14.200000000000001</v>
      </c>
      <c r="K39" s="163">
        <f>47/450*350</f>
        <v>36.555555555555557</v>
      </c>
      <c r="L39" s="163">
        <f>47/450*100</f>
        <v>10.444444444444445</v>
      </c>
      <c r="M39" s="162">
        <v>134</v>
      </c>
      <c r="N39" s="162">
        <v>108</v>
      </c>
      <c r="O39" s="146"/>
      <c r="P39" s="146"/>
      <c r="Q39" s="147">
        <v>10</v>
      </c>
      <c r="R39" s="163"/>
      <c r="S39" s="163"/>
      <c r="U39" s="151" t="s">
        <v>179</v>
      </c>
      <c r="V39" s="149">
        <f t="shared" si="31"/>
        <v>42500</v>
      </c>
      <c r="W39" s="149">
        <f t="shared" si="31"/>
        <v>105000</v>
      </c>
      <c r="X39" s="145">
        <f t="shared" si="32"/>
        <v>0</v>
      </c>
      <c r="Y39" s="145">
        <f t="shared" si="33"/>
        <v>1851200</v>
      </c>
      <c r="Z39" s="149">
        <f t="shared" si="34"/>
        <v>712000</v>
      </c>
      <c r="AA39" s="145">
        <f t="shared" si="24"/>
        <v>1278000</v>
      </c>
      <c r="AB39" s="145">
        <f t="shared" si="35"/>
        <v>71000</v>
      </c>
      <c r="AC39" s="145">
        <f t="shared" si="36"/>
        <v>182777.77777777778</v>
      </c>
      <c r="AD39" s="145">
        <f t="shared" si="37"/>
        <v>104444.44444444445</v>
      </c>
      <c r="AE39" s="145">
        <f t="shared" si="25"/>
        <v>268000</v>
      </c>
      <c r="AF39" s="145">
        <f t="shared" si="26"/>
        <v>540000</v>
      </c>
      <c r="AG39" s="146">
        <f t="shared" si="38"/>
        <v>0</v>
      </c>
      <c r="AH39" s="146">
        <f t="shared" si="39"/>
        <v>0</v>
      </c>
      <c r="AI39" s="146">
        <f t="shared" si="42"/>
        <v>375000</v>
      </c>
      <c r="AJ39" s="152">
        <f t="shared" si="40"/>
        <v>0</v>
      </c>
      <c r="AK39" s="152">
        <f t="shared" si="41"/>
        <v>0</v>
      </c>
      <c r="AL39" s="151">
        <f>SUM(V39:AK39)</f>
        <v>5529922.222222222</v>
      </c>
      <c r="AM39" s="29" t="s">
        <v>180</v>
      </c>
      <c r="AN39" s="174">
        <v>426835.82</v>
      </c>
      <c r="AO39" s="174">
        <v>0</v>
      </c>
      <c r="AP39" s="174">
        <v>0</v>
      </c>
      <c r="AQ39" s="174">
        <v>72263.08</v>
      </c>
      <c r="AR39" s="174">
        <v>-5208.333333333333</v>
      </c>
      <c r="AS39" s="174">
        <v>493890.56666666671</v>
      </c>
    </row>
    <row r="40" spans="1:45" ht="19.5" thickTop="1">
      <c r="A40" s="164"/>
      <c r="C40" s="141">
        <f t="shared" ref="C40:S40" si="45">SUM(C28:C39)</f>
        <v>6750</v>
      </c>
      <c r="D40" s="141">
        <f t="shared" si="45"/>
        <v>1000</v>
      </c>
      <c r="E40" s="165">
        <f t="shared" si="45"/>
        <v>2500</v>
      </c>
      <c r="F40" s="165">
        <f t="shared" si="45"/>
        <v>0</v>
      </c>
      <c r="G40" s="166">
        <f t="shared" si="45"/>
        <v>2000</v>
      </c>
      <c r="H40" s="166">
        <f t="shared" si="45"/>
        <v>500</v>
      </c>
      <c r="I40" s="166">
        <f t="shared" si="45"/>
        <v>900</v>
      </c>
      <c r="J40" s="166">
        <f t="shared" si="45"/>
        <v>100.00000000000001</v>
      </c>
      <c r="K40" s="166">
        <f t="shared" si="45"/>
        <v>350</v>
      </c>
      <c r="L40" s="166">
        <f t="shared" si="45"/>
        <v>99.999999999999972</v>
      </c>
      <c r="M40" s="141">
        <f t="shared" si="45"/>
        <v>950</v>
      </c>
      <c r="N40" s="141">
        <f t="shared" si="45"/>
        <v>1000</v>
      </c>
      <c r="O40" s="165">
        <f t="shared" si="45"/>
        <v>0</v>
      </c>
      <c r="P40" s="165">
        <f t="shared" si="45"/>
        <v>0</v>
      </c>
      <c r="Q40" s="141">
        <f t="shared" si="45"/>
        <v>100</v>
      </c>
      <c r="R40" s="166">
        <f t="shared" si="45"/>
        <v>0</v>
      </c>
      <c r="S40" s="166">
        <f t="shared" si="45"/>
        <v>0</v>
      </c>
      <c r="V40" s="167">
        <f t="shared" ref="V40:AL40" si="46">SUM(V28:V39)</f>
        <v>500000</v>
      </c>
      <c r="W40" s="167">
        <f t="shared" si="46"/>
        <v>1250000</v>
      </c>
      <c r="X40" s="167">
        <f t="shared" si="46"/>
        <v>0</v>
      </c>
      <c r="Y40" s="167">
        <f t="shared" si="46"/>
        <v>13000000</v>
      </c>
      <c r="Z40" s="167">
        <f t="shared" si="46"/>
        <v>5000000</v>
      </c>
      <c r="AA40" s="167">
        <f t="shared" si="46"/>
        <v>9000000</v>
      </c>
      <c r="AB40" s="167">
        <f t="shared" si="46"/>
        <v>500000</v>
      </c>
      <c r="AC40" s="167">
        <f t="shared" si="46"/>
        <v>1749999.9999999995</v>
      </c>
      <c r="AD40" s="167">
        <f t="shared" si="46"/>
        <v>1000000</v>
      </c>
      <c r="AE40" s="167">
        <f t="shared" si="46"/>
        <v>1900000</v>
      </c>
      <c r="AF40" s="167">
        <f t="shared" si="46"/>
        <v>5000000</v>
      </c>
      <c r="AG40" s="167">
        <f t="shared" si="46"/>
        <v>0</v>
      </c>
      <c r="AH40" s="167">
        <f t="shared" si="46"/>
        <v>0</v>
      </c>
      <c r="AI40" s="167">
        <f t="shared" si="46"/>
        <v>3750000</v>
      </c>
      <c r="AJ40" s="167">
        <f t="shared" si="46"/>
        <v>0</v>
      </c>
      <c r="AK40" s="167">
        <f t="shared" si="46"/>
        <v>0</v>
      </c>
      <c r="AL40" s="168">
        <f t="shared" si="46"/>
        <v>42650000</v>
      </c>
      <c r="AN40" s="169">
        <f t="shared" ref="AN40:AS40" si="47">SUM(AN28:AN39)</f>
        <v>1648292.8</v>
      </c>
      <c r="AO40" s="169">
        <f t="shared" si="47"/>
        <v>817583.47499999986</v>
      </c>
      <c r="AP40" s="169">
        <f t="shared" si="47"/>
        <v>1400084.9549999996</v>
      </c>
      <c r="AQ40" s="169">
        <f>SUM(AQ28:AQ39)</f>
        <v>871202.15999999992</v>
      </c>
      <c r="AR40" s="169">
        <f t="shared" si="47"/>
        <v>-62500.000000000007</v>
      </c>
      <c r="AS40" s="169">
        <f t="shared" si="47"/>
        <v>4674663.3900000006</v>
      </c>
    </row>
    <row r="41" spans="1:45" ht="18.75"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70"/>
      <c r="AH41" s="170"/>
      <c r="AI41" s="170"/>
      <c r="AJ41" s="170"/>
      <c r="AK41" s="131"/>
      <c r="AL41" s="169"/>
      <c r="AO41" s="171"/>
    </row>
    <row r="42" spans="1:45" ht="18.75">
      <c r="B42" s="172" t="s">
        <v>182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V42" s="170">
        <f>V40</f>
        <v>500000</v>
      </c>
      <c r="W42" s="170">
        <f>W40</f>
        <v>1250000</v>
      </c>
      <c r="X42" s="170">
        <f>X40</f>
        <v>0</v>
      </c>
      <c r="Y42" s="170"/>
      <c r="Z42" s="170"/>
      <c r="AA42" s="170"/>
      <c r="AB42" s="170"/>
      <c r="AC42" s="170"/>
      <c r="AD42" s="170"/>
      <c r="AE42" s="170">
        <f>AE40</f>
        <v>1900000</v>
      </c>
      <c r="AF42" s="170">
        <f>AF40</f>
        <v>5000000</v>
      </c>
      <c r="AG42" s="170">
        <f>AG40</f>
        <v>0</v>
      </c>
      <c r="AH42" s="170">
        <f>AH40</f>
        <v>0</v>
      </c>
      <c r="AI42" s="170"/>
      <c r="AJ42" s="170">
        <f>AJ40</f>
        <v>0</v>
      </c>
      <c r="AK42" s="170">
        <f>AK40</f>
        <v>0</v>
      </c>
      <c r="AL42" s="169">
        <f>SUM(V42:AK42)</f>
        <v>8650000</v>
      </c>
      <c r="AO42" s="173"/>
      <c r="AP42" s="28"/>
    </row>
    <row r="43" spans="1:45" ht="18.75">
      <c r="B43" s="172" t="s">
        <v>183</v>
      </c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V43" s="170"/>
      <c r="W43" s="170"/>
      <c r="X43" s="170"/>
      <c r="Y43" s="170">
        <f t="shared" ref="Y43:AD43" si="48">Y40</f>
        <v>13000000</v>
      </c>
      <c r="Z43" s="170">
        <f t="shared" si="48"/>
        <v>5000000</v>
      </c>
      <c r="AA43" s="170">
        <f t="shared" si="48"/>
        <v>9000000</v>
      </c>
      <c r="AB43" s="170">
        <f t="shared" si="48"/>
        <v>500000</v>
      </c>
      <c r="AC43" s="170">
        <f t="shared" si="48"/>
        <v>1749999.9999999995</v>
      </c>
      <c r="AD43" s="170">
        <f t="shared" si="48"/>
        <v>1000000</v>
      </c>
      <c r="AE43" s="170"/>
      <c r="AF43" s="170"/>
      <c r="AG43" s="170"/>
      <c r="AH43" s="170"/>
      <c r="AI43" s="170">
        <f>AI40</f>
        <v>3750000</v>
      </c>
      <c r="AJ43" s="170"/>
      <c r="AK43" s="131"/>
      <c r="AL43" s="169">
        <f>SUM(V43:AK43)</f>
        <v>34000000</v>
      </c>
      <c r="AO43" s="173"/>
    </row>
    <row r="45" spans="1:45" ht="20.25">
      <c r="A45" s="131"/>
      <c r="B45" s="132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R45" s="706"/>
      <c r="S45" s="706"/>
      <c r="T45" s="706"/>
      <c r="U45" s="706"/>
      <c r="V45" s="706"/>
      <c r="W45" s="706"/>
      <c r="X45" s="706"/>
      <c r="Y45" s="706"/>
      <c r="Z45" s="706"/>
      <c r="AA45" s="706"/>
      <c r="AB45" s="133"/>
      <c r="AC45" s="133"/>
      <c r="AD45" s="133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</row>
    <row r="46" spans="1:45" ht="19.5" thickBot="1">
      <c r="A46" s="131"/>
      <c r="C46" s="134"/>
    </row>
    <row r="47" spans="1:45" ht="19.5" customHeight="1" thickBot="1">
      <c r="A47" s="131"/>
      <c r="C47" s="698" t="s">
        <v>153</v>
      </c>
      <c r="D47" s="698"/>
      <c r="E47" s="699"/>
      <c r="F47" s="699"/>
      <c r="G47" s="699"/>
      <c r="H47" s="699"/>
      <c r="I47" s="699"/>
      <c r="J47" s="699"/>
      <c r="K47" s="699"/>
      <c r="L47" s="699"/>
      <c r="M47" s="699"/>
      <c r="N47" s="699"/>
      <c r="O47" s="699"/>
      <c r="P47" s="699"/>
      <c r="Q47" s="699"/>
      <c r="R47" s="700"/>
      <c r="S47" s="135"/>
      <c r="T47" s="135"/>
      <c r="U47" s="701" t="s">
        <v>154</v>
      </c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136"/>
      <c r="AN47" s="703" t="s">
        <v>155</v>
      </c>
      <c r="AO47" s="704"/>
      <c r="AP47" s="704"/>
      <c r="AQ47" s="705"/>
      <c r="AR47" s="705"/>
      <c r="AS47" s="705"/>
    </row>
    <row r="48" spans="1:45" ht="112.5">
      <c r="A48" s="131"/>
      <c r="B48" s="137" t="s">
        <v>185</v>
      </c>
      <c r="C48" s="138" t="s">
        <v>157</v>
      </c>
      <c r="D48" s="138" t="s">
        <v>158</v>
      </c>
      <c r="E48" s="138" t="s">
        <v>159</v>
      </c>
      <c r="F48" s="138" t="s">
        <v>160</v>
      </c>
      <c r="G48" s="138" t="s">
        <v>161</v>
      </c>
      <c r="H48" s="138" t="s">
        <v>162</v>
      </c>
      <c r="I48" s="138" t="s">
        <v>146</v>
      </c>
      <c r="J48" s="138" t="s">
        <v>147</v>
      </c>
      <c r="K48" s="138" t="s">
        <v>163</v>
      </c>
      <c r="L48" s="138" t="s">
        <v>148</v>
      </c>
      <c r="M48" s="138" t="s">
        <v>164</v>
      </c>
      <c r="N48" s="138" t="s">
        <v>165</v>
      </c>
      <c r="O48" s="138" t="s">
        <v>166</v>
      </c>
      <c r="P48" s="138" t="s">
        <v>167</v>
      </c>
      <c r="Q48" s="138" t="s">
        <v>168</v>
      </c>
      <c r="R48" s="138" t="s">
        <v>169</v>
      </c>
      <c r="S48" s="138" t="s">
        <v>170</v>
      </c>
      <c r="T48" s="139"/>
      <c r="U48" s="139" t="s">
        <v>157</v>
      </c>
      <c r="V48" s="138" t="str">
        <f>D48</f>
        <v>Gas Furnance &amp; Boiler Grants</v>
      </c>
      <c r="W48" s="138" t="str">
        <f>E48</f>
        <v>Gas Furnance,Boiler, HW Grants</v>
      </c>
      <c r="X48" s="138" t="s">
        <v>160</v>
      </c>
      <c r="Y48" s="138" t="s">
        <v>171</v>
      </c>
      <c r="Z48" s="138" t="s">
        <v>145</v>
      </c>
      <c r="AA48" s="138" t="s">
        <v>146</v>
      </c>
      <c r="AB48" s="138" t="s">
        <v>147</v>
      </c>
      <c r="AC48" s="138" t="s">
        <v>163</v>
      </c>
      <c r="AD48" s="138" t="s">
        <v>148</v>
      </c>
      <c r="AE48" s="138" t="s">
        <v>164</v>
      </c>
      <c r="AF48" s="138" t="s">
        <v>165</v>
      </c>
      <c r="AG48" s="138" t="s">
        <v>142</v>
      </c>
      <c r="AH48" s="138" t="s">
        <v>143</v>
      </c>
      <c r="AI48" s="138" t="s">
        <v>152</v>
      </c>
      <c r="AJ48" s="138" t="s">
        <v>169</v>
      </c>
      <c r="AK48" s="138" t="s">
        <v>170</v>
      </c>
      <c r="AL48" s="138" t="s">
        <v>1</v>
      </c>
      <c r="AN48" s="138" t="s">
        <v>172</v>
      </c>
      <c r="AO48" s="138" t="s">
        <v>173</v>
      </c>
      <c r="AP48" s="138" t="s">
        <v>174</v>
      </c>
      <c r="AQ48" s="138" t="s">
        <v>175</v>
      </c>
      <c r="AR48" s="140" t="s">
        <v>176</v>
      </c>
      <c r="AS48" s="140" t="s">
        <v>177</v>
      </c>
    </row>
    <row r="49" spans="1:45" ht="18.75">
      <c r="A49" s="131"/>
      <c r="B49" s="141"/>
      <c r="W49" s="28"/>
      <c r="X49" s="28"/>
      <c r="Y49" s="28"/>
      <c r="Z49" s="28"/>
      <c r="AA49" s="28"/>
      <c r="AB49" s="28"/>
      <c r="AC49" s="28"/>
      <c r="AD49" s="28"/>
    </row>
    <row r="50" spans="1:45" ht="18.75">
      <c r="A50" s="142" t="s">
        <v>47</v>
      </c>
      <c r="B50" s="143" t="s">
        <v>109</v>
      </c>
      <c r="C50" s="144">
        <v>631</v>
      </c>
      <c r="D50" s="144">
        <v>69</v>
      </c>
      <c r="E50" s="144">
        <v>173</v>
      </c>
      <c r="F50" s="144"/>
      <c r="G50" s="144">
        <f>120*0.8</f>
        <v>96</v>
      </c>
      <c r="H50" s="144">
        <f>120*0.2</f>
        <v>24</v>
      </c>
      <c r="I50" s="145">
        <f>48*0.9</f>
        <v>43.2</v>
      </c>
      <c r="J50" s="145">
        <f>48*0.1</f>
        <v>4.8000000000000007</v>
      </c>
      <c r="K50" s="145">
        <f>75/450*350</f>
        <v>58.333333333333329</v>
      </c>
      <c r="L50" s="145">
        <f>75/450*100</f>
        <v>16.666666666666664</v>
      </c>
      <c r="M50" s="144">
        <v>46</v>
      </c>
      <c r="N50" s="144">
        <v>167</v>
      </c>
      <c r="O50" s="146"/>
      <c r="P50" s="146"/>
      <c r="Q50" s="147">
        <v>8</v>
      </c>
      <c r="R50" s="146"/>
      <c r="S50" s="146"/>
      <c r="U50" s="148"/>
      <c r="V50" s="149">
        <f>D50*500</f>
        <v>34500</v>
      </c>
      <c r="W50" s="149">
        <f>E50*500</f>
        <v>86500</v>
      </c>
      <c r="X50" s="149">
        <f>F50*300</f>
        <v>0</v>
      </c>
      <c r="Y50" s="149">
        <f>G50*6500</f>
        <v>624000</v>
      </c>
      <c r="Z50" s="149">
        <f>H50*10000</f>
        <v>240000</v>
      </c>
      <c r="AA50" s="149">
        <f t="shared" ref="AA50:AA61" si="49">(I50*10000)</f>
        <v>432000</v>
      </c>
      <c r="AB50" s="149">
        <f>(J50*5000)</f>
        <v>24000.000000000004</v>
      </c>
      <c r="AC50" s="149">
        <f>K50*5000</f>
        <v>291666.66666666663</v>
      </c>
      <c r="AD50" s="149">
        <f>L50*10000</f>
        <v>166666.66666666666</v>
      </c>
      <c r="AE50" s="149">
        <f t="shared" ref="AE50:AE61" si="50">M50*2000</f>
        <v>92000</v>
      </c>
      <c r="AF50" s="149">
        <f t="shared" ref="AF50:AF61" si="51">N50*5000</f>
        <v>835000</v>
      </c>
      <c r="AG50" s="150">
        <f>O50*15000</f>
        <v>0</v>
      </c>
      <c r="AH50" s="150">
        <f>P50*25000</f>
        <v>0</v>
      </c>
      <c r="AI50" s="150">
        <f t="shared" ref="AI50:AI55" si="52">Q50*37500</f>
        <v>300000</v>
      </c>
      <c r="AJ50" s="150">
        <f>R50*800</f>
        <v>0</v>
      </c>
      <c r="AK50" s="150">
        <f>S50*1200</f>
        <v>0</v>
      </c>
      <c r="AL50" s="151">
        <f>SUM(V50:AK50)</f>
        <v>3126333.333333333</v>
      </c>
      <c r="AM50" s="29" t="s">
        <v>180</v>
      </c>
      <c r="AN50" s="175">
        <v>292389.15000000002</v>
      </c>
      <c r="AO50" s="175">
        <v>0</v>
      </c>
      <c r="AP50" s="175">
        <v>0</v>
      </c>
      <c r="AQ50" s="175">
        <v>28620.75</v>
      </c>
      <c r="AR50" s="175">
        <v>-5208.333333333333</v>
      </c>
      <c r="AS50" s="175">
        <v>315801.56666666671</v>
      </c>
    </row>
    <row r="51" spans="1:45" ht="18.75">
      <c r="A51" s="142" t="s">
        <v>47</v>
      </c>
      <c r="B51" s="143" t="s">
        <v>110</v>
      </c>
      <c r="C51" s="144">
        <v>587</v>
      </c>
      <c r="D51" s="144">
        <v>129</v>
      </c>
      <c r="E51" s="144">
        <v>322</v>
      </c>
      <c r="F51" s="144"/>
      <c r="G51" s="145">
        <f>89*0.8</f>
        <v>71.2</v>
      </c>
      <c r="H51" s="145">
        <f>89*0.2</f>
        <v>17.8</v>
      </c>
      <c r="I51" s="145">
        <f>36*0.9</f>
        <v>32.4</v>
      </c>
      <c r="J51" s="145">
        <f>36*0.1</f>
        <v>3.6</v>
      </c>
      <c r="K51" s="145">
        <f>56/450*350</f>
        <v>43.555555555555557</v>
      </c>
      <c r="L51" s="145">
        <f>56/450*100</f>
        <v>12.444444444444445</v>
      </c>
      <c r="M51" s="144">
        <v>34</v>
      </c>
      <c r="N51" s="144">
        <v>123</v>
      </c>
      <c r="O51" s="146"/>
      <c r="P51" s="146"/>
      <c r="Q51" s="147">
        <v>8</v>
      </c>
      <c r="R51" s="145"/>
      <c r="S51" s="145"/>
      <c r="U51" s="148"/>
      <c r="V51" s="149">
        <f t="shared" ref="V51:W61" si="53">D51*500</f>
        <v>64500</v>
      </c>
      <c r="W51" s="149">
        <f t="shared" si="53"/>
        <v>161000</v>
      </c>
      <c r="X51" s="145">
        <f t="shared" ref="X51:X61" si="54">F51*300</f>
        <v>0</v>
      </c>
      <c r="Y51" s="145">
        <f t="shared" ref="Y51:Y61" si="55">G51*6500</f>
        <v>462800</v>
      </c>
      <c r="Z51" s="149">
        <f t="shared" ref="Z51:Z61" si="56">H51*10000</f>
        <v>178000</v>
      </c>
      <c r="AA51" s="145">
        <f t="shared" si="49"/>
        <v>324000</v>
      </c>
      <c r="AB51" s="145">
        <f t="shared" ref="AB51:AB61" si="57">(J51*5000)</f>
        <v>18000</v>
      </c>
      <c r="AC51" s="145">
        <f t="shared" ref="AC51:AC61" si="58">K51*5000</f>
        <v>217777.77777777778</v>
      </c>
      <c r="AD51" s="145">
        <f t="shared" ref="AD51:AD61" si="59">L51*10000</f>
        <v>124444.44444444445</v>
      </c>
      <c r="AE51" s="145">
        <f t="shared" si="50"/>
        <v>68000</v>
      </c>
      <c r="AF51" s="145">
        <f t="shared" si="51"/>
        <v>615000</v>
      </c>
      <c r="AG51" s="146">
        <f t="shared" ref="AG51:AG61" si="60">O51*15000</f>
        <v>0</v>
      </c>
      <c r="AH51" s="146">
        <f t="shared" ref="AH51:AH61" si="61">P51*25000</f>
        <v>0</v>
      </c>
      <c r="AI51" s="150">
        <f t="shared" si="52"/>
        <v>300000</v>
      </c>
      <c r="AJ51" s="152">
        <f t="shared" ref="AJ51:AJ61" si="62">R51*800</f>
        <v>0</v>
      </c>
      <c r="AK51" s="152">
        <f t="shared" ref="AK51:AK61" si="63">S51*1200</f>
        <v>0</v>
      </c>
      <c r="AL51" s="151">
        <f>SUM(V51:AK51)</f>
        <v>2533522.222222222</v>
      </c>
      <c r="AM51" s="29" t="s">
        <v>180</v>
      </c>
      <c r="AN51" s="175">
        <v>269533.67</v>
      </c>
      <c r="AO51" s="175">
        <v>0</v>
      </c>
      <c r="AP51" s="175">
        <v>0</v>
      </c>
      <c r="AQ51" s="175">
        <v>21030.27</v>
      </c>
      <c r="AR51" s="175">
        <v>-5208.333333333333</v>
      </c>
      <c r="AS51" s="175">
        <v>285355.60666666669</v>
      </c>
    </row>
    <row r="52" spans="1:45" ht="18.75">
      <c r="A52" s="142" t="s">
        <v>47</v>
      </c>
      <c r="B52" s="143" t="s">
        <v>111</v>
      </c>
      <c r="C52" s="153">
        <v>748</v>
      </c>
      <c r="D52" s="153">
        <v>62</v>
      </c>
      <c r="E52" s="144">
        <v>156</v>
      </c>
      <c r="F52" s="153"/>
      <c r="G52" s="154">
        <f>84*0.8</f>
        <v>67.2</v>
      </c>
      <c r="H52" s="154">
        <f>84*0.2</f>
        <v>16.8</v>
      </c>
      <c r="I52" s="154">
        <f>33*0.9</f>
        <v>29.7</v>
      </c>
      <c r="J52" s="154">
        <f>33*0.1</f>
        <v>3.3000000000000003</v>
      </c>
      <c r="K52" s="154">
        <f>64/450*350</f>
        <v>49.777777777777779</v>
      </c>
      <c r="L52" s="154">
        <f>64/450*100</f>
        <v>14.222222222222221</v>
      </c>
      <c r="M52" s="153">
        <v>32</v>
      </c>
      <c r="N52" s="153">
        <v>142</v>
      </c>
      <c r="O52" s="146"/>
      <c r="P52" s="146"/>
      <c r="Q52" s="147">
        <v>8</v>
      </c>
      <c r="R52" s="155"/>
      <c r="S52" s="155"/>
      <c r="U52" s="156"/>
      <c r="V52" s="149">
        <f t="shared" si="53"/>
        <v>31000</v>
      </c>
      <c r="W52" s="149">
        <f t="shared" si="53"/>
        <v>78000</v>
      </c>
      <c r="X52" s="145">
        <f t="shared" si="54"/>
        <v>0</v>
      </c>
      <c r="Y52" s="145">
        <f t="shared" si="55"/>
        <v>436800</v>
      </c>
      <c r="Z52" s="149">
        <f t="shared" si="56"/>
        <v>168000</v>
      </c>
      <c r="AA52" s="145">
        <f t="shared" si="49"/>
        <v>297000</v>
      </c>
      <c r="AB52" s="145">
        <f t="shared" si="57"/>
        <v>16500</v>
      </c>
      <c r="AC52" s="145">
        <f t="shared" si="58"/>
        <v>248888.88888888891</v>
      </c>
      <c r="AD52" s="145">
        <f t="shared" si="59"/>
        <v>142222.22222222222</v>
      </c>
      <c r="AE52" s="145">
        <f t="shared" si="50"/>
        <v>64000</v>
      </c>
      <c r="AF52" s="145">
        <f t="shared" si="51"/>
        <v>710000</v>
      </c>
      <c r="AG52" s="146">
        <f t="shared" si="60"/>
        <v>0</v>
      </c>
      <c r="AH52" s="146">
        <f t="shared" si="61"/>
        <v>0</v>
      </c>
      <c r="AI52" s="150">
        <f t="shared" si="52"/>
        <v>300000</v>
      </c>
      <c r="AJ52" s="152">
        <f t="shared" si="62"/>
        <v>0</v>
      </c>
      <c r="AK52" s="152">
        <f t="shared" si="63"/>
        <v>0</v>
      </c>
      <c r="AL52" s="151">
        <f>SUM(V52:AK52)</f>
        <v>2492411.111111111</v>
      </c>
      <c r="AM52" s="29" t="s">
        <v>180</v>
      </c>
      <c r="AN52" s="175">
        <v>288526.34999999998</v>
      </c>
      <c r="AO52" s="175">
        <v>0</v>
      </c>
      <c r="AP52" s="175">
        <v>0</v>
      </c>
      <c r="AQ52" s="175">
        <v>181340.63</v>
      </c>
      <c r="AR52" s="175">
        <v>-5208.333333333333</v>
      </c>
      <c r="AS52" s="175">
        <v>464658.64666666667</v>
      </c>
    </row>
    <row r="53" spans="1:45" ht="18.75">
      <c r="A53" s="142" t="s">
        <v>47</v>
      </c>
      <c r="B53" s="157" t="s">
        <v>112</v>
      </c>
      <c r="C53" s="158">
        <v>667</v>
      </c>
      <c r="D53" s="158">
        <v>86</v>
      </c>
      <c r="E53" s="144">
        <v>215</v>
      </c>
      <c r="F53" s="159"/>
      <c r="G53" s="160">
        <f>110*0.8</f>
        <v>88</v>
      </c>
      <c r="H53" s="160">
        <f>110*0.2</f>
        <v>22</v>
      </c>
      <c r="I53" s="160">
        <f>44*0.9</f>
        <v>39.6</v>
      </c>
      <c r="J53" s="160">
        <f>44*0.1</f>
        <v>4.4000000000000004</v>
      </c>
      <c r="K53" s="160">
        <f>22/450*350</f>
        <v>17.111111111111111</v>
      </c>
      <c r="L53" s="160">
        <f>22/450*100</f>
        <v>4.8888888888888893</v>
      </c>
      <c r="M53" s="158">
        <v>42</v>
      </c>
      <c r="N53" s="158">
        <v>48</v>
      </c>
      <c r="O53" s="146"/>
      <c r="P53" s="146"/>
      <c r="Q53" s="147">
        <v>8</v>
      </c>
      <c r="R53" s="155"/>
      <c r="S53" s="155"/>
      <c r="U53" s="151" t="s">
        <v>179</v>
      </c>
      <c r="V53" s="149">
        <f t="shared" si="53"/>
        <v>43000</v>
      </c>
      <c r="W53" s="149">
        <f t="shared" si="53"/>
        <v>107500</v>
      </c>
      <c r="X53" s="145">
        <f t="shared" si="54"/>
        <v>0</v>
      </c>
      <c r="Y53" s="145">
        <f t="shared" si="55"/>
        <v>572000</v>
      </c>
      <c r="Z53" s="149">
        <f t="shared" si="56"/>
        <v>220000</v>
      </c>
      <c r="AA53" s="145">
        <f t="shared" si="49"/>
        <v>396000</v>
      </c>
      <c r="AB53" s="145">
        <f t="shared" si="57"/>
        <v>22000</v>
      </c>
      <c r="AC53" s="145">
        <f t="shared" si="58"/>
        <v>85555.555555555547</v>
      </c>
      <c r="AD53" s="145">
        <f t="shared" si="59"/>
        <v>48888.888888888891</v>
      </c>
      <c r="AE53" s="145">
        <f t="shared" si="50"/>
        <v>84000</v>
      </c>
      <c r="AF53" s="145">
        <f t="shared" si="51"/>
        <v>240000</v>
      </c>
      <c r="AG53" s="146">
        <f t="shared" si="60"/>
        <v>0</v>
      </c>
      <c r="AH53" s="146">
        <f t="shared" si="61"/>
        <v>0</v>
      </c>
      <c r="AI53" s="150">
        <f t="shared" si="52"/>
        <v>300000</v>
      </c>
      <c r="AJ53" s="152">
        <f t="shared" si="62"/>
        <v>0</v>
      </c>
      <c r="AK53" s="152">
        <f t="shared" si="63"/>
        <v>0</v>
      </c>
      <c r="AL53" s="151">
        <f>SUM(V53:AK53)</f>
        <v>2118944.4444444445</v>
      </c>
      <c r="AM53" s="29" t="s">
        <v>180</v>
      </c>
      <c r="AN53" s="175">
        <v>285548.77</v>
      </c>
      <c r="AO53" s="175">
        <v>0</v>
      </c>
      <c r="AP53" s="175">
        <v>0</v>
      </c>
      <c r="AQ53" s="175">
        <v>332077.09000000003</v>
      </c>
      <c r="AR53" s="175">
        <v>-5208.333333333333</v>
      </c>
      <c r="AS53" s="175">
        <v>612417.52666666673</v>
      </c>
    </row>
    <row r="54" spans="1:45" ht="18.75">
      <c r="A54" s="142" t="s">
        <v>102</v>
      </c>
      <c r="B54" s="157" t="s">
        <v>57</v>
      </c>
      <c r="C54" s="158">
        <v>644</v>
      </c>
      <c r="D54" s="158">
        <v>89</v>
      </c>
      <c r="E54" s="144">
        <v>223</v>
      </c>
      <c r="F54" s="159"/>
      <c r="G54" s="160">
        <f>167*0.8</f>
        <v>133.6</v>
      </c>
      <c r="H54" s="160">
        <f>167*0.2</f>
        <v>33.4</v>
      </c>
      <c r="I54" s="160">
        <f>67*0.9</f>
        <v>60.300000000000004</v>
      </c>
      <c r="J54" s="160">
        <f>67*0.1</f>
        <v>6.7</v>
      </c>
      <c r="K54" s="160">
        <f>16/450*350</f>
        <v>12.444444444444445</v>
      </c>
      <c r="L54" s="160">
        <f>16/450*100</f>
        <v>3.5555555555555554</v>
      </c>
      <c r="M54" s="158">
        <v>64</v>
      </c>
      <c r="N54" s="158">
        <v>36</v>
      </c>
      <c r="O54" s="146"/>
      <c r="P54" s="146"/>
      <c r="Q54" s="147">
        <v>8</v>
      </c>
      <c r="R54" s="155"/>
      <c r="S54" s="155"/>
      <c r="U54" s="151" t="s">
        <v>179</v>
      </c>
      <c r="V54" s="149">
        <f t="shared" si="53"/>
        <v>44500</v>
      </c>
      <c r="W54" s="149">
        <f t="shared" si="53"/>
        <v>111500</v>
      </c>
      <c r="X54" s="145">
        <f t="shared" si="54"/>
        <v>0</v>
      </c>
      <c r="Y54" s="145">
        <f t="shared" si="55"/>
        <v>868400</v>
      </c>
      <c r="Z54" s="149">
        <f t="shared" si="56"/>
        <v>334000</v>
      </c>
      <c r="AA54" s="145">
        <f t="shared" si="49"/>
        <v>603000</v>
      </c>
      <c r="AB54" s="145">
        <f t="shared" si="57"/>
        <v>33500</v>
      </c>
      <c r="AC54" s="145">
        <f t="shared" si="58"/>
        <v>62222.222222222226</v>
      </c>
      <c r="AD54" s="145">
        <f t="shared" si="59"/>
        <v>35555.555555555555</v>
      </c>
      <c r="AE54" s="145">
        <f t="shared" si="50"/>
        <v>128000</v>
      </c>
      <c r="AF54" s="145">
        <f t="shared" si="51"/>
        <v>180000</v>
      </c>
      <c r="AG54" s="146">
        <f t="shared" si="60"/>
        <v>0</v>
      </c>
      <c r="AH54" s="146">
        <f t="shared" si="61"/>
        <v>0</v>
      </c>
      <c r="AI54" s="150">
        <f t="shared" si="52"/>
        <v>300000</v>
      </c>
      <c r="AJ54" s="152">
        <f t="shared" si="62"/>
        <v>0</v>
      </c>
      <c r="AK54" s="152">
        <f t="shared" si="63"/>
        <v>0</v>
      </c>
      <c r="AL54" s="151">
        <f t="shared" ref="AL54:AL59" si="64">SUM(V54:AK54)</f>
        <v>2700677.777777778</v>
      </c>
      <c r="AM54" s="29" t="s">
        <v>180</v>
      </c>
      <c r="AN54" s="175">
        <v>300981.44</v>
      </c>
      <c r="AO54" s="175">
        <v>0</v>
      </c>
      <c r="AP54" s="175">
        <v>0</v>
      </c>
      <c r="AQ54" s="175">
        <v>60164.24</v>
      </c>
      <c r="AR54" s="175">
        <v>-5208.333333333333</v>
      </c>
      <c r="AS54" s="175">
        <v>355937.34666666668</v>
      </c>
    </row>
    <row r="55" spans="1:45" ht="18.75">
      <c r="A55" s="142" t="s">
        <v>102</v>
      </c>
      <c r="B55" s="157" t="s">
        <v>113</v>
      </c>
      <c r="C55" s="158">
        <v>451</v>
      </c>
      <c r="D55" s="158">
        <v>91</v>
      </c>
      <c r="E55" s="144">
        <v>226</v>
      </c>
      <c r="F55" s="159"/>
      <c r="G55" s="160">
        <f>194*0.8</f>
        <v>155.20000000000002</v>
      </c>
      <c r="H55" s="160">
        <f>194*0.2</f>
        <v>38.800000000000004</v>
      </c>
      <c r="I55" s="160">
        <f>77*0.9</f>
        <v>69.3</v>
      </c>
      <c r="J55" s="160">
        <f>77*0.1</f>
        <v>7.7</v>
      </c>
      <c r="K55" s="160">
        <f>15/450*350</f>
        <v>11.666666666666666</v>
      </c>
      <c r="L55" s="160">
        <f>15/450*100</f>
        <v>3.3333333333333335</v>
      </c>
      <c r="M55" s="158">
        <v>74</v>
      </c>
      <c r="N55" s="158">
        <v>33</v>
      </c>
      <c r="O55" s="146"/>
      <c r="P55" s="146"/>
      <c r="Q55" s="147">
        <v>8</v>
      </c>
      <c r="R55" s="155"/>
      <c r="S55" s="155"/>
      <c r="U55" s="151" t="s">
        <v>179</v>
      </c>
      <c r="V55" s="149">
        <f t="shared" si="53"/>
        <v>45500</v>
      </c>
      <c r="W55" s="149">
        <f t="shared" si="53"/>
        <v>113000</v>
      </c>
      <c r="X55" s="145">
        <f t="shared" si="54"/>
        <v>0</v>
      </c>
      <c r="Y55" s="145">
        <f t="shared" si="55"/>
        <v>1008800.0000000001</v>
      </c>
      <c r="Z55" s="149">
        <f t="shared" si="56"/>
        <v>388000.00000000006</v>
      </c>
      <c r="AA55" s="145">
        <f t="shared" si="49"/>
        <v>693000</v>
      </c>
      <c r="AB55" s="145">
        <f t="shared" si="57"/>
        <v>38500</v>
      </c>
      <c r="AC55" s="145">
        <f t="shared" si="58"/>
        <v>58333.333333333328</v>
      </c>
      <c r="AD55" s="145">
        <f t="shared" si="59"/>
        <v>33333.333333333336</v>
      </c>
      <c r="AE55" s="145">
        <f t="shared" si="50"/>
        <v>148000</v>
      </c>
      <c r="AF55" s="145">
        <f t="shared" si="51"/>
        <v>165000</v>
      </c>
      <c r="AG55" s="146">
        <f t="shared" si="60"/>
        <v>0</v>
      </c>
      <c r="AH55" s="146">
        <f t="shared" si="61"/>
        <v>0</v>
      </c>
      <c r="AI55" s="150">
        <f t="shared" si="52"/>
        <v>300000</v>
      </c>
      <c r="AJ55" s="152">
        <f t="shared" si="62"/>
        <v>0</v>
      </c>
      <c r="AK55" s="152">
        <f t="shared" si="63"/>
        <v>0</v>
      </c>
      <c r="AL55" s="151">
        <f t="shared" si="64"/>
        <v>2991466.666666667</v>
      </c>
      <c r="AM55" s="29" t="s">
        <v>180</v>
      </c>
      <c r="AN55" s="175">
        <v>296526.05</v>
      </c>
      <c r="AO55" s="175">
        <v>0</v>
      </c>
      <c r="AP55" s="175">
        <v>0</v>
      </c>
      <c r="AQ55" s="175">
        <v>48257.53</v>
      </c>
      <c r="AR55" s="175">
        <v>-5208.333333333333</v>
      </c>
      <c r="AS55" s="175">
        <v>339575.24666666664</v>
      </c>
    </row>
    <row r="56" spans="1:45" ht="18.75">
      <c r="A56" s="142" t="s">
        <v>102</v>
      </c>
      <c r="B56" s="157" t="s">
        <v>178</v>
      </c>
      <c r="C56" s="158"/>
      <c r="D56" s="158"/>
      <c r="E56" s="144"/>
      <c r="F56" s="159"/>
      <c r="G56" s="160"/>
      <c r="H56" s="160"/>
      <c r="I56" s="160"/>
      <c r="J56" s="160"/>
      <c r="K56" s="160"/>
      <c r="L56" s="160"/>
      <c r="M56" s="158"/>
      <c r="N56" s="158"/>
      <c r="O56" s="146"/>
      <c r="P56" s="146"/>
      <c r="Q56" s="147"/>
      <c r="R56" s="155"/>
      <c r="S56" s="155"/>
      <c r="U56" s="151" t="s">
        <v>179</v>
      </c>
      <c r="V56" s="149">
        <f t="shared" si="53"/>
        <v>0</v>
      </c>
      <c r="W56" s="149">
        <f t="shared" si="53"/>
        <v>0</v>
      </c>
      <c r="X56" s="145">
        <f t="shared" si="54"/>
        <v>0</v>
      </c>
      <c r="Y56" s="145">
        <f t="shared" si="55"/>
        <v>0</v>
      </c>
      <c r="Z56" s="149">
        <f t="shared" si="56"/>
        <v>0</v>
      </c>
      <c r="AA56" s="145">
        <f t="shared" si="49"/>
        <v>0</v>
      </c>
      <c r="AB56" s="145">
        <f t="shared" si="57"/>
        <v>0</v>
      </c>
      <c r="AC56" s="145">
        <f t="shared" si="58"/>
        <v>0</v>
      </c>
      <c r="AD56" s="145">
        <f t="shared" si="59"/>
        <v>0</v>
      </c>
      <c r="AE56" s="145">
        <f t="shared" si="50"/>
        <v>0</v>
      </c>
      <c r="AF56" s="145">
        <f t="shared" si="51"/>
        <v>0</v>
      </c>
      <c r="AG56" s="146">
        <f t="shared" si="60"/>
        <v>0</v>
      </c>
      <c r="AH56" s="146">
        <f t="shared" si="61"/>
        <v>0</v>
      </c>
      <c r="AI56" s="146">
        <f t="shared" ref="AI56:AI61" si="65">Q56*32800</f>
        <v>0</v>
      </c>
      <c r="AJ56" s="152">
        <f t="shared" si="62"/>
        <v>0</v>
      </c>
      <c r="AK56" s="152">
        <f t="shared" si="63"/>
        <v>0</v>
      </c>
      <c r="AL56" s="151">
        <f t="shared" si="64"/>
        <v>0</v>
      </c>
      <c r="AM56" s="29" t="s">
        <v>180</v>
      </c>
      <c r="AN56" s="175">
        <v>305452.76</v>
      </c>
      <c r="AO56" s="175">
        <v>0</v>
      </c>
      <c r="AP56" s="175">
        <v>0</v>
      </c>
      <c r="AQ56" s="175">
        <v>111172.1</v>
      </c>
      <c r="AR56" s="175">
        <v>0</v>
      </c>
      <c r="AS56" s="175">
        <v>416624.86</v>
      </c>
    </row>
    <row r="57" spans="1:45" ht="18.75">
      <c r="A57" s="142" t="s">
        <v>102</v>
      </c>
      <c r="B57" s="157" t="s">
        <v>181</v>
      </c>
      <c r="C57" s="158"/>
      <c r="D57" s="158"/>
      <c r="E57" s="144"/>
      <c r="F57" s="159"/>
      <c r="G57" s="160"/>
      <c r="H57" s="160"/>
      <c r="I57" s="160"/>
      <c r="J57" s="160"/>
      <c r="K57" s="160"/>
      <c r="L57" s="160"/>
      <c r="M57" s="158"/>
      <c r="N57" s="158"/>
      <c r="O57" s="146"/>
      <c r="P57" s="146"/>
      <c r="Q57" s="147"/>
      <c r="R57" s="155"/>
      <c r="S57" s="155"/>
      <c r="U57" s="151" t="s">
        <v>179</v>
      </c>
      <c r="V57" s="149">
        <f t="shared" si="53"/>
        <v>0</v>
      </c>
      <c r="W57" s="149">
        <f t="shared" si="53"/>
        <v>0</v>
      </c>
      <c r="X57" s="145">
        <f t="shared" si="54"/>
        <v>0</v>
      </c>
      <c r="Y57" s="145">
        <f t="shared" si="55"/>
        <v>0</v>
      </c>
      <c r="Z57" s="149">
        <f t="shared" si="56"/>
        <v>0</v>
      </c>
      <c r="AA57" s="145">
        <f t="shared" si="49"/>
        <v>0</v>
      </c>
      <c r="AB57" s="145">
        <f t="shared" si="57"/>
        <v>0</v>
      </c>
      <c r="AC57" s="145">
        <f t="shared" si="58"/>
        <v>0</v>
      </c>
      <c r="AD57" s="145">
        <f t="shared" si="59"/>
        <v>0</v>
      </c>
      <c r="AE57" s="145">
        <f t="shared" si="50"/>
        <v>0</v>
      </c>
      <c r="AF57" s="145">
        <f t="shared" si="51"/>
        <v>0</v>
      </c>
      <c r="AG57" s="146">
        <f t="shared" si="60"/>
        <v>0</v>
      </c>
      <c r="AH57" s="146">
        <f t="shared" si="61"/>
        <v>0</v>
      </c>
      <c r="AI57" s="146">
        <f t="shared" si="65"/>
        <v>0</v>
      </c>
      <c r="AJ57" s="152">
        <f t="shared" si="62"/>
        <v>0</v>
      </c>
      <c r="AK57" s="152">
        <f t="shared" si="63"/>
        <v>0</v>
      </c>
      <c r="AL57" s="151">
        <f t="shared" si="64"/>
        <v>0</v>
      </c>
      <c r="AM57" s="29" t="s">
        <v>180</v>
      </c>
      <c r="AN57" s="175">
        <v>310923.09000000003</v>
      </c>
      <c r="AO57" s="175">
        <v>0</v>
      </c>
      <c r="AP57" s="175">
        <v>0</v>
      </c>
      <c r="AQ57" s="175">
        <v>57218.01</v>
      </c>
      <c r="AR57" s="175">
        <v>0</v>
      </c>
      <c r="AS57" s="175">
        <v>368141.10000000003</v>
      </c>
    </row>
    <row r="58" spans="1:45" ht="18.75">
      <c r="A58" s="142" t="s">
        <v>102</v>
      </c>
      <c r="B58" s="157" t="s">
        <v>105</v>
      </c>
      <c r="C58" s="158"/>
      <c r="D58" s="158"/>
      <c r="E58" s="144"/>
      <c r="F58" s="159"/>
      <c r="G58" s="160"/>
      <c r="H58" s="160"/>
      <c r="I58" s="160"/>
      <c r="J58" s="160"/>
      <c r="K58" s="160"/>
      <c r="L58" s="160"/>
      <c r="M58" s="158"/>
      <c r="N58" s="158"/>
      <c r="O58" s="146"/>
      <c r="P58" s="146"/>
      <c r="Q58" s="147"/>
      <c r="R58" s="155"/>
      <c r="S58" s="155"/>
      <c r="U58" s="151" t="s">
        <v>179</v>
      </c>
      <c r="V58" s="149">
        <f t="shared" si="53"/>
        <v>0</v>
      </c>
      <c r="W58" s="149">
        <f t="shared" si="53"/>
        <v>0</v>
      </c>
      <c r="X58" s="145">
        <f t="shared" si="54"/>
        <v>0</v>
      </c>
      <c r="Y58" s="145">
        <f t="shared" si="55"/>
        <v>0</v>
      </c>
      <c r="Z58" s="149">
        <f t="shared" si="56"/>
        <v>0</v>
      </c>
      <c r="AA58" s="145">
        <f t="shared" si="49"/>
        <v>0</v>
      </c>
      <c r="AB58" s="145">
        <f t="shared" si="57"/>
        <v>0</v>
      </c>
      <c r="AC58" s="145">
        <f t="shared" si="58"/>
        <v>0</v>
      </c>
      <c r="AD58" s="145">
        <f t="shared" si="59"/>
        <v>0</v>
      </c>
      <c r="AE58" s="145">
        <f t="shared" si="50"/>
        <v>0</v>
      </c>
      <c r="AF58" s="145">
        <f t="shared" si="51"/>
        <v>0</v>
      </c>
      <c r="AG58" s="146">
        <f t="shared" si="60"/>
        <v>0</v>
      </c>
      <c r="AH58" s="146">
        <f t="shared" si="61"/>
        <v>0</v>
      </c>
      <c r="AI58" s="146">
        <f t="shared" si="65"/>
        <v>0</v>
      </c>
      <c r="AJ58" s="152">
        <f t="shared" si="62"/>
        <v>0</v>
      </c>
      <c r="AK58" s="152">
        <f t="shared" si="63"/>
        <v>0</v>
      </c>
      <c r="AL58" s="151">
        <f t="shared" si="64"/>
        <v>0</v>
      </c>
      <c r="AM58" s="29" t="s">
        <v>180</v>
      </c>
      <c r="AN58" s="175">
        <v>292175.65999999997</v>
      </c>
      <c r="AO58" s="175">
        <v>0</v>
      </c>
      <c r="AP58" s="175">
        <v>0</v>
      </c>
      <c r="AQ58" s="175">
        <v>36123.46</v>
      </c>
      <c r="AR58" s="175">
        <v>0</v>
      </c>
      <c r="AS58" s="175">
        <v>328299.12</v>
      </c>
    </row>
    <row r="59" spans="1:45" ht="18.75">
      <c r="A59" s="142" t="s">
        <v>102</v>
      </c>
      <c r="B59" s="157" t="s">
        <v>106</v>
      </c>
      <c r="C59" s="158"/>
      <c r="D59" s="158"/>
      <c r="E59" s="144"/>
      <c r="F59" s="159"/>
      <c r="G59" s="160"/>
      <c r="H59" s="160"/>
      <c r="I59" s="160"/>
      <c r="J59" s="160"/>
      <c r="K59" s="160"/>
      <c r="L59" s="160"/>
      <c r="M59" s="158"/>
      <c r="N59" s="158"/>
      <c r="O59" s="146"/>
      <c r="P59" s="146"/>
      <c r="Q59" s="147"/>
      <c r="R59" s="155"/>
      <c r="S59" s="155"/>
      <c r="U59" s="151" t="s">
        <v>179</v>
      </c>
      <c r="V59" s="149">
        <f t="shared" si="53"/>
        <v>0</v>
      </c>
      <c r="W59" s="149">
        <f t="shared" si="53"/>
        <v>0</v>
      </c>
      <c r="X59" s="145">
        <f t="shared" si="54"/>
        <v>0</v>
      </c>
      <c r="Y59" s="145">
        <f t="shared" si="55"/>
        <v>0</v>
      </c>
      <c r="Z59" s="149">
        <f t="shared" si="56"/>
        <v>0</v>
      </c>
      <c r="AA59" s="145">
        <f t="shared" si="49"/>
        <v>0</v>
      </c>
      <c r="AB59" s="145">
        <f t="shared" si="57"/>
        <v>0</v>
      </c>
      <c r="AC59" s="145">
        <f t="shared" si="58"/>
        <v>0</v>
      </c>
      <c r="AD59" s="145">
        <f t="shared" si="59"/>
        <v>0</v>
      </c>
      <c r="AE59" s="145">
        <f t="shared" si="50"/>
        <v>0</v>
      </c>
      <c r="AF59" s="145">
        <f t="shared" si="51"/>
        <v>0</v>
      </c>
      <c r="AG59" s="146">
        <f t="shared" si="60"/>
        <v>0</v>
      </c>
      <c r="AH59" s="146">
        <f t="shared" si="61"/>
        <v>0</v>
      </c>
      <c r="AI59" s="146">
        <f t="shared" si="65"/>
        <v>0</v>
      </c>
      <c r="AJ59" s="152">
        <f t="shared" si="62"/>
        <v>0</v>
      </c>
      <c r="AK59" s="152">
        <f t="shared" si="63"/>
        <v>0</v>
      </c>
      <c r="AL59" s="151">
        <f t="shared" si="64"/>
        <v>0</v>
      </c>
      <c r="AM59" s="29" t="s">
        <v>180</v>
      </c>
      <c r="AN59" s="151"/>
      <c r="AO59" s="151"/>
      <c r="AP59" s="151"/>
      <c r="AQ59" s="151"/>
      <c r="AR59" s="151"/>
      <c r="AS59" s="151">
        <f>AN59+AO59+AP59+AQ59+AR59</f>
        <v>0</v>
      </c>
    </row>
    <row r="60" spans="1:45" ht="18.75">
      <c r="A60" s="142" t="s">
        <v>102</v>
      </c>
      <c r="B60" s="157" t="s">
        <v>107</v>
      </c>
      <c r="C60" s="158"/>
      <c r="D60" s="158"/>
      <c r="E60" s="144"/>
      <c r="F60" s="159"/>
      <c r="G60" s="160"/>
      <c r="H60" s="160"/>
      <c r="I60" s="160"/>
      <c r="J60" s="160"/>
      <c r="K60" s="160"/>
      <c r="L60" s="160"/>
      <c r="M60" s="158"/>
      <c r="N60" s="158"/>
      <c r="O60" s="146"/>
      <c r="P60" s="146"/>
      <c r="Q60" s="147"/>
      <c r="R60" s="155"/>
      <c r="S60" s="155"/>
      <c r="U60" s="151" t="s">
        <v>179</v>
      </c>
      <c r="V60" s="149">
        <f t="shared" si="53"/>
        <v>0</v>
      </c>
      <c r="W60" s="149">
        <f t="shared" si="53"/>
        <v>0</v>
      </c>
      <c r="X60" s="145">
        <f t="shared" si="54"/>
        <v>0</v>
      </c>
      <c r="Y60" s="145">
        <f t="shared" si="55"/>
        <v>0</v>
      </c>
      <c r="Z60" s="149">
        <f t="shared" si="56"/>
        <v>0</v>
      </c>
      <c r="AA60" s="145">
        <f t="shared" si="49"/>
        <v>0</v>
      </c>
      <c r="AB60" s="145">
        <f t="shared" si="57"/>
        <v>0</v>
      </c>
      <c r="AC60" s="145">
        <f t="shared" si="58"/>
        <v>0</v>
      </c>
      <c r="AD60" s="145">
        <f t="shared" si="59"/>
        <v>0</v>
      </c>
      <c r="AE60" s="145">
        <f t="shared" si="50"/>
        <v>0</v>
      </c>
      <c r="AF60" s="145">
        <f t="shared" si="51"/>
        <v>0</v>
      </c>
      <c r="AG60" s="146">
        <f t="shared" si="60"/>
        <v>0</v>
      </c>
      <c r="AH60" s="146">
        <f t="shared" si="61"/>
        <v>0</v>
      </c>
      <c r="AI60" s="146">
        <f t="shared" si="65"/>
        <v>0</v>
      </c>
      <c r="AJ60" s="152">
        <f t="shared" si="62"/>
        <v>0</v>
      </c>
      <c r="AK60" s="152">
        <f t="shared" si="63"/>
        <v>0</v>
      </c>
      <c r="AL60" s="151">
        <f>SUM(V60:AK60)</f>
        <v>0</v>
      </c>
      <c r="AM60" s="29" t="s">
        <v>180</v>
      </c>
      <c r="AN60" s="151"/>
      <c r="AO60" s="151"/>
      <c r="AP60" s="151"/>
      <c r="AQ60" s="151"/>
      <c r="AR60" s="151"/>
      <c r="AS60" s="151">
        <f>AN60+AO60+AP60+AQ60+AR60</f>
        <v>0</v>
      </c>
    </row>
    <row r="61" spans="1:45" ht="19.5" thickBot="1">
      <c r="A61" s="142" t="s">
        <v>102</v>
      </c>
      <c r="B61" s="157" t="s">
        <v>108</v>
      </c>
      <c r="C61" s="162"/>
      <c r="D61" s="162"/>
      <c r="E61" s="162"/>
      <c r="F61" s="162"/>
      <c r="G61" s="163"/>
      <c r="H61" s="163"/>
      <c r="I61" s="163"/>
      <c r="J61" s="163"/>
      <c r="K61" s="163"/>
      <c r="L61" s="163"/>
      <c r="M61" s="162"/>
      <c r="N61" s="162"/>
      <c r="O61" s="146"/>
      <c r="P61" s="146"/>
      <c r="Q61" s="147"/>
      <c r="R61" s="163"/>
      <c r="S61" s="163"/>
      <c r="U61" s="151" t="s">
        <v>179</v>
      </c>
      <c r="V61" s="149">
        <f t="shared" si="53"/>
        <v>0</v>
      </c>
      <c r="W61" s="149">
        <f t="shared" si="53"/>
        <v>0</v>
      </c>
      <c r="X61" s="145">
        <f t="shared" si="54"/>
        <v>0</v>
      </c>
      <c r="Y61" s="145">
        <f t="shared" si="55"/>
        <v>0</v>
      </c>
      <c r="Z61" s="149">
        <f t="shared" si="56"/>
        <v>0</v>
      </c>
      <c r="AA61" s="145">
        <f t="shared" si="49"/>
        <v>0</v>
      </c>
      <c r="AB61" s="145">
        <f t="shared" si="57"/>
        <v>0</v>
      </c>
      <c r="AC61" s="145">
        <f t="shared" si="58"/>
        <v>0</v>
      </c>
      <c r="AD61" s="145">
        <f t="shared" si="59"/>
        <v>0</v>
      </c>
      <c r="AE61" s="145">
        <f t="shared" si="50"/>
        <v>0</v>
      </c>
      <c r="AF61" s="145">
        <f t="shared" si="51"/>
        <v>0</v>
      </c>
      <c r="AG61" s="146">
        <f t="shared" si="60"/>
        <v>0</v>
      </c>
      <c r="AH61" s="146">
        <f t="shared" si="61"/>
        <v>0</v>
      </c>
      <c r="AI61" s="146">
        <f t="shared" si="65"/>
        <v>0</v>
      </c>
      <c r="AJ61" s="152">
        <f t="shared" si="62"/>
        <v>0</v>
      </c>
      <c r="AK61" s="152">
        <f t="shared" si="63"/>
        <v>0</v>
      </c>
      <c r="AL61" s="151">
        <f>SUM(V61:AK61)</f>
        <v>0</v>
      </c>
      <c r="AM61" s="29" t="s">
        <v>180</v>
      </c>
      <c r="AN61" s="151"/>
      <c r="AO61" s="151"/>
      <c r="AP61" s="151"/>
      <c r="AQ61" s="151"/>
      <c r="AR61" s="151"/>
      <c r="AS61" s="151">
        <f>AN61+AO61+AP61+AQ61+AR61</f>
        <v>0</v>
      </c>
    </row>
    <row r="62" spans="1:45" ht="19.5" thickTop="1">
      <c r="A62" s="164"/>
      <c r="C62" s="141">
        <f t="shared" ref="C62:S62" si="66">SUM(C50:C61)</f>
        <v>3728</v>
      </c>
      <c r="D62" s="141">
        <f t="shared" si="66"/>
        <v>526</v>
      </c>
      <c r="E62" s="165">
        <f t="shared" si="66"/>
        <v>1315</v>
      </c>
      <c r="F62" s="165">
        <f t="shared" si="66"/>
        <v>0</v>
      </c>
      <c r="G62" s="166">
        <f t="shared" si="66"/>
        <v>611.20000000000005</v>
      </c>
      <c r="H62" s="166">
        <f t="shared" si="66"/>
        <v>152.80000000000001</v>
      </c>
      <c r="I62" s="166">
        <f t="shared" si="66"/>
        <v>274.5</v>
      </c>
      <c r="J62" s="166">
        <f t="shared" si="66"/>
        <v>30.5</v>
      </c>
      <c r="K62" s="166">
        <f t="shared" si="66"/>
        <v>192.88888888888889</v>
      </c>
      <c r="L62" s="166">
        <f t="shared" si="66"/>
        <v>55.111111111111107</v>
      </c>
      <c r="M62" s="141">
        <f t="shared" si="66"/>
        <v>292</v>
      </c>
      <c r="N62" s="141">
        <f t="shared" si="66"/>
        <v>549</v>
      </c>
      <c r="O62" s="165">
        <f t="shared" si="66"/>
        <v>0</v>
      </c>
      <c r="P62" s="165">
        <f t="shared" si="66"/>
        <v>0</v>
      </c>
      <c r="Q62" s="141">
        <f t="shared" si="66"/>
        <v>48</v>
      </c>
      <c r="R62" s="166">
        <f t="shared" si="66"/>
        <v>0</v>
      </c>
      <c r="S62" s="166">
        <f t="shared" si="66"/>
        <v>0</v>
      </c>
      <c r="V62" s="167">
        <f t="shared" ref="V62:AL62" si="67">SUM(V50:V61)</f>
        <v>263000</v>
      </c>
      <c r="W62" s="167">
        <f t="shared" si="67"/>
        <v>657500</v>
      </c>
      <c r="X62" s="167">
        <f t="shared" si="67"/>
        <v>0</v>
      </c>
      <c r="Y62" s="167">
        <f t="shared" si="67"/>
        <v>3972800</v>
      </c>
      <c r="Z62" s="167">
        <f t="shared" si="67"/>
        <v>1528000</v>
      </c>
      <c r="AA62" s="167">
        <f t="shared" si="67"/>
        <v>2745000</v>
      </c>
      <c r="AB62" s="167">
        <f t="shared" si="67"/>
        <v>152500</v>
      </c>
      <c r="AC62" s="167">
        <f t="shared" si="67"/>
        <v>964444.44444444438</v>
      </c>
      <c r="AD62" s="167">
        <f t="shared" si="67"/>
        <v>551111.11111111112</v>
      </c>
      <c r="AE62" s="167">
        <f t="shared" si="67"/>
        <v>584000</v>
      </c>
      <c r="AF62" s="167">
        <f t="shared" si="67"/>
        <v>2745000</v>
      </c>
      <c r="AG62" s="167">
        <f t="shared" si="67"/>
        <v>0</v>
      </c>
      <c r="AH62" s="167">
        <f t="shared" si="67"/>
        <v>0</v>
      </c>
      <c r="AI62" s="167">
        <f t="shared" si="67"/>
        <v>1800000</v>
      </c>
      <c r="AJ62" s="167">
        <f t="shared" si="67"/>
        <v>0</v>
      </c>
      <c r="AK62" s="167">
        <f t="shared" si="67"/>
        <v>0</v>
      </c>
      <c r="AL62" s="168">
        <f t="shared" si="67"/>
        <v>15963355.555555556</v>
      </c>
      <c r="AN62" s="169">
        <f t="shared" ref="AN62:AS62" si="68">SUM(AN50:AN61)</f>
        <v>2642056.94</v>
      </c>
      <c r="AO62" s="169">
        <f t="shared" si="68"/>
        <v>0</v>
      </c>
      <c r="AP62" s="169">
        <f t="shared" si="68"/>
        <v>0</v>
      </c>
      <c r="AQ62" s="169">
        <f>SUM(AQ50:AQ61)</f>
        <v>876004.08</v>
      </c>
      <c r="AR62" s="169">
        <f t="shared" si="68"/>
        <v>-31249.999999999996</v>
      </c>
      <c r="AS62" s="169">
        <f t="shared" si="68"/>
        <v>3486811.02</v>
      </c>
    </row>
    <row r="63" spans="1:45" ht="18.75"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70"/>
      <c r="AH63" s="170"/>
      <c r="AI63" s="170"/>
      <c r="AJ63" s="170"/>
      <c r="AK63" s="131"/>
      <c r="AL63" s="169"/>
      <c r="AO63" s="171"/>
    </row>
    <row r="64" spans="1:45" ht="18.75">
      <c r="B64" s="172" t="s">
        <v>182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V64" s="170">
        <f>V62</f>
        <v>263000</v>
      </c>
      <c r="W64" s="170">
        <f>W62</f>
        <v>657500</v>
      </c>
      <c r="X64" s="170">
        <f>X62</f>
        <v>0</v>
      </c>
      <c r="Y64" s="170"/>
      <c r="Z64" s="170"/>
      <c r="AA64" s="170"/>
      <c r="AB64" s="170"/>
      <c r="AC64" s="170"/>
      <c r="AD64" s="170"/>
      <c r="AE64" s="170">
        <f>AE62</f>
        <v>584000</v>
      </c>
      <c r="AF64" s="170">
        <f>AF62</f>
        <v>2745000</v>
      </c>
      <c r="AG64" s="170">
        <f>AG62</f>
        <v>0</v>
      </c>
      <c r="AH64" s="170">
        <f>AH62</f>
        <v>0</v>
      </c>
      <c r="AI64" s="170"/>
      <c r="AJ64" s="170">
        <f>AJ62</f>
        <v>0</v>
      </c>
      <c r="AK64" s="170">
        <f>AK62</f>
        <v>0</v>
      </c>
      <c r="AL64" s="169">
        <f>SUM(V64:AK64)</f>
        <v>4249500</v>
      </c>
      <c r="AN64" s="176">
        <f t="shared" ref="AN64:AS64" si="69">SUM(AN62+AN40+AN18)</f>
        <v>4674205.74</v>
      </c>
      <c r="AO64" s="176">
        <f t="shared" si="69"/>
        <v>1356353.4749999999</v>
      </c>
      <c r="AP64" s="176">
        <f t="shared" si="69"/>
        <v>2322710.9549999996</v>
      </c>
      <c r="AQ64" s="176">
        <f t="shared" si="69"/>
        <v>2209156.2399999998</v>
      </c>
      <c r="AR64" s="176">
        <f t="shared" si="69"/>
        <v>-125000</v>
      </c>
      <c r="AS64" s="176">
        <f t="shared" si="69"/>
        <v>10437426.41</v>
      </c>
    </row>
    <row r="65" spans="1:45" ht="18.75">
      <c r="B65" s="172" t="s">
        <v>183</v>
      </c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V65" s="170"/>
      <c r="W65" s="170"/>
      <c r="X65" s="170"/>
      <c r="Y65" s="170">
        <f t="shared" ref="Y65:AD65" si="70">Y62</f>
        <v>3972800</v>
      </c>
      <c r="Z65" s="170">
        <f t="shared" si="70"/>
        <v>1528000</v>
      </c>
      <c r="AA65" s="170">
        <f t="shared" si="70"/>
        <v>2745000</v>
      </c>
      <c r="AB65" s="170">
        <f t="shared" si="70"/>
        <v>152500</v>
      </c>
      <c r="AC65" s="170">
        <f t="shared" si="70"/>
        <v>964444.44444444438</v>
      </c>
      <c r="AD65" s="170">
        <f t="shared" si="70"/>
        <v>551111.11111111112</v>
      </c>
      <c r="AE65" s="170"/>
      <c r="AF65" s="170"/>
      <c r="AG65" s="170"/>
      <c r="AH65" s="170"/>
      <c r="AI65" s="170">
        <f>AI62</f>
        <v>1800000</v>
      </c>
      <c r="AJ65" s="170"/>
      <c r="AK65" s="131"/>
      <c r="AL65" s="169">
        <f>SUM(V65:AK65)</f>
        <v>11713855.555555556</v>
      </c>
      <c r="AO65" s="173"/>
      <c r="AQ65" s="176"/>
    </row>
    <row r="66" spans="1:45" ht="18" customHeight="1">
      <c r="AL66" s="28"/>
      <c r="AP66" s="176">
        <f>AN64+AO64+AP64</f>
        <v>8353270.1699999999</v>
      </c>
    </row>
    <row r="67" spans="1:45" ht="20.25">
      <c r="A67" s="131"/>
      <c r="B67" s="132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R67" s="706"/>
      <c r="S67" s="706"/>
      <c r="T67" s="706"/>
      <c r="U67" s="706"/>
      <c r="V67" s="706"/>
      <c r="W67" s="706"/>
      <c r="X67" s="706"/>
      <c r="Y67" s="706"/>
      <c r="Z67" s="706"/>
      <c r="AA67" s="706"/>
      <c r="AB67" s="133"/>
      <c r="AC67" s="133"/>
      <c r="AD67" s="133"/>
      <c r="AE67" s="97"/>
      <c r="AF67" s="97"/>
      <c r="AG67" s="97"/>
      <c r="AH67" s="97"/>
      <c r="AI67" s="97"/>
      <c r="AJ67" s="97"/>
      <c r="AK67" s="97"/>
      <c r="AL67" s="177"/>
      <c r="AM67" s="97"/>
      <c r="AN67" s="97"/>
      <c r="AO67" s="97"/>
      <c r="AP67" s="97"/>
      <c r="AQ67" s="97"/>
      <c r="AR67" s="97"/>
      <c r="AS67" s="97"/>
    </row>
    <row r="68" spans="1:45" ht="19.5" thickBot="1">
      <c r="A68" s="131"/>
      <c r="C68" s="134"/>
    </row>
    <row r="69" spans="1:45" ht="19.5" customHeight="1" thickBot="1">
      <c r="A69" s="131"/>
      <c r="C69" s="698" t="s">
        <v>153</v>
      </c>
      <c r="D69" s="698"/>
      <c r="E69" s="699"/>
      <c r="F69" s="699"/>
      <c r="G69" s="699"/>
      <c r="H69" s="699"/>
      <c r="I69" s="699"/>
      <c r="J69" s="699"/>
      <c r="K69" s="699"/>
      <c r="L69" s="699"/>
      <c r="M69" s="699"/>
      <c r="N69" s="699"/>
      <c r="O69" s="699"/>
      <c r="P69" s="699"/>
      <c r="Q69" s="699"/>
      <c r="R69" s="700"/>
      <c r="S69" s="135"/>
      <c r="T69" s="135"/>
      <c r="U69" s="701" t="s">
        <v>154</v>
      </c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136"/>
      <c r="AN69" s="703" t="s">
        <v>155</v>
      </c>
      <c r="AO69" s="704"/>
      <c r="AP69" s="704"/>
      <c r="AQ69" s="705"/>
      <c r="AR69" s="705"/>
      <c r="AS69" s="705"/>
    </row>
    <row r="70" spans="1:45" ht="112.5">
      <c r="A70" s="131"/>
      <c r="B70" s="137" t="s">
        <v>186</v>
      </c>
      <c r="C70" s="138" t="s">
        <v>157</v>
      </c>
      <c r="D70" s="138" t="s">
        <v>158</v>
      </c>
      <c r="E70" s="138" t="s">
        <v>159</v>
      </c>
      <c r="F70" s="138" t="s">
        <v>160</v>
      </c>
      <c r="G70" s="138" t="s">
        <v>161</v>
      </c>
      <c r="H70" s="138" t="s">
        <v>162</v>
      </c>
      <c r="I70" s="138" t="s">
        <v>146</v>
      </c>
      <c r="J70" s="138" t="s">
        <v>147</v>
      </c>
      <c r="K70" s="138" t="s">
        <v>163</v>
      </c>
      <c r="L70" s="138" t="s">
        <v>148</v>
      </c>
      <c r="M70" s="138" t="s">
        <v>164</v>
      </c>
      <c r="N70" s="138" t="s">
        <v>165</v>
      </c>
      <c r="O70" s="138" t="s">
        <v>166</v>
      </c>
      <c r="P70" s="138" t="s">
        <v>167</v>
      </c>
      <c r="Q70" s="138" t="s">
        <v>168</v>
      </c>
      <c r="R70" s="138" t="s">
        <v>169</v>
      </c>
      <c r="S70" s="138" t="s">
        <v>170</v>
      </c>
      <c r="T70" s="139"/>
      <c r="U70" s="139" t="s">
        <v>157</v>
      </c>
      <c r="V70" s="138" t="str">
        <f>D70</f>
        <v>Gas Furnance &amp; Boiler Grants</v>
      </c>
      <c r="W70" s="138" t="str">
        <f>E70</f>
        <v>Gas Furnance,Boiler, HW Grants</v>
      </c>
      <c r="X70" s="138" t="s">
        <v>160</v>
      </c>
      <c r="Y70" s="138" t="s">
        <v>171</v>
      </c>
      <c r="Z70" s="138" t="s">
        <v>145</v>
      </c>
      <c r="AA70" s="138" t="s">
        <v>146</v>
      </c>
      <c r="AB70" s="138" t="s">
        <v>147</v>
      </c>
      <c r="AC70" s="138" t="s">
        <v>163</v>
      </c>
      <c r="AD70" s="138" t="s">
        <v>148</v>
      </c>
      <c r="AE70" s="138" t="s">
        <v>164</v>
      </c>
      <c r="AF70" s="138" t="s">
        <v>165</v>
      </c>
      <c r="AG70" s="138" t="s">
        <v>142</v>
      </c>
      <c r="AH70" s="138" t="s">
        <v>143</v>
      </c>
      <c r="AI70" s="138" t="s">
        <v>152</v>
      </c>
      <c r="AJ70" s="138" t="s">
        <v>169</v>
      </c>
      <c r="AK70" s="138" t="s">
        <v>170</v>
      </c>
      <c r="AL70" s="138" t="s">
        <v>1</v>
      </c>
      <c r="AN70" s="138" t="s">
        <v>172</v>
      </c>
      <c r="AO70" s="138" t="s">
        <v>173</v>
      </c>
      <c r="AP70" s="138" t="s">
        <v>174</v>
      </c>
      <c r="AQ70" s="138" t="s">
        <v>175</v>
      </c>
      <c r="AR70" s="140" t="s">
        <v>176</v>
      </c>
      <c r="AS70" s="140" t="s">
        <v>177</v>
      </c>
    </row>
    <row r="71" spans="1:45" ht="18.75">
      <c r="A71" s="131"/>
      <c r="B71" s="141"/>
      <c r="W71" s="28"/>
      <c r="X71" s="28"/>
      <c r="Y71" s="28"/>
      <c r="Z71" s="28"/>
      <c r="AA71" s="28"/>
      <c r="AB71" s="28"/>
      <c r="AC71" s="28"/>
      <c r="AD71" s="28"/>
    </row>
    <row r="72" spans="1:45" ht="18.75">
      <c r="A72" s="142" t="s">
        <v>47</v>
      </c>
      <c r="B72" s="143" t="s">
        <v>109</v>
      </c>
      <c r="C72" s="144"/>
      <c r="D72" s="144"/>
      <c r="E72" s="144"/>
      <c r="F72" s="144"/>
      <c r="G72" s="144"/>
      <c r="H72" s="144"/>
      <c r="I72" s="145"/>
      <c r="J72" s="145"/>
      <c r="K72" s="145"/>
      <c r="L72" s="145"/>
      <c r="M72" s="144"/>
      <c r="N72" s="144"/>
      <c r="O72" s="146"/>
      <c r="P72" s="146"/>
      <c r="Q72" s="147"/>
      <c r="R72" s="146"/>
      <c r="S72" s="146"/>
      <c r="U72" s="148"/>
      <c r="V72" s="149">
        <f>D72*300</f>
        <v>0</v>
      </c>
      <c r="W72" s="149">
        <f t="shared" ref="W72:W83" si="71">E72*900</f>
        <v>0</v>
      </c>
      <c r="X72" s="149">
        <f>F72*300</f>
        <v>0</v>
      </c>
      <c r="Y72" s="149">
        <f>G72*6500</f>
        <v>0</v>
      </c>
      <c r="Z72" s="149">
        <f>H72*10000</f>
        <v>0</v>
      </c>
      <c r="AA72" s="149">
        <f t="shared" ref="AA72:AA83" si="72">(I72*10000)</f>
        <v>0</v>
      </c>
      <c r="AB72" s="149">
        <f>(J72*5000)</f>
        <v>0</v>
      </c>
      <c r="AC72" s="149">
        <f>K72*5000</f>
        <v>0</v>
      </c>
      <c r="AD72" s="149">
        <f>L72*10000</f>
        <v>0</v>
      </c>
      <c r="AE72" s="149">
        <f t="shared" ref="AE72:AE83" si="73">M72*2000</f>
        <v>0</v>
      </c>
      <c r="AF72" s="149">
        <f t="shared" ref="AF72:AF83" si="74">N72*5000</f>
        <v>0</v>
      </c>
      <c r="AG72" s="150">
        <f>O72*15000</f>
        <v>0</v>
      </c>
      <c r="AH72" s="150">
        <f>P72*25000</f>
        <v>0</v>
      </c>
      <c r="AI72" s="150">
        <f>Q72*32800</f>
        <v>0</v>
      </c>
      <c r="AJ72" s="150">
        <f>R72*800</f>
        <v>0</v>
      </c>
      <c r="AK72" s="150">
        <f>S72*1200</f>
        <v>0</v>
      </c>
      <c r="AL72" s="151">
        <f>SUM(V72:AK72)</f>
        <v>0</v>
      </c>
      <c r="AM72" s="29" t="s">
        <v>180</v>
      </c>
      <c r="AN72" s="151"/>
      <c r="AO72" s="151"/>
      <c r="AP72" s="151"/>
      <c r="AQ72" s="151"/>
      <c r="AR72" s="151"/>
      <c r="AS72" s="151">
        <f>AN72+AO72+AP72+AQ72+AR72</f>
        <v>0</v>
      </c>
    </row>
    <row r="73" spans="1:45" ht="18.75">
      <c r="A73" s="142" t="s">
        <v>47</v>
      </c>
      <c r="B73" s="143" t="s">
        <v>110</v>
      </c>
      <c r="C73" s="144"/>
      <c r="D73" s="144"/>
      <c r="E73" s="144"/>
      <c r="F73" s="144"/>
      <c r="G73" s="145"/>
      <c r="H73" s="145"/>
      <c r="I73" s="145"/>
      <c r="J73" s="145"/>
      <c r="K73" s="145"/>
      <c r="L73" s="145"/>
      <c r="M73" s="144"/>
      <c r="N73" s="144"/>
      <c r="O73" s="146"/>
      <c r="P73" s="146"/>
      <c r="Q73" s="147"/>
      <c r="R73" s="145"/>
      <c r="S73" s="145"/>
      <c r="U73" s="148"/>
      <c r="V73" s="145">
        <f>D73*300</f>
        <v>0</v>
      </c>
      <c r="W73" s="145">
        <f t="shared" si="71"/>
        <v>0</v>
      </c>
      <c r="X73" s="145">
        <f t="shared" ref="X73:X83" si="75">F73*300</f>
        <v>0</v>
      </c>
      <c r="Y73" s="145">
        <f t="shared" ref="Y73:Y83" si="76">G73*6500</f>
        <v>0</v>
      </c>
      <c r="Z73" s="149">
        <f t="shared" ref="Z73:Z83" si="77">H73*10000</f>
        <v>0</v>
      </c>
      <c r="AA73" s="145">
        <f t="shared" si="72"/>
        <v>0</v>
      </c>
      <c r="AB73" s="145">
        <f t="shared" ref="AB73:AB83" si="78">(J73*5000)</f>
        <v>0</v>
      </c>
      <c r="AC73" s="145">
        <f t="shared" ref="AC73:AC83" si="79">K73*5000</f>
        <v>0</v>
      </c>
      <c r="AD73" s="145">
        <f t="shared" ref="AD73:AD83" si="80">L73*10000</f>
        <v>0</v>
      </c>
      <c r="AE73" s="145">
        <f t="shared" si="73"/>
        <v>0</v>
      </c>
      <c r="AF73" s="145">
        <f t="shared" si="74"/>
        <v>0</v>
      </c>
      <c r="AG73" s="146">
        <f t="shared" ref="AG73:AG83" si="81">O73*15000</f>
        <v>0</v>
      </c>
      <c r="AH73" s="146">
        <f t="shared" ref="AH73:AH83" si="82">P73*25000</f>
        <v>0</v>
      </c>
      <c r="AI73" s="146">
        <f t="shared" ref="AI73:AI83" si="83">Q73*32800</f>
        <v>0</v>
      </c>
      <c r="AJ73" s="152">
        <f t="shared" ref="AJ73:AJ83" si="84">R73*800</f>
        <v>0</v>
      </c>
      <c r="AK73" s="152">
        <f t="shared" ref="AK73:AK83" si="85">S73*1200</f>
        <v>0</v>
      </c>
      <c r="AL73" s="151">
        <f>SUM(V73:AK73)</f>
        <v>0</v>
      </c>
      <c r="AM73" s="29" t="s">
        <v>180</v>
      </c>
      <c r="AN73" s="151"/>
      <c r="AO73" s="151"/>
      <c r="AP73" s="151"/>
      <c r="AQ73" s="151"/>
      <c r="AR73" s="151"/>
      <c r="AS73" s="151">
        <f t="shared" ref="AS73:AS83" si="86">AN73+AO73+AP73+AQ73+AR73</f>
        <v>0</v>
      </c>
    </row>
    <row r="74" spans="1:45" ht="18.75">
      <c r="A74" s="142" t="s">
        <v>47</v>
      </c>
      <c r="B74" s="143" t="s">
        <v>111</v>
      </c>
      <c r="C74" s="153"/>
      <c r="D74" s="153"/>
      <c r="E74" s="144"/>
      <c r="F74" s="153"/>
      <c r="G74" s="154"/>
      <c r="H74" s="154"/>
      <c r="I74" s="154"/>
      <c r="J74" s="154"/>
      <c r="K74" s="154"/>
      <c r="L74" s="154"/>
      <c r="M74" s="153"/>
      <c r="N74" s="153"/>
      <c r="O74" s="146"/>
      <c r="P74" s="146"/>
      <c r="Q74" s="147"/>
      <c r="R74" s="155"/>
      <c r="S74" s="155"/>
      <c r="U74" s="156"/>
      <c r="V74" s="145">
        <f t="shared" ref="V74:V83" si="87">D74*300</f>
        <v>0</v>
      </c>
      <c r="W74" s="145">
        <f t="shared" si="71"/>
        <v>0</v>
      </c>
      <c r="X74" s="145">
        <f t="shared" si="75"/>
        <v>0</v>
      </c>
      <c r="Y74" s="145">
        <f t="shared" si="76"/>
        <v>0</v>
      </c>
      <c r="Z74" s="149">
        <f t="shared" si="77"/>
        <v>0</v>
      </c>
      <c r="AA74" s="145">
        <f t="shared" si="72"/>
        <v>0</v>
      </c>
      <c r="AB74" s="145">
        <f t="shared" si="78"/>
        <v>0</v>
      </c>
      <c r="AC74" s="145">
        <f t="shared" si="79"/>
        <v>0</v>
      </c>
      <c r="AD74" s="145">
        <f t="shared" si="80"/>
        <v>0</v>
      </c>
      <c r="AE74" s="145">
        <f t="shared" si="73"/>
        <v>0</v>
      </c>
      <c r="AF74" s="145">
        <f t="shared" si="74"/>
        <v>0</v>
      </c>
      <c r="AG74" s="146">
        <f t="shared" si="81"/>
        <v>0</v>
      </c>
      <c r="AH74" s="146">
        <f t="shared" si="82"/>
        <v>0</v>
      </c>
      <c r="AI74" s="146">
        <f t="shared" si="83"/>
        <v>0</v>
      </c>
      <c r="AJ74" s="152">
        <f t="shared" si="84"/>
        <v>0</v>
      </c>
      <c r="AK74" s="152">
        <f t="shared" si="85"/>
        <v>0</v>
      </c>
      <c r="AL74" s="151">
        <f>SUM(V74:AK74)</f>
        <v>0</v>
      </c>
      <c r="AM74" s="29" t="s">
        <v>180</v>
      </c>
      <c r="AN74" s="151"/>
      <c r="AO74" s="151"/>
      <c r="AP74" s="151"/>
      <c r="AQ74" s="151"/>
      <c r="AR74" s="151"/>
      <c r="AS74" s="151">
        <f t="shared" si="86"/>
        <v>0</v>
      </c>
    </row>
    <row r="75" spans="1:45" ht="18.75">
      <c r="A75" s="142" t="s">
        <v>47</v>
      </c>
      <c r="B75" s="157" t="s">
        <v>112</v>
      </c>
      <c r="C75" s="158"/>
      <c r="D75" s="158"/>
      <c r="E75" s="144"/>
      <c r="F75" s="159"/>
      <c r="G75" s="160"/>
      <c r="H75" s="160"/>
      <c r="I75" s="160"/>
      <c r="J75" s="160"/>
      <c r="K75" s="160"/>
      <c r="L75" s="160"/>
      <c r="M75" s="158"/>
      <c r="N75" s="158"/>
      <c r="O75" s="146"/>
      <c r="P75" s="146"/>
      <c r="Q75" s="147"/>
      <c r="R75" s="155"/>
      <c r="S75" s="155"/>
      <c r="U75" s="151" t="s">
        <v>179</v>
      </c>
      <c r="V75" s="145">
        <f t="shared" si="87"/>
        <v>0</v>
      </c>
      <c r="W75" s="145">
        <f t="shared" si="71"/>
        <v>0</v>
      </c>
      <c r="X75" s="145">
        <f t="shared" si="75"/>
        <v>0</v>
      </c>
      <c r="Y75" s="145">
        <f t="shared" si="76"/>
        <v>0</v>
      </c>
      <c r="Z75" s="149">
        <f t="shared" si="77"/>
        <v>0</v>
      </c>
      <c r="AA75" s="145">
        <f t="shared" si="72"/>
        <v>0</v>
      </c>
      <c r="AB75" s="145">
        <f t="shared" si="78"/>
        <v>0</v>
      </c>
      <c r="AC75" s="145">
        <f t="shared" si="79"/>
        <v>0</v>
      </c>
      <c r="AD75" s="145">
        <f t="shared" si="80"/>
        <v>0</v>
      </c>
      <c r="AE75" s="145">
        <f t="shared" si="73"/>
        <v>0</v>
      </c>
      <c r="AF75" s="145">
        <f t="shared" si="74"/>
        <v>0</v>
      </c>
      <c r="AG75" s="146">
        <f t="shared" si="81"/>
        <v>0</v>
      </c>
      <c r="AH75" s="146">
        <f t="shared" si="82"/>
        <v>0</v>
      </c>
      <c r="AI75" s="146">
        <f t="shared" si="83"/>
        <v>0</v>
      </c>
      <c r="AJ75" s="152">
        <f t="shared" si="84"/>
        <v>0</v>
      </c>
      <c r="AK75" s="152">
        <f t="shared" si="85"/>
        <v>0</v>
      </c>
      <c r="AL75" s="151">
        <f>SUM(V75:AK75)</f>
        <v>0</v>
      </c>
      <c r="AM75" s="29" t="s">
        <v>180</v>
      </c>
      <c r="AN75" s="151"/>
      <c r="AO75" s="151"/>
      <c r="AP75" s="151"/>
      <c r="AQ75" s="151"/>
      <c r="AR75" s="151"/>
      <c r="AS75" s="151">
        <f t="shared" si="86"/>
        <v>0</v>
      </c>
    </row>
    <row r="76" spans="1:45" ht="18.75">
      <c r="A76" s="142" t="s">
        <v>102</v>
      </c>
      <c r="B76" s="157" t="s">
        <v>57</v>
      </c>
      <c r="C76" s="158"/>
      <c r="D76" s="158"/>
      <c r="E76" s="144"/>
      <c r="F76" s="159"/>
      <c r="G76" s="160"/>
      <c r="H76" s="160"/>
      <c r="I76" s="160"/>
      <c r="J76" s="160"/>
      <c r="K76" s="160"/>
      <c r="L76" s="160"/>
      <c r="M76" s="158"/>
      <c r="N76" s="158"/>
      <c r="O76" s="146"/>
      <c r="P76" s="146"/>
      <c r="Q76" s="147"/>
      <c r="R76" s="155"/>
      <c r="S76" s="155"/>
      <c r="U76" s="151" t="s">
        <v>179</v>
      </c>
      <c r="V76" s="145">
        <f t="shared" si="87"/>
        <v>0</v>
      </c>
      <c r="W76" s="145">
        <f t="shared" si="71"/>
        <v>0</v>
      </c>
      <c r="X76" s="145">
        <f t="shared" si="75"/>
        <v>0</v>
      </c>
      <c r="Y76" s="145">
        <f t="shared" si="76"/>
        <v>0</v>
      </c>
      <c r="Z76" s="149">
        <f t="shared" si="77"/>
        <v>0</v>
      </c>
      <c r="AA76" s="145">
        <f t="shared" si="72"/>
        <v>0</v>
      </c>
      <c r="AB76" s="145">
        <f t="shared" si="78"/>
        <v>0</v>
      </c>
      <c r="AC76" s="145">
        <f t="shared" si="79"/>
        <v>0</v>
      </c>
      <c r="AD76" s="145">
        <f t="shared" si="80"/>
        <v>0</v>
      </c>
      <c r="AE76" s="145">
        <f t="shared" si="73"/>
        <v>0</v>
      </c>
      <c r="AF76" s="145">
        <f t="shared" si="74"/>
        <v>0</v>
      </c>
      <c r="AG76" s="146">
        <f t="shared" si="81"/>
        <v>0</v>
      </c>
      <c r="AH76" s="146">
        <f t="shared" si="82"/>
        <v>0</v>
      </c>
      <c r="AI76" s="146">
        <f t="shared" si="83"/>
        <v>0</v>
      </c>
      <c r="AJ76" s="152">
        <f t="shared" si="84"/>
        <v>0</v>
      </c>
      <c r="AK76" s="152">
        <f t="shared" si="85"/>
        <v>0</v>
      </c>
      <c r="AL76" s="151">
        <f t="shared" ref="AL76:AL81" si="88">SUM(V76:AK76)</f>
        <v>0</v>
      </c>
      <c r="AM76" s="29" t="s">
        <v>180</v>
      </c>
      <c r="AN76" s="151"/>
      <c r="AO76" s="151"/>
      <c r="AP76" s="151"/>
      <c r="AQ76" s="151"/>
      <c r="AR76" s="151"/>
      <c r="AS76" s="151">
        <f t="shared" si="86"/>
        <v>0</v>
      </c>
    </row>
    <row r="77" spans="1:45" ht="18.75">
      <c r="A77" s="142" t="s">
        <v>102</v>
      </c>
      <c r="B77" s="157" t="s">
        <v>113</v>
      </c>
      <c r="C77" s="158"/>
      <c r="D77" s="158"/>
      <c r="E77" s="144"/>
      <c r="F77" s="159"/>
      <c r="G77" s="160"/>
      <c r="H77" s="160"/>
      <c r="I77" s="160"/>
      <c r="J77" s="160"/>
      <c r="K77" s="160"/>
      <c r="L77" s="160"/>
      <c r="M77" s="158"/>
      <c r="N77" s="158"/>
      <c r="O77" s="146"/>
      <c r="P77" s="146"/>
      <c r="Q77" s="147"/>
      <c r="R77" s="155"/>
      <c r="S77" s="155"/>
      <c r="U77" s="151" t="s">
        <v>179</v>
      </c>
      <c r="V77" s="145">
        <f t="shared" si="87"/>
        <v>0</v>
      </c>
      <c r="W77" s="145">
        <f t="shared" si="71"/>
        <v>0</v>
      </c>
      <c r="X77" s="145">
        <f t="shared" si="75"/>
        <v>0</v>
      </c>
      <c r="Y77" s="145">
        <f t="shared" si="76"/>
        <v>0</v>
      </c>
      <c r="Z77" s="149">
        <f t="shared" si="77"/>
        <v>0</v>
      </c>
      <c r="AA77" s="145">
        <f t="shared" si="72"/>
        <v>0</v>
      </c>
      <c r="AB77" s="145">
        <f t="shared" si="78"/>
        <v>0</v>
      </c>
      <c r="AC77" s="145">
        <f t="shared" si="79"/>
        <v>0</v>
      </c>
      <c r="AD77" s="145">
        <f t="shared" si="80"/>
        <v>0</v>
      </c>
      <c r="AE77" s="145">
        <f t="shared" si="73"/>
        <v>0</v>
      </c>
      <c r="AF77" s="145">
        <f t="shared" si="74"/>
        <v>0</v>
      </c>
      <c r="AG77" s="146">
        <f t="shared" si="81"/>
        <v>0</v>
      </c>
      <c r="AH77" s="146">
        <f t="shared" si="82"/>
        <v>0</v>
      </c>
      <c r="AI77" s="146">
        <f t="shared" si="83"/>
        <v>0</v>
      </c>
      <c r="AJ77" s="152">
        <f t="shared" si="84"/>
        <v>0</v>
      </c>
      <c r="AK77" s="152">
        <f t="shared" si="85"/>
        <v>0</v>
      </c>
      <c r="AL77" s="151">
        <f t="shared" si="88"/>
        <v>0</v>
      </c>
      <c r="AM77" s="29" t="s">
        <v>180</v>
      </c>
      <c r="AN77" s="151"/>
      <c r="AO77" s="151"/>
      <c r="AP77" s="151"/>
      <c r="AQ77" s="151"/>
      <c r="AR77" s="151"/>
      <c r="AS77" s="151">
        <f t="shared" si="86"/>
        <v>0</v>
      </c>
    </row>
    <row r="78" spans="1:45" ht="18.75">
      <c r="A78" s="142" t="s">
        <v>102</v>
      </c>
      <c r="B78" s="157" t="s">
        <v>178</v>
      </c>
      <c r="C78" s="158"/>
      <c r="D78" s="158"/>
      <c r="E78" s="144"/>
      <c r="F78" s="159"/>
      <c r="G78" s="160"/>
      <c r="H78" s="160"/>
      <c r="I78" s="160"/>
      <c r="J78" s="160"/>
      <c r="K78" s="160"/>
      <c r="L78" s="160"/>
      <c r="M78" s="158"/>
      <c r="N78" s="158"/>
      <c r="O78" s="146"/>
      <c r="P78" s="146"/>
      <c r="Q78" s="147"/>
      <c r="R78" s="155"/>
      <c r="S78" s="155"/>
      <c r="U78" s="151" t="s">
        <v>179</v>
      </c>
      <c r="V78" s="145">
        <f t="shared" si="87"/>
        <v>0</v>
      </c>
      <c r="W78" s="145">
        <f t="shared" si="71"/>
        <v>0</v>
      </c>
      <c r="X78" s="145">
        <f t="shared" si="75"/>
        <v>0</v>
      </c>
      <c r="Y78" s="145">
        <f t="shared" si="76"/>
        <v>0</v>
      </c>
      <c r="Z78" s="149">
        <f t="shared" si="77"/>
        <v>0</v>
      </c>
      <c r="AA78" s="145">
        <f t="shared" si="72"/>
        <v>0</v>
      </c>
      <c r="AB78" s="145">
        <f t="shared" si="78"/>
        <v>0</v>
      </c>
      <c r="AC78" s="145">
        <f t="shared" si="79"/>
        <v>0</v>
      </c>
      <c r="AD78" s="145">
        <f t="shared" si="80"/>
        <v>0</v>
      </c>
      <c r="AE78" s="145">
        <f t="shared" si="73"/>
        <v>0</v>
      </c>
      <c r="AF78" s="145">
        <f t="shared" si="74"/>
        <v>0</v>
      </c>
      <c r="AG78" s="146">
        <f t="shared" si="81"/>
        <v>0</v>
      </c>
      <c r="AH78" s="146">
        <f t="shared" si="82"/>
        <v>0</v>
      </c>
      <c r="AI78" s="146">
        <f t="shared" si="83"/>
        <v>0</v>
      </c>
      <c r="AJ78" s="152">
        <f t="shared" si="84"/>
        <v>0</v>
      </c>
      <c r="AK78" s="152">
        <f t="shared" si="85"/>
        <v>0</v>
      </c>
      <c r="AL78" s="151">
        <f t="shared" si="88"/>
        <v>0</v>
      </c>
      <c r="AM78" s="29" t="s">
        <v>180</v>
      </c>
      <c r="AN78" s="151"/>
      <c r="AO78" s="151"/>
      <c r="AP78" s="151"/>
      <c r="AQ78" s="151"/>
      <c r="AR78" s="151"/>
      <c r="AS78" s="151">
        <f t="shared" si="86"/>
        <v>0</v>
      </c>
    </row>
    <row r="79" spans="1:45" ht="18.75">
      <c r="A79" s="142" t="s">
        <v>102</v>
      </c>
      <c r="B79" s="157" t="s">
        <v>181</v>
      </c>
      <c r="C79" s="158"/>
      <c r="D79" s="158"/>
      <c r="E79" s="144"/>
      <c r="F79" s="159"/>
      <c r="G79" s="160"/>
      <c r="H79" s="160"/>
      <c r="I79" s="160"/>
      <c r="J79" s="160"/>
      <c r="K79" s="160"/>
      <c r="L79" s="160"/>
      <c r="M79" s="158"/>
      <c r="N79" s="158"/>
      <c r="O79" s="146"/>
      <c r="P79" s="146"/>
      <c r="Q79" s="147"/>
      <c r="R79" s="155"/>
      <c r="S79" s="155"/>
      <c r="U79" s="151" t="s">
        <v>179</v>
      </c>
      <c r="V79" s="145">
        <f t="shared" si="87"/>
        <v>0</v>
      </c>
      <c r="W79" s="145">
        <f t="shared" si="71"/>
        <v>0</v>
      </c>
      <c r="X79" s="145">
        <f t="shared" si="75"/>
        <v>0</v>
      </c>
      <c r="Y79" s="145">
        <f t="shared" si="76"/>
        <v>0</v>
      </c>
      <c r="Z79" s="149">
        <f t="shared" si="77"/>
        <v>0</v>
      </c>
      <c r="AA79" s="145">
        <f t="shared" si="72"/>
        <v>0</v>
      </c>
      <c r="AB79" s="145">
        <f t="shared" si="78"/>
        <v>0</v>
      </c>
      <c r="AC79" s="145">
        <f t="shared" si="79"/>
        <v>0</v>
      </c>
      <c r="AD79" s="145">
        <f t="shared" si="80"/>
        <v>0</v>
      </c>
      <c r="AE79" s="145">
        <f t="shared" si="73"/>
        <v>0</v>
      </c>
      <c r="AF79" s="145">
        <f t="shared" si="74"/>
        <v>0</v>
      </c>
      <c r="AG79" s="146">
        <f t="shared" si="81"/>
        <v>0</v>
      </c>
      <c r="AH79" s="146">
        <f t="shared" si="82"/>
        <v>0</v>
      </c>
      <c r="AI79" s="146">
        <f t="shared" si="83"/>
        <v>0</v>
      </c>
      <c r="AJ79" s="152">
        <f t="shared" si="84"/>
        <v>0</v>
      </c>
      <c r="AK79" s="152">
        <f t="shared" si="85"/>
        <v>0</v>
      </c>
      <c r="AL79" s="151">
        <f t="shared" si="88"/>
        <v>0</v>
      </c>
      <c r="AM79" s="29" t="s">
        <v>180</v>
      </c>
      <c r="AN79" s="151"/>
      <c r="AO79" s="151"/>
      <c r="AP79" s="151"/>
      <c r="AQ79" s="151"/>
      <c r="AR79" s="151"/>
      <c r="AS79" s="151">
        <f t="shared" si="86"/>
        <v>0</v>
      </c>
    </row>
    <row r="80" spans="1:45" ht="18.75">
      <c r="A80" s="142" t="s">
        <v>102</v>
      </c>
      <c r="B80" s="157" t="s">
        <v>105</v>
      </c>
      <c r="C80" s="158"/>
      <c r="D80" s="158"/>
      <c r="E80" s="144"/>
      <c r="F80" s="159"/>
      <c r="G80" s="160"/>
      <c r="H80" s="160"/>
      <c r="I80" s="160"/>
      <c r="J80" s="160"/>
      <c r="K80" s="160"/>
      <c r="L80" s="160"/>
      <c r="M80" s="158"/>
      <c r="N80" s="158"/>
      <c r="O80" s="146"/>
      <c r="P80" s="146"/>
      <c r="Q80" s="147"/>
      <c r="R80" s="155"/>
      <c r="S80" s="155"/>
      <c r="U80" s="151" t="s">
        <v>179</v>
      </c>
      <c r="V80" s="145">
        <f t="shared" si="87"/>
        <v>0</v>
      </c>
      <c r="W80" s="145">
        <f t="shared" si="71"/>
        <v>0</v>
      </c>
      <c r="X80" s="145">
        <f t="shared" si="75"/>
        <v>0</v>
      </c>
      <c r="Y80" s="145">
        <f t="shared" si="76"/>
        <v>0</v>
      </c>
      <c r="Z80" s="149">
        <f t="shared" si="77"/>
        <v>0</v>
      </c>
      <c r="AA80" s="145">
        <f t="shared" si="72"/>
        <v>0</v>
      </c>
      <c r="AB80" s="145">
        <f t="shared" si="78"/>
        <v>0</v>
      </c>
      <c r="AC80" s="145">
        <f t="shared" si="79"/>
        <v>0</v>
      </c>
      <c r="AD80" s="145">
        <f t="shared" si="80"/>
        <v>0</v>
      </c>
      <c r="AE80" s="145">
        <f t="shared" si="73"/>
        <v>0</v>
      </c>
      <c r="AF80" s="145">
        <f t="shared" si="74"/>
        <v>0</v>
      </c>
      <c r="AG80" s="146">
        <f t="shared" si="81"/>
        <v>0</v>
      </c>
      <c r="AH80" s="146">
        <f t="shared" si="82"/>
        <v>0</v>
      </c>
      <c r="AI80" s="146">
        <f t="shared" si="83"/>
        <v>0</v>
      </c>
      <c r="AJ80" s="152">
        <f t="shared" si="84"/>
        <v>0</v>
      </c>
      <c r="AK80" s="152">
        <f t="shared" si="85"/>
        <v>0</v>
      </c>
      <c r="AL80" s="151">
        <f t="shared" si="88"/>
        <v>0</v>
      </c>
      <c r="AM80" s="29" t="s">
        <v>180</v>
      </c>
      <c r="AN80" s="151"/>
      <c r="AO80" s="151"/>
      <c r="AP80" s="151"/>
      <c r="AQ80" s="151"/>
      <c r="AR80" s="151"/>
      <c r="AS80" s="151">
        <f t="shared" si="86"/>
        <v>0</v>
      </c>
    </row>
    <row r="81" spans="1:45" ht="18.75">
      <c r="A81" s="142" t="s">
        <v>102</v>
      </c>
      <c r="B81" s="157" t="s">
        <v>106</v>
      </c>
      <c r="C81" s="158"/>
      <c r="D81" s="158"/>
      <c r="E81" s="144"/>
      <c r="F81" s="159"/>
      <c r="G81" s="160"/>
      <c r="H81" s="160"/>
      <c r="I81" s="160"/>
      <c r="J81" s="160"/>
      <c r="K81" s="160"/>
      <c r="L81" s="160"/>
      <c r="M81" s="158"/>
      <c r="N81" s="158"/>
      <c r="O81" s="146"/>
      <c r="P81" s="146"/>
      <c r="Q81" s="147"/>
      <c r="R81" s="155"/>
      <c r="S81" s="155"/>
      <c r="U81" s="151" t="s">
        <v>179</v>
      </c>
      <c r="V81" s="145">
        <f t="shared" si="87"/>
        <v>0</v>
      </c>
      <c r="W81" s="145">
        <f t="shared" si="71"/>
        <v>0</v>
      </c>
      <c r="X81" s="145">
        <f t="shared" si="75"/>
        <v>0</v>
      </c>
      <c r="Y81" s="145">
        <f t="shared" si="76"/>
        <v>0</v>
      </c>
      <c r="Z81" s="149">
        <f t="shared" si="77"/>
        <v>0</v>
      </c>
      <c r="AA81" s="145">
        <f t="shared" si="72"/>
        <v>0</v>
      </c>
      <c r="AB81" s="145">
        <f t="shared" si="78"/>
        <v>0</v>
      </c>
      <c r="AC81" s="145">
        <f t="shared" si="79"/>
        <v>0</v>
      </c>
      <c r="AD81" s="145">
        <f t="shared" si="80"/>
        <v>0</v>
      </c>
      <c r="AE81" s="145">
        <f t="shared" si="73"/>
        <v>0</v>
      </c>
      <c r="AF81" s="145">
        <f t="shared" si="74"/>
        <v>0</v>
      </c>
      <c r="AG81" s="146">
        <f t="shared" si="81"/>
        <v>0</v>
      </c>
      <c r="AH81" s="146">
        <f t="shared" si="82"/>
        <v>0</v>
      </c>
      <c r="AI81" s="146">
        <f t="shared" si="83"/>
        <v>0</v>
      </c>
      <c r="AJ81" s="152">
        <f t="shared" si="84"/>
        <v>0</v>
      </c>
      <c r="AK81" s="152">
        <f t="shared" si="85"/>
        <v>0</v>
      </c>
      <c r="AL81" s="151">
        <f t="shared" si="88"/>
        <v>0</v>
      </c>
      <c r="AM81" s="29" t="s">
        <v>180</v>
      </c>
      <c r="AN81" s="151"/>
      <c r="AO81" s="151"/>
      <c r="AP81" s="151"/>
      <c r="AQ81" s="151"/>
      <c r="AR81" s="151"/>
      <c r="AS81" s="151">
        <f t="shared" si="86"/>
        <v>0</v>
      </c>
    </row>
    <row r="82" spans="1:45" ht="18.75">
      <c r="A82" s="142" t="s">
        <v>102</v>
      </c>
      <c r="B82" s="157" t="s">
        <v>107</v>
      </c>
      <c r="C82" s="158"/>
      <c r="D82" s="158"/>
      <c r="E82" s="144"/>
      <c r="F82" s="159"/>
      <c r="G82" s="160"/>
      <c r="H82" s="160"/>
      <c r="I82" s="160"/>
      <c r="J82" s="160"/>
      <c r="K82" s="160"/>
      <c r="L82" s="160"/>
      <c r="M82" s="158"/>
      <c r="N82" s="158"/>
      <c r="O82" s="146"/>
      <c r="P82" s="146"/>
      <c r="Q82" s="147"/>
      <c r="R82" s="155"/>
      <c r="S82" s="155"/>
      <c r="U82" s="151" t="s">
        <v>179</v>
      </c>
      <c r="V82" s="145">
        <f t="shared" si="87"/>
        <v>0</v>
      </c>
      <c r="W82" s="145">
        <f t="shared" si="71"/>
        <v>0</v>
      </c>
      <c r="X82" s="145">
        <f t="shared" si="75"/>
        <v>0</v>
      </c>
      <c r="Y82" s="145">
        <f t="shared" si="76"/>
        <v>0</v>
      </c>
      <c r="Z82" s="149">
        <f t="shared" si="77"/>
        <v>0</v>
      </c>
      <c r="AA82" s="145">
        <f t="shared" si="72"/>
        <v>0</v>
      </c>
      <c r="AB82" s="145">
        <f t="shared" si="78"/>
        <v>0</v>
      </c>
      <c r="AC82" s="145">
        <f t="shared" si="79"/>
        <v>0</v>
      </c>
      <c r="AD82" s="145">
        <f t="shared" si="80"/>
        <v>0</v>
      </c>
      <c r="AE82" s="145">
        <f t="shared" si="73"/>
        <v>0</v>
      </c>
      <c r="AF82" s="145">
        <f t="shared" si="74"/>
        <v>0</v>
      </c>
      <c r="AG82" s="146">
        <f t="shared" si="81"/>
        <v>0</v>
      </c>
      <c r="AH82" s="146">
        <f t="shared" si="82"/>
        <v>0</v>
      </c>
      <c r="AI82" s="146">
        <f t="shared" si="83"/>
        <v>0</v>
      </c>
      <c r="AJ82" s="152">
        <f t="shared" si="84"/>
        <v>0</v>
      </c>
      <c r="AK82" s="152">
        <f t="shared" si="85"/>
        <v>0</v>
      </c>
      <c r="AL82" s="151">
        <f>SUM(V82:AK82)</f>
        <v>0</v>
      </c>
      <c r="AM82" s="29" t="s">
        <v>180</v>
      </c>
      <c r="AN82" s="151"/>
      <c r="AO82" s="151"/>
      <c r="AP82" s="151"/>
      <c r="AQ82" s="151"/>
      <c r="AR82" s="151"/>
      <c r="AS82" s="151">
        <f t="shared" si="86"/>
        <v>0</v>
      </c>
    </row>
    <row r="83" spans="1:45" ht="19.5" thickBot="1">
      <c r="A83" s="142" t="s">
        <v>102</v>
      </c>
      <c r="B83" s="157" t="s">
        <v>108</v>
      </c>
      <c r="C83" s="162"/>
      <c r="D83" s="162"/>
      <c r="E83" s="162"/>
      <c r="F83" s="162"/>
      <c r="G83" s="163"/>
      <c r="H83" s="163"/>
      <c r="I83" s="163"/>
      <c r="J83" s="163"/>
      <c r="K83" s="163"/>
      <c r="L83" s="163"/>
      <c r="M83" s="162"/>
      <c r="N83" s="162"/>
      <c r="O83" s="146"/>
      <c r="P83" s="146"/>
      <c r="Q83" s="147"/>
      <c r="R83" s="163"/>
      <c r="S83" s="163"/>
      <c r="U83" s="151" t="s">
        <v>179</v>
      </c>
      <c r="V83" s="145">
        <f t="shared" si="87"/>
        <v>0</v>
      </c>
      <c r="W83" s="145">
        <f t="shared" si="71"/>
        <v>0</v>
      </c>
      <c r="X83" s="145">
        <f t="shared" si="75"/>
        <v>0</v>
      </c>
      <c r="Y83" s="145">
        <f t="shared" si="76"/>
        <v>0</v>
      </c>
      <c r="Z83" s="149">
        <f t="shared" si="77"/>
        <v>0</v>
      </c>
      <c r="AA83" s="145">
        <f t="shared" si="72"/>
        <v>0</v>
      </c>
      <c r="AB83" s="145">
        <f t="shared" si="78"/>
        <v>0</v>
      </c>
      <c r="AC83" s="145">
        <f t="shared" si="79"/>
        <v>0</v>
      </c>
      <c r="AD83" s="145">
        <f t="shared" si="80"/>
        <v>0</v>
      </c>
      <c r="AE83" s="145">
        <f t="shared" si="73"/>
        <v>0</v>
      </c>
      <c r="AF83" s="145">
        <f t="shared" si="74"/>
        <v>0</v>
      </c>
      <c r="AG83" s="146">
        <f t="shared" si="81"/>
        <v>0</v>
      </c>
      <c r="AH83" s="146">
        <f t="shared" si="82"/>
        <v>0</v>
      </c>
      <c r="AI83" s="146">
        <f t="shared" si="83"/>
        <v>0</v>
      </c>
      <c r="AJ83" s="152">
        <f t="shared" si="84"/>
        <v>0</v>
      </c>
      <c r="AK83" s="152">
        <f t="shared" si="85"/>
        <v>0</v>
      </c>
      <c r="AL83" s="151">
        <f>SUM(V83:AK83)</f>
        <v>0</v>
      </c>
      <c r="AM83" s="29" t="s">
        <v>180</v>
      </c>
      <c r="AN83" s="151"/>
      <c r="AO83" s="151"/>
      <c r="AP83" s="151"/>
      <c r="AQ83" s="151"/>
      <c r="AR83" s="151"/>
      <c r="AS83" s="151">
        <f t="shared" si="86"/>
        <v>0</v>
      </c>
    </row>
    <row r="84" spans="1:45" ht="19.5" thickTop="1">
      <c r="A84" s="164"/>
      <c r="C84" s="141">
        <f t="shared" ref="C84:S84" si="89">SUM(C72:C83)</f>
        <v>0</v>
      </c>
      <c r="D84" s="141">
        <f t="shared" si="89"/>
        <v>0</v>
      </c>
      <c r="E84" s="165">
        <f t="shared" si="89"/>
        <v>0</v>
      </c>
      <c r="F84" s="165">
        <f t="shared" si="89"/>
        <v>0</v>
      </c>
      <c r="G84" s="166">
        <f t="shared" si="89"/>
        <v>0</v>
      </c>
      <c r="H84" s="166">
        <f t="shared" si="89"/>
        <v>0</v>
      </c>
      <c r="I84" s="166">
        <f t="shared" si="89"/>
        <v>0</v>
      </c>
      <c r="J84" s="166">
        <f t="shared" si="89"/>
        <v>0</v>
      </c>
      <c r="K84" s="166">
        <f t="shared" si="89"/>
        <v>0</v>
      </c>
      <c r="L84" s="166">
        <f t="shared" si="89"/>
        <v>0</v>
      </c>
      <c r="M84" s="141">
        <f t="shared" si="89"/>
        <v>0</v>
      </c>
      <c r="N84" s="141">
        <f t="shared" si="89"/>
        <v>0</v>
      </c>
      <c r="O84" s="165">
        <f t="shared" si="89"/>
        <v>0</v>
      </c>
      <c r="P84" s="165">
        <f t="shared" si="89"/>
        <v>0</v>
      </c>
      <c r="Q84" s="141">
        <f t="shared" si="89"/>
        <v>0</v>
      </c>
      <c r="R84" s="166">
        <f t="shared" si="89"/>
        <v>0</v>
      </c>
      <c r="S84" s="166">
        <f t="shared" si="89"/>
        <v>0</v>
      </c>
      <c r="V84" s="167">
        <f t="shared" ref="V84:AL84" si="90">SUM(V72:V83)</f>
        <v>0</v>
      </c>
      <c r="W84" s="167">
        <f t="shared" si="90"/>
        <v>0</v>
      </c>
      <c r="X84" s="167">
        <f t="shared" si="90"/>
        <v>0</v>
      </c>
      <c r="Y84" s="167">
        <f t="shared" si="90"/>
        <v>0</v>
      </c>
      <c r="Z84" s="167">
        <f t="shared" si="90"/>
        <v>0</v>
      </c>
      <c r="AA84" s="167">
        <f t="shared" si="90"/>
        <v>0</v>
      </c>
      <c r="AB84" s="167">
        <f t="shared" si="90"/>
        <v>0</v>
      </c>
      <c r="AC84" s="167">
        <f t="shared" si="90"/>
        <v>0</v>
      </c>
      <c r="AD84" s="167">
        <f t="shared" si="90"/>
        <v>0</v>
      </c>
      <c r="AE84" s="167">
        <f t="shared" si="90"/>
        <v>0</v>
      </c>
      <c r="AF84" s="167">
        <f t="shared" si="90"/>
        <v>0</v>
      </c>
      <c r="AG84" s="167">
        <f t="shared" si="90"/>
        <v>0</v>
      </c>
      <c r="AH84" s="167">
        <f t="shared" si="90"/>
        <v>0</v>
      </c>
      <c r="AI84" s="167">
        <f t="shared" si="90"/>
        <v>0</v>
      </c>
      <c r="AJ84" s="167">
        <f t="shared" si="90"/>
        <v>0</v>
      </c>
      <c r="AK84" s="167">
        <f t="shared" si="90"/>
        <v>0</v>
      </c>
      <c r="AL84" s="168">
        <f t="shared" si="90"/>
        <v>0</v>
      </c>
      <c r="AN84" s="169">
        <f t="shared" ref="AN84:AS84" si="91">SUM(AN72:AN83)</f>
        <v>0</v>
      </c>
      <c r="AO84" s="169">
        <f t="shared" si="91"/>
        <v>0</v>
      </c>
      <c r="AP84" s="169">
        <f t="shared" si="91"/>
        <v>0</v>
      </c>
      <c r="AQ84" s="169">
        <f t="shared" si="91"/>
        <v>0</v>
      </c>
      <c r="AR84" s="169">
        <f t="shared" si="91"/>
        <v>0</v>
      </c>
      <c r="AS84" s="169">
        <f t="shared" si="91"/>
        <v>0</v>
      </c>
    </row>
    <row r="85" spans="1:45" ht="18.75"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70"/>
      <c r="AH85" s="170"/>
      <c r="AI85" s="170"/>
      <c r="AJ85" s="170"/>
      <c r="AK85" s="131"/>
      <c r="AL85" s="169"/>
      <c r="AO85" s="171"/>
    </row>
    <row r="86" spans="1:45" ht="18.75">
      <c r="B86" s="172" t="s">
        <v>182</v>
      </c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V86" s="170">
        <f>V84</f>
        <v>0</v>
      </c>
      <c r="W86" s="170">
        <f>W84</f>
        <v>0</v>
      </c>
      <c r="X86" s="170">
        <f>X84</f>
        <v>0</v>
      </c>
      <c r="Y86" s="170"/>
      <c r="Z86" s="170"/>
      <c r="AA86" s="170"/>
      <c r="AB86" s="170"/>
      <c r="AC86" s="170"/>
      <c r="AD86" s="170"/>
      <c r="AE86" s="170">
        <f>AE84</f>
        <v>0</v>
      </c>
      <c r="AF86" s="170">
        <f>AF84</f>
        <v>0</v>
      </c>
      <c r="AG86" s="170">
        <f>AG84</f>
        <v>0</v>
      </c>
      <c r="AH86" s="170">
        <f>AH84</f>
        <v>0</v>
      </c>
      <c r="AI86" s="170"/>
      <c r="AJ86" s="170">
        <f>AJ84</f>
        <v>0</v>
      </c>
      <c r="AK86" s="170">
        <f>AK84</f>
        <v>0</v>
      </c>
      <c r="AL86" s="169">
        <f>SUM(V86:AK86)</f>
        <v>0</v>
      </c>
      <c r="AO86" s="173"/>
      <c r="AP86" s="28"/>
    </row>
    <row r="87" spans="1:45" ht="18.75">
      <c r="B87" s="172" t="s">
        <v>183</v>
      </c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V87" s="170"/>
      <c r="W87" s="170"/>
      <c r="X87" s="170"/>
      <c r="Y87" s="170">
        <f t="shared" ref="Y87:AD87" si="92">Y84</f>
        <v>0</v>
      </c>
      <c r="Z87" s="170">
        <f t="shared" si="92"/>
        <v>0</v>
      </c>
      <c r="AA87" s="170">
        <f t="shared" si="92"/>
        <v>0</v>
      </c>
      <c r="AB87" s="170">
        <f t="shared" si="92"/>
        <v>0</v>
      </c>
      <c r="AC87" s="170">
        <f t="shared" si="92"/>
        <v>0</v>
      </c>
      <c r="AD87" s="170">
        <f t="shared" si="92"/>
        <v>0</v>
      </c>
      <c r="AE87" s="170"/>
      <c r="AF87" s="170"/>
      <c r="AG87" s="170"/>
      <c r="AH87" s="170"/>
      <c r="AI87" s="170">
        <f>AI84</f>
        <v>0</v>
      </c>
      <c r="AJ87" s="170"/>
      <c r="AK87" s="131"/>
      <c r="AL87" s="169">
        <f>SUM(V87:AK87)</f>
        <v>0</v>
      </c>
      <c r="AO87" s="173"/>
    </row>
    <row r="93" spans="1:45" ht="13.5" thickBot="1"/>
    <row r="94" spans="1:45" ht="19.5" thickBot="1">
      <c r="A94" s="131"/>
      <c r="C94" s="698" t="s">
        <v>153</v>
      </c>
      <c r="D94" s="698"/>
      <c r="E94" s="699"/>
      <c r="F94" s="699"/>
      <c r="G94" s="699"/>
      <c r="H94" s="699"/>
      <c r="I94" s="699"/>
      <c r="J94" s="699"/>
      <c r="K94" s="699"/>
      <c r="L94" s="699"/>
      <c r="M94" s="699"/>
      <c r="N94" s="699"/>
      <c r="O94" s="699"/>
      <c r="P94" s="699"/>
      <c r="Q94" s="699"/>
      <c r="R94" s="700"/>
      <c r="S94" s="135"/>
      <c r="T94" s="135"/>
      <c r="U94" s="701" t="s">
        <v>154</v>
      </c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136"/>
      <c r="AN94" s="703" t="s">
        <v>155</v>
      </c>
      <c r="AO94" s="704"/>
      <c r="AP94" s="704"/>
      <c r="AQ94" s="705"/>
      <c r="AR94" s="705"/>
      <c r="AS94" s="705"/>
    </row>
    <row r="95" spans="1:45" ht="112.5">
      <c r="A95" s="131"/>
      <c r="B95" s="137" t="s">
        <v>187</v>
      </c>
      <c r="C95" s="138" t="s">
        <v>157</v>
      </c>
      <c r="D95" s="138" t="s">
        <v>158</v>
      </c>
      <c r="E95" s="138" t="s">
        <v>159</v>
      </c>
      <c r="F95" s="138" t="s">
        <v>160</v>
      </c>
      <c r="G95" s="138" t="s">
        <v>161</v>
      </c>
      <c r="H95" s="138" t="s">
        <v>162</v>
      </c>
      <c r="I95" s="138" t="s">
        <v>146</v>
      </c>
      <c r="J95" s="138" t="s">
        <v>147</v>
      </c>
      <c r="K95" s="138" t="s">
        <v>163</v>
      </c>
      <c r="L95" s="138" t="s">
        <v>148</v>
      </c>
      <c r="M95" s="138" t="s">
        <v>164</v>
      </c>
      <c r="N95" s="138" t="s">
        <v>165</v>
      </c>
      <c r="O95" s="138" t="s">
        <v>166</v>
      </c>
      <c r="P95" s="138" t="s">
        <v>167</v>
      </c>
      <c r="Q95" s="138" t="s">
        <v>168</v>
      </c>
      <c r="R95" s="138" t="s">
        <v>169</v>
      </c>
      <c r="S95" s="138" t="s">
        <v>170</v>
      </c>
      <c r="T95" s="139"/>
      <c r="U95" s="139" t="s">
        <v>157</v>
      </c>
      <c r="V95" s="138" t="str">
        <f>D95</f>
        <v>Gas Furnance &amp; Boiler Grants</v>
      </c>
      <c r="W95" s="138" t="str">
        <f>E95</f>
        <v>Gas Furnance,Boiler, HW Grants</v>
      </c>
      <c r="X95" s="138" t="s">
        <v>160</v>
      </c>
      <c r="Y95" s="138" t="s">
        <v>171</v>
      </c>
      <c r="Z95" s="138" t="s">
        <v>145</v>
      </c>
      <c r="AA95" s="138" t="s">
        <v>146</v>
      </c>
      <c r="AB95" s="138" t="s">
        <v>147</v>
      </c>
      <c r="AC95" s="138" t="s">
        <v>163</v>
      </c>
      <c r="AD95" s="138" t="s">
        <v>148</v>
      </c>
      <c r="AE95" s="138" t="s">
        <v>164</v>
      </c>
      <c r="AF95" s="138" t="s">
        <v>165</v>
      </c>
      <c r="AG95" s="138" t="s">
        <v>142</v>
      </c>
      <c r="AH95" s="138" t="s">
        <v>143</v>
      </c>
      <c r="AI95" s="138" t="s">
        <v>152</v>
      </c>
      <c r="AJ95" s="138" t="s">
        <v>169</v>
      </c>
      <c r="AK95" s="138" t="s">
        <v>170</v>
      </c>
      <c r="AL95" s="138" t="s">
        <v>1</v>
      </c>
      <c r="AN95" s="138" t="s">
        <v>172</v>
      </c>
      <c r="AO95" s="138" t="s">
        <v>173</v>
      </c>
      <c r="AP95" s="138" t="s">
        <v>174</v>
      </c>
      <c r="AQ95" s="138" t="s">
        <v>175</v>
      </c>
      <c r="AR95" s="140" t="s">
        <v>176</v>
      </c>
      <c r="AS95" s="140" t="s">
        <v>177</v>
      </c>
    </row>
    <row r="96" spans="1:45" ht="18.75">
      <c r="A96" s="131"/>
      <c r="B96" s="141"/>
      <c r="W96" s="28"/>
      <c r="X96" s="28"/>
      <c r="Y96" s="28"/>
      <c r="Z96" s="28"/>
      <c r="AA96" s="28"/>
      <c r="AB96" s="28"/>
      <c r="AC96" s="28"/>
      <c r="AD96" s="28"/>
    </row>
    <row r="97" spans="1:45" ht="18.75">
      <c r="A97" s="142" t="s">
        <v>47</v>
      </c>
      <c r="B97" s="143" t="s">
        <v>109</v>
      </c>
      <c r="C97" s="144"/>
      <c r="D97" s="144"/>
      <c r="E97" s="144"/>
      <c r="F97" s="144"/>
      <c r="G97" s="144"/>
      <c r="H97" s="144"/>
      <c r="I97" s="145"/>
      <c r="J97" s="145"/>
      <c r="K97" s="145"/>
      <c r="L97" s="145"/>
      <c r="M97" s="144"/>
      <c r="N97" s="144"/>
      <c r="O97" s="146"/>
      <c r="P97" s="146"/>
      <c r="Q97" s="147"/>
      <c r="R97" s="146"/>
      <c r="S97" s="146"/>
      <c r="U97" s="148"/>
      <c r="V97" s="149">
        <f t="shared" ref="V97:V102" si="93">D97*300</f>
        <v>0</v>
      </c>
      <c r="W97" s="149">
        <f t="shared" ref="W97:W102" si="94">E97*900</f>
        <v>0</v>
      </c>
      <c r="X97" s="149">
        <f t="shared" ref="X97:X102" si="95">F97*300</f>
        <v>0</v>
      </c>
      <c r="Y97" s="149">
        <f t="shared" ref="Y97:Y102" si="96">G97*6500</f>
        <v>0</v>
      </c>
      <c r="Z97" s="149">
        <f t="shared" ref="Z97:Z102" si="97">H97*10000</f>
        <v>0</v>
      </c>
      <c r="AA97" s="149">
        <f t="shared" ref="AA97:AA102" si="98">(I97*10000)</f>
        <v>0</v>
      </c>
      <c r="AB97" s="149">
        <f t="shared" ref="AB97:AB102" si="99">(J97*5000)</f>
        <v>0</v>
      </c>
      <c r="AC97" s="149">
        <f t="shared" ref="AC97:AC102" si="100">K97*5000</f>
        <v>0</v>
      </c>
      <c r="AD97" s="149">
        <f t="shared" ref="AD97:AD102" si="101">L97*10000</f>
        <v>0</v>
      </c>
      <c r="AE97" s="149">
        <f t="shared" ref="AE97:AE102" si="102">M97*2000</f>
        <v>0</v>
      </c>
      <c r="AF97" s="149">
        <f t="shared" ref="AF97:AF102" si="103">N97*5000</f>
        <v>0</v>
      </c>
      <c r="AG97" s="150">
        <f t="shared" ref="AG97:AG102" si="104">O97*15000</f>
        <v>0</v>
      </c>
      <c r="AH97" s="150">
        <f t="shared" ref="AH97:AH102" si="105">P97*25000</f>
        <v>0</v>
      </c>
      <c r="AI97" s="150">
        <f t="shared" ref="AI97:AI102" si="106">Q97*32800</f>
        <v>0</v>
      </c>
      <c r="AJ97" s="150">
        <f t="shared" ref="AJ97:AJ102" si="107">R97*800</f>
        <v>0</v>
      </c>
      <c r="AK97" s="150">
        <f t="shared" ref="AK97:AK102" si="108">S97*1200</f>
        <v>0</v>
      </c>
      <c r="AL97" s="151">
        <f t="shared" ref="AL97:AL102" si="109">SUM(V97:AK97)</f>
        <v>0</v>
      </c>
      <c r="AM97" s="29" t="s">
        <v>180</v>
      </c>
      <c r="AN97" s="151">
        <f t="shared" ref="AN97:AQ102" si="110">AN75*1.035</f>
        <v>0</v>
      </c>
      <c r="AO97" s="151">
        <f t="shared" si="110"/>
        <v>0</v>
      </c>
      <c r="AP97" s="151">
        <f t="shared" si="110"/>
        <v>0</v>
      </c>
      <c r="AQ97" s="151">
        <f t="shared" si="110"/>
        <v>0</v>
      </c>
      <c r="AR97" s="151"/>
      <c r="AS97" s="151">
        <f t="shared" ref="AS97:AS102" si="111">AN97+AO97+AP97+AQ97+AR97</f>
        <v>0</v>
      </c>
    </row>
    <row r="98" spans="1:45" ht="18.75">
      <c r="A98" s="142" t="s">
        <v>47</v>
      </c>
      <c r="B98" s="143" t="s">
        <v>110</v>
      </c>
      <c r="C98" s="144"/>
      <c r="D98" s="144"/>
      <c r="E98" s="144"/>
      <c r="F98" s="144"/>
      <c r="G98" s="145"/>
      <c r="H98" s="145"/>
      <c r="I98" s="145"/>
      <c r="J98" s="145"/>
      <c r="K98" s="145"/>
      <c r="L98" s="145"/>
      <c r="M98" s="144"/>
      <c r="N98" s="144"/>
      <c r="O98" s="146"/>
      <c r="P98" s="146"/>
      <c r="Q98" s="147"/>
      <c r="R98" s="145"/>
      <c r="S98" s="145"/>
      <c r="U98" s="148"/>
      <c r="V98" s="145">
        <f t="shared" si="93"/>
        <v>0</v>
      </c>
      <c r="W98" s="145">
        <f t="shared" si="94"/>
        <v>0</v>
      </c>
      <c r="X98" s="145">
        <f t="shared" si="95"/>
        <v>0</v>
      </c>
      <c r="Y98" s="145">
        <f t="shared" si="96"/>
        <v>0</v>
      </c>
      <c r="Z98" s="149">
        <f t="shared" si="97"/>
        <v>0</v>
      </c>
      <c r="AA98" s="145">
        <f t="shared" si="98"/>
        <v>0</v>
      </c>
      <c r="AB98" s="145">
        <f t="shared" si="99"/>
        <v>0</v>
      </c>
      <c r="AC98" s="145">
        <f t="shared" si="100"/>
        <v>0</v>
      </c>
      <c r="AD98" s="145">
        <f t="shared" si="101"/>
        <v>0</v>
      </c>
      <c r="AE98" s="145">
        <f t="shared" si="102"/>
        <v>0</v>
      </c>
      <c r="AF98" s="145">
        <f t="shared" si="103"/>
        <v>0</v>
      </c>
      <c r="AG98" s="146">
        <f t="shared" si="104"/>
        <v>0</v>
      </c>
      <c r="AH98" s="146">
        <f t="shared" si="105"/>
        <v>0</v>
      </c>
      <c r="AI98" s="146">
        <f t="shared" si="106"/>
        <v>0</v>
      </c>
      <c r="AJ98" s="152">
        <f t="shared" si="107"/>
        <v>0</v>
      </c>
      <c r="AK98" s="152">
        <f t="shared" si="108"/>
        <v>0</v>
      </c>
      <c r="AL98" s="151">
        <f t="shared" si="109"/>
        <v>0</v>
      </c>
      <c r="AM98" s="29" t="s">
        <v>180</v>
      </c>
      <c r="AN98" s="151">
        <f t="shared" si="110"/>
        <v>0</v>
      </c>
      <c r="AO98" s="151">
        <f t="shared" si="110"/>
        <v>0</v>
      </c>
      <c r="AP98" s="151">
        <f t="shared" si="110"/>
        <v>0</v>
      </c>
      <c r="AQ98" s="151">
        <f t="shared" si="110"/>
        <v>0</v>
      </c>
      <c r="AR98" s="151"/>
      <c r="AS98" s="151">
        <f t="shared" si="111"/>
        <v>0</v>
      </c>
    </row>
    <row r="99" spans="1:45" ht="18.75">
      <c r="A99" s="142" t="s">
        <v>47</v>
      </c>
      <c r="B99" s="143" t="s">
        <v>111</v>
      </c>
      <c r="C99" s="153"/>
      <c r="D99" s="153"/>
      <c r="E99" s="144"/>
      <c r="F99" s="153"/>
      <c r="G99" s="154"/>
      <c r="H99" s="154"/>
      <c r="I99" s="154"/>
      <c r="J99" s="154"/>
      <c r="K99" s="154"/>
      <c r="L99" s="154"/>
      <c r="M99" s="153"/>
      <c r="N99" s="153"/>
      <c r="O99" s="146"/>
      <c r="P99" s="146"/>
      <c r="Q99" s="147"/>
      <c r="R99" s="155"/>
      <c r="S99" s="155"/>
      <c r="U99" s="156"/>
      <c r="V99" s="145">
        <f t="shared" si="93"/>
        <v>0</v>
      </c>
      <c r="W99" s="145">
        <f t="shared" si="94"/>
        <v>0</v>
      </c>
      <c r="X99" s="145">
        <f t="shared" si="95"/>
        <v>0</v>
      </c>
      <c r="Y99" s="145">
        <f t="shared" si="96"/>
        <v>0</v>
      </c>
      <c r="Z99" s="149">
        <f t="shared" si="97"/>
        <v>0</v>
      </c>
      <c r="AA99" s="145">
        <f t="shared" si="98"/>
        <v>0</v>
      </c>
      <c r="AB99" s="145">
        <f t="shared" si="99"/>
        <v>0</v>
      </c>
      <c r="AC99" s="145">
        <f t="shared" si="100"/>
        <v>0</v>
      </c>
      <c r="AD99" s="145">
        <f t="shared" si="101"/>
        <v>0</v>
      </c>
      <c r="AE99" s="145">
        <f t="shared" si="102"/>
        <v>0</v>
      </c>
      <c r="AF99" s="145">
        <f t="shared" si="103"/>
        <v>0</v>
      </c>
      <c r="AG99" s="146">
        <f t="shared" si="104"/>
        <v>0</v>
      </c>
      <c r="AH99" s="146">
        <f t="shared" si="105"/>
        <v>0</v>
      </c>
      <c r="AI99" s="146">
        <f t="shared" si="106"/>
        <v>0</v>
      </c>
      <c r="AJ99" s="152">
        <f t="shared" si="107"/>
        <v>0</v>
      </c>
      <c r="AK99" s="152">
        <f t="shared" si="108"/>
        <v>0</v>
      </c>
      <c r="AL99" s="151">
        <f t="shared" si="109"/>
        <v>0</v>
      </c>
      <c r="AM99" s="29" t="s">
        <v>180</v>
      </c>
      <c r="AN99" s="151">
        <f t="shared" si="110"/>
        <v>0</v>
      </c>
      <c r="AO99" s="151">
        <f t="shared" si="110"/>
        <v>0</v>
      </c>
      <c r="AP99" s="151">
        <f t="shared" si="110"/>
        <v>0</v>
      </c>
      <c r="AQ99" s="151">
        <f t="shared" si="110"/>
        <v>0</v>
      </c>
      <c r="AR99" s="151"/>
      <c r="AS99" s="151">
        <f t="shared" si="111"/>
        <v>0</v>
      </c>
    </row>
    <row r="100" spans="1:45" ht="18.75">
      <c r="A100" s="142" t="s">
        <v>47</v>
      </c>
      <c r="B100" s="157" t="s">
        <v>112</v>
      </c>
      <c r="C100" s="158"/>
      <c r="D100" s="158"/>
      <c r="E100" s="144"/>
      <c r="F100" s="159"/>
      <c r="G100" s="160"/>
      <c r="H100" s="160"/>
      <c r="I100" s="160"/>
      <c r="J100" s="160"/>
      <c r="K100" s="160"/>
      <c r="L100" s="160"/>
      <c r="M100" s="158"/>
      <c r="N100" s="158"/>
      <c r="O100" s="146"/>
      <c r="P100" s="146"/>
      <c r="Q100" s="147"/>
      <c r="R100" s="155"/>
      <c r="S100" s="155"/>
      <c r="U100" s="151" t="s">
        <v>179</v>
      </c>
      <c r="V100" s="145">
        <f t="shared" si="93"/>
        <v>0</v>
      </c>
      <c r="W100" s="145">
        <f t="shared" si="94"/>
        <v>0</v>
      </c>
      <c r="X100" s="145">
        <f t="shared" si="95"/>
        <v>0</v>
      </c>
      <c r="Y100" s="145">
        <f t="shared" si="96"/>
        <v>0</v>
      </c>
      <c r="Z100" s="149">
        <f t="shared" si="97"/>
        <v>0</v>
      </c>
      <c r="AA100" s="145">
        <f t="shared" si="98"/>
        <v>0</v>
      </c>
      <c r="AB100" s="145">
        <f t="shared" si="99"/>
        <v>0</v>
      </c>
      <c r="AC100" s="145">
        <f t="shared" si="100"/>
        <v>0</v>
      </c>
      <c r="AD100" s="145">
        <f t="shared" si="101"/>
        <v>0</v>
      </c>
      <c r="AE100" s="145">
        <f t="shared" si="102"/>
        <v>0</v>
      </c>
      <c r="AF100" s="145">
        <f t="shared" si="103"/>
        <v>0</v>
      </c>
      <c r="AG100" s="146">
        <f t="shared" si="104"/>
        <v>0</v>
      </c>
      <c r="AH100" s="146">
        <f t="shared" si="105"/>
        <v>0</v>
      </c>
      <c r="AI100" s="146">
        <f t="shared" si="106"/>
        <v>0</v>
      </c>
      <c r="AJ100" s="152">
        <f t="shared" si="107"/>
        <v>0</v>
      </c>
      <c r="AK100" s="152">
        <f t="shared" si="108"/>
        <v>0</v>
      </c>
      <c r="AL100" s="151">
        <f t="shared" si="109"/>
        <v>0</v>
      </c>
      <c r="AM100" s="29" t="s">
        <v>180</v>
      </c>
      <c r="AN100" s="151">
        <f t="shared" si="110"/>
        <v>0</v>
      </c>
      <c r="AO100" s="151">
        <f t="shared" si="110"/>
        <v>0</v>
      </c>
      <c r="AP100" s="151">
        <f t="shared" si="110"/>
        <v>0</v>
      </c>
      <c r="AQ100" s="151">
        <f t="shared" si="110"/>
        <v>0</v>
      </c>
      <c r="AR100" s="151"/>
      <c r="AS100" s="151">
        <f t="shared" si="111"/>
        <v>0</v>
      </c>
    </row>
    <row r="101" spans="1:45" ht="18.75">
      <c r="A101" s="142" t="s">
        <v>102</v>
      </c>
      <c r="B101" s="157" t="s">
        <v>57</v>
      </c>
      <c r="C101" s="158"/>
      <c r="D101" s="158"/>
      <c r="E101" s="144"/>
      <c r="F101" s="159"/>
      <c r="G101" s="160"/>
      <c r="H101" s="160"/>
      <c r="I101" s="160"/>
      <c r="J101" s="160"/>
      <c r="K101" s="160"/>
      <c r="L101" s="160"/>
      <c r="M101" s="158"/>
      <c r="N101" s="158"/>
      <c r="O101" s="146"/>
      <c r="P101" s="146"/>
      <c r="Q101" s="147"/>
      <c r="R101" s="155"/>
      <c r="S101" s="155"/>
      <c r="U101" s="151" t="s">
        <v>179</v>
      </c>
      <c r="V101" s="145">
        <f t="shared" si="93"/>
        <v>0</v>
      </c>
      <c r="W101" s="145">
        <f t="shared" si="94"/>
        <v>0</v>
      </c>
      <c r="X101" s="145">
        <f t="shared" si="95"/>
        <v>0</v>
      </c>
      <c r="Y101" s="145">
        <f t="shared" si="96"/>
        <v>0</v>
      </c>
      <c r="Z101" s="149">
        <f t="shared" si="97"/>
        <v>0</v>
      </c>
      <c r="AA101" s="145">
        <f t="shared" si="98"/>
        <v>0</v>
      </c>
      <c r="AB101" s="145">
        <f t="shared" si="99"/>
        <v>0</v>
      </c>
      <c r="AC101" s="145">
        <f t="shared" si="100"/>
        <v>0</v>
      </c>
      <c r="AD101" s="145">
        <f t="shared" si="101"/>
        <v>0</v>
      </c>
      <c r="AE101" s="145">
        <f t="shared" si="102"/>
        <v>0</v>
      </c>
      <c r="AF101" s="145">
        <f t="shared" si="103"/>
        <v>0</v>
      </c>
      <c r="AG101" s="146">
        <f t="shared" si="104"/>
        <v>0</v>
      </c>
      <c r="AH101" s="146">
        <f t="shared" si="105"/>
        <v>0</v>
      </c>
      <c r="AI101" s="146">
        <f t="shared" si="106"/>
        <v>0</v>
      </c>
      <c r="AJ101" s="152">
        <f t="shared" si="107"/>
        <v>0</v>
      </c>
      <c r="AK101" s="152">
        <f t="shared" si="108"/>
        <v>0</v>
      </c>
      <c r="AL101" s="151">
        <f t="shared" si="109"/>
        <v>0</v>
      </c>
      <c r="AM101" s="29" t="s">
        <v>180</v>
      </c>
      <c r="AN101" s="151">
        <f t="shared" si="110"/>
        <v>0</v>
      </c>
      <c r="AO101" s="151">
        <f t="shared" si="110"/>
        <v>0</v>
      </c>
      <c r="AP101" s="151">
        <f t="shared" si="110"/>
        <v>0</v>
      </c>
      <c r="AQ101" s="151">
        <f t="shared" si="110"/>
        <v>0</v>
      </c>
      <c r="AR101" s="151"/>
      <c r="AS101" s="151">
        <f t="shared" si="111"/>
        <v>0</v>
      </c>
    </row>
    <row r="102" spans="1:45" ht="18.75">
      <c r="A102" s="142" t="s">
        <v>102</v>
      </c>
      <c r="B102" s="157" t="s">
        <v>113</v>
      </c>
      <c r="C102" s="158"/>
      <c r="D102" s="158"/>
      <c r="E102" s="144"/>
      <c r="F102" s="159"/>
      <c r="G102" s="160"/>
      <c r="H102" s="160"/>
      <c r="I102" s="160"/>
      <c r="J102" s="160"/>
      <c r="K102" s="160"/>
      <c r="L102" s="160"/>
      <c r="M102" s="158"/>
      <c r="N102" s="158"/>
      <c r="O102" s="146"/>
      <c r="P102" s="146"/>
      <c r="Q102" s="147"/>
      <c r="R102" s="155"/>
      <c r="S102" s="155"/>
      <c r="U102" s="151" t="s">
        <v>179</v>
      </c>
      <c r="V102" s="145">
        <f t="shared" si="93"/>
        <v>0</v>
      </c>
      <c r="W102" s="145">
        <f t="shared" si="94"/>
        <v>0</v>
      </c>
      <c r="X102" s="145">
        <f t="shared" si="95"/>
        <v>0</v>
      </c>
      <c r="Y102" s="145">
        <f t="shared" si="96"/>
        <v>0</v>
      </c>
      <c r="Z102" s="149">
        <f t="shared" si="97"/>
        <v>0</v>
      </c>
      <c r="AA102" s="145">
        <f t="shared" si="98"/>
        <v>0</v>
      </c>
      <c r="AB102" s="145">
        <f t="shared" si="99"/>
        <v>0</v>
      </c>
      <c r="AC102" s="145">
        <f t="shared" si="100"/>
        <v>0</v>
      </c>
      <c r="AD102" s="145">
        <f t="shared" si="101"/>
        <v>0</v>
      </c>
      <c r="AE102" s="145">
        <f t="shared" si="102"/>
        <v>0</v>
      </c>
      <c r="AF102" s="145">
        <f t="shared" si="103"/>
        <v>0</v>
      </c>
      <c r="AG102" s="146">
        <f t="shared" si="104"/>
        <v>0</v>
      </c>
      <c r="AH102" s="146">
        <f t="shared" si="105"/>
        <v>0</v>
      </c>
      <c r="AI102" s="146">
        <f t="shared" si="106"/>
        <v>0</v>
      </c>
      <c r="AJ102" s="152">
        <f t="shared" si="107"/>
        <v>0</v>
      </c>
      <c r="AK102" s="152">
        <f t="shared" si="108"/>
        <v>0</v>
      </c>
      <c r="AL102" s="151">
        <f t="shared" si="109"/>
        <v>0</v>
      </c>
      <c r="AM102" s="29" t="s">
        <v>180</v>
      </c>
      <c r="AN102" s="151">
        <f t="shared" si="110"/>
        <v>0</v>
      </c>
      <c r="AO102" s="151">
        <f t="shared" si="110"/>
        <v>0</v>
      </c>
      <c r="AP102" s="151">
        <f t="shared" si="110"/>
        <v>0</v>
      </c>
      <c r="AQ102" s="151">
        <f t="shared" si="110"/>
        <v>0</v>
      </c>
      <c r="AR102" s="151"/>
      <c r="AS102" s="151">
        <f t="shared" si="111"/>
        <v>0</v>
      </c>
    </row>
    <row r="103" spans="1:45" ht="18.75">
      <c r="A103" s="142" t="s">
        <v>102</v>
      </c>
      <c r="B103" s="157" t="s">
        <v>178</v>
      </c>
      <c r="C103" s="158"/>
      <c r="D103" s="158"/>
      <c r="E103" s="144"/>
      <c r="F103" s="159"/>
      <c r="G103" s="160"/>
      <c r="H103" s="160"/>
      <c r="I103" s="160"/>
      <c r="J103" s="160"/>
      <c r="K103" s="160"/>
      <c r="L103" s="160"/>
      <c r="M103" s="158"/>
      <c r="N103" s="158"/>
      <c r="O103" s="146"/>
      <c r="P103" s="146"/>
      <c r="Q103" s="147"/>
      <c r="R103" s="155"/>
      <c r="S103" s="155"/>
      <c r="U103" s="151"/>
      <c r="V103" s="145"/>
      <c r="W103" s="145"/>
      <c r="X103" s="145"/>
      <c r="Y103" s="145"/>
      <c r="Z103" s="149"/>
      <c r="AA103" s="145"/>
      <c r="AB103" s="145"/>
      <c r="AC103" s="145"/>
      <c r="AD103" s="145"/>
      <c r="AE103" s="145"/>
      <c r="AF103" s="145"/>
      <c r="AG103" s="146"/>
      <c r="AH103" s="146"/>
      <c r="AI103" s="146"/>
      <c r="AJ103" s="152"/>
      <c r="AK103" s="152"/>
      <c r="AL103" s="151"/>
      <c r="AM103" s="29"/>
      <c r="AN103" s="151"/>
      <c r="AO103" s="151"/>
      <c r="AP103" s="151"/>
      <c r="AQ103" s="151"/>
      <c r="AR103" s="151"/>
      <c r="AS103" s="151"/>
    </row>
    <row r="104" spans="1:45" ht="18.75">
      <c r="A104" s="142" t="s">
        <v>102</v>
      </c>
      <c r="B104" s="157" t="s">
        <v>181</v>
      </c>
      <c r="C104" s="158"/>
      <c r="D104" s="158"/>
      <c r="E104" s="144"/>
      <c r="F104" s="159"/>
      <c r="G104" s="160"/>
      <c r="H104" s="160"/>
      <c r="I104" s="160"/>
      <c r="J104" s="160"/>
      <c r="K104" s="160"/>
      <c r="L104" s="160"/>
      <c r="M104" s="158"/>
      <c r="N104" s="158"/>
      <c r="O104" s="146"/>
      <c r="P104" s="146"/>
      <c r="Q104" s="147"/>
      <c r="R104" s="155"/>
      <c r="S104" s="155"/>
      <c r="U104" s="151"/>
      <c r="V104" s="145"/>
      <c r="W104" s="145"/>
      <c r="X104" s="145"/>
      <c r="Y104" s="145"/>
      <c r="Z104" s="149"/>
      <c r="AA104" s="145"/>
      <c r="AB104" s="145"/>
      <c r="AC104" s="145"/>
      <c r="AD104" s="145"/>
      <c r="AE104" s="145"/>
      <c r="AF104" s="145"/>
      <c r="AG104" s="146"/>
      <c r="AH104" s="146"/>
      <c r="AI104" s="146"/>
      <c r="AJ104" s="152"/>
      <c r="AK104" s="152"/>
      <c r="AL104" s="151"/>
      <c r="AM104" s="29"/>
      <c r="AN104" s="151"/>
      <c r="AO104" s="151"/>
      <c r="AP104" s="151"/>
      <c r="AQ104" s="151"/>
      <c r="AR104" s="151"/>
      <c r="AS104" s="151"/>
    </row>
    <row r="105" spans="1:45" ht="18.75">
      <c r="A105" s="142" t="s">
        <v>102</v>
      </c>
      <c r="B105" s="157" t="s">
        <v>105</v>
      </c>
      <c r="C105" s="158"/>
      <c r="D105" s="158"/>
      <c r="E105" s="144"/>
      <c r="F105" s="159"/>
      <c r="G105" s="160"/>
      <c r="H105" s="160"/>
      <c r="I105" s="160"/>
      <c r="J105" s="160"/>
      <c r="K105" s="160"/>
      <c r="L105" s="160"/>
      <c r="M105" s="158"/>
      <c r="N105" s="158"/>
      <c r="O105" s="146"/>
      <c r="P105" s="146"/>
      <c r="Q105" s="147"/>
      <c r="R105" s="155"/>
      <c r="S105" s="155"/>
      <c r="U105" s="151"/>
      <c r="V105" s="145"/>
      <c r="W105" s="145"/>
      <c r="X105" s="145"/>
      <c r="Y105" s="145"/>
      <c r="Z105" s="149"/>
      <c r="AA105" s="145"/>
      <c r="AB105" s="145"/>
      <c r="AC105" s="145"/>
      <c r="AD105" s="145"/>
      <c r="AE105" s="145"/>
      <c r="AF105" s="145"/>
      <c r="AG105" s="146"/>
      <c r="AH105" s="146"/>
      <c r="AI105" s="146"/>
      <c r="AJ105" s="152"/>
      <c r="AK105" s="152"/>
      <c r="AL105" s="151"/>
      <c r="AM105" s="29"/>
      <c r="AN105" s="151"/>
      <c r="AO105" s="151"/>
      <c r="AP105" s="151"/>
      <c r="AQ105" s="151"/>
      <c r="AR105" s="151"/>
      <c r="AS105" s="151"/>
    </row>
    <row r="106" spans="1:45" ht="18.75">
      <c r="A106" s="142" t="s">
        <v>102</v>
      </c>
      <c r="B106" s="157" t="s">
        <v>106</v>
      </c>
      <c r="C106" s="158"/>
      <c r="D106" s="158"/>
      <c r="E106" s="144"/>
      <c r="F106" s="159"/>
      <c r="G106" s="160"/>
      <c r="H106" s="160"/>
      <c r="I106" s="160"/>
      <c r="J106" s="160"/>
      <c r="K106" s="160"/>
      <c r="L106" s="160"/>
      <c r="M106" s="158"/>
      <c r="N106" s="158"/>
      <c r="O106" s="146"/>
      <c r="P106" s="146"/>
      <c r="Q106" s="147"/>
      <c r="R106" s="155"/>
      <c r="S106" s="155"/>
      <c r="U106" s="151"/>
      <c r="V106" s="145"/>
      <c r="W106" s="145"/>
      <c r="X106" s="145"/>
      <c r="Y106" s="145"/>
      <c r="Z106" s="149"/>
      <c r="AA106" s="145"/>
      <c r="AB106" s="145"/>
      <c r="AC106" s="145"/>
      <c r="AD106" s="145"/>
      <c r="AE106" s="145"/>
      <c r="AF106" s="145"/>
      <c r="AG106" s="146"/>
      <c r="AH106" s="146"/>
      <c r="AI106" s="146"/>
      <c r="AJ106" s="152"/>
      <c r="AK106" s="152"/>
      <c r="AL106" s="151"/>
      <c r="AM106" s="29"/>
      <c r="AN106" s="151"/>
      <c r="AO106" s="151"/>
      <c r="AP106" s="151"/>
      <c r="AQ106" s="151"/>
      <c r="AR106" s="151"/>
      <c r="AS106" s="151"/>
    </row>
    <row r="107" spans="1:45" ht="18.75">
      <c r="A107" s="142" t="s">
        <v>102</v>
      </c>
      <c r="B107" s="157" t="s">
        <v>107</v>
      </c>
      <c r="C107" s="158"/>
      <c r="D107" s="158"/>
      <c r="E107" s="144"/>
      <c r="F107" s="159"/>
      <c r="G107" s="160"/>
      <c r="H107" s="160"/>
      <c r="I107" s="160"/>
      <c r="J107" s="160"/>
      <c r="K107" s="160"/>
      <c r="L107" s="160"/>
      <c r="M107" s="158"/>
      <c r="N107" s="158"/>
      <c r="O107" s="146"/>
      <c r="P107" s="146"/>
      <c r="Q107" s="147"/>
      <c r="R107" s="155"/>
      <c r="S107" s="155"/>
      <c r="U107" s="151"/>
      <c r="V107" s="145"/>
      <c r="W107" s="145"/>
      <c r="X107" s="145"/>
      <c r="Y107" s="145"/>
      <c r="Z107" s="149"/>
      <c r="AA107" s="145"/>
      <c r="AB107" s="145"/>
      <c r="AC107" s="145"/>
      <c r="AD107" s="145"/>
      <c r="AE107" s="145"/>
      <c r="AF107" s="145"/>
      <c r="AG107" s="146"/>
      <c r="AH107" s="146"/>
      <c r="AI107" s="146"/>
      <c r="AJ107" s="152"/>
      <c r="AK107" s="152"/>
      <c r="AL107" s="151"/>
      <c r="AM107" s="29"/>
      <c r="AN107" s="151"/>
      <c r="AO107" s="151"/>
      <c r="AP107" s="151"/>
      <c r="AQ107" s="151"/>
      <c r="AR107" s="151"/>
      <c r="AS107" s="151"/>
    </row>
    <row r="108" spans="1:45" ht="19.5" thickBot="1">
      <c r="A108" s="142" t="s">
        <v>102</v>
      </c>
      <c r="B108" s="157" t="s">
        <v>108</v>
      </c>
      <c r="C108" s="162"/>
      <c r="D108" s="162"/>
      <c r="E108" s="162"/>
      <c r="F108" s="162"/>
      <c r="G108" s="163"/>
      <c r="H108" s="163"/>
      <c r="I108" s="163"/>
      <c r="J108" s="163"/>
      <c r="K108" s="163"/>
      <c r="L108" s="163"/>
      <c r="M108" s="162"/>
      <c r="N108" s="162"/>
      <c r="O108" s="146"/>
      <c r="P108" s="146"/>
      <c r="Q108" s="147"/>
      <c r="R108" s="163"/>
      <c r="S108" s="163"/>
      <c r="U108" s="151"/>
      <c r="V108" s="145"/>
      <c r="W108" s="145"/>
      <c r="X108" s="145"/>
      <c r="Y108" s="145"/>
      <c r="Z108" s="149"/>
      <c r="AA108" s="145"/>
      <c r="AB108" s="145"/>
      <c r="AC108" s="145"/>
      <c r="AD108" s="145"/>
      <c r="AE108" s="145"/>
      <c r="AF108" s="145"/>
      <c r="AG108" s="146"/>
      <c r="AH108" s="146"/>
      <c r="AI108" s="146"/>
      <c r="AJ108" s="152"/>
      <c r="AK108" s="152"/>
      <c r="AL108" s="151"/>
      <c r="AM108" s="29"/>
      <c r="AN108" s="151"/>
      <c r="AO108" s="151"/>
      <c r="AP108" s="151"/>
      <c r="AQ108" s="151"/>
      <c r="AR108" s="151"/>
      <c r="AS108" s="151"/>
    </row>
    <row r="109" spans="1:45" ht="19.5" thickTop="1">
      <c r="A109" s="164"/>
      <c r="C109" s="141">
        <f t="shared" ref="C109:S109" si="112">SUM(C97:C108)</f>
        <v>0</v>
      </c>
      <c r="D109" s="141">
        <f t="shared" si="112"/>
        <v>0</v>
      </c>
      <c r="E109" s="165">
        <f t="shared" si="112"/>
        <v>0</v>
      </c>
      <c r="F109" s="165">
        <f t="shared" si="112"/>
        <v>0</v>
      </c>
      <c r="G109" s="166">
        <f t="shared" si="112"/>
        <v>0</v>
      </c>
      <c r="H109" s="166">
        <f t="shared" si="112"/>
        <v>0</v>
      </c>
      <c r="I109" s="166">
        <f t="shared" si="112"/>
        <v>0</v>
      </c>
      <c r="J109" s="166">
        <f t="shared" si="112"/>
        <v>0</v>
      </c>
      <c r="K109" s="166">
        <f t="shared" si="112"/>
        <v>0</v>
      </c>
      <c r="L109" s="166">
        <f t="shared" si="112"/>
        <v>0</v>
      </c>
      <c r="M109" s="141">
        <f t="shared" si="112"/>
        <v>0</v>
      </c>
      <c r="N109" s="141">
        <f t="shared" si="112"/>
        <v>0</v>
      </c>
      <c r="O109" s="165">
        <f t="shared" si="112"/>
        <v>0</v>
      </c>
      <c r="P109" s="165">
        <f t="shared" si="112"/>
        <v>0</v>
      </c>
      <c r="Q109" s="141">
        <f t="shared" si="112"/>
        <v>0</v>
      </c>
      <c r="R109" s="166">
        <f t="shared" si="112"/>
        <v>0</v>
      </c>
      <c r="S109" s="166">
        <f t="shared" si="112"/>
        <v>0</v>
      </c>
      <c r="V109" s="167">
        <f t="shared" ref="V109:AL109" si="113">SUM(V97:V108)</f>
        <v>0</v>
      </c>
      <c r="W109" s="167">
        <f t="shared" si="113"/>
        <v>0</v>
      </c>
      <c r="X109" s="167">
        <f t="shared" si="113"/>
        <v>0</v>
      </c>
      <c r="Y109" s="167">
        <f t="shared" si="113"/>
        <v>0</v>
      </c>
      <c r="Z109" s="167">
        <f t="shared" si="113"/>
        <v>0</v>
      </c>
      <c r="AA109" s="167">
        <f t="shared" si="113"/>
        <v>0</v>
      </c>
      <c r="AB109" s="167">
        <f t="shared" si="113"/>
        <v>0</v>
      </c>
      <c r="AC109" s="167">
        <f t="shared" si="113"/>
        <v>0</v>
      </c>
      <c r="AD109" s="167">
        <f t="shared" si="113"/>
        <v>0</v>
      </c>
      <c r="AE109" s="167">
        <f t="shared" si="113"/>
        <v>0</v>
      </c>
      <c r="AF109" s="167">
        <f t="shared" si="113"/>
        <v>0</v>
      </c>
      <c r="AG109" s="167">
        <f t="shared" si="113"/>
        <v>0</v>
      </c>
      <c r="AH109" s="167">
        <f t="shared" si="113"/>
        <v>0</v>
      </c>
      <c r="AI109" s="167">
        <f t="shared" si="113"/>
        <v>0</v>
      </c>
      <c r="AJ109" s="167">
        <f t="shared" si="113"/>
        <v>0</v>
      </c>
      <c r="AK109" s="167">
        <f t="shared" si="113"/>
        <v>0</v>
      </c>
      <c r="AL109" s="168">
        <f t="shared" si="113"/>
        <v>0</v>
      </c>
      <c r="AN109" s="169">
        <f t="shared" ref="AN109:AS109" si="114">SUM(AN97:AN108)</f>
        <v>0</v>
      </c>
      <c r="AO109" s="169">
        <f t="shared" si="114"/>
        <v>0</v>
      </c>
      <c r="AP109" s="169">
        <f t="shared" si="114"/>
        <v>0</v>
      </c>
      <c r="AQ109" s="169">
        <f t="shared" si="114"/>
        <v>0</v>
      </c>
      <c r="AR109" s="169">
        <f t="shared" si="114"/>
        <v>0</v>
      </c>
      <c r="AS109" s="169">
        <f t="shared" si="114"/>
        <v>0</v>
      </c>
    </row>
    <row r="110" spans="1:45" ht="18.75"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70"/>
      <c r="AH110" s="170"/>
      <c r="AI110" s="170"/>
      <c r="AJ110" s="170"/>
      <c r="AK110" s="131"/>
      <c r="AL110" s="169"/>
      <c r="AO110" s="171"/>
    </row>
    <row r="111" spans="1:45" ht="18.75">
      <c r="B111" s="172" t="s">
        <v>182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V111" s="170">
        <f>V109</f>
        <v>0</v>
      </c>
      <c r="W111" s="170">
        <f>W109</f>
        <v>0</v>
      </c>
      <c r="X111" s="170">
        <f>X109</f>
        <v>0</v>
      </c>
      <c r="Y111" s="170"/>
      <c r="Z111" s="170"/>
      <c r="AA111" s="170"/>
      <c r="AB111" s="170"/>
      <c r="AC111" s="170"/>
      <c r="AD111" s="170"/>
      <c r="AE111" s="170">
        <f>AE109</f>
        <v>0</v>
      </c>
      <c r="AF111" s="170">
        <f>AF109</f>
        <v>0</v>
      </c>
      <c r="AG111" s="170">
        <f>AG109</f>
        <v>0</v>
      </c>
      <c r="AH111" s="170">
        <f>AH109</f>
        <v>0</v>
      </c>
      <c r="AI111" s="170"/>
      <c r="AJ111" s="170">
        <f>AJ109</f>
        <v>0</v>
      </c>
      <c r="AK111" s="170">
        <f>AK109</f>
        <v>0</v>
      </c>
      <c r="AL111" s="169">
        <f>SUM(V111:AK111)</f>
        <v>0</v>
      </c>
      <c r="AO111" s="173"/>
      <c r="AP111" s="28"/>
    </row>
    <row r="112" spans="1:45" ht="18.75">
      <c r="B112" s="172" t="s">
        <v>183</v>
      </c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V112" s="170"/>
      <c r="W112" s="170"/>
      <c r="X112" s="170"/>
      <c r="Y112" s="170">
        <f t="shared" ref="Y112:AD112" si="115">Y109</f>
        <v>0</v>
      </c>
      <c r="Z112" s="170">
        <f t="shared" si="115"/>
        <v>0</v>
      </c>
      <c r="AA112" s="170">
        <f t="shared" si="115"/>
        <v>0</v>
      </c>
      <c r="AB112" s="170">
        <f t="shared" si="115"/>
        <v>0</v>
      </c>
      <c r="AC112" s="170">
        <f t="shared" si="115"/>
        <v>0</v>
      </c>
      <c r="AD112" s="170">
        <f t="shared" si="115"/>
        <v>0</v>
      </c>
      <c r="AE112" s="170"/>
      <c r="AF112" s="170"/>
      <c r="AG112" s="170"/>
      <c r="AH112" s="170"/>
      <c r="AI112" s="170">
        <f>AI109</f>
        <v>0</v>
      </c>
      <c r="AJ112" s="170"/>
      <c r="AK112" s="131"/>
      <c r="AL112" s="169">
        <f>SUM(V112:AK112)</f>
        <v>0</v>
      </c>
      <c r="AO112" s="173"/>
    </row>
  </sheetData>
  <mergeCells count="19">
    <mergeCell ref="C94:R94"/>
    <mergeCell ref="U94:AL94"/>
    <mergeCell ref="AN94:AS94"/>
    <mergeCell ref="R45:AA45"/>
    <mergeCell ref="C47:R47"/>
    <mergeCell ref="U47:AL47"/>
    <mergeCell ref="AN47:AS47"/>
    <mergeCell ref="R67:AA67"/>
    <mergeCell ref="C69:R69"/>
    <mergeCell ref="U69:AL69"/>
    <mergeCell ref="AN69:AS69"/>
    <mergeCell ref="C25:R25"/>
    <mergeCell ref="U25:AL25"/>
    <mergeCell ref="AN25:AS25"/>
    <mergeCell ref="R1:AA1"/>
    <mergeCell ref="C3:R3"/>
    <mergeCell ref="U3:AL3"/>
    <mergeCell ref="AN3:AS3"/>
    <mergeCell ref="R23:AA23"/>
  </mergeCells>
  <pageMargins left="0.7" right="0.7" top="0.75" bottom="0.75" header="0.3" footer="0.3"/>
  <pageSetup scale="35" orientation="landscape" r:id="rId1"/>
  <rowBreaks count="1" manualBreakCount="1">
    <brk id="45" max="16383" man="1"/>
  </rowBreaks>
  <colBreaks count="2" manualBreakCount="2">
    <brk id="19" max="1048575" man="1"/>
    <brk id="38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  <pageSetUpPr fitToPage="1"/>
  </sheetPr>
  <dimension ref="A1:EH119"/>
  <sheetViews>
    <sheetView workbookViewId="0">
      <pane xSplit="3" ySplit="4" topLeftCell="D116" activePane="bottomRight" state="frozen"/>
      <selection pane="topRight" activeCell="D1" sqref="D1"/>
      <selection pane="bottomLeft" activeCell="A5" sqref="A5"/>
      <selection pane="bottomRight" activeCell="H111" sqref="H111"/>
    </sheetView>
  </sheetViews>
  <sheetFormatPr defaultColWidth="9.140625" defaultRowHeight="12.75" outlineLevelRow="1" outlineLevelCol="1"/>
  <cols>
    <col min="1" max="1" width="9.140625" style="4"/>
    <col min="2" max="2" width="9.28515625" style="4" bestFit="1" customWidth="1"/>
    <col min="3" max="3" width="9.140625" style="4"/>
    <col min="4" max="4" width="13.85546875" style="4" customWidth="1"/>
    <col min="5" max="5" width="11.42578125" style="4" bestFit="1" customWidth="1"/>
    <col min="6" max="9" width="10.28515625" style="4" customWidth="1"/>
    <col min="10" max="10" width="2.85546875" style="4" customWidth="1"/>
    <col min="11" max="11" width="11.42578125" style="4" bestFit="1" customWidth="1"/>
    <col min="12" max="12" width="11.85546875" style="4" customWidth="1"/>
    <col min="13" max="13" width="5.7109375" style="4" customWidth="1"/>
    <col min="14" max="24" width="11.7109375" style="4" hidden="1" customWidth="1" outlineLevel="1"/>
    <col min="25" max="25" width="11.7109375" style="4" customWidth="1" collapsed="1"/>
    <col min="26" max="57" width="11.7109375" style="4" customWidth="1"/>
    <col min="58" max="58" width="6.42578125" style="4" customWidth="1"/>
    <col min="59" max="69" width="8" style="4" customWidth="1"/>
    <col min="70" max="70" width="11.7109375" style="518" customWidth="1"/>
    <col min="71" max="73" width="11.7109375" style="4" customWidth="1"/>
    <col min="74" max="74" width="7.7109375" style="4" customWidth="1"/>
    <col min="75" max="85" width="11.7109375" style="4" hidden="1" customWidth="1" outlineLevel="1"/>
    <col min="86" max="86" width="11.7109375" style="4" customWidth="1" collapsed="1"/>
    <col min="87" max="115" width="11.7109375" style="4" customWidth="1"/>
    <col min="116" max="116" width="9.85546875" style="4" customWidth="1"/>
    <col min="117" max="118" width="11.7109375" style="4" customWidth="1"/>
    <col min="119" max="120" width="14" style="4" customWidth="1"/>
    <col min="121" max="121" width="6.5703125" style="4" bestFit="1" customWidth="1"/>
    <col min="122" max="122" width="6" style="4" bestFit="1" customWidth="1"/>
    <col min="123" max="124" width="7" style="4" bestFit="1" customWidth="1"/>
    <col min="125" max="125" width="6.85546875" style="4" bestFit="1" customWidth="1"/>
    <col min="126" max="130" width="14" style="4" customWidth="1"/>
    <col min="131" max="131" width="11.7109375" style="4" customWidth="1"/>
    <col min="132" max="132" width="5.7109375" style="4" customWidth="1"/>
    <col min="133" max="137" width="11.7109375" style="4" customWidth="1"/>
    <col min="138" max="16384" width="9.140625" style="4"/>
  </cols>
  <sheetData>
    <row r="1" spans="1:138">
      <c r="D1" s="707" t="s">
        <v>77</v>
      </c>
      <c r="E1" s="707"/>
      <c r="F1" s="707"/>
      <c r="G1" s="707"/>
      <c r="H1" s="707"/>
      <c r="I1" s="707"/>
      <c r="J1" s="707"/>
      <c r="K1" s="707"/>
      <c r="L1" s="707"/>
      <c r="N1" s="708" t="s">
        <v>78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8"/>
      <c r="AR1" s="708"/>
      <c r="AS1" s="708"/>
      <c r="AT1" s="708"/>
      <c r="AU1" s="708"/>
      <c r="AV1" s="708"/>
      <c r="AW1" s="708"/>
      <c r="AX1" s="708"/>
      <c r="AY1" s="708"/>
      <c r="AZ1" s="708"/>
      <c r="BA1" s="708"/>
      <c r="BB1" s="708"/>
      <c r="BC1" s="708"/>
      <c r="BD1" s="708"/>
      <c r="BE1" s="708"/>
      <c r="BF1" s="708"/>
      <c r="BG1" s="708"/>
      <c r="BH1" s="708"/>
      <c r="BI1" s="708"/>
      <c r="BJ1" s="708"/>
      <c r="BK1" s="708"/>
      <c r="BL1" s="708"/>
      <c r="BM1" s="708"/>
      <c r="BN1" s="708"/>
      <c r="BO1" s="708"/>
      <c r="BP1" s="708"/>
      <c r="BQ1" s="708"/>
      <c r="BR1" s="708"/>
      <c r="BS1" s="708"/>
      <c r="BT1" s="708"/>
      <c r="BU1" s="708"/>
      <c r="BW1" s="708" t="s">
        <v>79</v>
      </c>
      <c r="BX1" s="708"/>
      <c r="BY1" s="708"/>
      <c r="BZ1" s="708"/>
      <c r="CA1" s="708"/>
      <c r="CB1" s="708"/>
      <c r="CC1" s="708"/>
      <c r="CD1" s="708"/>
      <c r="CE1" s="708"/>
      <c r="CF1" s="708"/>
      <c r="CG1" s="708"/>
      <c r="CH1" s="708"/>
      <c r="CI1" s="708"/>
      <c r="CJ1" s="708"/>
      <c r="CK1" s="708"/>
      <c r="CL1" s="708"/>
      <c r="CM1" s="708"/>
      <c r="CN1" s="708"/>
      <c r="CO1" s="708"/>
      <c r="CP1" s="708"/>
      <c r="CQ1" s="708"/>
      <c r="CR1" s="708"/>
      <c r="CS1" s="708"/>
      <c r="CT1" s="708"/>
      <c r="CU1" s="708"/>
      <c r="CV1" s="708"/>
      <c r="CW1" s="708"/>
      <c r="CX1" s="708"/>
      <c r="CY1" s="708"/>
      <c r="CZ1" s="708"/>
      <c r="DA1" s="708"/>
      <c r="DB1" s="708"/>
      <c r="DC1" s="708"/>
      <c r="DD1" s="708"/>
      <c r="DE1" s="708"/>
      <c r="DF1" s="708"/>
      <c r="DG1" s="708"/>
      <c r="DH1" s="708"/>
      <c r="DI1" s="708"/>
      <c r="DJ1" s="708"/>
      <c r="DK1" s="708"/>
      <c r="DL1" s="708"/>
      <c r="DM1" s="708"/>
      <c r="DN1" s="708"/>
      <c r="DO1" s="708"/>
      <c r="DP1" s="708"/>
      <c r="DQ1" s="708"/>
      <c r="DR1" s="708"/>
      <c r="DS1" s="708"/>
      <c r="DT1" s="708"/>
      <c r="DU1" s="708"/>
      <c r="DV1" s="708"/>
      <c r="DW1" s="708"/>
      <c r="DX1" s="708"/>
      <c r="DY1" s="708"/>
      <c r="DZ1" s="708"/>
      <c r="EA1" s="708"/>
      <c r="EB1" s="708"/>
      <c r="EC1" s="708"/>
      <c r="ED1" s="708"/>
      <c r="EE1" s="708"/>
      <c r="EF1" s="708"/>
      <c r="EG1" s="708"/>
    </row>
    <row r="2" spans="1:138" ht="76.5">
      <c r="A2" s="338"/>
      <c r="B2" s="338"/>
      <c r="C2" s="29" t="s">
        <v>16</v>
      </c>
      <c r="D2" s="51" t="s">
        <v>217</v>
      </c>
      <c r="E2" s="51" t="s">
        <v>141</v>
      </c>
      <c r="F2" s="52" t="s">
        <v>218</v>
      </c>
      <c r="G2" s="52" t="s">
        <v>219</v>
      </c>
      <c r="H2" s="52" t="s">
        <v>202</v>
      </c>
      <c r="I2" s="52"/>
      <c r="J2" s="52"/>
      <c r="K2" s="52" t="s">
        <v>69</v>
      </c>
      <c r="L2" s="52" t="s">
        <v>86</v>
      </c>
      <c r="M2" s="338"/>
      <c r="N2" s="341">
        <v>42217</v>
      </c>
      <c r="O2" s="341">
        <f t="shared" ref="O2:AF2" si="0">+N2+31</f>
        <v>42248</v>
      </c>
      <c r="P2" s="341">
        <f t="shared" si="0"/>
        <v>42279</v>
      </c>
      <c r="Q2" s="341">
        <f t="shared" si="0"/>
        <v>42310</v>
      </c>
      <c r="R2" s="341">
        <f t="shared" si="0"/>
        <v>42341</v>
      </c>
      <c r="S2" s="341">
        <f t="shared" si="0"/>
        <v>42372</v>
      </c>
      <c r="T2" s="341">
        <f t="shared" si="0"/>
        <v>42403</v>
      </c>
      <c r="U2" s="341">
        <f t="shared" si="0"/>
        <v>42434</v>
      </c>
      <c r="V2" s="341">
        <f t="shared" si="0"/>
        <v>42465</v>
      </c>
      <c r="W2" s="341">
        <f t="shared" si="0"/>
        <v>42496</v>
      </c>
      <c r="X2" s="341">
        <f t="shared" si="0"/>
        <v>42527</v>
      </c>
      <c r="Y2" s="341">
        <f t="shared" si="0"/>
        <v>42558</v>
      </c>
      <c r="Z2" s="341">
        <f t="shared" si="0"/>
        <v>42589</v>
      </c>
      <c r="AA2" s="341">
        <f t="shared" si="0"/>
        <v>42620</v>
      </c>
      <c r="AB2" s="341">
        <f t="shared" si="0"/>
        <v>42651</v>
      </c>
      <c r="AC2" s="341">
        <f t="shared" si="0"/>
        <v>42682</v>
      </c>
      <c r="AD2" s="341">
        <f t="shared" si="0"/>
        <v>42713</v>
      </c>
      <c r="AE2" s="341">
        <f t="shared" si="0"/>
        <v>42744</v>
      </c>
      <c r="AF2" s="341">
        <f t="shared" si="0"/>
        <v>42775</v>
      </c>
      <c r="AG2" s="341">
        <f t="shared" ref="AG2:BB2" si="1">+AF2+31</f>
        <v>42806</v>
      </c>
      <c r="AH2" s="341">
        <f t="shared" si="1"/>
        <v>42837</v>
      </c>
      <c r="AI2" s="341">
        <f t="shared" si="1"/>
        <v>42868</v>
      </c>
      <c r="AJ2" s="341">
        <f t="shared" si="1"/>
        <v>42899</v>
      </c>
      <c r="AK2" s="341">
        <f t="shared" si="1"/>
        <v>42930</v>
      </c>
      <c r="AL2" s="341">
        <f t="shared" si="1"/>
        <v>42961</v>
      </c>
      <c r="AM2" s="341">
        <f t="shared" si="1"/>
        <v>42992</v>
      </c>
      <c r="AN2" s="341">
        <f t="shared" si="1"/>
        <v>43023</v>
      </c>
      <c r="AO2" s="341">
        <f t="shared" si="1"/>
        <v>43054</v>
      </c>
      <c r="AP2" s="341">
        <f t="shared" si="1"/>
        <v>43085</v>
      </c>
      <c r="AQ2" s="341">
        <f t="shared" si="1"/>
        <v>43116</v>
      </c>
      <c r="AR2" s="341">
        <f t="shared" si="1"/>
        <v>43147</v>
      </c>
      <c r="AS2" s="341">
        <f t="shared" si="1"/>
        <v>43178</v>
      </c>
      <c r="AT2" s="341">
        <f t="shared" si="1"/>
        <v>43209</v>
      </c>
      <c r="AU2" s="341">
        <f t="shared" si="1"/>
        <v>43240</v>
      </c>
      <c r="AV2" s="341">
        <f t="shared" si="1"/>
        <v>43271</v>
      </c>
      <c r="AW2" s="341">
        <f t="shared" si="1"/>
        <v>43302</v>
      </c>
      <c r="AX2" s="341">
        <f t="shared" si="1"/>
        <v>43333</v>
      </c>
      <c r="AY2" s="341">
        <f t="shared" si="1"/>
        <v>43364</v>
      </c>
      <c r="AZ2" s="341">
        <f t="shared" si="1"/>
        <v>43395</v>
      </c>
      <c r="BA2" s="341">
        <f t="shared" si="1"/>
        <v>43426</v>
      </c>
      <c r="BB2" s="341">
        <f t="shared" si="1"/>
        <v>43457</v>
      </c>
      <c r="BC2" s="341">
        <v>43466</v>
      </c>
      <c r="BD2" s="341">
        <v>43497</v>
      </c>
      <c r="BE2" s="341">
        <v>43525</v>
      </c>
      <c r="BF2" s="341">
        <v>43556</v>
      </c>
      <c r="BG2" s="341">
        <v>43586</v>
      </c>
      <c r="BH2" s="341">
        <v>43617</v>
      </c>
      <c r="BI2" s="341">
        <v>43647</v>
      </c>
      <c r="BJ2" s="341">
        <v>43678</v>
      </c>
      <c r="BK2" s="341">
        <v>43709</v>
      </c>
      <c r="BL2" s="341">
        <v>43739</v>
      </c>
      <c r="BM2" s="341">
        <v>43770</v>
      </c>
      <c r="BN2" s="341">
        <v>43800</v>
      </c>
      <c r="BO2" s="341">
        <v>43831</v>
      </c>
      <c r="BP2" s="341">
        <v>43862</v>
      </c>
      <c r="BQ2" s="341">
        <v>43891</v>
      </c>
      <c r="BR2" s="515" t="s">
        <v>69</v>
      </c>
      <c r="BS2" s="338" t="s">
        <v>87</v>
      </c>
      <c r="BT2" s="338" t="s">
        <v>32</v>
      </c>
      <c r="BU2" s="338" t="s">
        <v>88</v>
      </c>
      <c r="BV2" s="338"/>
      <c r="BW2" s="341">
        <f>+N2</f>
        <v>42217</v>
      </c>
      <c r="BX2" s="341">
        <f t="shared" ref="BX2:CP2" si="2">+BW2+31</f>
        <v>42248</v>
      </c>
      <c r="BY2" s="341">
        <f t="shared" si="2"/>
        <v>42279</v>
      </c>
      <c r="BZ2" s="341">
        <f t="shared" si="2"/>
        <v>42310</v>
      </c>
      <c r="CA2" s="341">
        <f t="shared" si="2"/>
        <v>42341</v>
      </c>
      <c r="CB2" s="341">
        <f t="shared" si="2"/>
        <v>42372</v>
      </c>
      <c r="CC2" s="341">
        <f t="shared" si="2"/>
        <v>42403</v>
      </c>
      <c r="CD2" s="341">
        <f t="shared" si="2"/>
        <v>42434</v>
      </c>
      <c r="CE2" s="341">
        <f t="shared" si="2"/>
        <v>42465</v>
      </c>
      <c r="CF2" s="341">
        <f t="shared" si="2"/>
        <v>42496</v>
      </c>
      <c r="CG2" s="341">
        <f t="shared" si="2"/>
        <v>42527</v>
      </c>
      <c r="CH2" s="341">
        <f t="shared" si="2"/>
        <v>42558</v>
      </c>
      <c r="CI2" s="341">
        <f t="shared" si="2"/>
        <v>42589</v>
      </c>
      <c r="CJ2" s="341">
        <f t="shared" si="2"/>
        <v>42620</v>
      </c>
      <c r="CK2" s="341">
        <f t="shared" si="2"/>
        <v>42651</v>
      </c>
      <c r="CL2" s="341">
        <f t="shared" si="2"/>
        <v>42682</v>
      </c>
      <c r="CM2" s="341">
        <f t="shared" si="2"/>
        <v>42713</v>
      </c>
      <c r="CN2" s="341">
        <f t="shared" si="2"/>
        <v>42744</v>
      </c>
      <c r="CO2" s="341">
        <f t="shared" si="2"/>
        <v>42775</v>
      </c>
      <c r="CP2" s="341">
        <f t="shared" si="2"/>
        <v>42806</v>
      </c>
      <c r="CQ2" s="341">
        <f t="shared" ref="CQ2:DK2" si="3">+CP2+31</f>
        <v>42837</v>
      </c>
      <c r="CR2" s="341">
        <f t="shared" si="3"/>
        <v>42868</v>
      </c>
      <c r="CS2" s="341">
        <f t="shared" si="3"/>
        <v>42899</v>
      </c>
      <c r="CT2" s="341">
        <f t="shared" si="3"/>
        <v>42930</v>
      </c>
      <c r="CU2" s="341">
        <f t="shared" si="3"/>
        <v>42961</v>
      </c>
      <c r="CV2" s="341">
        <f t="shared" si="3"/>
        <v>42992</v>
      </c>
      <c r="CW2" s="341">
        <f t="shared" si="3"/>
        <v>43023</v>
      </c>
      <c r="CX2" s="341">
        <f t="shared" si="3"/>
        <v>43054</v>
      </c>
      <c r="CY2" s="341">
        <f t="shared" si="3"/>
        <v>43085</v>
      </c>
      <c r="CZ2" s="341">
        <f t="shared" si="3"/>
        <v>43116</v>
      </c>
      <c r="DA2" s="341">
        <f t="shared" si="3"/>
        <v>43147</v>
      </c>
      <c r="DB2" s="341">
        <f t="shared" si="3"/>
        <v>43178</v>
      </c>
      <c r="DC2" s="341">
        <f t="shared" si="3"/>
        <v>43209</v>
      </c>
      <c r="DD2" s="341">
        <f t="shared" si="3"/>
        <v>43240</v>
      </c>
      <c r="DE2" s="341">
        <f t="shared" si="3"/>
        <v>43271</v>
      </c>
      <c r="DF2" s="341">
        <f t="shared" si="3"/>
        <v>43302</v>
      </c>
      <c r="DG2" s="341">
        <f t="shared" si="3"/>
        <v>43333</v>
      </c>
      <c r="DH2" s="341">
        <f t="shared" si="3"/>
        <v>43364</v>
      </c>
      <c r="DI2" s="341">
        <f t="shared" si="3"/>
        <v>43395</v>
      </c>
      <c r="DJ2" s="341">
        <f t="shared" si="3"/>
        <v>43426</v>
      </c>
      <c r="DK2" s="341">
        <f t="shared" si="3"/>
        <v>43457</v>
      </c>
      <c r="DL2" s="341">
        <v>43466</v>
      </c>
      <c r="DM2" s="341">
        <v>43497</v>
      </c>
      <c r="DN2" s="341">
        <v>43525</v>
      </c>
      <c r="DO2" s="341">
        <v>43556</v>
      </c>
      <c r="DP2" s="341">
        <v>43586</v>
      </c>
      <c r="DQ2" s="341">
        <v>43617</v>
      </c>
      <c r="DR2" s="341">
        <v>43647</v>
      </c>
      <c r="DS2" s="341">
        <v>43678</v>
      </c>
      <c r="DT2" s="341">
        <v>43709</v>
      </c>
      <c r="DU2" s="341">
        <v>43739</v>
      </c>
      <c r="DV2" s="341">
        <v>43770</v>
      </c>
      <c r="DW2" s="341">
        <v>43800</v>
      </c>
      <c r="DX2" s="341">
        <v>43831</v>
      </c>
      <c r="DY2" s="341">
        <v>43862</v>
      </c>
      <c r="DZ2" s="341">
        <v>43891</v>
      </c>
      <c r="EA2" s="338" t="s">
        <v>69</v>
      </c>
      <c r="EB2" s="338"/>
      <c r="EC2" s="516" t="s">
        <v>89</v>
      </c>
      <c r="ED2" s="516" t="s">
        <v>90</v>
      </c>
      <c r="EE2" s="516" t="s">
        <v>91</v>
      </c>
      <c r="EF2" s="516" t="s">
        <v>92</v>
      </c>
      <c r="EG2" s="516" t="s">
        <v>12</v>
      </c>
      <c r="EH2" s="338"/>
    </row>
    <row r="3" spans="1:138" ht="15.75">
      <c r="A3" s="4" t="s">
        <v>27</v>
      </c>
      <c r="C3" s="29" t="s">
        <v>28</v>
      </c>
      <c r="D3" s="208" t="s">
        <v>67</v>
      </c>
      <c r="E3" s="208" t="s">
        <v>67</v>
      </c>
      <c r="F3" s="208" t="s">
        <v>67</v>
      </c>
      <c r="G3" s="208" t="s">
        <v>67</v>
      </c>
      <c r="H3" s="208" t="s">
        <v>67</v>
      </c>
      <c r="I3" s="517">
        <v>4.99E-2</v>
      </c>
      <c r="J3" s="9"/>
      <c r="K3" s="9"/>
      <c r="L3" s="9"/>
    </row>
    <row r="4" spans="1:138">
      <c r="A4" s="29"/>
      <c r="B4" s="29"/>
      <c r="C4" s="29"/>
      <c r="D4" s="114"/>
      <c r="E4" s="20"/>
      <c r="F4" s="114"/>
      <c r="G4" s="114"/>
      <c r="H4" s="114"/>
      <c r="I4" s="114"/>
      <c r="J4" s="114"/>
      <c r="K4" s="20"/>
      <c r="L4" s="23"/>
    </row>
    <row r="5" spans="1:138" s="585" customFormat="1" outlineLevel="1">
      <c r="A5" s="308" t="s">
        <v>46</v>
      </c>
      <c r="B5" s="308">
        <v>2015</v>
      </c>
      <c r="C5" s="308" t="s">
        <v>47</v>
      </c>
      <c r="D5" s="618">
        <v>55500</v>
      </c>
      <c r="E5" s="618">
        <v>0</v>
      </c>
      <c r="F5" s="618">
        <v>0</v>
      </c>
      <c r="G5" s="618">
        <v>0</v>
      </c>
      <c r="H5" s="618">
        <v>0</v>
      </c>
      <c r="I5" s="618">
        <v>0</v>
      </c>
      <c r="J5" s="518"/>
      <c r="K5" s="518">
        <f t="shared" ref="K5:K68" si="4">SUM(D5:I5)</f>
        <v>55500</v>
      </c>
      <c r="L5" s="518">
        <f>SUM(K$5:K5)</f>
        <v>55500</v>
      </c>
      <c r="N5" s="518">
        <f>$K$5/60</f>
        <v>925</v>
      </c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518"/>
      <c r="BB5" s="518"/>
      <c r="BC5" s="518"/>
      <c r="BD5" s="518"/>
      <c r="BE5" s="518"/>
      <c r="BF5" s="518"/>
      <c r="BG5" s="518"/>
      <c r="BH5" s="518"/>
      <c r="BI5" s="518"/>
      <c r="BJ5" s="518"/>
      <c r="BK5" s="518"/>
      <c r="BL5" s="518"/>
      <c r="BM5" s="518"/>
      <c r="BN5" s="518"/>
      <c r="BO5" s="518"/>
      <c r="BP5" s="518"/>
      <c r="BQ5" s="518"/>
      <c r="BR5" s="518">
        <f>SUM(N5:BQ5)</f>
        <v>925</v>
      </c>
      <c r="BS5" s="518">
        <f>BR5</f>
        <v>925</v>
      </c>
      <c r="BT5" s="518">
        <f t="shared" ref="BT5:BT36" si="5">+L5-BS5</f>
        <v>54575</v>
      </c>
      <c r="BU5" s="518">
        <f t="shared" ref="BU5:BU36" si="6">+L5-BS4</f>
        <v>55500</v>
      </c>
      <c r="BW5" s="518">
        <f>$K$5/12</f>
        <v>4625</v>
      </c>
      <c r="BX5" s="518"/>
      <c r="BY5" s="518"/>
      <c r="BZ5" s="518"/>
      <c r="CA5" s="518"/>
      <c r="CB5" s="518"/>
      <c r="CC5" s="518"/>
      <c r="CD5" s="518"/>
      <c r="CE5" s="518"/>
      <c r="CF5" s="518"/>
      <c r="CG5" s="518"/>
      <c r="CH5" s="518"/>
      <c r="CI5" s="518"/>
      <c r="CJ5" s="518"/>
      <c r="CK5" s="518"/>
      <c r="CL5" s="518"/>
      <c r="CM5" s="518"/>
      <c r="CN5" s="518"/>
      <c r="CO5" s="518"/>
      <c r="CP5" s="518"/>
      <c r="CQ5" s="518"/>
      <c r="CR5" s="518"/>
      <c r="CS5" s="518"/>
      <c r="CT5" s="518"/>
      <c r="CU5" s="518"/>
      <c r="CV5" s="518"/>
      <c r="CW5" s="518"/>
      <c r="CX5" s="518"/>
      <c r="CY5" s="518"/>
      <c r="CZ5" s="518"/>
      <c r="DA5" s="518"/>
      <c r="DB5" s="518"/>
      <c r="DC5" s="518"/>
      <c r="DD5" s="518"/>
      <c r="DE5" s="518"/>
      <c r="DF5" s="518"/>
      <c r="DG5" s="518"/>
      <c r="DH5" s="518"/>
      <c r="DI5" s="518"/>
      <c r="DJ5" s="518"/>
      <c r="DK5" s="518"/>
      <c r="DL5" s="518"/>
      <c r="DM5" s="518"/>
      <c r="DN5" s="518"/>
      <c r="DO5" s="518"/>
      <c r="DP5" s="518"/>
      <c r="DQ5" s="518"/>
      <c r="DR5" s="518"/>
      <c r="DS5" s="518"/>
      <c r="DT5" s="518"/>
      <c r="DU5" s="518"/>
      <c r="DV5" s="518"/>
      <c r="DW5" s="518"/>
      <c r="DX5" s="518"/>
      <c r="DY5" s="518"/>
      <c r="DZ5" s="518"/>
      <c r="EA5" s="518">
        <f>SUM(BW5:DZ5)</f>
        <v>4625</v>
      </c>
      <c r="EC5" s="519">
        <f t="shared" ref="EC5:EC35" si="7">+EA5</f>
        <v>4625</v>
      </c>
      <c r="ED5" s="519">
        <f t="shared" ref="ED5:ED36" si="8">+BR5</f>
        <v>925</v>
      </c>
      <c r="EE5" s="518">
        <f t="shared" ref="EE5:EE35" si="9">+ED5-EC5</f>
        <v>-3700</v>
      </c>
      <c r="EF5" s="518">
        <f>+EE5*'Capital Structure '!$L$30</f>
        <v>-1511.4499999999998</v>
      </c>
      <c r="EG5" s="518">
        <f>EF5</f>
        <v>-1511.4499999999998</v>
      </c>
    </row>
    <row r="6" spans="1:138" s="585" customFormat="1" outlineLevel="1">
      <c r="A6" s="308" t="s">
        <v>48</v>
      </c>
      <c r="B6" s="308">
        <f>+B5</f>
        <v>2015</v>
      </c>
      <c r="C6" s="308" t="s">
        <v>47</v>
      </c>
      <c r="D6" s="618">
        <v>132500</v>
      </c>
      <c r="E6" s="618">
        <v>3100</v>
      </c>
      <c r="F6" s="618">
        <v>0</v>
      </c>
      <c r="G6" s="618">
        <v>24000</v>
      </c>
      <c r="H6" s="618">
        <v>0</v>
      </c>
      <c r="I6" s="618">
        <v>0</v>
      </c>
      <c r="J6" s="518"/>
      <c r="K6" s="518">
        <f t="shared" si="4"/>
        <v>159600</v>
      </c>
      <c r="L6" s="518">
        <f>SUM(K$5:K6)</f>
        <v>215100</v>
      </c>
      <c r="N6" s="518">
        <f t="shared" ref="N6:N64" si="10">$K$5/60</f>
        <v>925</v>
      </c>
      <c r="O6" s="518">
        <f>$K$6/60</f>
        <v>2660</v>
      </c>
      <c r="P6" s="518"/>
      <c r="Q6" s="518"/>
      <c r="R6" s="518"/>
      <c r="S6" s="518"/>
      <c r="T6" s="518"/>
      <c r="U6" s="518"/>
      <c r="V6" s="518"/>
      <c r="W6" s="518"/>
      <c r="X6" s="518"/>
      <c r="Y6" s="518"/>
      <c r="Z6" s="518"/>
      <c r="AA6" s="518"/>
      <c r="AB6" s="518"/>
      <c r="AC6" s="518"/>
      <c r="AD6" s="518"/>
      <c r="AE6" s="518"/>
      <c r="AF6" s="518"/>
      <c r="AG6" s="518"/>
      <c r="AH6" s="518"/>
      <c r="AI6" s="518"/>
      <c r="AJ6" s="518"/>
      <c r="AK6" s="518"/>
      <c r="AL6" s="518"/>
      <c r="AM6" s="518"/>
      <c r="AN6" s="518"/>
      <c r="AO6" s="518"/>
      <c r="AP6" s="518"/>
      <c r="AQ6" s="518"/>
      <c r="AR6" s="518"/>
      <c r="AS6" s="518"/>
      <c r="AT6" s="518"/>
      <c r="AU6" s="518"/>
      <c r="AV6" s="518"/>
      <c r="AW6" s="518"/>
      <c r="AX6" s="518"/>
      <c r="AY6" s="518"/>
      <c r="AZ6" s="518"/>
      <c r="BA6" s="518"/>
      <c r="BB6" s="518"/>
      <c r="BC6" s="518"/>
      <c r="BD6" s="518"/>
      <c r="BE6" s="518"/>
      <c r="BF6" s="518"/>
      <c r="BG6" s="518"/>
      <c r="BH6" s="518"/>
      <c r="BI6" s="518"/>
      <c r="BJ6" s="518"/>
      <c r="BK6" s="518"/>
      <c r="BL6" s="518"/>
      <c r="BM6" s="518"/>
      <c r="BN6" s="518"/>
      <c r="BO6" s="518"/>
      <c r="BP6" s="518"/>
      <c r="BQ6" s="518"/>
      <c r="BR6" s="518">
        <f t="shared" ref="BR6:BR69" si="11">SUM(N6:BQ6)</f>
        <v>3585</v>
      </c>
      <c r="BS6" s="518">
        <f>BS5+BR6</f>
        <v>4510</v>
      </c>
      <c r="BT6" s="518">
        <f t="shared" si="5"/>
        <v>210590</v>
      </c>
      <c r="BU6" s="518">
        <f t="shared" si="6"/>
        <v>214175</v>
      </c>
      <c r="BW6" s="518">
        <f t="shared" ref="BW6:BW16" si="12">$K$5/12</f>
        <v>4625</v>
      </c>
      <c r="BX6" s="518">
        <f>$K$6/12</f>
        <v>13300</v>
      </c>
      <c r="BY6" s="518"/>
      <c r="BZ6" s="518"/>
      <c r="CA6" s="518"/>
      <c r="CB6" s="518"/>
      <c r="CC6" s="518"/>
      <c r="CD6" s="518"/>
      <c r="CE6" s="518"/>
      <c r="CF6" s="518"/>
      <c r="CG6" s="518"/>
      <c r="CH6" s="518"/>
      <c r="CI6" s="518"/>
      <c r="CJ6" s="518"/>
      <c r="CK6" s="518"/>
      <c r="CL6" s="518"/>
      <c r="CM6" s="518"/>
      <c r="CN6" s="518"/>
      <c r="CO6" s="518"/>
      <c r="CP6" s="518"/>
      <c r="CQ6" s="518"/>
      <c r="CR6" s="518"/>
      <c r="CS6" s="518"/>
      <c r="CT6" s="518"/>
      <c r="CU6" s="518"/>
      <c r="CV6" s="518"/>
      <c r="CW6" s="518"/>
      <c r="CX6" s="518"/>
      <c r="CY6" s="518"/>
      <c r="CZ6" s="518"/>
      <c r="DA6" s="518"/>
      <c r="DB6" s="518"/>
      <c r="DC6" s="518"/>
      <c r="DD6" s="518"/>
      <c r="DE6" s="518"/>
      <c r="DF6" s="518"/>
      <c r="DG6" s="518"/>
      <c r="DH6" s="518"/>
      <c r="DI6" s="518"/>
      <c r="DJ6" s="518"/>
      <c r="DK6" s="518"/>
      <c r="DL6" s="518"/>
      <c r="DM6" s="518"/>
      <c r="DN6" s="518"/>
      <c r="DO6" s="518"/>
      <c r="DP6" s="518"/>
      <c r="DQ6" s="518"/>
      <c r="DR6" s="518"/>
      <c r="DS6" s="518"/>
      <c r="DT6" s="518"/>
      <c r="DU6" s="518"/>
      <c r="DV6" s="518"/>
      <c r="DW6" s="518"/>
      <c r="DX6" s="518"/>
      <c r="DY6" s="518"/>
      <c r="DZ6" s="518"/>
      <c r="EA6" s="518">
        <f t="shared" ref="EA6:EA69" si="13">SUM(BW6:DZ6)</f>
        <v>17925</v>
      </c>
      <c r="EC6" s="519">
        <f t="shared" si="7"/>
        <v>17925</v>
      </c>
      <c r="ED6" s="519">
        <f t="shared" si="8"/>
        <v>3585</v>
      </c>
      <c r="EE6" s="518">
        <f t="shared" si="9"/>
        <v>-14340</v>
      </c>
      <c r="EF6" s="518">
        <f>+EE6*'Capital Structure '!$L$30</f>
        <v>-5857.8899999999994</v>
      </c>
      <c r="EG6" s="518">
        <f>EG5+EF6</f>
        <v>-7369.3399999999992</v>
      </c>
    </row>
    <row r="7" spans="1:138" s="585" customFormat="1" outlineLevel="1">
      <c r="A7" s="308" t="s">
        <v>50</v>
      </c>
      <c r="B7" s="308">
        <f>+B6</f>
        <v>2015</v>
      </c>
      <c r="C7" s="308" t="s">
        <v>47</v>
      </c>
      <c r="D7" s="618">
        <v>88500</v>
      </c>
      <c r="E7" s="618">
        <v>4300</v>
      </c>
      <c r="F7" s="618">
        <v>4000</v>
      </c>
      <c r="G7" s="618">
        <v>51000</v>
      </c>
      <c r="H7" s="618">
        <v>0</v>
      </c>
      <c r="I7" s="618">
        <v>0</v>
      </c>
      <c r="J7" s="518"/>
      <c r="K7" s="518">
        <f t="shared" si="4"/>
        <v>147800</v>
      </c>
      <c r="L7" s="518">
        <f>SUM(K$5:K7)</f>
        <v>362900</v>
      </c>
      <c r="N7" s="518">
        <f t="shared" si="10"/>
        <v>925</v>
      </c>
      <c r="O7" s="518">
        <f t="shared" ref="O7:O65" si="14">$K$6/60</f>
        <v>2660</v>
      </c>
      <c r="P7" s="518">
        <f>$K$7/60</f>
        <v>2463.3333333333335</v>
      </c>
      <c r="Q7" s="518"/>
      <c r="R7" s="518"/>
      <c r="S7" s="518"/>
      <c r="T7" s="518"/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518"/>
      <c r="AV7" s="518"/>
      <c r="AW7" s="518"/>
      <c r="AX7" s="518"/>
      <c r="AY7" s="518"/>
      <c r="AZ7" s="518"/>
      <c r="BA7" s="518"/>
      <c r="BB7" s="518"/>
      <c r="BC7" s="518"/>
      <c r="BD7" s="518"/>
      <c r="BE7" s="518"/>
      <c r="BF7" s="518"/>
      <c r="BG7" s="518"/>
      <c r="BH7" s="518"/>
      <c r="BI7" s="518"/>
      <c r="BJ7" s="518"/>
      <c r="BK7" s="518"/>
      <c r="BL7" s="518"/>
      <c r="BM7" s="518"/>
      <c r="BN7" s="518"/>
      <c r="BO7" s="518"/>
      <c r="BP7" s="518"/>
      <c r="BQ7" s="518"/>
      <c r="BR7" s="518">
        <f t="shared" si="11"/>
        <v>6048.3333333333339</v>
      </c>
      <c r="BS7" s="518">
        <f t="shared" ref="BS7:BS70" si="15">BS6+BR7</f>
        <v>10558.333333333334</v>
      </c>
      <c r="BT7" s="518">
        <f t="shared" si="5"/>
        <v>352341.66666666669</v>
      </c>
      <c r="BU7" s="518">
        <f>+L7-BS6</f>
        <v>358390</v>
      </c>
      <c r="BW7" s="518">
        <f t="shared" si="12"/>
        <v>4625</v>
      </c>
      <c r="BX7" s="518">
        <f t="shared" ref="BX7:BX17" si="16">$K$6/12</f>
        <v>13300</v>
      </c>
      <c r="BY7" s="518">
        <f>$K$7/12</f>
        <v>12316.666666666666</v>
      </c>
      <c r="BZ7" s="518"/>
      <c r="CA7" s="518"/>
      <c r="CB7" s="518"/>
      <c r="CC7" s="518"/>
      <c r="CD7" s="518"/>
      <c r="CE7" s="518"/>
      <c r="CF7" s="518"/>
      <c r="CG7" s="518"/>
      <c r="CH7" s="518"/>
      <c r="CI7" s="518"/>
      <c r="CJ7" s="518"/>
      <c r="CK7" s="518"/>
      <c r="CL7" s="518"/>
      <c r="CM7" s="518"/>
      <c r="CN7" s="518"/>
      <c r="CO7" s="518"/>
      <c r="CP7" s="518"/>
      <c r="CQ7" s="518"/>
      <c r="CR7" s="518"/>
      <c r="CS7" s="518"/>
      <c r="CT7" s="518"/>
      <c r="CU7" s="518"/>
      <c r="CV7" s="518"/>
      <c r="CW7" s="518"/>
      <c r="CX7" s="518"/>
      <c r="CY7" s="518"/>
      <c r="CZ7" s="518"/>
      <c r="DA7" s="518"/>
      <c r="DB7" s="518"/>
      <c r="DC7" s="518"/>
      <c r="DD7" s="518"/>
      <c r="DE7" s="518"/>
      <c r="DF7" s="518"/>
      <c r="DG7" s="518"/>
      <c r="DH7" s="518"/>
      <c r="DI7" s="518"/>
      <c r="DJ7" s="518"/>
      <c r="DK7" s="518"/>
      <c r="DL7" s="518"/>
      <c r="DM7" s="518"/>
      <c r="DN7" s="518"/>
      <c r="DO7" s="518"/>
      <c r="DP7" s="518"/>
      <c r="DQ7" s="518"/>
      <c r="DR7" s="518"/>
      <c r="DS7" s="518"/>
      <c r="DT7" s="518"/>
      <c r="DU7" s="518"/>
      <c r="DV7" s="518"/>
      <c r="DW7" s="518"/>
      <c r="DX7" s="518"/>
      <c r="DY7" s="518"/>
      <c r="DZ7" s="518"/>
      <c r="EA7" s="518">
        <f t="shared" si="13"/>
        <v>30241.666666666664</v>
      </c>
      <c r="EC7" s="519">
        <f t="shared" si="7"/>
        <v>30241.666666666664</v>
      </c>
      <c r="ED7" s="519">
        <f t="shared" si="8"/>
        <v>6048.3333333333339</v>
      </c>
      <c r="EE7" s="518">
        <f t="shared" si="9"/>
        <v>-24193.333333333328</v>
      </c>
      <c r="EF7" s="518">
        <f>+EE7*'Capital Structure '!$L$30</f>
        <v>-9882.9766666666637</v>
      </c>
      <c r="EG7" s="518">
        <f t="shared" ref="EG7:EG70" si="17">EG6+EF7</f>
        <v>-17252.316666666662</v>
      </c>
    </row>
    <row r="8" spans="1:138" s="585" customFormat="1" outlineLevel="1">
      <c r="A8" s="308" t="s">
        <v>51</v>
      </c>
      <c r="B8" s="308">
        <f>+B7</f>
        <v>2015</v>
      </c>
      <c r="C8" s="308" t="s">
        <v>47</v>
      </c>
      <c r="D8" s="618">
        <v>101500</v>
      </c>
      <c r="E8" s="618">
        <v>6700</v>
      </c>
      <c r="F8" s="618">
        <v>16000</v>
      </c>
      <c r="G8" s="618">
        <v>229000</v>
      </c>
      <c r="H8" s="618">
        <v>2000</v>
      </c>
      <c r="I8" s="618">
        <v>0</v>
      </c>
      <c r="J8" s="518"/>
      <c r="K8" s="518">
        <f t="shared" si="4"/>
        <v>355200</v>
      </c>
      <c r="L8" s="518">
        <f>SUM(K$5:K8)</f>
        <v>718100</v>
      </c>
      <c r="N8" s="518">
        <f t="shared" si="10"/>
        <v>925</v>
      </c>
      <c r="O8" s="518">
        <f t="shared" si="14"/>
        <v>2660</v>
      </c>
      <c r="P8" s="518">
        <f t="shared" ref="P8:P66" si="18">$K$7/60</f>
        <v>2463.3333333333335</v>
      </c>
      <c r="Q8" s="518">
        <f>$K$8/60</f>
        <v>5920</v>
      </c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  <c r="AQ8" s="518"/>
      <c r="AR8" s="518"/>
      <c r="AS8" s="518"/>
      <c r="AT8" s="518"/>
      <c r="AU8" s="518"/>
      <c r="AV8" s="518"/>
      <c r="AW8" s="518"/>
      <c r="AX8" s="518"/>
      <c r="AY8" s="518"/>
      <c r="AZ8" s="518"/>
      <c r="BA8" s="518"/>
      <c r="BB8" s="518"/>
      <c r="BC8" s="518"/>
      <c r="BD8" s="518"/>
      <c r="BE8" s="518"/>
      <c r="BF8" s="518"/>
      <c r="BG8" s="518"/>
      <c r="BH8" s="518"/>
      <c r="BI8" s="518"/>
      <c r="BJ8" s="518"/>
      <c r="BK8" s="518"/>
      <c r="BL8" s="518"/>
      <c r="BM8" s="518"/>
      <c r="BN8" s="518"/>
      <c r="BO8" s="518"/>
      <c r="BP8" s="518"/>
      <c r="BQ8" s="518"/>
      <c r="BR8" s="518">
        <f t="shared" si="11"/>
        <v>11968.333333333334</v>
      </c>
      <c r="BS8" s="518">
        <f t="shared" si="15"/>
        <v>22526.666666666668</v>
      </c>
      <c r="BT8" s="518">
        <f t="shared" si="5"/>
        <v>695573.33333333337</v>
      </c>
      <c r="BU8" s="518">
        <f t="shared" si="6"/>
        <v>707541.66666666663</v>
      </c>
      <c r="BW8" s="518">
        <f t="shared" si="12"/>
        <v>4625</v>
      </c>
      <c r="BX8" s="518">
        <f t="shared" si="16"/>
        <v>13300</v>
      </c>
      <c r="BY8" s="518">
        <f t="shared" ref="BY8:BY18" si="19">$K$7/12</f>
        <v>12316.666666666666</v>
      </c>
      <c r="BZ8" s="518">
        <f>$K$8/12</f>
        <v>29600</v>
      </c>
      <c r="CA8" s="518"/>
      <c r="CB8" s="518"/>
      <c r="CC8" s="518"/>
      <c r="CD8" s="518"/>
      <c r="CE8" s="518"/>
      <c r="CF8" s="518"/>
      <c r="CG8" s="518"/>
      <c r="CH8" s="518"/>
      <c r="CI8" s="518"/>
      <c r="CJ8" s="518"/>
      <c r="CK8" s="518"/>
      <c r="CL8" s="518"/>
      <c r="CM8" s="518"/>
      <c r="CN8" s="518"/>
      <c r="CO8" s="518"/>
      <c r="CP8" s="518"/>
      <c r="CQ8" s="518"/>
      <c r="CR8" s="518"/>
      <c r="CS8" s="518"/>
      <c r="CT8" s="518"/>
      <c r="CU8" s="518"/>
      <c r="CV8" s="518"/>
      <c r="CW8" s="518"/>
      <c r="CX8" s="518"/>
      <c r="CY8" s="518"/>
      <c r="CZ8" s="518"/>
      <c r="DA8" s="518"/>
      <c r="DB8" s="518"/>
      <c r="DC8" s="518"/>
      <c r="DD8" s="518"/>
      <c r="DE8" s="518"/>
      <c r="DF8" s="518"/>
      <c r="DG8" s="518"/>
      <c r="DH8" s="518"/>
      <c r="DI8" s="518"/>
      <c r="DJ8" s="518"/>
      <c r="DK8" s="518"/>
      <c r="DL8" s="518"/>
      <c r="DM8" s="518"/>
      <c r="DN8" s="518"/>
      <c r="DO8" s="518"/>
      <c r="DP8" s="518"/>
      <c r="DQ8" s="518"/>
      <c r="DR8" s="518"/>
      <c r="DS8" s="518"/>
      <c r="DT8" s="518"/>
      <c r="DU8" s="518"/>
      <c r="DV8" s="518"/>
      <c r="DW8" s="518"/>
      <c r="DX8" s="518"/>
      <c r="DY8" s="518"/>
      <c r="DZ8" s="518"/>
      <c r="EA8" s="518">
        <f t="shared" si="13"/>
        <v>59841.666666666664</v>
      </c>
      <c r="EC8" s="519">
        <f t="shared" si="7"/>
        <v>59841.666666666664</v>
      </c>
      <c r="ED8" s="519">
        <f t="shared" si="8"/>
        <v>11968.333333333334</v>
      </c>
      <c r="EE8" s="518">
        <f t="shared" si="9"/>
        <v>-47873.333333333328</v>
      </c>
      <c r="EF8" s="518">
        <f>+EE8*'Capital Structure '!$L$30</f>
        <v>-19556.256666666664</v>
      </c>
      <c r="EG8" s="518">
        <f t="shared" si="17"/>
        <v>-36808.573333333326</v>
      </c>
    </row>
    <row r="9" spans="1:138" s="585" customFormat="1" outlineLevel="1">
      <c r="A9" s="308" t="s">
        <v>52</v>
      </c>
      <c r="B9" s="308">
        <f>+B8</f>
        <v>2015</v>
      </c>
      <c r="C9" s="308" t="s">
        <v>47</v>
      </c>
      <c r="D9" s="618">
        <v>122500</v>
      </c>
      <c r="E9" s="618">
        <v>7700</v>
      </c>
      <c r="F9" s="618">
        <v>10000</v>
      </c>
      <c r="G9" s="618">
        <v>334000</v>
      </c>
      <c r="H9" s="618">
        <v>4000</v>
      </c>
      <c r="I9" s="618">
        <v>26000</v>
      </c>
      <c r="J9" s="518"/>
      <c r="K9" s="518">
        <f t="shared" si="4"/>
        <v>504200</v>
      </c>
      <c r="L9" s="518">
        <f>SUM(K$5:K9)</f>
        <v>1222300</v>
      </c>
      <c r="N9" s="518">
        <f t="shared" si="10"/>
        <v>925</v>
      </c>
      <c r="O9" s="518">
        <f t="shared" si="14"/>
        <v>2660</v>
      </c>
      <c r="P9" s="518">
        <f t="shared" si="18"/>
        <v>2463.3333333333335</v>
      </c>
      <c r="Q9" s="518">
        <f t="shared" ref="Q9:Q67" si="20">$K$8/60</f>
        <v>5920</v>
      </c>
      <c r="R9" s="518">
        <f>$K$9/60</f>
        <v>8403.3333333333339</v>
      </c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/>
      <c r="AD9" s="518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/>
      <c r="AR9" s="518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/>
      <c r="BF9" s="518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>
        <f t="shared" si="11"/>
        <v>20371.666666666668</v>
      </c>
      <c r="BS9" s="518">
        <f t="shared" si="15"/>
        <v>42898.333333333336</v>
      </c>
      <c r="BT9" s="518">
        <f t="shared" si="5"/>
        <v>1179401.6666666667</v>
      </c>
      <c r="BU9" s="518">
        <f t="shared" si="6"/>
        <v>1199773.3333333333</v>
      </c>
      <c r="BW9" s="518">
        <f t="shared" si="12"/>
        <v>4625</v>
      </c>
      <c r="BX9" s="518">
        <f t="shared" si="16"/>
        <v>13300</v>
      </c>
      <c r="BY9" s="518">
        <f t="shared" si="19"/>
        <v>12316.666666666666</v>
      </c>
      <c r="BZ9" s="518">
        <f t="shared" ref="BZ9:BZ19" si="21">$K$8/12</f>
        <v>29600</v>
      </c>
      <c r="CA9" s="518">
        <f>$K$9/12</f>
        <v>42016.666666666664</v>
      </c>
      <c r="CB9" s="518"/>
      <c r="CC9" s="518"/>
      <c r="CD9" s="518"/>
      <c r="CE9" s="518"/>
      <c r="CF9" s="518"/>
      <c r="CG9" s="518"/>
      <c r="CH9" s="518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/>
      <c r="CV9" s="518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/>
      <c r="DJ9" s="518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/>
      <c r="DX9" s="518"/>
      <c r="DY9" s="518"/>
      <c r="DZ9" s="518"/>
      <c r="EA9" s="518">
        <f t="shared" si="13"/>
        <v>101858.33333333333</v>
      </c>
      <c r="EC9" s="519">
        <f t="shared" si="7"/>
        <v>101858.33333333333</v>
      </c>
      <c r="ED9" s="519">
        <f t="shared" si="8"/>
        <v>20371.666666666668</v>
      </c>
      <c r="EE9" s="518">
        <f t="shared" si="9"/>
        <v>-81486.666666666657</v>
      </c>
      <c r="EF9" s="518">
        <f>+EE9*'Capital Structure '!$L$30</f>
        <v>-33287.30333333333</v>
      </c>
      <c r="EG9" s="518">
        <f t="shared" si="17"/>
        <v>-70095.876666666649</v>
      </c>
    </row>
    <row r="10" spans="1:138" s="585" customFormat="1" outlineLevel="1">
      <c r="A10" s="308" t="s">
        <v>53</v>
      </c>
      <c r="B10" s="308">
        <f>+B9+1</f>
        <v>2016</v>
      </c>
      <c r="C10" s="308" t="s">
        <v>47</v>
      </c>
      <c r="D10" s="518">
        <v>140500</v>
      </c>
      <c r="E10" s="518">
        <v>9700</v>
      </c>
      <c r="F10" s="518">
        <v>14000</v>
      </c>
      <c r="G10" s="518">
        <v>278990</v>
      </c>
      <c r="H10" s="518">
        <v>12000</v>
      </c>
      <c r="I10" s="518">
        <v>38000</v>
      </c>
      <c r="J10" s="518"/>
      <c r="K10" s="518">
        <f t="shared" si="4"/>
        <v>493190</v>
      </c>
      <c r="L10" s="518">
        <f>SUM(K$5:K10)</f>
        <v>1715490</v>
      </c>
      <c r="N10" s="518">
        <f t="shared" si="10"/>
        <v>925</v>
      </c>
      <c r="O10" s="518">
        <f t="shared" si="14"/>
        <v>2660</v>
      </c>
      <c r="P10" s="518">
        <f t="shared" si="18"/>
        <v>2463.3333333333335</v>
      </c>
      <c r="Q10" s="518">
        <f t="shared" si="20"/>
        <v>5920</v>
      </c>
      <c r="R10" s="518">
        <f t="shared" ref="R10:R68" si="22">$K$9/60</f>
        <v>8403.3333333333339</v>
      </c>
      <c r="S10" s="518">
        <f>$K$10/60</f>
        <v>8219.8333333333339</v>
      </c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8"/>
      <c r="BC10" s="518"/>
      <c r="BD10" s="518"/>
      <c r="BE10" s="518"/>
      <c r="BF10" s="518"/>
      <c r="BG10" s="518"/>
      <c r="BH10" s="518"/>
      <c r="BI10" s="518"/>
      <c r="BJ10" s="518"/>
      <c r="BK10" s="518"/>
      <c r="BL10" s="518"/>
      <c r="BM10" s="518"/>
      <c r="BN10" s="518"/>
      <c r="BO10" s="518"/>
      <c r="BP10" s="518"/>
      <c r="BQ10" s="518"/>
      <c r="BR10" s="518">
        <f t="shared" si="11"/>
        <v>28591.5</v>
      </c>
      <c r="BS10" s="518">
        <f t="shared" si="15"/>
        <v>71489.833333333343</v>
      </c>
      <c r="BT10" s="518">
        <f t="shared" si="5"/>
        <v>1644000.1666666667</v>
      </c>
      <c r="BU10" s="518">
        <f t="shared" si="6"/>
        <v>1672591.6666666667</v>
      </c>
      <c r="BW10" s="518">
        <f t="shared" si="12"/>
        <v>4625</v>
      </c>
      <c r="BX10" s="518">
        <f t="shared" si="16"/>
        <v>13300</v>
      </c>
      <c r="BY10" s="518">
        <f t="shared" si="19"/>
        <v>12316.666666666666</v>
      </c>
      <c r="BZ10" s="518">
        <f t="shared" si="21"/>
        <v>29600</v>
      </c>
      <c r="CA10" s="518">
        <f t="shared" ref="CA10:CA20" si="23">$K$9/12</f>
        <v>42016.666666666664</v>
      </c>
      <c r="CB10" s="518">
        <f>$K$10/12</f>
        <v>41099.166666666664</v>
      </c>
      <c r="CC10" s="518"/>
      <c r="CD10" s="518"/>
      <c r="CE10" s="518"/>
      <c r="CF10" s="518"/>
      <c r="CG10" s="518"/>
      <c r="CH10" s="518"/>
      <c r="CI10" s="518"/>
      <c r="CJ10" s="518"/>
      <c r="CK10" s="518"/>
      <c r="CL10" s="518"/>
      <c r="CM10" s="518"/>
      <c r="CN10" s="518"/>
      <c r="CO10" s="518"/>
      <c r="CP10" s="518"/>
      <c r="CQ10" s="518"/>
      <c r="CR10" s="518"/>
      <c r="CS10" s="518"/>
      <c r="CT10" s="518"/>
      <c r="CU10" s="518"/>
      <c r="CV10" s="518"/>
      <c r="CW10" s="518"/>
      <c r="CX10" s="518"/>
      <c r="CY10" s="518"/>
      <c r="CZ10" s="518"/>
      <c r="DA10" s="518"/>
      <c r="DB10" s="518"/>
      <c r="DC10" s="518"/>
      <c r="DD10" s="518"/>
      <c r="DE10" s="518"/>
      <c r="DF10" s="518"/>
      <c r="DG10" s="518"/>
      <c r="DH10" s="518"/>
      <c r="DI10" s="518"/>
      <c r="DJ10" s="518"/>
      <c r="DK10" s="518"/>
      <c r="DL10" s="518"/>
      <c r="DM10" s="518"/>
      <c r="DN10" s="518"/>
      <c r="DO10" s="518"/>
      <c r="DP10" s="518"/>
      <c r="DQ10" s="518"/>
      <c r="DR10" s="518"/>
      <c r="DS10" s="518"/>
      <c r="DT10" s="518"/>
      <c r="DU10" s="518"/>
      <c r="DV10" s="518"/>
      <c r="DW10" s="518"/>
      <c r="DX10" s="518"/>
      <c r="DY10" s="518"/>
      <c r="DZ10" s="518"/>
      <c r="EA10" s="518">
        <f t="shared" si="13"/>
        <v>142957.5</v>
      </c>
      <c r="EC10" s="519">
        <f t="shared" si="7"/>
        <v>142957.5</v>
      </c>
      <c r="ED10" s="519">
        <f t="shared" si="8"/>
        <v>28591.5</v>
      </c>
      <c r="EE10" s="518">
        <f t="shared" si="9"/>
        <v>-114366</v>
      </c>
      <c r="EF10" s="518">
        <f>+EE10*'Capital Structure '!$L$30</f>
        <v>-46718.510999999999</v>
      </c>
      <c r="EG10" s="518">
        <f t="shared" si="17"/>
        <v>-116814.38766666665</v>
      </c>
    </row>
    <row r="11" spans="1:138" s="585" customFormat="1" outlineLevel="1">
      <c r="A11" s="308" t="s">
        <v>54</v>
      </c>
      <c r="B11" s="308">
        <f>+B10</f>
        <v>2016</v>
      </c>
      <c r="C11" s="308" t="s">
        <v>47</v>
      </c>
      <c r="D11" s="518">
        <v>121500</v>
      </c>
      <c r="E11" s="518">
        <v>8500</v>
      </c>
      <c r="F11" s="518">
        <v>4000</v>
      </c>
      <c r="G11" s="518">
        <v>236000</v>
      </c>
      <c r="H11" s="518">
        <v>14000</v>
      </c>
      <c r="I11" s="518">
        <v>21000</v>
      </c>
      <c r="J11" s="518"/>
      <c r="K11" s="518">
        <f t="shared" si="4"/>
        <v>405000</v>
      </c>
      <c r="L11" s="518">
        <f>SUM(K$5:K11)</f>
        <v>2120490</v>
      </c>
      <c r="N11" s="518">
        <f t="shared" si="10"/>
        <v>925</v>
      </c>
      <c r="O11" s="518">
        <f t="shared" si="14"/>
        <v>2660</v>
      </c>
      <c r="P11" s="518">
        <f t="shared" si="18"/>
        <v>2463.3333333333335</v>
      </c>
      <c r="Q11" s="518">
        <f t="shared" si="20"/>
        <v>5920</v>
      </c>
      <c r="R11" s="518">
        <f t="shared" si="22"/>
        <v>8403.3333333333339</v>
      </c>
      <c r="S11" s="518">
        <f t="shared" ref="S11:S69" si="24">$K$10/60</f>
        <v>8219.8333333333339</v>
      </c>
      <c r="T11" s="518">
        <f>$K$11/60</f>
        <v>6750</v>
      </c>
      <c r="U11" s="518"/>
      <c r="V11" s="518"/>
      <c r="W11" s="518"/>
      <c r="X11" s="518"/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AT11" s="518"/>
      <c r="AU11" s="518"/>
      <c r="AV11" s="518"/>
      <c r="AW11" s="518"/>
      <c r="AX11" s="518"/>
      <c r="AY11" s="518"/>
      <c r="AZ11" s="518"/>
      <c r="BA11" s="518"/>
      <c r="BB11" s="518"/>
      <c r="BC11" s="518"/>
      <c r="BD11" s="518"/>
      <c r="BE11" s="518"/>
      <c r="BF11" s="518"/>
      <c r="BG11" s="518"/>
      <c r="BH11" s="518"/>
      <c r="BI11" s="518"/>
      <c r="BJ11" s="518"/>
      <c r="BK11" s="518"/>
      <c r="BL11" s="518"/>
      <c r="BM11" s="518"/>
      <c r="BN11" s="518"/>
      <c r="BO11" s="518"/>
      <c r="BP11" s="518"/>
      <c r="BQ11" s="518"/>
      <c r="BR11" s="518">
        <f t="shared" si="11"/>
        <v>35341.5</v>
      </c>
      <c r="BS11" s="518">
        <f t="shared" si="15"/>
        <v>106831.33333333334</v>
      </c>
      <c r="BT11" s="518">
        <f t="shared" si="5"/>
        <v>2013658.6666666667</v>
      </c>
      <c r="BU11" s="518">
        <f t="shared" si="6"/>
        <v>2049000.1666666667</v>
      </c>
      <c r="BW11" s="518">
        <f t="shared" si="12"/>
        <v>4625</v>
      </c>
      <c r="BX11" s="518">
        <f t="shared" si="16"/>
        <v>13300</v>
      </c>
      <c r="BY11" s="518">
        <f t="shared" si="19"/>
        <v>12316.666666666666</v>
      </c>
      <c r="BZ11" s="518">
        <f t="shared" si="21"/>
        <v>29600</v>
      </c>
      <c r="CA11" s="518">
        <f t="shared" si="23"/>
        <v>42016.666666666664</v>
      </c>
      <c r="CB11" s="518">
        <f t="shared" ref="CB11:CB21" si="25">$K$10/12</f>
        <v>41099.166666666664</v>
      </c>
      <c r="CC11" s="518">
        <f>$K$11/12</f>
        <v>33750</v>
      </c>
      <c r="CD11" s="518"/>
      <c r="CE11" s="518"/>
      <c r="CF11" s="518"/>
      <c r="CG11" s="518"/>
      <c r="CH11" s="518"/>
      <c r="CI11" s="518"/>
      <c r="CJ11" s="518"/>
      <c r="CK11" s="518"/>
      <c r="CL11" s="518"/>
      <c r="CM11" s="518"/>
      <c r="CN11" s="518"/>
      <c r="CO11" s="518"/>
      <c r="CP11" s="518"/>
      <c r="CQ11" s="518"/>
      <c r="CR11" s="518"/>
      <c r="CS11" s="518"/>
      <c r="CT11" s="518"/>
      <c r="CU11" s="518"/>
      <c r="CV11" s="518"/>
      <c r="CW11" s="518"/>
      <c r="CX11" s="518"/>
      <c r="CY11" s="518"/>
      <c r="CZ11" s="518"/>
      <c r="DA11" s="518"/>
      <c r="DB11" s="518"/>
      <c r="DC11" s="518"/>
      <c r="DD11" s="518"/>
      <c r="DE11" s="518"/>
      <c r="DF11" s="518"/>
      <c r="DG11" s="518"/>
      <c r="DH11" s="518"/>
      <c r="DI11" s="518"/>
      <c r="DJ11" s="518"/>
      <c r="DK11" s="518"/>
      <c r="DL11" s="518"/>
      <c r="DM11" s="518"/>
      <c r="DN11" s="518"/>
      <c r="DO11" s="518"/>
      <c r="DP11" s="518"/>
      <c r="DQ11" s="518"/>
      <c r="DR11" s="518"/>
      <c r="DS11" s="518"/>
      <c r="DT11" s="518"/>
      <c r="DU11" s="518"/>
      <c r="DV11" s="518"/>
      <c r="DW11" s="518"/>
      <c r="DX11" s="518"/>
      <c r="DY11" s="518"/>
      <c r="DZ11" s="518"/>
      <c r="EA11" s="518">
        <f t="shared" si="13"/>
        <v>176707.5</v>
      </c>
      <c r="EC11" s="519">
        <f t="shared" si="7"/>
        <v>176707.5</v>
      </c>
      <c r="ED11" s="519">
        <f t="shared" si="8"/>
        <v>35341.5</v>
      </c>
      <c r="EE11" s="518">
        <f t="shared" si="9"/>
        <v>-141366</v>
      </c>
      <c r="EF11" s="518">
        <f>+EE11*'Capital Structure '!$L$30</f>
        <v>-57748.010999999999</v>
      </c>
      <c r="EG11" s="518">
        <f t="shared" si="17"/>
        <v>-174562.39866666665</v>
      </c>
    </row>
    <row r="12" spans="1:138" s="585" customFormat="1" outlineLevel="1">
      <c r="A12" s="308" t="s">
        <v>55</v>
      </c>
      <c r="B12" s="308">
        <f>+B11</f>
        <v>2016</v>
      </c>
      <c r="C12" s="308" t="s">
        <v>47</v>
      </c>
      <c r="D12" s="518">
        <v>154000</v>
      </c>
      <c r="E12" s="518">
        <v>15600</v>
      </c>
      <c r="F12" s="518">
        <v>5800</v>
      </c>
      <c r="G12" s="518">
        <v>147000</v>
      </c>
      <c r="H12" s="518">
        <v>36000</v>
      </c>
      <c r="I12" s="518">
        <v>55000</v>
      </c>
      <c r="J12" s="518"/>
      <c r="K12" s="518">
        <f t="shared" si="4"/>
        <v>413400</v>
      </c>
      <c r="L12" s="518">
        <f>SUM(K$5:K12)</f>
        <v>2533890</v>
      </c>
      <c r="N12" s="518">
        <f t="shared" si="10"/>
        <v>925</v>
      </c>
      <c r="O12" s="518">
        <f t="shared" si="14"/>
        <v>2660</v>
      </c>
      <c r="P12" s="518">
        <f t="shared" si="18"/>
        <v>2463.3333333333335</v>
      </c>
      <c r="Q12" s="518">
        <f t="shared" si="20"/>
        <v>5920</v>
      </c>
      <c r="R12" s="518">
        <f t="shared" si="22"/>
        <v>8403.3333333333339</v>
      </c>
      <c r="S12" s="518">
        <f t="shared" si="24"/>
        <v>8219.8333333333339</v>
      </c>
      <c r="T12" s="518">
        <f t="shared" ref="T12:T70" si="26">$K$11/60</f>
        <v>6750</v>
      </c>
      <c r="U12" s="518">
        <f>$K$12/60</f>
        <v>6890</v>
      </c>
      <c r="V12" s="518"/>
      <c r="W12" s="518"/>
      <c r="X12" s="518"/>
      <c r="Y12" s="518"/>
      <c r="Z12" s="518"/>
      <c r="AA12" s="518"/>
      <c r="AB12" s="518"/>
      <c r="AC12" s="518"/>
      <c r="AD12" s="518"/>
      <c r="AE12" s="518"/>
      <c r="AF12" s="518"/>
      <c r="AG12" s="518"/>
      <c r="AH12" s="518"/>
      <c r="AI12" s="518"/>
      <c r="AJ12" s="518"/>
      <c r="AK12" s="518"/>
      <c r="AL12" s="518"/>
      <c r="AM12" s="518"/>
      <c r="AN12" s="518"/>
      <c r="AO12" s="518"/>
      <c r="AP12" s="518"/>
      <c r="AQ12" s="518"/>
      <c r="AR12" s="518"/>
      <c r="AS12" s="518"/>
      <c r="AT12" s="518"/>
      <c r="AU12" s="518"/>
      <c r="AV12" s="518"/>
      <c r="AW12" s="518"/>
      <c r="AX12" s="518"/>
      <c r="AY12" s="518"/>
      <c r="AZ12" s="518"/>
      <c r="BA12" s="518"/>
      <c r="BB12" s="518"/>
      <c r="BC12" s="518"/>
      <c r="BD12" s="518"/>
      <c r="BE12" s="518"/>
      <c r="BF12" s="518"/>
      <c r="BG12" s="518"/>
      <c r="BH12" s="518"/>
      <c r="BI12" s="518"/>
      <c r="BJ12" s="518"/>
      <c r="BK12" s="518"/>
      <c r="BL12" s="518"/>
      <c r="BM12" s="518"/>
      <c r="BN12" s="518"/>
      <c r="BO12" s="518"/>
      <c r="BP12" s="518"/>
      <c r="BQ12" s="518"/>
      <c r="BR12" s="518">
        <f t="shared" si="11"/>
        <v>42231.5</v>
      </c>
      <c r="BS12" s="518">
        <f t="shared" si="15"/>
        <v>149062.83333333334</v>
      </c>
      <c r="BT12" s="518">
        <f t="shared" si="5"/>
        <v>2384827.1666666665</v>
      </c>
      <c r="BU12" s="518">
        <f t="shared" si="6"/>
        <v>2427058.6666666665</v>
      </c>
      <c r="BW12" s="518">
        <f t="shared" si="12"/>
        <v>4625</v>
      </c>
      <c r="BX12" s="518">
        <f t="shared" si="16"/>
        <v>13300</v>
      </c>
      <c r="BY12" s="518">
        <f t="shared" si="19"/>
        <v>12316.666666666666</v>
      </c>
      <c r="BZ12" s="518">
        <f t="shared" si="21"/>
        <v>29600</v>
      </c>
      <c r="CA12" s="518">
        <f t="shared" si="23"/>
        <v>42016.666666666664</v>
      </c>
      <c r="CB12" s="518">
        <f t="shared" si="25"/>
        <v>41099.166666666664</v>
      </c>
      <c r="CC12" s="518">
        <f t="shared" ref="CC12:CC22" si="27">$K$11/12</f>
        <v>33750</v>
      </c>
      <c r="CD12" s="518">
        <f>$K$12/12</f>
        <v>34450</v>
      </c>
      <c r="CE12" s="518"/>
      <c r="CF12" s="518"/>
      <c r="CG12" s="518"/>
      <c r="CH12" s="518"/>
      <c r="CI12" s="518"/>
      <c r="CJ12" s="518"/>
      <c r="CK12" s="518"/>
      <c r="CL12" s="518"/>
      <c r="CM12" s="518"/>
      <c r="CN12" s="518"/>
      <c r="CO12" s="518"/>
      <c r="CP12" s="518"/>
      <c r="CQ12" s="518"/>
      <c r="CR12" s="518"/>
      <c r="CS12" s="518"/>
      <c r="CT12" s="518"/>
      <c r="CU12" s="518"/>
      <c r="CV12" s="518"/>
      <c r="CW12" s="518"/>
      <c r="CX12" s="518"/>
      <c r="CY12" s="518"/>
      <c r="CZ12" s="518"/>
      <c r="DA12" s="518"/>
      <c r="DB12" s="518"/>
      <c r="DC12" s="518"/>
      <c r="DD12" s="518"/>
      <c r="DE12" s="518"/>
      <c r="DF12" s="518"/>
      <c r="DG12" s="518"/>
      <c r="DH12" s="518"/>
      <c r="DI12" s="518"/>
      <c r="DJ12" s="518"/>
      <c r="DK12" s="518"/>
      <c r="DL12" s="518"/>
      <c r="DM12" s="518"/>
      <c r="DN12" s="518"/>
      <c r="DO12" s="518"/>
      <c r="DP12" s="518"/>
      <c r="DQ12" s="518"/>
      <c r="DR12" s="518"/>
      <c r="DS12" s="518"/>
      <c r="DT12" s="518"/>
      <c r="DU12" s="518"/>
      <c r="DV12" s="518"/>
      <c r="DW12" s="518"/>
      <c r="DX12" s="518"/>
      <c r="DY12" s="518"/>
      <c r="DZ12" s="518"/>
      <c r="EA12" s="518">
        <f t="shared" si="13"/>
        <v>211157.5</v>
      </c>
      <c r="EC12" s="519">
        <f t="shared" si="7"/>
        <v>211157.5</v>
      </c>
      <c r="ED12" s="519">
        <f t="shared" si="8"/>
        <v>42231.5</v>
      </c>
      <c r="EE12" s="518">
        <f t="shared" si="9"/>
        <v>-168926</v>
      </c>
      <c r="EF12" s="518">
        <f>+EE12*'Capital Structure '!$L$30</f>
        <v>-69006.270999999993</v>
      </c>
      <c r="EG12" s="518">
        <f t="shared" si="17"/>
        <v>-243568.66966666665</v>
      </c>
    </row>
    <row r="13" spans="1:138" s="585" customFormat="1" outlineLevel="1">
      <c r="A13" s="308" t="s">
        <v>56</v>
      </c>
      <c r="B13" s="308">
        <f>+B12</f>
        <v>2016</v>
      </c>
      <c r="C13" s="308" t="s">
        <v>47</v>
      </c>
      <c r="D13" s="518">
        <v>165500</v>
      </c>
      <c r="E13" s="518">
        <v>11800</v>
      </c>
      <c r="F13" s="518">
        <v>4000</v>
      </c>
      <c r="G13" s="518">
        <v>116000</v>
      </c>
      <c r="H13" s="518">
        <v>22000</v>
      </c>
      <c r="I13" s="518">
        <v>29000</v>
      </c>
      <c r="J13" s="518"/>
      <c r="K13" s="518">
        <f t="shared" si="4"/>
        <v>348300</v>
      </c>
      <c r="L13" s="518">
        <f>SUM(K$5:K13)</f>
        <v>2882190</v>
      </c>
      <c r="N13" s="518">
        <f t="shared" si="10"/>
        <v>925</v>
      </c>
      <c r="O13" s="518">
        <f t="shared" si="14"/>
        <v>2660</v>
      </c>
      <c r="P13" s="518">
        <f t="shared" si="18"/>
        <v>2463.3333333333335</v>
      </c>
      <c r="Q13" s="518">
        <f t="shared" si="20"/>
        <v>5920</v>
      </c>
      <c r="R13" s="518">
        <f t="shared" si="22"/>
        <v>8403.3333333333339</v>
      </c>
      <c r="S13" s="518">
        <f t="shared" si="24"/>
        <v>8219.8333333333339</v>
      </c>
      <c r="T13" s="518">
        <f t="shared" si="26"/>
        <v>6750</v>
      </c>
      <c r="U13" s="518">
        <f t="shared" ref="U13:U71" si="28">$K$12/60</f>
        <v>6890</v>
      </c>
      <c r="V13" s="518">
        <f>$K$13/60</f>
        <v>5805</v>
      </c>
      <c r="W13" s="518"/>
      <c r="X13" s="518"/>
      <c r="Y13" s="518"/>
      <c r="Z13" s="518"/>
      <c r="AA13" s="518"/>
      <c r="AB13" s="518"/>
      <c r="AC13" s="518"/>
      <c r="AD13" s="518"/>
      <c r="AE13" s="518"/>
      <c r="AF13" s="518"/>
      <c r="AG13" s="518"/>
      <c r="AH13" s="518"/>
      <c r="AI13" s="518"/>
      <c r="AJ13" s="518"/>
      <c r="AK13" s="518"/>
      <c r="AL13" s="518"/>
      <c r="AM13" s="518"/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>
        <f t="shared" si="11"/>
        <v>48036.5</v>
      </c>
      <c r="BS13" s="518">
        <f t="shared" si="15"/>
        <v>197099.33333333334</v>
      </c>
      <c r="BT13" s="518">
        <f t="shared" si="5"/>
        <v>2685090.6666666665</v>
      </c>
      <c r="BU13" s="518">
        <f t="shared" si="6"/>
        <v>2733127.1666666665</v>
      </c>
      <c r="BW13" s="518">
        <f t="shared" si="12"/>
        <v>4625</v>
      </c>
      <c r="BX13" s="518">
        <f t="shared" si="16"/>
        <v>13300</v>
      </c>
      <c r="BY13" s="518">
        <f t="shared" si="19"/>
        <v>12316.666666666666</v>
      </c>
      <c r="BZ13" s="518">
        <f t="shared" si="21"/>
        <v>29600</v>
      </c>
      <c r="CA13" s="518">
        <f t="shared" si="23"/>
        <v>42016.666666666664</v>
      </c>
      <c r="CB13" s="518">
        <f t="shared" si="25"/>
        <v>41099.166666666664</v>
      </c>
      <c r="CC13" s="518">
        <f t="shared" si="27"/>
        <v>33750</v>
      </c>
      <c r="CD13" s="518">
        <f t="shared" ref="CD13:CD23" si="29">$K$12/12</f>
        <v>34450</v>
      </c>
      <c r="CE13" s="518">
        <f>$K$13/12</f>
        <v>29025</v>
      </c>
      <c r="CF13" s="518"/>
      <c r="CG13" s="518"/>
      <c r="CH13" s="518"/>
      <c r="CI13" s="518"/>
      <c r="CJ13" s="518"/>
      <c r="CK13" s="518"/>
      <c r="CL13" s="518"/>
      <c r="CM13" s="518"/>
      <c r="CN13" s="518"/>
      <c r="CO13" s="518"/>
      <c r="CP13" s="518"/>
      <c r="CQ13" s="518"/>
      <c r="CR13" s="518"/>
      <c r="CS13" s="518"/>
      <c r="CT13" s="518"/>
      <c r="CU13" s="518"/>
      <c r="CV13" s="518"/>
      <c r="CW13" s="518"/>
      <c r="CX13" s="518"/>
      <c r="CY13" s="518"/>
      <c r="CZ13" s="518"/>
      <c r="DA13" s="518"/>
      <c r="DB13" s="518"/>
      <c r="DC13" s="518"/>
      <c r="DD13" s="518"/>
      <c r="DE13" s="518"/>
      <c r="DF13" s="518"/>
      <c r="DG13" s="518"/>
      <c r="DH13" s="518"/>
      <c r="DI13" s="518"/>
      <c r="DJ13" s="518"/>
      <c r="DK13" s="518"/>
      <c r="DL13" s="518"/>
      <c r="DM13" s="518"/>
      <c r="DN13" s="518"/>
      <c r="DO13" s="518"/>
      <c r="DP13" s="518"/>
      <c r="DQ13" s="518"/>
      <c r="DR13" s="518"/>
      <c r="DS13" s="518"/>
      <c r="DT13" s="518"/>
      <c r="DU13" s="518"/>
      <c r="DV13" s="518"/>
      <c r="DW13" s="518"/>
      <c r="DX13" s="518"/>
      <c r="DY13" s="518"/>
      <c r="DZ13" s="518"/>
      <c r="EA13" s="518">
        <f t="shared" si="13"/>
        <v>240182.5</v>
      </c>
      <c r="EC13" s="519">
        <f t="shared" si="7"/>
        <v>240182.5</v>
      </c>
      <c r="ED13" s="519">
        <f t="shared" si="8"/>
        <v>48036.5</v>
      </c>
      <c r="EE13" s="518">
        <f t="shared" si="9"/>
        <v>-192146</v>
      </c>
      <c r="EF13" s="518">
        <f>+EE13*'Capital Structure '!$L$30</f>
        <v>-78491.640999999989</v>
      </c>
      <c r="EG13" s="518">
        <f t="shared" si="17"/>
        <v>-322060.31066666666</v>
      </c>
    </row>
    <row r="14" spans="1:138" s="585" customFormat="1" outlineLevel="1">
      <c r="A14" s="308" t="s">
        <v>57</v>
      </c>
      <c r="B14" s="308">
        <f>+B13</f>
        <v>2016</v>
      </c>
      <c r="C14" s="308" t="s">
        <v>47</v>
      </c>
      <c r="D14" s="518">
        <v>136500</v>
      </c>
      <c r="E14" s="518">
        <v>14800</v>
      </c>
      <c r="F14" s="518">
        <v>6000</v>
      </c>
      <c r="G14" s="518">
        <v>115554.21</v>
      </c>
      <c r="H14" s="518">
        <v>28000</v>
      </c>
      <c r="I14" s="518">
        <v>34000</v>
      </c>
      <c r="J14" s="518"/>
      <c r="K14" s="518">
        <f t="shared" si="4"/>
        <v>334854.21000000002</v>
      </c>
      <c r="L14" s="518">
        <f>SUM(K$5:K14)</f>
        <v>3217044.21</v>
      </c>
      <c r="N14" s="518">
        <f t="shared" si="10"/>
        <v>925</v>
      </c>
      <c r="O14" s="518">
        <f t="shared" si="14"/>
        <v>2660</v>
      </c>
      <c r="P14" s="518">
        <f t="shared" si="18"/>
        <v>2463.3333333333335</v>
      </c>
      <c r="Q14" s="518">
        <f t="shared" si="20"/>
        <v>5920</v>
      </c>
      <c r="R14" s="518">
        <f t="shared" si="22"/>
        <v>8403.3333333333339</v>
      </c>
      <c r="S14" s="518">
        <f t="shared" si="24"/>
        <v>8219.8333333333339</v>
      </c>
      <c r="T14" s="518">
        <f t="shared" si="26"/>
        <v>6750</v>
      </c>
      <c r="U14" s="518">
        <f t="shared" si="28"/>
        <v>6890</v>
      </c>
      <c r="V14" s="518">
        <f t="shared" ref="V14:V72" si="30">$K$13/60</f>
        <v>5805</v>
      </c>
      <c r="W14" s="518">
        <f>$K$14/60</f>
        <v>5580.9035000000003</v>
      </c>
      <c r="X14" s="518"/>
      <c r="Y14" s="518"/>
      <c r="Z14" s="518"/>
      <c r="AA14" s="518"/>
      <c r="AB14" s="518"/>
      <c r="AC14" s="518"/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  <c r="AX14" s="518"/>
      <c r="AY14" s="518"/>
      <c r="AZ14" s="518"/>
      <c r="BA14" s="518"/>
      <c r="BB14" s="518"/>
      <c r="BC14" s="518"/>
      <c r="BD14" s="518"/>
      <c r="BE14" s="518"/>
      <c r="BF14" s="518"/>
      <c r="BG14" s="518"/>
      <c r="BH14" s="518"/>
      <c r="BI14" s="518"/>
      <c r="BJ14" s="518"/>
      <c r="BK14" s="518"/>
      <c r="BL14" s="518"/>
      <c r="BM14" s="518"/>
      <c r="BN14" s="518"/>
      <c r="BO14" s="518"/>
      <c r="BP14" s="518"/>
      <c r="BQ14" s="518"/>
      <c r="BR14" s="518">
        <f t="shared" si="11"/>
        <v>53617.4035</v>
      </c>
      <c r="BS14" s="518">
        <f t="shared" si="15"/>
        <v>250716.73683333333</v>
      </c>
      <c r="BT14" s="518">
        <f t="shared" si="5"/>
        <v>2966327.4731666665</v>
      </c>
      <c r="BU14" s="518">
        <f t="shared" si="6"/>
        <v>3019944.8766666665</v>
      </c>
      <c r="BW14" s="518">
        <f t="shared" si="12"/>
        <v>4625</v>
      </c>
      <c r="BX14" s="518">
        <f t="shared" si="16"/>
        <v>13300</v>
      </c>
      <c r="BY14" s="518">
        <f t="shared" si="19"/>
        <v>12316.666666666666</v>
      </c>
      <c r="BZ14" s="518">
        <f t="shared" si="21"/>
        <v>29600</v>
      </c>
      <c r="CA14" s="518">
        <f t="shared" si="23"/>
        <v>42016.666666666664</v>
      </c>
      <c r="CB14" s="518">
        <f t="shared" si="25"/>
        <v>41099.166666666664</v>
      </c>
      <c r="CC14" s="518">
        <f t="shared" si="27"/>
        <v>33750</v>
      </c>
      <c r="CD14" s="518">
        <f t="shared" si="29"/>
        <v>34450</v>
      </c>
      <c r="CE14" s="518">
        <f t="shared" ref="CE14:CE24" si="31">$K$13/12</f>
        <v>29025</v>
      </c>
      <c r="CF14" s="518">
        <f>$K$14/12</f>
        <v>27904.517500000002</v>
      </c>
      <c r="CG14" s="518"/>
      <c r="CH14" s="518"/>
      <c r="CI14" s="518"/>
      <c r="CJ14" s="518"/>
      <c r="CK14" s="518"/>
      <c r="CL14" s="518"/>
      <c r="CM14" s="518"/>
      <c r="CN14" s="518"/>
      <c r="CO14" s="518"/>
      <c r="CP14" s="518"/>
      <c r="CQ14" s="518"/>
      <c r="CR14" s="518"/>
      <c r="CS14" s="518"/>
      <c r="CT14" s="518"/>
      <c r="CU14" s="518"/>
      <c r="CV14" s="518"/>
      <c r="CW14" s="518"/>
      <c r="CX14" s="518"/>
      <c r="CY14" s="518"/>
      <c r="CZ14" s="518"/>
      <c r="DA14" s="518"/>
      <c r="DB14" s="518"/>
      <c r="DC14" s="518"/>
      <c r="DD14" s="518"/>
      <c r="DE14" s="518"/>
      <c r="DF14" s="518"/>
      <c r="DG14" s="518"/>
      <c r="DH14" s="518"/>
      <c r="DI14" s="518"/>
      <c r="DJ14" s="518"/>
      <c r="DK14" s="518"/>
      <c r="DL14" s="518"/>
      <c r="DM14" s="518"/>
      <c r="DN14" s="518"/>
      <c r="DO14" s="518"/>
      <c r="DP14" s="518"/>
      <c r="DQ14" s="518"/>
      <c r="DR14" s="518"/>
      <c r="DS14" s="518"/>
      <c r="DT14" s="518"/>
      <c r="DU14" s="518"/>
      <c r="DV14" s="518"/>
      <c r="DW14" s="518"/>
      <c r="DX14" s="518"/>
      <c r="DY14" s="518"/>
      <c r="DZ14" s="518"/>
      <c r="EA14" s="518">
        <f t="shared" si="13"/>
        <v>268087.01750000002</v>
      </c>
      <c r="EC14" s="519">
        <f t="shared" si="7"/>
        <v>268087.01750000002</v>
      </c>
      <c r="ED14" s="519">
        <f t="shared" si="8"/>
        <v>53617.4035</v>
      </c>
      <c r="EE14" s="518">
        <f t="shared" si="9"/>
        <v>-214469.614</v>
      </c>
      <c r="EF14" s="518">
        <f>+EE14*'Capital Structure '!$L$30</f>
        <v>-87610.837318999998</v>
      </c>
      <c r="EG14" s="518">
        <f t="shared" si="17"/>
        <v>-409671.14798566664</v>
      </c>
    </row>
    <row r="15" spans="1:138" s="585" customFormat="1" outlineLevel="1">
      <c r="A15" s="308" t="s">
        <v>58</v>
      </c>
      <c r="B15" s="308">
        <f>+B14</f>
        <v>2016</v>
      </c>
      <c r="C15" s="308" t="s">
        <v>47</v>
      </c>
      <c r="D15" s="518">
        <v>112500</v>
      </c>
      <c r="E15" s="518">
        <v>13200</v>
      </c>
      <c r="F15" s="518">
        <v>4000</v>
      </c>
      <c r="G15" s="518">
        <v>83825</v>
      </c>
      <c r="H15" s="518">
        <v>16000</v>
      </c>
      <c r="I15" s="518">
        <v>16000</v>
      </c>
      <c r="J15" s="518"/>
      <c r="K15" s="518">
        <f t="shared" si="4"/>
        <v>245525</v>
      </c>
      <c r="L15" s="518">
        <f>SUM(K$5:K15)</f>
        <v>3462569.21</v>
      </c>
      <c r="N15" s="518">
        <f t="shared" si="10"/>
        <v>925</v>
      </c>
      <c r="O15" s="518">
        <f t="shared" si="14"/>
        <v>2660</v>
      </c>
      <c r="P15" s="518">
        <f t="shared" si="18"/>
        <v>2463.3333333333335</v>
      </c>
      <c r="Q15" s="518">
        <f t="shared" si="20"/>
        <v>5920</v>
      </c>
      <c r="R15" s="518">
        <f t="shared" si="22"/>
        <v>8403.3333333333339</v>
      </c>
      <c r="S15" s="518">
        <f t="shared" si="24"/>
        <v>8219.8333333333339</v>
      </c>
      <c r="T15" s="518">
        <f t="shared" si="26"/>
        <v>6750</v>
      </c>
      <c r="U15" s="518">
        <f t="shared" si="28"/>
        <v>6890</v>
      </c>
      <c r="V15" s="518">
        <f t="shared" si="30"/>
        <v>5805</v>
      </c>
      <c r="W15" s="518">
        <f t="shared" ref="W15:W73" si="32">$K$14/60</f>
        <v>5580.9035000000003</v>
      </c>
      <c r="X15" s="518">
        <f>$K$15/60</f>
        <v>4092.0833333333335</v>
      </c>
      <c r="Y15" s="518"/>
      <c r="Z15" s="518"/>
      <c r="AA15" s="518"/>
      <c r="AB15" s="518"/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8"/>
      <c r="AR15" s="518"/>
      <c r="AS15" s="518"/>
      <c r="AT15" s="518"/>
      <c r="AU15" s="518"/>
      <c r="AV15" s="518"/>
      <c r="AW15" s="518"/>
      <c r="AX15" s="518"/>
      <c r="AY15" s="518"/>
      <c r="AZ15" s="518"/>
      <c r="BA15" s="518"/>
      <c r="BB15" s="518"/>
      <c r="BC15" s="518"/>
      <c r="BD15" s="518"/>
      <c r="BE15" s="518"/>
      <c r="BF15" s="518"/>
      <c r="BG15" s="518"/>
      <c r="BH15" s="518"/>
      <c r="BI15" s="518"/>
      <c r="BJ15" s="518"/>
      <c r="BK15" s="518"/>
      <c r="BL15" s="518"/>
      <c r="BM15" s="518"/>
      <c r="BN15" s="518"/>
      <c r="BO15" s="518"/>
      <c r="BP15" s="518"/>
      <c r="BQ15" s="518"/>
      <c r="BR15" s="518">
        <f t="shared" si="11"/>
        <v>57709.486833333336</v>
      </c>
      <c r="BS15" s="518">
        <f t="shared" si="15"/>
        <v>308426.22366666666</v>
      </c>
      <c r="BT15" s="518">
        <f t="shared" si="5"/>
        <v>3154142.9863333334</v>
      </c>
      <c r="BU15" s="518">
        <f t="shared" si="6"/>
        <v>3211852.4731666665</v>
      </c>
      <c r="BW15" s="518">
        <f t="shared" si="12"/>
        <v>4625</v>
      </c>
      <c r="BX15" s="518">
        <f t="shared" si="16"/>
        <v>13300</v>
      </c>
      <c r="BY15" s="518">
        <f t="shared" si="19"/>
        <v>12316.666666666666</v>
      </c>
      <c r="BZ15" s="518">
        <f t="shared" si="21"/>
        <v>29600</v>
      </c>
      <c r="CA15" s="518">
        <f t="shared" si="23"/>
        <v>42016.666666666664</v>
      </c>
      <c r="CB15" s="518">
        <f t="shared" si="25"/>
        <v>41099.166666666664</v>
      </c>
      <c r="CC15" s="518">
        <f t="shared" si="27"/>
        <v>33750</v>
      </c>
      <c r="CD15" s="518">
        <f t="shared" si="29"/>
        <v>34450</v>
      </c>
      <c r="CE15" s="518">
        <f t="shared" si="31"/>
        <v>29025</v>
      </c>
      <c r="CF15" s="518">
        <f t="shared" ref="CF15:CF25" si="33">$K$14/12</f>
        <v>27904.517500000002</v>
      </c>
      <c r="CG15" s="518">
        <f>$K$15/12</f>
        <v>20460.416666666668</v>
      </c>
      <c r="CH15" s="518"/>
      <c r="CI15" s="518"/>
      <c r="CJ15" s="518"/>
      <c r="CK15" s="518"/>
      <c r="CL15" s="518"/>
      <c r="CM15" s="518"/>
      <c r="CN15" s="518"/>
      <c r="CO15" s="518"/>
      <c r="CP15" s="518"/>
      <c r="CQ15" s="518"/>
      <c r="CR15" s="518"/>
      <c r="CS15" s="518"/>
      <c r="CT15" s="518"/>
      <c r="CU15" s="518"/>
      <c r="CV15" s="518"/>
      <c r="CW15" s="518"/>
      <c r="CX15" s="518"/>
      <c r="CY15" s="518"/>
      <c r="CZ15" s="518"/>
      <c r="DA15" s="518"/>
      <c r="DB15" s="518"/>
      <c r="DC15" s="518"/>
      <c r="DD15" s="518"/>
      <c r="DE15" s="518"/>
      <c r="DF15" s="518"/>
      <c r="DG15" s="518"/>
      <c r="DH15" s="518"/>
      <c r="DI15" s="518"/>
      <c r="DJ15" s="518"/>
      <c r="DK15" s="518"/>
      <c r="DL15" s="518"/>
      <c r="DM15" s="518"/>
      <c r="DN15" s="518"/>
      <c r="DO15" s="518"/>
      <c r="DP15" s="518"/>
      <c r="DQ15" s="518"/>
      <c r="DR15" s="518"/>
      <c r="DS15" s="518"/>
      <c r="DT15" s="518"/>
      <c r="DU15" s="518"/>
      <c r="DV15" s="518"/>
      <c r="DW15" s="518"/>
      <c r="DX15" s="518"/>
      <c r="DY15" s="518"/>
      <c r="DZ15" s="518"/>
      <c r="EA15" s="518">
        <f t="shared" si="13"/>
        <v>288547.4341666667</v>
      </c>
      <c r="EC15" s="519">
        <f t="shared" si="7"/>
        <v>288547.4341666667</v>
      </c>
      <c r="ED15" s="519">
        <f t="shared" si="8"/>
        <v>57709.486833333336</v>
      </c>
      <c r="EE15" s="518">
        <f t="shared" si="9"/>
        <v>-230837.94733333337</v>
      </c>
      <c r="EF15" s="518">
        <f>+EE15*'Capital Structure '!$L$30</f>
        <v>-94297.30148566667</v>
      </c>
      <c r="EG15" s="518">
        <f t="shared" si="17"/>
        <v>-503968.4494713333</v>
      </c>
    </row>
    <row r="16" spans="1:138" s="585" customFormat="1">
      <c r="A16" s="308" t="s">
        <v>59</v>
      </c>
      <c r="B16" s="308">
        <f t="shared" ref="B16:B21" si="34">+B15</f>
        <v>2016</v>
      </c>
      <c r="C16" s="308" t="s">
        <v>47</v>
      </c>
      <c r="D16" s="518">
        <v>94000</v>
      </c>
      <c r="E16" s="518">
        <v>9600</v>
      </c>
      <c r="F16" s="518">
        <v>4000</v>
      </c>
      <c r="G16" s="518">
        <v>64000</v>
      </c>
      <c r="H16" s="518">
        <v>16000</v>
      </c>
      <c r="I16" s="518">
        <v>16000</v>
      </c>
      <c r="J16" s="518"/>
      <c r="K16" s="518">
        <f t="shared" si="4"/>
        <v>203600</v>
      </c>
      <c r="L16" s="518">
        <f>SUM(K$5:K16)</f>
        <v>3666169.21</v>
      </c>
      <c r="N16" s="518">
        <f t="shared" si="10"/>
        <v>925</v>
      </c>
      <c r="O16" s="518">
        <f t="shared" si="14"/>
        <v>2660</v>
      </c>
      <c r="P16" s="518">
        <f t="shared" si="18"/>
        <v>2463.3333333333335</v>
      </c>
      <c r="Q16" s="518">
        <f t="shared" si="20"/>
        <v>5920</v>
      </c>
      <c r="R16" s="518">
        <f t="shared" si="22"/>
        <v>8403.3333333333339</v>
      </c>
      <c r="S16" s="518">
        <f t="shared" si="24"/>
        <v>8219.8333333333339</v>
      </c>
      <c r="T16" s="518">
        <f t="shared" si="26"/>
        <v>6750</v>
      </c>
      <c r="U16" s="518">
        <f t="shared" si="28"/>
        <v>6890</v>
      </c>
      <c r="V16" s="518">
        <f t="shared" si="30"/>
        <v>5805</v>
      </c>
      <c r="W16" s="518">
        <f t="shared" si="32"/>
        <v>5580.9035000000003</v>
      </c>
      <c r="X16" s="518">
        <f t="shared" ref="X16:X74" si="35">$K$15/60</f>
        <v>4092.0833333333335</v>
      </c>
      <c r="Y16" s="518">
        <f>$K$16/60</f>
        <v>3393.3333333333335</v>
      </c>
      <c r="Z16" s="518"/>
      <c r="AA16" s="518"/>
      <c r="AB16" s="518"/>
      <c r="AC16" s="518"/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  <c r="AQ16" s="518"/>
      <c r="AR16" s="518"/>
      <c r="AS16" s="518"/>
      <c r="AT16" s="518"/>
      <c r="AU16" s="518"/>
      <c r="AV16" s="518"/>
      <c r="AW16" s="518"/>
      <c r="AX16" s="518"/>
      <c r="AY16" s="518"/>
      <c r="AZ16" s="518"/>
      <c r="BA16" s="518"/>
      <c r="BB16" s="518"/>
      <c r="BC16" s="518"/>
      <c r="BD16" s="518"/>
      <c r="BE16" s="518"/>
      <c r="BF16" s="518"/>
      <c r="BG16" s="518"/>
      <c r="BH16" s="518"/>
      <c r="BI16" s="518"/>
      <c r="BJ16" s="518"/>
      <c r="BK16" s="518"/>
      <c r="BL16" s="518"/>
      <c r="BM16" s="518"/>
      <c r="BN16" s="518"/>
      <c r="BO16" s="518"/>
      <c r="BP16" s="518"/>
      <c r="BQ16" s="518"/>
      <c r="BR16" s="518">
        <f t="shared" si="11"/>
        <v>61102.820166666672</v>
      </c>
      <c r="BS16" s="518">
        <f t="shared" si="15"/>
        <v>369529.0438333333</v>
      </c>
      <c r="BT16" s="518">
        <f t="shared" si="5"/>
        <v>3296640.1661666669</v>
      </c>
      <c r="BU16" s="518">
        <f t="shared" si="6"/>
        <v>3357742.9863333334</v>
      </c>
      <c r="BW16" s="518">
        <f t="shared" si="12"/>
        <v>4625</v>
      </c>
      <c r="BX16" s="518">
        <f t="shared" si="16"/>
        <v>13300</v>
      </c>
      <c r="BY16" s="518">
        <f t="shared" si="19"/>
        <v>12316.666666666666</v>
      </c>
      <c r="BZ16" s="518">
        <f t="shared" si="21"/>
        <v>29600</v>
      </c>
      <c r="CA16" s="518">
        <f t="shared" si="23"/>
        <v>42016.666666666664</v>
      </c>
      <c r="CB16" s="518">
        <f t="shared" si="25"/>
        <v>41099.166666666664</v>
      </c>
      <c r="CC16" s="518">
        <f t="shared" si="27"/>
        <v>33750</v>
      </c>
      <c r="CD16" s="518">
        <f t="shared" si="29"/>
        <v>34450</v>
      </c>
      <c r="CE16" s="518">
        <f t="shared" si="31"/>
        <v>29025</v>
      </c>
      <c r="CF16" s="518">
        <f t="shared" si="33"/>
        <v>27904.517500000002</v>
      </c>
      <c r="CG16" s="518">
        <f t="shared" ref="CG16:CG26" si="36">$K$15/12</f>
        <v>20460.416666666668</v>
      </c>
      <c r="CH16" s="518">
        <f>$K$16/12</f>
        <v>16966.666666666668</v>
      </c>
      <c r="CI16" s="518"/>
      <c r="CJ16" s="518"/>
      <c r="CK16" s="518"/>
      <c r="CL16" s="518"/>
      <c r="CM16" s="518"/>
      <c r="CN16" s="518"/>
      <c r="CO16" s="518"/>
      <c r="CP16" s="518"/>
      <c r="CQ16" s="518"/>
      <c r="CR16" s="518"/>
      <c r="CS16" s="518"/>
      <c r="CT16" s="518"/>
      <c r="CU16" s="518"/>
      <c r="CV16" s="518"/>
      <c r="CW16" s="518"/>
      <c r="CX16" s="518"/>
      <c r="CY16" s="518"/>
      <c r="CZ16" s="518"/>
      <c r="DA16" s="518"/>
      <c r="DB16" s="518"/>
      <c r="DC16" s="518"/>
      <c r="DD16" s="518"/>
      <c r="DE16" s="518"/>
      <c r="DF16" s="518"/>
      <c r="DG16" s="518"/>
      <c r="DH16" s="518"/>
      <c r="DI16" s="518"/>
      <c r="DJ16" s="518"/>
      <c r="DK16" s="518"/>
      <c r="DL16" s="518"/>
      <c r="DM16" s="518"/>
      <c r="DN16" s="518"/>
      <c r="DO16" s="518"/>
      <c r="DP16" s="518"/>
      <c r="DQ16" s="518"/>
      <c r="DR16" s="518"/>
      <c r="DS16" s="518"/>
      <c r="DT16" s="518"/>
      <c r="DU16" s="518"/>
      <c r="DV16" s="518"/>
      <c r="DW16" s="518"/>
      <c r="DX16" s="518"/>
      <c r="DY16" s="518"/>
      <c r="DZ16" s="518"/>
      <c r="EA16" s="518">
        <f t="shared" si="13"/>
        <v>305514.10083333339</v>
      </c>
      <c r="EC16" s="519">
        <f t="shared" si="7"/>
        <v>305514.10083333339</v>
      </c>
      <c r="ED16" s="519">
        <f t="shared" si="8"/>
        <v>61102.820166666672</v>
      </c>
      <c r="EE16" s="518">
        <f t="shared" si="9"/>
        <v>-244411.28066666672</v>
      </c>
      <c r="EF16" s="518">
        <f>+EE16*'Capital Structure '!$L$30</f>
        <v>-99842.00815233335</v>
      </c>
      <c r="EG16" s="518">
        <f t="shared" si="17"/>
        <v>-603810.45762366662</v>
      </c>
    </row>
    <row r="17" spans="1:137" s="585" customFormat="1">
      <c r="A17" s="308" t="s">
        <v>46</v>
      </c>
      <c r="B17" s="308">
        <f t="shared" si="34"/>
        <v>2016</v>
      </c>
      <c r="C17" s="308" t="s">
        <v>47</v>
      </c>
      <c r="D17" s="518">
        <v>145500</v>
      </c>
      <c r="E17" s="518">
        <v>13600</v>
      </c>
      <c r="F17" s="518">
        <v>2000</v>
      </c>
      <c r="G17" s="518">
        <v>108000</v>
      </c>
      <c r="H17" s="518">
        <v>16000</v>
      </c>
      <c r="I17" s="518">
        <v>30000</v>
      </c>
      <c r="J17" s="518"/>
      <c r="K17" s="518">
        <f t="shared" si="4"/>
        <v>315100</v>
      </c>
      <c r="L17" s="518">
        <f>SUM(K$5:K17)</f>
        <v>3981269.21</v>
      </c>
      <c r="N17" s="518">
        <f t="shared" si="10"/>
        <v>925</v>
      </c>
      <c r="O17" s="518">
        <f t="shared" si="14"/>
        <v>2660</v>
      </c>
      <c r="P17" s="518">
        <f t="shared" si="18"/>
        <v>2463.3333333333335</v>
      </c>
      <c r="Q17" s="518">
        <f t="shared" si="20"/>
        <v>5920</v>
      </c>
      <c r="R17" s="518">
        <f t="shared" si="22"/>
        <v>8403.3333333333339</v>
      </c>
      <c r="S17" s="518">
        <f t="shared" si="24"/>
        <v>8219.8333333333339</v>
      </c>
      <c r="T17" s="518">
        <f t="shared" si="26"/>
        <v>6750</v>
      </c>
      <c r="U17" s="518">
        <f t="shared" si="28"/>
        <v>6890</v>
      </c>
      <c r="V17" s="518">
        <f t="shared" si="30"/>
        <v>5805</v>
      </c>
      <c r="W17" s="518">
        <f t="shared" si="32"/>
        <v>5580.9035000000003</v>
      </c>
      <c r="X17" s="518">
        <f t="shared" si="35"/>
        <v>4092.0833333333335</v>
      </c>
      <c r="Y17" s="518">
        <f t="shared" ref="Y17:Y75" si="37">$K$16/60</f>
        <v>3393.3333333333335</v>
      </c>
      <c r="Z17" s="518">
        <f>$K$17/60</f>
        <v>5251.666666666667</v>
      </c>
      <c r="AA17" s="518"/>
      <c r="AB17" s="518"/>
      <c r="AC17" s="518"/>
      <c r="AD17" s="518"/>
      <c r="AE17" s="518"/>
      <c r="AF17" s="518"/>
      <c r="AG17" s="518"/>
      <c r="AH17" s="518"/>
      <c r="AI17" s="518"/>
      <c r="AJ17" s="518"/>
      <c r="AK17" s="518"/>
      <c r="AL17" s="518"/>
      <c r="AM17" s="518"/>
      <c r="AN17" s="518"/>
      <c r="AO17" s="518"/>
      <c r="AP17" s="518"/>
      <c r="AQ17" s="518"/>
      <c r="AR17" s="518"/>
      <c r="AS17" s="518"/>
      <c r="AT17" s="518"/>
      <c r="AU17" s="518"/>
      <c r="AV17" s="518"/>
      <c r="AW17" s="518"/>
      <c r="AX17" s="518"/>
      <c r="AY17" s="518"/>
      <c r="AZ17" s="518"/>
      <c r="BA17" s="518"/>
      <c r="BB17" s="518"/>
      <c r="BC17" s="518"/>
      <c r="BD17" s="518"/>
      <c r="BE17" s="518"/>
      <c r="BF17" s="518"/>
      <c r="BG17" s="518"/>
      <c r="BH17" s="518"/>
      <c r="BI17" s="518"/>
      <c r="BJ17" s="518"/>
      <c r="BK17" s="518"/>
      <c r="BL17" s="518"/>
      <c r="BM17" s="518"/>
      <c r="BN17" s="518"/>
      <c r="BO17" s="518"/>
      <c r="BP17" s="518"/>
      <c r="BQ17" s="518"/>
      <c r="BR17" s="518">
        <f t="shared" si="11"/>
        <v>66354.486833333343</v>
      </c>
      <c r="BS17" s="518">
        <f t="shared" si="15"/>
        <v>435883.53066666663</v>
      </c>
      <c r="BT17" s="518">
        <f t="shared" si="5"/>
        <v>3545385.6793333334</v>
      </c>
      <c r="BU17" s="518">
        <f t="shared" si="6"/>
        <v>3611740.1661666669</v>
      </c>
      <c r="BW17" s="518"/>
      <c r="BX17" s="518">
        <f t="shared" si="16"/>
        <v>13300</v>
      </c>
      <c r="BY17" s="518">
        <f t="shared" si="19"/>
        <v>12316.666666666666</v>
      </c>
      <c r="BZ17" s="518">
        <f t="shared" si="21"/>
        <v>29600</v>
      </c>
      <c r="CA17" s="518">
        <f t="shared" si="23"/>
        <v>42016.666666666664</v>
      </c>
      <c r="CB17" s="518">
        <f t="shared" si="25"/>
        <v>41099.166666666664</v>
      </c>
      <c r="CC17" s="518">
        <f t="shared" si="27"/>
        <v>33750</v>
      </c>
      <c r="CD17" s="518">
        <f t="shared" si="29"/>
        <v>34450</v>
      </c>
      <c r="CE17" s="518">
        <f t="shared" si="31"/>
        <v>29025</v>
      </c>
      <c r="CF17" s="518">
        <f t="shared" si="33"/>
        <v>27904.517500000002</v>
      </c>
      <c r="CG17" s="518">
        <f t="shared" si="36"/>
        <v>20460.416666666668</v>
      </c>
      <c r="CH17" s="518">
        <f t="shared" ref="CH17:CH27" si="38">$K$16/12</f>
        <v>16966.666666666668</v>
      </c>
      <c r="CI17" s="518">
        <f>$K$17/12</f>
        <v>26258.333333333332</v>
      </c>
      <c r="CJ17" s="518"/>
      <c r="CK17" s="518"/>
      <c r="CL17" s="518"/>
      <c r="CM17" s="518"/>
      <c r="CN17" s="518"/>
      <c r="CO17" s="518"/>
      <c r="CP17" s="518"/>
      <c r="CQ17" s="518"/>
      <c r="CR17" s="518"/>
      <c r="CS17" s="518"/>
      <c r="CT17" s="518"/>
      <c r="CU17" s="518"/>
      <c r="CV17" s="518"/>
      <c r="CW17" s="518"/>
      <c r="CX17" s="518"/>
      <c r="CY17" s="518"/>
      <c r="CZ17" s="518"/>
      <c r="DA17" s="518"/>
      <c r="DB17" s="518"/>
      <c r="DC17" s="518"/>
      <c r="DD17" s="518"/>
      <c r="DE17" s="518"/>
      <c r="DF17" s="518"/>
      <c r="DG17" s="518"/>
      <c r="DH17" s="518"/>
      <c r="DI17" s="518"/>
      <c r="DJ17" s="518"/>
      <c r="DK17" s="518"/>
      <c r="DL17" s="518"/>
      <c r="DM17" s="518"/>
      <c r="DN17" s="518"/>
      <c r="DO17" s="518"/>
      <c r="DP17" s="518"/>
      <c r="DQ17" s="518"/>
      <c r="DR17" s="518"/>
      <c r="DS17" s="518"/>
      <c r="DT17" s="518"/>
      <c r="DU17" s="518"/>
      <c r="DV17" s="518"/>
      <c r="DW17" s="518"/>
      <c r="DX17" s="518"/>
      <c r="DY17" s="518"/>
      <c r="DZ17" s="518"/>
      <c r="EA17" s="518">
        <f t="shared" si="13"/>
        <v>327147.4341666667</v>
      </c>
      <c r="EC17" s="519">
        <f t="shared" si="7"/>
        <v>327147.4341666667</v>
      </c>
      <c r="ED17" s="519">
        <f t="shared" si="8"/>
        <v>66354.486833333343</v>
      </c>
      <c r="EE17" s="518">
        <f t="shared" si="9"/>
        <v>-260792.94733333337</v>
      </c>
      <c r="EF17" s="518">
        <f>+EE17*'Capital Structure '!$L$30</f>
        <v>-106533.91898566668</v>
      </c>
      <c r="EG17" s="518">
        <f t="shared" si="17"/>
        <v>-710344.37660933333</v>
      </c>
    </row>
    <row r="18" spans="1:137" s="585" customFormat="1">
      <c r="A18" s="308" t="s">
        <v>48</v>
      </c>
      <c r="B18" s="308">
        <f t="shared" si="34"/>
        <v>2016</v>
      </c>
      <c r="C18" s="308" t="s">
        <v>47</v>
      </c>
      <c r="D18" s="518">
        <v>95500</v>
      </c>
      <c r="E18" s="518">
        <v>8200</v>
      </c>
      <c r="F18" s="518">
        <v>4000</v>
      </c>
      <c r="G18" s="518">
        <v>68702.5</v>
      </c>
      <c r="H18" s="518">
        <v>4000</v>
      </c>
      <c r="I18" s="518">
        <v>12000</v>
      </c>
      <c r="J18" s="518"/>
      <c r="K18" s="518">
        <f t="shared" si="4"/>
        <v>192402.5</v>
      </c>
      <c r="L18" s="518">
        <f>SUM(K$5:K18)</f>
        <v>4173671.71</v>
      </c>
      <c r="N18" s="518">
        <f t="shared" si="10"/>
        <v>925</v>
      </c>
      <c r="O18" s="518">
        <f t="shared" si="14"/>
        <v>2660</v>
      </c>
      <c r="P18" s="518">
        <f t="shared" si="18"/>
        <v>2463.3333333333335</v>
      </c>
      <c r="Q18" s="518">
        <f t="shared" si="20"/>
        <v>5920</v>
      </c>
      <c r="R18" s="518">
        <f t="shared" si="22"/>
        <v>8403.3333333333339</v>
      </c>
      <c r="S18" s="518">
        <f t="shared" si="24"/>
        <v>8219.8333333333339</v>
      </c>
      <c r="T18" s="518">
        <f t="shared" si="26"/>
        <v>6750</v>
      </c>
      <c r="U18" s="518">
        <f t="shared" si="28"/>
        <v>6890</v>
      </c>
      <c r="V18" s="518">
        <f t="shared" si="30"/>
        <v>5805</v>
      </c>
      <c r="W18" s="518">
        <f t="shared" si="32"/>
        <v>5580.9035000000003</v>
      </c>
      <c r="X18" s="518">
        <f t="shared" si="35"/>
        <v>4092.0833333333335</v>
      </c>
      <c r="Y18" s="518">
        <f t="shared" si="37"/>
        <v>3393.3333333333335</v>
      </c>
      <c r="Z18" s="518">
        <f t="shared" ref="Z18:Z76" si="39">$K$17/60</f>
        <v>5251.666666666667</v>
      </c>
      <c r="AA18" s="518">
        <f>$K$18/60</f>
        <v>3206.7083333333335</v>
      </c>
      <c r="AB18" s="518"/>
      <c r="AC18" s="518"/>
      <c r="AD18" s="518"/>
      <c r="AE18" s="518"/>
      <c r="AF18" s="518"/>
      <c r="AG18" s="518"/>
      <c r="AH18" s="518"/>
      <c r="AI18" s="518"/>
      <c r="AJ18" s="518"/>
      <c r="AK18" s="518"/>
      <c r="AL18" s="518"/>
      <c r="AM18" s="518"/>
      <c r="AN18" s="518"/>
      <c r="AO18" s="518"/>
      <c r="AP18" s="518"/>
      <c r="AQ18" s="518"/>
      <c r="AR18" s="518"/>
      <c r="AS18" s="518"/>
      <c r="AT18" s="518"/>
      <c r="AU18" s="518"/>
      <c r="AV18" s="518"/>
      <c r="AW18" s="518"/>
      <c r="AX18" s="518"/>
      <c r="AY18" s="518"/>
      <c r="AZ18" s="518"/>
      <c r="BA18" s="518"/>
      <c r="BB18" s="518"/>
      <c r="BC18" s="518"/>
      <c r="BD18" s="518"/>
      <c r="BE18" s="518"/>
      <c r="BF18" s="518"/>
      <c r="BG18" s="518"/>
      <c r="BH18" s="518"/>
      <c r="BI18" s="518"/>
      <c r="BJ18" s="518"/>
      <c r="BK18" s="518"/>
      <c r="BL18" s="518"/>
      <c r="BM18" s="518"/>
      <c r="BN18" s="518"/>
      <c r="BO18" s="518"/>
      <c r="BP18" s="518"/>
      <c r="BQ18" s="518"/>
      <c r="BR18" s="518">
        <f t="shared" si="11"/>
        <v>69561.195166666672</v>
      </c>
      <c r="BS18" s="518">
        <f t="shared" si="15"/>
        <v>505444.72583333333</v>
      </c>
      <c r="BT18" s="518">
        <f t="shared" si="5"/>
        <v>3668226.9841666669</v>
      </c>
      <c r="BU18" s="518">
        <f t="shared" si="6"/>
        <v>3737788.1793333334</v>
      </c>
      <c r="BW18" s="518"/>
      <c r="BX18" s="518"/>
      <c r="BY18" s="518">
        <f t="shared" si="19"/>
        <v>12316.666666666666</v>
      </c>
      <c r="BZ18" s="518">
        <f t="shared" si="21"/>
        <v>29600</v>
      </c>
      <c r="CA18" s="518">
        <f t="shared" si="23"/>
        <v>42016.666666666664</v>
      </c>
      <c r="CB18" s="518">
        <f t="shared" si="25"/>
        <v>41099.166666666664</v>
      </c>
      <c r="CC18" s="518">
        <f t="shared" si="27"/>
        <v>33750</v>
      </c>
      <c r="CD18" s="518">
        <f t="shared" si="29"/>
        <v>34450</v>
      </c>
      <c r="CE18" s="518">
        <f t="shared" si="31"/>
        <v>29025</v>
      </c>
      <c r="CF18" s="518">
        <f t="shared" si="33"/>
        <v>27904.517500000002</v>
      </c>
      <c r="CG18" s="518">
        <f t="shared" si="36"/>
        <v>20460.416666666668</v>
      </c>
      <c r="CH18" s="518">
        <f t="shared" si="38"/>
        <v>16966.666666666668</v>
      </c>
      <c r="CI18" s="518">
        <f t="shared" ref="CI18:CI28" si="40">$K$17/12</f>
        <v>26258.333333333332</v>
      </c>
      <c r="CJ18" s="518">
        <f>$K$18/12</f>
        <v>16033.541666666666</v>
      </c>
      <c r="CK18" s="518"/>
      <c r="CL18" s="518"/>
      <c r="CM18" s="518"/>
      <c r="CN18" s="518"/>
      <c r="CO18" s="518"/>
      <c r="CP18" s="518"/>
      <c r="CQ18" s="518"/>
      <c r="CR18" s="518"/>
      <c r="CS18" s="518"/>
      <c r="CT18" s="518"/>
      <c r="CU18" s="518"/>
      <c r="CV18" s="518"/>
      <c r="CW18" s="518"/>
      <c r="CX18" s="518"/>
      <c r="CY18" s="518"/>
      <c r="CZ18" s="518"/>
      <c r="DA18" s="518"/>
      <c r="DB18" s="518"/>
      <c r="DC18" s="518"/>
      <c r="DD18" s="518"/>
      <c r="DE18" s="518"/>
      <c r="DF18" s="518"/>
      <c r="DG18" s="518"/>
      <c r="DH18" s="518"/>
      <c r="DI18" s="518"/>
      <c r="DJ18" s="518"/>
      <c r="DK18" s="518"/>
      <c r="DL18" s="518"/>
      <c r="DM18" s="518"/>
      <c r="DN18" s="518"/>
      <c r="DO18" s="518"/>
      <c r="DP18" s="518"/>
      <c r="DQ18" s="518"/>
      <c r="DR18" s="518"/>
      <c r="DS18" s="518"/>
      <c r="DT18" s="518"/>
      <c r="DU18" s="518"/>
      <c r="DV18" s="518"/>
      <c r="DW18" s="518"/>
      <c r="DX18" s="518"/>
      <c r="DY18" s="518"/>
      <c r="DZ18" s="518"/>
      <c r="EA18" s="518">
        <f t="shared" si="13"/>
        <v>329880.97583333339</v>
      </c>
      <c r="EC18" s="519">
        <f t="shared" si="7"/>
        <v>329880.97583333339</v>
      </c>
      <c r="ED18" s="519">
        <f t="shared" si="8"/>
        <v>69561.195166666672</v>
      </c>
      <c r="EE18" s="518">
        <f t="shared" si="9"/>
        <v>-260319.78066666672</v>
      </c>
      <c r="EF18" s="518">
        <f>+EE18*'Capital Structure '!$L$30</f>
        <v>-106340.63040233335</v>
      </c>
      <c r="EG18" s="518">
        <f t="shared" si="17"/>
        <v>-816685.00701166666</v>
      </c>
    </row>
    <row r="19" spans="1:137" s="585" customFormat="1">
      <c r="A19" s="308" t="s">
        <v>50</v>
      </c>
      <c r="B19" s="308">
        <f t="shared" si="34"/>
        <v>2016</v>
      </c>
      <c r="C19" s="308" t="s">
        <v>47</v>
      </c>
      <c r="D19" s="518">
        <v>77500</v>
      </c>
      <c r="E19" s="518">
        <v>8900</v>
      </c>
      <c r="F19" s="518">
        <v>4000</v>
      </c>
      <c r="G19" s="518">
        <v>60000</v>
      </c>
      <c r="H19" s="518">
        <v>2000</v>
      </c>
      <c r="I19" s="518">
        <v>7000</v>
      </c>
      <c r="J19" s="518"/>
      <c r="K19" s="518">
        <f t="shared" si="4"/>
        <v>159400</v>
      </c>
      <c r="L19" s="518">
        <f>SUM(K$5:K19)</f>
        <v>4333071.71</v>
      </c>
      <c r="N19" s="518">
        <f t="shared" si="10"/>
        <v>925</v>
      </c>
      <c r="O19" s="518">
        <f t="shared" si="14"/>
        <v>2660</v>
      </c>
      <c r="P19" s="518">
        <f t="shared" si="18"/>
        <v>2463.3333333333335</v>
      </c>
      <c r="Q19" s="518">
        <f t="shared" si="20"/>
        <v>5920</v>
      </c>
      <c r="R19" s="518">
        <f t="shared" si="22"/>
        <v>8403.3333333333339</v>
      </c>
      <c r="S19" s="518">
        <f t="shared" si="24"/>
        <v>8219.8333333333339</v>
      </c>
      <c r="T19" s="518">
        <f t="shared" si="26"/>
        <v>6750</v>
      </c>
      <c r="U19" s="518">
        <f t="shared" si="28"/>
        <v>6890</v>
      </c>
      <c r="V19" s="518">
        <f t="shared" si="30"/>
        <v>5805</v>
      </c>
      <c r="W19" s="518">
        <f t="shared" si="32"/>
        <v>5580.9035000000003</v>
      </c>
      <c r="X19" s="518">
        <f t="shared" si="35"/>
        <v>4092.0833333333335</v>
      </c>
      <c r="Y19" s="518">
        <f t="shared" si="37"/>
        <v>3393.3333333333335</v>
      </c>
      <c r="Z19" s="518">
        <f t="shared" si="39"/>
        <v>5251.666666666667</v>
      </c>
      <c r="AA19" s="518">
        <f t="shared" ref="AA19:AA77" si="41">$K$18/60</f>
        <v>3206.7083333333335</v>
      </c>
      <c r="AB19" s="518">
        <f>$K$19/60</f>
        <v>2656.6666666666665</v>
      </c>
      <c r="AC19" s="518"/>
      <c r="AD19" s="518"/>
      <c r="AE19" s="518"/>
      <c r="AF19" s="518"/>
      <c r="AG19" s="518"/>
      <c r="AH19" s="518"/>
      <c r="AI19" s="518"/>
      <c r="AJ19" s="518"/>
      <c r="AK19" s="518"/>
      <c r="AL19" s="518"/>
      <c r="AM19" s="518"/>
      <c r="AN19" s="518"/>
      <c r="AO19" s="518"/>
      <c r="AP19" s="518"/>
      <c r="AQ19" s="518"/>
      <c r="AR19" s="518"/>
      <c r="AS19" s="518"/>
      <c r="AT19" s="518"/>
      <c r="AU19" s="518"/>
      <c r="AV19" s="518"/>
      <c r="AW19" s="518"/>
      <c r="AX19" s="518"/>
      <c r="AY19" s="518"/>
      <c r="AZ19" s="518"/>
      <c r="BA19" s="518"/>
      <c r="BB19" s="518"/>
      <c r="BC19" s="518"/>
      <c r="BD19" s="518"/>
      <c r="BE19" s="518"/>
      <c r="BF19" s="518"/>
      <c r="BG19" s="518"/>
      <c r="BH19" s="518"/>
      <c r="BI19" s="518"/>
      <c r="BJ19" s="518"/>
      <c r="BK19" s="518"/>
      <c r="BL19" s="518"/>
      <c r="BM19" s="518"/>
      <c r="BN19" s="518"/>
      <c r="BO19" s="518"/>
      <c r="BP19" s="518"/>
      <c r="BQ19" s="518"/>
      <c r="BR19" s="518">
        <f t="shared" si="11"/>
        <v>72217.861833333343</v>
      </c>
      <c r="BS19" s="518">
        <f t="shared" si="15"/>
        <v>577662.58766666672</v>
      </c>
      <c r="BT19" s="518">
        <f t="shared" si="5"/>
        <v>3755409.1223333334</v>
      </c>
      <c r="BU19" s="518">
        <f t="shared" si="6"/>
        <v>3827626.9841666669</v>
      </c>
      <c r="BW19" s="518"/>
      <c r="BX19" s="518"/>
      <c r="BY19" s="518"/>
      <c r="BZ19" s="518">
        <f t="shared" si="21"/>
        <v>29600</v>
      </c>
      <c r="CA19" s="518">
        <f t="shared" si="23"/>
        <v>42016.666666666664</v>
      </c>
      <c r="CB19" s="518">
        <f t="shared" si="25"/>
        <v>41099.166666666664</v>
      </c>
      <c r="CC19" s="518">
        <f t="shared" si="27"/>
        <v>33750</v>
      </c>
      <c r="CD19" s="518">
        <f t="shared" si="29"/>
        <v>34450</v>
      </c>
      <c r="CE19" s="518">
        <f t="shared" si="31"/>
        <v>29025</v>
      </c>
      <c r="CF19" s="518">
        <f t="shared" si="33"/>
        <v>27904.517500000002</v>
      </c>
      <c r="CG19" s="518">
        <f t="shared" si="36"/>
        <v>20460.416666666668</v>
      </c>
      <c r="CH19" s="518">
        <f t="shared" si="38"/>
        <v>16966.666666666668</v>
      </c>
      <c r="CI19" s="518">
        <f t="shared" si="40"/>
        <v>26258.333333333332</v>
      </c>
      <c r="CJ19" s="518">
        <f t="shared" ref="CJ19:CJ29" si="42">$K$18/12</f>
        <v>16033.541666666666</v>
      </c>
      <c r="CK19" s="518">
        <f>$K$19/12</f>
        <v>13283.333333333334</v>
      </c>
      <c r="CL19" s="518"/>
      <c r="CM19" s="518"/>
      <c r="CN19" s="518"/>
      <c r="CO19" s="518"/>
      <c r="CP19" s="518"/>
      <c r="CQ19" s="518"/>
      <c r="CR19" s="518"/>
      <c r="CS19" s="518"/>
      <c r="CT19" s="518"/>
      <c r="CU19" s="518"/>
      <c r="CV19" s="518"/>
      <c r="CW19" s="518"/>
      <c r="CX19" s="518"/>
      <c r="CY19" s="518"/>
      <c r="CZ19" s="518"/>
      <c r="DA19" s="518"/>
      <c r="DB19" s="518"/>
      <c r="DC19" s="518"/>
      <c r="DD19" s="518"/>
      <c r="DE19" s="518"/>
      <c r="DF19" s="518"/>
      <c r="DG19" s="518"/>
      <c r="DH19" s="518"/>
      <c r="DI19" s="518"/>
      <c r="DJ19" s="518"/>
      <c r="DK19" s="518"/>
      <c r="DL19" s="518"/>
      <c r="DM19" s="518"/>
      <c r="DN19" s="518"/>
      <c r="DO19" s="518"/>
      <c r="DP19" s="518"/>
      <c r="DQ19" s="518"/>
      <c r="DR19" s="518"/>
      <c r="DS19" s="518"/>
      <c r="DT19" s="518"/>
      <c r="DU19" s="518"/>
      <c r="DV19" s="518"/>
      <c r="DW19" s="518"/>
      <c r="DX19" s="518"/>
      <c r="DY19" s="518"/>
      <c r="DZ19" s="518"/>
      <c r="EA19" s="518">
        <f t="shared" si="13"/>
        <v>330847.64249999996</v>
      </c>
      <c r="EC19" s="519">
        <f t="shared" si="7"/>
        <v>330847.64249999996</v>
      </c>
      <c r="ED19" s="519">
        <f t="shared" si="8"/>
        <v>72217.861833333343</v>
      </c>
      <c r="EE19" s="518">
        <f t="shared" si="9"/>
        <v>-258629.78066666663</v>
      </c>
      <c r="EF19" s="518">
        <f>+EE19*'Capital Structure '!$L$30</f>
        <v>-105650.26540233332</v>
      </c>
      <c r="EG19" s="518">
        <f t="shared" si="17"/>
        <v>-922335.27241400001</v>
      </c>
    </row>
    <row r="20" spans="1:137" s="585" customFormat="1">
      <c r="A20" s="308" t="s">
        <v>51</v>
      </c>
      <c r="B20" s="308">
        <f t="shared" si="34"/>
        <v>2016</v>
      </c>
      <c r="C20" s="308" t="s">
        <v>47</v>
      </c>
      <c r="D20" s="518">
        <v>106500</v>
      </c>
      <c r="E20" s="518">
        <v>9000</v>
      </c>
      <c r="F20" s="518">
        <v>0</v>
      </c>
      <c r="G20" s="518">
        <v>27000</v>
      </c>
      <c r="H20" s="518">
        <v>2000</v>
      </c>
      <c r="I20" s="518">
        <v>0</v>
      </c>
      <c r="J20" s="518"/>
      <c r="K20" s="518">
        <f t="shared" si="4"/>
        <v>144500</v>
      </c>
      <c r="L20" s="518">
        <f>SUM(K$5:K20)</f>
        <v>4477571.71</v>
      </c>
      <c r="N20" s="518">
        <f t="shared" si="10"/>
        <v>925</v>
      </c>
      <c r="O20" s="518">
        <f t="shared" si="14"/>
        <v>2660</v>
      </c>
      <c r="P20" s="518">
        <f t="shared" si="18"/>
        <v>2463.3333333333335</v>
      </c>
      <c r="Q20" s="518">
        <f t="shared" si="20"/>
        <v>5920</v>
      </c>
      <c r="R20" s="518">
        <f t="shared" si="22"/>
        <v>8403.3333333333339</v>
      </c>
      <c r="S20" s="518">
        <f t="shared" si="24"/>
        <v>8219.8333333333339</v>
      </c>
      <c r="T20" s="518">
        <f t="shared" si="26"/>
        <v>6750</v>
      </c>
      <c r="U20" s="518">
        <f t="shared" si="28"/>
        <v>6890</v>
      </c>
      <c r="V20" s="518">
        <f t="shared" si="30"/>
        <v>5805</v>
      </c>
      <c r="W20" s="518">
        <f t="shared" si="32"/>
        <v>5580.9035000000003</v>
      </c>
      <c r="X20" s="518">
        <f t="shared" si="35"/>
        <v>4092.0833333333335</v>
      </c>
      <c r="Y20" s="518">
        <f t="shared" si="37"/>
        <v>3393.3333333333335</v>
      </c>
      <c r="Z20" s="518">
        <f t="shared" si="39"/>
        <v>5251.666666666667</v>
      </c>
      <c r="AA20" s="518">
        <f t="shared" si="41"/>
        <v>3206.7083333333335</v>
      </c>
      <c r="AB20" s="518">
        <f t="shared" ref="AB20:AB78" si="43">$K$19/60</f>
        <v>2656.6666666666665</v>
      </c>
      <c r="AC20" s="518">
        <f>$K$20/60</f>
        <v>2408.3333333333335</v>
      </c>
      <c r="AD20" s="518"/>
      <c r="AE20" s="518"/>
      <c r="AF20" s="518"/>
      <c r="AG20" s="518"/>
      <c r="AH20" s="518"/>
      <c r="AI20" s="518"/>
      <c r="AJ20" s="518"/>
      <c r="AK20" s="518"/>
      <c r="AL20" s="518"/>
      <c r="AM20" s="518"/>
      <c r="AN20" s="518"/>
      <c r="AO20" s="518"/>
      <c r="AP20" s="518"/>
      <c r="AQ20" s="518"/>
      <c r="AR20" s="518"/>
      <c r="AS20" s="518"/>
      <c r="AT20" s="518"/>
      <c r="AU20" s="518"/>
      <c r="AV20" s="518"/>
      <c r="AW20" s="518"/>
      <c r="AX20" s="518"/>
      <c r="AY20" s="518"/>
      <c r="AZ20" s="518"/>
      <c r="BA20" s="518"/>
      <c r="BB20" s="518"/>
      <c r="BC20" s="518"/>
      <c r="BD20" s="518"/>
      <c r="BE20" s="518"/>
      <c r="BF20" s="518"/>
      <c r="BG20" s="518"/>
      <c r="BH20" s="518"/>
      <c r="BI20" s="518"/>
      <c r="BJ20" s="518"/>
      <c r="BK20" s="518"/>
      <c r="BL20" s="518"/>
      <c r="BM20" s="518"/>
      <c r="BN20" s="518"/>
      <c r="BO20" s="518"/>
      <c r="BP20" s="518"/>
      <c r="BQ20" s="518"/>
      <c r="BR20" s="518">
        <f t="shared" si="11"/>
        <v>74626.195166666672</v>
      </c>
      <c r="BS20" s="518">
        <f t="shared" si="15"/>
        <v>652288.78283333336</v>
      </c>
      <c r="BT20" s="518">
        <f t="shared" si="5"/>
        <v>3825282.9271666668</v>
      </c>
      <c r="BU20" s="518">
        <f t="shared" si="6"/>
        <v>3899909.1223333334</v>
      </c>
      <c r="BW20" s="518"/>
      <c r="BX20" s="518"/>
      <c r="BY20" s="518"/>
      <c r="BZ20" s="518"/>
      <c r="CA20" s="518">
        <f t="shared" si="23"/>
        <v>42016.666666666664</v>
      </c>
      <c r="CB20" s="518">
        <f t="shared" si="25"/>
        <v>41099.166666666664</v>
      </c>
      <c r="CC20" s="518">
        <f t="shared" si="27"/>
        <v>33750</v>
      </c>
      <c r="CD20" s="518">
        <f t="shared" si="29"/>
        <v>34450</v>
      </c>
      <c r="CE20" s="518">
        <f t="shared" si="31"/>
        <v>29025</v>
      </c>
      <c r="CF20" s="518">
        <f t="shared" si="33"/>
        <v>27904.517500000002</v>
      </c>
      <c r="CG20" s="518">
        <f t="shared" si="36"/>
        <v>20460.416666666668</v>
      </c>
      <c r="CH20" s="518">
        <f t="shared" si="38"/>
        <v>16966.666666666668</v>
      </c>
      <c r="CI20" s="518">
        <f t="shared" si="40"/>
        <v>26258.333333333332</v>
      </c>
      <c r="CJ20" s="518">
        <f t="shared" si="42"/>
        <v>16033.541666666666</v>
      </c>
      <c r="CK20" s="518">
        <f t="shared" ref="CK20:CK30" si="44">$K$19/12</f>
        <v>13283.333333333334</v>
      </c>
      <c r="CL20" s="518">
        <f>$K$20/12</f>
        <v>12041.666666666666</v>
      </c>
      <c r="CM20" s="518"/>
      <c r="CN20" s="518"/>
      <c r="CO20" s="518"/>
      <c r="CP20" s="518"/>
      <c r="CQ20" s="518"/>
      <c r="CR20" s="518"/>
      <c r="CS20" s="518"/>
      <c r="CT20" s="518"/>
      <c r="CU20" s="518"/>
      <c r="CV20" s="518"/>
      <c r="CW20" s="518"/>
      <c r="CX20" s="518"/>
      <c r="CY20" s="518"/>
      <c r="CZ20" s="518"/>
      <c r="DA20" s="518"/>
      <c r="DB20" s="518"/>
      <c r="DC20" s="518"/>
      <c r="DD20" s="518"/>
      <c r="DE20" s="518"/>
      <c r="DF20" s="518"/>
      <c r="DG20" s="518"/>
      <c r="DH20" s="518"/>
      <c r="DI20" s="518"/>
      <c r="DJ20" s="518"/>
      <c r="DK20" s="518"/>
      <c r="DL20" s="518"/>
      <c r="DM20" s="518"/>
      <c r="DN20" s="518"/>
      <c r="DO20" s="518"/>
      <c r="DP20" s="518"/>
      <c r="DQ20" s="518"/>
      <c r="DR20" s="518"/>
      <c r="DS20" s="518"/>
      <c r="DT20" s="518"/>
      <c r="DU20" s="518"/>
      <c r="DV20" s="518"/>
      <c r="DW20" s="518"/>
      <c r="DX20" s="518"/>
      <c r="DY20" s="518"/>
      <c r="DZ20" s="518"/>
      <c r="EA20" s="518">
        <f t="shared" si="13"/>
        <v>313289.30916666664</v>
      </c>
      <c r="EC20" s="519">
        <f t="shared" si="7"/>
        <v>313289.30916666664</v>
      </c>
      <c r="ED20" s="519">
        <f t="shared" si="8"/>
        <v>74626.195166666672</v>
      </c>
      <c r="EE20" s="518">
        <f t="shared" si="9"/>
        <v>-238663.11399999997</v>
      </c>
      <c r="EF20" s="518">
        <f>+EE20*'Capital Structure '!$L$30</f>
        <v>-97493.882068999985</v>
      </c>
      <c r="EG20" s="518">
        <f t="shared" si="17"/>
        <v>-1019829.154483</v>
      </c>
    </row>
    <row r="21" spans="1:137" s="585" customFormat="1">
      <c r="A21" s="308" t="s">
        <v>52</v>
      </c>
      <c r="B21" s="308">
        <f t="shared" si="34"/>
        <v>2016</v>
      </c>
      <c r="C21" s="308" t="s">
        <v>47</v>
      </c>
      <c r="D21" s="518">
        <v>78000</v>
      </c>
      <c r="E21" s="518">
        <v>7100</v>
      </c>
      <c r="F21" s="518">
        <v>0</v>
      </c>
      <c r="G21" s="518">
        <v>12000</v>
      </c>
      <c r="H21" s="518">
        <v>0</v>
      </c>
      <c r="I21" s="518">
        <v>0</v>
      </c>
      <c r="J21" s="518"/>
      <c r="K21" s="518">
        <f t="shared" si="4"/>
        <v>97100</v>
      </c>
      <c r="L21" s="518">
        <f>SUM(K$5:K21)</f>
        <v>4574671.71</v>
      </c>
      <c r="N21" s="518">
        <f t="shared" si="10"/>
        <v>925</v>
      </c>
      <c r="O21" s="518">
        <f t="shared" si="14"/>
        <v>2660</v>
      </c>
      <c r="P21" s="518">
        <f t="shared" si="18"/>
        <v>2463.3333333333335</v>
      </c>
      <c r="Q21" s="518">
        <f t="shared" si="20"/>
        <v>5920</v>
      </c>
      <c r="R21" s="518">
        <f t="shared" si="22"/>
        <v>8403.3333333333339</v>
      </c>
      <c r="S21" s="518">
        <f t="shared" si="24"/>
        <v>8219.8333333333339</v>
      </c>
      <c r="T21" s="518">
        <f t="shared" si="26"/>
        <v>6750</v>
      </c>
      <c r="U21" s="518">
        <f t="shared" si="28"/>
        <v>6890</v>
      </c>
      <c r="V21" s="518">
        <f t="shared" si="30"/>
        <v>5805</v>
      </c>
      <c r="W21" s="518">
        <f t="shared" si="32"/>
        <v>5580.9035000000003</v>
      </c>
      <c r="X21" s="518">
        <f t="shared" si="35"/>
        <v>4092.0833333333335</v>
      </c>
      <c r="Y21" s="518">
        <f t="shared" si="37"/>
        <v>3393.3333333333335</v>
      </c>
      <c r="Z21" s="518">
        <f t="shared" si="39"/>
        <v>5251.666666666667</v>
      </c>
      <c r="AA21" s="518">
        <f t="shared" si="41"/>
        <v>3206.7083333333335</v>
      </c>
      <c r="AB21" s="518">
        <f t="shared" si="43"/>
        <v>2656.6666666666665</v>
      </c>
      <c r="AC21" s="518">
        <f t="shared" ref="AC21:AC79" si="45">$K$20/60</f>
        <v>2408.3333333333335</v>
      </c>
      <c r="AD21" s="518">
        <f>$K$21/60</f>
        <v>1618.3333333333333</v>
      </c>
      <c r="AE21" s="518"/>
      <c r="AF21" s="518"/>
      <c r="AG21" s="518"/>
      <c r="AH21" s="518"/>
      <c r="AI21" s="518"/>
      <c r="AJ21" s="518"/>
      <c r="AK21" s="518"/>
      <c r="AL21" s="518"/>
      <c r="AM21" s="518"/>
      <c r="AN21" s="518"/>
      <c r="AO21" s="518"/>
      <c r="AP21" s="518"/>
      <c r="AQ21" s="518"/>
      <c r="AR21" s="518"/>
      <c r="AS21" s="518"/>
      <c r="AT21" s="518"/>
      <c r="AU21" s="518"/>
      <c r="AV21" s="518"/>
      <c r="AW21" s="518"/>
      <c r="AX21" s="518"/>
      <c r="AY21" s="518"/>
      <c r="AZ21" s="518"/>
      <c r="BA21" s="518"/>
      <c r="BB21" s="518"/>
      <c r="BC21" s="518"/>
      <c r="BD21" s="518"/>
      <c r="BE21" s="518"/>
      <c r="BF21" s="518"/>
      <c r="BG21" s="518"/>
      <c r="BH21" s="518"/>
      <c r="BI21" s="518"/>
      <c r="BJ21" s="518"/>
      <c r="BK21" s="518"/>
      <c r="BL21" s="518"/>
      <c r="BM21" s="518"/>
      <c r="BN21" s="518"/>
      <c r="BO21" s="518"/>
      <c r="BP21" s="518"/>
      <c r="BQ21" s="518"/>
      <c r="BR21" s="518">
        <f t="shared" si="11"/>
        <v>76244.5285</v>
      </c>
      <c r="BS21" s="518">
        <f t="shared" si="15"/>
        <v>728533.31133333337</v>
      </c>
      <c r="BT21" s="518">
        <f t="shared" si="5"/>
        <v>3846138.3986666668</v>
      </c>
      <c r="BU21" s="518">
        <f t="shared" si="6"/>
        <v>3922382.9271666668</v>
      </c>
      <c r="BW21" s="518"/>
      <c r="BX21" s="518"/>
      <c r="BY21" s="518"/>
      <c r="BZ21" s="518"/>
      <c r="CA21" s="518"/>
      <c r="CB21" s="518">
        <f t="shared" si="25"/>
        <v>41099.166666666664</v>
      </c>
      <c r="CC21" s="518">
        <f t="shared" si="27"/>
        <v>33750</v>
      </c>
      <c r="CD21" s="518">
        <f t="shared" si="29"/>
        <v>34450</v>
      </c>
      <c r="CE21" s="518">
        <f t="shared" si="31"/>
        <v>29025</v>
      </c>
      <c r="CF21" s="518">
        <f t="shared" si="33"/>
        <v>27904.517500000002</v>
      </c>
      <c r="CG21" s="518">
        <f t="shared" si="36"/>
        <v>20460.416666666668</v>
      </c>
      <c r="CH21" s="518">
        <f t="shared" si="38"/>
        <v>16966.666666666668</v>
      </c>
      <c r="CI21" s="518">
        <f t="shared" si="40"/>
        <v>26258.333333333332</v>
      </c>
      <c r="CJ21" s="518">
        <f t="shared" si="42"/>
        <v>16033.541666666666</v>
      </c>
      <c r="CK21" s="518">
        <f t="shared" si="44"/>
        <v>13283.333333333334</v>
      </c>
      <c r="CL21" s="518">
        <f t="shared" ref="CL21:CL31" si="46">$K$20/12</f>
        <v>12041.666666666666</v>
      </c>
      <c r="CM21" s="518">
        <f>$K$21/12</f>
        <v>8091.666666666667</v>
      </c>
      <c r="CN21" s="518"/>
      <c r="CO21" s="518"/>
      <c r="CP21" s="518"/>
      <c r="CQ21" s="518"/>
      <c r="CR21" s="518"/>
      <c r="CS21" s="518"/>
      <c r="CT21" s="518"/>
      <c r="CU21" s="518"/>
      <c r="CV21" s="518"/>
      <c r="CW21" s="518"/>
      <c r="CX21" s="518"/>
      <c r="CY21" s="518"/>
      <c r="CZ21" s="518"/>
      <c r="DA21" s="518"/>
      <c r="DB21" s="518"/>
      <c r="DC21" s="518"/>
      <c r="DD21" s="518"/>
      <c r="DE21" s="518"/>
      <c r="DF21" s="518"/>
      <c r="DG21" s="518"/>
      <c r="DH21" s="518"/>
      <c r="DI21" s="518"/>
      <c r="DJ21" s="518"/>
      <c r="DK21" s="518"/>
      <c r="DL21" s="518"/>
      <c r="DM21" s="518"/>
      <c r="DN21" s="518"/>
      <c r="DO21" s="518"/>
      <c r="DP21" s="518"/>
      <c r="DQ21" s="518"/>
      <c r="DR21" s="518"/>
      <c r="DS21" s="518"/>
      <c r="DT21" s="518"/>
      <c r="DU21" s="518"/>
      <c r="DV21" s="518"/>
      <c r="DW21" s="518"/>
      <c r="DX21" s="518"/>
      <c r="DY21" s="518"/>
      <c r="DZ21" s="518"/>
      <c r="EA21" s="518">
        <f t="shared" si="13"/>
        <v>279364.30916666664</v>
      </c>
      <c r="EC21" s="519">
        <f t="shared" si="7"/>
        <v>279364.30916666664</v>
      </c>
      <c r="ED21" s="519">
        <f t="shared" si="8"/>
        <v>76244.5285</v>
      </c>
      <c r="EE21" s="518">
        <f t="shared" si="9"/>
        <v>-203119.78066666663</v>
      </c>
      <c r="EF21" s="518">
        <f>+EE21*'Capital Structure '!$L$30</f>
        <v>-82974.43040233331</v>
      </c>
      <c r="EG21" s="518">
        <f t="shared" si="17"/>
        <v>-1102803.5848853334</v>
      </c>
    </row>
    <row r="22" spans="1:137" s="585" customFormat="1">
      <c r="A22" s="308" t="s">
        <v>53</v>
      </c>
      <c r="B22" s="308">
        <f>+B21+1</f>
        <v>2017</v>
      </c>
      <c r="C22" s="308" t="s">
        <v>47</v>
      </c>
      <c r="D22" s="518">
        <v>135500</v>
      </c>
      <c r="E22" s="518">
        <v>12300</v>
      </c>
      <c r="F22" s="518">
        <v>0</v>
      </c>
      <c r="G22" s="518">
        <v>4000</v>
      </c>
      <c r="H22" s="518">
        <v>2000</v>
      </c>
      <c r="I22" s="518">
        <v>0</v>
      </c>
      <c r="J22" s="518"/>
      <c r="K22" s="518">
        <f t="shared" si="4"/>
        <v>153800</v>
      </c>
      <c r="L22" s="518">
        <f>SUM(K$5:K22)</f>
        <v>4728471.71</v>
      </c>
      <c r="N22" s="518">
        <f t="shared" si="10"/>
        <v>925</v>
      </c>
      <c r="O22" s="518">
        <f t="shared" si="14"/>
        <v>2660</v>
      </c>
      <c r="P22" s="518">
        <f t="shared" si="18"/>
        <v>2463.3333333333335</v>
      </c>
      <c r="Q22" s="518">
        <f t="shared" si="20"/>
        <v>5920</v>
      </c>
      <c r="R22" s="518">
        <f t="shared" si="22"/>
        <v>8403.3333333333339</v>
      </c>
      <c r="S22" s="518">
        <f t="shared" si="24"/>
        <v>8219.8333333333339</v>
      </c>
      <c r="T22" s="518">
        <f t="shared" si="26"/>
        <v>6750</v>
      </c>
      <c r="U22" s="518">
        <f t="shared" si="28"/>
        <v>6890</v>
      </c>
      <c r="V22" s="518">
        <f t="shared" si="30"/>
        <v>5805</v>
      </c>
      <c r="W22" s="518">
        <f t="shared" si="32"/>
        <v>5580.9035000000003</v>
      </c>
      <c r="X22" s="518">
        <f t="shared" si="35"/>
        <v>4092.0833333333335</v>
      </c>
      <c r="Y22" s="518">
        <f t="shared" si="37"/>
        <v>3393.3333333333335</v>
      </c>
      <c r="Z22" s="518">
        <f t="shared" si="39"/>
        <v>5251.666666666667</v>
      </c>
      <c r="AA22" s="518">
        <f t="shared" si="41"/>
        <v>3206.7083333333335</v>
      </c>
      <c r="AB22" s="518">
        <f t="shared" si="43"/>
        <v>2656.6666666666665</v>
      </c>
      <c r="AC22" s="518">
        <f t="shared" si="45"/>
        <v>2408.3333333333335</v>
      </c>
      <c r="AD22" s="518">
        <f t="shared" ref="AD22:AD80" si="47">$K$21/60</f>
        <v>1618.3333333333333</v>
      </c>
      <c r="AE22" s="518">
        <f>$K$22/60</f>
        <v>2563.3333333333335</v>
      </c>
      <c r="AF22" s="518"/>
      <c r="AG22" s="518"/>
      <c r="AH22" s="518"/>
      <c r="AI22" s="518"/>
      <c r="AJ22" s="518"/>
      <c r="AK22" s="518"/>
      <c r="AL22" s="518"/>
      <c r="AM22" s="518"/>
      <c r="AN22" s="518"/>
      <c r="AO22" s="518"/>
      <c r="AP22" s="518"/>
      <c r="AQ22" s="518"/>
      <c r="AR22" s="518"/>
      <c r="AS22" s="518"/>
      <c r="AT22" s="518"/>
      <c r="AU22" s="518"/>
      <c r="AV22" s="518"/>
      <c r="AW22" s="518"/>
      <c r="AX22" s="518"/>
      <c r="AY22" s="518"/>
      <c r="AZ22" s="518"/>
      <c r="BA22" s="518"/>
      <c r="BB22" s="518"/>
      <c r="BC22" s="518"/>
      <c r="BD22" s="518"/>
      <c r="BE22" s="518"/>
      <c r="BF22" s="518"/>
      <c r="BG22" s="518"/>
      <c r="BH22" s="518"/>
      <c r="BI22" s="518"/>
      <c r="BJ22" s="518"/>
      <c r="BK22" s="518"/>
      <c r="BL22" s="518"/>
      <c r="BM22" s="518"/>
      <c r="BN22" s="518"/>
      <c r="BO22" s="518"/>
      <c r="BP22" s="518"/>
      <c r="BQ22" s="518"/>
      <c r="BR22" s="518">
        <f t="shared" si="11"/>
        <v>78807.861833333329</v>
      </c>
      <c r="BS22" s="518">
        <f t="shared" si="15"/>
        <v>807341.17316666665</v>
      </c>
      <c r="BT22" s="518">
        <f t="shared" si="5"/>
        <v>3921130.5368333333</v>
      </c>
      <c r="BU22" s="518">
        <f t="shared" si="6"/>
        <v>3999938.3986666668</v>
      </c>
      <c r="BW22" s="518"/>
      <c r="BX22" s="518"/>
      <c r="BY22" s="518"/>
      <c r="BZ22" s="518"/>
      <c r="CA22" s="518"/>
      <c r="CB22" s="518"/>
      <c r="CC22" s="518">
        <f t="shared" si="27"/>
        <v>33750</v>
      </c>
      <c r="CD22" s="518">
        <f t="shared" si="29"/>
        <v>34450</v>
      </c>
      <c r="CE22" s="518">
        <f t="shared" si="31"/>
        <v>29025</v>
      </c>
      <c r="CF22" s="518">
        <f t="shared" si="33"/>
        <v>27904.517500000002</v>
      </c>
      <c r="CG22" s="518">
        <f t="shared" si="36"/>
        <v>20460.416666666668</v>
      </c>
      <c r="CH22" s="518">
        <f t="shared" si="38"/>
        <v>16966.666666666668</v>
      </c>
      <c r="CI22" s="518">
        <f t="shared" si="40"/>
        <v>26258.333333333332</v>
      </c>
      <c r="CJ22" s="518">
        <f t="shared" si="42"/>
        <v>16033.541666666666</v>
      </c>
      <c r="CK22" s="518">
        <f t="shared" si="44"/>
        <v>13283.333333333334</v>
      </c>
      <c r="CL22" s="518">
        <f t="shared" si="46"/>
        <v>12041.666666666666</v>
      </c>
      <c r="CM22" s="518">
        <f t="shared" ref="CM22:CM32" si="48">$K$21/12</f>
        <v>8091.666666666667</v>
      </c>
      <c r="CN22" s="518">
        <f>$K$22/12</f>
        <v>12816.666666666666</v>
      </c>
      <c r="CO22" s="518"/>
      <c r="CP22" s="518"/>
      <c r="CQ22" s="518"/>
      <c r="CR22" s="518"/>
      <c r="CS22" s="518"/>
      <c r="CT22" s="518"/>
      <c r="CU22" s="518"/>
      <c r="CV22" s="518"/>
      <c r="CW22" s="518"/>
      <c r="CX22" s="518"/>
      <c r="CY22" s="518"/>
      <c r="CZ22" s="518"/>
      <c r="DA22" s="518"/>
      <c r="DB22" s="518"/>
      <c r="DC22" s="518"/>
      <c r="DD22" s="518"/>
      <c r="DE22" s="518"/>
      <c r="DF22" s="518"/>
      <c r="DG22" s="518"/>
      <c r="DH22" s="518"/>
      <c r="DI22" s="518"/>
      <c r="DJ22" s="518"/>
      <c r="DK22" s="518"/>
      <c r="DL22" s="518"/>
      <c r="DM22" s="518"/>
      <c r="DN22" s="518"/>
      <c r="DO22" s="518"/>
      <c r="DP22" s="518"/>
      <c r="DQ22" s="518"/>
      <c r="DR22" s="518"/>
      <c r="DS22" s="518"/>
      <c r="DT22" s="518"/>
      <c r="DU22" s="518"/>
      <c r="DV22" s="518"/>
      <c r="DW22" s="518"/>
      <c r="DX22" s="518"/>
      <c r="DY22" s="518"/>
      <c r="DZ22" s="518"/>
      <c r="EA22" s="518">
        <f t="shared" si="13"/>
        <v>251081.80916666664</v>
      </c>
      <c r="EC22" s="519">
        <f t="shared" si="7"/>
        <v>251081.80916666664</v>
      </c>
      <c r="ED22" s="519">
        <f t="shared" si="8"/>
        <v>78807.861833333329</v>
      </c>
      <c r="EE22" s="518">
        <f t="shared" si="9"/>
        <v>-172273.94733333332</v>
      </c>
      <c r="EF22" s="518">
        <f>+EE22*'Capital Structure '!$L$30</f>
        <v>-70373.907485666656</v>
      </c>
      <c r="EG22" s="518">
        <f t="shared" si="17"/>
        <v>-1173177.4923710001</v>
      </c>
    </row>
    <row r="23" spans="1:137" s="585" customFormat="1">
      <c r="A23" s="308" t="s">
        <v>54</v>
      </c>
      <c r="B23" s="308">
        <f>+B22</f>
        <v>2017</v>
      </c>
      <c r="C23" s="308" t="s">
        <v>47</v>
      </c>
      <c r="D23" s="518">
        <v>127000</v>
      </c>
      <c r="E23" s="518">
        <v>10100</v>
      </c>
      <c r="F23" s="518">
        <v>0</v>
      </c>
      <c r="G23" s="518">
        <v>0</v>
      </c>
      <c r="H23" s="518">
        <v>2000</v>
      </c>
      <c r="I23" s="518">
        <v>0</v>
      </c>
      <c r="J23" s="518"/>
      <c r="K23" s="518">
        <f t="shared" si="4"/>
        <v>139100</v>
      </c>
      <c r="L23" s="518">
        <f>SUM(K$5:K23)</f>
        <v>4867571.71</v>
      </c>
      <c r="N23" s="518">
        <f t="shared" si="10"/>
        <v>925</v>
      </c>
      <c r="O23" s="518">
        <f t="shared" si="14"/>
        <v>2660</v>
      </c>
      <c r="P23" s="518">
        <f t="shared" si="18"/>
        <v>2463.3333333333335</v>
      </c>
      <c r="Q23" s="518">
        <f t="shared" si="20"/>
        <v>5920</v>
      </c>
      <c r="R23" s="518">
        <f t="shared" si="22"/>
        <v>8403.3333333333339</v>
      </c>
      <c r="S23" s="518">
        <f t="shared" si="24"/>
        <v>8219.8333333333339</v>
      </c>
      <c r="T23" s="518">
        <f t="shared" si="26"/>
        <v>6750</v>
      </c>
      <c r="U23" s="518">
        <f t="shared" si="28"/>
        <v>6890</v>
      </c>
      <c r="V23" s="518">
        <f t="shared" si="30"/>
        <v>5805</v>
      </c>
      <c r="W23" s="518">
        <f t="shared" si="32"/>
        <v>5580.9035000000003</v>
      </c>
      <c r="X23" s="518">
        <f t="shared" si="35"/>
        <v>4092.0833333333335</v>
      </c>
      <c r="Y23" s="518">
        <f t="shared" si="37"/>
        <v>3393.3333333333335</v>
      </c>
      <c r="Z23" s="518">
        <f t="shared" si="39"/>
        <v>5251.666666666667</v>
      </c>
      <c r="AA23" s="518">
        <f t="shared" si="41"/>
        <v>3206.7083333333335</v>
      </c>
      <c r="AB23" s="518">
        <f t="shared" si="43"/>
        <v>2656.6666666666665</v>
      </c>
      <c r="AC23" s="518">
        <f t="shared" si="45"/>
        <v>2408.3333333333335</v>
      </c>
      <c r="AD23" s="518">
        <f t="shared" si="47"/>
        <v>1618.3333333333333</v>
      </c>
      <c r="AE23" s="518">
        <f t="shared" ref="AE23:AE81" si="49">$K$22/60</f>
        <v>2563.3333333333335</v>
      </c>
      <c r="AF23" s="518">
        <f>$K$23/60</f>
        <v>2318.3333333333335</v>
      </c>
      <c r="AG23" s="518"/>
      <c r="AH23" s="518"/>
      <c r="AI23" s="518"/>
      <c r="AJ23" s="518"/>
      <c r="AK23" s="518"/>
      <c r="AL23" s="518"/>
      <c r="AM23" s="518"/>
      <c r="AN23" s="518"/>
      <c r="AO23" s="518"/>
      <c r="AP23" s="518"/>
      <c r="AQ23" s="518"/>
      <c r="AR23" s="518"/>
      <c r="AS23" s="518"/>
      <c r="AT23" s="518"/>
      <c r="AU23" s="518"/>
      <c r="AV23" s="518"/>
      <c r="AW23" s="518"/>
      <c r="AX23" s="518"/>
      <c r="AY23" s="518"/>
      <c r="AZ23" s="518"/>
      <c r="BA23" s="518"/>
      <c r="BB23" s="518"/>
      <c r="BC23" s="518"/>
      <c r="BD23" s="518"/>
      <c r="BE23" s="518"/>
      <c r="BF23" s="518"/>
      <c r="BG23" s="518"/>
      <c r="BH23" s="518"/>
      <c r="BI23" s="518"/>
      <c r="BJ23" s="518"/>
      <c r="BK23" s="518"/>
      <c r="BL23" s="518"/>
      <c r="BM23" s="518"/>
      <c r="BN23" s="518"/>
      <c r="BO23" s="518"/>
      <c r="BP23" s="518"/>
      <c r="BQ23" s="518"/>
      <c r="BR23" s="518">
        <f t="shared" si="11"/>
        <v>81126.195166666657</v>
      </c>
      <c r="BS23" s="518">
        <f t="shared" si="15"/>
        <v>888467.36833333329</v>
      </c>
      <c r="BT23" s="518">
        <f t="shared" si="5"/>
        <v>3979104.3416666668</v>
      </c>
      <c r="BU23" s="518">
        <f t="shared" si="6"/>
        <v>4060230.5368333333</v>
      </c>
      <c r="BW23" s="518"/>
      <c r="BX23" s="518"/>
      <c r="BY23" s="518"/>
      <c r="BZ23" s="518"/>
      <c r="CA23" s="518"/>
      <c r="CB23" s="518"/>
      <c r="CC23" s="518"/>
      <c r="CD23" s="518">
        <f t="shared" si="29"/>
        <v>34450</v>
      </c>
      <c r="CE23" s="518">
        <f t="shared" si="31"/>
        <v>29025</v>
      </c>
      <c r="CF23" s="518">
        <f t="shared" si="33"/>
        <v>27904.517500000002</v>
      </c>
      <c r="CG23" s="518">
        <f t="shared" si="36"/>
        <v>20460.416666666668</v>
      </c>
      <c r="CH23" s="518">
        <f t="shared" si="38"/>
        <v>16966.666666666668</v>
      </c>
      <c r="CI23" s="518">
        <f t="shared" si="40"/>
        <v>26258.333333333332</v>
      </c>
      <c r="CJ23" s="518">
        <f t="shared" si="42"/>
        <v>16033.541666666666</v>
      </c>
      <c r="CK23" s="518">
        <f t="shared" si="44"/>
        <v>13283.333333333334</v>
      </c>
      <c r="CL23" s="518">
        <f t="shared" si="46"/>
        <v>12041.666666666666</v>
      </c>
      <c r="CM23" s="518">
        <f t="shared" si="48"/>
        <v>8091.666666666667</v>
      </c>
      <c r="CN23" s="518">
        <f t="shared" ref="CN23:CN33" si="50">$K$22/12</f>
        <v>12816.666666666666</v>
      </c>
      <c r="CO23" s="518">
        <f>$K$23/12</f>
        <v>11591.666666666666</v>
      </c>
      <c r="CP23" s="518"/>
      <c r="CQ23" s="518"/>
      <c r="CR23" s="518"/>
      <c r="CS23" s="518"/>
      <c r="CT23" s="518"/>
      <c r="CU23" s="518"/>
      <c r="CV23" s="518"/>
      <c r="CW23" s="518"/>
      <c r="CX23" s="518"/>
      <c r="CY23" s="518"/>
      <c r="CZ23" s="518"/>
      <c r="DA23" s="518"/>
      <c r="DB23" s="518"/>
      <c r="DC23" s="518"/>
      <c r="DD23" s="518"/>
      <c r="DE23" s="518"/>
      <c r="DF23" s="518"/>
      <c r="DG23" s="518"/>
      <c r="DH23" s="518"/>
      <c r="DI23" s="518"/>
      <c r="DJ23" s="518"/>
      <c r="DK23" s="518"/>
      <c r="DL23" s="518"/>
      <c r="DM23" s="518"/>
      <c r="DN23" s="518"/>
      <c r="DO23" s="518"/>
      <c r="DP23" s="518"/>
      <c r="DQ23" s="518"/>
      <c r="DR23" s="518"/>
      <c r="DS23" s="518"/>
      <c r="DT23" s="518"/>
      <c r="DU23" s="518"/>
      <c r="DV23" s="518"/>
      <c r="DW23" s="518"/>
      <c r="DX23" s="518"/>
      <c r="DY23" s="518"/>
      <c r="DZ23" s="518"/>
      <c r="EA23" s="518">
        <f t="shared" si="13"/>
        <v>228923.4758333333</v>
      </c>
      <c r="EC23" s="519">
        <f t="shared" si="7"/>
        <v>228923.4758333333</v>
      </c>
      <c r="ED23" s="519">
        <f t="shared" si="8"/>
        <v>81126.195166666657</v>
      </c>
      <c r="EE23" s="518">
        <f t="shared" si="9"/>
        <v>-147797.28066666663</v>
      </c>
      <c r="EF23" s="518">
        <f>+EE23*'Capital Structure '!$L$30</f>
        <v>-60375.189152333311</v>
      </c>
      <c r="EG23" s="518">
        <f t="shared" si="17"/>
        <v>-1233552.6815233335</v>
      </c>
    </row>
    <row r="24" spans="1:137" s="585" customFormat="1">
      <c r="A24" s="308" t="s">
        <v>55</v>
      </c>
      <c r="B24" s="308">
        <f>+B23</f>
        <v>2017</v>
      </c>
      <c r="C24" s="308" t="s">
        <v>47</v>
      </c>
      <c r="D24" s="518">
        <v>121000</v>
      </c>
      <c r="E24" s="518">
        <v>9400</v>
      </c>
      <c r="F24" s="518">
        <v>0</v>
      </c>
      <c r="G24" s="518">
        <v>-7000</v>
      </c>
      <c r="H24" s="518">
        <v>0</v>
      </c>
      <c r="I24" s="518">
        <v>0</v>
      </c>
      <c r="J24" s="518"/>
      <c r="K24" s="518">
        <f t="shared" si="4"/>
        <v>123400</v>
      </c>
      <c r="L24" s="518">
        <f>SUM(K$5:K24)</f>
        <v>4990971.71</v>
      </c>
      <c r="N24" s="518">
        <f t="shared" si="10"/>
        <v>925</v>
      </c>
      <c r="O24" s="518">
        <f t="shared" si="14"/>
        <v>2660</v>
      </c>
      <c r="P24" s="518">
        <f t="shared" si="18"/>
        <v>2463.3333333333335</v>
      </c>
      <c r="Q24" s="518">
        <f t="shared" si="20"/>
        <v>5920</v>
      </c>
      <c r="R24" s="518">
        <f t="shared" si="22"/>
        <v>8403.3333333333339</v>
      </c>
      <c r="S24" s="518">
        <f t="shared" si="24"/>
        <v>8219.8333333333339</v>
      </c>
      <c r="T24" s="518">
        <f t="shared" si="26"/>
        <v>6750</v>
      </c>
      <c r="U24" s="518">
        <f t="shared" si="28"/>
        <v>6890</v>
      </c>
      <c r="V24" s="518">
        <f t="shared" si="30"/>
        <v>5805</v>
      </c>
      <c r="W24" s="518">
        <f t="shared" si="32"/>
        <v>5580.9035000000003</v>
      </c>
      <c r="X24" s="518">
        <f t="shared" si="35"/>
        <v>4092.0833333333335</v>
      </c>
      <c r="Y24" s="518">
        <f t="shared" si="37"/>
        <v>3393.3333333333335</v>
      </c>
      <c r="Z24" s="518">
        <f t="shared" si="39"/>
        <v>5251.666666666667</v>
      </c>
      <c r="AA24" s="518">
        <f t="shared" si="41"/>
        <v>3206.7083333333335</v>
      </c>
      <c r="AB24" s="518">
        <f t="shared" si="43"/>
        <v>2656.6666666666665</v>
      </c>
      <c r="AC24" s="518">
        <f t="shared" si="45"/>
        <v>2408.3333333333335</v>
      </c>
      <c r="AD24" s="518">
        <f t="shared" si="47"/>
        <v>1618.3333333333333</v>
      </c>
      <c r="AE24" s="518">
        <f t="shared" si="49"/>
        <v>2563.3333333333335</v>
      </c>
      <c r="AF24" s="518">
        <f t="shared" ref="AF24:AF82" si="51">$K$23/60</f>
        <v>2318.3333333333335</v>
      </c>
      <c r="AG24" s="518">
        <f>$K$24/60</f>
        <v>2056.6666666666665</v>
      </c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8"/>
      <c r="AV24" s="518"/>
      <c r="AW24" s="518"/>
      <c r="AX24" s="518"/>
      <c r="AY24" s="518"/>
      <c r="AZ24" s="518"/>
      <c r="BA24" s="518"/>
      <c r="BB24" s="518"/>
      <c r="BC24" s="518"/>
      <c r="BD24" s="518"/>
      <c r="BE24" s="518"/>
      <c r="BF24" s="518"/>
      <c r="BG24" s="518"/>
      <c r="BH24" s="518"/>
      <c r="BI24" s="518"/>
      <c r="BJ24" s="518"/>
      <c r="BK24" s="518"/>
      <c r="BL24" s="518"/>
      <c r="BM24" s="518"/>
      <c r="BN24" s="518"/>
      <c r="BO24" s="518"/>
      <c r="BP24" s="518"/>
      <c r="BQ24" s="518"/>
      <c r="BR24" s="518">
        <f t="shared" si="11"/>
        <v>83182.861833333329</v>
      </c>
      <c r="BS24" s="518">
        <f t="shared" si="15"/>
        <v>971650.23016666668</v>
      </c>
      <c r="BT24" s="518">
        <f t="shared" si="5"/>
        <v>4019321.4798333333</v>
      </c>
      <c r="BU24" s="518">
        <f t="shared" si="6"/>
        <v>4102504.3416666668</v>
      </c>
      <c r="BW24" s="518"/>
      <c r="BX24" s="518"/>
      <c r="BY24" s="518"/>
      <c r="BZ24" s="518"/>
      <c r="CA24" s="518"/>
      <c r="CB24" s="518"/>
      <c r="CC24" s="518"/>
      <c r="CD24" s="518"/>
      <c r="CE24" s="518">
        <f t="shared" si="31"/>
        <v>29025</v>
      </c>
      <c r="CF24" s="518">
        <f t="shared" si="33"/>
        <v>27904.517500000002</v>
      </c>
      <c r="CG24" s="518">
        <f t="shared" si="36"/>
        <v>20460.416666666668</v>
      </c>
      <c r="CH24" s="518">
        <f t="shared" si="38"/>
        <v>16966.666666666668</v>
      </c>
      <c r="CI24" s="518">
        <f t="shared" si="40"/>
        <v>26258.333333333332</v>
      </c>
      <c r="CJ24" s="518">
        <f t="shared" si="42"/>
        <v>16033.541666666666</v>
      </c>
      <c r="CK24" s="518">
        <f t="shared" si="44"/>
        <v>13283.333333333334</v>
      </c>
      <c r="CL24" s="518">
        <f t="shared" si="46"/>
        <v>12041.666666666666</v>
      </c>
      <c r="CM24" s="518">
        <f t="shared" si="48"/>
        <v>8091.666666666667</v>
      </c>
      <c r="CN24" s="518">
        <f t="shared" si="50"/>
        <v>12816.666666666666</v>
      </c>
      <c r="CO24" s="518">
        <f t="shared" ref="CO24:CO34" si="52">$K$23/12</f>
        <v>11591.666666666666</v>
      </c>
      <c r="CP24" s="518">
        <f>$K$24/12</f>
        <v>10283.333333333334</v>
      </c>
      <c r="CQ24" s="518"/>
      <c r="CR24" s="518"/>
      <c r="CS24" s="518"/>
      <c r="CT24" s="518"/>
      <c r="CU24" s="518"/>
      <c r="CV24" s="518"/>
      <c r="CW24" s="518"/>
      <c r="CX24" s="518"/>
      <c r="CY24" s="518"/>
      <c r="CZ24" s="518"/>
      <c r="DA24" s="518"/>
      <c r="DB24" s="518"/>
      <c r="DC24" s="518"/>
      <c r="DD24" s="518"/>
      <c r="DE24" s="518"/>
      <c r="DF24" s="518"/>
      <c r="DG24" s="518"/>
      <c r="DH24" s="518"/>
      <c r="DI24" s="518"/>
      <c r="DJ24" s="518"/>
      <c r="DK24" s="518"/>
      <c r="DL24" s="518"/>
      <c r="DM24" s="518"/>
      <c r="DN24" s="518"/>
      <c r="DO24" s="518"/>
      <c r="DP24" s="518"/>
      <c r="DQ24" s="518"/>
      <c r="DR24" s="518"/>
      <c r="DS24" s="518"/>
      <c r="DT24" s="518"/>
      <c r="DU24" s="518"/>
      <c r="DV24" s="518"/>
      <c r="DW24" s="518"/>
      <c r="DX24" s="518"/>
      <c r="DY24" s="518"/>
      <c r="DZ24" s="518"/>
      <c r="EA24" s="518">
        <f t="shared" si="13"/>
        <v>204756.80916666664</v>
      </c>
      <c r="EC24" s="519">
        <f t="shared" si="7"/>
        <v>204756.80916666664</v>
      </c>
      <c r="ED24" s="519">
        <f t="shared" si="8"/>
        <v>83182.861833333329</v>
      </c>
      <c r="EE24" s="518">
        <f t="shared" si="9"/>
        <v>-121573.94733333332</v>
      </c>
      <c r="EF24" s="518">
        <f>+EE24*'Capital Structure '!$L$30</f>
        <v>-49662.957485666659</v>
      </c>
      <c r="EG24" s="518">
        <f t="shared" si="17"/>
        <v>-1283215.6390090003</v>
      </c>
    </row>
    <row r="25" spans="1:137" s="585" customFormat="1">
      <c r="A25" s="308" t="s">
        <v>56</v>
      </c>
      <c r="B25" s="308">
        <f>+B24</f>
        <v>2017</v>
      </c>
      <c r="C25" s="308" t="s">
        <v>47</v>
      </c>
      <c r="D25" s="518">
        <v>107000</v>
      </c>
      <c r="E25" s="518">
        <v>10100</v>
      </c>
      <c r="F25" s="518">
        <v>0</v>
      </c>
      <c r="G25" s="518">
        <v>0</v>
      </c>
      <c r="H25" s="518">
        <v>-2000</v>
      </c>
      <c r="I25" s="518">
        <v>3000</v>
      </c>
      <c r="J25" s="518"/>
      <c r="K25" s="518">
        <f t="shared" si="4"/>
        <v>118100</v>
      </c>
      <c r="L25" s="518">
        <f>SUM(K$5:K25)</f>
        <v>5109071.71</v>
      </c>
      <c r="N25" s="518">
        <f t="shared" si="10"/>
        <v>925</v>
      </c>
      <c r="O25" s="518">
        <f t="shared" si="14"/>
        <v>2660</v>
      </c>
      <c r="P25" s="518">
        <f t="shared" si="18"/>
        <v>2463.3333333333335</v>
      </c>
      <c r="Q25" s="518">
        <f t="shared" si="20"/>
        <v>5920</v>
      </c>
      <c r="R25" s="518">
        <f t="shared" si="22"/>
        <v>8403.3333333333339</v>
      </c>
      <c r="S25" s="518">
        <f t="shared" si="24"/>
        <v>8219.8333333333339</v>
      </c>
      <c r="T25" s="518">
        <f t="shared" si="26"/>
        <v>6750</v>
      </c>
      <c r="U25" s="518">
        <f t="shared" si="28"/>
        <v>6890</v>
      </c>
      <c r="V25" s="518">
        <f t="shared" si="30"/>
        <v>5805</v>
      </c>
      <c r="W25" s="518">
        <f t="shared" si="32"/>
        <v>5580.9035000000003</v>
      </c>
      <c r="X25" s="518">
        <f t="shared" si="35"/>
        <v>4092.0833333333335</v>
      </c>
      <c r="Y25" s="518">
        <f t="shared" si="37"/>
        <v>3393.3333333333335</v>
      </c>
      <c r="Z25" s="518">
        <f t="shared" si="39"/>
        <v>5251.666666666667</v>
      </c>
      <c r="AA25" s="518">
        <f t="shared" si="41"/>
        <v>3206.7083333333335</v>
      </c>
      <c r="AB25" s="518">
        <f t="shared" si="43"/>
        <v>2656.6666666666665</v>
      </c>
      <c r="AC25" s="518">
        <f t="shared" si="45"/>
        <v>2408.3333333333335</v>
      </c>
      <c r="AD25" s="518">
        <f t="shared" si="47"/>
        <v>1618.3333333333333</v>
      </c>
      <c r="AE25" s="518">
        <f t="shared" si="49"/>
        <v>2563.3333333333335</v>
      </c>
      <c r="AF25" s="518">
        <f t="shared" si="51"/>
        <v>2318.3333333333335</v>
      </c>
      <c r="AG25" s="518">
        <f t="shared" ref="AG25:AG83" si="53">$K$24/60</f>
        <v>2056.6666666666665</v>
      </c>
      <c r="AH25" s="518">
        <f>$K$25/60</f>
        <v>1968.3333333333333</v>
      </c>
      <c r="AI25" s="518"/>
      <c r="AJ25" s="518"/>
      <c r="AK25" s="518"/>
      <c r="AL25" s="518"/>
      <c r="AM25" s="518"/>
      <c r="AN25" s="518"/>
      <c r="AO25" s="518"/>
      <c r="AP25" s="518"/>
      <c r="AQ25" s="518"/>
      <c r="AR25" s="518"/>
      <c r="AS25" s="518"/>
      <c r="AT25" s="518"/>
      <c r="AU25" s="518"/>
      <c r="AV25" s="518"/>
      <c r="AW25" s="518"/>
      <c r="AX25" s="518"/>
      <c r="AY25" s="518"/>
      <c r="AZ25" s="518"/>
      <c r="BA25" s="518"/>
      <c r="BB25" s="518"/>
      <c r="BC25" s="518"/>
      <c r="BD25" s="518"/>
      <c r="BE25" s="518"/>
      <c r="BF25" s="518"/>
      <c r="BG25" s="518"/>
      <c r="BH25" s="518"/>
      <c r="BI25" s="518"/>
      <c r="BJ25" s="518"/>
      <c r="BK25" s="518"/>
      <c r="BL25" s="518"/>
      <c r="BM25" s="518"/>
      <c r="BN25" s="518"/>
      <c r="BO25" s="518"/>
      <c r="BP25" s="518"/>
      <c r="BQ25" s="518"/>
      <c r="BR25" s="518">
        <f t="shared" si="11"/>
        <v>85151.195166666657</v>
      </c>
      <c r="BS25" s="518">
        <f t="shared" si="15"/>
        <v>1056801.4253333334</v>
      </c>
      <c r="BT25" s="518">
        <f t="shared" si="5"/>
        <v>4052270.2846666668</v>
      </c>
      <c r="BU25" s="518">
        <f t="shared" si="6"/>
        <v>4137421.4798333333</v>
      </c>
      <c r="BW25" s="518"/>
      <c r="BX25" s="518"/>
      <c r="BY25" s="518"/>
      <c r="BZ25" s="518"/>
      <c r="CA25" s="518"/>
      <c r="CB25" s="518"/>
      <c r="CC25" s="518"/>
      <c r="CD25" s="518"/>
      <c r="CE25" s="518"/>
      <c r="CF25" s="518">
        <f t="shared" si="33"/>
        <v>27904.517500000002</v>
      </c>
      <c r="CG25" s="518">
        <f t="shared" si="36"/>
        <v>20460.416666666668</v>
      </c>
      <c r="CH25" s="518">
        <f t="shared" si="38"/>
        <v>16966.666666666668</v>
      </c>
      <c r="CI25" s="518">
        <f t="shared" si="40"/>
        <v>26258.333333333332</v>
      </c>
      <c r="CJ25" s="518">
        <f t="shared" si="42"/>
        <v>16033.541666666666</v>
      </c>
      <c r="CK25" s="518">
        <f t="shared" si="44"/>
        <v>13283.333333333334</v>
      </c>
      <c r="CL25" s="518">
        <f t="shared" si="46"/>
        <v>12041.666666666666</v>
      </c>
      <c r="CM25" s="518">
        <f t="shared" si="48"/>
        <v>8091.666666666667</v>
      </c>
      <c r="CN25" s="518">
        <f t="shared" si="50"/>
        <v>12816.666666666666</v>
      </c>
      <c r="CO25" s="518">
        <f t="shared" si="52"/>
        <v>11591.666666666666</v>
      </c>
      <c r="CP25" s="518">
        <f t="shared" ref="CP25:CP35" si="54">$K$24/12</f>
        <v>10283.333333333334</v>
      </c>
      <c r="CQ25" s="518">
        <f>$K$25/12</f>
        <v>9841.6666666666661</v>
      </c>
      <c r="CR25" s="518"/>
      <c r="CS25" s="518"/>
      <c r="CT25" s="518"/>
      <c r="CU25" s="518"/>
      <c r="CV25" s="518"/>
      <c r="CW25" s="518"/>
      <c r="CX25" s="518"/>
      <c r="CY25" s="518"/>
      <c r="CZ25" s="518"/>
      <c r="DA25" s="518"/>
      <c r="DB25" s="518"/>
      <c r="DC25" s="518"/>
      <c r="DD25" s="518"/>
      <c r="DE25" s="518"/>
      <c r="DF25" s="518"/>
      <c r="DG25" s="518"/>
      <c r="DH25" s="518"/>
      <c r="DI25" s="518"/>
      <c r="DJ25" s="518"/>
      <c r="DK25" s="518"/>
      <c r="DL25" s="518"/>
      <c r="DM25" s="518"/>
      <c r="DN25" s="518"/>
      <c r="DO25" s="518"/>
      <c r="DP25" s="518"/>
      <c r="DQ25" s="518"/>
      <c r="DR25" s="518"/>
      <c r="DS25" s="518"/>
      <c r="DT25" s="518"/>
      <c r="DU25" s="518"/>
      <c r="DV25" s="518"/>
      <c r="DW25" s="518"/>
      <c r="DX25" s="518"/>
      <c r="DY25" s="518"/>
      <c r="DZ25" s="518"/>
      <c r="EA25" s="518">
        <f t="shared" si="13"/>
        <v>185573.4758333333</v>
      </c>
      <c r="EC25" s="519">
        <f t="shared" si="7"/>
        <v>185573.4758333333</v>
      </c>
      <c r="ED25" s="519">
        <f t="shared" si="8"/>
        <v>85151.195166666657</v>
      </c>
      <c r="EE25" s="518">
        <f t="shared" si="9"/>
        <v>-100422.28066666664</v>
      </c>
      <c r="EF25" s="518">
        <f>+EE25*'Capital Structure '!$L$30</f>
        <v>-41022.501652333318</v>
      </c>
      <c r="EG25" s="518">
        <f t="shared" si="17"/>
        <v>-1324238.1406613337</v>
      </c>
    </row>
    <row r="26" spans="1:137" s="585" customFormat="1">
      <c r="A26" s="308" t="s">
        <v>57</v>
      </c>
      <c r="B26" s="308">
        <f>+B25</f>
        <v>2017</v>
      </c>
      <c r="C26" s="308" t="s">
        <v>47</v>
      </c>
      <c r="D26" s="518">
        <v>134500</v>
      </c>
      <c r="E26" s="518">
        <v>11600</v>
      </c>
      <c r="F26" s="518"/>
      <c r="G26" s="518"/>
      <c r="H26" s="518"/>
      <c r="I26" s="518"/>
      <c r="J26" s="518"/>
      <c r="K26" s="518">
        <f t="shared" si="4"/>
        <v>146100</v>
      </c>
      <c r="L26" s="518">
        <f>SUM(K$5:K26)</f>
        <v>5255171.71</v>
      </c>
      <c r="N26" s="518">
        <f t="shared" si="10"/>
        <v>925</v>
      </c>
      <c r="O26" s="518">
        <f t="shared" si="14"/>
        <v>2660</v>
      </c>
      <c r="P26" s="518">
        <f t="shared" si="18"/>
        <v>2463.3333333333335</v>
      </c>
      <c r="Q26" s="518">
        <f t="shared" si="20"/>
        <v>5920</v>
      </c>
      <c r="R26" s="518">
        <f t="shared" si="22"/>
        <v>8403.3333333333339</v>
      </c>
      <c r="S26" s="518">
        <f t="shared" si="24"/>
        <v>8219.8333333333339</v>
      </c>
      <c r="T26" s="518">
        <f t="shared" si="26"/>
        <v>6750</v>
      </c>
      <c r="U26" s="518">
        <f t="shared" si="28"/>
        <v>6890</v>
      </c>
      <c r="V26" s="518">
        <f t="shared" si="30"/>
        <v>5805</v>
      </c>
      <c r="W26" s="518">
        <f t="shared" si="32"/>
        <v>5580.9035000000003</v>
      </c>
      <c r="X26" s="518">
        <f t="shared" si="35"/>
        <v>4092.0833333333335</v>
      </c>
      <c r="Y26" s="518">
        <f t="shared" si="37"/>
        <v>3393.3333333333335</v>
      </c>
      <c r="Z26" s="518">
        <f t="shared" si="39"/>
        <v>5251.666666666667</v>
      </c>
      <c r="AA26" s="518">
        <f t="shared" si="41"/>
        <v>3206.7083333333335</v>
      </c>
      <c r="AB26" s="518">
        <f t="shared" si="43"/>
        <v>2656.6666666666665</v>
      </c>
      <c r="AC26" s="518">
        <f t="shared" si="45"/>
        <v>2408.3333333333335</v>
      </c>
      <c r="AD26" s="518">
        <f t="shared" si="47"/>
        <v>1618.3333333333333</v>
      </c>
      <c r="AE26" s="518">
        <f t="shared" si="49"/>
        <v>2563.3333333333335</v>
      </c>
      <c r="AF26" s="518">
        <f t="shared" si="51"/>
        <v>2318.3333333333335</v>
      </c>
      <c r="AG26" s="518">
        <f t="shared" si="53"/>
        <v>2056.6666666666665</v>
      </c>
      <c r="AH26" s="518">
        <f t="shared" ref="AH26:AH84" si="55">$K$25/60</f>
        <v>1968.3333333333333</v>
      </c>
      <c r="AI26" s="518">
        <f>$K$26/60</f>
        <v>2435</v>
      </c>
      <c r="AJ26" s="518"/>
      <c r="AK26" s="518"/>
      <c r="AL26" s="518"/>
      <c r="AM26" s="518"/>
      <c r="AN26" s="518"/>
      <c r="AO26" s="518"/>
      <c r="AP26" s="518"/>
      <c r="AQ26" s="518"/>
      <c r="AR26" s="518"/>
      <c r="AS26" s="518"/>
      <c r="AT26" s="518"/>
      <c r="AU26" s="518"/>
      <c r="AV26" s="518"/>
      <c r="AW26" s="518"/>
      <c r="AX26" s="518"/>
      <c r="AY26" s="518"/>
      <c r="AZ26" s="518"/>
      <c r="BA26" s="518"/>
      <c r="BB26" s="518"/>
      <c r="BC26" s="518"/>
      <c r="BD26" s="518"/>
      <c r="BE26" s="518"/>
      <c r="BF26" s="518"/>
      <c r="BG26" s="518"/>
      <c r="BH26" s="518"/>
      <c r="BI26" s="518"/>
      <c r="BJ26" s="518"/>
      <c r="BK26" s="518"/>
      <c r="BL26" s="518"/>
      <c r="BM26" s="518"/>
      <c r="BN26" s="518"/>
      <c r="BO26" s="518"/>
      <c r="BP26" s="518"/>
      <c r="BQ26" s="518"/>
      <c r="BR26" s="518">
        <f t="shared" si="11"/>
        <v>87586.195166666657</v>
      </c>
      <c r="BS26" s="518">
        <f t="shared" si="15"/>
        <v>1144387.6205000002</v>
      </c>
      <c r="BT26" s="518">
        <f t="shared" si="5"/>
        <v>4110784.0894999998</v>
      </c>
      <c r="BU26" s="518">
        <f t="shared" si="6"/>
        <v>4198370.2846666668</v>
      </c>
      <c r="BW26" s="518"/>
      <c r="BX26" s="518"/>
      <c r="BY26" s="518"/>
      <c r="BZ26" s="518"/>
      <c r="CA26" s="518"/>
      <c r="CB26" s="518"/>
      <c r="CC26" s="518"/>
      <c r="CD26" s="518"/>
      <c r="CE26" s="518"/>
      <c r="CF26" s="518"/>
      <c r="CG26" s="518">
        <f t="shared" si="36"/>
        <v>20460.416666666668</v>
      </c>
      <c r="CH26" s="518">
        <f t="shared" si="38"/>
        <v>16966.666666666668</v>
      </c>
      <c r="CI26" s="518">
        <f t="shared" si="40"/>
        <v>26258.333333333332</v>
      </c>
      <c r="CJ26" s="518">
        <f t="shared" si="42"/>
        <v>16033.541666666666</v>
      </c>
      <c r="CK26" s="518">
        <f t="shared" si="44"/>
        <v>13283.333333333334</v>
      </c>
      <c r="CL26" s="518">
        <f t="shared" si="46"/>
        <v>12041.666666666666</v>
      </c>
      <c r="CM26" s="518">
        <f t="shared" si="48"/>
        <v>8091.666666666667</v>
      </c>
      <c r="CN26" s="518">
        <f t="shared" si="50"/>
        <v>12816.666666666666</v>
      </c>
      <c r="CO26" s="518">
        <f t="shared" si="52"/>
        <v>11591.666666666666</v>
      </c>
      <c r="CP26" s="518">
        <f t="shared" si="54"/>
        <v>10283.333333333334</v>
      </c>
      <c r="CQ26" s="518">
        <f t="shared" ref="CQ26:CQ36" si="56">$K$25/12</f>
        <v>9841.6666666666661</v>
      </c>
      <c r="CR26" s="518">
        <f>$K$26/12</f>
        <v>12175</v>
      </c>
      <c r="CS26" s="518"/>
      <c r="CT26" s="518"/>
      <c r="CU26" s="518"/>
      <c r="CV26" s="518"/>
      <c r="CW26" s="518"/>
      <c r="CX26" s="518"/>
      <c r="CY26" s="518"/>
      <c r="CZ26" s="518"/>
      <c r="DA26" s="518"/>
      <c r="DB26" s="518"/>
      <c r="DC26" s="518"/>
      <c r="DD26" s="518"/>
      <c r="DE26" s="518"/>
      <c r="DF26" s="518"/>
      <c r="DG26" s="518"/>
      <c r="DH26" s="518"/>
      <c r="DI26" s="518"/>
      <c r="DJ26" s="518"/>
      <c r="DK26" s="518"/>
      <c r="DL26" s="518"/>
      <c r="DM26" s="518"/>
      <c r="DN26" s="518"/>
      <c r="DO26" s="518"/>
      <c r="DP26" s="518"/>
      <c r="DQ26" s="518"/>
      <c r="DR26" s="518"/>
      <c r="DS26" s="518"/>
      <c r="DT26" s="518"/>
      <c r="DU26" s="518"/>
      <c r="DV26" s="518"/>
      <c r="DW26" s="518"/>
      <c r="DX26" s="518"/>
      <c r="DY26" s="518"/>
      <c r="DZ26" s="518"/>
      <c r="EA26" s="518">
        <f t="shared" si="13"/>
        <v>169843.95833333334</v>
      </c>
      <c r="EC26" s="519">
        <f t="shared" si="7"/>
        <v>169843.95833333334</v>
      </c>
      <c r="ED26" s="519">
        <f t="shared" si="8"/>
        <v>87586.195166666657</v>
      </c>
      <c r="EE26" s="518">
        <f t="shared" si="9"/>
        <v>-82257.763166666686</v>
      </c>
      <c r="EF26" s="518">
        <f>+EE26*'Capital Structure '!$L$30</f>
        <v>-33602.296253583336</v>
      </c>
      <c r="EG26" s="518">
        <f t="shared" si="17"/>
        <v>-1357840.4369149171</v>
      </c>
    </row>
    <row r="27" spans="1:137" s="585" customFormat="1">
      <c r="A27" s="308" t="s">
        <v>58</v>
      </c>
      <c r="B27" s="308">
        <f>+B26</f>
        <v>2017</v>
      </c>
      <c r="C27" s="308" t="s">
        <v>47</v>
      </c>
      <c r="D27" s="518">
        <v>78000</v>
      </c>
      <c r="E27" s="518">
        <v>10100</v>
      </c>
      <c r="F27" s="518"/>
      <c r="G27" s="518"/>
      <c r="H27" s="518"/>
      <c r="I27" s="518"/>
      <c r="J27" s="518"/>
      <c r="K27" s="518">
        <f t="shared" si="4"/>
        <v>88100</v>
      </c>
      <c r="L27" s="518">
        <f>SUM(K$5:K27)</f>
        <v>5343271.71</v>
      </c>
      <c r="N27" s="518">
        <f t="shared" si="10"/>
        <v>925</v>
      </c>
      <c r="O27" s="518">
        <f t="shared" si="14"/>
        <v>2660</v>
      </c>
      <c r="P27" s="518">
        <f t="shared" si="18"/>
        <v>2463.3333333333335</v>
      </c>
      <c r="Q27" s="518">
        <f t="shared" si="20"/>
        <v>5920</v>
      </c>
      <c r="R27" s="518">
        <f t="shared" si="22"/>
        <v>8403.3333333333339</v>
      </c>
      <c r="S27" s="518">
        <f t="shared" si="24"/>
        <v>8219.8333333333339</v>
      </c>
      <c r="T27" s="518">
        <f t="shared" si="26"/>
        <v>6750</v>
      </c>
      <c r="U27" s="518">
        <f t="shared" si="28"/>
        <v>6890</v>
      </c>
      <c r="V27" s="518">
        <f t="shared" si="30"/>
        <v>5805</v>
      </c>
      <c r="W27" s="518">
        <f t="shared" si="32"/>
        <v>5580.9035000000003</v>
      </c>
      <c r="X27" s="518">
        <f t="shared" si="35"/>
        <v>4092.0833333333335</v>
      </c>
      <c r="Y27" s="518">
        <f t="shared" si="37"/>
        <v>3393.3333333333335</v>
      </c>
      <c r="Z27" s="518">
        <f t="shared" si="39"/>
        <v>5251.666666666667</v>
      </c>
      <c r="AA27" s="518">
        <f t="shared" si="41"/>
        <v>3206.7083333333335</v>
      </c>
      <c r="AB27" s="518">
        <f t="shared" si="43"/>
        <v>2656.6666666666665</v>
      </c>
      <c r="AC27" s="518">
        <f t="shared" si="45"/>
        <v>2408.3333333333335</v>
      </c>
      <c r="AD27" s="518">
        <f t="shared" si="47"/>
        <v>1618.3333333333333</v>
      </c>
      <c r="AE27" s="518">
        <f t="shared" si="49"/>
        <v>2563.3333333333335</v>
      </c>
      <c r="AF27" s="518">
        <f t="shared" si="51"/>
        <v>2318.3333333333335</v>
      </c>
      <c r="AG27" s="518">
        <f t="shared" si="53"/>
        <v>2056.6666666666665</v>
      </c>
      <c r="AH27" s="518">
        <f t="shared" si="55"/>
        <v>1968.3333333333333</v>
      </c>
      <c r="AI27" s="518">
        <f t="shared" ref="AI27:AI85" si="57">$K$26/60</f>
        <v>2435</v>
      </c>
      <c r="AJ27" s="518">
        <f>$K$27/60</f>
        <v>1468.3333333333333</v>
      </c>
      <c r="AK27" s="518"/>
      <c r="AL27" s="518"/>
      <c r="AM27" s="518"/>
      <c r="AN27" s="518"/>
      <c r="AO27" s="518"/>
      <c r="AP27" s="518"/>
      <c r="AQ27" s="518"/>
      <c r="AR27" s="518"/>
      <c r="AS27" s="518"/>
      <c r="AT27" s="518"/>
      <c r="AU27" s="518"/>
      <c r="AV27" s="518"/>
      <c r="AW27" s="518"/>
      <c r="AX27" s="518"/>
      <c r="AY27" s="518"/>
      <c r="AZ27" s="518"/>
      <c r="BA27" s="518"/>
      <c r="BB27" s="518"/>
      <c r="BC27" s="518"/>
      <c r="BD27" s="518"/>
      <c r="BE27" s="518"/>
      <c r="BF27" s="518"/>
      <c r="BG27" s="518"/>
      <c r="BH27" s="518"/>
      <c r="BI27" s="518"/>
      <c r="BJ27" s="518"/>
      <c r="BK27" s="518"/>
      <c r="BL27" s="518"/>
      <c r="BM27" s="518"/>
      <c r="BN27" s="518"/>
      <c r="BO27" s="518"/>
      <c r="BP27" s="518"/>
      <c r="BQ27" s="518"/>
      <c r="BR27" s="518">
        <f t="shared" si="11"/>
        <v>89054.528499999986</v>
      </c>
      <c r="BS27" s="518">
        <f t="shared" si="15"/>
        <v>1233442.1490000002</v>
      </c>
      <c r="BT27" s="518">
        <f t="shared" si="5"/>
        <v>4109829.5609999998</v>
      </c>
      <c r="BU27" s="518">
        <f t="shared" si="6"/>
        <v>4198884.0894999998</v>
      </c>
      <c r="BW27" s="518"/>
      <c r="BX27" s="518"/>
      <c r="BY27" s="518"/>
      <c r="BZ27" s="518"/>
      <c r="CA27" s="518"/>
      <c r="CB27" s="518"/>
      <c r="CC27" s="518"/>
      <c r="CD27" s="518"/>
      <c r="CE27" s="518"/>
      <c r="CF27" s="518"/>
      <c r="CG27" s="518"/>
      <c r="CH27" s="518">
        <f t="shared" si="38"/>
        <v>16966.666666666668</v>
      </c>
      <c r="CI27" s="518">
        <f t="shared" si="40"/>
        <v>26258.333333333332</v>
      </c>
      <c r="CJ27" s="518">
        <f t="shared" si="42"/>
        <v>16033.541666666666</v>
      </c>
      <c r="CK27" s="518">
        <f t="shared" si="44"/>
        <v>13283.333333333334</v>
      </c>
      <c r="CL27" s="518">
        <f t="shared" si="46"/>
        <v>12041.666666666666</v>
      </c>
      <c r="CM27" s="518">
        <f t="shared" si="48"/>
        <v>8091.666666666667</v>
      </c>
      <c r="CN27" s="518">
        <f t="shared" si="50"/>
        <v>12816.666666666666</v>
      </c>
      <c r="CO27" s="518">
        <f t="shared" si="52"/>
        <v>11591.666666666666</v>
      </c>
      <c r="CP27" s="518">
        <f t="shared" si="54"/>
        <v>10283.333333333334</v>
      </c>
      <c r="CQ27" s="518">
        <f t="shared" si="56"/>
        <v>9841.6666666666661</v>
      </c>
      <c r="CR27" s="518">
        <f t="shared" ref="CR27:CR37" si="58">$K$26/12</f>
        <v>12175</v>
      </c>
      <c r="CS27" s="518">
        <f>$K$27/12</f>
        <v>7341.666666666667</v>
      </c>
      <c r="CT27" s="518"/>
      <c r="CU27" s="518"/>
      <c r="CV27" s="518"/>
      <c r="CW27" s="518"/>
      <c r="CX27" s="518"/>
      <c r="CY27" s="518"/>
      <c r="CZ27" s="518"/>
      <c r="DA27" s="518"/>
      <c r="DB27" s="518"/>
      <c r="DC27" s="518"/>
      <c r="DD27" s="518"/>
      <c r="DE27" s="518"/>
      <c r="DF27" s="518"/>
      <c r="DG27" s="518"/>
      <c r="DH27" s="518"/>
      <c r="DI27" s="518"/>
      <c r="DJ27" s="518"/>
      <c r="DK27" s="518"/>
      <c r="DL27" s="518"/>
      <c r="DM27" s="518"/>
      <c r="DN27" s="518"/>
      <c r="DO27" s="518"/>
      <c r="DP27" s="518"/>
      <c r="DQ27" s="518"/>
      <c r="DR27" s="518"/>
      <c r="DS27" s="518"/>
      <c r="DT27" s="518"/>
      <c r="DU27" s="518"/>
      <c r="DV27" s="518"/>
      <c r="DW27" s="518"/>
      <c r="DX27" s="518"/>
      <c r="DY27" s="518"/>
      <c r="DZ27" s="518"/>
      <c r="EA27" s="518">
        <f t="shared" si="13"/>
        <v>156725.20833333334</v>
      </c>
      <c r="EC27" s="519">
        <f t="shared" si="7"/>
        <v>156725.20833333334</v>
      </c>
      <c r="ED27" s="519">
        <f t="shared" si="8"/>
        <v>89054.528499999986</v>
      </c>
      <c r="EE27" s="518">
        <f t="shared" si="9"/>
        <v>-67670.679833333357</v>
      </c>
      <c r="EF27" s="518">
        <f>+EE27*'Capital Structure '!$L$30</f>
        <v>-27643.472711916675</v>
      </c>
      <c r="EG27" s="518">
        <f t="shared" si="17"/>
        <v>-1385483.9096268339</v>
      </c>
    </row>
    <row r="28" spans="1:137" s="585" customFormat="1">
      <c r="A28" s="308" t="s">
        <v>59</v>
      </c>
      <c r="B28" s="308">
        <f t="shared" ref="B28:B33" si="59">+B27</f>
        <v>2017</v>
      </c>
      <c r="C28" s="308" t="s">
        <v>47</v>
      </c>
      <c r="D28" s="518">
        <v>71500</v>
      </c>
      <c r="E28" s="518">
        <v>8100</v>
      </c>
      <c r="F28" s="518"/>
      <c r="G28" s="518"/>
      <c r="H28" s="518"/>
      <c r="I28" s="518"/>
      <c r="J28" s="518"/>
      <c r="K28" s="518">
        <f t="shared" si="4"/>
        <v>79600</v>
      </c>
      <c r="L28" s="518">
        <f>SUM(K$5:K28)</f>
        <v>5422871.71</v>
      </c>
      <c r="N28" s="518">
        <f t="shared" si="10"/>
        <v>925</v>
      </c>
      <c r="O28" s="518">
        <f t="shared" si="14"/>
        <v>2660</v>
      </c>
      <c r="P28" s="518">
        <f t="shared" si="18"/>
        <v>2463.3333333333335</v>
      </c>
      <c r="Q28" s="518">
        <f t="shared" si="20"/>
        <v>5920</v>
      </c>
      <c r="R28" s="518">
        <f t="shared" si="22"/>
        <v>8403.3333333333339</v>
      </c>
      <c r="S28" s="518">
        <f t="shared" si="24"/>
        <v>8219.8333333333339</v>
      </c>
      <c r="T28" s="518">
        <f t="shared" si="26"/>
        <v>6750</v>
      </c>
      <c r="U28" s="518">
        <f t="shared" si="28"/>
        <v>6890</v>
      </c>
      <c r="V28" s="518">
        <f t="shared" si="30"/>
        <v>5805</v>
      </c>
      <c r="W28" s="518">
        <f t="shared" si="32"/>
        <v>5580.9035000000003</v>
      </c>
      <c r="X28" s="518">
        <f t="shared" si="35"/>
        <v>4092.0833333333335</v>
      </c>
      <c r="Y28" s="518">
        <f t="shared" si="37"/>
        <v>3393.3333333333335</v>
      </c>
      <c r="Z28" s="518">
        <f t="shared" si="39"/>
        <v>5251.666666666667</v>
      </c>
      <c r="AA28" s="518">
        <f t="shared" si="41"/>
        <v>3206.7083333333335</v>
      </c>
      <c r="AB28" s="518">
        <f t="shared" si="43"/>
        <v>2656.6666666666665</v>
      </c>
      <c r="AC28" s="518">
        <f t="shared" si="45"/>
        <v>2408.3333333333335</v>
      </c>
      <c r="AD28" s="518">
        <f t="shared" si="47"/>
        <v>1618.3333333333333</v>
      </c>
      <c r="AE28" s="518">
        <f t="shared" si="49"/>
        <v>2563.3333333333335</v>
      </c>
      <c r="AF28" s="518">
        <f t="shared" si="51"/>
        <v>2318.3333333333335</v>
      </c>
      <c r="AG28" s="518">
        <f t="shared" si="53"/>
        <v>2056.6666666666665</v>
      </c>
      <c r="AH28" s="518">
        <f t="shared" si="55"/>
        <v>1968.3333333333333</v>
      </c>
      <c r="AI28" s="518">
        <f t="shared" si="57"/>
        <v>2435</v>
      </c>
      <c r="AJ28" s="518">
        <f t="shared" ref="AJ28:AJ86" si="60">$K$27/60</f>
        <v>1468.3333333333333</v>
      </c>
      <c r="AK28" s="518">
        <f>$K$28/60</f>
        <v>1326.6666666666667</v>
      </c>
      <c r="AL28" s="518"/>
      <c r="AM28" s="518"/>
      <c r="AN28" s="518"/>
      <c r="AO28" s="518"/>
      <c r="AP28" s="518"/>
      <c r="AQ28" s="518"/>
      <c r="AR28" s="518"/>
      <c r="AS28" s="518"/>
      <c r="AT28" s="518"/>
      <c r="AU28" s="518"/>
      <c r="AV28" s="518"/>
      <c r="AW28" s="518"/>
      <c r="AX28" s="518"/>
      <c r="AY28" s="518"/>
      <c r="AZ28" s="518"/>
      <c r="BA28" s="518"/>
      <c r="BB28" s="518"/>
      <c r="BC28" s="518"/>
      <c r="BD28" s="518"/>
      <c r="BE28" s="518"/>
      <c r="BF28" s="518"/>
      <c r="BG28" s="518"/>
      <c r="BH28" s="518"/>
      <c r="BI28" s="518"/>
      <c r="BJ28" s="518"/>
      <c r="BK28" s="518"/>
      <c r="BL28" s="518"/>
      <c r="BM28" s="518"/>
      <c r="BN28" s="518"/>
      <c r="BO28" s="518"/>
      <c r="BP28" s="518"/>
      <c r="BQ28" s="518"/>
      <c r="BR28" s="518">
        <f t="shared" si="11"/>
        <v>90381.195166666657</v>
      </c>
      <c r="BS28" s="518">
        <f t="shared" si="15"/>
        <v>1323823.344166667</v>
      </c>
      <c r="BT28" s="518">
        <f t="shared" si="5"/>
        <v>4099048.3658333328</v>
      </c>
      <c r="BU28" s="518">
        <f t="shared" si="6"/>
        <v>4189429.5609999998</v>
      </c>
      <c r="BW28" s="518"/>
      <c r="BX28" s="518"/>
      <c r="BY28" s="518"/>
      <c r="BZ28" s="518"/>
      <c r="CA28" s="518"/>
      <c r="CB28" s="518"/>
      <c r="CC28" s="518"/>
      <c r="CD28" s="518"/>
      <c r="CE28" s="518"/>
      <c r="CF28" s="518"/>
      <c r="CG28" s="518"/>
      <c r="CH28" s="518"/>
      <c r="CI28" s="518">
        <f t="shared" si="40"/>
        <v>26258.333333333332</v>
      </c>
      <c r="CJ28" s="518">
        <f t="shared" si="42"/>
        <v>16033.541666666666</v>
      </c>
      <c r="CK28" s="518">
        <f t="shared" si="44"/>
        <v>13283.333333333334</v>
      </c>
      <c r="CL28" s="518">
        <f t="shared" si="46"/>
        <v>12041.666666666666</v>
      </c>
      <c r="CM28" s="518">
        <f t="shared" si="48"/>
        <v>8091.666666666667</v>
      </c>
      <c r="CN28" s="518">
        <f t="shared" si="50"/>
        <v>12816.666666666666</v>
      </c>
      <c r="CO28" s="518">
        <f t="shared" si="52"/>
        <v>11591.666666666666</v>
      </c>
      <c r="CP28" s="518">
        <f t="shared" si="54"/>
        <v>10283.333333333334</v>
      </c>
      <c r="CQ28" s="518">
        <f t="shared" si="56"/>
        <v>9841.6666666666661</v>
      </c>
      <c r="CR28" s="518">
        <f t="shared" si="58"/>
        <v>12175</v>
      </c>
      <c r="CS28" s="518">
        <f t="shared" ref="CS28:CS38" si="61">$K$27/12</f>
        <v>7341.666666666667</v>
      </c>
      <c r="CT28" s="518">
        <f>$K$28/12</f>
        <v>6633.333333333333</v>
      </c>
      <c r="CU28" s="518"/>
      <c r="CV28" s="518"/>
      <c r="CW28" s="518"/>
      <c r="CX28" s="518"/>
      <c r="CY28" s="518"/>
      <c r="CZ28" s="518"/>
      <c r="DA28" s="518"/>
      <c r="DB28" s="518"/>
      <c r="DC28" s="518"/>
      <c r="DD28" s="518"/>
      <c r="DE28" s="518"/>
      <c r="DF28" s="518"/>
      <c r="DG28" s="518"/>
      <c r="DH28" s="518"/>
      <c r="DI28" s="518"/>
      <c r="DJ28" s="518"/>
      <c r="DK28" s="518"/>
      <c r="DL28" s="518"/>
      <c r="DM28" s="518"/>
      <c r="DN28" s="518"/>
      <c r="DO28" s="518"/>
      <c r="DP28" s="518"/>
      <c r="DQ28" s="518"/>
      <c r="DR28" s="518"/>
      <c r="DS28" s="518"/>
      <c r="DT28" s="518"/>
      <c r="DU28" s="518"/>
      <c r="DV28" s="518"/>
      <c r="DW28" s="518"/>
      <c r="DX28" s="518"/>
      <c r="DY28" s="518"/>
      <c r="DZ28" s="518"/>
      <c r="EA28" s="518">
        <f t="shared" si="13"/>
        <v>146391.875</v>
      </c>
      <c r="EC28" s="519">
        <f t="shared" si="7"/>
        <v>146391.875</v>
      </c>
      <c r="ED28" s="519">
        <f t="shared" si="8"/>
        <v>90381.195166666657</v>
      </c>
      <c r="EE28" s="518">
        <f t="shared" si="9"/>
        <v>-56010.679833333343</v>
      </c>
      <c r="EF28" s="518">
        <f>+EE28*'Capital Structure '!$L$30</f>
        <v>-22880.36271191667</v>
      </c>
      <c r="EG28" s="518">
        <f t="shared" si="17"/>
        <v>-1408364.2723387505</v>
      </c>
    </row>
    <row r="29" spans="1:137" s="585" customFormat="1">
      <c r="A29" s="308" t="s">
        <v>46</v>
      </c>
      <c r="B29" s="308">
        <f t="shared" si="59"/>
        <v>2017</v>
      </c>
      <c r="C29" s="308" t="s">
        <v>47</v>
      </c>
      <c r="D29" s="518">
        <v>98500</v>
      </c>
      <c r="E29" s="518">
        <v>9400</v>
      </c>
      <c r="F29" s="518"/>
      <c r="G29" s="518"/>
      <c r="H29" s="518"/>
      <c r="I29" s="518"/>
      <c r="J29" s="518"/>
      <c r="K29" s="518">
        <f t="shared" si="4"/>
        <v>107900</v>
      </c>
      <c r="L29" s="518">
        <f>SUM(K$5:K29)</f>
        <v>5530771.71</v>
      </c>
      <c r="N29" s="518">
        <f t="shared" si="10"/>
        <v>925</v>
      </c>
      <c r="O29" s="518">
        <f t="shared" si="14"/>
        <v>2660</v>
      </c>
      <c r="P29" s="518">
        <f t="shared" si="18"/>
        <v>2463.3333333333335</v>
      </c>
      <c r="Q29" s="518">
        <f t="shared" si="20"/>
        <v>5920</v>
      </c>
      <c r="R29" s="518">
        <f t="shared" si="22"/>
        <v>8403.3333333333339</v>
      </c>
      <c r="S29" s="518">
        <f t="shared" si="24"/>
        <v>8219.8333333333339</v>
      </c>
      <c r="T29" s="518">
        <f t="shared" si="26"/>
        <v>6750</v>
      </c>
      <c r="U29" s="518">
        <f t="shared" si="28"/>
        <v>6890</v>
      </c>
      <c r="V29" s="518">
        <f t="shared" si="30"/>
        <v>5805</v>
      </c>
      <c r="W29" s="518">
        <f t="shared" si="32"/>
        <v>5580.9035000000003</v>
      </c>
      <c r="X29" s="518">
        <f t="shared" si="35"/>
        <v>4092.0833333333335</v>
      </c>
      <c r="Y29" s="518">
        <f t="shared" si="37"/>
        <v>3393.3333333333335</v>
      </c>
      <c r="Z29" s="518">
        <f t="shared" si="39"/>
        <v>5251.666666666667</v>
      </c>
      <c r="AA29" s="518">
        <f t="shared" si="41"/>
        <v>3206.7083333333335</v>
      </c>
      <c r="AB29" s="518">
        <f t="shared" si="43"/>
        <v>2656.6666666666665</v>
      </c>
      <c r="AC29" s="518">
        <f t="shared" si="45"/>
        <v>2408.3333333333335</v>
      </c>
      <c r="AD29" s="518">
        <f t="shared" si="47"/>
        <v>1618.3333333333333</v>
      </c>
      <c r="AE29" s="518">
        <f t="shared" si="49"/>
        <v>2563.3333333333335</v>
      </c>
      <c r="AF29" s="518">
        <f t="shared" si="51"/>
        <v>2318.3333333333335</v>
      </c>
      <c r="AG29" s="518">
        <f t="shared" si="53"/>
        <v>2056.6666666666665</v>
      </c>
      <c r="AH29" s="518">
        <f t="shared" si="55"/>
        <v>1968.3333333333333</v>
      </c>
      <c r="AI29" s="518">
        <f t="shared" si="57"/>
        <v>2435</v>
      </c>
      <c r="AJ29" s="518">
        <f t="shared" si="60"/>
        <v>1468.3333333333333</v>
      </c>
      <c r="AK29" s="518">
        <f t="shared" ref="AK29:AK87" si="62">$K$28/60</f>
        <v>1326.6666666666667</v>
      </c>
      <c r="AL29" s="518">
        <f>$K$29/60</f>
        <v>1798.3333333333333</v>
      </c>
      <c r="AM29" s="518"/>
      <c r="AN29" s="518"/>
      <c r="AO29" s="518"/>
      <c r="AP29" s="518"/>
      <c r="AQ29" s="518"/>
      <c r="AR29" s="518"/>
      <c r="AS29" s="518"/>
      <c r="AT29" s="518"/>
      <c r="AU29" s="518"/>
      <c r="AV29" s="518"/>
      <c r="AW29" s="518"/>
      <c r="AX29" s="518"/>
      <c r="AY29" s="518"/>
      <c r="AZ29" s="518"/>
      <c r="BA29" s="518"/>
      <c r="BB29" s="518"/>
      <c r="BC29" s="518"/>
      <c r="BD29" s="518"/>
      <c r="BE29" s="518"/>
      <c r="BF29" s="518"/>
      <c r="BG29" s="518"/>
      <c r="BH29" s="518"/>
      <c r="BI29" s="518"/>
      <c r="BJ29" s="518"/>
      <c r="BK29" s="518"/>
      <c r="BL29" s="518"/>
      <c r="BM29" s="518"/>
      <c r="BN29" s="518"/>
      <c r="BO29" s="518"/>
      <c r="BP29" s="518"/>
      <c r="BQ29" s="518"/>
      <c r="BR29" s="518">
        <f t="shared" si="11"/>
        <v>92179.528499999986</v>
      </c>
      <c r="BS29" s="518">
        <f t="shared" si="15"/>
        <v>1416002.872666667</v>
      </c>
      <c r="BT29" s="518">
        <f t="shared" si="5"/>
        <v>4114768.8373333327</v>
      </c>
      <c r="BU29" s="518">
        <f t="shared" si="6"/>
        <v>4206948.3658333328</v>
      </c>
      <c r="BW29" s="518"/>
      <c r="BX29" s="518"/>
      <c r="BY29" s="518"/>
      <c r="BZ29" s="518"/>
      <c r="CA29" s="518"/>
      <c r="CB29" s="518"/>
      <c r="CC29" s="518"/>
      <c r="CD29" s="518"/>
      <c r="CE29" s="518"/>
      <c r="CF29" s="518"/>
      <c r="CG29" s="518"/>
      <c r="CH29" s="518"/>
      <c r="CI29" s="518"/>
      <c r="CJ29" s="518">
        <f t="shared" si="42"/>
        <v>16033.541666666666</v>
      </c>
      <c r="CK29" s="518">
        <f t="shared" si="44"/>
        <v>13283.333333333334</v>
      </c>
      <c r="CL29" s="518">
        <f t="shared" si="46"/>
        <v>12041.666666666666</v>
      </c>
      <c r="CM29" s="518">
        <f t="shared" si="48"/>
        <v>8091.666666666667</v>
      </c>
      <c r="CN29" s="518">
        <f t="shared" si="50"/>
        <v>12816.666666666666</v>
      </c>
      <c r="CO29" s="518">
        <f t="shared" si="52"/>
        <v>11591.666666666666</v>
      </c>
      <c r="CP29" s="518">
        <f t="shared" si="54"/>
        <v>10283.333333333334</v>
      </c>
      <c r="CQ29" s="518">
        <f t="shared" si="56"/>
        <v>9841.6666666666661</v>
      </c>
      <c r="CR29" s="518">
        <f t="shared" si="58"/>
        <v>12175</v>
      </c>
      <c r="CS29" s="518">
        <f t="shared" si="61"/>
        <v>7341.666666666667</v>
      </c>
      <c r="CT29" s="518">
        <f t="shared" ref="CT29:CT39" si="63">$K$28/12</f>
        <v>6633.333333333333</v>
      </c>
      <c r="CU29" s="518">
        <f>$K$29/12</f>
        <v>8991.6666666666661</v>
      </c>
      <c r="CV29" s="518"/>
      <c r="CW29" s="518"/>
      <c r="CX29" s="518"/>
      <c r="CY29" s="518"/>
      <c r="CZ29" s="518"/>
      <c r="DA29" s="518"/>
      <c r="DB29" s="518"/>
      <c r="DC29" s="518"/>
      <c r="DD29" s="518"/>
      <c r="DE29" s="518"/>
      <c r="DF29" s="518"/>
      <c r="DG29" s="518"/>
      <c r="DH29" s="518"/>
      <c r="DI29" s="518"/>
      <c r="DJ29" s="518"/>
      <c r="DK29" s="518"/>
      <c r="DL29" s="518"/>
      <c r="DM29" s="518"/>
      <c r="DN29" s="518"/>
      <c r="DO29" s="518"/>
      <c r="DP29" s="518"/>
      <c r="DQ29" s="518"/>
      <c r="DR29" s="518"/>
      <c r="DS29" s="518"/>
      <c r="DT29" s="518"/>
      <c r="DU29" s="518"/>
      <c r="DV29" s="518"/>
      <c r="DW29" s="518"/>
      <c r="DX29" s="518"/>
      <c r="DY29" s="518"/>
      <c r="DZ29" s="518"/>
      <c r="EA29" s="518">
        <f t="shared" si="13"/>
        <v>129125.20833333333</v>
      </c>
      <c r="EC29" s="519">
        <f t="shared" si="7"/>
        <v>129125.20833333333</v>
      </c>
      <c r="ED29" s="519">
        <f t="shared" si="8"/>
        <v>92179.528499999986</v>
      </c>
      <c r="EE29" s="518">
        <f t="shared" si="9"/>
        <v>-36945.679833333343</v>
      </c>
      <c r="EF29" s="518">
        <f>+EE29*'Capital Structure '!$L$30</f>
        <v>-15092.310211916669</v>
      </c>
      <c r="EG29" s="518">
        <f t="shared" si="17"/>
        <v>-1423456.5825506672</v>
      </c>
    </row>
    <row r="30" spans="1:137" s="585" customFormat="1">
      <c r="A30" s="308" t="s">
        <v>48</v>
      </c>
      <c r="B30" s="308">
        <f t="shared" si="59"/>
        <v>2017</v>
      </c>
      <c r="C30" s="308" t="s">
        <v>47</v>
      </c>
      <c r="D30" s="518">
        <v>80500</v>
      </c>
      <c r="E30" s="518">
        <v>8700</v>
      </c>
      <c r="F30" s="518"/>
      <c r="G30" s="518"/>
      <c r="H30" s="518"/>
      <c r="I30" s="518"/>
      <c r="J30" s="518"/>
      <c r="K30" s="518">
        <f t="shared" si="4"/>
        <v>89200</v>
      </c>
      <c r="L30" s="518">
        <f>SUM(K$5:K30)</f>
        <v>5619971.71</v>
      </c>
      <c r="N30" s="518">
        <f t="shared" si="10"/>
        <v>925</v>
      </c>
      <c r="O30" s="518">
        <f t="shared" si="14"/>
        <v>2660</v>
      </c>
      <c r="P30" s="518">
        <f t="shared" si="18"/>
        <v>2463.3333333333335</v>
      </c>
      <c r="Q30" s="518">
        <f t="shared" si="20"/>
        <v>5920</v>
      </c>
      <c r="R30" s="518">
        <f t="shared" si="22"/>
        <v>8403.3333333333339</v>
      </c>
      <c r="S30" s="518">
        <f t="shared" si="24"/>
        <v>8219.8333333333339</v>
      </c>
      <c r="T30" s="518">
        <f t="shared" si="26"/>
        <v>6750</v>
      </c>
      <c r="U30" s="518">
        <f t="shared" si="28"/>
        <v>6890</v>
      </c>
      <c r="V30" s="518">
        <f t="shared" si="30"/>
        <v>5805</v>
      </c>
      <c r="W30" s="518">
        <f t="shared" si="32"/>
        <v>5580.9035000000003</v>
      </c>
      <c r="X30" s="518">
        <f t="shared" si="35"/>
        <v>4092.0833333333335</v>
      </c>
      <c r="Y30" s="518">
        <f t="shared" si="37"/>
        <v>3393.3333333333335</v>
      </c>
      <c r="Z30" s="518">
        <f t="shared" si="39"/>
        <v>5251.666666666667</v>
      </c>
      <c r="AA30" s="518">
        <f t="shared" si="41"/>
        <v>3206.7083333333335</v>
      </c>
      <c r="AB30" s="518">
        <f t="shared" si="43"/>
        <v>2656.6666666666665</v>
      </c>
      <c r="AC30" s="518">
        <f t="shared" si="45"/>
        <v>2408.3333333333335</v>
      </c>
      <c r="AD30" s="518">
        <f t="shared" si="47"/>
        <v>1618.3333333333333</v>
      </c>
      <c r="AE30" s="518">
        <f t="shared" si="49"/>
        <v>2563.3333333333335</v>
      </c>
      <c r="AF30" s="518">
        <f t="shared" si="51"/>
        <v>2318.3333333333335</v>
      </c>
      <c r="AG30" s="518">
        <f t="shared" si="53"/>
        <v>2056.6666666666665</v>
      </c>
      <c r="AH30" s="518">
        <f t="shared" si="55"/>
        <v>1968.3333333333333</v>
      </c>
      <c r="AI30" s="518">
        <f t="shared" si="57"/>
        <v>2435</v>
      </c>
      <c r="AJ30" s="518">
        <f t="shared" si="60"/>
        <v>1468.3333333333333</v>
      </c>
      <c r="AK30" s="518">
        <f t="shared" si="62"/>
        <v>1326.6666666666667</v>
      </c>
      <c r="AL30" s="518">
        <f t="shared" ref="AL30:AL88" si="64">$K$29/60</f>
        <v>1798.3333333333333</v>
      </c>
      <c r="AM30" s="518">
        <f>$K$30/60</f>
        <v>1486.6666666666667</v>
      </c>
      <c r="AN30" s="518"/>
      <c r="AO30" s="518"/>
      <c r="AP30" s="518"/>
      <c r="AQ30" s="518"/>
      <c r="AR30" s="518"/>
      <c r="AS30" s="518"/>
      <c r="AT30" s="518"/>
      <c r="AU30" s="518"/>
      <c r="AV30" s="518"/>
      <c r="AW30" s="518"/>
      <c r="AX30" s="518"/>
      <c r="AY30" s="518"/>
      <c r="AZ30" s="518"/>
      <c r="BA30" s="518"/>
      <c r="BB30" s="518"/>
      <c r="BC30" s="518"/>
      <c r="BD30" s="518"/>
      <c r="BE30" s="518"/>
      <c r="BF30" s="518"/>
      <c r="BG30" s="518"/>
      <c r="BH30" s="518"/>
      <c r="BI30" s="518"/>
      <c r="BJ30" s="518"/>
      <c r="BK30" s="518"/>
      <c r="BL30" s="518"/>
      <c r="BM30" s="518"/>
      <c r="BN30" s="518"/>
      <c r="BO30" s="518"/>
      <c r="BP30" s="518"/>
      <c r="BQ30" s="518"/>
      <c r="BR30" s="518">
        <f t="shared" si="11"/>
        <v>93666.195166666657</v>
      </c>
      <c r="BS30" s="518">
        <f t="shared" si="15"/>
        <v>1509669.0678333337</v>
      </c>
      <c r="BT30" s="518">
        <f t="shared" si="5"/>
        <v>4110302.6421666662</v>
      </c>
      <c r="BU30" s="518">
        <f t="shared" si="6"/>
        <v>4203968.8373333327</v>
      </c>
      <c r="BW30" s="518"/>
      <c r="BX30" s="518"/>
      <c r="BY30" s="518"/>
      <c r="BZ30" s="518"/>
      <c r="CA30" s="518"/>
      <c r="CB30" s="518"/>
      <c r="CC30" s="518"/>
      <c r="CD30" s="518"/>
      <c r="CE30" s="518"/>
      <c r="CF30" s="518"/>
      <c r="CG30" s="518"/>
      <c r="CH30" s="518"/>
      <c r="CI30" s="518"/>
      <c r="CJ30" s="518"/>
      <c r="CK30" s="518">
        <f t="shared" si="44"/>
        <v>13283.333333333334</v>
      </c>
      <c r="CL30" s="518">
        <f t="shared" si="46"/>
        <v>12041.666666666666</v>
      </c>
      <c r="CM30" s="518">
        <f t="shared" si="48"/>
        <v>8091.666666666667</v>
      </c>
      <c r="CN30" s="518">
        <f t="shared" si="50"/>
        <v>12816.666666666666</v>
      </c>
      <c r="CO30" s="518">
        <f t="shared" si="52"/>
        <v>11591.666666666666</v>
      </c>
      <c r="CP30" s="518">
        <f t="shared" si="54"/>
        <v>10283.333333333334</v>
      </c>
      <c r="CQ30" s="518">
        <f t="shared" si="56"/>
        <v>9841.6666666666661</v>
      </c>
      <c r="CR30" s="518">
        <f t="shared" si="58"/>
        <v>12175</v>
      </c>
      <c r="CS30" s="518">
        <f t="shared" si="61"/>
        <v>7341.666666666667</v>
      </c>
      <c r="CT30" s="518">
        <f t="shared" si="63"/>
        <v>6633.333333333333</v>
      </c>
      <c r="CU30" s="518">
        <f t="shared" ref="CU30:CU40" si="65">$K$29/12</f>
        <v>8991.6666666666661</v>
      </c>
      <c r="CV30" s="518">
        <f>$K$30/12</f>
        <v>7433.333333333333</v>
      </c>
      <c r="CW30" s="518"/>
      <c r="CX30" s="518"/>
      <c r="CY30" s="518"/>
      <c r="CZ30" s="518"/>
      <c r="DA30" s="518"/>
      <c r="DB30" s="518"/>
      <c r="DC30" s="518"/>
      <c r="DD30" s="518"/>
      <c r="DE30" s="518"/>
      <c r="DF30" s="518"/>
      <c r="DG30" s="518"/>
      <c r="DH30" s="518"/>
      <c r="DI30" s="518"/>
      <c r="DJ30" s="518"/>
      <c r="DK30" s="518"/>
      <c r="DL30" s="518"/>
      <c r="DM30" s="518"/>
      <c r="DN30" s="518"/>
      <c r="DO30" s="518"/>
      <c r="DP30" s="518"/>
      <c r="DQ30" s="518"/>
      <c r="DR30" s="518"/>
      <c r="DS30" s="518"/>
      <c r="DT30" s="518"/>
      <c r="DU30" s="518"/>
      <c r="DV30" s="518"/>
      <c r="DW30" s="518"/>
      <c r="DX30" s="518"/>
      <c r="DY30" s="518"/>
      <c r="DZ30" s="518"/>
      <c r="EA30" s="518">
        <f t="shared" si="13"/>
        <v>120525</v>
      </c>
      <c r="EC30" s="519">
        <f t="shared" si="7"/>
        <v>120525</v>
      </c>
      <c r="ED30" s="519">
        <f t="shared" si="8"/>
        <v>93666.195166666657</v>
      </c>
      <c r="EE30" s="518">
        <f t="shared" si="9"/>
        <v>-26858.804833333343</v>
      </c>
      <c r="EF30" s="518">
        <f>+EE30*'Capital Structure '!$L$30</f>
        <v>-10971.82177441667</v>
      </c>
      <c r="EG30" s="518">
        <f t="shared" si="17"/>
        <v>-1434428.4043250838</v>
      </c>
    </row>
    <row r="31" spans="1:137" s="585" customFormat="1">
      <c r="A31" s="308" t="s">
        <v>50</v>
      </c>
      <c r="B31" s="308">
        <f t="shared" si="59"/>
        <v>2017</v>
      </c>
      <c r="C31" s="308" t="s">
        <v>47</v>
      </c>
      <c r="D31" s="518">
        <v>83500</v>
      </c>
      <c r="E31" s="518">
        <v>8800</v>
      </c>
      <c r="F31" s="518"/>
      <c r="G31" s="518"/>
      <c r="H31" s="518"/>
      <c r="I31" s="518"/>
      <c r="J31" s="518"/>
      <c r="K31" s="518">
        <f t="shared" si="4"/>
        <v>92300</v>
      </c>
      <c r="L31" s="518">
        <f>SUM(K$5:K31)</f>
        <v>5712271.71</v>
      </c>
      <c r="N31" s="518">
        <f t="shared" si="10"/>
        <v>925</v>
      </c>
      <c r="O31" s="518">
        <f t="shared" si="14"/>
        <v>2660</v>
      </c>
      <c r="P31" s="518">
        <f t="shared" si="18"/>
        <v>2463.3333333333335</v>
      </c>
      <c r="Q31" s="518">
        <f t="shared" si="20"/>
        <v>5920</v>
      </c>
      <c r="R31" s="518">
        <f t="shared" si="22"/>
        <v>8403.3333333333339</v>
      </c>
      <c r="S31" s="518">
        <f t="shared" si="24"/>
        <v>8219.8333333333339</v>
      </c>
      <c r="T31" s="518">
        <f t="shared" si="26"/>
        <v>6750</v>
      </c>
      <c r="U31" s="518">
        <f t="shared" si="28"/>
        <v>6890</v>
      </c>
      <c r="V31" s="518">
        <f t="shared" si="30"/>
        <v>5805</v>
      </c>
      <c r="W31" s="518">
        <f t="shared" si="32"/>
        <v>5580.9035000000003</v>
      </c>
      <c r="X31" s="518">
        <f t="shared" si="35"/>
        <v>4092.0833333333335</v>
      </c>
      <c r="Y31" s="518">
        <f t="shared" si="37"/>
        <v>3393.3333333333335</v>
      </c>
      <c r="Z31" s="518">
        <f t="shared" si="39"/>
        <v>5251.666666666667</v>
      </c>
      <c r="AA31" s="518">
        <f t="shared" si="41"/>
        <v>3206.7083333333335</v>
      </c>
      <c r="AB31" s="518">
        <f t="shared" si="43"/>
        <v>2656.6666666666665</v>
      </c>
      <c r="AC31" s="518">
        <f t="shared" si="45"/>
        <v>2408.3333333333335</v>
      </c>
      <c r="AD31" s="518">
        <f t="shared" si="47"/>
        <v>1618.3333333333333</v>
      </c>
      <c r="AE31" s="518">
        <f t="shared" si="49"/>
        <v>2563.3333333333335</v>
      </c>
      <c r="AF31" s="518">
        <f t="shared" si="51"/>
        <v>2318.3333333333335</v>
      </c>
      <c r="AG31" s="518">
        <f t="shared" si="53"/>
        <v>2056.6666666666665</v>
      </c>
      <c r="AH31" s="518">
        <f t="shared" si="55"/>
        <v>1968.3333333333333</v>
      </c>
      <c r="AI31" s="518">
        <f t="shared" si="57"/>
        <v>2435</v>
      </c>
      <c r="AJ31" s="518">
        <f t="shared" si="60"/>
        <v>1468.3333333333333</v>
      </c>
      <c r="AK31" s="518">
        <f t="shared" si="62"/>
        <v>1326.6666666666667</v>
      </c>
      <c r="AL31" s="518">
        <f t="shared" si="64"/>
        <v>1798.3333333333333</v>
      </c>
      <c r="AM31" s="518">
        <f t="shared" ref="AM31:AM89" si="66">$K$30/60</f>
        <v>1486.6666666666667</v>
      </c>
      <c r="AN31" s="518">
        <f>$K$31/60</f>
        <v>1538.3333333333333</v>
      </c>
      <c r="AO31" s="518"/>
      <c r="AP31" s="518"/>
      <c r="AQ31" s="518"/>
      <c r="AR31" s="518"/>
      <c r="AS31" s="518"/>
      <c r="AT31" s="518"/>
      <c r="AU31" s="518"/>
      <c r="AV31" s="518"/>
      <c r="AW31" s="518"/>
      <c r="AX31" s="518"/>
      <c r="AY31" s="518"/>
      <c r="AZ31" s="518"/>
      <c r="BA31" s="518"/>
      <c r="BB31" s="518"/>
      <c r="BC31" s="518"/>
      <c r="BD31" s="518"/>
      <c r="BE31" s="518"/>
      <c r="BF31" s="518"/>
      <c r="BG31" s="518"/>
      <c r="BH31" s="518"/>
      <c r="BI31" s="518"/>
      <c r="BJ31" s="518"/>
      <c r="BK31" s="518"/>
      <c r="BL31" s="518"/>
      <c r="BM31" s="518"/>
      <c r="BN31" s="518"/>
      <c r="BO31" s="518"/>
      <c r="BP31" s="518"/>
      <c r="BQ31" s="518"/>
      <c r="BR31" s="518">
        <f t="shared" si="11"/>
        <v>95204.528499999986</v>
      </c>
      <c r="BS31" s="518">
        <f t="shared" si="15"/>
        <v>1604873.5963333338</v>
      </c>
      <c r="BT31" s="518">
        <f t="shared" si="5"/>
        <v>4107398.1136666662</v>
      </c>
      <c r="BU31" s="518">
        <f t="shared" si="6"/>
        <v>4202602.6421666667</v>
      </c>
      <c r="BW31" s="518"/>
      <c r="BX31" s="518"/>
      <c r="BY31" s="518"/>
      <c r="BZ31" s="518"/>
      <c r="CA31" s="518"/>
      <c r="CB31" s="518"/>
      <c r="CC31" s="518"/>
      <c r="CD31" s="518"/>
      <c r="CE31" s="518"/>
      <c r="CF31" s="518"/>
      <c r="CG31" s="518"/>
      <c r="CH31" s="518"/>
      <c r="CI31" s="518"/>
      <c r="CJ31" s="518"/>
      <c r="CK31" s="518"/>
      <c r="CL31" s="518">
        <f t="shared" si="46"/>
        <v>12041.666666666666</v>
      </c>
      <c r="CM31" s="518">
        <f t="shared" si="48"/>
        <v>8091.666666666667</v>
      </c>
      <c r="CN31" s="518">
        <f t="shared" si="50"/>
        <v>12816.666666666666</v>
      </c>
      <c r="CO31" s="518">
        <f t="shared" si="52"/>
        <v>11591.666666666666</v>
      </c>
      <c r="CP31" s="518">
        <f t="shared" si="54"/>
        <v>10283.333333333334</v>
      </c>
      <c r="CQ31" s="518">
        <f t="shared" si="56"/>
        <v>9841.6666666666661</v>
      </c>
      <c r="CR31" s="518">
        <f t="shared" si="58"/>
        <v>12175</v>
      </c>
      <c r="CS31" s="518">
        <f t="shared" si="61"/>
        <v>7341.666666666667</v>
      </c>
      <c r="CT31" s="518">
        <f t="shared" si="63"/>
        <v>6633.333333333333</v>
      </c>
      <c r="CU31" s="518">
        <f t="shared" si="65"/>
        <v>8991.6666666666661</v>
      </c>
      <c r="CV31" s="518">
        <f t="shared" ref="CV31:CV41" si="67">$K$30/12</f>
        <v>7433.333333333333</v>
      </c>
      <c r="CW31" s="518">
        <f>$K$31/12</f>
        <v>7691.666666666667</v>
      </c>
      <c r="CX31" s="518"/>
      <c r="CY31" s="518"/>
      <c r="CZ31" s="518"/>
      <c r="DA31" s="518"/>
      <c r="DB31" s="518"/>
      <c r="DC31" s="518"/>
      <c r="DD31" s="518"/>
      <c r="DE31" s="518"/>
      <c r="DF31" s="518"/>
      <c r="DG31" s="518"/>
      <c r="DH31" s="518"/>
      <c r="DI31" s="518"/>
      <c r="DJ31" s="518"/>
      <c r="DK31" s="518"/>
      <c r="DL31" s="518"/>
      <c r="DM31" s="518"/>
      <c r="DN31" s="518"/>
      <c r="DO31" s="518"/>
      <c r="DP31" s="518"/>
      <c r="DQ31" s="518"/>
      <c r="DR31" s="518"/>
      <c r="DS31" s="518"/>
      <c r="DT31" s="518"/>
      <c r="DU31" s="518"/>
      <c r="DV31" s="518"/>
      <c r="DW31" s="518"/>
      <c r="DX31" s="518"/>
      <c r="DY31" s="518"/>
      <c r="DZ31" s="518"/>
      <c r="EA31" s="518">
        <f t="shared" si="13"/>
        <v>114933.33333333333</v>
      </c>
      <c r="EC31" s="519">
        <f t="shared" si="7"/>
        <v>114933.33333333333</v>
      </c>
      <c r="ED31" s="519">
        <f t="shared" si="8"/>
        <v>95204.528499999986</v>
      </c>
      <c r="EE31" s="518">
        <f t="shared" si="9"/>
        <v>-19728.804833333343</v>
      </c>
      <c r="EF31" s="518">
        <f>+EE31*'Capital Structure '!$L$30</f>
        <v>-8059.21677441667</v>
      </c>
      <c r="EG31" s="518">
        <f t="shared" si="17"/>
        <v>-1442487.6210995005</v>
      </c>
    </row>
    <row r="32" spans="1:137" s="585" customFormat="1">
      <c r="A32" s="308" t="s">
        <v>51</v>
      </c>
      <c r="B32" s="308">
        <f t="shared" si="59"/>
        <v>2017</v>
      </c>
      <c r="C32" s="308" t="s">
        <v>47</v>
      </c>
      <c r="D32" s="518">
        <v>61500</v>
      </c>
      <c r="E32" s="518">
        <v>6700</v>
      </c>
      <c r="F32" s="518"/>
      <c r="G32" s="518"/>
      <c r="H32" s="518"/>
      <c r="I32" s="518"/>
      <c r="J32" s="518"/>
      <c r="K32" s="518">
        <f t="shared" si="4"/>
        <v>68200</v>
      </c>
      <c r="L32" s="518">
        <f>SUM(K$5:K32)</f>
        <v>5780471.71</v>
      </c>
      <c r="N32" s="518">
        <f t="shared" si="10"/>
        <v>925</v>
      </c>
      <c r="O32" s="518">
        <f t="shared" si="14"/>
        <v>2660</v>
      </c>
      <c r="P32" s="518">
        <f t="shared" si="18"/>
        <v>2463.3333333333335</v>
      </c>
      <c r="Q32" s="518">
        <f t="shared" si="20"/>
        <v>5920</v>
      </c>
      <c r="R32" s="518">
        <f t="shared" si="22"/>
        <v>8403.3333333333339</v>
      </c>
      <c r="S32" s="518">
        <f t="shared" si="24"/>
        <v>8219.8333333333339</v>
      </c>
      <c r="T32" s="518">
        <f t="shared" si="26"/>
        <v>6750</v>
      </c>
      <c r="U32" s="518">
        <f t="shared" si="28"/>
        <v>6890</v>
      </c>
      <c r="V32" s="518">
        <f t="shared" si="30"/>
        <v>5805</v>
      </c>
      <c r="W32" s="518">
        <f t="shared" si="32"/>
        <v>5580.9035000000003</v>
      </c>
      <c r="X32" s="518">
        <f t="shared" si="35"/>
        <v>4092.0833333333335</v>
      </c>
      <c r="Y32" s="518">
        <f t="shared" si="37"/>
        <v>3393.3333333333335</v>
      </c>
      <c r="Z32" s="518">
        <f t="shared" si="39"/>
        <v>5251.666666666667</v>
      </c>
      <c r="AA32" s="518">
        <f t="shared" si="41"/>
        <v>3206.7083333333335</v>
      </c>
      <c r="AB32" s="518">
        <f t="shared" si="43"/>
        <v>2656.6666666666665</v>
      </c>
      <c r="AC32" s="518">
        <f t="shared" si="45"/>
        <v>2408.3333333333335</v>
      </c>
      <c r="AD32" s="518">
        <f t="shared" si="47"/>
        <v>1618.3333333333333</v>
      </c>
      <c r="AE32" s="518">
        <f t="shared" si="49"/>
        <v>2563.3333333333335</v>
      </c>
      <c r="AF32" s="518">
        <f t="shared" si="51"/>
        <v>2318.3333333333335</v>
      </c>
      <c r="AG32" s="518">
        <f t="shared" si="53"/>
        <v>2056.6666666666665</v>
      </c>
      <c r="AH32" s="518">
        <f t="shared" si="55"/>
        <v>1968.3333333333333</v>
      </c>
      <c r="AI32" s="518">
        <f t="shared" si="57"/>
        <v>2435</v>
      </c>
      <c r="AJ32" s="518">
        <f t="shared" si="60"/>
        <v>1468.3333333333333</v>
      </c>
      <c r="AK32" s="518">
        <f t="shared" si="62"/>
        <v>1326.6666666666667</v>
      </c>
      <c r="AL32" s="518">
        <f t="shared" si="64"/>
        <v>1798.3333333333333</v>
      </c>
      <c r="AM32" s="518">
        <f t="shared" si="66"/>
        <v>1486.6666666666667</v>
      </c>
      <c r="AN32" s="518">
        <f t="shared" ref="AN32:AN90" si="68">$K$31/60</f>
        <v>1538.3333333333333</v>
      </c>
      <c r="AO32" s="518">
        <f>$K$32/60</f>
        <v>1136.6666666666667</v>
      </c>
      <c r="AP32" s="518"/>
      <c r="AQ32" s="518"/>
      <c r="AR32" s="518"/>
      <c r="AS32" s="518"/>
      <c r="AT32" s="518"/>
      <c r="AU32" s="518"/>
      <c r="AV32" s="518"/>
      <c r="AW32" s="518"/>
      <c r="AX32" s="518"/>
      <c r="AY32" s="518"/>
      <c r="AZ32" s="518"/>
      <c r="BA32" s="518"/>
      <c r="BB32" s="518"/>
      <c r="BC32" s="518"/>
      <c r="BD32" s="518"/>
      <c r="BE32" s="518"/>
      <c r="BF32" s="518"/>
      <c r="BG32" s="518"/>
      <c r="BH32" s="518"/>
      <c r="BI32" s="518"/>
      <c r="BJ32" s="518"/>
      <c r="BK32" s="518"/>
      <c r="BL32" s="518"/>
      <c r="BM32" s="518"/>
      <c r="BN32" s="518"/>
      <c r="BO32" s="518"/>
      <c r="BP32" s="518"/>
      <c r="BQ32" s="518"/>
      <c r="BR32" s="518">
        <f t="shared" si="11"/>
        <v>96341.195166666657</v>
      </c>
      <c r="BS32" s="518">
        <f t="shared" si="15"/>
        <v>1701214.7915000005</v>
      </c>
      <c r="BT32" s="518">
        <f t="shared" si="5"/>
        <v>4079256.9184999997</v>
      </c>
      <c r="BU32" s="518">
        <f t="shared" si="6"/>
        <v>4175598.1136666662</v>
      </c>
      <c r="BW32" s="518"/>
      <c r="BX32" s="518"/>
      <c r="BY32" s="518"/>
      <c r="BZ32" s="518"/>
      <c r="CA32" s="518"/>
      <c r="CB32" s="518"/>
      <c r="CC32" s="518"/>
      <c r="CD32" s="518"/>
      <c r="CE32" s="518"/>
      <c r="CF32" s="518"/>
      <c r="CG32" s="518"/>
      <c r="CH32" s="518"/>
      <c r="CI32" s="518"/>
      <c r="CJ32" s="518"/>
      <c r="CK32" s="518"/>
      <c r="CL32" s="518"/>
      <c r="CM32" s="518">
        <f t="shared" si="48"/>
        <v>8091.666666666667</v>
      </c>
      <c r="CN32" s="518">
        <f t="shared" si="50"/>
        <v>12816.666666666666</v>
      </c>
      <c r="CO32" s="518">
        <f t="shared" si="52"/>
        <v>11591.666666666666</v>
      </c>
      <c r="CP32" s="518">
        <f t="shared" si="54"/>
        <v>10283.333333333334</v>
      </c>
      <c r="CQ32" s="518">
        <f t="shared" si="56"/>
        <v>9841.6666666666661</v>
      </c>
      <c r="CR32" s="518">
        <f t="shared" si="58"/>
        <v>12175</v>
      </c>
      <c r="CS32" s="518">
        <f t="shared" si="61"/>
        <v>7341.666666666667</v>
      </c>
      <c r="CT32" s="518">
        <f t="shared" si="63"/>
        <v>6633.333333333333</v>
      </c>
      <c r="CU32" s="518">
        <f t="shared" si="65"/>
        <v>8991.6666666666661</v>
      </c>
      <c r="CV32" s="518">
        <f t="shared" si="67"/>
        <v>7433.333333333333</v>
      </c>
      <c r="CW32" s="518">
        <f t="shared" ref="CW32:CW42" si="69">$K$31/12</f>
        <v>7691.666666666667</v>
      </c>
      <c r="CX32" s="518">
        <f>$K$32/12</f>
        <v>5683.333333333333</v>
      </c>
      <c r="CY32" s="518"/>
      <c r="CZ32" s="518"/>
      <c r="DA32" s="518"/>
      <c r="DB32" s="518"/>
      <c r="DC32" s="518"/>
      <c r="DD32" s="518"/>
      <c r="DE32" s="518"/>
      <c r="DF32" s="518"/>
      <c r="DG32" s="518"/>
      <c r="DH32" s="518"/>
      <c r="DI32" s="518"/>
      <c r="DJ32" s="518"/>
      <c r="DK32" s="518"/>
      <c r="DL32" s="518"/>
      <c r="DM32" s="518"/>
      <c r="DN32" s="518"/>
      <c r="DO32" s="518"/>
      <c r="DP32" s="518"/>
      <c r="DQ32" s="518"/>
      <c r="DR32" s="518"/>
      <c r="DS32" s="518"/>
      <c r="DT32" s="518"/>
      <c r="DU32" s="518"/>
      <c r="DV32" s="518"/>
      <c r="DW32" s="518"/>
      <c r="DX32" s="518"/>
      <c r="DY32" s="518"/>
      <c r="DZ32" s="518"/>
      <c r="EA32" s="518">
        <f t="shared" si="13"/>
        <v>108575</v>
      </c>
      <c r="EC32" s="519">
        <f t="shared" si="7"/>
        <v>108575</v>
      </c>
      <c r="ED32" s="519">
        <f t="shared" si="8"/>
        <v>96341.195166666657</v>
      </c>
      <c r="EE32" s="518">
        <f t="shared" si="9"/>
        <v>-12233.804833333343</v>
      </c>
      <c r="EF32" s="518">
        <f>+EE32*'Capital Structure '!$L$30</f>
        <v>-4997.5092744166705</v>
      </c>
      <c r="EG32" s="518">
        <f t="shared" si="17"/>
        <v>-1447485.1303739171</v>
      </c>
    </row>
    <row r="33" spans="1:137" s="585" customFormat="1">
      <c r="A33" s="308" t="s">
        <v>52</v>
      </c>
      <c r="B33" s="308">
        <f t="shared" si="59"/>
        <v>2017</v>
      </c>
      <c r="C33" s="308" t="s">
        <v>47</v>
      </c>
      <c r="D33" s="518">
        <v>62000</v>
      </c>
      <c r="E33" s="518">
        <v>5900</v>
      </c>
      <c r="F33" s="518"/>
      <c r="G33" s="518"/>
      <c r="H33" s="518"/>
      <c r="I33" s="518"/>
      <c r="J33" s="518"/>
      <c r="K33" s="518">
        <f t="shared" si="4"/>
        <v>67900</v>
      </c>
      <c r="L33" s="518">
        <f>SUM(K$5:K33)</f>
        <v>5848371.71</v>
      </c>
      <c r="N33" s="518">
        <f t="shared" si="10"/>
        <v>925</v>
      </c>
      <c r="O33" s="518">
        <f t="shared" si="14"/>
        <v>2660</v>
      </c>
      <c r="P33" s="518">
        <f t="shared" si="18"/>
        <v>2463.3333333333335</v>
      </c>
      <c r="Q33" s="518">
        <f t="shared" si="20"/>
        <v>5920</v>
      </c>
      <c r="R33" s="518">
        <f t="shared" si="22"/>
        <v>8403.3333333333339</v>
      </c>
      <c r="S33" s="518">
        <f t="shared" si="24"/>
        <v>8219.8333333333339</v>
      </c>
      <c r="T33" s="518">
        <f t="shared" si="26"/>
        <v>6750</v>
      </c>
      <c r="U33" s="518">
        <f t="shared" si="28"/>
        <v>6890</v>
      </c>
      <c r="V33" s="518">
        <f t="shared" si="30"/>
        <v>5805</v>
      </c>
      <c r="W33" s="518">
        <f t="shared" si="32"/>
        <v>5580.9035000000003</v>
      </c>
      <c r="X33" s="518">
        <f t="shared" si="35"/>
        <v>4092.0833333333335</v>
      </c>
      <c r="Y33" s="518">
        <f t="shared" si="37"/>
        <v>3393.3333333333335</v>
      </c>
      <c r="Z33" s="518">
        <f t="shared" si="39"/>
        <v>5251.666666666667</v>
      </c>
      <c r="AA33" s="518">
        <f t="shared" si="41"/>
        <v>3206.7083333333335</v>
      </c>
      <c r="AB33" s="518">
        <f t="shared" si="43"/>
        <v>2656.6666666666665</v>
      </c>
      <c r="AC33" s="518">
        <f t="shared" si="45"/>
        <v>2408.3333333333335</v>
      </c>
      <c r="AD33" s="518">
        <f t="shared" si="47"/>
        <v>1618.3333333333333</v>
      </c>
      <c r="AE33" s="518">
        <f t="shared" si="49"/>
        <v>2563.3333333333335</v>
      </c>
      <c r="AF33" s="518">
        <f t="shared" si="51"/>
        <v>2318.3333333333335</v>
      </c>
      <c r="AG33" s="518">
        <f t="shared" si="53"/>
        <v>2056.6666666666665</v>
      </c>
      <c r="AH33" s="518">
        <f t="shared" si="55"/>
        <v>1968.3333333333333</v>
      </c>
      <c r="AI33" s="518">
        <f t="shared" si="57"/>
        <v>2435</v>
      </c>
      <c r="AJ33" s="518">
        <f t="shared" si="60"/>
        <v>1468.3333333333333</v>
      </c>
      <c r="AK33" s="518">
        <f t="shared" si="62"/>
        <v>1326.6666666666667</v>
      </c>
      <c r="AL33" s="518">
        <f t="shared" si="64"/>
        <v>1798.3333333333333</v>
      </c>
      <c r="AM33" s="518">
        <f t="shared" si="66"/>
        <v>1486.6666666666667</v>
      </c>
      <c r="AN33" s="518">
        <f t="shared" si="68"/>
        <v>1538.3333333333333</v>
      </c>
      <c r="AO33" s="518">
        <f t="shared" ref="AO33:AO91" si="70">$K$32/60</f>
        <v>1136.6666666666667</v>
      </c>
      <c r="AP33" s="518">
        <f>$K$33/60</f>
        <v>1131.6666666666667</v>
      </c>
      <c r="AQ33" s="518"/>
      <c r="AR33" s="518"/>
      <c r="AS33" s="518"/>
      <c r="AT33" s="518"/>
      <c r="AU33" s="518"/>
      <c r="AV33" s="518"/>
      <c r="AW33" s="518"/>
      <c r="AX33" s="518"/>
      <c r="AY33" s="518"/>
      <c r="AZ33" s="518"/>
      <c r="BA33" s="518"/>
      <c r="BB33" s="518"/>
      <c r="BC33" s="518"/>
      <c r="BD33" s="518"/>
      <c r="BE33" s="518"/>
      <c r="BF33" s="518"/>
      <c r="BG33" s="518"/>
      <c r="BH33" s="518"/>
      <c r="BI33" s="518"/>
      <c r="BJ33" s="518"/>
      <c r="BK33" s="518"/>
      <c r="BL33" s="518"/>
      <c r="BM33" s="518"/>
      <c r="BN33" s="518"/>
      <c r="BO33" s="518"/>
      <c r="BP33" s="518"/>
      <c r="BQ33" s="518"/>
      <c r="BR33" s="518">
        <f t="shared" si="11"/>
        <v>97472.861833333329</v>
      </c>
      <c r="BS33" s="518">
        <f t="shared" si="15"/>
        <v>1798687.6533333338</v>
      </c>
      <c r="BT33" s="518">
        <f t="shared" si="5"/>
        <v>4049684.0566666662</v>
      </c>
      <c r="BU33" s="518">
        <f t="shared" si="6"/>
        <v>4147156.9184999997</v>
      </c>
      <c r="BW33" s="518"/>
      <c r="BX33" s="518"/>
      <c r="BY33" s="518"/>
      <c r="BZ33" s="518"/>
      <c r="CA33" s="518"/>
      <c r="CB33" s="518"/>
      <c r="CC33" s="518"/>
      <c r="CD33" s="518"/>
      <c r="CE33" s="518"/>
      <c r="CF33" s="518"/>
      <c r="CG33" s="518"/>
      <c r="CH33" s="518"/>
      <c r="CI33" s="518"/>
      <c r="CJ33" s="518"/>
      <c r="CK33" s="518"/>
      <c r="CL33" s="518"/>
      <c r="CM33" s="518"/>
      <c r="CN33" s="518">
        <f t="shared" si="50"/>
        <v>12816.666666666666</v>
      </c>
      <c r="CO33" s="518">
        <f t="shared" si="52"/>
        <v>11591.666666666666</v>
      </c>
      <c r="CP33" s="518">
        <f t="shared" si="54"/>
        <v>10283.333333333334</v>
      </c>
      <c r="CQ33" s="518">
        <f t="shared" si="56"/>
        <v>9841.6666666666661</v>
      </c>
      <c r="CR33" s="518">
        <f t="shared" si="58"/>
        <v>12175</v>
      </c>
      <c r="CS33" s="518">
        <f t="shared" si="61"/>
        <v>7341.666666666667</v>
      </c>
      <c r="CT33" s="518">
        <f t="shared" si="63"/>
        <v>6633.333333333333</v>
      </c>
      <c r="CU33" s="518">
        <f t="shared" si="65"/>
        <v>8991.6666666666661</v>
      </c>
      <c r="CV33" s="518">
        <f t="shared" si="67"/>
        <v>7433.333333333333</v>
      </c>
      <c r="CW33" s="518">
        <f t="shared" si="69"/>
        <v>7691.666666666667</v>
      </c>
      <c r="CX33" s="518">
        <f t="shared" ref="CX33:CX43" si="71">$K$32/12</f>
        <v>5683.333333333333</v>
      </c>
      <c r="CY33" s="518">
        <f>$K$33/12</f>
        <v>5658.333333333333</v>
      </c>
      <c r="CZ33" s="518"/>
      <c r="DA33" s="518"/>
      <c r="DB33" s="518"/>
      <c r="DC33" s="518"/>
      <c r="DD33" s="518"/>
      <c r="DE33" s="518"/>
      <c r="DF33" s="518"/>
      <c r="DG33" s="518"/>
      <c r="DH33" s="518"/>
      <c r="DI33" s="518"/>
      <c r="DJ33" s="518"/>
      <c r="DK33" s="518"/>
      <c r="DL33" s="518"/>
      <c r="DM33" s="518"/>
      <c r="DN33" s="518"/>
      <c r="DO33" s="518"/>
      <c r="DP33" s="518"/>
      <c r="DQ33" s="518"/>
      <c r="DR33" s="518"/>
      <c r="DS33" s="518"/>
      <c r="DT33" s="518"/>
      <c r="DU33" s="518"/>
      <c r="DV33" s="518"/>
      <c r="DW33" s="518"/>
      <c r="DX33" s="518"/>
      <c r="DY33" s="518"/>
      <c r="DZ33" s="518"/>
      <c r="EA33" s="518">
        <f t="shared" si="13"/>
        <v>106141.66666666666</v>
      </c>
      <c r="EC33" s="519">
        <f t="shared" si="7"/>
        <v>106141.66666666666</v>
      </c>
      <c r="ED33" s="519">
        <f t="shared" si="8"/>
        <v>97472.861833333329</v>
      </c>
      <c r="EE33" s="518">
        <f t="shared" si="9"/>
        <v>-8668.8048333333281</v>
      </c>
      <c r="EF33" s="518">
        <f>+EE33*'Capital Structure '!$L$30</f>
        <v>-3541.2067744166643</v>
      </c>
      <c r="EG33" s="518">
        <f t="shared" si="17"/>
        <v>-1451026.3371483337</v>
      </c>
    </row>
    <row r="34" spans="1:137" s="585" customFormat="1">
      <c r="A34" s="308" t="s">
        <v>53</v>
      </c>
      <c r="B34" s="308">
        <f>+B33+1</f>
        <v>2018</v>
      </c>
      <c r="C34" s="308" t="s">
        <v>47</v>
      </c>
      <c r="D34" s="518">
        <v>69500</v>
      </c>
      <c r="E34" s="518">
        <v>7000</v>
      </c>
      <c r="F34" s="518"/>
      <c r="G34" s="518"/>
      <c r="H34" s="518"/>
      <c r="I34" s="518"/>
      <c r="J34" s="518"/>
      <c r="K34" s="518">
        <f t="shared" si="4"/>
        <v>76500</v>
      </c>
      <c r="L34" s="518">
        <f>SUM(K$5:K34)</f>
        <v>5924871.71</v>
      </c>
      <c r="N34" s="518">
        <f t="shared" si="10"/>
        <v>925</v>
      </c>
      <c r="O34" s="518">
        <f t="shared" si="14"/>
        <v>2660</v>
      </c>
      <c r="P34" s="518">
        <f t="shared" si="18"/>
        <v>2463.3333333333335</v>
      </c>
      <c r="Q34" s="518">
        <f t="shared" si="20"/>
        <v>5920</v>
      </c>
      <c r="R34" s="518">
        <f t="shared" si="22"/>
        <v>8403.3333333333339</v>
      </c>
      <c r="S34" s="518">
        <f t="shared" si="24"/>
        <v>8219.8333333333339</v>
      </c>
      <c r="T34" s="518">
        <f t="shared" si="26"/>
        <v>6750</v>
      </c>
      <c r="U34" s="518">
        <f t="shared" si="28"/>
        <v>6890</v>
      </c>
      <c r="V34" s="518">
        <f t="shared" si="30"/>
        <v>5805</v>
      </c>
      <c r="W34" s="518">
        <f t="shared" si="32"/>
        <v>5580.9035000000003</v>
      </c>
      <c r="X34" s="518">
        <f t="shared" si="35"/>
        <v>4092.0833333333335</v>
      </c>
      <c r="Y34" s="518">
        <f t="shared" si="37"/>
        <v>3393.3333333333335</v>
      </c>
      <c r="Z34" s="518">
        <f t="shared" si="39"/>
        <v>5251.666666666667</v>
      </c>
      <c r="AA34" s="518">
        <f t="shared" si="41"/>
        <v>3206.7083333333335</v>
      </c>
      <c r="AB34" s="518">
        <f t="shared" si="43"/>
        <v>2656.6666666666665</v>
      </c>
      <c r="AC34" s="518">
        <f t="shared" si="45"/>
        <v>2408.3333333333335</v>
      </c>
      <c r="AD34" s="518">
        <f t="shared" si="47"/>
        <v>1618.3333333333333</v>
      </c>
      <c r="AE34" s="518">
        <f t="shared" si="49"/>
        <v>2563.3333333333335</v>
      </c>
      <c r="AF34" s="518">
        <f t="shared" si="51"/>
        <v>2318.3333333333335</v>
      </c>
      <c r="AG34" s="518">
        <f t="shared" si="53"/>
        <v>2056.6666666666665</v>
      </c>
      <c r="AH34" s="518">
        <f t="shared" si="55"/>
        <v>1968.3333333333333</v>
      </c>
      <c r="AI34" s="518">
        <f t="shared" si="57"/>
        <v>2435</v>
      </c>
      <c r="AJ34" s="518">
        <f t="shared" si="60"/>
        <v>1468.3333333333333</v>
      </c>
      <c r="AK34" s="518">
        <f t="shared" si="62"/>
        <v>1326.6666666666667</v>
      </c>
      <c r="AL34" s="518">
        <f t="shared" si="64"/>
        <v>1798.3333333333333</v>
      </c>
      <c r="AM34" s="518">
        <f t="shared" si="66"/>
        <v>1486.6666666666667</v>
      </c>
      <c r="AN34" s="518">
        <f t="shared" si="68"/>
        <v>1538.3333333333333</v>
      </c>
      <c r="AO34" s="518">
        <f t="shared" si="70"/>
        <v>1136.6666666666667</v>
      </c>
      <c r="AP34" s="518">
        <f t="shared" ref="AP34:AP92" si="72">$K$33/60</f>
        <v>1131.6666666666667</v>
      </c>
      <c r="AQ34" s="518">
        <f>$K$34/60</f>
        <v>1275</v>
      </c>
      <c r="AR34" s="518"/>
      <c r="AS34" s="518"/>
      <c r="AT34" s="518"/>
      <c r="AU34" s="518"/>
      <c r="AV34" s="518"/>
      <c r="AW34" s="518"/>
      <c r="AX34" s="518"/>
      <c r="AY34" s="518"/>
      <c r="AZ34" s="518"/>
      <c r="BA34" s="518"/>
      <c r="BB34" s="518"/>
      <c r="BC34" s="518"/>
      <c r="BD34" s="518"/>
      <c r="BE34" s="518"/>
      <c r="BF34" s="518"/>
      <c r="BG34" s="518"/>
      <c r="BH34" s="518"/>
      <c r="BI34" s="518"/>
      <c r="BJ34" s="518"/>
      <c r="BK34" s="518"/>
      <c r="BL34" s="518"/>
      <c r="BM34" s="518"/>
      <c r="BN34" s="518"/>
      <c r="BO34" s="518"/>
      <c r="BP34" s="518"/>
      <c r="BQ34" s="518"/>
      <c r="BR34" s="518">
        <f t="shared" si="11"/>
        <v>98747.861833333329</v>
      </c>
      <c r="BS34" s="518">
        <f t="shared" si="15"/>
        <v>1897435.5151666671</v>
      </c>
      <c r="BT34" s="518">
        <f t="shared" si="5"/>
        <v>4027436.1948333327</v>
      </c>
      <c r="BU34" s="518">
        <f t="shared" si="6"/>
        <v>4126184.0566666662</v>
      </c>
      <c r="BW34" s="518"/>
      <c r="BX34" s="518"/>
      <c r="BY34" s="518"/>
      <c r="BZ34" s="518"/>
      <c r="CA34" s="518"/>
      <c r="CB34" s="518"/>
      <c r="CC34" s="518"/>
      <c r="CD34" s="518"/>
      <c r="CE34" s="518"/>
      <c r="CF34" s="518"/>
      <c r="CG34" s="518"/>
      <c r="CH34" s="518"/>
      <c r="CI34" s="518"/>
      <c r="CJ34" s="518"/>
      <c r="CK34" s="518"/>
      <c r="CL34" s="518"/>
      <c r="CM34" s="518"/>
      <c r="CN34" s="518"/>
      <c r="CO34" s="518">
        <f t="shared" si="52"/>
        <v>11591.666666666666</v>
      </c>
      <c r="CP34" s="518">
        <f t="shared" si="54"/>
        <v>10283.333333333334</v>
      </c>
      <c r="CQ34" s="518">
        <f t="shared" si="56"/>
        <v>9841.6666666666661</v>
      </c>
      <c r="CR34" s="518">
        <f t="shared" si="58"/>
        <v>12175</v>
      </c>
      <c r="CS34" s="518">
        <f t="shared" si="61"/>
        <v>7341.666666666667</v>
      </c>
      <c r="CT34" s="518">
        <f t="shared" si="63"/>
        <v>6633.333333333333</v>
      </c>
      <c r="CU34" s="518">
        <f t="shared" si="65"/>
        <v>8991.6666666666661</v>
      </c>
      <c r="CV34" s="518">
        <f t="shared" si="67"/>
        <v>7433.333333333333</v>
      </c>
      <c r="CW34" s="518">
        <f t="shared" si="69"/>
        <v>7691.666666666667</v>
      </c>
      <c r="CX34" s="518">
        <f t="shared" si="71"/>
        <v>5683.333333333333</v>
      </c>
      <c r="CY34" s="518">
        <f t="shared" ref="CY34:CY44" si="73">$K$33/12</f>
        <v>5658.333333333333</v>
      </c>
      <c r="CZ34" s="518">
        <f>$K$34/12</f>
        <v>6375</v>
      </c>
      <c r="DA34" s="518"/>
      <c r="DB34" s="518"/>
      <c r="DC34" s="518"/>
      <c r="DD34" s="518"/>
      <c r="DE34" s="518"/>
      <c r="DF34" s="518"/>
      <c r="DG34" s="518"/>
      <c r="DH34" s="518"/>
      <c r="DI34" s="518"/>
      <c r="DJ34" s="518"/>
      <c r="DK34" s="518"/>
      <c r="DL34" s="518"/>
      <c r="DM34" s="518"/>
      <c r="DN34" s="518"/>
      <c r="DO34" s="518"/>
      <c r="DP34" s="518"/>
      <c r="DQ34" s="518"/>
      <c r="DR34" s="518"/>
      <c r="DS34" s="518"/>
      <c r="DT34" s="518"/>
      <c r="DU34" s="518"/>
      <c r="DV34" s="518"/>
      <c r="DW34" s="518"/>
      <c r="DX34" s="518"/>
      <c r="DY34" s="518"/>
      <c r="DZ34" s="518"/>
      <c r="EA34" s="518">
        <f t="shared" si="13"/>
        <v>99699.999999999985</v>
      </c>
      <c r="EC34" s="519">
        <f t="shared" si="7"/>
        <v>99699.999999999985</v>
      </c>
      <c r="ED34" s="519">
        <f t="shared" si="8"/>
        <v>98747.861833333329</v>
      </c>
      <c r="EE34" s="518">
        <f t="shared" si="9"/>
        <v>-952.13816666665662</v>
      </c>
      <c r="EF34" s="518">
        <f>+EE34*'Capital Structure '!$P$30</f>
        <v>-267.64603864999714</v>
      </c>
      <c r="EG34" s="518">
        <v>-998758.47436764964</v>
      </c>
    </row>
    <row r="35" spans="1:137" s="585" customFormat="1">
      <c r="A35" s="308" t="s">
        <v>54</v>
      </c>
      <c r="B35" s="308">
        <f t="shared" ref="B35:B98" si="74">+B34</f>
        <v>2018</v>
      </c>
      <c r="C35" s="308" t="s">
        <v>47</v>
      </c>
      <c r="D35" s="518">
        <v>79000</v>
      </c>
      <c r="E35" s="518">
        <v>7400</v>
      </c>
      <c r="F35" s="518"/>
      <c r="G35" s="518"/>
      <c r="H35" s="518"/>
      <c r="I35" s="518"/>
      <c r="J35" s="518"/>
      <c r="K35" s="518">
        <f t="shared" si="4"/>
        <v>86400</v>
      </c>
      <c r="L35" s="518">
        <f>SUM(K$5:K35)</f>
        <v>6011271.71</v>
      </c>
      <c r="N35" s="518">
        <f t="shared" si="10"/>
        <v>925</v>
      </c>
      <c r="O35" s="518">
        <f t="shared" si="14"/>
        <v>2660</v>
      </c>
      <c r="P35" s="518">
        <f t="shared" si="18"/>
        <v>2463.3333333333335</v>
      </c>
      <c r="Q35" s="518">
        <f t="shared" si="20"/>
        <v>5920</v>
      </c>
      <c r="R35" s="518">
        <f t="shared" si="22"/>
        <v>8403.3333333333339</v>
      </c>
      <c r="S35" s="518">
        <f t="shared" si="24"/>
        <v>8219.8333333333339</v>
      </c>
      <c r="T35" s="518">
        <f t="shared" si="26"/>
        <v>6750</v>
      </c>
      <c r="U35" s="518">
        <f t="shared" si="28"/>
        <v>6890</v>
      </c>
      <c r="V35" s="518">
        <f t="shared" si="30"/>
        <v>5805</v>
      </c>
      <c r="W35" s="518">
        <f t="shared" si="32"/>
        <v>5580.9035000000003</v>
      </c>
      <c r="X35" s="518">
        <f t="shared" si="35"/>
        <v>4092.0833333333335</v>
      </c>
      <c r="Y35" s="518">
        <f t="shared" si="37"/>
        <v>3393.3333333333335</v>
      </c>
      <c r="Z35" s="518">
        <f t="shared" si="39"/>
        <v>5251.666666666667</v>
      </c>
      <c r="AA35" s="518">
        <f t="shared" si="41"/>
        <v>3206.7083333333335</v>
      </c>
      <c r="AB35" s="518">
        <f t="shared" si="43"/>
        <v>2656.6666666666665</v>
      </c>
      <c r="AC35" s="518">
        <f t="shared" si="45"/>
        <v>2408.3333333333335</v>
      </c>
      <c r="AD35" s="518">
        <f t="shared" si="47"/>
        <v>1618.3333333333333</v>
      </c>
      <c r="AE35" s="518">
        <f t="shared" si="49"/>
        <v>2563.3333333333335</v>
      </c>
      <c r="AF35" s="518">
        <f t="shared" si="51"/>
        <v>2318.3333333333335</v>
      </c>
      <c r="AG35" s="518">
        <f t="shared" si="53"/>
        <v>2056.6666666666665</v>
      </c>
      <c r="AH35" s="518">
        <f t="shared" si="55"/>
        <v>1968.3333333333333</v>
      </c>
      <c r="AI35" s="518">
        <f t="shared" si="57"/>
        <v>2435</v>
      </c>
      <c r="AJ35" s="518">
        <f t="shared" si="60"/>
        <v>1468.3333333333333</v>
      </c>
      <c r="AK35" s="518">
        <f t="shared" si="62"/>
        <v>1326.6666666666667</v>
      </c>
      <c r="AL35" s="518">
        <f t="shared" si="64"/>
        <v>1798.3333333333333</v>
      </c>
      <c r="AM35" s="518">
        <f t="shared" si="66"/>
        <v>1486.6666666666667</v>
      </c>
      <c r="AN35" s="518">
        <f t="shared" si="68"/>
        <v>1538.3333333333333</v>
      </c>
      <c r="AO35" s="518">
        <f t="shared" si="70"/>
        <v>1136.6666666666667</v>
      </c>
      <c r="AP35" s="518">
        <f t="shared" si="72"/>
        <v>1131.6666666666667</v>
      </c>
      <c r="AQ35" s="518">
        <f t="shared" ref="AQ35:AQ93" si="75">$K$34/60</f>
        <v>1275</v>
      </c>
      <c r="AR35" s="518">
        <f>$K$35/60</f>
        <v>1440</v>
      </c>
      <c r="AS35" s="518"/>
      <c r="AT35" s="518"/>
      <c r="AU35" s="518"/>
      <c r="AV35" s="518"/>
      <c r="AW35" s="518"/>
      <c r="AX35" s="518"/>
      <c r="AY35" s="518"/>
      <c r="AZ35" s="518"/>
      <c r="BA35" s="518"/>
      <c r="BB35" s="518"/>
      <c r="BC35" s="518"/>
      <c r="BD35" s="518"/>
      <c r="BE35" s="518"/>
      <c r="BF35" s="518"/>
      <c r="BG35" s="518"/>
      <c r="BH35" s="518"/>
      <c r="BI35" s="518"/>
      <c r="BJ35" s="518"/>
      <c r="BK35" s="518"/>
      <c r="BL35" s="518"/>
      <c r="BM35" s="518"/>
      <c r="BN35" s="518"/>
      <c r="BO35" s="518"/>
      <c r="BP35" s="518"/>
      <c r="BQ35" s="518"/>
      <c r="BR35" s="518">
        <f t="shared" si="11"/>
        <v>100187.86183333333</v>
      </c>
      <c r="BS35" s="518">
        <f t="shared" si="15"/>
        <v>1997623.3770000003</v>
      </c>
      <c r="BT35" s="518">
        <f t="shared" si="5"/>
        <v>4013648.3329999996</v>
      </c>
      <c r="BU35" s="518">
        <f t="shared" si="6"/>
        <v>4113836.1948333327</v>
      </c>
      <c r="BW35" s="518"/>
      <c r="BX35" s="518"/>
      <c r="BY35" s="518"/>
      <c r="BZ35" s="518"/>
      <c r="CA35" s="518"/>
      <c r="CB35" s="518"/>
      <c r="CC35" s="518"/>
      <c r="CD35" s="518"/>
      <c r="CE35" s="518"/>
      <c r="CF35" s="518"/>
      <c r="CG35" s="518"/>
      <c r="CH35" s="518"/>
      <c r="CI35" s="518"/>
      <c r="CJ35" s="518"/>
      <c r="CK35" s="518"/>
      <c r="CL35" s="518"/>
      <c r="CM35" s="518"/>
      <c r="CN35" s="518"/>
      <c r="CO35" s="518"/>
      <c r="CP35" s="518">
        <f t="shared" si="54"/>
        <v>10283.333333333334</v>
      </c>
      <c r="CQ35" s="518">
        <f t="shared" si="56"/>
        <v>9841.6666666666661</v>
      </c>
      <c r="CR35" s="518">
        <f t="shared" si="58"/>
        <v>12175</v>
      </c>
      <c r="CS35" s="518">
        <f t="shared" si="61"/>
        <v>7341.666666666667</v>
      </c>
      <c r="CT35" s="518">
        <f t="shared" si="63"/>
        <v>6633.333333333333</v>
      </c>
      <c r="CU35" s="518">
        <f t="shared" si="65"/>
        <v>8991.6666666666661</v>
      </c>
      <c r="CV35" s="518">
        <f t="shared" si="67"/>
        <v>7433.333333333333</v>
      </c>
      <c r="CW35" s="518">
        <f t="shared" si="69"/>
        <v>7691.666666666667</v>
      </c>
      <c r="CX35" s="518">
        <f t="shared" si="71"/>
        <v>5683.333333333333</v>
      </c>
      <c r="CY35" s="518">
        <f t="shared" si="73"/>
        <v>5658.333333333333</v>
      </c>
      <c r="CZ35" s="518">
        <f t="shared" ref="CZ35:CZ45" si="76">$K$34/12</f>
        <v>6375</v>
      </c>
      <c r="DA35" s="518">
        <f>$K$35/12</f>
        <v>7200</v>
      </c>
      <c r="DB35" s="518"/>
      <c r="DC35" s="518"/>
      <c r="DD35" s="518"/>
      <c r="DE35" s="518"/>
      <c r="DF35" s="518"/>
      <c r="DG35" s="518"/>
      <c r="DH35" s="518"/>
      <c r="DI35" s="518"/>
      <c r="DJ35" s="518"/>
      <c r="DK35" s="518"/>
      <c r="DL35" s="518"/>
      <c r="DM35" s="518"/>
      <c r="DN35" s="518"/>
      <c r="DO35" s="518"/>
      <c r="DP35" s="518"/>
      <c r="DQ35" s="518"/>
      <c r="DR35" s="518"/>
      <c r="DS35" s="518"/>
      <c r="DT35" s="518"/>
      <c r="DU35" s="518"/>
      <c r="DV35" s="518"/>
      <c r="DW35" s="518"/>
      <c r="DX35" s="518"/>
      <c r="DY35" s="518"/>
      <c r="DZ35" s="518"/>
      <c r="EA35" s="518">
        <f t="shared" si="13"/>
        <v>95308.333333333328</v>
      </c>
      <c r="EC35" s="519">
        <f t="shared" si="7"/>
        <v>95308.333333333328</v>
      </c>
      <c r="ED35" s="519">
        <f t="shared" si="8"/>
        <v>100187.86183333333</v>
      </c>
      <c r="EE35" s="518">
        <f t="shared" si="9"/>
        <v>4879.5285000000003</v>
      </c>
      <c r="EF35" s="518">
        <f>+EE35*'Capital Structure '!$P$30</f>
        <v>1371.63546135</v>
      </c>
      <c r="EG35" s="518">
        <f t="shared" si="17"/>
        <v>-997386.83890629967</v>
      </c>
    </row>
    <row r="36" spans="1:137" s="585" customFormat="1">
      <c r="A36" s="308" t="s">
        <v>55</v>
      </c>
      <c r="B36" s="308">
        <f t="shared" si="74"/>
        <v>2018</v>
      </c>
      <c r="C36" s="308" t="s">
        <v>47</v>
      </c>
      <c r="D36" s="518">
        <v>82000</v>
      </c>
      <c r="E36" s="518">
        <v>8300</v>
      </c>
      <c r="F36" s="518"/>
      <c r="G36" s="518"/>
      <c r="H36" s="518"/>
      <c r="I36" s="518"/>
      <c r="J36" s="518"/>
      <c r="K36" s="518">
        <f t="shared" si="4"/>
        <v>90300</v>
      </c>
      <c r="L36" s="518">
        <f>SUM(K$5:K36)</f>
        <v>6101571.71</v>
      </c>
      <c r="N36" s="518">
        <f t="shared" si="10"/>
        <v>925</v>
      </c>
      <c r="O36" s="518">
        <f t="shared" si="14"/>
        <v>2660</v>
      </c>
      <c r="P36" s="518">
        <f t="shared" si="18"/>
        <v>2463.3333333333335</v>
      </c>
      <c r="Q36" s="518">
        <f t="shared" si="20"/>
        <v>5920</v>
      </c>
      <c r="R36" s="518">
        <f t="shared" si="22"/>
        <v>8403.3333333333339</v>
      </c>
      <c r="S36" s="518">
        <f t="shared" si="24"/>
        <v>8219.8333333333339</v>
      </c>
      <c r="T36" s="518">
        <f t="shared" si="26"/>
        <v>6750</v>
      </c>
      <c r="U36" s="518">
        <f t="shared" si="28"/>
        <v>6890</v>
      </c>
      <c r="V36" s="518">
        <f t="shared" si="30"/>
        <v>5805</v>
      </c>
      <c r="W36" s="518">
        <f t="shared" si="32"/>
        <v>5580.9035000000003</v>
      </c>
      <c r="X36" s="518">
        <f t="shared" si="35"/>
        <v>4092.0833333333335</v>
      </c>
      <c r="Y36" s="518">
        <f t="shared" si="37"/>
        <v>3393.3333333333335</v>
      </c>
      <c r="Z36" s="518">
        <f t="shared" si="39"/>
        <v>5251.666666666667</v>
      </c>
      <c r="AA36" s="518">
        <f t="shared" si="41"/>
        <v>3206.7083333333335</v>
      </c>
      <c r="AB36" s="518">
        <f t="shared" si="43"/>
        <v>2656.6666666666665</v>
      </c>
      <c r="AC36" s="518">
        <f t="shared" si="45"/>
        <v>2408.3333333333335</v>
      </c>
      <c r="AD36" s="518">
        <f t="shared" si="47"/>
        <v>1618.3333333333333</v>
      </c>
      <c r="AE36" s="518">
        <f t="shared" si="49"/>
        <v>2563.3333333333335</v>
      </c>
      <c r="AF36" s="518">
        <f t="shared" si="51"/>
        <v>2318.3333333333335</v>
      </c>
      <c r="AG36" s="518">
        <f t="shared" si="53"/>
        <v>2056.6666666666665</v>
      </c>
      <c r="AH36" s="518">
        <f t="shared" si="55"/>
        <v>1968.3333333333333</v>
      </c>
      <c r="AI36" s="518">
        <f t="shared" si="57"/>
        <v>2435</v>
      </c>
      <c r="AJ36" s="518">
        <f t="shared" si="60"/>
        <v>1468.3333333333333</v>
      </c>
      <c r="AK36" s="518">
        <f t="shared" si="62"/>
        <v>1326.6666666666667</v>
      </c>
      <c r="AL36" s="518">
        <f t="shared" si="64"/>
        <v>1798.3333333333333</v>
      </c>
      <c r="AM36" s="518">
        <f t="shared" si="66"/>
        <v>1486.6666666666667</v>
      </c>
      <c r="AN36" s="518">
        <f t="shared" si="68"/>
        <v>1538.3333333333333</v>
      </c>
      <c r="AO36" s="518">
        <f t="shared" si="70"/>
        <v>1136.6666666666667</v>
      </c>
      <c r="AP36" s="518">
        <f t="shared" si="72"/>
        <v>1131.6666666666667</v>
      </c>
      <c r="AQ36" s="518">
        <f t="shared" si="75"/>
        <v>1275</v>
      </c>
      <c r="AR36" s="518">
        <f t="shared" ref="AR36:AR94" si="77">$K$35/60</f>
        <v>1440</v>
      </c>
      <c r="AS36" s="518">
        <f>$K$36/60</f>
        <v>1505</v>
      </c>
      <c r="AT36" s="518"/>
      <c r="AU36" s="518"/>
      <c r="AV36" s="518"/>
      <c r="AW36" s="518"/>
      <c r="AX36" s="518"/>
      <c r="AY36" s="518"/>
      <c r="AZ36" s="518"/>
      <c r="BA36" s="518"/>
      <c r="BB36" s="518"/>
      <c r="BC36" s="518"/>
      <c r="BD36" s="518"/>
      <c r="BE36" s="518"/>
      <c r="BF36" s="518"/>
      <c r="BG36" s="518"/>
      <c r="BH36" s="518"/>
      <c r="BI36" s="518"/>
      <c r="BJ36" s="518"/>
      <c r="BK36" s="518"/>
      <c r="BL36" s="518"/>
      <c r="BM36" s="518"/>
      <c r="BN36" s="518"/>
      <c r="BO36" s="518"/>
      <c r="BP36" s="518"/>
      <c r="BQ36" s="518"/>
      <c r="BR36" s="518">
        <f t="shared" si="11"/>
        <v>101692.86183333333</v>
      </c>
      <c r="BS36" s="518">
        <f t="shared" si="15"/>
        <v>2099316.2388333338</v>
      </c>
      <c r="BT36" s="518">
        <f t="shared" si="5"/>
        <v>4002255.4711666661</v>
      </c>
      <c r="BU36" s="518">
        <f t="shared" si="6"/>
        <v>4103948.3329999996</v>
      </c>
      <c r="BW36" s="518"/>
      <c r="BX36" s="518"/>
      <c r="BY36" s="518"/>
      <c r="BZ36" s="518"/>
      <c r="CA36" s="518"/>
      <c r="CB36" s="518"/>
      <c r="CC36" s="518"/>
      <c r="CD36" s="518"/>
      <c r="CE36" s="518"/>
      <c r="CF36" s="518"/>
      <c r="CG36" s="518"/>
      <c r="CH36" s="518"/>
      <c r="CI36" s="518"/>
      <c r="CJ36" s="518"/>
      <c r="CK36" s="518"/>
      <c r="CL36" s="518"/>
      <c r="CM36" s="518"/>
      <c r="CN36" s="518"/>
      <c r="CO36" s="518"/>
      <c r="CP36" s="518"/>
      <c r="CQ36" s="518">
        <f t="shared" si="56"/>
        <v>9841.6666666666661</v>
      </c>
      <c r="CR36" s="518">
        <f t="shared" si="58"/>
        <v>12175</v>
      </c>
      <c r="CS36" s="518">
        <f t="shared" si="61"/>
        <v>7341.666666666667</v>
      </c>
      <c r="CT36" s="518">
        <f t="shared" si="63"/>
        <v>6633.333333333333</v>
      </c>
      <c r="CU36" s="518">
        <f t="shared" si="65"/>
        <v>8991.6666666666661</v>
      </c>
      <c r="CV36" s="518">
        <f t="shared" si="67"/>
        <v>7433.333333333333</v>
      </c>
      <c r="CW36" s="518">
        <f t="shared" si="69"/>
        <v>7691.666666666667</v>
      </c>
      <c r="CX36" s="518">
        <f t="shared" si="71"/>
        <v>5683.333333333333</v>
      </c>
      <c r="CY36" s="518">
        <f t="shared" si="73"/>
        <v>5658.333333333333</v>
      </c>
      <c r="CZ36" s="518">
        <f t="shared" si="76"/>
        <v>6375</v>
      </c>
      <c r="DA36" s="518">
        <f t="shared" ref="DA36:DA46" si="78">$K$35/12</f>
        <v>7200</v>
      </c>
      <c r="DB36" s="518">
        <f>$K$36/12</f>
        <v>7525</v>
      </c>
      <c r="DC36" s="518"/>
      <c r="DD36" s="518"/>
      <c r="DE36" s="518"/>
      <c r="DF36" s="518"/>
      <c r="DG36" s="518"/>
      <c r="DH36" s="518"/>
      <c r="DI36" s="518"/>
      <c r="DJ36" s="518"/>
      <c r="DK36" s="518"/>
      <c r="DL36" s="518"/>
      <c r="DM36" s="518"/>
      <c r="DN36" s="518"/>
      <c r="DO36" s="518"/>
      <c r="DP36" s="518"/>
      <c r="DQ36" s="518"/>
      <c r="DR36" s="518"/>
      <c r="DS36" s="518"/>
      <c r="DT36" s="518"/>
      <c r="DU36" s="518"/>
      <c r="DV36" s="518"/>
      <c r="DW36" s="518"/>
      <c r="DX36" s="518"/>
      <c r="DY36" s="518"/>
      <c r="DZ36" s="518"/>
      <c r="EA36" s="518">
        <f t="shared" si="13"/>
        <v>92549.999999999985</v>
      </c>
      <c r="EC36" s="519">
        <f>+EA36</f>
        <v>92549.999999999985</v>
      </c>
      <c r="ED36" s="519">
        <f t="shared" si="8"/>
        <v>101692.86183333333</v>
      </c>
      <c r="EE36" s="518">
        <f>+ED36-EC36</f>
        <v>9142.8618333333434</v>
      </c>
      <c r="EF36" s="518">
        <f>+EE36*'Capital Structure '!$P$30</f>
        <v>2570.0584613500023</v>
      </c>
      <c r="EG36" s="518">
        <f t="shared" si="17"/>
        <v>-994816.78044494963</v>
      </c>
    </row>
    <row r="37" spans="1:137" s="585" customFormat="1">
      <c r="A37" s="308" t="s">
        <v>56</v>
      </c>
      <c r="B37" s="308">
        <f t="shared" si="74"/>
        <v>2018</v>
      </c>
      <c r="C37" s="308" t="s">
        <v>47</v>
      </c>
      <c r="D37" s="518">
        <v>114500</v>
      </c>
      <c r="E37" s="518">
        <v>10500</v>
      </c>
      <c r="F37" s="518"/>
      <c r="G37" s="518"/>
      <c r="H37" s="518"/>
      <c r="I37" s="518"/>
      <c r="J37" s="518"/>
      <c r="K37" s="518">
        <f t="shared" si="4"/>
        <v>125000</v>
      </c>
      <c r="L37" s="518">
        <f>SUM(K$5:K37)</f>
        <v>6226571.71</v>
      </c>
      <c r="N37" s="518">
        <f t="shared" si="10"/>
        <v>925</v>
      </c>
      <c r="O37" s="518">
        <f t="shared" si="14"/>
        <v>2660</v>
      </c>
      <c r="P37" s="518">
        <f t="shared" si="18"/>
        <v>2463.3333333333335</v>
      </c>
      <c r="Q37" s="518">
        <f t="shared" si="20"/>
        <v>5920</v>
      </c>
      <c r="R37" s="518">
        <f t="shared" si="22"/>
        <v>8403.3333333333339</v>
      </c>
      <c r="S37" s="518">
        <f t="shared" si="24"/>
        <v>8219.8333333333339</v>
      </c>
      <c r="T37" s="518">
        <f t="shared" si="26"/>
        <v>6750</v>
      </c>
      <c r="U37" s="518">
        <f t="shared" si="28"/>
        <v>6890</v>
      </c>
      <c r="V37" s="518">
        <f t="shared" si="30"/>
        <v>5805</v>
      </c>
      <c r="W37" s="518">
        <f t="shared" si="32"/>
        <v>5580.9035000000003</v>
      </c>
      <c r="X37" s="518">
        <f t="shared" si="35"/>
        <v>4092.0833333333335</v>
      </c>
      <c r="Y37" s="518">
        <f t="shared" si="37"/>
        <v>3393.3333333333335</v>
      </c>
      <c r="Z37" s="518">
        <f t="shared" si="39"/>
        <v>5251.666666666667</v>
      </c>
      <c r="AA37" s="518">
        <f t="shared" si="41"/>
        <v>3206.7083333333335</v>
      </c>
      <c r="AB37" s="518">
        <f t="shared" si="43"/>
        <v>2656.6666666666665</v>
      </c>
      <c r="AC37" s="518">
        <f t="shared" si="45"/>
        <v>2408.3333333333335</v>
      </c>
      <c r="AD37" s="518">
        <f t="shared" si="47"/>
        <v>1618.3333333333333</v>
      </c>
      <c r="AE37" s="518">
        <f t="shared" si="49"/>
        <v>2563.3333333333335</v>
      </c>
      <c r="AF37" s="518">
        <f t="shared" si="51"/>
        <v>2318.3333333333335</v>
      </c>
      <c r="AG37" s="518">
        <f t="shared" si="53"/>
        <v>2056.6666666666665</v>
      </c>
      <c r="AH37" s="518">
        <f t="shared" si="55"/>
        <v>1968.3333333333333</v>
      </c>
      <c r="AI37" s="518">
        <f t="shared" si="57"/>
        <v>2435</v>
      </c>
      <c r="AJ37" s="518">
        <f t="shared" si="60"/>
        <v>1468.3333333333333</v>
      </c>
      <c r="AK37" s="518">
        <f t="shared" si="62"/>
        <v>1326.6666666666667</v>
      </c>
      <c r="AL37" s="518">
        <f t="shared" si="64"/>
        <v>1798.3333333333333</v>
      </c>
      <c r="AM37" s="518">
        <f t="shared" si="66"/>
        <v>1486.6666666666667</v>
      </c>
      <c r="AN37" s="518">
        <f t="shared" si="68"/>
        <v>1538.3333333333333</v>
      </c>
      <c r="AO37" s="518">
        <f t="shared" si="70"/>
        <v>1136.6666666666667</v>
      </c>
      <c r="AP37" s="518">
        <f t="shared" si="72"/>
        <v>1131.6666666666667</v>
      </c>
      <c r="AQ37" s="518">
        <f t="shared" si="75"/>
        <v>1275</v>
      </c>
      <c r="AR37" s="518">
        <f t="shared" si="77"/>
        <v>1440</v>
      </c>
      <c r="AS37" s="518">
        <f t="shared" ref="AS37:AS95" si="79">$K$36/60</f>
        <v>1505</v>
      </c>
      <c r="AT37" s="518">
        <f>$K$37/60</f>
        <v>2083.3333333333335</v>
      </c>
      <c r="AU37" s="518"/>
      <c r="AV37" s="518"/>
      <c r="AW37" s="518"/>
      <c r="AX37" s="518"/>
      <c r="AY37" s="518"/>
      <c r="AZ37" s="518"/>
      <c r="BA37" s="518"/>
      <c r="BB37" s="518"/>
      <c r="BC37" s="518"/>
      <c r="BD37" s="518"/>
      <c r="BE37" s="518"/>
      <c r="BF37" s="518"/>
      <c r="BG37" s="518"/>
      <c r="BH37" s="518"/>
      <c r="BI37" s="518"/>
      <c r="BJ37" s="518"/>
      <c r="BK37" s="518"/>
      <c r="BL37" s="518"/>
      <c r="BM37" s="518"/>
      <c r="BN37" s="518"/>
      <c r="BO37" s="518"/>
      <c r="BP37" s="518"/>
      <c r="BQ37" s="518"/>
      <c r="BR37" s="518">
        <f t="shared" si="11"/>
        <v>103776.19516666666</v>
      </c>
      <c r="BS37" s="518">
        <f t="shared" si="15"/>
        <v>2203092.4340000004</v>
      </c>
      <c r="BT37" s="518">
        <f t="shared" ref="BT37:BT68" si="80">+L37-BS37</f>
        <v>4023479.2759999996</v>
      </c>
      <c r="BU37" s="518">
        <f t="shared" ref="BU37:BU68" si="81">+L37-BS36</f>
        <v>4127255.4711666661</v>
      </c>
      <c r="BW37" s="518"/>
      <c r="BX37" s="518"/>
      <c r="BY37" s="518"/>
      <c r="BZ37" s="518"/>
      <c r="CA37" s="518"/>
      <c r="CB37" s="518"/>
      <c r="CC37" s="518"/>
      <c r="CD37" s="518"/>
      <c r="CE37" s="518"/>
      <c r="CF37" s="518"/>
      <c r="CG37" s="518"/>
      <c r="CH37" s="518"/>
      <c r="CI37" s="518"/>
      <c r="CJ37" s="518"/>
      <c r="CK37" s="518"/>
      <c r="CL37" s="518"/>
      <c r="CM37" s="518"/>
      <c r="CN37" s="518"/>
      <c r="CO37" s="518"/>
      <c r="CP37" s="518"/>
      <c r="CQ37" s="518"/>
      <c r="CR37" s="518">
        <f t="shared" si="58"/>
        <v>12175</v>
      </c>
      <c r="CS37" s="518">
        <f t="shared" si="61"/>
        <v>7341.666666666667</v>
      </c>
      <c r="CT37" s="518">
        <f t="shared" si="63"/>
        <v>6633.333333333333</v>
      </c>
      <c r="CU37" s="518">
        <f t="shared" si="65"/>
        <v>8991.6666666666661</v>
      </c>
      <c r="CV37" s="518">
        <f t="shared" si="67"/>
        <v>7433.333333333333</v>
      </c>
      <c r="CW37" s="518">
        <f t="shared" si="69"/>
        <v>7691.666666666667</v>
      </c>
      <c r="CX37" s="518">
        <f t="shared" si="71"/>
        <v>5683.333333333333</v>
      </c>
      <c r="CY37" s="518">
        <f t="shared" si="73"/>
        <v>5658.333333333333</v>
      </c>
      <c r="CZ37" s="518">
        <f t="shared" si="76"/>
        <v>6375</v>
      </c>
      <c r="DA37" s="518">
        <f t="shared" si="78"/>
        <v>7200</v>
      </c>
      <c r="DB37" s="518">
        <f t="shared" ref="DB37:DB47" si="82">$K$36/12</f>
        <v>7525</v>
      </c>
      <c r="DC37" s="518">
        <f>$K$37/12</f>
        <v>10416.666666666666</v>
      </c>
      <c r="DD37" s="518"/>
      <c r="DE37" s="518"/>
      <c r="DF37" s="518"/>
      <c r="DG37" s="518"/>
      <c r="DH37" s="518"/>
      <c r="DI37" s="518"/>
      <c r="DJ37" s="518"/>
      <c r="DK37" s="518"/>
      <c r="DL37" s="518"/>
      <c r="DM37" s="518"/>
      <c r="DN37" s="518"/>
      <c r="DO37" s="518"/>
      <c r="DP37" s="518"/>
      <c r="DQ37" s="518"/>
      <c r="DR37" s="518"/>
      <c r="DS37" s="518"/>
      <c r="DT37" s="518"/>
      <c r="DU37" s="518"/>
      <c r="DV37" s="518"/>
      <c r="DW37" s="518"/>
      <c r="DX37" s="518"/>
      <c r="DY37" s="518"/>
      <c r="DZ37" s="518"/>
      <c r="EA37" s="518">
        <f t="shared" si="13"/>
        <v>93125.000000000015</v>
      </c>
      <c r="EC37" s="519">
        <f>+EA37</f>
        <v>93125.000000000015</v>
      </c>
      <c r="ED37" s="519">
        <f t="shared" ref="ED37:ED68" si="83">+BR37</f>
        <v>103776.19516666666</v>
      </c>
      <c r="EE37" s="518">
        <f>+ED37-EC37</f>
        <v>10651.195166666643</v>
      </c>
      <c r="EF37" s="518">
        <f>+EE37*'Capital Structure '!$P$30</f>
        <v>2994.050961349993</v>
      </c>
      <c r="EG37" s="518">
        <f t="shared" si="17"/>
        <v>-991822.72948359966</v>
      </c>
    </row>
    <row r="38" spans="1:137" s="585" customFormat="1">
      <c r="A38" s="308" t="s">
        <v>57</v>
      </c>
      <c r="B38" s="308">
        <f t="shared" si="74"/>
        <v>2018</v>
      </c>
      <c r="C38" s="308" t="s">
        <v>47</v>
      </c>
      <c r="D38" s="518">
        <v>80000</v>
      </c>
      <c r="E38" s="518">
        <v>8200</v>
      </c>
      <c r="F38" s="518"/>
      <c r="G38" s="518"/>
      <c r="H38" s="518"/>
      <c r="I38" s="518"/>
      <c r="J38" s="518"/>
      <c r="K38" s="518">
        <f t="shared" si="4"/>
        <v>88200</v>
      </c>
      <c r="L38" s="518">
        <f>SUM(K$5:K38)</f>
        <v>6314771.71</v>
      </c>
      <c r="N38" s="518">
        <f t="shared" si="10"/>
        <v>925</v>
      </c>
      <c r="O38" s="518">
        <f t="shared" si="14"/>
        <v>2660</v>
      </c>
      <c r="P38" s="518">
        <f t="shared" si="18"/>
        <v>2463.3333333333335</v>
      </c>
      <c r="Q38" s="518">
        <f t="shared" si="20"/>
        <v>5920</v>
      </c>
      <c r="R38" s="518">
        <f t="shared" si="22"/>
        <v>8403.3333333333339</v>
      </c>
      <c r="S38" s="518">
        <f t="shared" si="24"/>
        <v>8219.8333333333339</v>
      </c>
      <c r="T38" s="518">
        <f t="shared" si="26"/>
        <v>6750</v>
      </c>
      <c r="U38" s="518">
        <f t="shared" si="28"/>
        <v>6890</v>
      </c>
      <c r="V38" s="518">
        <f t="shared" si="30"/>
        <v>5805</v>
      </c>
      <c r="W38" s="518">
        <f t="shared" si="32"/>
        <v>5580.9035000000003</v>
      </c>
      <c r="X38" s="518">
        <f t="shared" si="35"/>
        <v>4092.0833333333335</v>
      </c>
      <c r="Y38" s="518">
        <f t="shared" si="37"/>
        <v>3393.3333333333335</v>
      </c>
      <c r="Z38" s="518">
        <f t="shared" si="39"/>
        <v>5251.666666666667</v>
      </c>
      <c r="AA38" s="518">
        <f t="shared" si="41"/>
        <v>3206.7083333333335</v>
      </c>
      <c r="AB38" s="518">
        <f t="shared" si="43"/>
        <v>2656.6666666666665</v>
      </c>
      <c r="AC38" s="518">
        <f t="shared" si="45"/>
        <v>2408.3333333333335</v>
      </c>
      <c r="AD38" s="518">
        <f t="shared" si="47"/>
        <v>1618.3333333333333</v>
      </c>
      <c r="AE38" s="518">
        <f t="shared" si="49"/>
        <v>2563.3333333333335</v>
      </c>
      <c r="AF38" s="518">
        <f t="shared" si="51"/>
        <v>2318.3333333333335</v>
      </c>
      <c r="AG38" s="518">
        <f t="shared" si="53"/>
        <v>2056.6666666666665</v>
      </c>
      <c r="AH38" s="518">
        <f t="shared" si="55"/>
        <v>1968.3333333333333</v>
      </c>
      <c r="AI38" s="518">
        <f t="shared" si="57"/>
        <v>2435</v>
      </c>
      <c r="AJ38" s="518">
        <f t="shared" si="60"/>
        <v>1468.3333333333333</v>
      </c>
      <c r="AK38" s="518">
        <f t="shared" si="62"/>
        <v>1326.6666666666667</v>
      </c>
      <c r="AL38" s="518">
        <f t="shared" si="64"/>
        <v>1798.3333333333333</v>
      </c>
      <c r="AM38" s="518">
        <f t="shared" si="66"/>
        <v>1486.6666666666667</v>
      </c>
      <c r="AN38" s="518">
        <f t="shared" si="68"/>
        <v>1538.3333333333333</v>
      </c>
      <c r="AO38" s="518">
        <f t="shared" si="70"/>
        <v>1136.6666666666667</v>
      </c>
      <c r="AP38" s="518">
        <f t="shared" si="72"/>
        <v>1131.6666666666667</v>
      </c>
      <c r="AQ38" s="518">
        <f t="shared" si="75"/>
        <v>1275</v>
      </c>
      <c r="AR38" s="518">
        <f t="shared" si="77"/>
        <v>1440</v>
      </c>
      <c r="AS38" s="518">
        <f t="shared" si="79"/>
        <v>1505</v>
      </c>
      <c r="AT38" s="518">
        <f t="shared" ref="AT38:AT96" si="84">$K$37/60</f>
        <v>2083.3333333333335</v>
      </c>
      <c r="AU38" s="518">
        <f>$K$38/60</f>
        <v>1470</v>
      </c>
      <c r="AV38" s="518"/>
      <c r="AW38" s="518"/>
      <c r="AX38" s="518"/>
      <c r="AY38" s="518"/>
      <c r="AZ38" s="518"/>
      <c r="BA38" s="518"/>
      <c r="BB38" s="518"/>
      <c r="BC38" s="518"/>
      <c r="BD38" s="518"/>
      <c r="BE38" s="518"/>
      <c r="BF38" s="518"/>
      <c r="BG38" s="518"/>
      <c r="BH38" s="518"/>
      <c r="BI38" s="518"/>
      <c r="BJ38" s="518"/>
      <c r="BK38" s="518"/>
      <c r="BL38" s="518"/>
      <c r="BM38" s="518"/>
      <c r="BN38" s="518"/>
      <c r="BO38" s="518"/>
      <c r="BP38" s="518"/>
      <c r="BQ38" s="518"/>
      <c r="BR38" s="518">
        <f t="shared" si="11"/>
        <v>105246.19516666666</v>
      </c>
      <c r="BS38" s="518">
        <f t="shared" si="15"/>
        <v>2308338.6291666669</v>
      </c>
      <c r="BT38" s="518">
        <f t="shared" si="80"/>
        <v>4006433.0808333331</v>
      </c>
      <c r="BU38" s="518">
        <f t="shared" si="81"/>
        <v>4111679.2759999996</v>
      </c>
      <c r="BW38" s="518"/>
      <c r="BX38" s="518"/>
      <c r="BY38" s="518"/>
      <c r="BZ38" s="518"/>
      <c r="CA38" s="518"/>
      <c r="CB38" s="518"/>
      <c r="CC38" s="518"/>
      <c r="CD38" s="518"/>
      <c r="CE38" s="518"/>
      <c r="CF38" s="518"/>
      <c r="CG38" s="518"/>
      <c r="CH38" s="518"/>
      <c r="CI38" s="518"/>
      <c r="CJ38" s="518"/>
      <c r="CK38" s="518"/>
      <c r="CL38" s="518"/>
      <c r="CM38" s="518"/>
      <c r="CN38" s="518"/>
      <c r="CO38" s="518"/>
      <c r="CP38" s="518"/>
      <c r="CQ38" s="518"/>
      <c r="CR38" s="518"/>
      <c r="CS38" s="518">
        <f t="shared" si="61"/>
        <v>7341.666666666667</v>
      </c>
      <c r="CT38" s="518">
        <f t="shared" si="63"/>
        <v>6633.333333333333</v>
      </c>
      <c r="CU38" s="518">
        <f t="shared" si="65"/>
        <v>8991.6666666666661</v>
      </c>
      <c r="CV38" s="518">
        <f t="shared" si="67"/>
        <v>7433.333333333333</v>
      </c>
      <c r="CW38" s="518">
        <f t="shared" si="69"/>
        <v>7691.666666666667</v>
      </c>
      <c r="CX38" s="518">
        <f t="shared" si="71"/>
        <v>5683.333333333333</v>
      </c>
      <c r="CY38" s="518">
        <f t="shared" si="73"/>
        <v>5658.333333333333</v>
      </c>
      <c r="CZ38" s="518">
        <f t="shared" si="76"/>
        <v>6375</v>
      </c>
      <c r="DA38" s="518">
        <f t="shared" si="78"/>
        <v>7200</v>
      </c>
      <c r="DB38" s="518">
        <f t="shared" si="82"/>
        <v>7525</v>
      </c>
      <c r="DC38" s="518">
        <f t="shared" ref="DC38:DC48" si="85">$K$37/12</f>
        <v>10416.666666666666</v>
      </c>
      <c r="DD38" s="518">
        <f>$K$38/12</f>
        <v>7350</v>
      </c>
      <c r="DE38" s="518"/>
      <c r="DF38" s="518"/>
      <c r="DG38" s="518"/>
      <c r="DH38" s="518"/>
      <c r="DI38" s="518"/>
      <c r="DJ38" s="518"/>
      <c r="DK38" s="518"/>
      <c r="DL38" s="518"/>
      <c r="DM38" s="518"/>
      <c r="DN38" s="518"/>
      <c r="DO38" s="518"/>
      <c r="DP38" s="518"/>
      <c r="DQ38" s="518"/>
      <c r="DR38" s="518"/>
      <c r="DS38" s="518"/>
      <c r="DT38" s="518"/>
      <c r="DU38" s="518"/>
      <c r="DV38" s="518"/>
      <c r="DW38" s="518"/>
      <c r="DX38" s="518"/>
      <c r="DY38" s="518"/>
      <c r="DZ38" s="518"/>
      <c r="EA38" s="518">
        <f t="shared" si="13"/>
        <v>88300.000000000015</v>
      </c>
      <c r="EC38" s="519">
        <f>+EA38</f>
        <v>88300.000000000015</v>
      </c>
      <c r="ED38" s="519">
        <f t="shared" si="83"/>
        <v>105246.19516666666</v>
      </c>
      <c r="EE38" s="518">
        <f>+ED38-EC38</f>
        <v>16946.195166666643</v>
      </c>
      <c r="EF38" s="518">
        <f>+EE38*'Capital Structure '!$P$30</f>
        <v>4763.575461349993</v>
      </c>
      <c r="EG38" s="518">
        <f t="shared" si="17"/>
        <v>-987059.15402224963</v>
      </c>
    </row>
    <row r="39" spans="1:137" s="585" customFormat="1">
      <c r="A39" s="308" t="s">
        <v>58</v>
      </c>
      <c r="B39" s="308">
        <f t="shared" si="74"/>
        <v>2018</v>
      </c>
      <c r="C39" s="308" t="s">
        <v>47</v>
      </c>
      <c r="D39" s="518">
        <v>82500</v>
      </c>
      <c r="E39" s="518">
        <v>8000</v>
      </c>
      <c r="F39" s="518"/>
      <c r="G39" s="518"/>
      <c r="H39" s="518"/>
      <c r="I39" s="518"/>
      <c r="J39" s="518"/>
      <c r="K39" s="518">
        <f t="shared" si="4"/>
        <v>90500</v>
      </c>
      <c r="L39" s="518">
        <f>SUM(K$5:K39)</f>
        <v>6405271.71</v>
      </c>
      <c r="N39" s="518">
        <f t="shared" si="10"/>
        <v>925</v>
      </c>
      <c r="O39" s="518">
        <f t="shared" si="14"/>
        <v>2660</v>
      </c>
      <c r="P39" s="518">
        <f t="shared" si="18"/>
        <v>2463.3333333333335</v>
      </c>
      <c r="Q39" s="518">
        <f t="shared" si="20"/>
        <v>5920</v>
      </c>
      <c r="R39" s="518">
        <f t="shared" si="22"/>
        <v>8403.3333333333339</v>
      </c>
      <c r="S39" s="518">
        <f t="shared" si="24"/>
        <v>8219.8333333333339</v>
      </c>
      <c r="T39" s="518">
        <f t="shared" si="26"/>
        <v>6750</v>
      </c>
      <c r="U39" s="518">
        <f t="shared" si="28"/>
        <v>6890</v>
      </c>
      <c r="V39" s="518">
        <f t="shared" si="30"/>
        <v>5805</v>
      </c>
      <c r="W39" s="518">
        <f t="shared" si="32"/>
        <v>5580.9035000000003</v>
      </c>
      <c r="X39" s="518">
        <f t="shared" si="35"/>
        <v>4092.0833333333335</v>
      </c>
      <c r="Y39" s="518">
        <f t="shared" si="37"/>
        <v>3393.3333333333335</v>
      </c>
      <c r="Z39" s="518">
        <f t="shared" si="39"/>
        <v>5251.666666666667</v>
      </c>
      <c r="AA39" s="518">
        <f t="shared" si="41"/>
        <v>3206.7083333333335</v>
      </c>
      <c r="AB39" s="518">
        <f t="shared" si="43"/>
        <v>2656.6666666666665</v>
      </c>
      <c r="AC39" s="518">
        <f t="shared" si="45"/>
        <v>2408.3333333333335</v>
      </c>
      <c r="AD39" s="518">
        <f t="shared" si="47"/>
        <v>1618.3333333333333</v>
      </c>
      <c r="AE39" s="518">
        <f t="shared" si="49"/>
        <v>2563.3333333333335</v>
      </c>
      <c r="AF39" s="518">
        <f t="shared" si="51"/>
        <v>2318.3333333333335</v>
      </c>
      <c r="AG39" s="518">
        <f t="shared" si="53"/>
        <v>2056.6666666666665</v>
      </c>
      <c r="AH39" s="518">
        <f t="shared" si="55"/>
        <v>1968.3333333333333</v>
      </c>
      <c r="AI39" s="518">
        <f t="shared" si="57"/>
        <v>2435</v>
      </c>
      <c r="AJ39" s="518">
        <f t="shared" si="60"/>
        <v>1468.3333333333333</v>
      </c>
      <c r="AK39" s="518">
        <f t="shared" si="62"/>
        <v>1326.6666666666667</v>
      </c>
      <c r="AL39" s="518">
        <f t="shared" si="64"/>
        <v>1798.3333333333333</v>
      </c>
      <c r="AM39" s="518">
        <f t="shared" si="66"/>
        <v>1486.6666666666667</v>
      </c>
      <c r="AN39" s="518">
        <f t="shared" si="68"/>
        <v>1538.3333333333333</v>
      </c>
      <c r="AO39" s="518">
        <f t="shared" si="70"/>
        <v>1136.6666666666667</v>
      </c>
      <c r="AP39" s="518">
        <f t="shared" si="72"/>
        <v>1131.6666666666667</v>
      </c>
      <c r="AQ39" s="518">
        <f t="shared" si="75"/>
        <v>1275</v>
      </c>
      <c r="AR39" s="518">
        <f t="shared" si="77"/>
        <v>1440</v>
      </c>
      <c r="AS39" s="518">
        <f t="shared" si="79"/>
        <v>1505</v>
      </c>
      <c r="AT39" s="518">
        <f t="shared" si="84"/>
        <v>2083.3333333333335</v>
      </c>
      <c r="AU39" s="518">
        <f t="shared" ref="AU39:AU97" si="86">$K$38/60</f>
        <v>1470</v>
      </c>
      <c r="AV39" s="518">
        <f>$K$39/60</f>
        <v>1508.3333333333333</v>
      </c>
      <c r="AW39" s="518"/>
      <c r="AX39" s="518"/>
      <c r="AY39" s="518"/>
      <c r="AZ39" s="518"/>
      <c r="BA39" s="518"/>
      <c r="BB39" s="518"/>
      <c r="BC39" s="518"/>
      <c r="BD39" s="518"/>
      <c r="BE39" s="518"/>
      <c r="BF39" s="518"/>
      <c r="BG39" s="518"/>
      <c r="BH39" s="518"/>
      <c r="BI39" s="518"/>
      <c r="BJ39" s="518"/>
      <c r="BK39" s="518"/>
      <c r="BL39" s="518"/>
      <c r="BM39" s="518"/>
      <c r="BN39" s="518"/>
      <c r="BO39" s="518"/>
      <c r="BP39" s="518"/>
      <c r="BQ39" s="518"/>
      <c r="BR39" s="518">
        <f t="shared" si="11"/>
        <v>106754.52849999999</v>
      </c>
      <c r="BS39" s="518">
        <f t="shared" si="15"/>
        <v>2415093.1576666669</v>
      </c>
      <c r="BT39" s="518">
        <f t="shared" si="80"/>
        <v>3990178.5523333331</v>
      </c>
      <c r="BU39" s="518">
        <f t="shared" si="81"/>
        <v>4096933.0808333331</v>
      </c>
      <c r="BW39" s="518"/>
      <c r="BX39" s="518"/>
      <c r="BY39" s="518"/>
      <c r="BZ39" s="518"/>
      <c r="CA39" s="518"/>
      <c r="CB39" s="518"/>
      <c r="CC39" s="518"/>
      <c r="CD39" s="518"/>
      <c r="CE39" s="518"/>
      <c r="CF39" s="518"/>
      <c r="CG39" s="518"/>
      <c r="CH39" s="518"/>
      <c r="CI39" s="518"/>
      <c r="CJ39" s="518"/>
      <c r="CK39" s="518"/>
      <c r="CL39" s="518"/>
      <c r="CM39" s="518"/>
      <c r="CN39" s="518"/>
      <c r="CO39" s="518"/>
      <c r="CP39" s="518"/>
      <c r="CQ39" s="518"/>
      <c r="CR39" s="518"/>
      <c r="CS39" s="518"/>
      <c r="CT39" s="518">
        <f t="shared" si="63"/>
        <v>6633.333333333333</v>
      </c>
      <c r="CU39" s="518">
        <f t="shared" si="65"/>
        <v>8991.6666666666661</v>
      </c>
      <c r="CV39" s="518">
        <f t="shared" si="67"/>
        <v>7433.333333333333</v>
      </c>
      <c r="CW39" s="518">
        <f t="shared" si="69"/>
        <v>7691.666666666667</v>
      </c>
      <c r="CX39" s="518">
        <f t="shared" si="71"/>
        <v>5683.333333333333</v>
      </c>
      <c r="CY39" s="518">
        <f t="shared" si="73"/>
        <v>5658.333333333333</v>
      </c>
      <c r="CZ39" s="518">
        <f t="shared" si="76"/>
        <v>6375</v>
      </c>
      <c r="DA39" s="518">
        <f t="shared" si="78"/>
        <v>7200</v>
      </c>
      <c r="DB39" s="518">
        <f t="shared" si="82"/>
        <v>7525</v>
      </c>
      <c r="DC39" s="518">
        <f t="shared" si="85"/>
        <v>10416.666666666666</v>
      </c>
      <c r="DD39" s="518">
        <f t="shared" ref="DD39:DD49" si="87">$K$38/12</f>
        <v>7350</v>
      </c>
      <c r="DE39" s="518">
        <f>$K$39/12</f>
        <v>7541.666666666667</v>
      </c>
      <c r="DF39" s="518"/>
      <c r="DG39" s="518"/>
      <c r="DH39" s="518"/>
      <c r="DI39" s="518"/>
      <c r="DJ39" s="518"/>
      <c r="DK39" s="518"/>
      <c r="DL39" s="518"/>
      <c r="DM39" s="518"/>
      <c r="DN39" s="518"/>
      <c r="DO39" s="518"/>
      <c r="DP39" s="518"/>
      <c r="DQ39" s="518"/>
      <c r="DR39" s="518"/>
      <c r="DS39" s="518"/>
      <c r="DT39" s="518"/>
      <c r="DU39" s="518"/>
      <c r="DV39" s="518"/>
      <c r="DW39" s="518"/>
      <c r="DX39" s="518"/>
      <c r="DY39" s="518"/>
      <c r="DZ39" s="518"/>
      <c r="EA39" s="518">
        <f t="shared" si="13"/>
        <v>88500.000000000015</v>
      </c>
      <c r="EC39" s="519">
        <f>+EA39</f>
        <v>88500.000000000015</v>
      </c>
      <c r="ED39" s="519">
        <f t="shared" si="83"/>
        <v>106754.52849999999</v>
      </c>
      <c r="EE39" s="518">
        <f>+ED39-EC39</f>
        <v>18254.528499999971</v>
      </c>
      <c r="EF39" s="518">
        <f>+EE39*'Capital Structure '!$P$30</f>
        <v>5131.3479613499912</v>
      </c>
      <c r="EG39" s="518">
        <f t="shared" si="17"/>
        <v>-981927.80606089963</v>
      </c>
    </row>
    <row r="40" spans="1:137" s="585" customFormat="1">
      <c r="A40" s="308" t="s">
        <v>59</v>
      </c>
      <c r="B40" s="308">
        <f t="shared" si="74"/>
        <v>2018</v>
      </c>
      <c r="C40" s="308" t="s">
        <v>47</v>
      </c>
      <c r="D40" s="518">
        <v>93000</v>
      </c>
      <c r="E40" s="518">
        <v>9600</v>
      </c>
      <c r="F40" s="518"/>
      <c r="G40" s="518"/>
      <c r="H40" s="518"/>
      <c r="I40" s="518"/>
      <c r="J40" s="518"/>
      <c r="K40" s="518">
        <f t="shared" si="4"/>
        <v>102600</v>
      </c>
      <c r="L40" s="518">
        <f>SUM(K$5:K40)</f>
        <v>6507871.71</v>
      </c>
      <c r="N40" s="518">
        <f t="shared" si="10"/>
        <v>925</v>
      </c>
      <c r="O40" s="518">
        <f t="shared" si="14"/>
        <v>2660</v>
      </c>
      <c r="P40" s="518">
        <f t="shared" si="18"/>
        <v>2463.3333333333335</v>
      </c>
      <c r="Q40" s="518">
        <f t="shared" si="20"/>
        <v>5920</v>
      </c>
      <c r="R40" s="518">
        <f t="shared" si="22"/>
        <v>8403.3333333333339</v>
      </c>
      <c r="S40" s="518">
        <f t="shared" si="24"/>
        <v>8219.8333333333339</v>
      </c>
      <c r="T40" s="518">
        <f t="shared" si="26"/>
        <v>6750</v>
      </c>
      <c r="U40" s="518">
        <f t="shared" si="28"/>
        <v>6890</v>
      </c>
      <c r="V40" s="518">
        <f t="shared" si="30"/>
        <v>5805</v>
      </c>
      <c r="W40" s="518">
        <f t="shared" si="32"/>
        <v>5580.9035000000003</v>
      </c>
      <c r="X40" s="518">
        <f t="shared" si="35"/>
        <v>4092.0833333333335</v>
      </c>
      <c r="Y40" s="518">
        <f t="shared" si="37"/>
        <v>3393.3333333333335</v>
      </c>
      <c r="Z40" s="518">
        <f t="shared" si="39"/>
        <v>5251.666666666667</v>
      </c>
      <c r="AA40" s="518">
        <f t="shared" si="41"/>
        <v>3206.7083333333335</v>
      </c>
      <c r="AB40" s="518">
        <f t="shared" si="43"/>
        <v>2656.6666666666665</v>
      </c>
      <c r="AC40" s="518">
        <f t="shared" si="45"/>
        <v>2408.3333333333335</v>
      </c>
      <c r="AD40" s="518">
        <f t="shared" si="47"/>
        <v>1618.3333333333333</v>
      </c>
      <c r="AE40" s="518">
        <f t="shared" si="49"/>
        <v>2563.3333333333335</v>
      </c>
      <c r="AF40" s="518">
        <f t="shared" si="51"/>
        <v>2318.3333333333335</v>
      </c>
      <c r="AG40" s="518">
        <f t="shared" si="53"/>
        <v>2056.6666666666665</v>
      </c>
      <c r="AH40" s="518">
        <f t="shared" si="55"/>
        <v>1968.3333333333333</v>
      </c>
      <c r="AI40" s="518">
        <f t="shared" si="57"/>
        <v>2435</v>
      </c>
      <c r="AJ40" s="518">
        <f t="shared" si="60"/>
        <v>1468.3333333333333</v>
      </c>
      <c r="AK40" s="518">
        <f t="shared" si="62"/>
        <v>1326.6666666666667</v>
      </c>
      <c r="AL40" s="518">
        <f t="shared" si="64"/>
        <v>1798.3333333333333</v>
      </c>
      <c r="AM40" s="518">
        <f t="shared" si="66"/>
        <v>1486.6666666666667</v>
      </c>
      <c r="AN40" s="518">
        <f t="shared" si="68"/>
        <v>1538.3333333333333</v>
      </c>
      <c r="AO40" s="518">
        <f t="shared" si="70"/>
        <v>1136.6666666666667</v>
      </c>
      <c r="AP40" s="518">
        <f t="shared" si="72"/>
        <v>1131.6666666666667</v>
      </c>
      <c r="AQ40" s="518">
        <f t="shared" si="75"/>
        <v>1275</v>
      </c>
      <c r="AR40" s="518">
        <f t="shared" si="77"/>
        <v>1440</v>
      </c>
      <c r="AS40" s="518">
        <f t="shared" si="79"/>
        <v>1505</v>
      </c>
      <c r="AT40" s="518">
        <f t="shared" si="84"/>
        <v>2083.3333333333335</v>
      </c>
      <c r="AU40" s="518">
        <f t="shared" si="86"/>
        <v>1470</v>
      </c>
      <c r="AV40" s="518">
        <f t="shared" ref="AV40:AV98" si="88">$K$39/60</f>
        <v>1508.3333333333333</v>
      </c>
      <c r="AW40" s="518">
        <f>$K$40/60</f>
        <v>1710</v>
      </c>
      <c r="AX40" s="518"/>
      <c r="AY40" s="518"/>
      <c r="AZ40" s="518"/>
      <c r="BA40" s="518"/>
      <c r="BB40" s="518"/>
      <c r="BC40" s="518"/>
      <c r="BD40" s="518"/>
      <c r="BE40" s="518"/>
      <c r="BF40" s="518"/>
      <c r="BG40" s="518"/>
      <c r="BH40" s="518"/>
      <c r="BI40" s="518"/>
      <c r="BJ40" s="518"/>
      <c r="BK40" s="518"/>
      <c r="BL40" s="518"/>
      <c r="BM40" s="518"/>
      <c r="BN40" s="518"/>
      <c r="BO40" s="518"/>
      <c r="BP40" s="518"/>
      <c r="BQ40" s="518"/>
      <c r="BR40" s="518">
        <f t="shared" si="11"/>
        <v>108464.52849999999</v>
      </c>
      <c r="BS40" s="518">
        <f t="shared" si="15"/>
        <v>2523557.6861666669</v>
      </c>
      <c r="BT40" s="518">
        <f t="shared" si="80"/>
        <v>3984314.023833333</v>
      </c>
      <c r="BU40" s="518">
        <f t="shared" si="81"/>
        <v>4092778.5523333331</v>
      </c>
      <c r="BW40" s="518"/>
      <c r="BX40" s="518"/>
      <c r="BY40" s="518"/>
      <c r="BZ40" s="518"/>
      <c r="CA40" s="518"/>
      <c r="CB40" s="518"/>
      <c r="CC40" s="518"/>
      <c r="CD40" s="518"/>
      <c r="CE40" s="518"/>
      <c r="CF40" s="518"/>
      <c r="CG40" s="518"/>
      <c r="CH40" s="518"/>
      <c r="CI40" s="518"/>
      <c r="CJ40" s="518"/>
      <c r="CK40" s="518"/>
      <c r="CL40" s="518"/>
      <c r="CM40" s="518"/>
      <c r="CN40" s="518"/>
      <c r="CO40" s="518"/>
      <c r="CP40" s="518"/>
      <c r="CQ40" s="518"/>
      <c r="CR40" s="518"/>
      <c r="CS40" s="518"/>
      <c r="CT40" s="518"/>
      <c r="CU40" s="518">
        <f t="shared" si="65"/>
        <v>8991.6666666666661</v>
      </c>
      <c r="CV40" s="518">
        <f t="shared" si="67"/>
        <v>7433.333333333333</v>
      </c>
      <c r="CW40" s="518">
        <f t="shared" si="69"/>
        <v>7691.666666666667</v>
      </c>
      <c r="CX40" s="518">
        <f t="shared" si="71"/>
        <v>5683.333333333333</v>
      </c>
      <c r="CY40" s="518">
        <f t="shared" si="73"/>
        <v>5658.333333333333</v>
      </c>
      <c r="CZ40" s="518">
        <f t="shared" si="76"/>
        <v>6375</v>
      </c>
      <c r="DA40" s="518">
        <f t="shared" si="78"/>
        <v>7200</v>
      </c>
      <c r="DB40" s="518">
        <f t="shared" si="82"/>
        <v>7525</v>
      </c>
      <c r="DC40" s="518">
        <f t="shared" si="85"/>
        <v>10416.666666666666</v>
      </c>
      <c r="DD40" s="518">
        <f t="shared" si="87"/>
        <v>7350</v>
      </c>
      <c r="DE40" s="518">
        <f t="shared" ref="DE40:DE50" si="89">$K$39/12</f>
        <v>7541.666666666667</v>
      </c>
      <c r="DF40" s="518">
        <f>$K$40/12</f>
        <v>8550</v>
      </c>
      <c r="DG40" s="518"/>
      <c r="DH40" s="518"/>
      <c r="DI40" s="518"/>
      <c r="DJ40" s="518"/>
      <c r="DK40" s="518"/>
      <c r="DL40" s="518"/>
      <c r="DM40" s="518"/>
      <c r="DN40" s="518"/>
      <c r="DO40" s="518"/>
      <c r="DP40" s="518"/>
      <c r="DQ40" s="518"/>
      <c r="DR40" s="518"/>
      <c r="DS40" s="518"/>
      <c r="DT40" s="518"/>
      <c r="DU40" s="518"/>
      <c r="DV40" s="518"/>
      <c r="DW40" s="518"/>
      <c r="DX40" s="518"/>
      <c r="DY40" s="518"/>
      <c r="DZ40" s="518"/>
      <c r="EA40" s="518">
        <f t="shared" si="13"/>
        <v>90416.666666666672</v>
      </c>
      <c r="EC40" s="519">
        <f>+EA40</f>
        <v>90416.666666666672</v>
      </c>
      <c r="ED40" s="519">
        <f t="shared" si="83"/>
        <v>108464.52849999999</v>
      </c>
      <c r="EE40" s="518">
        <f>+ED40-EC40</f>
        <v>18047.861833333314</v>
      </c>
      <c r="EF40" s="518">
        <f>+EE40*'Capital Structure '!$P$30</f>
        <v>5073.2539613499939</v>
      </c>
      <c r="EG40" s="518">
        <f t="shared" si="17"/>
        <v>-976854.55209954968</v>
      </c>
    </row>
    <row r="41" spans="1:137" s="585" customFormat="1">
      <c r="A41" s="308" t="s">
        <v>46</v>
      </c>
      <c r="B41" s="308">
        <f t="shared" si="74"/>
        <v>2018</v>
      </c>
      <c r="C41" s="308" t="s">
        <v>47</v>
      </c>
      <c r="D41" s="518">
        <v>90000</v>
      </c>
      <c r="E41" s="518">
        <v>5000</v>
      </c>
      <c r="F41" s="518"/>
      <c r="G41" s="518"/>
      <c r="H41" s="518"/>
      <c r="I41" s="518"/>
      <c r="J41" s="518"/>
      <c r="K41" s="518">
        <f t="shared" si="4"/>
        <v>95000</v>
      </c>
      <c r="L41" s="518">
        <f>SUM(K$5:K41)</f>
        <v>6602871.71</v>
      </c>
      <c r="N41" s="518">
        <f t="shared" si="10"/>
        <v>925</v>
      </c>
      <c r="O41" s="518">
        <f t="shared" si="14"/>
        <v>2660</v>
      </c>
      <c r="P41" s="518">
        <f t="shared" si="18"/>
        <v>2463.3333333333335</v>
      </c>
      <c r="Q41" s="518">
        <f t="shared" si="20"/>
        <v>5920</v>
      </c>
      <c r="R41" s="518">
        <f t="shared" si="22"/>
        <v>8403.3333333333339</v>
      </c>
      <c r="S41" s="518">
        <f t="shared" si="24"/>
        <v>8219.8333333333339</v>
      </c>
      <c r="T41" s="518">
        <f t="shared" si="26"/>
        <v>6750</v>
      </c>
      <c r="U41" s="518">
        <f t="shared" si="28"/>
        <v>6890</v>
      </c>
      <c r="V41" s="518">
        <f t="shared" si="30"/>
        <v>5805</v>
      </c>
      <c r="W41" s="518">
        <f t="shared" si="32"/>
        <v>5580.9035000000003</v>
      </c>
      <c r="X41" s="518">
        <f t="shared" si="35"/>
        <v>4092.0833333333335</v>
      </c>
      <c r="Y41" s="518">
        <f t="shared" si="37"/>
        <v>3393.3333333333335</v>
      </c>
      <c r="Z41" s="518">
        <f t="shared" si="39"/>
        <v>5251.666666666667</v>
      </c>
      <c r="AA41" s="518">
        <f t="shared" si="41"/>
        <v>3206.7083333333335</v>
      </c>
      <c r="AB41" s="518">
        <f t="shared" si="43"/>
        <v>2656.6666666666665</v>
      </c>
      <c r="AC41" s="518">
        <f t="shared" si="45"/>
        <v>2408.3333333333335</v>
      </c>
      <c r="AD41" s="518">
        <f t="shared" si="47"/>
        <v>1618.3333333333333</v>
      </c>
      <c r="AE41" s="518">
        <f t="shared" si="49"/>
        <v>2563.3333333333335</v>
      </c>
      <c r="AF41" s="518">
        <f t="shared" si="51"/>
        <v>2318.3333333333335</v>
      </c>
      <c r="AG41" s="518">
        <f t="shared" si="53"/>
        <v>2056.6666666666665</v>
      </c>
      <c r="AH41" s="518">
        <f t="shared" si="55"/>
        <v>1968.3333333333333</v>
      </c>
      <c r="AI41" s="518">
        <f t="shared" si="57"/>
        <v>2435</v>
      </c>
      <c r="AJ41" s="518">
        <f t="shared" si="60"/>
        <v>1468.3333333333333</v>
      </c>
      <c r="AK41" s="518">
        <f t="shared" si="62"/>
        <v>1326.6666666666667</v>
      </c>
      <c r="AL41" s="518">
        <f t="shared" si="64"/>
        <v>1798.3333333333333</v>
      </c>
      <c r="AM41" s="518">
        <f t="shared" si="66"/>
        <v>1486.6666666666667</v>
      </c>
      <c r="AN41" s="518">
        <f t="shared" si="68"/>
        <v>1538.3333333333333</v>
      </c>
      <c r="AO41" s="518">
        <f t="shared" si="70"/>
        <v>1136.6666666666667</v>
      </c>
      <c r="AP41" s="518">
        <f t="shared" si="72"/>
        <v>1131.6666666666667</v>
      </c>
      <c r="AQ41" s="518">
        <f t="shared" si="75"/>
        <v>1275</v>
      </c>
      <c r="AR41" s="518">
        <f t="shared" si="77"/>
        <v>1440</v>
      </c>
      <c r="AS41" s="518">
        <f t="shared" si="79"/>
        <v>1505</v>
      </c>
      <c r="AT41" s="518">
        <f t="shared" si="84"/>
        <v>2083.3333333333335</v>
      </c>
      <c r="AU41" s="518">
        <f t="shared" si="86"/>
        <v>1470</v>
      </c>
      <c r="AV41" s="518">
        <f t="shared" si="88"/>
        <v>1508.3333333333333</v>
      </c>
      <c r="AW41" s="518">
        <f t="shared" ref="AW41:AW99" si="90">$K$40/60</f>
        <v>1710</v>
      </c>
      <c r="AX41" s="518">
        <f>$K$41/60</f>
        <v>1583.3333333333333</v>
      </c>
      <c r="AY41" s="518"/>
      <c r="AZ41" s="518"/>
      <c r="BA41" s="518"/>
      <c r="BB41" s="518"/>
      <c r="BC41" s="518"/>
      <c r="BD41" s="518"/>
      <c r="BE41" s="518"/>
      <c r="BF41" s="518"/>
      <c r="BG41" s="518"/>
      <c r="BH41" s="518"/>
      <c r="BI41" s="518"/>
      <c r="BJ41" s="518"/>
      <c r="BK41" s="518"/>
      <c r="BL41" s="518"/>
      <c r="BM41" s="518"/>
      <c r="BN41" s="518"/>
      <c r="BO41" s="518"/>
      <c r="BP41" s="518"/>
      <c r="BQ41" s="518"/>
      <c r="BR41" s="518">
        <f t="shared" si="11"/>
        <v>110047.86183333331</v>
      </c>
      <c r="BS41" s="518">
        <f t="shared" si="15"/>
        <v>2633605.5480000004</v>
      </c>
      <c r="BT41" s="518">
        <f t="shared" si="80"/>
        <v>3969266.1619999995</v>
      </c>
      <c r="BU41" s="518">
        <f t="shared" si="81"/>
        <v>4079314.023833333</v>
      </c>
      <c r="BW41" s="518"/>
      <c r="BX41" s="518"/>
      <c r="BY41" s="518"/>
      <c r="BZ41" s="518"/>
      <c r="CA41" s="518"/>
      <c r="CB41" s="518"/>
      <c r="CC41" s="518"/>
      <c r="CD41" s="518"/>
      <c r="CE41" s="518"/>
      <c r="CF41" s="518"/>
      <c r="CG41" s="518"/>
      <c r="CH41" s="518"/>
      <c r="CI41" s="518"/>
      <c r="CJ41" s="518"/>
      <c r="CK41" s="518"/>
      <c r="CL41" s="518"/>
      <c r="CM41" s="518"/>
      <c r="CN41" s="518"/>
      <c r="CO41" s="518"/>
      <c r="CP41" s="518"/>
      <c r="CQ41" s="518"/>
      <c r="CR41" s="518"/>
      <c r="CS41" s="518"/>
      <c r="CT41" s="518"/>
      <c r="CU41" s="518"/>
      <c r="CV41" s="518">
        <f t="shared" si="67"/>
        <v>7433.333333333333</v>
      </c>
      <c r="CW41" s="518">
        <f t="shared" si="69"/>
        <v>7691.666666666667</v>
      </c>
      <c r="CX41" s="518">
        <f t="shared" si="71"/>
        <v>5683.333333333333</v>
      </c>
      <c r="CY41" s="518">
        <f t="shared" si="73"/>
        <v>5658.333333333333</v>
      </c>
      <c r="CZ41" s="518">
        <f t="shared" si="76"/>
        <v>6375</v>
      </c>
      <c r="DA41" s="518">
        <f t="shared" si="78"/>
        <v>7200</v>
      </c>
      <c r="DB41" s="518">
        <f t="shared" si="82"/>
        <v>7525</v>
      </c>
      <c r="DC41" s="518">
        <f t="shared" si="85"/>
        <v>10416.666666666666</v>
      </c>
      <c r="DD41" s="518">
        <f t="shared" si="87"/>
        <v>7350</v>
      </c>
      <c r="DE41" s="518">
        <f t="shared" si="89"/>
        <v>7541.666666666667</v>
      </c>
      <c r="DF41" s="518">
        <f t="shared" ref="DF41:DF51" si="91">$K$40/12</f>
        <v>8550</v>
      </c>
      <c r="DG41" s="518">
        <f>$K$41/12</f>
        <v>7916.666666666667</v>
      </c>
      <c r="DH41" s="518"/>
      <c r="DI41" s="518"/>
      <c r="DJ41" s="518"/>
      <c r="DK41" s="518"/>
      <c r="DL41" s="518"/>
      <c r="DM41" s="518"/>
      <c r="DN41" s="518"/>
      <c r="DO41" s="518"/>
      <c r="DP41" s="518"/>
      <c r="DQ41" s="518"/>
      <c r="DR41" s="518"/>
      <c r="DS41" s="518"/>
      <c r="DT41" s="518"/>
      <c r="DU41" s="518"/>
      <c r="DV41" s="518"/>
      <c r="DW41" s="518"/>
      <c r="DX41" s="518"/>
      <c r="DY41" s="518"/>
      <c r="DZ41" s="518"/>
      <c r="EA41" s="518">
        <f t="shared" si="13"/>
        <v>89341.666666666672</v>
      </c>
      <c r="EC41" s="519">
        <f t="shared" ref="EC41:EC76" si="92">+EA41</f>
        <v>89341.666666666672</v>
      </c>
      <c r="ED41" s="519">
        <f t="shared" si="83"/>
        <v>110047.86183333331</v>
      </c>
      <c r="EE41" s="518">
        <f t="shared" ref="EE41:EE76" si="93">+ED41-EC41</f>
        <v>20706.195166666643</v>
      </c>
      <c r="EF41" s="518">
        <f>+EE41*'Capital Structure '!$P$30</f>
        <v>5820.5114613499927</v>
      </c>
      <c r="EG41" s="518">
        <f t="shared" si="17"/>
        <v>-971034.04063819966</v>
      </c>
    </row>
    <row r="42" spans="1:137" s="585" customFormat="1">
      <c r="A42" s="308" t="s">
        <v>48</v>
      </c>
      <c r="B42" s="308">
        <f t="shared" si="74"/>
        <v>2018</v>
      </c>
      <c r="C42" s="308" t="s">
        <v>47</v>
      </c>
      <c r="D42" s="518">
        <v>62000</v>
      </c>
      <c r="E42" s="518">
        <v>4800</v>
      </c>
      <c r="F42" s="518"/>
      <c r="G42" s="518"/>
      <c r="H42" s="518"/>
      <c r="I42" s="518"/>
      <c r="J42" s="518"/>
      <c r="K42" s="518">
        <f t="shared" si="4"/>
        <v>66800</v>
      </c>
      <c r="L42" s="518">
        <f>SUM(K$5:K42)</f>
        <v>6669671.71</v>
      </c>
      <c r="N42" s="518">
        <f t="shared" si="10"/>
        <v>925</v>
      </c>
      <c r="O42" s="518">
        <f t="shared" si="14"/>
        <v>2660</v>
      </c>
      <c r="P42" s="518">
        <f t="shared" si="18"/>
        <v>2463.3333333333335</v>
      </c>
      <c r="Q42" s="518">
        <f t="shared" si="20"/>
        <v>5920</v>
      </c>
      <c r="R42" s="518">
        <f t="shared" si="22"/>
        <v>8403.3333333333339</v>
      </c>
      <c r="S42" s="518">
        <f t="shared" si="24"/>
        <v>8219.8333333333339</v>
      </c>
      <c r="T42" s="518">
        <f t="shared" si="26"/>
        <v>6750</v>
      </c>
      <c r="U42" s="518">
        <f t="shared" si="28"/>
        <v>6890</v>
      </c>
      <c r="V42" s="518">
        <f t="shared" si="30"/>
        <v>5805</v>
      </c>
      <c r="W42" s="518">
        <f t="shared" si="32"/>
        <v>5580.9035000000003</v>
      </c>
      <c r="X42" s="518">
        <f t="shared" si="35"/>
        <v>4092.0833333333335</v>
      </c>
      <c r="Y42" s="518">
        <f t="shared" si="37"/>
        <v>3393.3333333333335</v>
      </c>
      <c r="Z42" s="518">
        <f t="shared" si="39"/>
        <v>5251.666666666667</v>
      </c>
      <c r="AA42" s="518">
        <f t="shared" si="41"/>
        <v>3206.7083333333335</v>
      </c>
      <c r="AB42" s="518">
        <f t="shared" si="43"/>
        <v>2656.6666666666665</v>
      </c>
      <c r="AC42" s="518">
        <f t="shared" si="45"/>
        <v>2408.3333333333335</v>
      </c>
      <c r="AD42" s="518">
        <f t="shared" si="47"/>
        <v>1618.3333333333333</v>
      </c>
      <c r="AE42" s="518">
        <f t="shared" si="49"/>
        <v>2563.3333333333335</v>
      </c>
      <c r="AF42" s="518">
        <f t="shared" si="51"/>
        <v>2318.3333333333335</v>
      </c>
      <c r="AG42" s="518">
        <f t="shared" si="53"/>
        <v>2056.6666666666665</v>
      </c>
      <c r="AH42" s="518">
        <f t="shared" si="55"/>
        <v>1968.3333333333333</v>
      </c>
      <c r="AI42" s="518">
        <f t="shared" si="57"/>
        <v>2435</v>
      </c>
      <c r="AJ42" s="518">
        <f t="shared" si="60"/>
        <v>1468.3333333333333</v>
      </c>
      <c r="AK42" s="518">
        <f t="shared" si="62"/>
        <v>1326.6666666666667</v>
      </c>
      <c r="AL42" s="518">
        <f t="shared" si="64"/>
        <v>1798.3333333333333</v>
      </c>
      <c r="AM42" s="518">
        <f t="shared" si="66"/>
        <v>1486.6666666666667</v>
      </c>
      <c r="AN42" s="518">
        <f t="shared" si="68"/>
        <v>1538.3333333333333</v>
      </c>
      <c r="AO42" s="518">
        <f t="shared" si="70"/>
        <v>1136.6666666666667</v>
      </c>
      <c r="AP42" s="518">
        <f t="shared" si="72"/>
        <v>1131.6666666666667</v>
      </c>
      <c r="AQ42" s="518">
        <f t="shared" si="75"/>
        <v>1275</v>
      </c>
      <c r="AR42" s="518">
        <f t="shared" si="77"/>
        <v>1440</v>
      </c>
      <c r="AS42" s="518">
        <f t="shared" si="79"/>
        <v>1505</v>
      </c>
      <c r="AT42" s="518">
        <f t="shared" si="84"/>
        <v>2083.3333333333335</v>
      </c>
      <c r="AU42" s="518">
        <f t="shared" si="86"/>
        <v>1470</v>
      </c>
      <c r="AV42" s="518">
        <f t="shared" si="88"/>
        <v>1508.3333333333333</v>
      </c>
      <c r="AW42" s="518">
        <f t="shared" si="90"/>
        <v>1710</v>
      </c>
      <c r="AX42" s="518">
        <f t="shared" ref="AX42:AX100" si="94">$K$41/60</f>
        <v>1583.3333333333333</v>
      </c>
      <c r="AY42" s="518">
        <f>$K$42/60</f>
        <v>1113.3333333333333</v>
      </c>
      <c r="AZ42" s="518"/>
      <c r="BA42" s="518"/>
      <c r="BB42" s="518"/>
      <c r="BC42" s="518"/>
      <c r="BD42" s="518"/>
      <c r="BE42" s="518"/>
      <c r="BF42" s="518"/>
      <c r="BG42" s="518"/>
      <c r="BH42" s="518"/>
      <c r="BI42" s="518"/>
      <c r="BJ42" s="518"/>
      <c r="BK42" s="518"/>
      <c r="BL42" s="518"/>
      <c r="BM42" s="518"/>
      <c r="BN42" s="518"/>
      <c r="BO42" s="518"/>
      <c r="BP42" s="518"/>
      <c r="BQ42" s="518"/>
      <c r="BR42" s="518">
        <f t="shared" si="11"/>
        <v>111161.19516666664</v>
      </c>
      <c r="BS42" s="518">
        <f t="shared" si="15"/>
        <v>2744766.7431666669</v>
      </c>
      <c r="BT42" s="518">
        <f t="shared" si="80"/>
        <v>3924904.966833333</v>
      </c>
      <c r="BU42" s="518">
        <f t="shared" si="81"/>
        <v>4036066.1619999995</v>
      </c>
      <c r="BW42" s="518"/>
      <c r="BX42" s="518"/>
      <c r="BY42" s="518"/>
      <c r="BZ42" s="518"/>
      <c r="CA42" s="518"/>
      <c r="CB42" s="518"/>
      <c r="CC42" s="518"/>
      <c r="CD42" s="518"/>
      <c r="CE42" s="518"/>
      <c r="CF42" s="518"/>
      <c r="CG42" s="518"/>
      <c r="CH42" s="518"/>
      <c r="CI42" s="518"/>
      <c r="CJ42" s="518"/>
      <c r="CK42" s="518"/>
      <c r="CL42" s="518"/>
      <c r="CM42" s="518"/>
      <c r="CN42" s="518"/>
      <c r="CO42" s="518"/>
      <c r="CP42" s="518"/>
      <c r="CQ42" s="518"/>
      <c r="CR42" s="518"/>
      <c r="CS42" s="518"/>
      <c r="CT42" s="518"/>
      <c r="CU42" s="518"/>
      <c r="CV42" s="518"/>
      <c r="CW42" s="518">
        <f t="shared" si="69"/>
        <v>7691.666666666667</v>
      </c>
      <c r="CX42" s="518">
        <f t="shared" si="71"/>
        <v>5683.333333333333</v>
      </c>
      <c r="CY42" s="518">
        <f t="shared" si="73"/>
        <v>5658.333333333333</v>
      </c>
      <c r="CZ42" s="518">
        <f t="shared" si="76"/>
        <v>6375</v>
      </c>
      <c r="DA42" s="518">
        <f t="shared" si="78"/>
        <v>7200</v>
      </c>
      <c r="DB42" s="518">
        <f t="shared" si="82"/>
        <v>7525</v>
      </c>
      <c r="DC42" s="518">
        <f t="shared" si="85"/>
        <v>10416.666666666666</v>
      </c>
      <c r="DD42" s="518">
        <f t="shared" si="87"/>
        <v>7350</v>
      </c>
      <c r="DE42" s="518">
        <f t="shared" si="89"/>
        <v>7541.666666666667</v>
      </c>
      <c r="DF42" s="518">
        <f t="shared" si="91"/>
        <v>8550</v>
      </c>
      <c r="DG42" s="518">
        <f t="shared" ref="DG42:DG52" si="95">$K$41/12</f>
        <v>7916.666666666667</v>
      </c>
      <c r="DH42" s="518">
        <f>$K$42/12</f>
        <v>5566.666666666667</v>
      </c>
      <c r="DI42" s="518"/>
      <c r="DJ42" s="518"/>
      <c r="DK42" s="518"/>
      <c r="DL42" s="518"/>
      <c r="DM42" s="518"/>
      <c r="DN42" s="518"/>
      <c r="DO42" s="518"/>
      <c r="DP42" s="518"/>
      <c r="DQ42" s="518"/>
      <c r="DR42" s="518"/>
      <c r="DS42" s="518"/>
      <c r="DT42" s="518"/>
      <c r="DU42" s="518"/>
      <c r="DV42" s="518"/>
      <c r="DW42" s="518"/>
      <c r="DX42" s="518"/>
      <c r="DY42" s="518"/>
      <c r="DZ42" s="518"/>
      <c r="EA42" s="518">
        <f t="shared" si="13"/>
        <v>87475</v>
      </c>
      <c r="EC42" s="519">
        <f t="shared" si="92"/>
        <v>87475</v>
      </c>
      <c r="ED42" s="519">
        <f t="shared" si="83"/>
        <v>111161.19516666664</v>
      </c>
      <c r="EE42" s="518">
        <f t="shared" si="93"/>
        <v>23686.195166666643</v>
      </c>
      <c r="EF42" s="518">
        <f>+EE42*'Capital Structure '!$P$30</f>
        <v>6658.1894613499926</v>
      </c>
      <c r="EG42" s="518">
        <f t="shared" si="17"/>
        <v>-964375.85117684968</v>
      </c>
    </row>
    <row r="43" spans="1:137" s="585" customFormat="1" outlineLevel="1">
      <c r="A43" s="308" t="s">
        <v>50</v>
      </c>
      <c r="B43" s="308">
        <f t="shared" si="74"/>
        <v>2018</v>
      </c>
      <c r="C43" s="308" t="s">
        <v>47</v>
      </c>
      <c r="D43" s="518">
        <v>90500</v>
      </c>
      <c r="E43" s="518">
        <v>8300</v>
      </c>
      <c r="F43" s="518"/>
      <c r="G43" s="518"/>
      <c r="H43" s="518"/>
      <c r="I43" s="518"/>
      <c r="J43" s="518"/>
      <c r="K43" s="518">
        <f t="shared" si="4"/>
        <v>98800</v>
      </c>
      <c r="L43" s="518">
        <f>SUM(K$5:K43)</f>
        <v>6768471.71</v>
      </c>
      <c r="N43" s="518">
        <f t="shared" si="10"/>
        <v>925</v>
      </c>
      <c r="O43" s="518">
        <f t="shared" si="14"/>
        <v>2660</v>
      </c>
      <c r="P43" s="518">
        <f t="shared" si="18"/>
        <v>2463.3333333333335</v>
      </c>
      <c r="Q43" s="518">
        <f t="shared" si="20"/>
        <v>5920</v>
      </c>
      <c r="R43" s="518">
        <f t="shared" si="22"/>
        <v>8403.3333333333339</v>
      </c>
      <c r="S43" s="518">
        <f t="shared" si="24"/>
        <v>8219.8333333333339</v>
      </c>
      <c r="T43" s="518">
        <f t="shared" si="26"/>
        <v>6750</v>
      </c>
      <c r="U43" s="518">
        <f t="shared" si="28"/>
        <v>6890</v>
      </c>
      <c r="V43" s="518">
        <f t="shared" si="30"/>
        <v>5805</v>
      </c>
      <c r="W43" s="518">
        <f t="shared" si="32"/>
        <v>5580.9035000000003</v>
      </c>
      <c r="X43" s="518">
        <f t="shared" si="35"/>
        <v>4092.0833333333335</v>
      </c>
      <c r="Y43" s="518">
        <f t="shared" si="37"/>
        <v>3393.3333333333335</v>
      </c>
      <c r="Z43" s="518">
        <f t="shared" si="39"/>
        <v>5251.666666666667</v>
      </c>
      <c r="AA43" s="518">
        <f t="shared" si="41"/>
        <v>3206.7083333333335</v>
      </c>
      <c r="AB43" s="518">
        <f t="shared" si="43"/>
        <v>2656.6666666666665</v>
      </c>
      <c r="AC43" s="518">
        <f t="shared" si="45"/>
        <v>2408.3333333333335</v>
      </c>
      <c r="AD43" s="518">
        <f t="shared" si="47"/>
        <v>1618.3333333333333</v>
      </c>
      <c r="AE43" s="518">
        <f t="shared" si="49"/>
        <v>2563.3333333333335</v>
      </c>
      <c r="AF43" s="518">
        <f t="shared" si="51"/>
        <v>2318.3333333333335</v>
      </c>
      <c r="AG43" s="518">
        <f t="shared" si="53"/>
        <v>2056.6666666666665</v>
      </c>
      <c r="AH43" s="518">
        <f t="shared" si="55"/>
        <v>1968.3333333333333</v>
      </c>
      <c r="AI43" s="518">
        <f t="shared" si="57"/>
        <v>2435</v>
      </c>
      <c r="AJ43" s="518">
        <f t="shared" si="60"/>
        <v>1468.3333333333333</v>
      </c>
      <c r="AK43" s="518">
        <f t="shared" si="62"/>
        <v>1326.6666666666667</v>
      </c>
      <c r="AL43" s="518">
        <f t="shared" si="64"/>
        <v>1798.3333333333333</v>
      </c>
      <c r="AM43" s="518">
        <f t="shared" si="66"/>
        <v>1486.6666666666667</v>
      </c>
      <c r="AN43" s="518">
        <f t="shared" si="68"/>
        <v>1538.3333333333333</v>
      </c>
      <c r="AO43" s="518">
        <f t="shared" si="70"/>
        <v>1136.6666666666667</v>
      </c>
      <c r="AP43" s="518">
        <f t="shared" si="72"/>
        <v>1131.6666666666667</v>
      </c>
      <c r="AQ43" s="518">
        <f t="shared" si="75"/>
        <v>1275</v>
      </c>
      <c r="AR43" s="518">
        <f t="shared" si="77"/>
        <v>1440</v>
      </c>
      <c r="AS43" s="518">
        <f t="shared" si="79"/>
        <v>1505</v>
      </c>
      <c r="AT43" s="518">
        <f t="shared" si="84"/>
        <v>2083.3333333333335</v>
      </c>
      <c r="AU43" s="518">
        <f t="shared" si="86"/>
        <v>1470</v>
      </c>
      <c r="AV43" s="518">
        <f t="shared" si="88"/>
        <v>1508.3333333333333</v>
      </c>
      <c r="AW43" s="518">
        <f t="shared" si="90"/>
        <v>1710</v>
      </c>
      <c r="AX43" s="518">
        <f t="shared" si="94"/>
        <v>1583.3333333333333</v>
      </c>
      <c r="AY43" s="518">
        <f t="shared" ref="AY43:AY101" si="96">$K$42/60</f>
        <v>1113.3333333333333</v>
      </c>
      <c r="AZ43" s="518">
        <f>$K$43/60</f>
        <v>1646.6666666666667</v>
      </c>
      <c r="BA43" s="518"/>
      <c r="BB43" s="518"/>
      <c r="BC43" s="518"/>
      <c r="BD43" s="518"/>
      <c r="BE43" s="518"/>
      <c r="BF43" s="518"/>
      <c r="BG43" s="518"/>
      <c r="BH43" s="518"/>
      <c r="BI43" s="518"/>
      <c r="BJ43" s="518"/>
      <c r="BK43" s="518"/>
      <c r="BL43" s="518"/>
      <c r="BM43" s="518"/>
      <c r="BN43" s="518"/>
      <c r="BO43" s="518"/>
      <c r="BP43" s="518"/>
      <c r="BQ43" s="518"/>
      <c r="BR43" s="518">
        <f t="shared" si="11"/>
        <v>112807.86183333331</v>
      </c>
      <c r="BS43" s="518">
        <f t="shared" si="15"/>
        <v>2857574.6050000004</v>
      </c>
      <c r="BT43" s="518">
        <f t="shared" si="80"/>
        <v>3910897.1049999995</v>
      </c>
      <c r="BU43" s="518">
        <f t="shared" si="81"/>
        <v>4023704.966833333</v>
      </c>
      <c r="BW43" s="518"/>
      <c r="BX43" s="518"/>
      <c r="BY43" s="518"/>
      <c r="BZ43" s="518"/>
      <c r="CA43" s="518"/>
      <c r="CB43" s="518"/>
      <c r="CC43" s="518"/>
      <c r="CD43" s="518"/>
      <c r="CE43" s="518"/>
      <c r="CF43" s="518"/>
      <c r="CG43" s="518"/>
      <c r="CH43" s="518"/>
      <c r="CI43" s="518"/>
      <c r="CJ43" s="518"/>
      <c r="CK43" s="518"/>
      <c r="CL43" s="518"/>
      <c r="CM43" s="518"/>
      <c r="CN43" s="518"/>
      <c r="CO43" s="518"/>
      <c r="CP43" s="518"/>
      <c r="CQ43" s="518"/>
      <c r="CR43" s="518"/>
      <c r="CS43" s="518"/>
      <c r="CT43" s="518"/>
      <c r="CU43" s="518"/>
      <c r="CV43" s="518"/>
      <c r="CW43" s="518"/>
      <c r="CX43" s="518">
        <f t="shared" si="71"/>
        <v>5683.333333333333</v>
      </c>
      <c r="CY43" s="518">
        <f t="shared" si="73"/>
        <v>5658.333333333333</v>
      </c>
      <c r="CZ43" s="518">
        <f t="shared" si="76"/>
        <v>6375</v>
      </c>
      <c r="DA43" s="518">
        <f t="shared" si="78"/>
        <v>7200</v>
      </c>
      <c r="DB43" s="518">
        <f t="shared" si="82"/>
        <v>7525</v>
      </c>
      <c r="DC43" s="518">
        <f t="shared" si="85"/>
        <v>10416.666666666666</v>
      </c>
      <c r="DD43" s="518">
        <f t="shared" si="87"/>
        <v>7350</v>
      </c>
      <c r="DE43" s="518">
        <f t="shared" si="89"/>
        <v>7541.666666666667</v>
      </c>
      <c r="DF43" s="518">
        <f t="shared" si="91"/>
        <v>8550</v>
      </c>
      <c r="DG43" s="518">
        <f t="shared" si="95"/>
        <v>7916.666666666667</v>
      </c>
      <c r="DH43" s="518">
        <f t="shared" ref="DH43:DH53" si="97">$K$42/12</f>
        <v>5566.666666666667</v>
      </c>
      <c r="DI43" s="518">
        <f>$K$43/12</f>
        <v>8233.3333333333339</v>
      </c>
      <c r="DJ43" s="518"/>
      <c r="DK43" s="518"/>
      <c r="DL43" s="518"/>
      <c r="DM43" s="518"/>
      <c r="DN43" s="518"/>
      <c r="DO43" s="518"/>
      <c r="DP43" s="518"/>
      <c r="DQ43" s="518"/>
      <c r="DR43" s="518"/>
      <c r="DS43" s="518"/>
      <c r="DT43" s="518"/>
      <c r="DU43" s="518"/>
      <c r="DV43" s="518"/>
      <c r="DW43" s="518"/>
      <c r="DX43" s="518"/>
      <c r="DY43" s="518"/>
      <c r="DZ43" s="518"/>
      <c r="EA43" s="518">
        <f t="shared" si="13"/>
        <v>88016.666666666672</v>
      </c>
      <c r="EC43" s="519">
        <f t="shared" si="92"/>
        <v>88016.666666666672</v>
      </c>
      <c r="ED43" s="519">
        <f t="shared" si="83"/>
        <v>112807.86183333331</v>
      </c>
      <c r="EE43" s="518">
        <f t="shared" si="93"/>
        <v>24791.195166666643</v>
      </c>
      <c r="EF43" s="518">
        <f>+EE43*'Capital Structure '!$P$30</f>
        <v>6968.8049613499925</v>
      </c>
      <c r="EG43" s="518">
        <f t="shared" si="17"/>
        <v>-957407.04621549963</v>
      </c>
    </row>
    <row r="44" spans="1:137" s="585" customFormat="1" outlineLevel="1">
      <c r="A44" s="308" t="s">
        <v>51</v>
      </c>
      <c r="B44" s="308">
        <f t="shared" si="74"/>
        <v>2018</v>
      </c>
      <c r="C44" s="308" t="s">
        <v>47</v>
      </c>
      <c r="D44" s="518">
        <v>62000</v>
      </c>
      <c r="E44" s="518">
        <v>6200</v>
      </c>
      <c r="F44" s="518"/>
      <c r="G44" s="518"/>
      <c r="H44" s="518"/>
      <c r="I44" s="518"/>
      <c r="J44" s="518"/>
      <c r="K44" s="518">
        <f t="shared" si="4"/>
        <v>68200</v>
      </c>
      <c r="L44" s="518">
        <f>SUM(K$5:K44)</f>
        <v>6836671.71</v>
      </c>
      <c r="N44" s="518">
        <f t="shared" si="10"/>
        <v>925</v>
      </c>
      <c r="O44" s="518">
        <f t="shared" si="14"/>
        <v>2660</v>
      </c>
      <c r="P44" s="518">
        <f t="shared" si="18"/>
        <v>2463.3333333333335</v>
      </c>
      <c r="Q44" s="518">
        <f t="shared" si="20"/>
        <v>5920</v>
      </c>
      <c r="R44" s="518">
        <f t="shared" si="22"/>
        <v>8403.3333333333339</v>
      </c>
      <c r="S44" s="518">
        <f t="shared" si="24"/>
        <v>8219.8333333333339</v>
      </c>
      <c r="T44" s="518">
        <f t="shared" si="26"/>
        <v>6750</v>
      </c>
      <c r="U44" s="518">
        <f t="shared" si="28"/>
        <v>6890</v>
      </c>
      <c r="V44" s="518">
        <f t="shared" si="30"/>
        <v>5805</v>
      </c>
      <c r="W44" s="518">
        <f t="shared" si="32"/>
        <v>5580.9035000000003</v>
      </c>
      <c r="X44" s="518">
        <f t="shared" si="35"/>
        <v>4092.0833333333335</v>
      </c>
      <c r="Y44" s="518">
        <f t="shared" si="37"/>
        <v>3393.3333333333335</v>
      </c>
      <c r="Z44" s="518">
        <f t="shared" si="39"/>
        <v>5251.666666666667</v>
      </c>
      <c r="AA44" s="518">
        <f t="shared" si="41"/>
        <v>3206.7083333333335</v>
      </c>
      <c r="AB44" s="518">
        <f t="shared" si="43"/>
        <v>2656.6666666666665</v>
      </c>
      <c r="AC44" s="518">
        <f t="shared" si="45"/>
        <v>2408.3333333333335</v>
      </c>
      <c r="AD44" s="518">
        <f t="shared" si="47"/>
        <v>1618.3333333333333</v>
      </c>
      <c r="AE44" s="518">
        <f t="shared" si="49"/>
        <v>2563.3333333333335</v>
      </c>
      <c r="AF44" s="518">
        <f t="shared" si="51"/>
        <v>2318.3333333333335</v>
      </c>
      <c r="AG44" s="518">
        <f t="shared" si="53"/>
        <v>2056.6666666666665</v>
      </c>
      <c r="AH44" s="518">
        <f t="shared" si="55"/>
        <v>1968.3333333333333</v>
      </c>
      <c r="AI44" s="518">
        <f t="shared" si="57"/>
        <v>2435</v>
      </c>
      <c r="AJ44" s="518">
        <f t="shared" si="60"/>
        <v>1468.3333333333333</v>
      </c>
      <c r="AK44" s="518">
        <f t="shared" si="62"/>
        <v>1326.6666666666667</v>
      </c>
      <c r="AL44" s="518">
        <f t="shared" si="64"/>
        <v>1798.3333333333333</v>
      </c>
      <c r="AM44" s="518">
        <f t="shared" si="66"/>
        <v>1486.6666666666667</v>
      </c>
      <c r="AN44" s="518">
        <f t="shared" si="68"/>
        <v>1538.3333333333333</v>
      </c>
      <c r="AO44" s="518">
        <f t="shared" si="70"/>
        <v>1136.6666666666667</v>
      </c>
      <c r="AP44" s="518">
        <f t="shared" si="72"/>
        <v>1131.6666666666667</v>
      </c>
      <c r="AQ44" s="518">
        <f t="shared" si="75"/>
        <v>1275</v>
      </c>
      <c r="AR44" s="518">
        <f t="shared" si="77"/>
        <v>1440</v>
      </c>
      <c r="AS44" s="518">
        <f t="shared" si="79"/>
        <v>1505</v>
      </c>
      <c r="AT44" s="518">
        <f t="shared" si="84"/>
        <v>2083.3333333333335</v>
      </c>
      <c r="AU44" s="518">
        <f t="shared" si="86"/>
        <v>1470</v>
      </c>
      <c r="AV44" s="518">
        <f t="shared" si="88"/>
        <v>1508.3333333333333</v>
      </c>
      <c r="AW44" s="518">
        <f t="shared" si="90"/>
        <v>1710</v>
      </c>
      <c r="AX44" s="518">
        <f t="shared" si="94"/>
        <v>1583.3333333333333</v>
      </c>
      <c r="AY44" s="518">
        <f t="shared" si="96"/>
        <v>1113.3333333333333</v>
      </c>
      <c r="AZ44" s="518">
        <f t="shared" ref="AZ44:AZ102" si="98">$K$43/60</f>
        <v>1646.6666666666667</v>
      </c>
      <c r="BA44" s="518">
        <f>$K$44/60</f>
        <v>1136.6666666666667</v>
      </c>
      <c r="BB44" s="518"/>
      <c r="BC44" s="518"/>
      <c r="BD44" s="518"/>
      <c r="BE44" s="518"/>
      <c r="BF44" s="518"/>
      <c r="BG44" s="518"/>
      <c r="BH44" s="518"/>
      <c r="BI44" s="518"/>
      <c r="BJ44" s="518"/>
      <c r="BK44" s="518"/>
      <c r="BL44" s="518"/>
      <c r="BM44" s="518"/>
      <c r="BN44" s="518"/>
      <c r="BO44" s="518"/>
      <c r="BP44" s="518"/>
      <c r="BQ44" s="518"/>
      <c r="BR44" s="518">
        <f t="shared" si="11"/>
        <v>113944.52849999999</v>
      </c>
      <c r="BS44" s="518">
        <f t="shared" si="15"/>
        <v>2971519.1335000005</v>
      </c>
      <c r="BT44" s="518">
        <f t="shared" si="80"/>
        <v>3865152.5764999995</v>
      </c>
      <c r="BU44" s="518">
        <f t="shared" si="81"/>
        <v>3979097.1049999995</v>
      </c>
      <c r="BW44" s="518"/>
      <c r="BX44" s="518"/>
      <c r="BY44" s="518"/>
      <c r="BZ44" s="518"/>
      <c r="CA44" s="518"/>
      <c r="CB44" s="518"/>
      <c r="CC44" s="518"/>
      <c r="CD44" s="518"/>
      <c r="CE44" s="518"/>
      <c r="CF44" s="518"/>
      <c r="CG44" s="518"/>
      <c r="CH44" s="518"/>
      <c r="CI44" s="518"/>
      <c r="CJ44" s="518"/>
      <c r="CK44" s="518"/>
      <c r="CL44" s="518"/>
      <c r="CM44" s="518"/>
      <c r="CN44" s="518"/>
      <c r="CO44" s="518"/>
      <c r="CP44" s="518"/>
      <c r="CQ44" s="518"/>
      <c r="CR44" s="518"/>
      <c r="CS44" s="518"/>
      <c r="CT44" s="518"/>
      <c r="CU44" s="518"/>
      <c r="CV44" s="518"/>
      <c r="CW44" s="518"/>
      <c r="CX44" s="518"/>
      <c r="CY44" s="518">
        <f t="shared" si="73"/>
        <v>5658.333333333333</v>
      </c>
      <c r="CZ44" s="518">
        <f t="shared" si="76"/>
        <v>6375</v>
      </c>
      <c r="DA44" s="518">
        <f t="shared" si="78"/>
        <v>7200</v>
      </c>
      <c r="DB44" s="518">
        <f t="shared" si="82"/>
        <v>7525</v>
      </c>
      <c r="DC44" s="518">
        <f t="shared" si="85"/>
        <v>10416.666666666666</v>
      </c>
      <c r="DD44" s="518">
        <f t="shared" si="87"/>
        <v>7350</v>
      </c>
      <c r="DE44" s="518">
        <f t="shared" si="89"/>
        <v>7541.666666666667</v>
      </c>
      <c r="DF44" s="518">
        <f t="shared" si="91"/>
        <v>8550</v>
      </c>
      <c r="DG44" s="518">
        <f t="shared" si="95"/>
        <v>7916.666666666667</v>
      </c>
      <c r="DH44" s="518">
        <f t="shared" si="97"/>
        <v>5566.666666666667</v>
      </c>
      <c r="DI44" s="518">
        <f t="shared" ref="DI44:DI54" si="99">$K$43/12</f>
        <v>8233.3333333333339</v>
      </c>
      <c r="DJ44" s="518">
        <f>$K$44/12</f>
        <v>5683.333333333333</v>
      </c>
      <c r="DK44" s="518"/>
      <c r="DL44" s="518"/>
      <c r="DM44" s="518"/>
      <c r="DN44" s="518"/>
      <c r="DO44" s="518"/>
      <c r="DP44" s="518"/>
      <c r="DQ44" s="518"/>
      <c r="DR44" s="518"/>
      <c r="DS44" s="518"/>
      <c r="DT44" s="518"/>
      <c r="DU44" s="518"/>
      <c r="DV44" s="518"/>
      <c r="DW44" s="518"/>
      <c r="DX44" s="518"/>
      <c r="DY44" s="518"/>
      <c r="DZ44" s="518"/>
      <c r="EA44" s="518">
        <f t="shared" si="13"/>
        <v>88016.666666666657</v>
      </c>
      <c r="EC44" s="519">
        <f t="shared" si="92"/>
        <v>88016.666666666657</v>
      </c>
      <c r="ED44" s="519">
        <f t="shared" si="83"/>
        <v>113944.52849999999</v>
      </c>
      <c r="EE44" s="518">
        <f t="shared" si="93"/>
        <v>25927.861833333329</v>
      </c>
      <c r="EF44" s="518">
        <f>+EE44*'Capital Structure '!$P$30</f>
        <v>7288.3219613499978</v>
      </c>
      <c r="EG44" s="518">
        <f t="shared" si="17"/>
        <v>-950118.72425414959</v>
      </c>
    </row>
    <row r="45" spans="1:137" s="585" customFormat="1" outlineLevel="1">
      <c r="A45" s="308" t="s">
        <v>52</v>
      </c>
      <c r="B45" s="308">
        <f t="shared" si="74"/>
        <v>2018</v>
      </c>
      <c r="C45" s="308" t="s">
        <v>47</v>
      </c>
      <c r="D45" s="518">
        <v>67500</v>
      </c>
      <c r="E45" s="518">
        <v>5900</v>
      </c>
      <c r="F45" s="518"/>
      <c r="G45" s="518"/>
      <c r="H45" s="518"/>
      <c r="I45" s="518"/>
      <c r="J45" s="518"/>
      <c r="K45" s="518">
        <f t="shared" si="4"/>
        <v>73400</v>
      </c>
      <c r="L45" s="518">
        <f>SUM(K$5:K45)</f>
        <v>6910071.71</v>
      </c>
      <c r="N45" s="518">
        <f t="shared" si="10"/>
        <v>925</v>
      </c>
      <c r="O45" s="518">
        <f t="shared" si="14"/>
        <v>2660</v>
      </c>
      <c r="P45" s="518">
        <f t="shared" si="18"/>
        <v>2463.3333333333335</v>
      </c>
      <c r="Q45" s="518">
        <f t="shared" si="20"/>
        <v>5920</v>
      </c>
      <c r="R45" s="518">
        <f t="shared" si="22"/>
        <v>8403.3333333333339</v>
      </c>
      <c r="S45" s="518">
        <f t="shared" si="24"/>
        <v>8219.8333333333339</v>
      </c>
      <c r="T45" s="518">
        <f t="shared" si="26"/>
        <v>6750</v>
      </c>
      <c r="U45" s="518">
        <f t="shared" si="28"/>
        <v>6890</v>
      </c>
      <c r="V45" s="518">
        <f t="shared" si="30"/>
        <v>5805</v>
      </c>
      <c r="W45" s="518">
        <f t="shared" si="32"/>
        <v>5580.9035000000003</v>
      </c>
      <c r="X45" s="518">
        <f t="shared" si="35"/>
        <v>4092.0833333333335</v>
      </c>
      <c r="Y45" s="518">
        <f t="shared" si="37"/>
        <v>3393.3333333333335</v>
      </c>
      <c r="Z45" s="518">
        <f t="shared" si="39"/>
        <v>5251.666666666667</v>
      </c>
      <c r="AA45" s="518">
        <f t="shared" si="41"/>
        <v>3206.7083333333335</v>
      </c>
      <c r="AB45" s="518">
        <f t="shared" si="43"/>
        <v>2656.6666666666665</v>
      </c>
      <c r="AC45" s="518">
        <f t="shared" si="45"/>
        <v>2408.3333333333335</v>
      </c>
      <c r="AD45" s="518">
        <f t="shared" si="47"/>
        <v>1618.3333333333333</v>
      </c>
      <c r="AE45" s="518">
        <f t="shared" si="49"/>
        <v>2563.3333333333335</v>
      </c>
      <c r="AF45" s="518">
        <f t="shared" si="51"/>
        <v>2318.3333333333335</v>
      </c>
      <c r="AG45" s="518">
        <f t="shared" si="53"/>
        <v>2056.6666666666665</v>
      </c>
      <c r="AH45" s="518">
        <f t="shared" si="55"/>
        <v>1968.3333333333333</v>
      </c>
      <c r="AI45" s="518">
        <f t="shared" si="57"/>
        <v>2435</v>
      </c>
      <c r="AJ45" s="518">
        <f t="shared" si="60"/>
        <v>1468.3333333333333</v>
      </c>
      <c r="AK45" s="518">
        <f t="shared" si="62"/>
        <v>1326.6666666666667</v>
      </c>
      <c r="AL45" s="518">
        <f t="shared" si="64"/>
        <v>1798.3333333333333</v>
      </c>
      <c r="AM45" s="518">
        <f t="shared" si="66"/>
        <v>1486.6666666666667</v>
      </c>
      <c r="AN45" s="518">
        <f t="shared" si="68"/>
        <v>1538.3333333333333</v>
      </c>
      <c r="AO45" s="518">
        <f t="shared" si="70"/>
        <v>1136.6666666666667</v>
      </c>
      <c r="AP45" s="518">
        <f t="shared" si="72"/>
        <v>1131.6666666666667</v>
      </c>
      <c r="AQ45" s="518">
        <f t="shared" si="75"/>
        <v>1275</v>
      </c>
      <c r="AR45" s="518">
        <f t="shared" si="77"/>
        <v>1440</v>
      </c>
      <c r="AS45" s="518">
        <f t="shared" si="79"/>
        <v>1505</v>
      </c>
      <c r="AT45" s="518">
        <f t="shared" si="84"/>
        <v>2083.3333333333335</v>
      </c>
      <c r="AU45" s="518">
        <f t="shared" si="86"/>
        <v>1470</v>
      </c>
      <c r="AV45" s="518">
        <f t="shared" si="88"/>
        <v>1508.3333333333333</v>
      </c>
      <c r="AW45" s="518">
        <f t="shared" si="90"/>
        <v>1710</v>
      </c>
      <c r="AX45" s="518">
        <f t="shared" si="94"/>
        <v>1583.3333333333333</v>
      </c>
      <c r="AY45" s="518">
        <f t="shared" si="96"/>
        <v>1113.3333333333333</v>
      </c>
      <c r="AZ45" s="518">
        <f t="shared" si="98"/>
        <v>1646.6666666666667</v>
      </c>
      <c r="BA45" s="518">
        <f t="shared" ref="BA45:BA103" si="100">$K$44/60</f>
        <v>1136.6666666666667</v>
      </c>
      <c r="BB45" s="518">
        <f>$K$45/60</f>
        <v>1223.3333333333333</v>
      </c>
      <c r="BC45" s="518"/>
      <c r="BD45" s="518"/>
      <c r="BE45" s="518"/>
      <c r="BF45" s="518"/>
      <c r="BG45" s="518"/>
      <c r="BH45" s="518"/>
      <c r="BI45" s="518"/>
      <c r="BJ45" s="518"/>
      <c r="BK45" s="518"/>
      <c r="BL45" s="518"/>
      <c r="BM45" s="518"/>
      <c r="BN45" s="518"/>
      <c r="BO45" s="518"/>
      <c r="BP45" s="518"/>
      <c r="BQ45" s="518"/>
      <c r="BR45" s="518">
        <f t="shared" si="11"/>
        <v>115167.86183333331</v>
      </c>
      <c r="BS45" s="518">
        <f t="shared" si="15"/>
        <v>3086686.995333334</v>
      </c>
      <c r="BT45" s="518">
        <f t="shared" si="80"/>
        <v>3823384.714666666</v>
      </c>
      <c r="BU45" s="518">
        <f t="shared" si="81"/>
        <v>3938552.5764999995</v>
      </c>
      <c r="BW45" s="518"/>
      <c r="BX45" s="518"/>
      <c r="BY45" s="518"/>
      <c r="BZ45" s="518"/>
      <c r="CA45" s="518"/>
      <c r="CB45" s="518"/>
      <c r="CC45" s="518"/>
      <c r="CD45" s="518"/>
      <c r="CE45" s="518"/>
      <c r="CF45" s="518"/>
      <c r="CG45" s="518"/>
      <c r="CH45" s="518"/>
      <c r="CI45" s="518"/>
      <c r="CJ45" s="518"/>
      <c r="CK45" s="518"/>
      <c r="CL45" s="518"/>
      <c r="CM45" s="518"/>
      <c r="CN45" s="518"/>
      <c r="CO45" s="518"/>
      <c r="CP45" s="518"/>
      <c r="CQ45" s="518"/>
      <c r="CR45" s="518"/>
      <c r="CS45" s="518"/>
      <c r="CT45" s="518"/>
      <c r="CU45" s="518"/>
      <c r="CV45" s="518"/>
      <c r="CW45" s="518"/>
      <c r="CX45" s="518"/>
      <c r="CY45" s="518"/>
      <c r="CZ45" s="518">
        <f t="shared" si="76"/>
        <v>6375</v>
      </c>
      <c r="DA45" s="518">
        <f t="shared" si="78"/>
        <v>7200</v>
      </c>
      <c r="DB45" s="518">
        <f t="shared" si="82"/>
        <v>7525</v>
      </c>
      <c r="DC45" s="518">
        <f t="shared" si="85"/>
        <v>10416.666666666666</v>
      </c>
      <c r="DD45" s="518">
        <f t="shared" si="87"/>
        <v>7350</v>
      </c>
      <c r="DE45" s="518">
        <f t="shared" si="89"/>
        <v>7541.666666666667</v>
      </c>
      <c r="DF45" s="518">
        <f t="shared" si="91"/>
        <v>8550</v>
      </c>
      <c r="DG45" s="518">
        <f t="shared" si="95"/>
        <v>7916.666666666667</v>
      </c>
      <c r="DH45" s="518">
        <f t="shared" si="97"/>
        <v>5566.666666666667</v>
      </c>
      <c r="DI45" s="518">
        <f t="shared" si="99"/>
        <v>8233.3333333333339</v>
      </c>
      <c r="DJ45" s="518">
        <f t="shared" ref="DJ45:DJ55" si="101">$K$44/12</f>
        <v>5683.333333333333</v>
      </c>
      <c r="DK45" s="518">
        <f>$K$45/12</f>
        <v>6116.666666666667</v>
      </c>
      <c r="DL45" s="518"/>
      <c r="DM45" s="518"/>
      <c r="DN45" s="518"/>
      <c r="DO45" s="518"/>
      <c r="DP45" s="518"/>
      <c r="DQ45" s="518"/>
      <c r="DR45" s="518"/>
      <c r="DS45" s="518"/>
      <c r="DT45" s="518"/>
      <c r="DU45" s="518"/>
      <c r="DV45" s="518"/>
      <c r="DW45" s="518"/>
      <c r="DX45" s="518"/>
      <c r="DY45" s="518"/>
      <c r="DZ45" s="518"/>
      <c r="EA45" s="518">
        <f t="shared" si="13"/>
        <v>88474.999999999985</v>
      </c>
      <c r="EC45" s="519">
        <f t="shared" si="92"/>
        <v>88474.999999999985</v>
      </c>
      <c r="ED45" s="519">
        <f t="shared" si="83"/>
        <v>115167.86183333331</v>
      </c>
      <c r="EE45" s="518">
        <f t="shared" si="93"/>
        <v>26692.861833333329</v>
      </c>
      <c r="EF45" s="518">
        <f>+EE45*'Capital Structure '!$P$30</f>
        <v>7503.363461349998</v>
      </c>
      <c r="EG45" s="518">
        <f t="shared" si="17"/>
        <v>-942615.36079279962</v>
      </c>
    </row>
    <row r="46" spans="1:137" s="585" customFormat="1" outlineLevel="1">
      <c r="A46" s="308" t="s">
        <v>53</v>
      </c>
      <c r="B46" s="308">
        <f>+B45+1</f>
        <v>2019</v>
      </c>
      <c r="C46" s="308" t="s">
        <v>47</v>
      </c>
      <c r="D46" s="518">
        <v>89500</v>
      </c>
      <c r="E46" s="518">
        <v>6400</v>
      </c>
      <c r="F46" s="518"/>
      <c r="G46" s="518"/>
      <c r="H46" s="518"/>
      <c r="I46" s="518"/>
      <c r="J46" s="518"/>
      <c r="K46" s="518">
        <f t="shared" si="4"/>
        <v>95900</v>
      </c>
      <c r="L46" s="518">
        <f>SUM(K$5:K46)</f>
        <v>7005971.71</v>
      </c>
      <c r="N46" s="518">
        <f t="shared" si="10"/>
        <v>925</v>
      </c>
      <c r="O46" s="518">
        <f t="shared" si="14"/>
        <v>2660</v>
      </c>
      <c r="P46" s="518">
        <f t="shared" si="18"/>
        <v>2463.3333333333335</v>
      </c>
      <c r="Q46" s="518">
        <f t="shared" si="20"/>
        <v>5920</v>
      </c>
      <c r="R46" s="518">
        <f t="shared" si="22"/>
        <v>8403.3333333333339</v>
      </c>
      <c r="S46" s="518">
        <f t="shared" si="24"/>
        <v>8219.8333333333339</v>
      </c>
      <c r="T46" s="518">
        <f t="shared" si="26"/>
        <v>6750</v>
      </c>
      <c r="U46" s="518">
        <f t="shared" si="28"/>
        <v>6890</v>
      </c>
      <c r="V46" s="518">
        <f t="shared" si="30"/>
        <v>5805</v>
      </c>
      <c r="W46" s="518">
        <f t="shared" si="32"/>
        <v>5580.9035000000003</v>
      </c>
      <c r="X46" s="518">
        <f t="shared" si="35"/>
        <v>4092.0833333333335</v>
      </c>
      <c r="Y46" s="518">
        <f t="shared" si="37"/>
        <v>3393.3333333333335</v>
      </c>
      <c r="Z46" s="518">
        <f t="shared" si="39"/>
        <v>5251.666666666667</v>
      </c>
      <c r="AA46" s="518">
        <f t="shared" si="41"/>
        <v>3206.7083333333335</v>
      </c>
      <c r="AB46" s="518">
        <f t="shared" si="43"/>
        <v>2656.6666666666665</v>
      </c>
      <c r="AC46" s="518">
        <f t="shared" si="45"/>
        <v>2408.3333333333335</v>
      </c>
      <c r="AD46" s="518">
        <f t="shared" si="47"/>
        <v>1618.3333333333333</v>
      </c>
      <c r="AE46" s="518">
        <f t="shared" si="49"/>
        <v>2563.3333333333335</v>
      </c>
      <c r="AF46" s="518">
        <f t="shared" si="51"/>
        <v>2318.3333333333335</v>
      </c>
      <c r="AG46" s="518">
        <f t="shared" si="53"/>
        <v>2056.6666666666665</v>
      </c>
      <c r="AH46" s="518">
        <f t="shared" si="55"/>
        <v>1968.3333333333333</v>
      </c>
      <c r="AI46" s="518">
        <f t="shared" si="57"/>
        <v>2435</v>
      </c>
      <c r="AJ46" s="518">
        <f t="shared" si="60"/>
        <v>1468.3333333333333</v>
      </c>
      <c r="AK46" s="518">
        <f t="shared" si="62"/>
        <v>1326.6666666666667</v>
      </c>
      <c r="AL46" s="518">
        <f t="shared" si="64"/>
        <v>1798.3333333333333</v>
      </c>
      <c r="AM46" s="518">
        <f t="shared" si="66"/>
        <v>1486.6666666666667</v>
      </c>
      <c r="AN46" s="518">
        <f t="shared" si="68"/>
        <v>1538.3333333333333</v>
      </c>
      <c r="AO46" s="518">
        <f t="shared" si="70"/>
        <v>1136.6666666666667</v>
      </c>
      <c r="AP46" s="518">
        <f t="shared" si="72"/>
        <v>1131.6666666666667</v>
      </c>
      <c r="AQ46" s="518">
        <f t="shared" si="75"/>
        <v>1275</v>
      </c>
      <c r="AR46" s="518">
        <f t="shared" si="77"/>
        <v>1440</v>
      </c>
      <c r="AS46" s="518">
        <f t="shared" si="79"/>
        <v>1505</v>
      </c>
      <c r="AT46" s="518">
        <f t="shared" si="84"/>
        <v>2083.3333333333335</v>
      </c>
      <c r="AU46" s="518">
        <f t="shared" si="86"/>
        <v>1470</v>
      </c>
      <c r="AV46" s="518">
        <f t="shared" si="88"/>
        <v>1508.3333333333333</v>
      </c>
      <c r="AW46" s="518">
        <f t="shared" si="90"/>
        <v>1710</v>
      </c>
      <c r="AX46" s="518">
        <f t="shared" si="94"/>
        <v>1583.3333333333333</v>
      </c>
      <c r="AY46" s="518">
        <f t="shared" si="96"/>
        <v>1113.3333333333333</v>
      </c>
      <c r="AZ46" s="518">
        <f t="shared" si="98"/>
        <v>1646.6666666666667</v>
      </c>
      <c r="BA46" s="518">
        <f t="shared" si="100"/>
        <v>1136.6666666666667</v>
      </c>
      <c r="BB46" s="518">
        <f t="shared" ref="BB46:BB104" si="102">$K$45/60</f>
        <v>1223.3333333333333</v>
      </c>
      <c r="BC46" s="619">
        <f>$K$46/60</f>
        <v>1598.3333333333333</v>
      </c>
      <c r="BD46" s="518"/>
      <c r="BE46" s="518"/>
      <c r="BF46" s="518"/>
      <c r="BG46" s="518"/>
      <c r="BH46" s="518"/>
      <c r="BI46" s="518"/>
      <c r="BJ46" s="518"/>
      <c r="BK46" s="518"/>
      <c r="BL46" s="518"/>
      <c r="BM46" s="518"/>
      <c r="BN46" s="518"/>
      <c r="BO46" s="518"/>
      <c r="BP46" s="518"/>
      <c r="BQ46" s="518"/>
      <c r="BR46" s="518">
        <f t="shared" si="11"/>
        <v>116766.19516666664</v>
      </c>
      <c r="BS46" s="518">
        <f t="shared" si="15"/>
        <v>3203453.1905000005</v>
      </c>
      <c r="BT46" s="518">
        <f t="shared" si="80"/>
        <v>3802518.5194999995</v>
      </c>
      <c r="BU46" s="518">
        <f t="shared" si="81"/>
        <v>3919284.714666666</v>
      </c>
      <c r="BW46" s="518"/>
      <c r="BX46" s="518"/>
      <c r="BY46" s="518"/>
      <c r="BZ46" s="518"/>
      <c r="CA46" s="518"/>
      <c r="CB46" s="518"/>
      <c r="CC46" s="518"/>
      <c r="CD46" s="518"/>
      <c r="CE46" s="518"/>
      <c r="CF46" s="518"/>
      <c r="CG46" s="518"/>
      <c r="CH46" s="518"/>
      <c r="CI46" s="518"/>
      <c r="CJ46" s="518"/>
      <c r="CK46" s="518"/>
      <c r="CL46" s="518"/>
      <c r="CM46" s="518"/>
      <c r="CN46" s="518"/>
      <c r="CO46" s="518"/>
      <c r="CP46" s="518"/>
      <c r="CQ46" s="518"/>
      <c r="CR46" s="518"/>
      <c r="CS46" s="518"/>
      <c r="CT46" s="518"/>
      <c r="CU46" s="518"/>
      <c r="CV46" s="518"/>
      <c r="CW46" s="518"/>
      <c r="CX46" s="518"/>
      <c r="CY46" s="518"/>
      <c r="CZ46" s="518"/>
      <c r="DA46" s="518">
        <f t="shared" si="78"/>
        <v>7200</v>
      </c>
      <c r="DB46" s="518">
        <f t="shared" si="82"/>
        <v>7525</v>
      </c>
      <c r="DC46" s="518">
        <f t="shared" si="85"/>
        <v>10416.666666666666</v>
      </c>
      <c r="DD46" s="518">
        <f t="shared" si="87"/>
        <v>7350</v>
      </c>
      <c r="DE46" s="518">
        <f t="shared" si="89"/>
        <v>7541.666666666667</v>
      </c>
      <c r="DF46" s="518">
        <f t="shared" si="91"/>
        <v>8550</v>
      </c>
      <c r="DG46" s="518">
        <f t="shared" si="95"/>
        <v>7916.666666666667</v>
      </c>
      <c r="DH46" s="518">
        <f t="shared" si="97"/>
        <v>5566.666666666667</v>
      </c>
      <c r="DI46" s="518">
        <f t="shared" si="99"/>
        <v>8233.3333333333339</v>
      </c>
      <c r="DJ46" s="518">
        <f t="shared" si="101"/>
        <v>5683.333333333333</v>
      </c>
      <c r="DK46" s="518">
        <f t="shared" ref="DK46:DK56" si="103">$K$45/12</f>
        <v>6116.666666666667</v>
      </c>
      <c r="DL46" s="619">
        <f>$K$46/12</f>
        <v>7991.666666666667</v>
      </c>
      <c r="DM46" s="518"/>
      <c r="DN46" s="518"/>
      <c r="DO46" s="518"/>
      <c r="DP46" s="518"/>
      <c r="DQ46" s="518"/>
      <c r="DR46" s="518"/>
      <c r="DS46" s="518"/>
      <c r="DT46" s="518"/>
      <c r="DU46" s="518"/>
      <c r="DV46" s="518"/>
      <c r="DW46" s="518"/>
      <c r="DX46" s="518"/>
      <c r="DY46" s="518"/>
      <c r="DZ46" s="518"/>
      <c r="EA46" s="518">
        <f t="shared" si="13"/>
        <v>90091.666666666657</v>
      </c>
      <c r="EC46" s="519">
        <f t="shared" si="92"/>
        <v>90091.666666666657</v>
      </c>
      <c r="ED46" s="519">
        <f t="shared" si="83"/>
        <v>116766.19516666664</v>
      </c>
      <c r="EE46" s="518">
        <f t="shared" si="93"/>
        <v>26674.528499999986</v>
      </c>
      <c r="EF46" s="518">
        <f>+EE46*'Capital Structure '!$P$30</f>
        <v>7498.209961349995</v>
      </c>
      <c r="EG46" s="518">
        <f t="shared" si="17"/>
        <v>-935117.15083144966</v>
      </c>
    </row>
    <row r="47" spans="1:137" s="585" customFormat="1" outlineLevel="1">
      <c r="A47" s="308" t="s">
        <v>54</v>
      </c>
      <c r="B47" s="308">
        <f t="shared" si="74"/>
        <v>2019</v>
      </c>
      <c r="C47" s="308" t="s">
        <v>47</v>
      </c>
      <c r="D47" s="518">
        <v>9500</v>
      </c>
      <c r="E47" s="518">
        <v>300</v>
      </c>
      <c r="F47" s="518"/>
      <c r="G47" s="518"/>
      <c r="H47" s="518"/>
      <c r="I47" s="518"/>
      <c r="J47" s="518"/>
      <c r="K47" s="518">
        <f t="shared" si="4"/>
        <v>9800</v>
      </c>
      <c r="L47" s="518">
        <f>SUM(K$5:K47)</f>
        <v>7015771.71</v>
      </c>
      <c r="N47" s="518">
        <f t="shared" si="10"/>
        <v>925</v>
      </c>
      <c r="O47" s="518">
        <f t="shared" si="14"/>
        <v>2660</v>
      </c>
      <c r="P47" s="518">
        <f t="shared" si="18"/>
        <v>2463.3333333333335</v>
      </c>
      <c r="Q47" s="518">
        <f t="shared" si="20"/>
        <v>5920</v>
      </c>
      <c r="R47" s="518">
        <f t="shared" si="22"/>
        <v>8403.3333333333339</v>
      </c>
      <c r="S47" s="518">
        <f t="shared" si="24"/>
        <v>8219.8333333333339</v>
      </c>
      <c r="T47" s="518">
        <f t="shared" si="26"/>
        <v>6750</v>
      </c>
      <c r="U47" s="518">
        <f t="shared" si="28"/>
        <v>6890</v>
      </c>
      <c r="V47" s="518">
        <f t="shared" si="30"/>
        <v>5805</v>
      </c>
      <c r="W47" s="518">
        <f t="shared" si="32"/>
        <v>5580.9035000000003</v>
      </c>
      <c r="X47" s="518">
        <f t="shared" si="35"/>
        <v>4092.0833333333335</v>
      </c>
      <c r="Y47" s="518">
        <f t="shared" si="37"/>
        <v>3393.3333333333335</v>
      </c>
      <c r="Z47" s="518">
        <f t="shared" si="39"/>
        <v>5251.666666666667</v>
      </c>
      <c r="AA47" s="518">
        <f t="shared" si="41"/>
        <v>3206.7083333333335</v>
      </c>
      <c r="AB47" s="518">
        <f t="shared" si="43"/>
        <v>2656.6666666666665</v>
      </c>
      <c r="AC47" s="518">
        <f t="shared" si="45"/>
        <v>2408.3333333333335</v>
      </c>
      <c r="AD47" s="518">
        <f t="shared" si="47"/>
        <v>1618.3333333333333</v>
      </c>
      <c r="AE47" s="518">
        <f t="shared" si="49"/>
        <v>2563.3333333333335</v>
      </c>
      <c r="AF47" s="518">
        <f t="shared" si="51"/>
        <v>2318.3333333333335</v>
      </c>
      <c r="AG47" s="518">
        <f t="shared" si="53"/>
        <v>2056.6666666666665</v>
      </c>
      <c r="AH47" s="518">
        <f t="shared" si="55"/>
        <v>1968.3333333333333</v>
      </c>
      <c r="AI47" s="518">
        <f t="shared" si="57"/>
        <v>2435</v>
      </c>
      <c r="AJ47" s="518">
        <f t="shared" si="60"/>
        <v>1468.3333333333333</v>
      </c>
      <c r="AK47" s="518">
        <f t="shared" si="62"/>
        <v>1326.6666666666667</v>
      </c>
      <c r="AL47" s="518">
        <f t="shared" si="64"/>
        <v>1798.3333333333333</v>
      </c>
      <c r="AM47" s="518">
        <f t="shared" si="66"/>
        <v>1486.6666666666667</v>
      </c>
      <c r="AN47" s="518">
        <f t="shared" si="68"/>
        <v>1538.3333333333333</v>
      </c>
      <c r="AO47" s="518">
        <f t="shared" si="70"/>
        <v>1136.6666666666667</v>
      </c>
      <c r="AP47" s="518">
        <f t="shared" si="72"/>
        <v>1131.6666666666667</v>
      </c>
      <c r="AQ47" s="518">
        <f t="shared" si="75"/>
        <v>1275</v>
      </c>
      <c r="AR47" s="518">
        <f t="shared" si="77"/>
        <v>1440</v>
      </c>
      <c r="AS47" s="518">
        <f t="shared" si="79"/>
        <v>1505</v>
      </c>
      <c r="AT47" s="518">
        <f t="shared" si="84"/>
        <v>2083.3333333333335</v>
      </c>
      <c r="AU47" s="518">
        <f t="shared" si="86"/>
        <v>1470</v>
      </c>
      <c r="AV47" s="518">
        <f t="shared" si="88"/>
        <v>1508.3333333333333</v>
      </c>
      <c r="AW47" s="518">
        <f t="shared" si="90"/>
        <v>1710</v>
      </c>
      <c r="AX47" s="518">
        <f t="shared" si="94"/>
        <v>1583.3333333333333</v>
      </c>
      <c r="AY47" s="518">
        <f t="shared" si="96"/>
        <v>1113.3333333333333</v>
      </c>
      <c r="AZ47" s="518">
        <f t="shared" si="98"/>
        <v>1646.6666666666667</v>
      </c>
      <c r="BA47" s="518">
        <f t="shared" si="100"/>
        <v>1136.6666666666667</v>
      </c>
      <c r="BB47" s="518">
        <f t="shared" si="102"/>
        <v>1223.3333333333333</v>
      </c>
      <c r="BC47" s="619">
        <f t="shared" ref="BC47:BC105" si="104">$K$46/60</f>
        <v>1598.3333333333333</v>
      </c>
      <c r="BD47" s="619">
        <f>$K$47/60</f>
        <v>163.33333333333334</v>
      </c>
      <c r="BE47" s="619"/>
      <c r="BF47" s="518"/>
      <c r="BG47" s="518"/>
      <c r="BH47" s="518"/>
      <c r="BI47" s="518"/>
      <c r="BJ47" s="518"/>
      <c r="BK47" s="518"/>
      <c r="BL47" s="518"/>
      <c r="BM47" s="518"/>
      <c r="BN47" s="518"/>
      <c r="BO47" s="518"/>
      <c r="BP47" s="518"/>
      <c r="BQ47" s="518"/>
      <c r="BR47" s="518">
        <f t="shared" si="11"/>
        <v>116929.52849999997</v>
      </c>
      <c r="BS47" s="518">
        <f t="shared" si="15"/>
        <v>3320382.7190000005</v>
      </c>
      <c r="BT47" s="518">
        <f t="shared" si="80"/>
        <v>3695388.9909999995</v>
      </c>
      <c r="BU47" s="518">
        <f t="shared" si="81"/>
        <v>3812318.5194999995</v>
      </c>
      <c r="BW47" s="518"/>
      <c r="BX47" s="518"/>
      <c r="BY47" s="518"/>
      <c r="BZ47" s="518"/>
      <c r="CA47" s="518"/>
      <c r="CB47" s="518"/>
      <c r="CC47" s="518"/>
      <c r="CD47" s="518"/>
      <c r="CE47" s="518"/>
      <c r="CF47" s="518"/>
      <c r="CG47" s="518"/>
      <c r="CH47" s="518"/>
      <c r="CI47" s="518"/>
      <c r="CJ47" s="518"/>
      <c r="CK47" s="518"/>
      <c r="CL47" s="518"/>
      <c r="CM47" s="518"/>
      <c r="CN47" s="518"/>
      <c r="CO47" s="518"/>
      <c r="CP47" s="518"/>
      <c r="CQ47" s="518"/>
      <c r="CR47" s="518"/>
      <c r="CS47" s="518"/>
      <c r="CT47" s="518"/>
      <c r="CU47" s="518"/>
      <c r="CV47" s="518"/>
      <c r="CW47" s="518"/>
      <c r="CX47" s="518"/>
      <c r="CY47" s="518"/>
      <c r="CZ47" s="518"/>
      <c r="DA47" s="518"/>
      <c r="DB47" s="518">
        <f t="shared" si="82"/>
        <v>7525</v>
      </c>
      <c r="DC47" s="518">
        <f t="shared" si="85"/>
        <v>10416.666666666666</v>
      </c>
      <c r="DD47" s="518">
        <f t="shared" si="87"/>
        <v>7350</v>
      </c>
      <c r="DE47" s="518">
        <f t="shared" si="89"/>
        <v>7541.666666666667</v>
      </c>
      <c r="DF47" s="518">
        <f t="shared" si="91"/>
        <v>8550</v>
      </c>
      <c r="DG47" s="518">
        <f t="shared" si="95"/>
        <v>7916.666666666667</v>
      </c>
      <c r="DH47" s="518">
        <f t="shared" si="97"/>
        <v>5566.666666666667</v>
      </c>
      <c r="DI47" s="518">
        <f t="shared" si="99"/>
        <v>8233.3333333333339</v>
      </c>
      <c r="DJ47" s="518">
        <f t="shared" si="101"/>
        <v>5683.333333333333</v>
      </c>
      <c r="DK47" s="518">
        <f t="shared" si="103"/>
        <v>6116.666666666667</v>
      </c>
      <c r="DL47" s="619">
        <f t="shared" ref="DL47:DL57" si="105">$K$46/12</f>
        <v>7991.666666666667</v>
      </c>
      <c r="DM47" s="619">
        <f>$K$47/12</f>
        <v>816.66666666666663</v>
      </c>
      <c r="DN47" s="619"/>
      <c r="DO47" s="518"/>
      <c r="DP47" s="518"/>
      <c r="DQ47" s="518"/>
      <c r="DR47" s="518"/>
      <c r="DS47" s="518"/>
      <c r="DT47" s="518"/>
      <c r="DU47" s="518"/>
      <c r="DV47" s="518"/>
      <c r="DW47" s="518"/>
      <c r="DX47" s="518"/>
      <c r="DY47" s="518"/>
      <c r="DZ47" s="518"/>
      <c r="EA47" s="518">
        <f t="shared" si="13"/>
        <v>83708.333333333343</v>
      </c>
      <c r="EC47" s="519">
        <f t="shared" si="92"/>
        <v>83708.333333333343</v>
      </c>
      <c r="ED47" s="519">
        <f t="shared" si="83"/>
        <v>116929.52849999997</v>
      </c>
      <c r="EE47" s="518">
        <f t="shared" si="93"/>
        <v>33221.195166666628</v>
      </c>
      <c r="EF47" s="518">
        <f>+EE47*'Capital Structure '!$P$30</f>
        <v>9338.4779613499886</v>
      </c>
      <c r="EG47" s="518">
        <f t="shared" si="17"/>
        <v>-925778.67287009966</v>
      </c>
    </row>
    <row r="48" spans="1:137" s="585" customFormat="1" outlineLevel="1">
      <c r="A48" s="308" t="s">
        <v>55</v>
      </c>
      <c r="B48" s="308">
        <f t="shared" si="74"/>
        <v>2019</v>
      </c>
      <c r="C48" s="308" t="s">
        <v>47</v>
      </c>
      <c r="D48" s="518">
        <v>5000</v>
      </c>
      <c r="E48" s="518">
        <v>500</v>
      </c>
      <c r="F48" s="518"/>
      <c r="G48" s="518"/>
      <c r="H48" s="518"/>
      <c r="I48" s="518"/>
      <c r="J48" s="518"/>
      <c r="K48" s="518">
        <f t="shared" si="4"/>
        <v>5500</v>
      </c>
      <c r="L48" s="518">
        <f>SUM(K$5:K48)</f>
        <v>7021271.71</v>
      </c>
      <c r="N48" s="518">
        <f t="shared" si="10"/>
        <v>925</v>
      </c>
      <c r="O48" s="518">
        <f t="shared" si="14"/>
        <v>2660</v>
      </c>
      <c r="P48" s="518">
        <f t="shared" si="18"/>
        <v>2463.3333333333335</v>
      </c>
      <c r="Q48" s="518">
        <f t="shared" si="20"/>
        <v>5920</v>
      </c>
      <c r="R48" s="518">
        <f t="shared" si="22"/>
        <v>8403.3333333333339</v>
      </c>
      <c r="S48" s="518">
        <f t="shared" si="24"/>
        <v>8219.8333333333339</v>
      </c>
      <c r="T48" s="518">
        <f t="shared" si="26"/>
        <v>6750</v>
      </c>
      <c r="U48" s="518">
        <f t="shared" si="28"/>
        <v>6890</v>
      </c>
      <c r="V48" s="518">
        <f t="shared" si="30"/>
        <v>5805</v>
      </c>
      <c r="W48" s="518">
        <f t="shared" si="32"/>
        <v>5580.9035000000003</v>
      </c>
      <c r="X48" s="518">
        <f t="shared" si="35"/>
        <v>4092.0833333333335</v>
      </c>
      <c r="Y48" s="518">
        <f t="shared" si="37"/>
        <v>3393.3333333333335</v>
      </c>
      <c r="Z48" s="518">
        <f t="shared" si="39"/>
        <v>5251.666666666667</v>
      </c>
      <c r="AA48" s="518">
        <f t="shared" si="41"/>
        <v>3206.7083333333335</v>
      </c>
      <c r="AB48" s="518">
        <f t="shared" si="43"/>
        <v>2656.6666666666665</v>
      </c>
      <c r="AC48" s="518">
        <f t="shared" si="45"/>
        <v>2408.3333333333335</v>
      </c>
      <c r="AD48" s="518">
        <f t="shared" si="47"/>
        <v>1618.3333333333333</v>
      </c>
      <c r="AE48" s="518">
        <f t="shared" si="49"/>
        <v>2563.3333333333335</v>
      </c>
      <c r="AF48" s="518">
        <f t="shared" si="51"/>
        <v>2318.3333333333335</v>
      </c>
      <c r="AG48" s="518">
        <f t="shared" si="53"/>
        <v>2056.6666666666665</v>
      </c>
      <c r="AH48" s="518">
        <f t="shared" si="55"/>
        <v>1968.3333333333333</v>
      </c>
      <c r="AI48" s="518">
        <f t="shared" si="57"/>
        <v>2435</v>
      </c>
      <c r="AJ48" s="518">
        <f t="shared" si="60"/>
        <v>1468.3333333333333</v>
      </c>
      <c r="AK48" s="518">
        <f t="shared" si="62"/>
        <v>1326.6666666666667</v>
      </c>
      <c r="AL48" s="518">
        <f t="shared" si="64"/>
        <v>1798.3333333333333</v>
      </c>
      <c r="AM48" s="518">
        <f t="shared" si="66"/>
        <v>1486.6666666666667</v>
      </c>
      <c r="AN48" s="518">
        <f t="shared" si="68"/>
        <v>1538.3333333333333</v>
      </c>
      <c r="AO48" s="518">
        <f t="shared" si="70"/>
        <v>1136.6666666666667</v>
      </c>
      <c r="AP48" s="518">
        <f t="shared" si="72"/>
        <v>1131.6666666666667</v>
      </c>
      <c r="AQ48" s="518">
        <f t="shared" si="75"/>
        <v>1275</v>
      </c>
      <c r="AR48" s="518">
        <f t="shared" si="77"/>
        <v>1440</v>
      </c>
      <c r="AS48" s="518">
        <f t="shared" si="79"/>
        <v>1505</v>
      </c>
      <c r="AT48" s="518">
        <f t="shared" si="84"/>
        <v>2083.3333333333335</v>
      </c>
      <c r="AU48" s="518">
        <f t="shared" si="86"/>
        <v>1470</v>
      </c>
      <c r="AV48" s="518">
        <f t="shared" si="88"/>
        <v>1508.3333333333333</v>
      </c>
      <c r="AW48" s="518">
        <f t="shared" si="90"/>
        <v>1710</v>
      </c>
      <c r="AX48" s="518">
        <f t="shared" si="94"/>
        <v>1583.3333333333333</v>
      </c>
      <c r="AY48" s="518">
        <f t="shared" si="96"/>
        <v>1113.3333333333333</v>
      </c>
      <c r="AZ48" s="518">
        <f t="shared" si="98"/>
        <v>1646.6666666666667</v>
      </c>
      <c r="BA48" s="518">
        <f t="shared" si="100"/>
        <v>1136.6666666666667</v>
      </c>
      <c r="BB48" s="518">
        <f t="shared" si="102"/>
        <v>1223.3333333333333</v>
      </c>
      <c r="BC48" s="619">
        <f t="shared" si="104"/>
        <v>1598.3333333333333</v>
      </c>
      <c r="BD48" s="619">
        <f t="shared" ref="BD48:BD106" si="106">$K$47/60</f>
        <v>163.33333333333334</v>
      </c>
      <c r="BE48" s="619">
        <f>$K$48/60</f>
        <v>91.666666666666671</v>
      </c>
      <c r="BF48" s="518"/>
      <c r="BG48" s="518"/>
      <c r="BH48" s="518"/>
      <c r="BI48" s="518"/>
      <c r="BJ48" s="518"/>
      <c r="BK48" s="518"/>
      <c r="BL48" s="518"/>
      <c r="BM48" s="518"/>
      <c r="BN48" s="518"/>
      <c r="BO48" s="518"/>
      <c r="BP48" s="518"/>
      <c r="BQ48" s="518"/>
      <c r="BR48" s="518">
        <f t="shared" si="11"/>
        <v>117021.19516666664</v>
      </c>
      <c r="BS48" s="518">
        <f t="shared" si="15"/>
        <v>3437403.914166667</v>
      </c>
      <c r="BT48" s="518">
        <f t="shared" si="80"/>
        <v>3583867.7958333329</v>
      </c>
      <c r="BU48" s="518">
        <f t="shared" si="81"/>
        <v>3700888.9909999995</v>
      </c>
      <c r="BW48" s="518"/>
      <c r="BX48" s="518"/>
      <c r="BY48" s="518"/>
      <c r="BZ48" s="518"/>
      <c r="CA48" s="518"/>
      <c r="CB48" s="518"/>
      <c r="CC48" s="518"/>
      <c r="CD48" s="518"/>
      <c r="CE48" s="518"/>
      <c r="CF48" s="518"/>
      <c r="CG48" s="518"/>
      <c r="CH48" s="518"/>
      <c r="CI48" s="518"/>
      <c r="CJ48" s="518"/>
      <c r="CK48" s="518"/>
      <c r="CL48" s="518"/>
      <c r="CM48" s="518"/>
      <c r="CN48" s="518"/>
      <c r="CO48" s="518"/>
      <c r="CP48" s="518"/>
      <c r="CQ48" s="518"/>
      <c r="CR48" s="518"/>
      <c r="CS48" s="518"/>
      <c r="CT48" s="518"/>
      <c r="CU48" s="518"/>
      <c r="CV48" s="518"/>
      <c r="CW48" s="518"/>
      <c r="CX48" s="518"/>
      <c r="CY48" s="518"/>
      <c r="CZ48" s="518"/>
      <c r="DA48" s="518"/>
      <c r="DB48" s="518"/>
      <c r="DC48" s="518">
        <f t="shared" si="85"/>
        <v>10416.666666666666</v>
      </c>
      <c r="DD48" s="518">
        <f t="shared" si="87"/>
        <v>7350</v>
      </c>
      <c r="DE48" s="518">
        <f t="shared" si="89"/>
        <v>7541.666666666667</v>
      </c>
      <c r="DF48" s="518">
        <f t="shared" si="91"/>
        <v>8550</v>
      </c>
      <c r="DG48" s="518">
        <f t="shared" si="95"/>
        <v>7916.666666666667</v>
      </c>
      <c r="DH48" s="518">
        <f t="shared" si="97"/>
        <v>5566.666666666667</v>
      </c>
      <c r="DI48" s="518">
        <f t="shared" si="99"/>
        <v>8233.3333333333339</v>
      </c>
      <c r="DJ48" s="518">
        <f t="shared" si="101"/>
        <v>5683.333333333333</v>
      </c>
      <c r="DK48" s="518">
        <f t="shared" si="103"/>
        <v>6116.666666666667</v>
      </c>
      <c r="DL48" s="619">
        <f t="shared" si="105"/>
        <v>7991.666666666667</v>
      </c>
      <c r="DM48" s="619">
        <f t="shared" ref="DM48:DM58" si="107">$K$47/12</f>
        <v>816.66666666666663</v>
      </c>
      <c r="DN48" s="619">
        <f>$K$48/12</f>
        <v>458.33333333333331</v>
      </c>
      <c r="DO48" s="518"/>
      <c r="DP48" s="518"/>
      <c r="DQ48" s="518"/>
      <c r="DR48" s="518"/>
      <c r="DS48" s="518"/>
      <c r="DT48" s="518"/>
      <c r="DU48" s="518"/>
      <c r="DV48" s="518"/>
      <c r="DW48" s="518"/>
      <c r="DX48" s="518"/>
      <c r="DY48" s="518"/>
      <c r="DZ48" s="518"/>
      <c r="EA48" s="518">
        <f t="shared" si="13"/>
        <v>76641.666666666672</v>
      </c>
      <c r="EC48" s="519">
        <f t="shared" si="92"/>
        <v>76641.666666666672</v>
      </c>
      <c r="ED48" s="519">
        <f t="shared" si="83"/>
        <v>117021.19516666664</v>
      </c>
      <c r="EE48" s="518">
        <f t="shared" si="93"/>
        <v>40379.528499999971</v>
      </c>
      <c r="EF48" s="518">
        <f>+EE48*'Capital Structure '!$P$30</f>
        <v>11350.685461349991</v>
      </c>
      <c r="EG48" s="518">
        <f t="shared" si="17"/>
        <v>-914427.98740874964</v>
      </c>
    </row>
    <row r="49" spans="1:137" s="585" customFormat="1" outlineLevel="1">
      <c r="A49" s="308" t="s">
        <v>56</v>
      </c>
      <c r="B49" s="308">
        <f t="shared" si="74"/>
        <v>2019</v>
      </c>
      <c r="C49" s="308" t="s">
        <v>47</v>
      </c>
      <c r="D49" s="518">
        <v>1000</v>
      </c>
      <c r="E49" s="518">
        <v>100</v>
      </c>
      <c r="F49" s="518"/>
      <c r="G49" s="518"/>
      <c r="H49" s="518"/>
      <c r="I49" s="518"/>
      <c r="J49" s="518"/>
      <c r="K49" s="518">
        <f t="shared" si="4"/>
        <v>1100</v>
      </c>
      <c r="L49" s="518">
        <f>SUM(K$5:K49)</f>
        <v>7022371.71</v>
      </c>
      <c r="N49" s="518">
        <f t="shared" si="10"/>
        <v>925</v>
      </c>
      <c r="O49" s="518">
        <f t="shared" si="14"/>
        <v>2660</v>
      </c>
      <c r="P49" s="518">
        <f t="shared" si="18"/>
        <v>2463.3333333333335</v>
      </c>
      <c r="Q49" s="518">
        <f t="shared" si="20"/>
        <v>5920</v>
      </c>
      <c r="R49" s="518">
        <f t="shared" si="22"/>
        <v>8403.3333333333339</v>
      </c>
      <c r="S49" s="518">
        <f t="shared" si="24"/>
        <v>8219.8333333333339</v>
      </c>
      <c r="T49" s="518">
        <f t="shared" si="26"/>
        <v>6750</v>
      </c>
      <c r="U49" s="518">
        <f t="shared" si="28"/>
        <v>6890</v>
      </c>
      <c r="V49" s="518">
        <f t="shared" si="30"/>
        <v>5805</v>
      </c>
      <c r="W49" s="518">
        <f t="shared" si="32"/>
        <v>5580.9035000000003</v>
      </c>
      <c r="X49" s="518">
        <f t="shared" si="35"/>
        <v>4092.0833333333335</v>
      </c>
      <c r="Y49" s="518">
        <f t="shared" si="37"/>
        <v>3393.3333333333335</v>
      </c>
      <c r="Z49" s="518">
        <f t="shared" si="39"/>
        <v>5251.666666666667</v>
      </c>
      <c r="AA49" s="518">
        <f t="shared" si="41"/>
        <v>3206.7083333333335</v>
      </c>
      <c r="AB49" s="518">
        <f t="shared" si="43"/>
        <v>2656.6666666666665</v>
      </c>
      <c r="AC49" s="518">
        <f t="shared" si="45"/>
        <v>2408.3333333333335</v>
      </c>
      <c r="AD49" s="518">
        <f t="shared" si="47"/>
        <v>1618.3333333333333</v>
      </c>
      <c r="AE49" s="518">
        <f t="shared" si="49"/>
        <v>2563.3333333333335</v>
      </c>
      <c r="AF49" s="518">
        <f t="shared" si="51"/>
        <v>2318.3333333333335</v>
      </c>
      <c r="AG49" s="518">
        <f t="shared" si="53"/>
        <v>2056.6666666666665</v>
      </c>
      <c r="AH49" s="518">
        <f t="shared" si="55"/>
        <v>1968.3333333333333</v>
      </c>
      <c r="AI49" s="518">
        <f t="shared" si="57"/>
        <v>2435</v>
      </c>
      <c r="AJ49" s="518">
        <f t="shared" si="60"/>
        <v>1468.3333333333333</v>
      </c>
      <c r="AK49" s="518">
        <f t="shared" si="62"/>
        <v>1326.6666666666667</v>
      </c>
      <c r="AL49" s="518">
        <f t="shared" si="64"/>
        <v>1798.3333333333333</v>
      </c>
      <c r="AM49" s="518">
        <f t="shared" si="66"/>
        <v>1486.6666666666667</v>
      </c>
      <c r="AN49" s="518">
        <f t="shared" si="68"/>
        <v>1538.3333333333333</v>
      </c>
      <c r="AO49" s="518">
        <f t="shared" si="70"/>
        <v>1136.6666666666667</v>
      </c>
      <c r="AP49" s="518">
        <f t="shared" si="72"/>
        <v>1131.6666666666667</v>
      </c>
      <c r="AQ49" s="518">
        <f t="shared" si="75"/>
        <v>1275</v>
      </c>
      <c r="AR49" s="518">
        <f t="shared" si="77"/>
        <v>1440</v>
      </c>
      <c r="AS49" s="518">
        <f t="shared" si="79"/>
        <v>1505</v>
      </c>
      <c r="AT49" s="518">
        <f t="shared" si="84"/>
        <v>2083.3333333333335</v>
      </c>
      <c r="AU49" s="518">
        <f t="shared" si="86"/>
        <v>1470</v>
      </c>
      <c r="AV49" s="518">
        <f t="shared" si="88"/>
        <v>1508.3333333333333</v>
      </c>
      <c r="AW49" s="518">
        <f t="shared" si="90"/>
        <v>1710</v>
      </c>
      <c r="AX49" s="518">
        <f t="shared" si="94"/>
        <v>1583.3333333333333</v>
      </c>
      <c r="AY49" s="518">
        <f t="shared" si="96"/>
        <v>1113.3333333333333</v>
      </c>
      <c r="AZ49" s="518">
        <f t="shared" si="98"/>
        <v>1646.6666666666667</v>
      </c>
      <c r="BA49" s="518">
        <f t="shared" si="100"/>
        <v>1136.6666666666667</v>
      </c>
      <c r="BB49" s="518">
        <f t="shared" si="102"/>
        <v>1223.3333333333333</v>
      </c>
      <c r="BC49" s="619">
        <f t="shared" si="104"/>
        <v>1598.3333333333333</v>
      </c>
      <c r="BD49" s="619">
        <f t="shared" si="106"/>
        <v>163.33333333333334</v>
      </c>
      <c r="BE49" s="619">
        <f t="shared" ref="BE49:BE107" si="108">$K$48/60</f>
        <v>91.666666666666671</v>
      </c>
      <c r="BF49" s="619">
        <f>$K$49/60</f>
        <v>18.333333333333332</v>
      </c>
      <c r="BG49" s="619"/>
      <c r="BH49" s="619"/>
      <c r="BI49" s="619"/>
      <c r="BJ49" s="619"/>
      <c r="BK49" s="619"/>
      <c r="BL49" s="619"/>
      <c r="BM49" s="619"/>
      <c r="BN49" s="619"/>
      <c r="BO49" s="619"/>
      <c r="BP49" s="619"/>
      <c r="BQ49" s="619"/>
      <c r="BR49" s="518">
        <f t="shared" si="11"/>
        <v>117039.52849999997</v>
      </c>
      <c r="BS49" s="518">
        <f t="shared" si="15"/>
        <v>3554443.442666667</v>
      </c>
      <c r="BT49" s="518">
        <f t="shared" si="80"/>
        <v>3467928.2673333329</v>
      </c>
      <c r="BU49" s="518">
        <f t="shared" si="81"/>
        <v>3584967.7958333329</v>
      </c>
      <c r="BW49" s="518"/>
      <c r="BX49" s="518"/>
      <c r="BY49" s="518"/>
      <c r="BZ49" s="518"/>
      <c r="CA49" s="518"/>
      <c r="CB49" s="518"/>
      <c r="CC49" s="518"/>
      <c r="CD49" s="518"/>
      <c r="CE49" s="518"/>
      <c r="CF49" s="518"/>
      <c r="CG49" s="518"/>
      <c r="CH49" s="518"/>
      <c r="CI49" s="518"/>
      <c r="CJ49" s="518"/>
      <c r="CK49" s="518"/>
      <c r="CL49" s="518"/>
      <c r="CM49" s="518"/>
      <c r="CN49" s="518"/>
      <c r="CO49" s="518"/>
      <c r="CP49" s="518"/>
      <c r="CQ49" s="518"/>
      <c r="CR49" s="518"/>
      <c r="CS49" s="518"/>
      <c r="CT49" s="518"/>
      <c r="CU49" s="518"/>
      <c r="CV49" s="518"/>
      <c r="CW49" s="518"/>
      <c r="CX49" s="518"/>
      <c r="CY49" s="518"/>
      <c r="CZ49" s="518"/>
      <c r="DA49" s="518"/>
      <c r="DB49" s="518"/>
      <c r="DC49" s="518"/>
      <c r="DD49" s="518">
        <f t="shared" si="87"/>
        <v>7350</v>
      </c>
      <c r="DE49" s="518">
        <f t="shared" si="89"/>
        <v>7541.666666666667</v>
      </c>
      <c r="DF49" s="518">
        <f t="shared" si="91"/>
        <v>8550</v>
      </c>
      <c r="DG49" s="518">
        <f t="shared" si="95"/>
        <v>7916.666666666667</v>
      </c>
      <c r="DH49" s="518">
        <f t="shared" si="97"/>
        <v>5566.666666666667</v>
      </c>
      <c r="DI49" s="518">
        <f t="shared" si="99"/>
        <v>8233.3333333333339</v>
      </c>
      <c r="DJ49" s="518">
        <f t="shared" si="101"/>
        <v>5683.333333333333</v>
      </c>
      <c r="DK49" s="518">
        <f t="shared" si="103"/>
        <v>6116.666666666667</v>
      </c>
      <c r="DL49" s="619">
        <f t="shared" si="105"/>
        <v>7991.666666666667</v>
      </c>
      <c r="DM49" s="619">
        <f t="shared" si="107"/>
        <v>816.66666666666663</v>
      </c>
      <c r="DN49" s="619">
        <f t="shared" ref="DN49:DN59" si="109">$K$48/12</f>
        <v>458.33333333333331</v>
      </c>
      <c r="DO49" s="619">
        <f>$K$49/12</f>
        <v>91.666666666666671</v>
      </c>
      <c r="DP49" s="619"/>
      <c r="DQ49" s="619"/>
      <c r="DR49" s="619"/>
      <c r="DS49" s="619"/>
      <c r="DT49" s="619"/>
      <c r="DU49" s="619"/>
      <c r="DV49" s="619"/>
      <c r="DW49" s="619"/>
      <c r="DX49" s="619"/>
      <c r="DY49" s="619"/>
      <c r="DZ49" s="619"/>
      <c r="EA49" s="518">
        <f t="shared" si="13"/>
        <v>66316.666666666672</v>
      </c>
      <c r="EC49" s="519">
        <f t="shared" si="92"/>
        <v>66316.666666666672</v>
      </c>
      <c r="ED49" s="519">
        <f t="shared" si="83"/>
        <v>117039.52849999997</v>
      </c>
      <c r="EE49" s="518">
        <f t="shared" si="93"/>
        <v>50722.8618333333</v>
      </c>
      <c r="EF49" s="518">
        <f>+EE49*'Capital Structure '!$P$30</f>
        <v>14258.196461349989</v>
      </c>
      <c r="EG49" s="518">
        <f t="shared" si="17"/>
        <v>-900169.79094739968</v>
      </c>
    </row>
    <row r="50" spans="1:137" s="585" customFormat="1" outlineLevel="1">
      <c r="A50" s="308" t="s">
        <v>57</v>
      </c>
      <c r="B50" s="308">
        <f t="shared" si="74"/>
        <v>2019</v>
      </c>
      <c r="C50" s="308" t="s">
        <v>47</v>
      </c>
      <c r="D50" s="518">
        <v>500</v>
      </c>
      <c r="E50" s="518"/>
      <c r="F50" s="518"/>
      <c r="G50" s="518"/>
      <c r="H50" s="518"/>
      <c r="I50" s="518"/>
      <c r="J50" s="518"/>
      <c r="K50" s="518">
        <f t="shared" si="4"/>
        <v>500</v>
      </c>
      <c r="L50" s="518">
        <f>SUM(K$5:K50)</f>
        <v>7022871.71</v>
      </c>
      <c r="N50" s="518">
        <f t="shared" si="10"/>
        <v>925</v>
      </c>
      <c r="O50" s="518">
        <f t="shared" si="14"/>
        <v>2660</v>
      </c>
      <c r="P50" s="518">
        <f t="shared" si="18"/>
        <v>2463.3333333333335</v>
      </c>
      <c r="Q50" s="518">
        <f t="shared" si="20"/>
        <v>5920</v>
      </c>
      <c r="R50" s="518">
        <f t="shared" si="22"/>
        <v>8403.3333333333339</v>
      </c>
      <c r="S50" s="518">
        <f t="shared" si="24"/>
        <v>8219.8333333333339</v>
      </c>
      <c r="T50" s="518">
        <f t="shared" si="26"/>
        <v>6750</v>
      </c>
      <c r="U50" s="518">
        <f t="shared" si="28"/>
        <v>6890</v>
      </c>
      <c r="V50" s="518">
        <f t="shared" si="30"/>
        <v>5805</v>
      </c>
      <c r="W50" s="518">
        <f t="shared" si="32"/>
        <v>5580.9035000000003</v>
      </c>
      <c r="X50" s="518">
        <f t="shared" si="35"/>
        <v>4092.0833333333335</v>
      </c>
      <c r="Y50" s="518">
        <f t="shared" si="37"/>
        <v>3393.3333333333335</v>
      </c>
      <c r="Z50" s="518">
        <f t="shared" si="39"/>
        <v>5251.666666666667</v>
      </c>
      <c r="AA50" s="518">
        <f t="shared" si="41"/>
        <v>3206.7083333333335</v>
      </c>
      <c r="AB50" s="518">
        <f t="shared" si="43"/>
        <v>2656.6666666666665</v>
      </c>
      <c r="AC50" s="518">
        <f t="shared" si="45"/>
        <v>2408.3333333333335</v>
      </c>
      <c r="AD50" s="518">
        <f t="shared" si="47"/>
        <v>1618.3333333333333</v>
      </c>
      <c r="AE50" s="518">
        <f t="shared" si="49"/>
        <v>2563.3333333333335</v>
      </c>
      <c r="AF50" s="518">
        <f t="shared" si="51"/>
        <v>2318.3333333333335</v>
      </c>
      <c r="AG50" s="518">
        <f t="shared" si="53"/>
        <v>2056.6666666666665</v>
      </c>
      <c r="AH50" s="518">
        <f t="shared" si="55"/>
        <v>1968.3333333333333</v>
      </c>
      <c r="AI50" s="518">
        <f t="shared" si="57"/>
        <v>2435</v>
      </c>
      <c r="AJ50" s="518">
        <f t="shared" si="60"/>
        <v>1468.3333333333333</v>
      </c>
      <c r="AK50" s="518">
        <f t="shared" si="62"/>
        <v>1326.6666666666667</v>
      </c>
      <c r="AL50" s="518">
        <f t="shared" si="64"/>
        <v>1798.3333333333333</v>
      </c>
      <c r="AM50" s="518">
        <f t="shared" si="66"/>
        <v>1486.6666666666667</v>
      </c>
      <c r="AN50" s="518">
        <f t="shared" si="68"/>
        <v>1538.3333333333333</v>
      </c>
      <c r="AO50" s="518">
        <f t="shared" si="70"/>
        <v>1136.6666666666667</v>
      </c>
      <c r="AP50" s="518">
        <f t="shared" si="72"/>
        <v>1131.6666666666667</v>
      </c>
      <c r="AQ50" s="518">
        <f t="shared" si="75"/>
        <v>1275</v>
      </c>
      <c r="AR50" s="518">
        <f t="shared" si="77"/>
        <v>1440</v>
      </c>
      <c r="AS50" s="518">
        <f t="shared" si="79"/>
        <v>1505</v>
      </c>
      <c r="AT50" s="518">
        <f t="shared" si="84"/>
        <v>2083.3333333333335</v>
      </c>
      <c r="AU50" s="518">
        <f t="shared" si="86"/>
        <v>1470</v>
      </c>
      <c r="AV50" s="518">
        <f t="shared" si="88"/>
        <v>1508.3333333333333</v>
      </c>
      <c r="AW50" s="518">
        <f t="shared" si="90"/>
        <v>1710</v>
      </c>
      <c r="AX50" s="518">
        <f t="shared" si="94"/>
        <v>1583.3333333333333</v>
      </c>
      <c r="AY50" s="518">
        <f t="shared" si="96"/>
        <v>1113.3333333333333</v>
      </c>
      <c r="AZ50" s="518">
        <f t="shared" si="98"/>
        <v>1646.6666666666667</v>
      </c>
      <c r="BA50" s="518">
        <f t="shared" si="100"/>
        <v>1136.6666666666667</v>
      </c>
      <c r="BB50" s="518">
        <f t="shared" si="102"/>
        <v>1223.3333333333333</v>
      </c>
      <c r="BC50" s="619">
        <f t="shared" si="104"/>
        <v>1598.3333333333333</v>
      </c>
      <c r="BD50" s="619">
        <f t="shared" si="106"/>
        <v>163.33333333333334</v>
      </c>
      <c r="BE50" s="619">
        <f t="shared" si="108"/>
        <v>91.666666666666671</v>
      </c>
      <c r="BF50" s="619">
        <f t="shared" ref="BF50:BF108" si="110">$K$49/60</f>
        <v>18.333333333333332</v>
      </c>
      <c r="BG50" s="619">
        <f>$K$50/60</f>
        <v>8.3333333333333339</v>
      </c>
      <c r="BH50" s="619"/>
      <c r="BI50" s="619"/>
      <c r="BJ50" s="619"/>
      <c r="BK50" s="619"/>
      <c r="BL50" s="619"/>
      <c r="BM50" s="619"/>
      <c r="BN50" s="619"/>
      <c r="BO50" s="619"/>
      <c r="BP50" s="619"/>
      <c r="BQ50" s="619"/>
      <c r="BR50" s="518">
        <f t="shared" si="11"/>
        <v>117047.8618333333</v>
      </c>
      <c r="BS50" s="518">
        <f t="shared" si="15"/>
        <v>3671491.3045000006</v>
      </c>
      <c r="BT50" s="518">
        <f t="shared" si="80"/>
        <v>3351380.4054999994</v>
      </c>
      <c r="BU50" s="518">
        <f t="shared" si="81"/>
        <v>3468428.2673333329</v>
      </c>
      <c r="BW50" s="518"/>
      <c r="BX50" s="518"/>
      <c r="BY50" s="518"/>
      <c r="BZ50" s="518"/>
      <c r="CA50" s="518"/>
      <c r="CB50" s="518"/>
      <c r="CC50" s="518"/>
      <c r="CD50" s="518"/>
      <c r="CE50" s="518"/>
      <c r="CF50" s="518"/>
      <c r="CG50" s="518"/>
      <c r="CH50" s="518"/>
      <c r="CI50" s="518"/>
      <c r="CJ50" s="518"/>
      <c r="CK50" s="518"/>
      <c r="CL50" s="518"/>
      <c r="CM50" s="518"/>
      <c r="CN50" s="518"/>
      <c r="CO50" s="518"/>
      <c r="CP50" s="518"/>
      <c r="CQ50" s="518"/>
      <c r="CR50" s="518"/>
      <c r="CS50" s="518"/>
      <c r="CT50" s="518"/>
      <c r="CU50" s="518"/>
      <c r="CV50" s="518"/>
      <c r="CW50" s="518"/>
      <c r="CX50" s="518"/>
      <c r="CY50" s="518"/>
      <c r="CZ50" s="518"/>
      <c r="DA50" s="518"/>
      <c r="DB50" s="518"/>
      <c r="DC50" s="518"/>
      <c r="DD50" s="518"/>
      <c r="DE50" s="518">
        <f t="shared" si="89"/>
        <v>7541.666666666667</v>
      </c>
      <c r="DF50" s="518">
        <f t="shared" si="91"/>
        <v>8550</v>
      </c>
      <c r="DG50" s="518">
        <f t="shared" si="95"/>
        <v>7916.666666666667</v>
      </c>
      <c r="DH50" s="518">
        <f t="shared" si="97"/>
        <v>5566.666666666667</v>
      </c>
      <c r="DI50" s="518">
        <f t="shared" si="99"/>
        <v>8233.3333333333339</v>
      </c>
      <c r="DJ50" s="518">
        <f t="shared" si="101"/>
        <v>5683.333333333333</v>
      </c>
      <c r="DK50" s="518">
        <f t="shared" si="103"/>
        <v>6116.666666666667</v>
      </c>
      <c r="DL50" s="619">
        <f t="shared" si="105"/>
        <v>7991.666666666667</v>
      </c>
      <c r="DM50" s="619">
        <f t="shared" si="107"/>
        <v>816.66666666666663</v>
      </c>
      <c r="DN50" s="619">
        <f t="shared" si="109"/>
        <v>458.33333333333331</v>
      </c>
      <c r="DO50" s="619">
        <f t="shared" ref="DO50:DO60" si="111">$K$49/12</f>
        <v>91.666666666666671</v>
      </c>
      <c r="DP50" s="619">
        <f>$K$50/12</f>
        <v>41.666666666666664</v>
      </c>
      <c r="DQ50" s="619"/>
      <c r="DR50" s="619"/>
      <c r="DS50" s="619"/>
      <c r="DT50" s="619"/>
      <c r="DU50" s="619"/>
      <c r="DV50" s="619"/>
      <c r="DW50" s="619"/>
      <c r="DX50" s="619"/>
      <c r="DY50" s="619"/>
      <c r="DZ50" s="619"/>
      <c r="EA50" s="518">
        <f t="shared" si="13"/>
        <v>59008.333333333328</v>
      </c>
      <c r="EC50" s="519">
        <f t="shared" si="92"/>
        <v>59008.333333333328</v>
      </c>
      <c r="ED50" s="519">
        <f t="shared" si="83"/>
        <v>117047.8618333333</v>
      </c>
      <c r="EE50" s="518">
        <f t="shared" si="93"/>
        <v>58039.528499999971</v>
      </c>
      <c r="EF50" s="518">
        <f>+EE50*'Capital Structure '!$P$30</f>
        <v>16314.91146134999</v>
      </c>
      <c r="EG50" s="518">
        <f t="shared" si="17"/>
        <v>-883854.87948604964</v>
      </c>
    </row>
    <row r="51" spans="1:137" s="585" customFormat="1" outlineLevel="1">
      <c r="A51" s="308" t="s">
        <v>58</v>
      </c>
      <c r="B51" s="308">
        <f t="shared" si="74"/>
        <v>2019</v>
      </c>
      <c r="C51" s="308" t="s">
        <v>47</v>
      </c>
      <c r="D51" s="518">
        <v>0</v>
      </c>
      <c r="E51" s="518">
        <v>0</v>
      </c>
      <c r="F51" s="518"/>
      <c r="G51" s="518"/>
      <c r="H51" s="518"/>
      <c r="I51" s="518"/>
      <c r="J51" s="518"/>
      <c r="K51" s="518">
        <f t="shared" si="4"/>
        <v>0</v>
      </c>
      <c r="L51" s="518">
        <f>SUM(K$5:K51)</f>
        <v>7022871.71</v>
      </c>
      <c r="N51" s="518">
        <f t="shared" si="10"/>
        <v>925</v>
      </c>
      <c r="O51" s="518">
        <f t="shared" si="14"/>
        <v>2660</v>
      </c>
      <c r="P51" s="518">
        <f t="shared" si="18"/>
        <v>2463.3333333333335</v>
      </c>
      <c r="Q51" s="518">
        <f t="shared" si="20"/>
        <v>5920</v>
      </c>
      <c r="R51" s="518">
        <f t="shared" si="22"/>
        <v>8403.3333333333339</v>
      </c>
      <c r="S51" s="518">
        <f t="shared" si="24"/>
        <v>8219.8333333333339</v>
      </c>
      <c r="T51" s="518">
        <f t="shared" si="26"/>
        <v>6750</v>
      </c>
      <c r="U51" s="518">
        <f t="shared" si="28"/>
        <v>6890</v>
      </c>
      <c r="V51" s="518">
        <f t="shared" si="30"/>
        <v>5805</v>
      </c>
      <c r="W51" s="518">
        <f t="shared" si="32"/>
        <v>5580.9035000000003</v>
      </c>
      <c r="X51" s="518">
        <f t="shared" si="35"/>
        <v>4092.0833333333335</v>
      </c>
      <c r="Y51" s="518">
        <f t="shared" si="37"/>
        <v>3393.3333333333335</v>
      </c>
      <c r="Z51" s="518">
        <f t="shared" si="39"/>
        <v>5251.666666666667</v>
      </c>
      <c r="AA51" s="518">
        <f t="shared" si="41"/>
        <v>3206.7083333333335</v>
      </c>
      <c r="AB51" s="518">
        <f t="shared" si="43"/>
        <v>2656.6666666666665</v>
      </c>
      <c r="AC51" s="518">
        <f t="shared" si="45"/>
        <v>2408.3333333333335</v>
      </c>
      <c r="AD51" s="518">
        <f t="shared" si="47"/>
        <v>1618.3333333333333</v>
      </c>
      <c r="AE51" s="518">
        <f t="shared" si="49"/>
        <v>2563.3333333333335</v>
      </c>
      <c r="AF51" s="518">
        <f t="shared" si="51"/>
        <v>2318.3333333333335</v>
      </c>
      <c r="AG51" s="518">
        <f t="shared" si="53"/>
        <v>2056.6666666666665</v>
      </c>
      <c r="AH51" s="518">
        <f t="shared" si="55"/>
        <v>1968.3333333333333</v>
      </c>
      <c r="AI51" s="518">
        <f t="shared" si="57"/>
        <v>2435</v>
      </c>
      <c r="AJ51" s="518">
        <f t="shared" si="60"/>
        <v>1468.3333333333333</v>
      </c>
      <c r="AK51" s="518">
        <f t="shared" si="62"/>
        <v>1326.6666666666667</v>
      </c>
      <c r="AL51" s="518">
        <f t="shared" si="64"/>
        <v>1798.3333333333333</v>
      </c>
      <c r="AM51" s="518">
        <f t="shared" si="66"/>
        <v>1486.6666666666667</v>
      </c>
      <c r="AN51" s="518">
        <f t="shared" si="68"/>
        <v>1538.3333333333333</v>
      </c>
      <c r="AO51" s="518">
        <f t="shared" si="70"/>
        <v>1136.6666666666667</v>
      </c>
      <c r="AP51" s="518">
        <f t="shared" si="72"/>
        <v>1131.6666666666667</v>
      </c>
      <c r="AQ51" s="518">
        <f t="shared" si="75"/>
        <v>1275</v>
      </c>
      <c r="AR51" s="518">
        <f t="shared" si="77"/>
        <v>1440</v>
      </c>
      <c r="AS51" s="518">
        <f t="shared" si="79"/>
        <v>1505</v>
      </c>
      <c r="AT51" s="518">
        <f t="shared" si="84"/>
        <v>2083.3333333333335</v>
      </c>
      <c r="AU51" s="518">
        <f t="shared" si="86"/>
        <v>1470</v>
      </c>
      <c r="AV51" s="518">
        <f t="shared" si="88"/>
        <v>1508.3333333333333</v>
      </c>
      <c r="AW51" s="518">
        <f t="shared" si="90"/>
        <v>1710</v>
      </c>
      <c r="AX51" s="518">
        <f t="shared" si="94"/>
        <v>1583.3333333333333</v>
      </c>
      <c r="AY51" s="518">
        <f t="shared" si="96"/>
        <v>1113.3333333333333</v>
      </c>
      <c r="AZ51" s="518">
        <f t="shared" si="98"/>
        <v>1646.6666666666667</v>
      </c>
      <c r="BA51" s="518">
        <f t="shared" si="100"/>
        <v>1136.6666666666667</v>
      </c>
      <c r="BB51" s="518">
        <f t="shared" si="102"/>
        <v>1223.3333333333333</v>
      </c>
      <c r="BC51" s="619">
        <f t="shared" si="104"/>
        <v>1598.3333333333333</v>
      </c>
      <c r="BD51" s="619">
        <f t="shared" si="106"/>
        <v>163.33333333333334</v>
      </c>
      <c r="BE51" s="619">
        <f t="shared" si="108"/>
        <v>91.666666666666671</v>
      </c>
      <c r="BF51" s="619">
        <f t="shared" si="110"/>
        <v>18.333333333333332</v>
      </c>
      <c r="BG51" s="619">
        <f t="shared" ref="BG51:BG109" si="112">$K$50/60</f>
        <v>8.3333333333333339</v>
      </c>
      <c r="BH51" s="619"/>
      <c r="BI51" s="619"/>
      <c r="BJ51" s="619"/>
      <c r="BK51" s="619"/>
      <c r="BL51" s="619"/>
      <c r="BM51" s="619"/>
      <c r="BN51" s="619"/>
      <c r="BO51" s="619"/>
      <c r="BP51" s="619"/>
      <c r="BQ51" s="619"/>
      <c r="BR51" s="518">
        <f t="shared" si="11"/>
        <v>117047.8618333333</v>
      </c>
      <c r="BS51" s="518">
        <f t="shared" si="15"/>
        <v>3788539.1663333341</v>
      </c>
      <c r="BT51" s="518">
        <f t="shared" si="80"/>
        <v>3234332.5436666659</v>
      </c>
      <c r="BU51" s="518">
        <f t="shared" si="81"/>
        <v>3351380.4054999994</v>
      </c>
      <c r="BW51" s="518"/>
      <c r="BX51" s="518"/>
      <c r="BY51" s="518"/>
      <c r="BZ51" s="518"/>
      <c r="CA51" s="518"/>
      <c r="CB51" s="518"/>
      <c r="CC51" s="518"/>
      <c r="CD51" s="518"/>
      <c r="CE51" s="518"/>
      <c r="CF51" s="518"/>
      <c r="CG51" s="518"/>
      <c r="CH51" s="518"/>
      <c r="CI51" s="518"/>
      <c r="CJ51" s="518"/>
      <c r="CK51" s="518"/>
      <c r="CL51" s="518"/>
      <c r="CM51" s="518"/>
      <c r="CN51" s="518"/>
      <c r="CO51" s="518"/>
      <c r="CP51" s="518"/>
      <c r="CQ51" s="518"/>
      <c r="CR51" s="518"/>
      <c r="CS51" s="518"/>
      <c r="CT51" s="518"/>
      <c r="CU51" s="518"/>
      <c r="CV51" s="518"/>
      <c r="CW51" s="518"/>
      <c r="CX51" s="518"/>
      <c r="CY51" s="518"/>
      <c r="CZ51" s="518"/>
      <c r="DA51" s="518"/>
      <c r="DB51" s="518"/>
      <c r="DC51" s="518"/>
      <c r="DD51" s="518"/>
      <c r="DE51" s="518"/>
      <c r="DF51" s="518">
        <f t="shared" si="91"/>
        <v>8550</v>
      </c>
      <c r="DG51" s="518">
        <f t="shared" si="95"/>
        <v>7916.666666666667</v>
      </c>
      <c r="DH51" s="518">
        <f t="shared" si="97"/>
        <v>5566.666666666667</v>
      </c>
      <c r="DI51" s="518">
        <f t="shared" si="99"/>
        <v>8233.3333333333339</v>
      </c>
      <c r="DJ51" s="518">
        <f t="shared" si="101"/>
        <v>5683.333333333333</v>
      </c>
      <c r="DK51" s="518">
        <f t="shared" si="103"/>
        <v>6116.666666666667</v>
      </c>
      <c r="DL51" s="619">
        <f t="shared" si="105"/>
        <v>7991.666666666667</v>
      </c>
      <c r="DM51" s="619">
        <f t="shared" si="107"/>
        <v>816.66666666666663</v>
      </c>
      <c r="DN51" s="619">
        <f t="shared" si="109"/>
        <v>458.33333333333331</v>
      </c>
      <c r="DO51" s="619">
        <f t="shared" si="111"/>
        <v>91.666666666666671</v>
      </c>
      <c r="DP51" s="619">
        <f t="shared" ref="DP51:DP61" si="113">$K$50/12</f>
        <v>41.666666666666664</v>
      </c>
      <c r="DQ51" s="619">
        <f>$K$51/12</f>
        <v>0</v>
      </c>
      <c r="DR51" s="619"/>
      <c r="DS51" s="619"/>
      <c r="DT51" s="619"/>
      <c r="DU51" s="619"/>
      <c r="DV51" s="619"/>
      <c r="DW51" s="619"/>
      <c r="DX51" s="619"/>
      <c r="DY51" s="619"/>
      <c r="DZ51" s="619"/>
      <c r="EA51" s="518">
        <f t="shared" si="13"/>
        <v>51466.666666666664</v>
      </c>
      <c r="EC51" s="519">
        <f t="shared" si="92"/>
        <v>51466.666666666664</v>
      </c>
      <c r="ED51" s="519">
        <f t="shared" si="83"/>
        <v>117047.8618333333</v>
      </c>
      <c r="EE51" s="518">
        <f t="shared" si="93"/>
        <v>65581.195166666643</v>
      </c>
      <c r="EF51" s="518">
        <f>+EE51*'Capital Structure '!$P$30</f>
        <v>18434.873961349989</v>
      </c>
      <c r="EG51" s="518">
        <f t="shared" si="17"/>
        <v>-865420.00552469969</v>
      </c>
    </row>
    <row r="52" spans="1:137" s="585" customFormat="1" outlineLevel="1">
      <c r="A52" s="308" t="s">
        <v>59</v>
      </c>
      <c r="B52" s="308">
        <f t="shared" si="74"/>
        <v>2019</v>
      </c>
      <c r="C52" s="308" t="s">
        <v>47</v>
      </c>
      <c r="D52" s="518">
        <v>0</v>
      </c>
      <c r="E52" s="518">
        <v>0</v>
      </c>
      <c r="F52" s="518"/>
      <c r="G52" s="518"/>
      <c r="H52" s="518"/>
      <c r="I52" s="518"/>
      <c r="J52" s="518"/>
      <c r="K52" s="518">
        <f t="shared" si="4"/>
        <v>0</v>
      </c>
      <c r="L52" s="518">
        <f>SUM(K$5:K52)</f>
        <v>7022871.71</v>
      </c>
      <c r="N52" s="518">
        <f t="shared" si="10"/>
        <v>925</v>
      </c>
      <c r="O52" s="518">
        <f t="shared" si="14"/>
        <v>2660</v>
      </c>
      <c r="P52" s="518">
        <f t="shared" si="18"/>
        <v>2463.3333333333335</v>
      </c>
      <c r="Q52" s="518">
        <f t="shared" si="20"/>
        <v>5920</v>
      </c>
      <c r="R52" s="518">
        <f t="shared" si="22"/>
        <v>8403.3333333333339</v>
      </c>
      <c r="S52" s="518">
        <f t="shared" si="24"/>
        <v>8219.8333333333339</v>
      </c>
      <c r="T52" s="518">
        <f t="shared" si="26"/>
        <v>6750</v>
      </c>
      <c r="U52" s="518">
        <f t="shared" si="28"/>
        <v>6890</v>
      </c>
      <c r="V52" s="518">
        <f t="shared" si="30"/>
        <v>5805</v>
      </c>
      <c r="W52" s="518">
        <f t="shared" si="32"/>
        <v>5580.9035000000003</v>
      </c>
      <c r="X52" s="518">
        <f t="shared" si="35"/>
        <v>4092.0833333333335</v>
      </c>
      <c r="Y52" s="518">
        <f t="shared" si="37"/>
        <v>3393.3333333333335</v>
      </c>
      <c r="Z52" s="518">
        <f t="shared" si="39"/>
        <v>5251.666666666667</v>
      </c>
      <c r="AA52" s="518">
        <f t="shared" si="41"/>
        <v>3206.7083333333335</v>
      </c>
      <c r="AB52" s="518">
        <f t="shared" si="43"/>
        <v>2656.6666666666665</v>
      </c>
      <c r="AC52" s="518">
        <f t="shared" si="45"/>
        <v>2408.3333333333335</v>
      </c>
      <c r="AD52" s="518">
        <f t="shared" si="47"/>
        <v>1618.3333333333333</v>
      </c>
      <c r="AE52" s="518">
        <f t="shared" si="49"/>
        <v>2563.3333333333335</v>
      </c>
      <c r="AF52" s="518">
        <f t="shared" si="51"/>
        <v>2318.3333333333335</v>
      </c>
      <c r="AG52" s="518">
        <f t="shared" si="53"/>
        <v>2056.6666666666665</v>
      </c>
      <c r="AH52" s="518">
        <f t="shared" si="55"/>
        <v>1968.3333333333333</v>
      </c>
      <c r="AI52" s="518">
        <f t="shared" si="57"/>
        <v>2435</v>
      </c>
      <c r="AJ52" s="518">
        <f t="shared" si="60"/>
        <v>1468.3333333333333</v>
      </c>
      <c r="AK52" s="518">
        <f t="shared" si="62"/>
        <v>1326.6666666666667</v>
      </c>
      <c r="AL52" s="518">
        <f t="shared" si="64"/>
        <v>1798.3333333333333</v>
      </c>
      <c r="AM52" s="518">
        <f t="shared" si="66"/>
        <v>1486.6666666666667</v>
      </c>
      <c r="AN52" s="518">
        <f t="shared" si="68"/>
        <v>1538.3333333333333</v>
      </c>
      <c r="AO52" s="518">
        <f t="shared" si="70"/>
        <v>1136.6666666666667</v>
      </c>
      <c r="AP52" s="518">
        <f t="shared" si="72"/>
        <v>1131.6666666666667</v>
      </c>
      <c r="AQ52" s="518">
        <f t="shared" si="75"/>
        <v>1275</v>
      </c>
      <c r="AR52" s="518">
        <f t="shared" si="77"/>
        <v>1440</v>
      </c>
      <c r="AS52" s="518">
        <f t="shared" si="79"/>
        <v>1505</v>
      </c>
      <c r="AT52" s="518">
        <f t="shared" si="84"/>
        <v>2083.3333333333335</v>
      </c>
      <c r="AU52" s="518">
        <f t="shared" si="86"/>
        <v>1470</v>
      </c>
      <c r="AV52" s="518">
        <f t="shared" si="88"/>
        <v>1508.3333333333333</v>
      </c>
      <c r="AW52" s="518">
        <f t="shared" si="90"/>
        <v>1710</v>
      </c>
      <c r="AX52" s="518">
        <f t="shared" si="94"/>
        <v>1583.3333333333333</v>
      </c>
      <c r="AY52" s="518">
        <f t="shared" si="96"/>
        <v>1113.3333333333333</v>
      </c>
      <c r="AZ52" s="518">
        <f t="shared" si="98"/>
        <v>1646.6666666666667</v>
      </c>
      <c r="BA52" s="518">
        <f t="shared" si="100"/>
        <v>1136.6666666666667</v>
      </c>
      <c r="BB52" s="518">
        <f t="shared" si="102"/>
        <v>1223.3333333333333</v>
      </c>
      <c r="BC52" s="619">
        <f t="shared" si="104"/>
        <v>1598.3333333333333</v>
      </c>
      <c r="BD52" s="619">
        <f t="shared" si="106"/>
        <v>163.33333333333334</v>
      </c>
      <c r="BE52" s="619">
        <f t="shared" si="108"/>
        <v>91.666666666666671</v>
      </c>
      <c r="BF52" s="619">
        <f t="shared" si="110"/>
        <v>18.333333333333332</v>
      </c>
      <c r="BG52" s="619">
        <f t="shared" si="112"/>
        <v>8.3333333333333339</v>
      </c>
      <c r="BH52" s="619"/>
      <c r="BI52" s="619"/>
      <c r="BJ52" s="619"/>
      <c r="BK52" s="619"/>
      <c r="BL52" s="619"/>
      <c r="BM52" s="619"/>
      <c r="BN52" s="619"/>
      <c r="BO52" s="619"/>
      <c r="BP52" s="619"/>
      <c r="BQ52" s="619"/>
      <c r="BR52" s="518">
        <f t="shared" si="11"/>
        <v>117047.8618333333</v>
      </c>
      <c r="BS52" s="518">
        <f t="shared" si="15"/>
        <v>3905587.0281666676</v>
      </c>
      <c r="BT52" s="518">
        <f t="shared" si="80"/>
        <v>3117284.6818333324</v>
      </c>
      <c r="BU52" s="518">
        <f t="shared" si="81"/>
        <v>3234332.5436666659</v>
      </c>
      <c r="BW52" s="518"/>
      <c r="BX52" s="518"/>
      <c r="BY52" s="518"/>
      <c r="BZ52" s="518"/>
      <c r="CA52" s="518"/>
      <c r="CB52" s="518"/>
      <c r="CC52" s="518"/>
      <c r="CD52" s="518"/>
      <c r="CE52" s="518"/>
      <c r="CF52" s="518"/>
      <c r="CG52" s="518"/>
      <c r="CH52" s="518"/>
      <c r="CI52" s="518"/>
      <c r="CJ52" s="518"/>
      <c r="CK52" s="518"/>
      <c r="CL52" s="518"/>
      <c r="CM52" s="518"/>
      <c r="CN52" s="518"/>
      <c r="CO52" s="518"/>
      <c r="CP52" s="518"/>
      <c r="CQ52" s="518"/>
      <c r="CR52" s="518"/>
      <c r="CS52" s="518"/>
      <c r="CT52" s="518"/>
      <c r="CU52" s="518"/>
      <c r="CV52" s="518"/>
      <c r="CW52" s="518"/>
      <c r="CX52" s="518"/>
      <c r="CY52" s="518"/>
      <c r="CZ52" s="518"/>
      <c r="DA52" s="518"/>
      <c r="DB52" s="518"/>
      <c r="DC52" s="518"/>
      <c r="DD52" s="518"/>
      <c r="DE52" s="518"/>
      <c r="DF52" s="518"/>
      <c r="DG52" s="518">
        <f t="shared" si="95"/>
        <v>7916.666666666667</v>
      </c>
      <c r="DH52" s="518">
        <f t="shared" si="97"/>
        <v>5566.666666666667</v>
      </c>
      <c r="DI52" s="518">
        <f t="shared" si="99"/>
        <v>8233.3333333333339</v>
      </c>
      <c r="DJ52" s="518">
        <f t="shared" si="101"/>
        <v>5683.333333333333</v>
      </c>
      <c r="DK52" s="518">
        <f t="shared" si="103"/>
        <v>6116.666666666667</v>
      </c>
      <c r="DL52" s="619">
        <f t="shared" si="105"/>
        <v>7991.666666666667</v>
      </c>
      <c r="DM52" s="619">
        <f t="shared" si="107"/>
        <v>816.66666666666663</v>
      </c>
      <c r="DN52" s="619">
        <f t="shared" si="109"/>
        <v>458.33333333333331</v>
      </c>
      <c r="DO52" s="619">
        <f t="shared" si="111"/>
        <v>91.666666666666671</v>
      </c>
      <c r="DP52" s="619">
        <f t="shared" si="113"/>
        <v>41.666666666666664</v>
      </c>
      <c r="DQ52" s="619">
        <f t="shared" ref="DQ52:DQ62" si="114">$K$51/12</f>
        <v>0</v>
      </c>
      <c r="DR52" s="619">
        <f>$K$52/12</f>
        <v>0</v>
      </c>
      <c r="DS52" s="619"/>
      <c r="DT52" s="619"/>
      <c r="DU52" s="619"/>
      <c r="DV52" s="619"/>
      <c r="DW52" s="619"/>
      <c r="DX52" s="619"/>
      <c r="DY52" s="619"/>
      <c r="DZ52" s="619"/>
      <c r="EA52" s="518">
        <f t="shared" si="13"/>
        <v>42916.666666666657</v>
      </c>
      <c r="EC52" s="519">
        <f t="shared" si="92"/>
        <v>42916.666666666657</v>
      </c>
      <c r="ED52" s="519">
        <f t="shared" si="83"/>
        <v>117047.8618333333</v>
      </c>
      <c r="EE52" s="518">
        <f t="shared" si="93"/>
        <v>74131.195166666643</v>
      </c>
      <c r="EF52" s="518">
        <f>+EE52*'Capital Structure '!$P$30</f>
        <v>20838.278961349992</v>
      </c>
      <c r="EG52" s="518">
        <f t="shared" si="17"/>
        <v>-844581.72656334972</v>
      </c>
    </row>
    <row r="53" spans="1:137" s="585" customFormat="1" outlineLevel="1">
      <c r="A53" s="308" t="s">
        <v>46</v>
      </c>
      <c r="B53" s="308">
        <f t="shared" si="74"/>
        <v>2019</v>
      </c>
      <c r="C53" s="308" t="s">
        <v>47</v>
      </c>
      <c r="D53" s="518">
        <v>500</v>
      </c>
      <c r="E53" s="518"/>
      <c r="F53" s="518"/>
      <c r="G53" s="518"/>
      <c r="H53" s="518"/>
      <c r="I53" s="518"/>
      <c r="J53" s="518"/>
      <c r="K53" s="518">
        <f t="shared" si="4"/>
        <v>500</v>
      </c>
      <c r="L53" s="518">
        <f>SUM(K$5:K53)</f>
        <v>7023371.71</v>
      </c>
      <c r="N53" s="518">
        <f t="shared" si="10"/>
        <v>925</v>
      </c>
      <c r="O53" s="518">
        <f t="shared" si="14"/>
        <v>2660</v>
      </c>
      <c r="P53" s="518">
        <f t="shared" si="18"/>
        <v>2463.3333333333335</v>
      </c>
      <c r="Q53" s="518">
        <f t="shared" si="20"/>
        <v>5920</v>
      </c>
      <c r="R53" s="518">
        <f t="shared" si="22"/>
        <v>8403.3333333333339</v>
      </c>
      <c r="S53" s="518">
        <f t="shared" si="24"/>
        <v>8219.8333333333339</v>
      </c>
      <c r="T53" s="518">
        <f t="shared" si="26"/>
        <v>6750</v>
      </c>
      <c r="U53" s="518">
        <f t="shared" si="28"/>
        <v>6890</v>
      </c>
      <c r="V53" s="518">
        <f t="shared" si="30"/>
        <v>5805</v>
      </c>
      <c r="W53" s="518">
        <f t="shared" si="32"/>
        <v>5580.9035000000003</v>
      </c>
      <c r="X53" s="518">
        <f t="shared" si="35"/>
        <v>4092.0833333333335</v>
      </c>
      <c r="Y53" s="518">
        <f t="shared" si="37"/>
        <v>3393.3333333333335</v>
      </c>
      <c r="Z53" s="518">
        <f t="shared" si="39"/>
        <v>5251.666666666667</v>
      </c>
      <c r="AA53" s="518">
        <f t="shared" si="41"/>
        <v>3206.7083333333335</v>
      </c>
      <c r="AB53" s="518">
        <f t="shared" si="43"/>
        <v>2656.6666666666665</v>
      </c>
      <c r="AC53" s="518">
        <f t="shared" si="45"/>
        <v>2408.3333333333335</v>
      </c>
      <c r="AD53" s="518">
        <f t="shared" si="47"/>
        <v>1618.3333333333333</v>
      </c>
      <c r="AE53" s="518">
        <f t="shared" si="49"/>
        <v>2563.3333333333335</v>
      </c>
      <c r="AF53" s="518">
        <f t="shared" si="51"/>
        <v>2318.3333333333335</v>
      </c>
      <c r="AG53" s="518">
        <f t="shared" si="53"/>
        <v>2056.6666666666665</v>
      </c>
      <c r="AH53" s="518">
        <f t="shared" si="55"/>
        <v>1968.3333333333333</v>
      </c>
      <c r="AI53" s="518">
        <f t="shared" si="57"/>
        <v>2435</v>
      </c>
      <c r="AJ53" s="518">
        <f t="shared" si="60"/>
        <v>1468.3333333333333</v>
      </c>
      <c r="AK53" s="518">
        <f t="shared" si="62"/>
        <v>1326.6666666666667</v>
      </c>
      <c r="AL53" s="518">
        <f t="shared" si="64"/>
        <v>1798.3333333333333</v>
      </c>
      <c r="AM53" s="518">
        <f t="shared" si="66"/>
        <v>1486.6666666666667</v>
      </c>
      <c r="AN53" s="518">
        <f t="shared" si="68"/>
        <v>1538.3333333333333</v>
      </c>
      <c r="AO53" s="518">
        <f t="shared" si="70"/>
        <v>1136.6666666666667</v>
      </c>
      <c r="AP53" s="518">
        <f t="shared" si="72"/>
        <v>1131.6666666666667</v>
      </c>
      <c r="AQ53" s="518">
        <f t="shared" si="75"/>
        <v>1275</v>
      </c>
      <c r="AR53" s="518">
        <f t="shared" si="77"/>
        <v>1440</v>
      </c>
      <c r="AS53" s="518">
        <f t="shared" si="79"/>
        <v>1505</v>
      </c>
      <c r="AT53" s="518">
        <f t="shared" si="84"/>
        <v>2083.3333333333335</v>
      </c>
      <c r="AU53" s="518">
        <f t="shared" si="86"/>
        <v>1470</v>
      </c>
      <c r="AV53" s="518">
        <f t="shared" si="88"/>
        <v>1508.3333333333333</v>
      </c>
      <c r="AW53" s="518">
        <f t="shared" si="90"/>
        <v>1710</v>
      </c>
      <c r="AX53" s="518">
        <f t="shared" si="94"/>
        <v>1583.3333333333333</v>
      </c>
      <c r="AY53" s="518">
        <f t="shared" si="96"/>
        <v>1113.3333333333333</v>
      </c>
      <c r="AZ53" s="518">
        <f t="shared" si="98"/>
        <v>1646.6666666666667</v>
      </c>
      <c r="BA53" s="518">
        <f t="shared" si="100"/>
        <v>1136.6666666666667</v>
      </c>
      <c r="BB53" s="518">
        <f t="shared" si="102"/>
        <v>1223.3333333333333</v>
      </c>
      <c r="BC53" s="619">
        <f t="shared" si="104"/>
        <v>1598.3333333333333</v>
      </c>
      <c r="BD53" s="619">
        <f t="shared" si="106"/>
        <v>163.33333333333334</v>
      </c>
      <c r="BE53" s="619">
        <f t="shared" si="108"/>
        <v>91.666666666666671</v>
      </c>
      <c r="BF53" s="619">
        <f t="shared" si="110"/>
        <v>18.333333333333332</v>
      </c>
      <c r="BG53" s="619">
        <f t="shared" si="112"/>
        <v>8.3333333333333339</v>
      </c>
      <c r="BH53" s="619"/>
      <c r="BI53" s="619"/>
      <c r="BJ53" s="619">
        <f>$K$53/60</f>
        <v>8.3333333333333339</v>
      </c>
      <c r="BK53" s="619"/>
      <c r="BL53" s="619"/>
      <c r="BM53" s="619"/>
      <c r="BN53" s="619"/>
      <c r="BO53" s="619"/>
      <c r="BP53" s="619"/>
      <c r="BQ53" s="619"/>
      <c r="BR53" s="518">
        <f t="shared" si="11"/>
        <v>117056.19516666663</v>
      </c>
      <c r="BS53" s="518">
        <f t="shared" si="15"/>
        <v>4022643.2233333341</v>
      </c>
      <c r="BT53" s="518">
        <f t="shared" si="80"/>
        <v>3000728.4866666659</v>
      </c>
      <c r="BU53" s="518">
        <f t="shared" si="81"/>
        <v>3117784.6818333324</v>
      </c>
      <c r="BW53" s="518"/>
      <c r="BX53" s="518"/>
      <c r="BY53" s="518"/>
      <c r="BZ53" s="518"/>
      <c r="CA53" s="518"/>
      <c r="CB53" s="518"/>
      <c r="CC53" s="518"/>
      <c r="CD53" s="518"/>
      <c r="CE53" s="518"/>
      <c r="CF53" s="518"/>
      <c r="CG53" s="518"/>
      <c r="CH53" s="518"/>
      <c r="CI53" s="518"/>
      <c r="CJ53" s="518"/>
      <c r="CK53" s="518"/>
      <c r="CL53" s="518"/>
      <c r="CM53" s="518"/>
      <c r="CN53" s="518"/>
      <c r="CO53" s="518"/>
      <c r="CP53" s="518"/>
      <c r="CQ53" s="518"/>
      <c r="CR53" s="518"/>
      <c r="CS53" s="518"/>
      <c r="CT53" s="518"/>
      <c r="CU53" s="518"/>
      <c r="CV53" s="518"/>
      <c r="CW53" s="518"/>
      <c r="CX53" s="518"/>
      <c r="CY53" s="518"/>
      <c r="CZ53" s="518"/>
      <c r="DA53" s="518"/>
      <c r="DB53" s="518"/>
      <c r="DC53" s="518"/>
      <c r="DD53" s="518"/>
      <c r="DE53" s="518"/>
      <c r="DF53" s="518"/>
      <c r="DG53" s="518"/>
      <c r="DH53" s="518">
        <f t="shared" si="97"/>
        <v>5566.666666666667</v>
      </c>
      <c r="DI53" s="518">
        <f t="shared" si="99"/>
        <v>8233.3333333333339</v>
      </c>
      <c r="DJ53" s="518">
        <f t="shared" si="101"/>
        <v>5683.333333333333</v>
      </c>
      <c r="DK53" s="518">
        <f t="shared" si="103"/>
        <v>6116.666666666667</v>
      </c>
      <c r="DL53" s="619">
        <f t="shared" si="105"/>
        <v>7991.666666666667</v>
      </c>
      <c r="DM53" s="619">
        <f t="shared" si="107"/>
        <v>816.66666666666663</v>
      </c>
      <c r="DN53" s="619">
        <f t="shared" si="109"/>
        <v>458.33333333333331</v>
      </c>
      <c r="DO53" s="619">
        <f t="shared" si="111"/>
        <v>91.666666666666671</v>
      </c>
      <c r="DP53" s="619">
        <f t="shared" si="113"/>
        <v>41.666666666666664</v>
      </c>
      <c r="DQ53" s="619">
        <f t="shared" si="114"/>
        <v>0</v>
      </c>
      <c r="DR53" s="619">
        <f t="shared" ref="DR53:DR63" si="115">$K$52/12</f>
        <v>0</v>
      </c>
      <c r="DS53" s="619">
        <f>$K$53/12</f>
        <v>41.666666666666664</v>
      </c>
      <c r="DT53" s="619"/>
      <c r="DU53" s="619"/>
      <c r="DV53" s="619"/>
      <c r="DW53" s="619"/>
      <c r="DX53" s="619"/>
      <c r="DY53" s="619"/>
      <c r="DZ53" s="619"/>
      <c r="EA53" s="518">
        <f t="shared" si="13"/>
        <v>35041.666666666657</v>
      </c>
      <c r="EC53" s="519">
        <f t="shared" si="92"/>
        <v>35041.666666666657</v>
      </c>
      <c r="ED53" s="519">
        <f t="shared" si="83"/>
        <v>117056.19516666663</v>
      </c>
      <c r="EE53" s="518">
        <f t="shared" si="93"/>
        <v>82014.528499999971</v>
      </c>
      <c r="EF53" s="518">
        <f>+EE53*'Capital Structure '!$P$30</f>
        <v>23054.283961349989</v>
      </c>
      <c r="EG53" s="518">
        <f t="shared" si="17"/>
        <v>-821527.44260199973</v>
      </c>
    </row>
    <row r="54" spans="1:137" s="585" customFormat="1" outlineLevel="1">
      <c r="A54" s="308" t="s">
        <v>48</v>
      </c>
      <c r="B54" s="308">
        <f t="shared" si="74"/>
        <v>2019</v>
      </c>
      <c r="C54" s="308" t="s">
        <v>47</v>
      </c>
      <c r="D54" s="518">
        <v>0</v>
      </c>
      <c r="E54" s="518">
        <v>0</v>
      </c>
      <c r="F54" s="518"/>
      <c r="G54" s="518"/>
      <c r="H54" s="518"/>
      <c r="I54" s="518"/>
      <c r="J54" s="518"/>
      <c r="K54" s="518">
        <f t="shared" si="4"/>
        <v>0</v>
      </c>
      <c r="L54" s="518">
        <f>SUM(K$5:K54)</f>
        <v>7023371.71</v>
      </c>
      <c r="N54" s="518">
        <f t="shared" si="10"/>
        <v>925</v>
      </c>
      <c r="O54" s="518">
        <f t="shared" si="14"/>
        <v>2660</v>
      </c>
      <c r="P54" s="518">
        <f t="shared" si="18"/>
        <v>2463.3333333333335</v>
      </c>
      <c r="Q54" s="518">
        <f t="shared" si="20"/>
        <v>5920</v>
      </c>
      <c r="R54" s="518">
        <f t="shared" si="22"/>
        <v>8403.3333333333339</v>
      </c>
      <c r="S54" s="518">
        <f t="shared" si="24"/>
        <v>8219.8333333333339</v>
      </c>
      <c r="T54" s="518">
        <f t="shared" si="26"/>
        <v>6750</v>
      </c>
      <c r="U54" s="518">
        <f t="shared" si="28"/>
        <v>6890</v>
      </c>
      <c r="V54" s="518">
        <f t="shared" si="30"/>
        <v>5805</v>
      </c>
      <c r="W54" s="518">
        <f t="shared" si="32"/>
        <v>5580.9035000000003</v>
      </c>
      <c r="X54" s="518">
        <f t="shared" si="35"/>
        <v>4092.0833333333335</v>
      </c>
      <c r="Y54" s="518">
        <f t="shared" si="37"/>
        <v>3393.3333333333335</v>
      </c>
      <c r="Z54" s="518">
        <f t="shared" si="39"/>
        <v>5251.666666666667</v>
      </c>
      <c r="AA54" s="518">
        <f t="shared" si="41"/>
        <v>3206.7083333333335</v>
      </c>
      <c r="AB54" s="518">
        <f t="shared" si="43"/>
        <v>2656.6666666666665</v>
      </c>
      <c r="AC54" s="518">
        <f t="shared" si="45"/>
        <v>2408.3333333333335</v>
      </c>
      <c r="AD54" s="518">
        <f t="shared" si="47"/>
        <v>1618.3333333333333</v>
      </c>
      <c r="AE54" s="518">
        <f t="shared" si="49"/>
        <v>2563.3333333333335</v>
      </c>
      <c r="AF54" s="518">
        <f t="shared" si="51"/>
        <v>2318.3333333333335</v>
      </c>
      <c r="AG54" s="518">
        <f t="shared" si="53"/>
        <v>2056.6666666666665</v>
      </c>
      <c r="AH54" s="518">
        <f t="shared" si="55"/>
        <v>1968.3333333333333</v>
      </c>
      <c r="AI54" s="518">
        <f t="shared" si="57"/>
        <v>2435</v>
      </c>
      <c r="AJ54" s="518">
        <f t="shared" si="60"/>
        <v>1468.3333333333333</v>
      </c>
      <c r="AK54" s="518">
        <f t="shared" si="62"/>
        <v>1326.6666666666667</v>
      </c>
      <c r="AL54" s="518">
        <f t="shared" si="64"/>
        <v>1798.3333333333333</v>
      </c>
      <c r="AM54" s="518">
        <f t="shared" si="66"/>
        <v>1486.6666666666667</v>
      </c>
      <c r="AN54" s="518">
        <f t="shared" si="68"/>
        <v>1538.3333333333333</v>
      </c>
      <c r="AO54" s="518">
        <f t="shared" si="70"/>
        <v>1136.6666666666667</v>
      </c>
      <c r="AP54" s="518">
        <f t="shared" si="72"/>
        <v>1131.6666666666667</v>
      </c>
      <c r="AQ54" s="518">
        <f t="shared" si="75"/>
        <v>1275</v>
      </c>
      <c r="AR54" s="518">
        <f t="shared" si="77"/>
        <v>1440</v>
      </c>
      <c r="AS54" s="518">
        <f t="shared" si="79"/>
        <v>1505</v>
      </c>
      <c r="AT54" s="518">
        <f t="shared" si="84"/>
        <v>2083.3333333333335</v>
      </c>
      <c r="AU54" s="518">
        <f t="shared" si="86"/>
        <v>1470</v>
      </c>
      <c r="AV54" s="518">
        <f t="shared" si="88"/>
        <v>1508.3333333333333</v>
      </c>
      <c r="AW54" s="518">
        <f t="shared" si="90"/>
        <v>1710</v>
      </c>
      <c r="AX54" s="518">
        <f t="shared" si="94"/>
        <v>1583.3333333333333</v>
      </c>
      <c r="AY54" s="518">
        <f t="shared" si="96"/>
        <v>1113.3333333333333</v>
      </c>
      <c r="AZ54" s="518">
        <f t="shared" si="98"/>
        <v>1646.6666666666667</v>
      </c>
      <c r="BA54" s="518">
        <f t="shared" si="100"/>
        <v>1136.6666666666667</v>
      </c>
      <c r="BB54" s="518">
        <f t="shared" si="102"/>
        <v>1223.3333333333333</v>
      </c>
      <c r="BC54" s="619">
        <f t="shared" si="104"/>
        <v>1598.3333333333333</v>
      </c>
      <c r="BD54" s="619">
        <f t="shared" si="106"/>
        <v>163.33333333333334</v>
      </c>
      <c r="BE54" s="619">
        <f t="shared" si="108"/>
        <v>91.666666666666671</v>
      </c>
      <c r="BF54" s="619">
        <f t="shared" si="110"/>
        <v>18.333333333333332</v>
      </c>
      <c r="BG54" s="619">
        <f t="shared" si="112"/>
        <v>8.3333333333333339</v>
      </c>
      <c r="BH54" s="619"/>
      <c r="BI54" s="619"/>
      <c r="BJ54" s="619">
        <f t="shared" ref="BJ54:BJ112" si="116">$K$53/60</f>
        <v>8.3333333333333339</v>
      </c>
      <c r="BK54" s="619">
        <f>$K$54/60</f>
        <v>0</v>
      </c>
      <c r="BL54" s="619"/>
      <c r="BM54" s="619"/>
      <c r="BN54" s="619"/>
      <c r="BO54" s="619"/>
      <c r="BP54" s="619"/>
      <c r="BQ54" s="619"/>
      <c r="BR54" s="518">
        <f t="shared" si="11"/>
        <v>117056.19516666663</v>
      </c>
      <c r="BS54" s="518">
        <f t="shared" si="15"/>
        <v>4139699.4185000006</v>
      </c>
      <c r="BT54" s="518">
        <f t="shared" si="80"/>
        <v>2883672.2914999994</v>
      </c>
      <c r="BU54" s="518">
        <f t="shared" si="81"/>
        <v>3000728.4866666659</v>
      </c>
      <c r="BW54" s="518"/>
      <c r="BX54" s="518"/>
      <c r="BY54" s="518"/>
      <c r="BZ54" s="518"/>
      <c r="CA54" s="518"/>
      <c r="CB54" s="518"/>
      <c r="CC54" s="518"/>
      <c r="CD54" s="518"/>
      <c r="CE54" s="518"/>
      <c r="CF54" s="518"/>
      <c r="CG54" s="518"/>
      <c r="CH54" s="518"/>
      <c r="CI54" s="518"/>
      <c r="CJ54" s="518"/>
      <c r="CK54" s="518"/>
      <c r="CL54" s="518"/>
      <c r="CM54" s="518"/>
      <c r="CN54" s="518"/>
      <c r="CO54" s="518"/>
      <c r="CP54" s="518"/>
      <c r="CQ54" s="518"/>
      <c r="CR54" s="518"/>
      <c r="CS54" s="518"/>
      <c r="CT54" s="518"/>
      <c r="CU54" s="518"/>
      <c r="CV54" s="518"/>
      <c r="CW54" s="518"/>
      <c r="CX54" s="518"/>
      <c r="CY54" s="518"/>
      <c r="CZ54" s="518"/>
      <c r="DA54" s="518"/>
      <c r="DB54" s="518"/>
      <c r="DC54" s="518"/>
      <c r="DD54" s="518"/>
      <c r="DE54" s="518"/>
      <c r="DF54" s="518"/>
      <c r="DG54" s="518"/>
      <c r="DH54" s="518"/>
      <c r="DI54" s="518">
        <f t="shared" si="99"/>
        <v>8233.3333333333339</v>
      </c>
      <c r="DJ54" s="518">
        <f t="shared" si="101"/>
        <v>5683.333333333333</v>
      </c>
      <c r="DK54" s="518">
        <f t="shared" si="103"/>
        <v>6116.666666666667</v>
      </c>
      <c r="DL54" s="619">
        <f t="shared" si="105"/>
        <v>7991.666666666667</v>
      </c>
      <c r="DM54" s="619">
        <f t="shared" si="107"/>
        <v>816.66666666666663</v>
      </c>
      <c r="DN54" s="619">
        <f t="shared" si="109"/>
        <v>458.33333333333331</v>
      </c>
      <c r="DO54" s="619">
        <f t="shared" si="111"/>
        <v>91.666666666666671</v>
      </c>
      <c r="DP54" s="619">
        <f t="shared" si="113"/>
        <v>41.666666666666664</v>
      </c>
      <c r="DQ54" s="619">
        <f t="shared" si="114"/>
        <v>0</v>
      </c>
      <c r="DR54" s="619">
        <f t="shared" si="115"/>
        <v>0</v>
      </c>
      <c r="DS54" s="619">
        <f t="shared" ref="DS54:DS64" si="117">$K$53/12</f>
        <v>41.666666666666664</v>
      </c>
      <c r="DT54" s="619">
        <f>$K$54/12</f>
        <v>0</v>
      </c>
      <c r="DU54" s="619"/>
      <c r="DV54" s="619"/>
      <c r="DW54" s="619"/>
      <c r="DX54" s="619"/>
      <c r="DY54" s="619"/>
      <c r="DZ54" s="619"/>
      <c r="EA54" s="518">
        <f t="shared" si="13"/>
        <v>29475.000000000007</v>
      </c>
      <c r="EC54" s="519">
        <f t="shared" si="92"/>
        <v>29475.000000000007</v>
      </c>
      <c r="ED54" s="519">
        <f t="shared" si="83"/>
        <v>117056.19516666663</v>
      </c>
      <c r="EE54" s="518">
        <f t="shared" si="93"/>
        <v>87581.195166666614</v>
      </c>
      <c r="EF54" s="518">
        <f>+EE54*'Capital Structure '!$P$30</f>
        <v>24619.073961349983</v>
      </c>
      <c r="EG54" s="518">
        <f t="shared" si="17"/>
        <v>-796908.36864064971</v>
      </c>
    </row>
    <row r="55" spans="1:137" s="585" customFormat="1" outlineLevel="1">
      <c r="A55" s="308" t="s">
        <v>50</v>
      </c>
      <c r="B55" s="308">
        <f t="shared" si="74"/>
        <v>2019</v>
      </c>
      <c r="C55" s="308" t="s">
        <v>47</v>
      </c>
      <c r="D55" s="518">
        <v>500</v>
      </c>
      <c r="E55" s="518">
        <v>100</v>
      </c>
      <c r="F55" s="518"/>
      <c r="G55" s="518"/>
      <c r="H55" s="518"/>
      <c r="I55" s="518"/>
      <c r="J55" s="518"/>
      <c r="K55" s="518">
        <f t="shared" si="4"/>
        <v>600</v>
      </c>
      <c r="L55" s="518">
        <f>SUM(K$5:K55)</f>
        <v>7023971.71</v>
      </c>
      <c r="N55" s="518">
        <f t="shared" si="10"/>
        <v>925</v>
      </c>
      <c r="O55" s="518">
        <f t="shared" si="14"/>
        <v>2660</v>
      </c>
      <c r="P55" s="518">
        <f t="shared" si="18"/>
        <v>2463.3333333333335</v>
      </c>
      <c r="Q55" s="518">
        <f t="shared" si="20"/>
        <v>5920</v>
      </c>
      <c r="R55" s="518">
        <f t="shared" si="22"/>
        <v>8403.3333333333339</v>
      </c>
      <c r="S55" s="518">
        <f t="shared" si="24"/>
        <v>8219.8333333333339</v>
      </c>
      <c r="T55" s="518">
        <f t="shared" si="26"/>
        <v>6750</v>
      </c>
      <c r="U55" s="518">
        <f t="shared" si="28"/>
        <v>6890</v>
      </c>
      <c r="V55" s="518">
        <f t="shared" si="30"/>
        <v>5805</v>
      </c>
      <c r="W55" s="518">
        <f t="shared" si="32"/>
        <v>5580.9035000000003</v>
      </c>
      <c r="X55" s="518">
        <f t="shared" si="35"/>
        <v>4092.0833333333335</v>
      </c>
      <c r="Y55" s="518">
        <f t="shared" si="37"/>
        <v>3393.3333333333335</v>
      </c>
      <c r="Z55" s="518">
        <f t="shared" si="39"/>
        <v>5251.666666666667</v>
      </c>
      <c r="AA55" s="518">
        <f t="shared" si="41"/>
        <v>3206.7083333333335</v>
      </c>
      <c r="AB55" s="518">
        <f t="shared" si="43"/>
        <v>2656.6666666666665</v>
      </c>
      <c r="AC55" s="518">
        <f t="shared" si="45"/>
        <v>2408.3333333333335</v>
      </c>
      <c r="AD55" s="518">
        <f t="shared" si="47"/>
        <v>1618.3333333333333</v>
      </c>
      <c r="AE55" s="518">
        <f t="shared" si="49"/>
        <v>2563.3333333333335</v>
      </c>
      <c r="AF55" s="518">
        <f t="shared" si="51"/>
        <v>2318.3333333333335</v>
      </c>
      <c r="AG55" s="518">
        <f t="shared" si="53"/>
        <v>2056.6666666666665</v>
      </c>
      <c r="AH55" s="518">
        <f t="shared" si="55"/>
        <v>1968.3333333333333</v>
      </c>
      <c r="AI55" s="518">
        <f t="shared" si="57"/>
        <v>2435</v>
      </c>
      <c r="AJ55" s="518">
        <f t="shared" si="60"/>
        <v>1468.3333333333333</v>
      </c>
      <c r="AK55" s="518">
        <f t="shared" si="62"/>
        <v>1326.6666666666667</v>
      </c>
      <c r="AL55" s="518">
        <f t="shared" si="64"/>
        <v>1798.3333333333333</v>
      </c>
      <c r="AM55" s="518">
        <f t="shared" si="66"/>
        <v>1486.6666666666667</v>
      </c>
      <c r="AN55" s="518">
        <f t="shared" si="68"/>
        <v>1538.3333333333333</v>
      </c>
      <c r="AO55" s="518">
        <f t="shared" si="70"/>
        <v>1136.6666666666667</v>
      </c>
      <c r="AP55" s="518">
        <f t="shared" si="72"/>
        <v>1131.6666666666667</v>
      </c>
      <c r="AQ55" s="518">
        <f t="shared" si="75"/>
        <v>1275</v>
      </c>
      <c r="AR55" s="518">
        <f t="shared" si="77"/>
        <v>1440</v>
      </c>
      <c r="AS55" s="518">
        <f t="shared" si="79"/>
        <v>1505</v>
      </c>
      <c r="AT55" s="518">
        <f t="shared" si="84"/>
        <v>2083.3333333333335</v>
      </c>
      <c r="AU55" s="518">
        <f t="shared" si="86"/>
        <v>1470</v>
      </c>
      <c r="AV55" s="518">
        <f t="shared" si="88"/>
        <v>1508.3333333333333</v>
      </c>
      <c r="AW55" s="518">
        <f t="shared" si="90"/>
        <v>1710</v>
      </c>
      <c r="AX55" s="518">
        <f t="shared" si="94"/>
        <v>1583.3333333333333</v>
      </c>
      <c r="AY55" s="518">
        <f t="shared" si="96"/>
        <v>1113.3333333333333</v>
      </c>
      <c r="AZ55" s="518">
        <f t="shared" si="98"/>
        <v>1646.6666666666667</v>
      </c>
      <c r="BA55" s="518">
        <f t="shared" si="100"/>
        <v>1136.6666666666667</v>
      </c>
      <c r="BB55" s="518">
        <f t="shared" si="102"/>
        <v>1223.3333333333333</v>
      </c>
      <c r="BC55" s="619">
        <f t="shared" si="104"/>
        <v>1598.3333333333333</v>
      </c>
      <c r="BD55" s="619">
        <f t="shared" si="106"/>
        <v>163.33333333333334</v>
      </c>
      <c r="BE55" s="619">
        <f t="shared" si="108"/>
        <v>91.666666666666671</v>
      </c>
      <c r="BF55" s="619">
        <f t="shared" si="110"/>
        <v>18.333333333333332</v>
      </c>
      <c r="BG55" s="619">
        <f t="shared" si="112"/>
        <v>8.3333333333333339</v>
      </c>
      <c r="BH55" s="619"/>
      <c r="BI55" s="619"/>
      <c r="BJ55" s="619">
        <f t="shared" si="116"/>
        <v>8.3333333333333339</v>
      </c>
      <c r="BK55" s="619">
        <f t="shared" ref="BK55:BK113" si="118">$K$54/60</f>
        <v>0</v>
      </c>
      <c r="BL55" s="619">
        <f>$K$55/60</f>
        <v>10</v>
      </c>
      <c r="BM55" s="619"/>
      <c r="BN55" s="619"/>
      <c r="BO55" s="619"/>
      <c r="BP55" s="619"/>
      <c r="BQ55" s="619"/>
      <c r="BR55" s="518">
        <f t="shared" si="11"/>
        <v>117066.19516666663</v>
      </c>
      <c r="BS55" s="518">
        <f t="shared" si="15"/>
        <v>4256765.6136666676</v>
      </c>
      <c r="BT55" s="518">
        <f t="shared" si="80"/>
        <v>2767206.0963333324</v>
      </c>
      <c r="BU55" s="518">
        <f t="shared" si="81"/>
        <v>2884272.2914999994</v>
      </c>
      <c r="BW55" s="518"/>
      <c r="BX55" s="518"/>
      <c r="BY55" s="518"/>
      <c r="BZ55" s="518"/>
      <c r="CA55" s="518"/>
      <c r="CB55" s="518"/>
      <c r="CC55" s="518"/>
      <c r="CD55" s="518"/>
      <c r="CE55" s="518"/>
      <c r="CF55" s="518"/>
      <c r="CG55" s="518"/>
      <c r="CH55" s="518"/>
      <c r="CI55" s="518"/>
      <c r="CJ55" s="518"/>
      <c r="CK55" s="518"/>
      <c r="CL55" s="518"/>
      <c r="CM55" s="518"/>
      <c r="CN55" s="518"/>
      <c r="CO55" s="518"/>
      <c r="CP55" s="518"/>
      <c r="CQ55" s="518"/>
      <c r="CR55" s="518"/>
      <c r="CS55" s="518"/>
      <c r="CT55" s="518"/>
      <c r="CU55" s="518"/>
      <c r="CV55" s="518"/>
      <c r="CW55" s="518"/>
      <c r="CX55" s="518"/>
      <c r="CY55" s="518"/>
      <c r="CZ55" s="518"/>
      <c r="DA55" s="518"/>
      <c r="DB55" s="518"/>
      <c r="DC55" s="518"/>
      <c r="DD55" s="518"/>
      <c r="DE55" s="518"/>
      <c r="DF55" s="518"/>
      <c r="DG55" s="518"/>
      <c r="DH55" s="518"/>
      <c r="DI55" s="518"/>
      <c r="DJ55" s="518">
        <f t="shared" si="101"/>
        <v>5683.333333333333</v>
      </c>
      <c r="DK55" s="518">
        <f t="shared" si="103"/>
        <v>6116.666666666667</v>
      </c>
      <c r="DL55" s="619">
        <f t="shared" si="105"/>
        <v>7991.666666666667</v>
      </c>
      <c r="DM55" s="619">
        <f t="shared" si="107"/>
        <v>816.66666666666663</v>
      </c>
      <c r="DN55" s="619">
        <f t="shared" si="109"/>
        <v>458.33333333333331</v>
      </c>
      <c r="DO55" s="619">
        <f t="shared" si="111"/>
        <v>91.666666666666671</v>
      </c>
      <c r="DP55" s="619">
        <f t="shared" si="113"/>
        <v>41.666666666666664</v>
      </c>
      <c r="DQ55" s="619">
        <f t="shared" si="114"/>
        <v>0</v>
      </c>
      <c r="DR55" s="619">
        <f t="shared" si="115"/>
        <v>0</v>
      </c>
      <c r="DS55" s="619">
        <f t="shared" si="117"/>
        <v>41.666666666666664</v>
      </c>
      <c r="DT55" s="619">
        <f t="shared" ref="DT55:DT65" si="119">$K$54/12</f>
        <v>0</v>
      </c>
      <c r="DU55" s="619">
        <f>$K$55/12</f>
        <v>50</v>
      </c>
      <c r="DV55" s="619"/>
      <c r="DW55" s="619"/>
      <c r="DX55" s="619"/>
      <c r="DY55" s="619"/>
      <c r="DZ55" s="619"/>
      <c r="EA55" s="518">
        <f t="shared" si="13"/>
        <v>21291.666666666672</v>
      </c>
      <c r="EC55" s="519">
        <f t="shared" si="92"/>
        <v>21291.666666666672</v>
      </c>
      <c r="ED55" s="519">
        <f t="shared" si="83"/>
        <v>117066.19516666663</v>
      </c>
      <c r="EE55" s="518">
        <f t="shared" si="93"/>
        <v>95774.528499999957</v>
      </c>
      <c r="EF55" s="518">
        <f>+EE55*'Capital Structure '!$P$30</f>
        <v>26922.219961349983</v>
      </c>
      <c r="EG55" s="518">
        <f t="shared" si="17"/>
        <v>-769986.14867929975</v>
      </c>
    </row>
    <row r="56" spans="1:137" s="585" customFormat="1" outlineLevel="1">
      <c r="A56" s="308" t="s">
        <v>51</v>
      </c>
      <c r="B56" s="308">
        <f t="shared" si="74"/>
        <v>2019</v>
      </c>
      <c r="C56" s="308" t="s">
        <v>47</v>
      </c>
      <c r="D56" s="518">
        <v>0</v>
      </c>
      <c r="E56" s="518">
        <v>0</v>
      </c>
      <c r="F56" s="518"/>
      <c r="G56" s="518"/>
      <c r="H56" s="518"/>
      <c r="I56" s="518"/>
      <c r="J56" s="518"/>
      <c r="K56" s="518">
        <f t="shared" si="4"/>
        <v>0</v>
      </c>
      <c r="L56" s="518">
        <f>SUM(K$5:K56)</f>
        <v>7023971.71</v>
      </c>
      <c r="N56" s="518">
        <f t="shared" si="10"/>
        <v>925</v>
      </c>
      <c r="O56" s="518">
        <f t="shared" si="14"/>
        <v>2660</v>
      </c>
      <c r="P56" s="518">
        <f t="shared" si="18"/>
        <v>2463.3333333333335</v>
      </c>
      <c r="Q56" s="518">
        <f t="shared" si="20"/>
        <v>5920</v>
      </c>
      <c r="R56" s="518">
        <f t="shared" si="22"/>
        <v>8403.3333333333339</v>
      </c>
      <c r="S56" s="518">
        <f t="shared" si="24"/>
        <v>8219.8333333333339</v>
      </c>
      <c r="T56" s="518">
        <f t="shared" si="26"/>
        <v>6750</v>
      </c>
      <c r="U56" s="518">
        <f t="shared" si="28"/>
        <v>6890</v>
      </c>
      <c r="V56" s="518">
        <f t="shared" si="30"/>
        <v>5805</v>
      </c>
      <c r="W56" s="518">
        <f t="shared" si="32"/>
        <v>5580.9035000000003</v>
      </c>
      <c r="X56" s="518">
        <f t="shared" si="35"/>
        <v>4092.0833333333335</v>
      </c>
      <c r="Y56" s="518">
        <f t="shared" si="37"/>
        <v>3393.3333333333335</v>
      </c>
      <c r="Z56" s="518">
        <f t="shared" si="39"/>
        <v>5251.666666666667</v>
      </c>
      <c r="AA56" s="518">
        <f t="shared" si="41"/>
        <v>3206.7083333333335</v>
      </c>
      <c r="AB56" s="518">
        <f t="shared" si="43"/>
        <v>2656.6666666666665</v>
      </c>
      <c r="AC56" s="518">
        <f t="shared" si="45"/>
        <v>2408.3333333333335</v>
      </c>
      <c r="AD56" s="518">
        <f t="shared" si="47"/>
        <v>1618.3333333333333</v>
      </c>
      <c r="AE56" s="518">
        <f t="shared" si="49"/>
        <v>2563.3333333333335</v>
      </c>
      <c r="AF56" s="518">
        <f t="shared" si="51"/>
        <v>2318.3333333333335</v>
      </c>
      <c r="AG56" s="518">
        <f t="shared" si="53"/>
        <v>2056.6666666666665</v>
      </c>
      <c r="AH56" s="518">
        <f t="shared" si="55"/>
        <v>1968.3333333333333</v>
      </c>
      <c r="AI56" s="518">
        <f t="shared" si="57"/>
        <v>2435</v>
      </c>
      <c r="AJ56" s="518">
        <f t="shared" si="60"/>
        <v>1468.3333333333333</v>
      </c>
      <c r="AK56" s="518">
        <f t="shared" si="62"/>
        <v>1326.6666666666667</v>
      </c>
      <c r="AL56" s="518">
        <f t="shared" si="64"/>
        <v>1798.3333333333333</v>
      </c>
      <c r="AM56" s="518">
        <f t="shared" si="66"/>
        <v>1486.6666666666667</v>
      </c>
      <c r="AN56" s="518">
        <f t="shared" si="68"/>
        <v>1538.3333333333333</v>
      </c>
      <c r="AO56" s="518">
        <f t="shared" si="70"/>
        <v>1136.6666666666667</v>
      </c>
      <c r="AP56" s="518">
        <f t="shared" si="72"/>
        <v>1131.6666666666667</v>
      </c>
      <c r="AQ56" s="518">
        <f t="shared" si="75"/>
        <v>1275</v>
      </c>
      <c r="AR56" s="518">
        <f t="shared" si="77"/>
        <v>1440</v>
      </c>
      <c r="AS56" s="518">
        <f t="shared" si="79"/>
        <v>1505</v>
      </c>
      <c r="AT56" s="518">
        <f t="shared" si="84"/>
        <v>2083.3333333333335</v>
      </c>
      <c r="AU56" s="518">
        <f t="shared" si="86"/>
        <v>1470</v>
      </c>
      <c r="AV56" s="518">
        <f t="shared" si="88"/>
        <v>1508.3333333333333</v>
      </c>
      <c r="AW56" s="518">
        <f t="shared" si="90"/>
        <v>1710</v>
      </c>
      <c r="AX56" s="518">
        <f t="shared" si="94"/>
        <v>1583.3333333333333</v>
      </c>
      <c r="AY56" s="518">
        <f t="shared" si="96"/>
        <v>1113.3333333333333</v>
      </c>
      <c r="AZ56" s="518">
        <f t="shared" si="98"/>
        <v>1646.6666666666667</v>
      </c>
      <c r="BA56" s="518">
        <f t="shared" si="100"/>
        <v>1136.6666666666667</v>
      </c>
      <c r="BB56" s="518">
        <f t="shared" si="102"/>
        <v>1223.3333333333333</v>
      </c>
      <c r="BC56" s="619">
        <f t="shared" si="104"/>
        <v>1598.3333333333333</v>
      </c>
      <c r="BD56" s="619">
        <f t="shared" si="106"/>
        <v>163.33333333333334</v>
      </c>
      <c r="BE56" s="619">
        <f t="shared" si="108"/>
        <v>91.666666666666671</v>
      </c>
      <c r="BF56" s="619">
        <f t="shared" si="110"/>
        <v>18.333333333333332</v>
      </c>
      <c r="BG56" s="619">
        <f t="shared" si="112"/>
        <v>8.3333333333333339</v>
      </c>
      <c r="BH56" s="619"/>
      <c r="BI56" s="619"/>
      <c r="BJ56" s="619">
        <f t="shared" si="116"/>
        <v>8.3333333333333339</v>
      </c>
      <c r="BK56" s="619">
        <f t="shared" si="118"/>
        <v>0</v>
      </c>
      <c r="BL56" s="619">
        <f t="shared" ref="BL56:BL114" si="120">$K$55/60</f>
        <v>10</v>
      </c>
      <c r="BM56" s="619">
        <f>$K$56/60</f>
        <v>0</v>
      </c>
      <c r="BN56" s="619"/>
      <c r="BO56" s="619"/>
      <c r="BP56" s="619"/>
      <c r="BQ56" s="619"/>
      <c r="BR56" s="518">
        <f t="shared" si="11"/>
        <v>117066.19516666663</v>
      </c>
      <c r="BS56" s="518">
        <f t="shared" si="15"/>
        <v>4373831.8088333346</v>
      </c>
      <c r="BT56" s="518">
        <f t="shared" si="80"/>
        <v>2650139.9011666654</v>
      </c>
      <c r="BU56" s="518">
        <f t="shared" si="81"/>
        <v>2767206.0963333324</v>
      </c>
      <c r="BW56" s="518"/>
      <c r="BX56" s="518"/>
      <c r="BY56" s="518"/>
      <c r="BZ56" s="518"/>
      <c r="CA56" s="518"/>
      <c r="CB56" s="518"/>
      <c r="CC56" s="518"/>
      <c r="CD56" s="518"/>
      <c r="CE56" s="518"/>
      <c r="CF56" s="518"/>
      <c r="CG56" s="518"/>
      <c r="CH56" s="518"/>
      <c r="CI56" s="518"/>
      <c r="CJ56" s="518"/>
      <c r="CK56" s="518"/>
      <c r="CL56" s="518"/>
      <c r="CM56" s="518"/>
      <c r="CN56" s="518"/>
      <c r="CO56" s="518"/>
      <c r="CP56" s="518"/>
      <c r="CQ56" s="518"/>
      <c r="CR56" s="518"/>
      <c r="CS56" s="518"/>
      <c r="CT56" s="518"/>
      <c r="CU56" s="518"/>
      <c r="CV56" s="518"/>
      <c r="CW56" s="518"/>
      <c r="CX56" s="518"/>
      <c r="CY56" s="518"/>
      <c r="CZ56" s="518"/>
      <c r="DA56" s="518"/>
      <c r="DB56" s="518"/>
      <c r="DC56" s="518"/>
      <c r="DD56" s="518"/>
      <c r="DE56" s="518"/>
      <c r="DF56" s="518"/>
      <c r="DG56" s="518"/>
      <c r="DH56" s="518"/>
      <c r="DI56" s="518"/>
      <c r="DJ56" s="518"/>
      <c r="DK56" s="518">
        <f t="shared" si="103"/>
        <v>6116.666666666667</v>
      </c>
      <c r="DL56" s="619">
        <f t="shared" si="105"/>
        <v>7991.666666666667</v>
      </c>
      <c r="DM56" s="619">
        <f t="shared" si="107"/>
        <v>816.66666666666663</v>
      </c>
      <c r="DN56" s="619">
        <f t="shared" si="109"/>
        <v>458.33333333333331</v>
      </c>
      <c r="DO56" s="619">
        <f t="shared" si="111"/>
        <v>91.666666666666671</v>
      </c>
      <c r="DP56" s="619">
        <f t="shared" si="113"/>
        <v>41.666666666666664</v>
      </c>
      <c r="DQ56" s="619">
        <f t="shared" si="114"/>
        <v>0</v>
      </c>
      <c r="DR56" s="619">
        <f t="shared" si="115"/>
        <v>0</v>
      </c>
      <c r="DS56" s="619">
        <f t="shared" si="117"/>
        <v>41.666666666666664</v>
      </c>
      <c r="DT56" s="619">
        <f t="shared" si="119"/>
        <v>0</v>
      </c>
      <c r="DU56" s="619">
        <f t="shared" ref="DU56:DU66" si="121">$K$55/12</f>
        <v>50</v>
      </c>
      <c r="DV56" s="619">
        <f>$K$56/12</f>
        <v>0</v>
      </c>
      <c r="DW56" s="619"/>
      <c r="DX56" s="619"/>
      <c r="DY56" s="619"/>
      <c r="DZ56" s="619"/>
      <c r="EA56" s="518">
        <f t="shared" si="13"/>
        <v>15608.333333333332</v>
      </c>
      <c r="EC56" s="519">
        <f t="shared" si="92"/>
        <v>15608.333333333332</v>
      </c>
      <c r="ED56" s="519">
        <f t="shared" si="83"/>
        <v>117066.19516666663</v>
      </c>
      <c r="EE56" s="518">
        <f t="shared" si="93"/>
        <v>101457.8618333333</v>
      </c>
      <c r="EF56" s="518">
        <f>+EE56*'Capital Structure '!$P$30</f>
        <v>28519.804961349986</v>
      </c>
      <c r="EG56" s="518">
        <f t="shared" si="17"/>
        <v>-741466.34371794981</v>
      </c>
    </row>
    <row r="57" spans="1:137" s="585" customFormat="1" outlineLevel="1">
      <c r="A57" s="308" t="s">
        <v>52</v>
      </c>
      <c r="B57" s="308">
        <f t="shared" si="74"/>
        <v>2019</v>
      </c>
      <c r="C57" s="308" t="s">
        <v>47</v>
      </c>
      <c r="D57" s="518">
        <v>0</v>
      </c>
      <c r="E57" s="518">
        <v>0</v>
      </c>
      <c r="F57" s="518">
        <v>0</v>
      </c>
      <c r="G57" s="518">
        <v>0</v>
      </c>
      <c r="H57" s="518">
        <v>0</v>
      </c>
      <c r="I57" s="518">
        <v>0</v>
      </c>
      <c r="J57" s="518"/>
      <c r="K57" s="518">
        <f t="shared" si="4"/>
        <v>0</v>
      </c>
      <c r="L57" s="518">
        <f>SUM(K$5:K57)</f>
        <v>7023971.71</v>
      </c>
      <c r="N57" s="518">
        <f t="shared" si="10"/>
        <v>925</v>
      </c>
      <c r="O57" s="518">
        <f t="shared" si="14"/>
        <v>2660</v>
      </c>
      <c r="P57" s="518">
        <f t="shared" si="18"/>
        <v>2463.3333333333335</v>
      </c>
      <c r="Q57" s="518">
        <f t="shared" si="20"/>
        <v>5920</v>
      </c>
      <c r="R57" s="518">
        <f t="shared" si="22"/>
        <v>8403.3333333333339</v>
      </c>
      <c r="S57" s="518">
        <f t="shared" si="24"/>
        <v>8219.8333333333339</v>
      </c>
      <c r="T57" s="518">
        <f t="shared" si="26"/>
        <v>6750</v>
      </c>
      <c r="U57" s="518">
        <f t="shared" si="28"/>
        <v>6890</v>
      </c>
      <c r="V57" s="518">
        <f t="shared" si="30"/>
        <v>5805</v>
      </c>
      <c r="W57" s="518">
        <f t="shared" si="32"/>
        <v>5580.9035000000003</v>
      </c>
      <c r="X57" s="518">
        <f t="shared" si="35"/>
        <v>4092.0833333333335</v>
      </c>
      <c r="Y57" s="518">
        <f t="shared" si="37"/>
        <v>3393.3333333333335</v>
      </c>
      <c r="Z57" s="518">
        <f t="shared" si="39"/>
        <v>5251.666666666667</v>
      </c>
      <c r="AA57" s="518">
        <f t="shared" si="41"/>
        <v>3206.7083333333335</v>
      </c>
      <c r="AB57" s="518">
        <f t="shared" si="43"/>
        <v>2656.6666666666665</v>
      </c>
      <c r="AC57" s="518">
        <f t="shared" si="45"/>
        <v>2408.3333333333335</v>
      </c>
      <c r="AD57" s="518">
        <f t="shared" si="47"/>
        <v>1618.3333333333333</v>
      </c>
      <c r="AE57" s="518">
        <f t="shared" si="49"/>
        <v>2563.3333333333335</v>
      </c>
      <c r="AF57" s="518">
        <f t="shared" si="51"/>
        <v>2318.3333333333335</v>
      </c>
      <c r="AG57" s="518">
        <f t="shared" si="53"/>
        <v>2056.6666666666665</v>
      </c>
      <c r="AH57" s="518">
        <f t="shared" si="55"/>
        <v>1968.3333333333333</v>
      </c>
      <c r="AI57" s="518">
        <f t="shared" si="57"/>
        <v>2435</v>
      </c>
      <c r="AJ57" s="518">
        <f t="shared" si="60"/>
        <v>1468.3333333333333</v>
      </c>
      <c r="AK57" s="518">
        <f t="shared" si="62"/>
        <v>1326.6666666666667</v>
      </c>
      <c r="AL57" s="518">
        <f t="shared" si="64"/>
        <v>1798.3333333333333</v>
      </c>
      <c r="AM57" s="518">
        <f t="shared" si="66"/>
        <v>1486.6666666666667</v>
      </c>
      <c r="AN57" s="518">
        <f t="shared" si="68"/>
        <v>1538.3333333333333</v>
      </c>
      <c r="AO57" s="518">
        <f t="shared" si="70"/>
        <v>1136.6666666666667</v>
      </c>
      <c r="AP57" s="518">
        <f t="shared" si="72"/>
        <v>1131.6666666666667</v>
      </c>
      <c r="AQ57" s="518">
        <f t="shared" si="75"/>
        <v>1275</v>
      </c>
      <c r="AR57" s="518">
        <f t="shared" si="77"/>
        <v>1440</v>
      </c>
      <c r="AS57" s="518">
        <f t="shared" si="79"/>
        <v>1505</v>
      </c>
      <c r="AT57" s="518">
        <f t="shared" si="84"/>
        <v>2083.3333333333335</v>
      </c>
      <c r="AU57" s="518">
        <f t="shared" si="86"/>
        <v>1470</v>
      </c>
      <c r="AV57" s="518">
        <f t="shared" si="88"/>
        <v>1508.3333333333333</v>
      </c>
      <c r="AW57" s="518">
        <f t="shared" si="90"/>
        <v>1710</v>
      </c>
      <c r="AX57" s="518">
        <f t="shared" si="94"/>
        <v>1583.3333333333333</v>
      </c>
      <c r="AY57" s="518">
        <f t="shared" si="96"/>
        <v>1113.3333333333333</v>
      </c>
      <c r="AZ57" s="518">
        <f t="shared" si="98"/>
        <v>1646.6666666666667</v>
      </c>
      <c r="BA57" s="518">
        <f t="shared" si="100"/>
        <v>1136.6666666666667</v>
      </c>
      <c r="BB57" s="518">
        <f t="shared" si="102"/>
        <v>1223.3333333333333</v>
      </c>
      <c r="BC57" s="619">
        <f t="shared" si="104"/>
        <v>1598.3333333333333</v>
      </c>
      <c r="BD57" s="619">
        <f t="shared" si="106"/>
        <v>163.33333333333334</v>
      </c>
      <c r="BE57" s="619">
        <f t="shared" si="108"/>
        <v>91.666666666666671</v>
      </c>
      <c r="BF57" s="619">
        <f t="shared" si="110"/>
        <v>18.333333333333332</v>
      </c>
      <c r="BG57" s="619">
        <f t="shared" si="112"/>
        <v>8.3333333333333339</v>
      </c>
      <c r="BH57" s="619"/>
      <c r="BI57" s="619"/>
      <c r="BJ57" s="619">
        <f t="shared" si="116"/>
        <v>8.3333333333333339</v>
      </c>
      <c r="BK57" s="619">
        <f t="shared" si="118"/>
        <v>0</v>
      </c>
      <c r="BL57" s="619">
        <f t="shared" si="120"/>
        <v>10</v>
      </c>
      <c r="BM57" s="619">
        <f t="shared" ref="BM57:BM115" si="122">$K$56/60</f>
        <v>0</v>
      </c>
      <c r="BN57" s="619">
        <f>$K$57/60</f>
        <v>0</v>
      </c>
      <c r="BO57" s="619"/>
      <c r="BP57" s="619"/>
      <c r="BQ57" s="619"/>
      <c r="BR57" s="518">
        <f t="shared" si="11"/>
        <v>117066.19516666663</v>
      </c>
      <c r="BS57" s="518">
        <f t="shared" si="15"/>
        <v>4490898.0040000016</v>
      </c>
      <c r="BT57" s="518">
        <f t="shared" si="80"/>
        <v>2533073.7059999984</v>
      </c>
      <c r="BU57" s="518">
        <f t="shared" si="81"/>
        <v>2650139.9011666654</v>
      </c>
      <c r="BW57" s="518"/>
      <c r="BX57" s="518"/>
      <c r="BY57" s="518"/>
      <c r="BZ57" s="518"/>
      <c r="CA57" s="518"/>
      <c r="CB57" s="518"/>
      <c r="CC57" s="518"/>
      <c r="CD57" s="518"/>
      <c r="CE57" s="518"/>
      <c r="CF57" s="518"/>
      <c r="CG57" s="518"/>
      <c r="CH57" s="518"/>
      <c r="CI57" s="518"/>
      <c r="CJ57" s="518"/>
      <c r="CK57" s="518"/>
      <c r="CL57" s="518"/>
      <c r="CM57" s="518"/>
      <c r="CN57" s="518"/>
      <c r="CO57" s="518"/>
      <c r="CP57" s="518"/>
      <c r="CQ57" s="518"/>
      <c r="CR57" s="518"/>
      <c r="CS57" s="518"/>
      <c r="CT57" s="518"/>
      <c r="CU57" s="518"/>
      <c r="CV57" s="518"/>
      <c r="CW57" s="518"/>
      <c r="CX57" s="518"/>
      <c r="CY57" s="518"/>
      <c r="CZ57" s="518"/>
      <c r="DA57" s="518"/>
      <c r="DB57" s="518"/>
      <c r="DC57" s="518"/>
      <c r="DD57" s="518"/>
      <c r="DE57" s="518"/>
      <c r="DF57" s="518"/>
      <c r="DG57" s="518"/>
      <c r="DH57" s="518"/>
      <c r="DI57" s="518"/>
      <c r="DJ57" s="518"/>
      <c r="DK57" s="518"/>
      <c r="DL57" s="619">
        <f t="shared" si="105"/>
        <v>7991.666666666667</v>
      </c>
      <c r="DM57" s="619">
        <f t="shared" si="107"/>
        <v>816.66666666666663</v>
      </c>
      <c r="DN57" s="619">
        <f t="shared" si="109"/>
        <v>458.33333333333331</v>
      </c>
      <c r="DO57" s="619">
        <f t="shared" si="111"/>
        <v>91.666666666666671</v>
      </c>
      <c r="DP57" s="619">
        <f t="shared" si="113"/>
        <v>41.666666666666664</v>
      </c>
      <c r="DQ57" s="619">
        <f t="shared" si="114"/>
        <v>0</v>
      </c>
      <c r="DR57" s="619">
        <f t="shared" si="115"/>
        <v>0</v>
      </c>
      <c r="DS57" s="619">
        <f t="shared" si="117"/>
        <v>41.666666666666664</v>
      </c>
      <c r="DT57" s="619">
        <f t="shared" si="119"/>
        <v>0</v>
      </c>
      <c r="DU57" s="619">
        <f t="shared" si="121"/>
        <v>50</v>
      </c>
      <c r="DV57" s="620">
        <f t="shared" ref="DV57:DV67" si="123">$K$56/12</f>
        <v>0</v>
      </c>
      <c r="DW57" s="620">
        <f>$K$57/12</f>
        <v>0</v>
      </c>
      <c r="DX57" s="619"/>
      <c r="DY57" s="619"/>
      <c r="DZ57" s="619"/>
      <c r="EA57" s="518">
        <f t="shared" si="13"/>
        <v>9491.6666666666661</v>
      </c>
      <c r="EC57" s="519">
        <f t="shared" si="92"/>
        <v>9491.6666666666661</v>
      </c>
      <c r="ED57" s="519">
        <f t="shared" si="83"/>
        <v>117066.19516666663</v>
      </c>
      <c r="EE57" s="518">
        <f t="shared" si="93"/>
        <v>107574.52849999996</v>
      </c>
      <c r="EF57" s="518">
        <f>+EE57*'Capital Structure '!$P$30</f>
        <v>30239.199961349983</v>
      </c>
      <c r="EG57" s="518">
        <f t="shared" si="17"/>
        <v>-711227.14375659986</v>
      </c>
    </row>
    <row r="58" spans="1:137" s="585" customFormat="1" outlineLevel="1">
      <c r="A58" s="308" t="s">
        <v>53</v>
      </c>
      <c r="B58" s="308">
        <f>+B57+1</f>
        <v>2020</v>
      </c>
      <c r="C58" s="308" t="s">
        <v>47</v>
      </c>
      <c r="D58" s="518"/>
      <c r="E58" s="518"/>
      <c r="F58" s="518"/>
      <c r="G58" s="518"/>
      <c r="H58" s="518"/>
      <c r="I58" s="518"/>
      <c r="J58" s="518"/>
      <c r="K58" s="518">
        <f t="shared" si="4"/>
        <v>0</v>
      </c>
      <c r="L58" s="518">
        <f>SUM(K$5:K58)</f>
        <v>7023971.71</v>
      </c>
      <c r="N58" s="518">
        <f t="shared" si="10"/>
        <v>925</v>
      </c>
      <c r="O58" s="518">
        <f t="shared" si="14"/>
        <v>2660</v>
      </c>
      <c r="P58" s="518">
        <f t="shared" si="18"/>
        <v>2463.3333333333335</v>
      </c>
      <c r="Q58" s="518">
        <f t="shared" si="20"/>
        <v>5920</v>
      </c>
      <c r="R58" s="518">
        <f t="shared" si="22"/>
        <v>8403.3333333333339</v>
      </c>
      <c r="S58" s="518">
        <f t="shared" si="24"/>
        <v>8219.8333333333339</v>
      </c>
      <c r="T58" s="518">
        <f t="shared" si="26"/>
        <v>6750</v>
      </c>
      <c r="U58" s="518">
        <f t="shared" si="28"/>
        <v>6890</v>
      </c>
      <c r="V58" s="518">
        <f t="shared" si="30"/>
        <v>5805</v>
      </c>
      <c r="W58" s="518">
        <f t="shared" si="32"/>
        <v>5580.9035000000003</v>
      </c>
      <c r="X58" s="518">
        <f t="shared" si="35"/>
        <v>4092.0833333333335</v>
      </c>
      <c r="Y58" s="518">
        <f t="shared" si="37"/>
        <v>3393.3333333333335</v>
      </c>
      <c r="Z58" s="518">
        <f t="shared" si="39"/>
        <v>5251.666666666667</v>
      </c>
      <c r="AA58" s="518">
        <f t="shared" si="41"/>
        <v>3206.7083333333335</v>
      </c>
      <c r="AB58" s="518">
        <f t="shared" si="43"/>
        <v>2656.6666666666665</v>
      </c>
      <c r="AC58" s="518">
        <f t="shared" si="45"/>
        <v>2408.3333333333335</v>
      </c>
      <c r="AD58" s="518">
        <f t="shared" si="47"/>
        <v>1618.3333333333333</v>
      </c>
      <c r="AE58" s="518">
        <f t="shared" si="49"/>
        <v>2563.3333333333335</v>
      </c>
      <c r="AF58" s="518">
        <f t="shared" si="51"/>
        <v>2318.3333333333335</v>
      </c>
      <c r="AG58" s="518">
        <f t="shared" si="53"/>
        <v>2056.6666666666665</v>
      </c>
      <c r="AH58" s="518">
        <f t="shared" si="55"/>
        <v>1968.3333333333333</v>
      </c>
      <c r="AI58" s="518">
        <f t="shared" si="57"/>
        <v>2435</v>
      </c>
      <c r="AJ58" s="518">
        <f t="shared" si="60"/>
        <v>1468.3333333333333</v>
      </c>
      <c r="AK58" s="518">
        <f t="shared" si="62"/>
        <v>1326.6666666666667</v>
      </c>
      <c r="AL58" s="518">
        <f t="shared" si="64"/>
        <v>1798.3333333333333</v>
      </c>
      <c r="AM58" s="518">
        <f t="shared" si="66"/>
        <v>1486.6666666666667</v>
      </c>
      <c r="AN58" s="518">
        <f t="shared" si="68"/>
        <v>1538.3333333333333</v>
      </c>
      <c r="AO58" s="518">
        <f t="shared" si="70"/>
        <v>1136.6666666666667</v>
      </c>
      <c r="AP58" s="518">
        <f t="shared" si="72"/>
        <v>1131.6666666666667</v>
      </c>
      <c r="AQ58" s="518">
        <f t="shared" si="75"/>
        <v>1275</v>
      </c>
      <c r="AR58" s="518">
        <f t="shared" si="77"/>
        <v>1440</v>
      </c>
      <c r="AS58" s="518">
        <f t="shared" si="79"/>
        <v>1505</v>
      </c>
      <c r="AT58" s="518">
        <f t="shared" si="84"/>
        <v>2083.3333333333335</v>
      </c>
      <c r="AU58" s="518">
        <f t="shared" si="86"/>
        <v>1470</v>
      </c>
      <c r="AV58" s="518">
        <f t="shared" si="88"/>
        <v>1508.3333333333333</v>
      </c>
      <c r="AW58" s="518">
        <f t="shared" si="90"/>
        <v>1710</v>
      </c>
      <c r="AX58" s="518">
        <f t="shared" si="94"/>
        <v>1583.3333333333333</v>
      </c>
      <c r="AY58" s="518">
        <f t="shared" si="96"/>
        <v>1113.3333333333333</v>
      </c>
      <c r="AZ58" s="518">
        <f t="shared" si="98"/>
        <v>1646.6666666666667</v>
      </c>
      <c r="BA58" s="518">
        <f t="shared" si="100"/>
        <v>1136.6666666666667</v>
      </c>
      <c r="BB58" s="518">
        <f t="shared" si="102"/>
        <v>1223.3333333333333</v>
      </c>
      <c r="BC58" s="619">
        <f t="shared" si="104"/>
        <v>1598.3333333333333</v>
      </c>
      <c r="BD58" s="619">
        <f t="shared" si="106"/>
        <v>163.33333333333334</v>
      </c>
      <c r="BE58" s="619">
        <f t="shared" si="108"/>
        <v>91.666666666666671</v>
      </c>
      <c r="BF58" s="619">
        <f t="shared" si="110"/>
        <v>18.333333333333332</v>
      </c>
      <c r="BG58" s="619">
        <f t="shared" si="112"/>
        <v>8.3333333333333339</v>
      </c>
      <c r="BH58" s="619"/>
      <c r="BI58" s="619"/>
      <c r="BJ58" s="619">
        <f t="shared" si="116"/>
        <v>8.3333333333333339</v>
      </c>
      <c r="BK58" s="619">
        <f t="shared" si="118"/>
        <v>0</v>
      </c>
      <c r="BL58" s="619">
        <f t="shared" si="120"/>
        <v>10</v>
      </c>
      <c r="BM58" s="619">
        <f t="shared" si="122"/>
        <v>0</v>
      </c>
      <c r="BN58" s="619">
        <f t="shared" ref="BN58:BN116" si="124">$K$57/60</f>
        <v>0</v>
      </c>
      <c r="BO58" s="619">
        <f>$K$58/60</f>
        <v>0</v>
      </c>
      <c r="BP58" s="619"/>
      <c r="BQ58" s="619"/>
      <c r="BR58" s="518">
        <f t="shared" si="11"/>
        <v>117066.19516666663</v>
      </c>
      <c r="BS58" s="518">
        <f t="shared" si="15"/>
        <v>4607964.1991666686</v>
      </c>
      <c r="BT58" s="518">
        <f t="shared" si="80"/>
        <v>2416007.5108333314</v>
      </c>
      <c r="BU58" s="518">
        <f t="shared" si="81"/>
        <v>2533073.7059999984</v>
      </c>
      <c r="BW58" s="518"/>
      <c r="BX58" s="518"/>
      <c r="BY58" s="518"/>
      <c r="BZ58" s="518"/>
      <c r="CA58" s="518"/>
      <c r="CB58" s="518"/>
      <c r="CC58" s="518"/>
      <c r="CD58" s="518"/>
      <c r="CE58" s="518"/>
      <c r="CF58" s="518"/>
      <c r="CG58" s="518"/>
      <c r="CH58" s="518"/>
      <c r="CI58" s="518"/>
      <c r="CJ58" s="518"/>
      <c r="CK58" s="518"/>
      <c r="CL58" s="518"/>
      <c r="CM58" s="518"/>
      <c r="CN58" s="518"/>
      <c r="CO58" s="518"/>
      <c r="CP58" s="518"/>
      <c r="CQ58" s="518"/>
      <c r="CR58" s="518"/>
      <c r="CS58" s="518"/>
      <c r="CT58" s="518"/>
      <c r="CU58" s="518"/>
      <c r="CV58" s="518"/>
      <c r="CW58" s="518"/>
      <c r="CX58" s="518"/>
      <c r="CY58" s="518"/>
      <c r="CZ58" s="518"/>
      <c r="DA58" s="518"/>
      <c r="DB58" s="518"/>
      <c r="DC58" s="518"/>
      <c r="DD58" s="518"/>
      <c r="DE58" s="518"/>
      <c r="DF58" s="518"/>
      <c r="DG58" s="518"/>
      <c r="DH58" s="518"/>
      <c r="DI58" s="518"/>
      <c r="DJ58" s="518"/>
      <c r="DK58" s="518"/>
      <c r="DL58" s="518"/>
      <c r="DM58" s="619">
        <f t="shared" si="107"/>
        <v>816.66666666666663</v>
      </c>
      <c r="DN58" s="619">
        <f t="shared" si="109"/>
        <v>458.33333333333331</v>
      </c>
      <c r="DO58" s="619">
        <f t="shared" si="111"/>
        <v>91.666666666666671</v>
      </c>
      <c r="DP58" s="619">
        <f t="shared" si="113"/>
        <v>41.666666666666664</v>
      </c>
      <c r="DQ58" s="619">
        <f t="shared" si="114"/>
        <v>0</v>
      </c>
      <c r="DR58" s="619">
        <f t="shared" si="115"/>
        <v>0</v>
      </c>
      <c r="DS58" s="619">
        <f t="shared" si="117"/>
        <v>41.666666666666664</v>
      </c>
      <c r="DT58" s="619">
        <f t="shared" si="119"/>
        <v>0</v>
      </c>
      <c r="DU58" s="619">
        <f t="shared" si="121"/>
        <v>50</v>
      </c>
      <c r="DV58" s="620">
        <f t="shared" si="123"/>
        <v>0</v>
      </c>
      <c r="DW58" s="620">
        <f t="shared" ref="DW58:DW68" si="125">$K$57/12</f>
        <v>0</v>
      </c>
      <c r="DX58" s="620">
        <f>$K$58/12</f>
        <v>0</v>
      </c>
      <c r="DY58" s="619"/>
      <c r="DZ58" s="619"/>
      <c r="EA58" s="518">
        <f t="shared" si="13"/>
        <v>1500.0000000000002</v>
      </c>
      <c r="EC58" s="519">
        <f t="shared" si="92"/>
        <v>1500.0000000000002</v>
      </c>
      <c r="ED58" s="519">
        <f t="shared" si="83"/>
        <v>117066.19516666663</v>
      </c>
      <c r="EE58" s="518">
        <f t="shared" si="93"/>
        <v>115566.19516666663</v>
      </c>
      <c r="EF58" s="518">
        <f>+EE58*'Capital Structure '!$P$30</f>
        <v>32485.657461349983</v>
      </c>
      <c r="EG58" s="518">
        <f t="shared" si="17"/>
        <v>-678741.4862952499</v>
      </c>
    </row>
    <row r="59" spans="1:137" s="585" customFormat="1" outlineLevel="1">
      <c r="A59" s="308" t="s">
        <v>54</v>
      </c>
      <c r="B59" s="308">
        <f t="shared" si="74"/>
        <v>2020</v>
      </c>
      <c r="C59" s="308" t="s">
        <v>47</v>
      </c>
      <c r="D59" s="518">
        <v>0</v>
      </c>
      <c r="E59" s="518">
        <v>0</v>
      </c>
      <c r="F59" s="518">
        <v>0</v>
      </c>
      <c r="G59" s="518">
        <v>0</v>
      </c>
      <c r="H59" s="518">
        <v>0</v>
      </c>
      <c r="I59" s="518">
        <v>0</v>
      </c>
      <c r="J59" s="518"/>
      <c r="K59" s="518">
        <f>SUM(D59:J59)</f>
        <v>0</v>
      </c>
      <c r="L59" s="518">
        <f>SUM(K$5:K59)</f>
        <v>7023971.71</v>
      </c>
      <c r="N59" s="518">
        <f t="shared" si="10"/>
        <v>925</v>
      </c>
      <c r="O59" s="518">
        <f t="shared" si="14"/>
        <v>2660</v>
      </c>
      <c r="P59" s="518">
        <f t="shared" si="18"/>
        <v>2463.3333333333335</v>
      </c>
      <c r="Q59" s="518">
        <f t="shared" si="20"/>
        <v>5920</v>
      </c>
      <c r="R59" s="518">
        <f t="shared" si="22"/>
        <v>8403.3333333333339</v>
      </c>
      <c r="S59" s="518">
        <f t="shared" si="24"/>
        <v>8219.8333333333339</v>
      </c>
      <c r="T59" s="518">
        <f t="shared" si="26"/>
        <v>6750</v>
      </c>
      <c r="U59" s="518">
        <f t="shared" si="28"/>
        <v>6890</v>
      </c>
      <c r="V59" s="518">
        <f t="shared" si="30"/>
        <v>5805</v>
      </c>
      <c r="W59" s="518">
        <f t="shared" si="32"/>
        <v>5580.9035000000003</v>
      </c>
      <c r="X59" s="518">
        <f t="shared" si="35"/>
        <v>4092.0833333333335</v>
      </c>
      <c r="Y59" s="518">
        <f t="shared" si="37"/>
        <v>3393.3333333333335</v>
      </c>
      <c r="Z59" s="518">
        <f t="shared" si="39"/>
        <v>5251.666666666667</v>
      </c>
      <c r="AA59" s="518">
        <f t="shared" si="41"/>
        <v>3206.7083333333335</v>
      </c>
      <c r="AB59" s="518">
        <f t="shared" si="43"/>
        <v>2656.6666666666665</v>
      </c>
      <c r="AC59" s="518">
        <f t="shared" si="45"/>
        <v>2408.3333333333335</v>
      </c>
      <c r="AD59" s="518">
        <f t="shared" si="47"/>
        <v>1618.3333333333333</v>
      </c>
      <c r="AE59" s="518">
        <f t="shared" si="49"/>
        <v>2563.3333333333335</v>
      </c>
      <c r="AF59" s="518">
        <f t="shared" si="51"/>
        <v>2318.3333333333335</v>
      </c>
      <c r="AG59" s="518">
        <f t="shared" si="53"/>
        <v>2056.6666666666665</v>
      </c>
      <c r="AH59" s="518">
        <f t="shared" si="55"/>
        <v>1968.3333333333333</v>
      </c>
      <c r="AI59" s="518">
        <f t="shared" si="57"/>
        <v>2435</v>
      </c>
      <c r="AJ59" s="518">
        <f t="shared" si="60"/>
        <v>1468.3333333333333</v>
      </c>
      <c r="AK59" s="518">
        <f t="shared" si="62"/>
        <v>1326.6666666666667</v>
      </c>
      <c r="AL59" s="518">
        <f t="shared" si="64"/>
        <v>1798.3333333333333</v>
      </c>
      <c r="AM59" s="518">
        <f t="shared" si="66"/>
        <v>1486.6666666666667</v>
      </c>
      <c r="AN59" s="518">
        <f t="shared" si="68"/>
        <v>1538.3333333333333</v>
      </c>
      <c r="AO59" s="518">
        <f t="shared" si="70"/>
        <v>1136.6666666666667</v>
      </c>
      <c r="AP59" s="518">
        <f t="shared" si="72"/>
        <v>1131.6666666666667</v>
      </c>
      <c r="AQ59" s="518">
        <f t="shared" si="75"/>
        <v>1275</v>
      </c>
      <c r="AR59" s="518">
        <f t="shared" si="77"/>
        <v>1440</v>
      </c>
      <c r="AS59" s="518">
        <f t="shared" si="79"/>
        <v>1505</v>
      </c>
      <c r="AT59" s="518">
        <f t="shared" si="84"/>
        <v>2083.3333333333335</v>
      </c>
      <c r="AU59" s="518">
        <f t="shared" si="86"/>
        <v>1470</v>
      </c>
      <c r="AV59" s="518">
        <f t="shared" si="88"/>
        <v>1508.3333333333333</v>
      </c>
      <c r="AW59" s="518">
        <f t="shared" si="90"/>
        <v>1710</v>
      </c>
      <c r="AX59" s="518">
        <f t="shared" si="94"/>
        <v>1583.3333333333333</v>
      </c>
      <c r="AY59" s="518">
        <f t="shared" si="96"/>
        <v>1113.3333333333333</v>
      </c>
      <c r="AZ59" s="518">
        <f t="shared" si="98"/>
        <v>1646.6666666666667</v>
      </c>
      <c r="BA59" s="518">
        <f t="shared" si="100"/>
        <v>1136.6666666666667</v>
      </c>
      <c r="BB59" s="518">
        <f t="shared" si="102"/>
        <v>1223.3333333333333</v>
      </c>
      <c r="BC59" s="619">
        <f t="shared" si="104"/>
        <v>1598.3333333333333</v>
      </c>
      <c r="BD59" s="619">
        <f t="shared" si="106"/>
        <v>163.33333333333334</v>
      </c>
      <c r="BE59" s="619">
        <f t="shared" si="108"/>
        <v>91.666666666666671</v>
      </c>
      <c r="BF59" s="619">
        <f t="shared" si="110"/>
        <v>18.333333333333332</v>
      </c>
      <c r="BG59" s="619">
        <f t="shared" si="112"/>
        <v>8.3333333333333339</v>
      </c>
      <c r="BH59" s="619"/>
      <c r="BI59" s="619"/>
      <c r="BJ59" s="619">
        <f t="shared" si="116"/>
        <v>8.3333333333333339</v>
      </c>
      <c r="BK59" s="619">
        <f t="shared" si="118"/>
        <v>0</v>
      </c>
      <c r="BL59" s="619">
        <f t="shared" si="120"/>
        <v>10</v>
      </c>
      <c r="BM59" s="619">
        <f t="shared" si="122"/>
        <v>0</v>
      </c>
      <c r="BN59" s="619">
        <f t="shared" si="124"/>
        <v>0</v>
      </c>
      <c r="BO59" s="619">
        <f t="shared" ref="BO59:BO117" si="126">$K$58/60</f>
        <v>0</v>
      </c>
      <c r="BP59" s="619">
        <f>$K$59/60</f>
        <v>0</v>
      </c>
      <c r="BQ59" s="619"/>
      <c r="BR59" s="518">
        <f t="shared" si="11"/>
        <v>117066.19516666663</v>
      </c>
      <c r="BS59" s="518">
        <f t="shared" si="15"/>
        <v>4725030.3943333356</v>
      </c>
      <c r="BT59" s="518">
        <f t="shared" si="80"/>
        <v>2298941.3156666644</v>
      </c>
      <c r="BU59" s="518">
        <f t="shared" si="81"/>
        <v>2416007.5108333314</v>
      </c>
      <c r="BW59" s="518"/>
      <c r="BX59" s="518"/>
      <c r="BY59" s="518"/>
      <c r="BZ59" s="518"/>
      <c r="CA59" s="518"/>
      <c r="CB59" s="518"/>
      <c r="CC59" s="518"/>
      <c r="CD59" s="518"/>
      <c r="CE59" s="518"/>
      <c r="CF59" s="518"/>
      <c r="CG59" s="518"/>
      <c r="CH59" s="518"/>
      <c r="CI59" s="518"/>
      <c r="CJ59" s="518"/>
      <c r="CK59" s="518"/>
      <c r="CL59" s="518"/>
      <c r="CM59" s="518"/>
      <c r="CN59" s="518"/>
      <c r="CO59" s="518"/>
      <c r="CP59" s="518"/>
      <c r="CQ59" s="518"/>
      <c r="CR59" s="518"/>
      <c r="CS59" s="518"/>
      <c r="CT59" s="518"/>
      <c r="CU59" s="518"/>
      <c r="CV59" s="518"/>
      <c r="CW59" s="518"/>
      <c r="CX59" s="518"/>
      <c r="CY59" s="518"/>
      <c r="CZ59" s="518"/>
      <c r="DA59" s="518"/>
      <c r="DB59" s="518"/>
      <c r="DC59" s="518"/>
      <c r="DD59" s="518"/>
      <c r="DE59" s="518"/>
      <c r="DF59" s="518"/>
      <c r="DG59" s="518"/>
      <c r="DH59" s="518"/>
      <c r="DI59" s="518"/>
      <c r="DJ59" s="518"/>
      <c r="DK59" s="518"/>
      <c r="DL59" s="518"/>
      <c r="DM59" s="518"/>
      <c r="DN59" s="619">
        <f t="shared" si="109"/>
        <v>458.33333333333331</v>
      </c>
      <c r="DO59" s="619">
        <f t="shared" si="111"/>
        <v>91.666666666666671</v>
      </c>
      <c r="DP59" s="619">
        <f t="shared" si="113"/>
        <v>41.666666666666664</v>
      </c>
      <c r="DQ59" s="619">
        <f t="shared" si="114"/>
        <v>0</v>
      </c>
      <c r="DR59" s="619">
        <f t="shared" si="115"/>
        <v>0</v>
      </c>
      <c r="DS59" s="619">
        <f t="shared" si="117"/>
        <v>41.666666666666664</v>
      </c>
      <c r="DT59" s="619">
        <f t="shared" si="119"/>
        <v>0</v>
      </c>
      <c r="DU59" s="619">
        <f t="shared" si="121"/>
        <v>50</v>
      </c>
      <c r="DV59" s="620">
        <f t="shared" si="123"/>
        <v>0</v>
      </c>
      <c r="DW59" s="620">
        <f t="shared" si="125"/>
        <v>0</v>
      </c>
      <c r="DX59" s="620">
        <f t="shared" ref="DX59:DX69" si="127">$K$58/12</f>
        <v>0</v>
      </c>
      <c r="DY59" s="620">
        <f>$K$59/12</f>
        <v>0</v>
      </c>
      <c r="DZ59" s="619"/>
      <c r="EA59" s="518">
        <f t="shared" si="13"/>
        <v>683.33333333333326</v>
      </c>
      <c r="EC59" s="519">
        <f t="shared" si="92"/>
        <v>683.33333333333326</v>
      </c>
      <c r="ED59" s="519">
        <f t="shared" si="83"/>
        <v>117066.19516666663</v>
      </c>
      <c r="EE59" s="518">
        <f t="shared" si="93"/>
        <v>116382.8618333333</v>
      </c>
      <c r="EF59" s="518">
        <f>+EE59*'Capital Structure '!$P$30</f>
        <v>32715.222461349986</v>
      </c>
      <c r="EG59" s="518">
        <f t="shared" si="17"/>
        <v>-646026.26383389987</v>
      </c>
    </row>
    <row r="60" spans="1:137" s="585" customFormat="1" outlineLevel="1">
      <c r="A60" s="308" t="s">
        <v>55</v>
      </c>
      <c r="B60" s="308">
        <f t="shared" si="74"/>
        <v>2020</v>
      </c>
      <c r="C60" s="308" t="s">
        <v>47</v>
      </c>
      <c r="D60" s="518">
        <v>500</v>
      </c>
      <c r="E60" s="518"/>
      <c r="F60" s="518"/>
      <c r="G60" s="518"/>
      <c r="H60" s="518"/>
      <c r="I60" s="518"/>
      <c r="J60" s="518"/>
      <c r="K60" s="518">
        <f t="shared" si="4"/>
        <v>500</v>
      </c>
      <c r="L60" s="518">
        <f>SUM(K$5:K60)</f>
        <v>7024471.71</v>
      </c>
      <c r="N60" s="518">
        <f t="shared" si="10"/>
        <v>925</v>
      </c>
      <c r="O60" s="518">
        <f t="shared" si="14"/>
        <v>2660</v>
      </c>
      <c r="P60" s="518">
        <f t="shared" si="18"/>
        <v>2463.3333333333335</v>
      </c>
      <c r="Q60" s="518">
        <f t="shared" si="20"/>
        <v>5920</v>
      </c>
      <c r="R60" s="518">
        <f t="shared" si="22"/>
        <v>8403.3333333333339</v>
      </c>
      <c r="S60" s="518">
        <f t="shared" si="24"/>
        <v>8219.8333333333339</v>
      </c>
      <c r="T60" s="518">
        <f t="shared" si="26"/>
        <v>6750</v>
      </c>
      <c r="U60" s="518">
        <f t="shared" si="28"/>
        <v>6890</v>
      </c>
      <c r="V60" s="518">
        <f t="shared" si="30"/>
        <v>5805</v>
      </c>
      <c r="W60" s="518">
        <f t="shared" si="32"/>
        <v>5580.9035000000003</v>
      </c>
      <c r="X60" s="518">
        <f t="shared" si="35"/>
        <v>4092.0833333333335</v>
      </c>
      <c r="Y60" s="518">
        <f t="shared" si="37"/>
        <v>3393.3333333333335</v>
      </c>
      <c r="Z60" s="518">
        <f t="shared" si="39"/>
        <v>5251.666666666667</v>
      </c>
      <c r="AA60" s="518">
        <f t="shared" si="41"/>
        <v>3206.7083333333335</v>
      </c>
      <c r="AB60" s="518">
        <f t="shared" si="43"/>
        <v>2656.6666666666665</v>
      </c>
      <c r="AC60" s="518">
        <f t="shared" si="45"/>
        <v>2408.3333333333335</v>
      </c>
      <c r="AD60" s="518">
        <f t="shared" si="47"/>
        <v>1618.3333333333333</v>
      </c>
      <c r="AE60" s="518">
        <f t="shared" si="49"/>
        <v>2563.3333333333335</v>
      </c>
      <c r="AF60" s="518">
        <f t="shared" si="51"/>
        <v>2318.3333333333335</v>
      </c>
      <c r="AG60" s="518">
        <f t="shared" si="53"/>
        <v>2056.6666666666665</v>
      </c>
      <c r="AH60" s="518">
        <f t="shared" si="55"/>
        <v>1968.3333333333333</v>
      </c>
      <c r="AI60" s="518">
        <f t="shared" si="57"/>
        <v>2435</v>
      </c>
      <c r="AJ60" s="518">
        <f t="shared" si="60"/>
        <v>1468.3333333333333</v>
      </c>
      <c r="AK60" s="518">
        <f t="shared" si="62"/>
        <v>1326.6666666666667</v>
      </c>
      <c r="AL60" s="518">
        <f t="shared" si="64"/>
        <v>1798.3333333333333</v>
      </c>
      <c r="AM60" s="518">
        <f t="shared" si="66"/>
        <v>1486.6666666666667</v>
      </c>
      <c r="AN60" s="518">
        <f t="shared" si="68"/>
        <v>1538.3333333333333</v>
      </c>
      <c r="AO60" s="518">
        <f t="shared" si="70"/>
        <v>1136.6666666666667</v>
      </c>
      <c r="AP60" s="518">
        <f t="shared" si="72"/>
        <v>1131.6666666666667</v>
      </c>
      <c r="AQ60" s="518">
        <f t="shared" si="75"/>
        <v>1275</v>
      </c>
      <c r="AR60" s="518">
        <f t="shared" si="77"/>
        <v>1440</v>
      </c>
      <c r="AS60" s="518">
        <f t="shared" si="79"/>
        <v>1505</v>
      </c>
      <c r="AT60" s="518">
        <f t="shared" si="84"/>
        <v>2083.3333333333335</v>
      </c>
      <c r="AU60" s="518">
        <f t="shared" si="86"/>
        <v>1470</v>
      </c>
      <c r="AV60" s="518">
        <f t="shared" si="88"/>
        <v>1508.3333333333333</v>
      </c>
      <c r="AW60" s="518">
        <f t="shared" si="90"/>
        <v>1710</v>
      </c>
      <c r="AX60" s="518">
        <f t="shared" si="94"/>
        <v>1583.3333333333333</v>
      </c>
      <c r="AY60" s="518">
        <f t="shared" si="96"/>
        <v>1113.3333333333333</v>
      </c>
      <c r="AZ60" s="518">
        <f t="shared" si="98"/>
        <v>1646.6666666666667</v>
      </c>
      <c r="BA60" s="518">
        <f t="shared" si="100"/>
        <v>1136.6666666666667</v>
      </c>
      <c r="BB60" s="518">
        <f t="shared" si="102"/>
        <v>1223.3333333333333</v>
      </c>
      <c r="BC60" s="619">
        <f t="shared" si="104"/>
        <v>1598.3333333333333</v>
      </c>
      <c r="BD60" s="619">
        <f t="shared" si="106"/>
        <v>163.33333333333334</v>
      </c>
      <c r="BE60" s="619">
        <f t="shared" si="108"/>
        <v>91.666666666666671</v>
      </c>
      <c r="BF60" s="619">
        <f t="shared" si="110"/>
        <v>18.333333333333332</v>
      </c>
      <c r="BG60" s="619">
        <f t="shared" si="112"/>
        <v>8.3333333333333339</v>
      </c>
      <c r="BH60" s="619"/>
      <c r="BI60" s="619"/>
      <c r="BJ60" s="619">
        <f t="shared" si="116"/>
        <v>8.3333333333333339</v>
      </c>
      <c r="BK60" s="619">
        <f t="shared" si="118"/>
        <v>0</v>
      </c>
      <c r="BL60" s="619">
        <f t="shared" si="120"/>
        <v>10</v>
      </c>
      <c r="BM60" s="619">
        <f t="shared" si="122"/>
        <v>0</v>
      </c>
      <c r="BN60" s="619">
        <f t="shared" si="124"/>
        <v>0</v>
      </c>
      <c r="BO60" s="619">
        <f t="shared" si="126"/>
        <v>0</v>
      </c>
      <c r="BP60" s="619">
        <f t="shared" ref="BP60:BP118" si="128">$K$59/60</f>
        <v>0</v>
      </c>
      <c r="BQ60" s="619">
        <f>$K$60/60</f>
        <v>8.3333333333333339</v>
      </c>
      <c r="BR60" s="518">
        <f t="shared" si="11"/>
        <v>117074.52849999996</v>
      </c>
      <c r="BS60" s="518">
        <f t="shared" si="15"/>
        <v>4842104.9228333356</v>
      </c>
      <c r="BT60" s="518">
        <f t="shared" si="80"/>
        <v>2182366.7871666644</v>
      </c>
      <c r="BU60" s="518">
        <f t="shared" si="81"/>
        <v>2299441.3156666644</v>
      </c>
      <c r="BW60" s="518"/>
      <c r="BX60" s="518"/>
      <c r="BY60" s="518"/>
      <c r="BZ60" s="518"/>
      <c r="CA60" s="518"/>
      <c r="CB60" s="518"/>
      <c r="CC60" s="518"/>
      <c r="CD60" s="518"/>
      <c r="CE60" s="518"/>
      <c r="CF60" s="518"/>
      <c r="CG60" s="518"/>
      <c r="CH60" s="518"/>
      <c r="CI60" s="518"/>
      <c r="CJ60" s="518"/>
      <c r="CK60" s="518"/>
      <c r="CL60" s="518"/>
      <c r="CM60" s="518"/>
      <c r="CN60" s="518"/>
      <c r="CO60" s="518"/>
      <c r="CP60" s="518"/>
      <c r="CQ60" s="518"/>
      <c r="CR60" s="518"/>
      <c r="CS60" s="518"/>
      <c r="CT60" s="518"/>
      <c r="CU60" s="518"/>
      <c r="CV60" s="518"/>
      <c r="CW60" s="518"/>
      <c r="CX60" s="518"/>
      <c r="CY60" s="518"/>
      <c r="CZ60" s="518"/>
      <c r="DA60" s="518"/>
      <c r="DB60" s="518"/>
      <c r="DC60" s="518"/>
      <c r="DD60" s="518"/>
      <c r="DE60" s="518"/>
      <c r="DF60" s="518"/>
      <c r="DG60" s="518"/>
      <c r="DH60" s="518"/>
      <c r="DI60" s="518"/>
      <c r="DJ60" s="518"/>
      <c r="DK60" s="518"/>
      <c r="DL60" s="518"/>
      <c r="DM60" s="518"/>
      <c r="DN60" s="518"/>
      <c r="DO60" s="619">
        <f t="shared" si="111"/>
        <v>91.666666666666671</v>
      </c>
      <c r="DP60" s="619">
        <f t="shared" si="113"/>
        <v>41.666666666666664</v>
      </c>
      <c r="DQ60" s="619">
        <f t="shared" si="114"/>
        <v>0</v>
      </c>
      <c r="DR60" s="619">
        <f t="shared" si="115"/>
        <v>0</v>
      </c>
      <c r="DS60" s="619">
        <f t="shared" si="117"/>
        <v>41.666666666666664</v>
      </c>
      <c r="DT60" s="619">
        <f t="shared" si="119"/>
        <v>0</v>
      </c>
      <c r="DU60" s="619">
        <f t="shared" si="121"/>
        <v>50</v>
      </c>
      <c r="DV60" s="620">
        <f t="shared" si="123"/>
        <v>0</v>
      </c>
      <c r="DW60" s="620">
        <f t="shared" si="125"/>
        <v>0</v>
      </c>
      <c r="DX60" s="620">
        <f t="shared" si="127"/>
        <v>0</v>
      </c>
      <c r="DY60" s="620">
        <f t="shared" ref="DY60:DY70" si="129">$K$59/12</f>
        <v>0</v>
      </c>
      <c r="DZ60" s="620">
        <f>$K$60/12</f>
        <v>41.666666666666664</v>
      </c>
      <c r="EA60" s="518">
        <f t="shared" si="13"/>
        <v>266.66666666666669</v>
      </c>
      <c r="EC60" s="519">
        <f t="shared" si="92"/>
        <v>266.66666666666669</v>
      </c>
      <c r="ED60" s="519">
        <f t="shared" si="83"/>
        <v>117074.52849999996</v>
      </c>
      <c r="EE60" s="518">
        <f t="shared" si="93"/>
        <v>116807.86183333329</v>
      </c>
      <c r="EF60" s="518">
        <f>+EE60*'Capital Structure '!$P$30</f>
        <v>32834.689961349985</v>
      </c>
      <c r="EG60" s="518">
        <f t="shared" si="17"/>
        <v>-613191.57387254992</v>
      </c>
    </row>
    <row r="61" spans="1:137" s="585" customFormat="1" outlineLevel="1">
      <c r="A61" s="308" t="s">
        <v>56</v>
      </c>
      <c r="B61" s="308">
        <f t="shared" si="74"/>
        <v>2020</v>
      </c>
      <c r="C61" s="308" t="s">
        <v>47</v>
      </c>
      <c r="D61" s="518">
        <v>0</v>
      </c>
      <c r="E61" s="518">
        <v>0</v>
      </c>
      <c r="F61" s="518">
        <v>0</v>
      </c>
      <c r="G61" s="518">
        <v>0</v>
      </c>
      <c r="H61" s="518">
        <v>0</v>
      </c>
      <c r="I61" s="518">
        <v>0</v>
      </c>
      <c r="J61" s="518"/>
      <c r="K61" s="518">
        <f t="shared" si="4"/>
        <v>0</v>
      </c>
      <c r="L61" s="518">
        <f>SUM(K$5:K61)</f>
        <v>7024471.71</v>
      </c>
      <c r="N61" s="518">
        <f t="shared" si="10"/>
        <v>925</v>
      </c>
      <c r="O61" s="518">
        <f t="shared" si="14"/>
        <v>2660</v>
      </c>
      <c r="P61" s="518">
        <f t="shared" si="18"/>
        <v>2463.3333333333335</v>
      </c>
      <c r="Q61" s="518">
        <f t="shared" si="20"/>
        <v>5920</v>
      </c>
      <c r="R61" s="518">
        <f t="shared" si="22"/>
        <v>8403.3333333333339</v>
      </c>
      <c r="S61" s="518">
        <f t="shared" si="24"/>
        <v>8219.8333333333339</v>
      </c>
      <c r="T61" s="518">
        <f t="shared" si="26"/>
        <v>6750</v>
      </c>
      <c r="U61" s="518">
        <f t="shared" si="28"/>
        <v>6890</v>
      </c>
      <c r="V61" s="518">
        <f t="shared" si="30"/>
        <v>5805</v>
      </c>
      <c r="W61" s="518">
        <f t="shared" si="32"/>
        <v>5580.9035000000003</v>
      </c>
      <c r="X61" s="518">
        <f t="shared" si="35"/>
        <v>4092.0833333333335</v>
      </c>
      <c r="Y61" s="518">
        <f t="shared" si="37"/>
        <v>3393.3333333333335</v>
      </c>
      <c r="Z61" s="518">
        <f t="shared" si="39"/>
        <v>5251.666666666667</v>
      </c>
      <c r="AA61" s="518">
        <f t="shared" si="41"/>
        <v>3206.7083333333335</v>
      </c>
      <c r="AB61" s="518">
        <f t="shared" si="43"/>
        <v>2656.6666666666665</v>
      </c>
      <c r="AC61" s="518">
        <f t="shared" si="45"/>
        <v>2408.3333333333335</v>
      </c>
      <c r="AD61" s="518">
        <f t="shared" si="47"/>
        <v>1618.3333333333333</v>
      </c>
      <c r="AE61" s="518">
        <f t="shared" si="49"/>
        <v>2563.3333333333335</v>
      </c>
      <c r="AF61" s="518">
        <f t="shared" si="51"/>
        <v>2318.3333333333335</v>
      </c>
      <c r="AG61" s="518">
        <f t="shared" si="53"/>
        <v>2056.6666666666665</v>
      </c>
      <c r="AH61" s="518">
        <f t="shared" si="55"/>
        <v>1968.3333333333333</v>
      </c>
      <c r="AI61" s="518">
        <f t="shared" si="57"/>
        <v>2435</v>
      </c>
      <c r="AJ61" s="518">
        <f t="shared" si="60"/>
        <v>1468.3333333333333</v>
      </c>
      <c r="AK61" s="518">
        <f t="shared" si="62"/>
        <v>1326.6666666666667</v>
      </c>
      <c r="AL61" s="518">
        <f t="shared" si="64"/>
        <v>1798.3333333333333</v>
      </c>
      <c r="AM61" s="518">
        <f t="shared" si="66"/>
        <v>1486.6666666666667</v>
      </c>
      <c r="AN61" s="518">
        <f t="shared" si="68"/>
        <v>1538.3333333333333</v>
      </c>
      <c r="AO61" s="518">
        <f t="shared" si="70"/>
        <v>1136.6666666666667</v>
      </c>
      <c r="AP61" s="518">
        <f t="shared" si="72"/>
        <v>1131.6666666666667</v>
      </c>
      <c r="AQ61" s="518">
        <f t="shared" si="75"/>
        <v>1275</v>
      </c>
      <c r="AR61" s="518">
        <f t="shared" si="77"/>
        <v>1440</v>
      </c>
      <c r="AS61" s="518">
        <f t="shared" si="79"/>
        <v>1505</v>
      </c>
      <c r="AT61" s="518">
        <f t="shared" si="84"/>
        <v>2083.3333333333335</v>
      </c>
      <c r="AU61" s="518">
        <f t="shared" si="86"/>
        <v>1470</v>
      </c>
      <c r="AV61" s="518">
        <f t="shared" si="88"/>
        <v>1508.3333333333333</v>
      </c>
      <c r="AW61" s="518">
        <f t="shared" si="90"/>
        <v>1710</v>
      </c>
      <c r="AX61" s="518">
        <f t="shared" si="94"/>
        <v>1583.3333333333333</v>
      </c>
      <c r="AY61" s="518">
        <f t="shared" si="96"/>
        <v>1113.3333333333333</v>
      </c>
      <c r="AZ61" s="518">
        <f t="shared" si="98"/>
        <v>1646.6666666666667</v>
      </c>
      <c r="BA61" s="518">
        <f t="shared" si="100"/>
        <v>1136.6666666666667</v>
      </c>
      <c r="BB61" s="518">
        <f t="shared" si="102"/>
        <v>1223.3333333333333</v>
      </c>
      <c r="BC61" s="619">
        <f t="shared" si="104"/>
        <v>1598.3333333333333</v>
      </c>
      <c r="BD61" s="619">
        <f t="shared" si="106"/>
        <v>163.33333333333334</v>
      </c>
      <c r="BE61" s="619">
        <f t="shared" si="108"/>
        <v>91.666666666666671</v>
      </c>
      <c r="BF61" s="619">
        <f t="shared" si="110"/>
        <v>18.333333333333332</v>
      </c>
      <c r="BG61" s="619">
        <f t="shared" si="112"/>
        <v>8.3333333333333339</v>
      </c>
      <c r="BH61" s="619"/>
      <c r="BI61" s="619"/>
      <c r="BJ61" s="619">
        <f t="shared" si="116"/>
        <v>8.3333333333333339</v>
      </c>
      <c r="BK61" s="619">
        <f t="shared" si="118"/>
        <v>0</v>
      </c>
      <c r="BL61" s="619">
        <f t="shared" si="120"/>
        <v>10</v>
      </c>
      <c r="BM61" s="619">
        <f t="shared" si="122"/>
        <v>0</v>
      </c>
      <c r="BN61" s="619">
        <f t="shared" si="124"/>
        <v>0</v>
      </c>
      <c r="BO61" s="619">
        <f t="shared" si="126"/>
        <v>0</v>
      </c>
      <c r="BP61" s="619">
        <f t="shared" si="128"/>
        <v>0</v>
      </c>
      <c r="BQ61" s="619">
        <f t="shared" ref="BQ61:BQ119" si="130">$K$60/60</f>
        <v>8.3333333333333339</v>
      </c>
      <c r="BR61" s="518">
        <f t="shared" si="11"/>
        <v>117074.52849999996</v>
      </c>
      <c r="BS61" s="518">
        <f t="shared" si="15"/>
        <v>4959179.4513333356</v>
      </c>
      <c r="BT61" s="518">
        <f t="shared" si="80"/>
        <v>2065292.2586666644</v>
      </c>
      <c r="BU61" s="518">
        <f t="shared" si="81"/>
        <v>2182366.7871666644</v>
      </c>
      <c r="BW61" s="518"/>
      <c r="BX61" s="518"/>
      <c r="BY61" s="518"/>
      <c r="BZ61" s="518"/>
      <c r="CA61" s="518"/>
      <c r="CB61" s="518"/>
      <c r="CC61" s="518"/>
      <c r="CD61" s="518"/>
      <c r="CE61" s="518"/>
      <c r="CF61" s="518"/>
      <c r="CG61" s="518"/>
      <c r="CH61" s="518"/>
      <c r="CI61" s="518"/>
      <c r="CJ61" s="518"/>
      <c r="CK61" s="518"/>
      <c r="CL61" s="518"/>
      <c r="CM61" s="518"/>
      <c r="CN61" s="518"/>
      <c r="CO61" s="518"/>
      <c r="CP61" s="518"/>
      <c r="CQ61" s="518"/>
      <c r="CR61" s="518"/>
      <c r="CS61" s="518"/>
      <c r="CT61" s="518"/>
      <c r="CU61" s="518"/>
      <c r="CV61" s="518"/>
      <c r="CW61" s="518"/>
      <c r="CX61" s="518"/>
      <c r="CY61" s="518"/>
      <c r="CZ61" s="518"/>
      <c r="DA61" s="518"/>
      <c r="DB61" s="518"/>
      <c r="DC61" s="518"/>
      <c r="DD61" s="518"/>
      <c r="DE61" s="518"/>
      <c r="DF61" s="518"/>
      <c r="DG61" s="518"/>
      <c r="DH61" s="518"/>
      <c r="DI61" s="518"/>
      <c r="DJ61" s="518"/>
      <c r="DK61" s="518"/>
      <c r="DL61" s="518"/>
      <c r="DM61" s="518"/>
      <c r="DN61" s="518"/>
      <c r="DO61" s="518"/>
      <c r="DP61" s="619">
        <f t="shared" si="113"/>
        <v>41.666666666666664</v>
      </c>
      <c r="DQ61" s="619">
        <f t="shared" si="114"/>
        <v>0</v>
      </c>
      <c r="DR61" s="619">
        <f t="shared" si="115"/>
        <v>0</v>
      </c>
      <c r="DS61" s="619">
        <f t="shared" si="117"/>
        <v>41.666666666666664</v>
      </c>
      <c r="DT61" s="619">
        <f t="shared" si="119"/>
        <v>0</v>
      </c>
      <c r="DU61" s="619">
        <f t="shared" si="121"/>
        <v>50</v>
      </c>
      <c r="DV61" s="620">
        <f t="shared" si="123"/>
        <v>0</v>
      </c>
      <c r="DW61" s="620">
        <f t="shared" si="125"/>
        <v>0</v>
      </c>
      <c r="DX61" s="620">
        <f t="shared" si="127"/>
        <v>0</v>
      </c>
      <c r="DY61" s="620">
        <f t="shared" si="129"/>
        <v>0</v>
      </c>
      <c r="DZ61" s="620">
        <f t="shared" ref="DZ61:DZ71" si="131">$K$60/12</f>
        <v>41.666666666666664</v>
      </c>
      <c r="EA61" s="518">
        <f t="shared" si="13"/>
        <v>174.99999999999997</v>
      </c>
      <c r="EC61" s="519">
        <f t="shared" si="92"/>
        <v>174.99999999999997</v>
      </c>
      <c r="ED61" s="519">
        <f t="shared" si="83"/>
        <v>117074.52849999996</v>
      </c>
      <c r="EE61" s="518">
        <f t="shared" si="93"/>
        <v>116899.52849999996</v>
      </c>
      <c r="EF61" s="518">
        <f>+EE61*'Capital Structure '!$P$30</f>
        <v>32860.457461349986</v>
      </c>
      <c r="EG61" s="518">
        <f t="shared" si="17"/>
        <v>-580331.11641119991</v>
      </c>
    </row>
    <row r="62" spans="1:137" s="585" customFormat="1" outlineLevel="1">
      <c r="A62" s="308" t="s">
        <v>57</v>
      </c>
      <c r="B62" s="308">
        <f t="shared" si="74"/>
        <v>2020</v>
      </c>
      <c r="C62" s="308" t="s">
        <v>47</v>
      </c>
      <c r="D62" s="518"/>
      <c r="E62" s="518"/>
      <c r="F62" s="518"/>
      <c r="G62" s="518"/>
      <c r="H62" s="518"/>
      <c r="I62" s="518"/>
      <c r="J62" s="518"/>
      <c r="K62" s="518">
        <f t="shared" si="4"/>
        <v>0</v>
      </c>
      <c r="L62" s="518">
        <f>SUM(K$5:K62)</f>
        <v>7024471.71</v>
      </c>
      <c r="N62" s="518">
        <f t="shared" si="10"/>
        <v>925</v>
      </c>
      <c r="O62" s="518">
        <f t="shared" si="14"/>
        <v>2660</v>
      </c>
      <c r="P62" s="518">
        <f t="shared" si="18"/>
        <v>2463.3333333333335</v>
      </c>
      <c r="Q62" s="518">
        <f t="shared" si="20"/>
        <v>5920</v>
      </c>
      <c r="R62" s="518">
        <f t="shared" si="22"/>
        <v>8403.3333333333339</v>
      </c>
      <c r="S62" s="518">
        <f t="shared" si="24"/>
        <v>8219.8333333333339</v>
      </c>
      <c r="T62" s="518">
        <f t="shared" si="26"/>
        <v>6750</v>
      </c>
      <c r="U62" s="518">
        <f t="shared" si="28"/>
        <v>6890</v>
      </c>
      <c r="V62" s="518">
        <f t="shared" si="30"/>
        <v>5805</v>
      </c>
      <c r="W62" s="518">
        <f t="shared" si="32"/>
        <v>5580.9035000000003</v>
      </c>
      <c r="X62" s="518">
        <f t="shared" si="35"/>
        <v>4092.0833333333335</v>
      </c>
      <c r="Y62" s="518">
        <f t="shared" si="37"/>
        <v>3393.3333333333335</v>
      </c>
      <c r="Z62" s="518">
        <f t="shared" si="39"/>
        <v>5251.666666666667</v>
      </c>
      <c r="AA62" s="518">
        <f t="shared" si="41"/>
        <v>3206.7083333333335</v>
      </c>
      <c r="AB62" s="518">
        <f t="shared" si="43"/>
        <v>2656.6666666666665</v>
      </c>
      <c r="AC62" s="518">
        <f t="shared" si="45"/>
        <v>2408.3333333333335</v>
      </c>
      <c r="AD62" s="518">
        <f t="shared" si="47"/>
        <v>1618.3333333333333</v>
      </c>
      <c r="AE62" s="518">
        <f t="shared" si="49"/>
        <v>2563.3333333333335</v>
      </c>
      <c r="AF62" s="518">
        <f t="shared" si="51"/>
        <v>2318.3333333333335</v>
      </c>
      <c r="AG62" s="518">
        <f t="shared" si="53"/>
        <v>2056.6666666666665</v>
      </c>
      <c r="AH62" s="518">
        <f t="shared" si="55"/>
        <v>1968.3333333333333</v>
      </c>
      <c r="AI62" s="518">
        <f t="shared" si="57"/>
        <v>2435</v>
      </c>
      <c r="AJ62" s="518">
        <f t="shared" si="60"/>
        <v>1468.3333333333333</v>
      </c>
      <c r="AK62" s="518">
        <f t="shared" si="62"/>
        <v>1326.6666666666667</v>
      </c>
      <c r="AL62" s="518">
        <f t="shared" si="64"/>
        <v>1798.3333333333333</v>
      </c>
      <c r="AM62" s="518">
        <f t="shared" si="66"/>
        <v>1486.6666666666667</v>
      </c>
      <c r="AN62" s="518">
        <f t="shared" si="68"/>
        <v>1538.3333333333333</v>
      </c>
      <c r="AO62" s="518">
        <f t="shared" si="70"/>
        <v>1136.6666666666667</v>
      </c>
      <c r="AP62" s="518">
        <f t="shared" si="72"/>
        <v>1131.6666666666667</v>
      </c>
      <c r="AQ62" s="518">
        <f t="shared" si="75"/>
        <v>1275</v>
      </c>
      <c r="AR62" s="518">
        <f t="shared" si="77"/>
        <v>1440</v>
      </c>
      <c r="AS62" s="518">
        <f t="shared" si="79"/>
        <v>1505</v>
      </c>
      <c r="AT62" s="518">
        <f t="shared" si="84"/>
        <v>2083.3333333333335</v>
      </c>
      <c r="AU62" s="518">
        <f t="shared" si="86"/>
        <v>1470</v>
      </c>
      <c r="AV62" s="518">
        <f t="shared" si="88"/>
        <v>1508.3333333333333</v>
      </c>
      <c r="AW62" s="518">
        <f t="shared" si="90"/>
        <v>1710</v>
      </c>
      <c r="AX62" s="518">
        <f t="shared" si="94"/>
        <v>1583.3333333333333</v>
      </c>
      <c r="AY62" s="518">
        <f t="shared" si="96"/>
        <v>1113.3333333333333</v>
      </c>
      <c r="AZ62" s="518">
        <f t="shared" si="98"/>
        <v>1646.6666666666667</v>
      </c>
      <c r="BA62" s="518">
        <f t="shared" si="100"/>
        <v>1136.6666666666667</v>
      </c>
      <c r="BB62" s="518">
        <f t="shared" si="102"/>
        <v>1223.3333333333333</v>
      </c>
      <c r="BC62" s="619">
        <f t="shared" si="104"/>
        <v>1598.3333333333333</v>
      </c>
      <c r="BD62" s="619">
        <f t="shared" si="106"/>
        <v>163.33333333333334</v>
      </c>
      <c r="BE62" s="619">
        <f t="shared" si="108"/>
        <v>91.666666666666671</v>
      </c>
      <c r="BF62" s="619">
        <f t="shared" si="110"/>
        <v>18.333333333333332</v>
      </c>
      <c r="BG62" s="619">
        <f t="shared" si="112"/>
        <v>8.3333333333333339</v>
      </c>
      <c r="BH62" s="619"/>
      <c r="BI62" s="619"/>
      <c r="BJ62" s="619">
        <f t="shared" si="116"/>
        <v>8.3333333333333339</v>
      </c>
      <c r="BK62" s="619">
        <f t="shared" si="118"/>
        <v>0</v>
      </c>
      <c r="BL62" s="619">
        <f t="shared" si="120"/>
        <v>10</v>
      </c>
      <c r="BM62" s="619">
        <f t="shared" si="122"/>
        <v>0</v>
      </c>
      <c r="BN62" s="619">
        <f t="shared" si="124"/>
        <v>0</v>
      </c>
      <c r="BO62" s="619">
        <f t="shared" si="126"/>
        <v>0</v>
      </c>
      <c r="BP62" s="619">
        <f t="shared" si="128"/>
        <v>0</v>
      </c>
      <c r="BQ62" s="619">
        <f t="shared" si="130"/>
        <v>8.3333333333333339</v>
      </c>
      <c r="BR62" s="518">
        <f t="shared" si="11"/>
        <v>117074.52849999996</v>
      </c>
      <c r="BS62" s="518">
        <f t="shared" si="15"/>
        <v>5076253.9798333356</v>
      </c>
      <c r="BT62" s="518">
        <f t="shared" si="80"/>
        <v>1948217.7301666643</v>
      </c>
      <c r="BU62" s="518">
        <f t="shared" si="81"/>
        <v>2065292.2586666644</v>
      </c>
      <c r="DQ62" s="619">
        <f t="shared" si="114"/>
        <v>0</v>
      </c>
      <c r="DR62" s="619">
        <f t="shared" si="115"/>
        <v>0</v>
      </c>
      <c r="DS62" s="619">
        <f t="shared" si="117"/>
        <v>41.666666666666664</v>
      </c>
      <c r="DT62" s="619">
        <f t="shared" si="119"/>
        <v>0</v>
      </c>
      <c r="DU62" s="619">
        <f t="shared" si="121"/>
        <v>50</v>
      </c>
      <c r="DV62" s="620">
        <f t="shared" si="123"/>
        <v>0</v>
      </c>
      <c r="DW62" s="620">
        <f t="shared" si="125"/>
        <v>0</v>
      </c>
      <c r="DX62" s="620">
        <f t="shared" si="127"/>
        <v>0</v>
      </c>
      <c r="DY62" s="620">
        <f t="shared" si="129"/>
        <v>0</v>
      </c>
      <c r="DZ62" s="620">
        <f t="shared" si="131"/>
        <v>41.666666666666664</v>
      </c>
      <c r="EA62" s="518">
        <f t="shared" si="13"/>
        <v>133.33333333333331</v>
      </c>
      <c r="EC62" s="519">
        <f t="shared" si="92"/>
        <v>133.33333333333331</v>
      </c>
      <c r="ED62" s="519">
        <f t="shared" si="83"/>
        <v>117074.52849999996</v>
      </c>
      <c r="EE62" s="518">
        <f t="shared" si="93"/>
        <v>116941.19516666663</v>
      </c>
      <c r="EF62" s="518">
        <f>+EE62*'Capital Structure '!$P$30</f>
        <v>32872.169961349988</v>
      </c>
      <c r="EG62" s="518">
        <f t="shared" si="17"/>
        <v>-547458.94644984987</v>
      </c>
    </row>
    <row r="63" spans="1:137" s="585" customFormat="1" outlineLevel="1">
      <c r="A63" s="308" t="s">
        <v>58</v>
      </c>
      <c r="B63" s="308">
        <f t="shared" si="74"/>
        <v>2020</v>
      </c>
      <c r="C63" s="308" t="s">
        <v>47</v>
      </c>
      <c r="D63" s="518"/>
      <c r="E63" s="518"/>
      <c r="F63" s="518"/>
      <c r="G63" s="518"/>
      <c r="H63" s="518"/>
      <c r="I63" s="518"/>
      <c r="K63" s="518">
        <f t="shared" si="4"/>
        <v>0</v>
      </c>
      <c r="L63" s="518">
        <f>SUM(K$5:K63)</f>
        <v>7024471.71</v>
      </c>
      <c r="N63" s="518">
        <f t="shared" si="10"/>
        <v>925</v>
      </c>
      <c r="O63" s="518">
        <f t="shared" si="14"/>
        <v>2660</v>
      </c>
      <c r="P63" s="518">
        <f t="shared" si="18"/>
        <v>2463.3333333333335</v>
      </c>
      <c r="Q63" s="518">
        <f t="shared" si="20"/>
        <v>5920</v>
      </c>
      <c r="R63" s="518">
        <f t="shared" si="22"/>
        <v>8403.3333333333339</v>
      </c>
      <c r="S63" s="518">
        <f t="shared" si="24"/>
        <v>8219.8333333333339</v>
      </c>
      <c r="T63" s="518">
        <f t="shared" si="26"/>
        <v>6750</v>
      </c>
      <c r="U63" s="518">
        <f t="shared" si="28"/>
        <v>6890</v>
      </c>
      <c r="V63" s="518">
        <f t="shared" si="30"/>
        <v>5805</v>
      </c>
      <c r="W63" s="518">
        <f t="shared" si="32"/>
        <v>5580.9035000000003</v>
      </c>
      <c r="X63" s="518">
        <f t="shared" si="35"/>
        <v>4092.0833333333335</v>
      </c>
      <c r="Y63" s="518">
        <f t="shared" si="37"/>
        <v>3393.3333333333335</v>
      </c>
      <c r="Z63" s="518">
        <f t="shared" si="39"/>
        <v>5251.666666666667</v>
      </c>
      <c r="AA63" s="518">
        <f t="shared" si="41"/>
        <v>3206.7083333333335</v>
      </c>
      <c r="AB63" s="518">
        <f t="shared" si="43"/>
        <v>2656.6666666666665</v>
      </c>
      <c r="AC63" s="518">
        <f t="shared" si="45"/>
        <v>2408.3333333333335</v>
      </c>
      <c r="AD63" s="518">
        <f t="shared" si="47"/>
        <v>1618.3333333333333</v>
      </c>
      <c r="AE63" s="518">
        <f t="shared" si="49"/>
        <v>2563.3333333333335</v>
      </c>
      <c r="AF63" s="518">
        <f t="shared" si="51"/>
        <v>2318.3333333333335</v>
      </c>
      <c r="AG63" s="518">
        <f t="shared" si="53"/>
        <v>2056.6666666666665</v>
      </c>
      <c r="AH63" s="518">
        <f t="shared" si="55"/>
        <v>1968.3333333333333</v>
      </c>
      <c r="AI63" s="518">
        <f t="shared" si="57"/>
        <v>2435</v>
      </c>
      <c r="AJ63" s="518">
        <f t="shared" si="60"/>
        <v>1468.3333333333333</v>
      </c>
      <c r="AK63" s="518">
        <f t="shared" si="62"/>
        <v>1326.6666666666667</v>
      </c>
      <c r="AL63" s="518">
        <f t="shared" si="64"/>
        <v>1798.3333333333333</v>
      </c>
      <c r="AM63" s="518">
        <f t="shared" si="66"/>
        <v>1486.6666666666667</v>
      </c>
      <c r="AN63" s="518">
        <f t="shared" si="68"/>
        <v>1538.3333333333333</v>
      </c>
      <c r="AO63" s="518">
        <f t="shared" si="70"/>
        <v>1136.6666666666667</v>
      </c>
      <c r="AP63" s="518">
        <f t="shared" si="72"/>
        <v>1131.6666666666667</v>
      </c>
      <c r="AQ63" s="518">
        <f t="shared" si="75"/>
        <v>1275</v>
      </c>
      <c r="AR63" s="518">
        <f t="shared" si="77"/>
        <v>1440</v>
      </c>
      <c r="AS63" s="518">
        <f t="shared" si="79"/>
        <v>1505</v>
      </c>
      <c r="AT63" s="518">
        <f t="shared" si="84"/>
        <v>2083.3333333333335</v>
      </c>
      <c r="AU63" s="518">
        <f t="shared" si="86"/>
        <v>1470</v>
      </c>
      <c r="AV63" s="518">
        <f t="shared" si="88"/>
        <v>1508.3333333333333</v>
      </c>
      <c r="AW63" s="518">
        <f t="shared" si="90"/>
        <v>1710</v>
      </c>
      <c r="AX63" s="518">
        <f t="shared" si="94"/>
        <v>1583.3333333333333</v>
      </c>
      <c r="AY63" s="518">
        <f t="shared" si="96"/>
        <v>1113.3333333333333</v>
      </c>
      <c r="AZ63" s="518">
        <f t="shared" si="98"/>
        <v>1646.6666666666667</v>
      </c>
      <c r="BA63" s="518">
        <f t="shared" si="100"/>
        <v>1136.6666666666667</v>
      </c>
      <c r="BB63" s="518">
        <f t="shared" si="102"/>
        <v>1223.3333333333333</v>
      </c>
      <c r="BC63" s="619">
        <f t="shared" si="104"/>
        <v>1598.3333333333333</v>
      </c>
      <c r="BD63" s="619">
        <f t="shared" si="106"/>
        <v>163.33333333333334</v>
      </c>
      <c r="BE63" s="619">
        <f t="shared" si="108"/>
        <v>91.666666666666671</v>
      </c>
      <c r="BF63" s="619">
        <f t="shared" si="110"/>
        <v>18.333333333333332</v>
      </c>
      <c r="BG63" s="619">
        <f t="shared" si="112"/>
        <v>8.3333333333333339</v>
      </c>
      <c r="BH63" s="619"/>
      <c r="BI63" s="619"/>
      <c r="BJ63" s="619">
        <f t="shared" si="116"/>
        <v>8.3333333333333339</v>
      </c>
      <c r="BK63" s="619">
        <f t="shared" si="118"/>
        <v>0</v>
      </c>
      <c r="BL63" s="619">
        <f t="shared" si="120"/>
        <v>10</v>
      </c>
      <c r="BM63" s="619">
        <f t="shared" si="122"/>
        <v>0</v>
      </c>
      <c r="BN63" s="619">
        <f t="shared" si="124"/>
        <v>0</v>
      </c>
      <c r="BO63" s="619">
        <f t="shared" si="126"/>
        <v>0</v>
      </c>
      <c r="BP63" s="619">
        <f t="shared" si="128"/>
        <v>0</v>
      </c>
      <c r="BQ63" s="619">
        <f t="shared" si="130"/>
        <v>8.3333333333333339</v>
      </c>
      <c r="BR63" s="518">
        <f t="shared" si="11"/>
        <v>117074.52849999996</v>
      </c>
      <c r="BS63" s="518">
        <f t="shared" si="15"/>
        <v>5193328.5083333356</v>
      </c>
      <c r="BT63" s="518">
        <f t="shared" si="80"/>
        <v>1831143.2016666643</v>
      </c>
      <c r="BU63" s="518">
        <f t="shared" si="81"/>
        <v>1948217.7301666643</v>
      </c>
      <c r="BV63" s="519"/>
      <c r="BW63" s="519"/>
      <c r="BX63" s="519"/>
      <c r="BY63" s="519"/>
      <c r="BZ63" s="519"/>
      <c r="CA63" s="519"/>
      <c r="CB63" s="519"/>
      <c r="CC63" s="519"/>
      <c r="CD63" s="519"/>
      <c r="CE63" s="519"/>
      <c r="CF63" s="519"/>
      <c r="CG63" s="519"/>
      <c r="CH63" s="519"/>
      <c r="CI63" s="519"/>
      <c r="CJ63" s="519"/>
      <c r="CK63" s="519"/>
      <c r="CL63" s="519"/>
      <c r="CM63" s="519"/>
      <c r="CN63" s="519"/>
      <c r="CO63" s="519"/>
      <c r="CP63" s="519"/>
      <c r="CQ63" s="519"/>
      <c r="CR63" s="519"/>
      <c r="CS63" s="519"/>
      <c r="CT63" s="519"/>
      <c r="CU63" s="519"/>
      <c r="CV63" s="519"/>
      <c r="CW63" s="519"/>
      <c r="CX63" s="519"/>
      <c r="CY63" s="519"/>
      <c r="CZ63" s="519"/>
      <c r="DA63" s="519"/>
      <c r="DB63" s="519"/>
      <c r="DC63" s="519"/>
      <c r="DD63" s="519"/>
      <c r="DE63" s="519"/>
      <c r="DF63" s="519"/>
      <c r="DG63" s="519"/>
      <c r="DH63" s="519"/>
      <c r="DI63" s="519"/>
      <c r="DJ63" s="519"/>
      <c r="DK63" s="519"/>
      <c r="DL63" s="519"/>
      <c r="DM63" s="519"/>
      <c r="DN63" s="519"/>
      <c r="DO63" s="519"/>
      <c r="DP63" s="519"/>
      <c r="DQ63" s="519"/>
      <c r="DR63" s="619">
        <f t="shared" si="115"/>
        <v>0</v>
      </c>
      <c r="DS63" s="619">
        <f t="shared" si="117"/>
        <v>41.666666666666664</v>
      </c>
      <c r="DT63" s="619">
        <f t="shared" si="119"/>
        <v>0</v>
      </c>
      <c r="DU63" s="619">
        <f t="shared" si="121"/>
        <v>50</v>
      </c>
      <c r="DV63" s="620">
        <f t="shared" si="123"/>
        <v>0</v>
      </c>
      <c r="DW63" s="620">
        <f t="shared" si="125"/>
        <v>0</v>
      </c>
      <c r="DX63" s="620">
        <f t="shared" si="127"/>
        <v>0</v>
      </c>
      <c r="DY63" s="620">
        <f t="shared" si="129"/>
        <v>0</v>
      </c>
      <c r="DZ63" s="620">
        <f t="shared" si="131"/>
        <v>41.666666666666664</v>
      </c>
      <c r="EA63" s="518">
        <f t="shared" si="13"/>
        <v>133.33333333333331</v>
      </c>
      <c r="EB63" s="519"/>
      <c r="EC63" s="519">
        <f t="shared" si="92"/>
        <v>133.33333333333331</v>
      </c>
      <c r="ED63" s="519">
        <f t="shared" si="83"/>
        <v>117074.52849999996</v>
      </c>
      <c r="EE63" s="518">
        <f t="shared" si="93"/>
        <v>116941.19516666663</v>
      </c>
      <c r="EF63" s="518">
        <f>+EE63*'Capital Structure '!$P$30</f>
        <v>32872.169961349988</v>
      </c>
      <c r="EG63" s="518">
        <f t="shared" si="17"/>
        <v>-514586.77648849989</v>
      </c>
    </row>
    <row r="64" spans="1:137" s="585" customFormat="1" outlineLevel="1">
      <c r="A64" s="308" t="s">
        <v>59</v>
      </c>
      <c r="B64" s="308">
        <f t="shared" si="74"/>
        <v>2020</v>
      </c>
      <c r="C64" s="308" t="s">
        <v>47</v>
      </c>
      <c r="D64" s="518"/>
      <c r="E64" s="518"/>
      <c r="F64" s="518"/>
      <c r="G64" s="518"/>
      <c r="H64" s="518"/>
      <c r="I64" s="518"/>
      <c r="K64" s="518">
        <f t="shared" si="4"/>
        <v>0</v>
      </c>
      <c r="L64" s="518">
        <f>SUM(K$5:K64)</f>
        <v>7024471.71</v>
      </c>
      <c r="N64" s="518">
        <f t="shared" si="10"/>
        <v>925</v>
      </c>
      <c r="O64" s="518">
        <f t="shared" si="14"/>
        <v>2660</v>
      </c>
      <c r="P64" s="518">
        <f t="shared" si="18"/>
        <v>2463.3333333333335</v>
      </c>
      <c r="Q64" s="518">
        <f t="shared" si="20"/>
        <v>5920</v>
      </c>
      <c r="R64" s="518">
        <f t="shared" si="22"/>
        <v>8403.3333333333339</v>
      </c>
      <c r="S64" s="518">
        <f t="shared" si="24"/>
        <v>8219.8333333333339</v>
      </c>
      <c r="T64" s="518">
        <f t="shared" si="26"/>
        <v>6750</v>
      </c>
      <c r="U64" s="518">
        <f t="shared" si="28"/>
        <v>6890</v>
      </c>
      <c r="V64" s="518">
        <f t="shared" si="30"/>
        <v>5805</v>
      </c>
      <c r="W64" s="518">
        <f t="shared" si="32"/>
        <v>5580.9035000000003</v>
      </c>
      <c r="X64" s="518">
        <f t="shared" si="35"/>
        <v>4092.0833333333335</v>
      </c>
      <c r="Y64" s="518">
        <f t="shared" si="37"/>
        <v>3393.3333333333335</v>
      </c>
      <c r="Z64" s="518">
        <f t="shared" si="39"/>
        <v>5251.666666666667</v>
      </c>
      <c r="AA64" s="518">
        <f t="shared" si="41"/>
        <v>3206.7083333333335</v>
      </c>
      <c r="AB64" s="518">
        <f t="shared" si="43"/>
        <v>2656.6666666666665</v>
      </c>
      <c r="AC64" s="518">
        <f t="shared" si="45"/>
        <v>2408.3333333333335</v>
      </c>
      <c r="AD64" s="518">
        <f t="shared" si="47"/>
        <v>1618.3333333333333</v>
      </c>
      <c r="AE64" s="518">
        <f t="shared" si="49"/>
        <v>2563.3333333333335</v>
      </c>
      <c r="AF64" s="518">
        <f t="shared" si="51"/>
        <v>2318.3333333333335</v>
      </c>
      <c r="AG64" s="518">
        <f t="shared" si="53"/>
        <v>2056.6666666666665</v>
      </c>
      <c r="AH64" s="518">
        <f t="shared" si="55"/>
        <v>1968.3333333333333</v>
      </c>
      <c r="AI64" s="518">
        <f t="shared" si="57"/>
        <v>2435</v>
      </c>
      <c r="AJ64" s="518">
        <f t="shared" si="60"/>
        <v>1468.3333333333333</v>
      </c>
      <c r="AK64" s="518">
        <f t="shared" si="62"/>
        <v>1326.6666666666667</v>
      </c>
      <c r="AL64" s="518">
        <f t="shared" si="64"/>
        <v>1798.3333333333333</v>
      </c>
      <c r="AM64" s="518">
        <f t="shared" si="66"/>
        <v>1486.6666666666667</v>
      </c>
      <c r="AN64" s="518">
        <f t="shared" si="68"/>
        <v>1538.3333333333333</v>
      </c>
      <c r="AO64" s="518">
        <f t="shared" si="70"/>
        <v>1136.6666666666667</v>
      </c>
      <c r="AP64" s="518">
        <f t="shared" si="72"/>
        <v>1131.6666666666667</v>
      </c>
      <c r="AQ64" s="518">
        <f t="shared" si="75"/>
        <v>1275</v>
      </c>
      <c r="AR64" s="518">
        <f t="shared" si="77"/>
        <v>1440</v>
      </c>
      <c r="AS64" s="518">
        <f t="shared" si="79"/>
        <v>1505</v>
      </c>
      <c r="AT64" s="518">
        <f t="shared" si="84"/>
        <v>2083.3333333333335</v>
      </c>
      <c r="AU64" s="518">
        <f t="shared" si="86"/>
        <v>1470</v>
      </c>
      <c r="AV64" s="518">
        <f t="shared" si="88"/>
        <v>1508.3333333333333</v>
      </c>
      <c r="AW64" s="518">
        <f t="shared" si="90"/>
        <v>1710</v>
      </c>
      <c r="AX64" s="518">
        <f t="shared" si="94"/>
        <v>1583.3333333333333</v>
      </c>
      <c r="AY64" s="518">
        <f t="shared" si="96"/>
        <v>1113.3333333333333</v>
      </c>
      <c r="AZ64" s="518">
        <f t="shared" si="98"/>
        <v>1646.6666666666667</v>
      </c>
      <c r="BA64" s="518">
        <f t="shared" si="100"/>
        <v>1136.6666666666667</v>
      </c>
      <c r="BB64" s="518">
        <f t="shared" si="102"/>
        <v>1223.3333333333333</v>
      </c>
      <c r="BC64" s="619">
        <f t="shared" si="104"/>
        <v>1598.3333333333333</v>
      </c>
      <c r="BD64" s="619">
        <f t="shared" si="106"/>
        <v>163.33333333333334</v>
      </c>
      <c r="BE64" s="619">
        <f t="shared" si="108"/>
        <v>91.666666666666671</v>
      </c>
      <c r="BF64" s="619">
        <f t="shared" si="110"/>
        <v>18.333333333333332</v>
      </c>
      <c r="BG64" s="619">
        <f t="shared" si="112"/>
        <v>8.3333333333333339</v>
      </c>
      <c r="BH64" s="619"/>
      <c r="BI64" s="619"/>
      <c r="BJ64" s="619">
        <f t="shared" si="116"/>
        <v>8.3333333333333339</v>
      </c>
      <c r="BK64" s="619">
        <f t="shared" si="118"/>
        <v>0</v>
      </c>
      <c r="BL64" s="619">
        <f t="shared" si="120"/>
        <v>10</v>
      </c>
      <c r="BM64" s="619">
        <f t="shared" si="122"/>
        <v>0</v>
      </c>
      <c r="BN64" s="619">
        <f t="shared" si="124"/>
        <v>0</v>
      </c>
      <c r="BO64" s="619">
        <f t="shared" si="126"/>
        <v>0</v>
      </c>
      <c r="BP64" s="619">
        <f t="shared" si="128"/>
        <v>0</v>
      </c>
      <c r="BQ64" s="619">
        <f t="shared" si="130"/>
        <v>8.3333333333333339</v>
      </c>
      <c r="BR64" s="518">
        <f t="shared" si="11"/>
        <v>117074.52849999996</v>
      </c>
      <c r="BS64" s="518">
        <f t="shared" si="15"/>
        <v>5310403.0368333356</v>
      </c>
      <c r="BT64" s="518">
        <f t="shared" si="80"/>
        <v>1714068.6731666643</v>
      </c>
      <c r="BU64" s="518">
        <f t="shared" si="81"/>
        <v>1831143.2016666643</v>
      </c>
      <c r="DS64" s="619">
        <f t="shared" si="117"/>
        <v>41.666666666666664</v>
      </c>
      <c r="DT64" s="619">
        <f t="shared" si="119"/>
        <v>0</v>
      </c>
      <c r="DU64" s="619">
        <f t="shared" si="121"/>
        <v>50</v>
      </c>
      <c r="DV64" s="620">
        <f t="shared" si="123"/>
        <v>0</v>
      </c>
      <c r="DW64" s="620">
        <f t="shared" si="125"/>
        <v>0</v>
      </c>
      <c r="DX64" s="620">
        <f t="shared" si="127"/>
        <v>0</v>
      </c>
      <c r="DY64" s="620">
        <f t="shared" si="129"/>
        <v>0</v>
      </c>
      <c r="DZ64" s="620">
        <f t="shared" si="131"/>
        <v>41.666666666666664</v>
      </c>
      <c r="EA64" s="518">
        <f t="shared" si="13"/>
        <v>133.33333333333331</v>
      </c>
      <c r="EC64" s="519">
        <f t="shared" si="92"/>
        <v>133.33333333333331</v>
      </c>
      <c r="ED64" s="519">
        <f t="shared" si="83"/>
        <v>117074.52849999996</v>
      </c>
      <c r="EE64" s="518">
        <f t="shared" si="93"/>
        <v>116941.19516666663</v>
      </c>
      <c r="EF64" s="518">
        <f>+EE64*'Capital Structure '!$P$30</f>
        <v>32872.169961349988</v>
      </c>
      <c r="EG64" s="518">
        <f t="shared" si="17"/>
        <v>-481714.60652714991</v>
      </c>
    </row>
    <row r="65" spans="1:137" s="585" customFormat="1" outlineLevel="1">
      <c r="A65" s="308" t="s">
        <v>46</v>
      </c>
      <c r="B65" s="308">
        <f t="shared" si="74"/>
        <v>2020</v>
      </c>
      <c r="C65" s="308" t="s">
        <v>47</v>
      </c>
      <c r="D65" s="518"/>
      <c r="E65" s="518"/>
      <c r="F65" s="518"/>
      <c r="G65" s="518"/>
      <c r="H65" s="518"/>
      <c r="I65" s="518"/>
      <c r="K65" s="518">
        <f t="shared" si="4"/>
        <v>0</v>
      </c>
      <c r="L65" s="518">
        <f>SUM(K$5:K65)</f>
        <v>7024471.71</v>
      </c>
      <c r="O65" s="518">
        <f t="shared" si="14"/>
        <v>2660</v>
      </c>
      <c r="P65" s="518">
        <f t="shared" si="18"/>
        <v>2463.3333333333335</v>
      </c>
      <c r="Q65" s="518">
        <f t="shared" si="20"/>
        <v>5920</v>
      </c>
      <c r="R65" s="518">
        <f t="shared" si="22"/>
        <v>8403.3333333333339</v>
      </c>
      <c r="S65" s="518">
        <f t="shared" si="24"/>
        <v>8219.8333333333339</v>
      </c>
      <c r="T65" s="518">
        <f t="shared" si="26"/>
        <v>6750</v>
      </c>
      <c r="U65" s="518">
        <f t="shared" si="28"/>
        <v>6890</v>
      </c>
      <c r="V65" s="518">
        <f t="shared" si="30"/>
        <v>5805</v>
      </c>
      <c r="W65" s="518">
        <f t="shared" si="32"/>
        <v>5580.9035000000003</v>
      </c>
      <c r="X65" s="518">
        <f t="shared" si="35"/>
        <v>4092.0833333333335</v>
      </c>
      <c r="Y65" s="518">
        <f t="shared" si="37"/>
        <v>3393.3333333333335</v>
      </c>
      <c r="Z65" s="518">
        <f t="shared" si="39"/>
        <v>5251.666666666667</v>
      </c>
      <c r="AA65" s="518">
        <f t="shared" si="41"/>
        <v>3206.7083333333335</v>
      </c>
      <c r="AB65" s="518">
        <f t="shared" si="43"/>
        <v>2656.6666666666665</v>
      </c>
      <c r="AC65" s="518">
        <f t="shared" si="45"/>
        <v>2408.3333333333335</v>
      </c>
      <c r="AD65" s="518">
        <f t="shared" si="47"/>
        <v>1618.3333333333333</v>
      </c>
      <c r="AE65" s="518">
        <f t="shared" si="49"/>
        <v>2563.3333333333335</v>
      </c>
      <c r="AF65" s="518">
        <f t="shared" si="51"/>
        <v>2318.3333333333335</v>
      </c>
      <c r="AG65" s="518">
        <f t="shared" si="53"/>
        <v>2056.6666666666665</v>
      </c>
      <c r="AH65" s="518">
        <f t="shared" si="55"/>
        <v>1968.3333333333333</v>
      </c>
      <c r="AI65" s="518">
        <f t="shared" si="57"/>
        <v>2435</v>
      </c>
      <c r="AJ65" s="518">
        <f t="shared" si="60"/>
        <v>1468.3333333333333</v>
      </c>
      <c r="AK65" s="518">
        <f t="shared" si="62"/>
        <v>1326.6666666666667</v>
      </c>
      <c r="AL65" s="518">
        <f t="shared" si="64"/>
        <v>1798.3333333333333</v>
      </c>
      <c r="AM65" s="518">
        <f t="shared" si="66"/>
        <v>1486.6666666666667</v>
      </c>
      <c r="AN65" s="518">
        <f t="shared" si="68"/>
        <v>1538.3333333333333</v>
      </c>
      <c r="AO65" s="518">
        <f t="shared" si="70"/>
        <v>1136.6666666666667</v>
      </c>
      <c r="AP65" s="518">
        <f t="shared" si="72"/>
        <v>1131.6666666666667</v>
      </c>
      <c r="AQ65" s="518">
        <f t="shared" si="75"/>
        <v>1275</v>
      </c>
      <c r="AR65" s="518">
        <f t="shared" si="77"/>
        <v>1440</v>
      </c>
      <c r="AS65" s="518">
        <f t="shared" si="79"/>
        <v>1505</v>
      </c>
      <c r="AT65" s="518">
        <f t="shared" si="84"/>
        <v>2083.3333333333335</v>
      </c>
      <c r="AU65" s="518">
        <f t="shared" si="86"/>
        <v>1470</v>
      </c>
      <c r="AV65" s="518">
        <f t="shared" si="88"/>
        <v>1508.3333333333333</v>
      </c>
      <c r="AW65" s="518">
        <f t="shared" si="90"/>
        <v>1710</v>
      </c>
      <c r="AX65" s="518">
        <f t="shared" si="94"/>
        <v>1583.3333333333333</v>
      </c>
      <c r="AY65" s="518">
        <f t="shared" si="96"/>
        <v>1113.3333333333333</v>
      </c>
      <c r="AZ65" s="518">
        <f t="shared" si="98"/>
        <v>1646.6666666666667</v>
      </c>
      <c r="BA65" s="518">
        <f t="shared" si="100"/>
        <v>1136.6666666666667</v>
      </c>
      <c r="BB65" s="518">
        <f t="shared" si="102"/>
        <v>1223.3333333333333</v>
      </c>
      <c r="BC65" s="619">
        <f t="shared" si="104"/>
        <v>1598.3333333333333</v>
      </c>
      <c r="BD65" s="619">
        <f t="shared" si="106"/>
        <v>163.33333333333334</v>
      </c>
      <c r="BE65" s="619">
        <f t="shared" si="108"/>
        <v>91.666666666666671</v>
      </c>
      <c r="BF65" s="619">
        <f t="shared" si="110"/>
        <v>18.333333333333332</v>
      </c>
      <c r="BG65" s="619">
        <f t="shared" si="112"/>
        <v>8.3333333333333339</v>
      </c>
      <c r="BH65" s="619"/>
      <c r="BI65" s="619"/>
      <c r="BJ65" s="619">
        <f t="shared" si="116"/>
        <v>8.3333333333333339</v>
      </c>
      <c r="BK65" s="619">
        <f t="shared" si="118"/>
        <v>0</v>
      </c>
      <c r="BL65" s="619">
        <f t="shared" si="120"/>
        <v>10</v>
      </c>
      <c r="BM65" s="619">
        <f t="shared" si="122"/>
        <v>0</v>
      </c>
      <c r="BN65" s="619">
        <f t="shared" si="124"/>
        <v>0</v>
      </c>
      <c r="BO65" s="619">
        <f t="shared" si="126"/>
        <v>0</v>
      </c>
      <c r="BP65" s="619">
        <f t="shared" si="128"/>
        <v>0</v>
      </c>
      <c r="BQ65" s="619">
        <f t="shared" si="130"/>
        <v>8.3333333333333339</v>
      </c>
      <c r="BR65" s="518">
        <f t="shared" si="11"/>
        <v>116149.52849999996</v>
      </c>
      <c r="BS65" s="518">
        <f t="shared" si="15"/>
        <v>5426552.5653333357</v>
      </c>
      <c r="BT65" s="518">
        <f t="shared" si="80"/>
        <v>1597919.1446666643</v>
      </c>
      <c r="BU65" s="518">
        <f t="shared" si="81"/>
        <v>1714068.6731666643</v>
      </c>
      <c r="DT65" s="619">
        <f t="shared" si="119"/>
        <v>0</v>
      </c>
      <c r="DU65" s="619">
        <f t="shared" si="121"/>
        <v>50</v>
      </c>
      <c r="DV65" s="620">
        <f t="shared" si="123"/>
        <v>0</v>
      </c>
      <c r="DW65" s="620">
        <f t="shared" si="125"/>
        <v>0</v>
      </c>
      <c r="DX65" s="620">
        <f t="shared" si="127"/>
        <v>0</v>
      </c>
      <c r="DY65" s="620">
        <f t="shared" si="129"/>
        <v>0</v>
      </c>
      <c r="DZ65" s="620">
        <f t="shared" si="131"/>
        <v>41.666666666666664</v>
      </c>
      <c r="EA65" s="518">
        <f t="shared" si="13"/>
        <v>91.666666666666657</v>
      </c>
      <c r="EC65" s="519">
        <f t="shared" si="92"/>
        <v>91.666666666666657</v>
      </c>
      <c r="ED65" s="519">
        <f t="shared" si="83"/>
        <v>116149.52849999996</v>
      </c>
      <c r="EE65" s="518">
        <f t="shared" si="93"/>
        <v>116057.86183333329</v>
      </c>
      <c r="EF65" s="518">
        <f>+EE65*'Capital Structure '!$P$30</f>
        <v>32623.86496134998</v>
      </c>
      <c r="EG65" s="518">
        <f t="shared" si="17"/>
        <v>-449090.74156579992</v>
      </c>
    </row>
    <row r="66" spans="1:137" s="585" customFormat="1" outlineLevel="1">
      <c r="A66" s="308" t="s">
        <v>48</v>
      </c>
      <c r="B66" s="308">
        <f t="shared" si="74"/>
        <v>2020</v>
      </c>
      <c r="C66" s="308" t="s">
        <v>47</v>
      </c>
      <c r="D66" s="518"/>
      <c r="E66" s="518"/>
      <c r="F66" s="518"/>
      <c r="G66" s="518"/>
      <c r="H66" s="518"/>
      <c r="I66" s="518"/>
      <c r="K66" s="518">
        <f t="shared" si="4"/>
        <v>0</v>
      </c>
      <c r="L66" s="518">
        <f>SUM(K$5:K66)</f>
        <v>7024471.71</v>
      </c>
      <c r="P66" s="518">
        <f t="shared" si="18"/>
        <v>2463.3333333333335</v>
      </c>
      <c r="Q66" s="518">
        <f t="shared" si="20"/>
        <v>5920</v>
      </c>
      <c r="R66" s="518">
        <f t="shared" si="22"/>
        <v>8403.3333333333339</v>
      </c>
      <c r="S66" s="518">
        <f t="shared" si="24"/>
        <v>8219.8333333333339</v>
      </c>
      <c r="T66" s="518">
        <f t="shared" si="26"/>
        <v>6750</v>
      </c>
      <c r="U66" s="518">
        <f t="shared" si="28"/>
        <v>6890</v>
      </c>
      <c r="V66" s="518">
        <f t="shared" si="30"/>
        <v>5805</v>
      </c>
      <c r="W66" s="518">
        <f t="shared" si="32"/>
        <v>5580.9035000000003</v>
      </c>
      <c r="X66" s="518">
        <f t="shared" si="35"/>
        <v>4092.0833333333335</v>
      </c>
      <c r="Y66" s="518">
        <f t="shared" si="37"/>
        <v>3393.3333333333335</v>
      </c>
      <c r="Z66" s="518">
        <f t="shared" si="39"/>
        <v>5251.666666666667</v>
      </c>
      <c r="AA66" s="518">
        <f t="shared" si="41"/>
        <v>3206.7083333333335</v>
      </c>
      <c r="AB66" s="518">
        <f t="shared" si="43"/>
        <v>2656.6666666666665</v>
      </c>
      <c r="AC66" s="518">
        <f t="shared" si="45"/>
        <v>2408.3333333333335</v>
      </c>
      <c r="AD66" s="518">
        <f t="shared" si="47"/>
        <v>1618.3333333333333</v>
      </c>
      <c r="AE66" s="518">
        <f t="shared" si="49"/>
        <v>2563.3333333333335</v>
      </c>
      <c r="AF66" s="518">
        <f t="shared" si="51"/>
        <v>2318.3333333333335</v>
      </c>
      <c r="AG66" s="518">
        <f t="shared" si="53"/>
        <v>2056.6666666666665</v>
      </c>
      <c r="AH66" s="518">
        <f t="shared" si="55"/>
        <v>1968.3333333333333</v>
      </c>
      <c r="AI66" s="518">
        <f t="shared" si="57"/>
        <v>2435</v>
      </c>
      <c r="AJ66" s="518">
        <f t="shared" si="60"/>
        <v>1468.3333333333333</v>
      </c>
      <c r="AK66" s="518">
        <f t="shared" si="62"/>
        <v>1326.6666666666667</v>
      </c>
      <c r="AL66" s="518">
        <f t="shared" si="64"/>
        <v>1798.3333333333333</v>
      </c>
      <c r="AM66" s="518">
        <f t="shared" si="66"/>
        <v>1486.6666666666667</v>
      </c>
      <c r="AN66" s="518">
        <f t="shared" si="68"/>
        <v>1538.3333333333333</v>
      </c>
      <c r="AO66" s="518">
        <f t="shared" si="70"/>
        <v>1136.6666666666667</v>
      </c>
      <c r="AP66" s="518">
        <f t="shared" si="72"/>
        <v>1131.6666666666667</v>
      </c>
      <c r="AQ66" s="518">
        <f t="shared" si="75"/>
        <v>1275</v>
      </c>
      <c r="AR66" s="518">
        <f t="shared" si="77"/>
        <v>1440</v>
      </c>
      <c r="AS66" s="518">
        <f t="shared" si="79"/>
        <v>1505</v>
      </c>
      <c r="AT66" s="518">
        <f t="shared" si="84"/>
        <v>2083.3333333333335</v>
      </c>
      <c r="AU66" s="518">
        <f t="shared" si="86"/>
        <v>1470</v>
      </c>
      <c r="AV66" s="518">
        <f t="shared" si="88"/>
        <v>1508.3333333333333</v>
      </c>
      <c r="AW66" s="518">
        <f t="shared" si="90"/>
        <v>1710</v>
      </c>
      <c r="AX66" s="518">
        <f t="shared" si="94"/>
        <v>1583.3333333333333</v>
      </c>
      <c r="AY66" s="518">
        <f t="shared" si="96"/>
        <v>1113.3333333333333</v>
      </c>
      <c r="AZ66" s="518">
        <f t="shared" si="98"/>
        <v>1646.6666666666667</v>
      </c>
      <c r="BA66" s="518">
        <f t="shared" si="100"/>
        <v>1136.6666666666667</v>
      </c>
      <c r="BB66" s="518">
        <f t="shared" si="102"/>
        <v>1223.3333333333333</v>
      </c>
      <c r="BC66" s="619">
        <f t="shared" si="104"/>
        <v>1598.3333333333333</v>
      </c>
      <c r="BD66" s="619">
        <f t="shared" si="106"/>
        <v>163.33333333333334</v>
      </c>
      <c r="BE66" s="619">
        <f t="shared" si="108"/>
        <v>91.666666666666671</v>
      </c>
      <c r="BF66" s="619">
        <f t="shared" si="110"/>
        <v>18.333333333333332</v>
      </c>
      <c r="BG66" s="619">
        <f t="shared" si="112"/>
        <v>8.3333333333333339</v>
      </c>
      <c r="BH66" s="619"/>
      <c r="BI66" s="619"/>
      <c r="BJ66" s="619">
        <f t="shared" si="116"/>
        <v>8.3333333333333339</v>
      </c>
      <c r="BK66" s="619">
        <f t="shared" si="118"/>
        <v>0</v>
      </c>
      <c r="BL66" s="619">
        <f t="shared" si="120"/>
        <v>10</v>
      </c>
      <c r="BM66" s="619">
        <f t="shared" si="122"/>
        <v>0</v>
      </c>
      <c r="BN66" s="619">
        <f t="shared" si="124"/>
        <v>0</v>
      </c>
      <c r="BO66" s="619">
        <f t="shared" si="126"/>
        <v>0</v>
      </c>
      <c r="BP66" s="619">
        <f t="shared" si="128"/>
        <v>0</v>
      </c>
      <c r="BQ66" s="619">
        <f t="shared" si="130"/>
        <v>8.3333333333333339</v>
      </c>
      <c r="BR66" s="518">
        <f t="shared" si="11"/>
        <v>113489.52849999996</v>
      </c>
      <c r="BS66" s="518">
        <f t="shared" si="15"/>
        <v>5540042.0938333357</v>
      </c>
      <c r="BT66" s="518">
        <f t="shared" si="80"/>
        <v>1484429.6161666643</v>
      </c>
      <c r="BU66" s="518">
        <f t="shared" si="81"/>
        <v>1597919.1446666643</v>
      </c>
      <c r="DU66" s="619">
        <f t="shared" si="121"/>
        <v>50</v>
      </c>
      <c r="DV66" s="620">
        <f t="shared" si="123"/>
        <v>0</v>
      </c>
      <c r="DW66" s="620">
        <f t="shared" si="125"/>
        <v>0</v>
      </c>
      <c r="DX66" s="620">
        <f t="shared" si="127"/>
        <v>0</v>
      </c>
      <c r="DY66" s="620">
        <f t="shared" si="129"/>
        <v>0</v>
      </c>
      <c r="DZ66" s="620">
        <f t="shared" si="131"/>
        <v>41.666666666666664</v>
      </c>
      <c r="EA66" s="518">
        <f t="shared" si="13"/>
        <v>91.666666666666657</v>
      </c>
      <c r="EC66" s="519">
        <f t="shared" si="92"/>
        <v>91.666666666666657</v>
      </c>
      <c r="ED66" s="519">
        <f t="shared" si="83"/>
        <v>113489.52849999996</v>
      </c>
      <c r="EE66" s="518">
        <f t="shared" si="93"/>
        <v>113397.86183333329</v>
      </c>
      <c r="EF66" s="518">
        <f>+EE66*'Capital Structure '!$P$30</f>
        <v>31876.138961349981</v>
      </c>
      <c r="EG66" s="518">
        <f t="shared" si="17"/>
        <v>-417214.60260444996</v>
      </c>
    </row>
    <row r="67" spans="1:137" s="585" customFormat="1" outlineLevel="1">
      <c r="A67" s="308" t="s">
        <v>50</v>
      </c>
      <c r="B67" s="308">
        <f t="shared" si="74"/>
        <v>2020</v>
      </c>
      <c r="C67" s="308" t="s">
        <v>47</v>
      </c>
      <c r="D67" s="518"/>
      <c r="E67" s="518"/>
      <c r="F67" s="518"/>
      <c r="G67" s="518"/>
      <c r="H67" s="518"/>
      <c r="I67" s="518"/>
      <c r="K67" s="518">
        <f t="shared" si="4"/>
        <v>0</v>
      </c>
      <c r="L67" s="518">
        <f>SUM(K$5:K67)</f>
        <v>7024471.71</v>
      </c>
      <c r="P67" s="518"/>
      <c r="Q67" s="518">
        <f t="shared" si="20"/>
        <v>5920</v>
      </c>
      <c r="R67" s="518">
        <f t="shared" si="22"/>
        <v>8403.3333333333339</v>
      </c>
      <c r="S67" s="518">
        <f t="shared" si="24"/>
        <v>8219.8333333333339</v>
      </c>
      <c r="T67" s="518">
        <f t="shared" si="26"/>
        <v>6750</v>
      </c>
      <c r="U67" s="518">
        <f t="shared" si="28"/>
        <v>6890</v>
      </c>
      <c r="V67" s="518">
        <f t="shared" si="30"/>
        <v>5805</v>
      </c>
      <c r="W67" s="518">
        <f t="shared" si="32"/>
        <v>5580.9035000000003</v>
      </c>
      <c r="X67" s="518">
        <f t="shared" si="35"/>
        <v>4092.0833333333335</v>
      </c>
      <c r="Y67" s="518">
        <f t="shared" si="37"/>
        <v>3393.3333333333335</v>
      </c>
      <c r="Z67" s="518">
        <f t="shared" si="39"/>
        <v>5251.666666666667</v>
      </c>
      <c r="AA67" s="518">
        <f t="shared" si="41"/>
        <v>3206.7083333333335</v>
      </c>
      <c r="AB67" s="518">
        <f t="shared" si="43"/>
        <v>2656.6666666666665</v>
      </c>
      <c r="AC67" s="518">
        <f t="shared" si="45"/>
        <v>2408.3333333333335</v>
      </c>
      <c r="AD67" s="518">
        <f t="shared" si="47"/>
        <v>1618.3333333333333</v>
      </c>
      <c r="AE67" s="518">
        <f t="shared" si="49"/>
        <v>2563.3333333333335</v>
      </c>
      <c r="AF67" s="518">
        <f t="shared" si="51"/>
        <v>2318.3333333333335</v>
      </c>
      <c r="AG67" s="518">
        <f t="shared" si="53"/>
        <v>2056.6666666666665</v>
      </c>
      <c r="AH67" s="518">
        <f t="shared" si="55"/>
        <v>1968.3333333333333</v>
      </c>
      <c r="AI67" s="518">
        <f t="shared" si="57"/>
        <v>2435</v>
      </c>
      <c r="AJ67" s="518">
        <f t="shared" si="60"/>
        <v>1468.3333333333333</v>
      </c>
      <c r="AK67" s="518">
        <f t="shared" si="62"/>
        <v>1326.6666666666667</v>
      </c>
      <c r="AL67" s="518">
        <f t="shared" si="64"/>
        <v>1798.3333333333333</v>
      </c>
      <c r="AM67" s="518">
        <f t="shared" si="66"/>
        <v>1486.6666666666667</v>
      </c>
      <c r="AN67" s="518">
        <f t="shared" si="68"/>
        <v>1538.3333333333333</v>
      </c>
      <c r="AO67" s="518">
        <f t="shared" si="70"/>
        <v>1136.6666666666667</v>
      </c>
      <c r="AP67" s="518">
        <f t="shared" si="72"/>
        <v>1131.6666666666667</v>
      </c>
      <c r="AQ67" s="518">
        <f t="shared" si="75"/>
        <v>1275</v>
      </c>
      <c r="AR67" s="518">
        <f t="shared" si="77"/>
        <v>1440</v>
      </c>
      <c r="AS67" s="518">
        <f t="shared" si="79"/>
        <v>1505</v>
      </c>
      <c r="AT67" s="518">
        <f t="shared" si="84"/>
        <v>2083.3333333333335</v>
      </c>
      <c r="AU67" s="518">
        <f t="shared" si="86"/>
        <v>1470</v>
      </c>
      <c r="AV67" s="518">
        <f t="shared" si="88"/>
        <v>1508.3333333333333</v>
      </c>
      <c r="AW67" s="518">
        <f t="shared" si="90"/>
        <v>1710</v>
      </c>
      <c r="AX67" s="518">
        <f t="shared" si="94"/>
        <v>1583.3333333333333</v>
      </c>
      <c r="AY67" s="518">
        <f t="shared" si="96"/>
        <v>1113.3333333333333</v>
      </c>
      <c r="AZ67" s="518">
        <f t="shared" si="98"/>
        <v>1646.6666666666667</v>
      </c>
      <c r="BA67" s="518">
        <f t="shared" si="100"/>
        <v>1136.6666666666667</v>
      </c>
      <c r="BB67" s="518">
        <f t="shared" si="102"/>
        <v>1223.3333333333333</v>
      </c>
      <c r="BC67" s="619">
        <f t="shared" si="104"/>
        <v>1598.3333333333333</v>
      </c>
      <c r="BD67" s="619">
        <f t="shared" si="106"/>
        <v>163.33333333333334</v>
      </c>
      <c r="BE67" s="619">
        <f t="shared" si="108"/>
        <v>91.666666666666671</v>
      </c>
      <c r="BF67" s="619">
        <f t="shared" si="110"/>
        <v>18.333333333333332</v>
      </c>
      <c r="BG67" s="619">
        <f t="shared" si="112"/>
        <v>8.3333333333333339</v>
      </c>
      <c r="BH67" s="619"/>
      <c r="BI67" s="619"/>
      <c r="BJ67" s="619">
        <f t="shared" si="116"/>
        <v>8.3333333333333339</v>
      </c>
      <c r="BK67" s="619">
        <f t="shared" si="118"/>
        <v>0</v>
      </c>
      <c r="BL67" s="619">
        <f t="shared" si="120"/>
        <v>10</v>
      </c>
      <c r="BM67" s="619">
        <f t="shared" si="122"/>
        <v>0</v>
      </c>
      <c r="BN67" s="619">
        <f t="shared" si="124"/>
        <v>0</v>
      </c>
      <c r="BO67" s="619">
        <f t="shared" si="126"/>
        <v>0</v>
      </c>
      <c r="BP67" s="619">
        <f t="shared" si="128"/>
        <v>0</v>
      </c>
      <c r="BQ67" s="619">
        <f t="shared" si="130"/>
        <v>8.3333333333333339</v>
      </c>
      <c r="BR67" s="518">
        <f t="shared" si="11"/>
        <v>111026.19516666663</v>
      </c>
      <c r="BS67" s="518">
        <f t="shared" si="15"/>
        <v>5651068.2890000027</v>
      </c>
      <c r="BT67" s="518">
        <f t="shared" si="80"/>
        <v>1373403.4209999973</v>
      </c>
      <c r="BU67" s="518">
        <f t="shared" si="81"/>
        <v>1484429.6161666643</v>
      </c>
      <c r="DV67" s="621">
        <f t="shared" si="123"/>
        <v>0</v>
      </c>
      <c r="DW67" s="621">
        <f t="shared" si="125"/>
        <v>0</v>
      </c>
      <c r="DX67" s="621">
        <f t="shared" si="127"/>
        <v>0</v>
      </c>
      <c r="DY67" s="621">
        <f t="shared" si="129"/>
        <v>0</v>
      </c>
      <c r="DZ67" s="621">
        <f t="shared" si="131"/>
        <v>41.666666666666664</v>
      </c>
      <c r="EA67" s="518">
        <f t="shared" si="13"/>
        <v>41.666666666666664</v>
      </c>
      <c r="EC67" s="519">
        <f t="shared" si="92"/>
        <v>41.666666666666664</v>
      </c>
      <c r="ED67" s="519">
        <f t="shared" si="83"/>
        <v>111026.19516666663</v>
      </c>
      <c r="EE67" s="518">
        <f t="shared" si="93"/>
        <v>110984.52849999996</v>
      </c>
      <c r="EF67" s="518">
        <f>+EE67*'Capital Structure '!$P$30</f>
        <v>31197.750961349982</v>
      </c>
      <c r="EG67" s="518">
        <f t="shared" si="17"/>
        <v>-386016.85164309997</v>
      </c>
    </row>
    <row r="68" spans="1:137" s="585" customFormat="1" outlineLevel="1">
      <c r="A68" s="308" t="s">
        <v>51</v>
      </c>
      <c r="B68" s="308">
        <f t="shared" si="74"/>
        <v>2020</v>
      </c>
      <c r="C68" s="308" t="s">
        <v>47</v>
      </c>
      <c r="D68" s="518"/>
      <c r="E68" s="518"/>
      <c r="F68" s="518"/>
      <c r="G68" s="518"/>
      <c r="H68" s="518"/>
      <c r="I68" s="518"/>
      <c r="J68" s="519"/>
      <c r="K68" s="518">
        <f t="shared" si="4"/>
        <v>0</v>
      </c>
      <c r="L68" s="518">
        <f>SUM(K$5:K68)</f>
        <v>7024471.71</v>
      </c>
      <c r="P68" s="518"/>
      <c r="Q68" s="518"/>
      <c r="R68" s="518">
        <f t="shared" si="22"/>
        <v>8403.3333333333339</v>
      </c>
      <c r="S68" s="518">
        <f t="shared" si="24"/>
        <v>8219.8333333333339</v>
      </c>
      <c r="T68" s="518">
        <f t="shared" si="26"/>
        <v>6750</v>
      </c>
      <c r="U68" s="518">
        <f t="shared" si="28"/>
        <v>6890</v>
      </c>
      <c r="V68" s="518">
        <f t="shared" si="30"/>
        <v>5805</v>
      </c>
      <c r="W68" s="518">
        <f t="shared" si="32"/>
        <v>5580.9035000000003</v>
      </c>
      <c r="X68" s="518">
        <f t="shared" si="35"/>
        <v>4092.0833333333335</v>
      </c>
      <c r="Y68" s="518">
        <f t="shared" si="37"/>
        <v>3393.3333333333335</v>
      </c>
      <c r="Z68" s="518">
        <f t="shared" si="39"/>
        <v>5251.666666666667</v>
      </c>
      <c r="AA68" s="518">
        <f t="shared" si="41"/>
        <v>3206.7083333333335</v>
      </c>
      <c r="AB68" s="518">
        <f t="shared" si="43"/>
        <v>2656.6666666666665</v>
      </c>
      <c r="AC68" s="518">
        <f t="shared" si="45"/>
        <v>2408.3333333333335</v>
      </c>
      <c r="AD68" s="518">
        <f t="shared" si="47"/>
        <v>1618.3333333333333</v>
      </c>
      <c r="AE68" s="518">
        <f t="shared" si="49"/>
        <v>2563.3333333333335</v>
      </c>
      <c r="AF68" s="518">
        <f t="shared" si="51"/>
        <v>2318.3333333333335</v>
      </c>
      <c r="AG68" s="518">
        <f t="shared" si="53"/>
        <v>2056.6666666666665</v>
      </c>
      <c r="AH68" s="518">
        <f t="shared" si="55"/>
        <v>1968.3333333333333</v>
      </c>
      <c r="AI68" s="518">
        <f t="shared" si="57"/>
        <v>2435</v>
      </c>
      <c r="AJ68" s="518">
        <f t="shared" si="60"/>
        <v>1468.3333333333333</v>
      </c>
      <c r="AK68" s="518">
        <f t="shared" si="62"/>
        <v>1326.6666666666667</v>
      </c>
      <c r="AL68" s="518">
        <f t="shared" si="64"/>
        <v>1798.3333333333333</v>
      </c>
      <c r="AM68" s="518">
        <f t="shared" si="66"/>
        <v>1486.6666666666667</v>
      </c>
      <c r="AN68" s="518">
        <f t="shared" si="68"/>
        <v>1538.3333333333333</v>
      </c>
      <c r="AO68" s="518">
        <f t="shared" si="70"/>
        <v>1136.6666666666667</v>
      </c>
      <c r="AP68" s="518">
        <f t="shared" si="72"/>
        <v>1131.6666666666667</v>
      </c>
      <c r="AQ68" s="518">
        <f t="shared" si="75"/>
        <v>1275</v>
      </c>
      <c r="AR68" s="518">
        <f t="shared" si="77"/>
        <v>1440</v>
      </c>
      <c r="AS68" s="518">
        <f t="shared" si="79"/>
        <v>1505</v>
      </c>
      <c r="AT68" s="518">
        <f t="shared" si="84"/>
        <v>2083.3333333333335</v>
      </c>
      <c r="AU68" s="518">
        <f t="shared" si="86"/>
        <v>1470</v>
      </c>
      <c r="AV68" s="518">
        <f t="shared" si="88"/>
        <v>1508.3333333333333</v>
      </c>
      <c r="AW68" s="518">
        <f t="shared" si="90"/>
        <v>1710</v>
      </c>
      <c r="AX68" s="518">
        <f t="shared" si="94"/>
        <v>1583.3333333333333</v>
      </c>
      <c r="AY68" s="518">
        <f t="shared" si="96"/>
        <v>1113.3333333333333</v>
      </c>
      <c r="AZ68" s="518">
        <f t="shared" si="98"/>
        <v>1646.6666666666667</v>
      </c>
      <c r="BA68" s="518">
        <f t="shared" si="100"/>
        <v>1136.6666666666667</v>
      </c>
      <c r="BB68" s="518">
        <f t="shared" si="102"/>
        <v>1223.3333333333333</v>
      </c>
      <c r="BC68" s="619">
        <f t="shared" si="104"/>
        <v>1598.3333333333333</v>
      </c>
      <c r="BD68" s="619">
        <f t="shared" si="106"/>
        <v>163.33333333333334</v>
      </c>
      <c r="BE68" s="619">
        <f t="shared" si="108"/>
        <v>91.666666666666671</v>
      </c>
      <c r="BF68" s="619">
        <f t="shared" si="110"/>
        <v>18.333333333333332</v>
      </c>
      <c r="BG68" s="619">
        <f t="shared" si="112"/>
        <v>8.3333333333333339</v>
      </c>
      <c r="BH68" s="619"/>
      <c r="BI68" s="619"/>
      <c r="BJ68" s="619">
        <f t="shared" si="116"/>
        <v>8.3333333333333339</v>
      </c>
      <c r="BK68" s="619">
        <f t="shared" si="118"/>
        <v>0</v>
      </c>
      <c r="BL68" s="619">
        <f t="shared" si="120"/>
        <v>10</v>
      </c>
      <c r="BM68" s="619">
        <f t="shared" si="122"/>
        <v>0</v>
      </c>
      <c r="BN68" s="619">
        <f t="shared" si="124"/>
        <v>0</v>
      </c>
      <c r="BO68" s="619">
        <f t="shared" si="126"/>
        <v>0</v>
      </c>
      <c r="BP68" s="619">
        <f t="shared" si="128"/>
        <v>0</v>
      </c>
      <c r="BQ68" s="619">
        <f t="shared" si="130"/>
        <v>8.3333333333333339</v>
      </c>
      <c r="BR68" s="518">
        <f t="shared" si="11"/>
        <v>105106.19516666664</v>
      </c>
      <c r="BS68" s="518">
        <f t="shared" si="15"/>
        <v>5756174.4841666697</v>
      </c>
      <c r="BT68" s="518">
        <f t="shared" si="80"/>
        <v>1268297.2258333303</v>
      </c>
      <c r="BU68" s="518">
        <f t="shared" si="81"/>
        <v>1373403.4209999973</v>
      </c>
      <c r="DW68" s="621">
        <f t="shared" si="125"/>
        <v>0</v>
      </c>
      <c r="DX68" s="621">
        <f t="shared" si="127"/>
        <v>0</v>
      </c>
      <c r="DY68" s="621">
        <f t="shared" si="129"/>
        <v>0</v>
      </c>
      <c r="DZ68" s="621">
        <f t="shared" si="131"/>
        <v>41.666666666666664</v>
      </c>
      <c r="EA68" s="518">
        <f t="shared" si="13"/>
        <v>41.666666666666664</v>
      </c>
      <c r="EC68" s="519">
        <f t="shared" si="92"/>
        <v>41.666666666666664</v>
      </c>
      <c r="ED68" s="519">
        <f t="shared" si="83"/>
        <v>105106.19516666664</v>
      </c>
      <c r="EE68" s="518">
        <f t="shared" si="93"/>
        <v>105064.52849999997</v>
      </c>
      <c r="EF68" s="518">
        <f>+EE68*'Capital Structure '!$P$30</f>
        <v>29533.638961349989</v>
      </c>
      <c r="EG68" s="518">
        <f t="shared" si="17"/>
        <v>-356483.21268175001</v>
      </c>
    </row>
    <row r="69" spans="1:137" s="585" customFormat="1" outlineLevel="1">
      <c r="A69" s="308" t="s">
        <v>52</v>
      </c>
      <c r="B69" s="308">
        <f t="shared" si="74"/>
        <v>2020</v>
      </c>
      <c r="C69" s="308" t="s">
        <v>47</v>
      </c>
      <c r="D69" s="518"/>
      <c r="E69" s="518"/>
      <c r="F69" s="518"/>
      <c r="G69" s="518"/>
      <c r="H69" s="518"/>
      <c r="I69" s="518"/>
      <c r="J69" s="518"/>
      <c r="K69" s="518">
        <f t="shared" ref="K69:K105" si="132">SUM(D69:I69)</f>
        <v>0</v>
      </c>
      <c r="L69" s="518">
        <f>SUM(K$5:K69)</f>
        <v>7024471.71</v>
      </c>
      <c r="N69" s="518"/>
      <c r="O69" s="518"/>
      <c r="P69" s="518"/>
      <c r="Q69" s="518"/>
      <c r="R69" s="518"/>
      <c r="S69" s="518">
        <f t="shared" si="24"/>
        <v>8219.8333333333339</v>
      </c>
      <c r="T69" s="518">
        <f t="shared" si="26"/>
        <v>6750</v>
      </c>
      <c r="U69" s="518">
        <f t="shared" si="28"/>
        <v>6890</v>
      </c>
      <c r="V69" s="518">
        <f t="shared" si="30"/>
        <v>5805</v>
      </c>
      <c r="W69" s="518">
        <f t="shared" si="32"/>
        <v>5580.9035000000003</v>
      </c>
      <c r="X69" s="518">
        <f t="shared" si="35"/>
        <v>4092.0833333333335</v>
      </c>
      <c r="Y69" s="518">
        <f t="shared" si="37"/>
        <v>3393.3333333333335</v>
      </c>
      <c r="Z69" s="518">
        <f t="shared" si="39"/>
        <v>5251.666666666667</v>
      </c>
      <c r="AA69" s="518">
        <f t="shared" si="41"/>
        <v>3206.7083333333335</v>
      </c>
      <c r="AB69" s="518">
        <f t="shared" si="43"/>
        <v>2656.6666666666665</v>
      </c>
      <c r="AC69" s="518">
        <f t="shared" si="45"/>
        <v>2408.3333333333335</v>
      </c>
      <c r="AD69" s="518">
        <f t="shared" si="47"/>
        <v>1618.3333333333333</v>
      </c>
      <c r="AE69" s="518">
        <f t="shared" si="49"/>
        <v>2563.3333333333335</v>
      </c>
      <c r="AF69" s="518">
        <f t="shared" si="51"/>
        <v>2318.3333333333335</v>
      </c>
      <c r="AG69" s="518">
        <f t="shared" si="53"/>
        <v>2056.6666666666665</v>
      </c>
      <c r="AH69" s="518">
        <f t="shared" si="55"/>
        <v>1968.3333333333333</v>
      </c>
      <c r="AI69" s="518">
        <f t="shared" si="57"/>
        <v>2435</v>
      </c>
      <c r="AJ69" s="518">
        <f t="shared" si="60"/>
        <v>1468.3333333333333</v>
      </c>
      <c r="AK69" s="518">
        <f t="shared" si="62"/>
        <v>1326.6666666666667</v>
      </c>
      <c r="AL69" s="518">
        <f t="shared" si="64"/>
        <v>1798.3333333333333</v>
      </c>
      <c r="AM69" s="518">
        <f t="shared" si="66"/>
        <v>1486.6666666666667</v>
      </c>
      <c r="AN69" s="518">
        <f t="shared" si="68"/>
        <v>1538.3333333333333</v>
      </c>
      <c r="AO69" s="518">
        <f t="shared" si="70"/>
        <v>1136.6666666666667</v>
      </c>
      <c r="AP69" s="518">
        <f t="shared" si="72"/>
        <v>1131.6666666666667</v>
      </c>
      <c r="AQ69" s="518">
        <f t="shared" si="75"/>
        <v>1275</v>
      </c>
      <c r="AR69" s="518">
        <f t="shared" si="77"/>
        <v>1440</v>
      </c>
      <c r="AS69" s="518">
        <f t="shared" si="79"/>
        <v>1505</v>
      </c>
      <c r="AT69" s="518">
        <f t="shared" si="84"/>
        <v>2083.3333333333335</v>
      </c>
      <c r="AU69" s="518">
        <f t="shared" si="86"/>
        <v>1470</v>
      </c>
      <c r="AV69" s="518">
        <f t="shared" si="88"/>
        <v>1508.3333333333333</v>
      </c>
      <c r="AW69" s="518">
        <f t="shared" si="90"/>
        <v>1710</v>
      </c>
      <c r="AX69" s="518">
        <f t="shared" si="94"/>
        <v>1583.3333333333333</v>
      </c>
      <c r="AY69" s="518">
        <f t="shared" si="96"/>
        <v>1113.3333333333333</v>
      </c>
      <c r="AZ69" s="518">
        <f t="shared" si="98"/>
        <v>1646.6666666666667</v>
      </c>
      <c r="BA69" s="518">
        <f t="shared" si="100"/>
        <v>1136.6666666666667</v>
      </c>
      <c r="BB69" s="518">
        <f t="shared" si="102"/>
        <v>1223.3333333333333</v>
      </c>
      <c r="BC69" s="619">
        <f t="shared" si="104"/>
        <v>1598.3333333333333</v>
      </c>
      <c r="BD69" s="619">
        <f t="shared" si="106"/>
        <v>163.33333333333334</v>
      </c>
      <c r="BE69" s="619">
        <f t="shared" si="108"/>
        <v>91.666666666666671</v>
      </c>
      <c r="BF69" s="619">
        <f t="shared" si="110"/>
        <v>18.333333333333332</v>
      </c>
      <c r="BG69" s="619">
        <f t="shared" si="112"/>
        <v>8.3333333333333339</v>
      </c>
      <c r="BH69" s="619"/>
      <c r="BI69" s="619"/>
      <c r="BJ69" s="619">
        <f t="shared" si="116"/>
        <v>8.3333333333333339</v>
      </c>
      <c r="BK69" s="619">
        <f t="shared" si="118"/>
        <v>0</v>
      </c>
      <c r="BL69" s="619">
        <f t="shared" si="120"/>
        <v>10</v>
      </c>
      <c r="BM69" s="619">
        <f t="shared" si="122"/>
        <v>0</v>
      </c>
      <c r="BN69" s="619">
        <f t="shared" si="124"/>
        <v>0</v>
      </c>
      <c r="BO69" s="619">
        <f t="shared" si="126"/>
        <v>0</v>
      </c>
      <c r="BP69" s="619">
        <f t="shared" si="128"/>
        <v>0</v>
      </c>
      <c r="BQ69" s="619">
        <f t="shared" si="130"/>
        <v>8.3333333333333339</v>
      </c>
      <c r="BR69" s="518">
        <f t="shared" si="11"/>
        <v>96702.861833333314</v>
      </c>
      <c r="BS69" s="518">
        <f t="shared" si="15"/>
        <v>5852877.3460000027</v>
      </c>
      <c r="BT69" s="518">
        <f t="shared" ref="BT69:BT76" si="133">+L69-BS69</f>
        <v>1171594.3639999973</v>
      </c>
      <c r="BU69" s="518">
        <f t="shared" ref="BU69:BU76" si="134">+L69-BS68</f>
        <v>1268297.2258333303</v>
      </c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620">
        <f t="shared" si="127"/>
        <v>0</v>
      </c>
      <c r="DY69" s="620">
        <f t="shared" si="129"/>
        <v>0</v>
      </c>
      <c r="DZ69" s="620">
        <f t="shared" si="131"/>
        <v>41.666666666666664</v>
      </c>
      <c r="EA69" s="518">
        <f t="shared" si="13"/>
        <v>41.666666666666664</v>
      </c>
      <c r="EC69" s="519">
        <f t="shared" si="92"/>
        <v>41.666666666666664</v>
      </c>
      <c r="ED69" s="519">
        <f t="shared" ref="ED69:ED87" si="135">+BR69</f>
        <v>96702.861833333314</v>
      </c>
      <c r="EE69" s="518">
        <f t="shared" si="93"/>
        <v>96661.195166666643</v>
      </c>
      <c r="EF69" s="518">
        <f>+EE69*'Capital Structure '!$P$30</f>
        <v>27171.461961349989</v>
      </c>
      <c r="EG69" s="518">
        <f t="shared" si="17"/>
        <v>-329311.75072040001</v>
      </c>
    </row>
    <row r="70" spans="1:137" s="585" customFormat="1" outlineLevel="1">
      <c r="A70" s="308" t="s">
        <v>53</v>
      </c>
      <c r="B70" s="308">
        <f>+B69+1</f>
        <v>2021</v>
      </c>
      <c r="C70" s="308" t="s">
        <v>47</v>
      </c>
      <c r="D70" s="518"/>
      <c r="E70" s="518"/>
      <c r="F70" s="518"/>
      <c r="G70" s="518"/>
      <c r="H70" s="518"/>
      <c r="I70" s="518"/>
      <c r="J70" s="519"/>
      <c r="K70" s="518">
        <f t="shared" si="132"/>
        <v>0</v>
      </c>
      <c r="L70" s="518">
        <f>SUM(K$5:K70)</f>
        <v>7024471.71</v>
      </c>
      <c r="P70" s="518"/>
      <c r="Q70" s="518"/>
      <c r="R70" s="518"/>
      <c r="S70" s="518"/>
      <c r="T70" s="518">
        <f t="shared" si="26"/>
        <v>6750</v>
      </c>
      <c r="U70" s="518">
        <f t="shared" si="28"/>
        <v>6890</v>
      </c>
      <c r="V70" s="518">
        <f t="shared" si="30"/>
        <v>5805</v>
      </c>
      <c r="W70" s="518">
        <f t="shared" si="32"/>
        <v>5580.9035000000003</v>
      </c>
      <c r="X70" s="518">
        <f t="shared" si="35"/>
        <v>4092.0833333333335</v>
      </c>
      <c r="Y70" s="518">
        <f t="shared" si="37"/>
        <v>3393.3333333333335</v>
      </c>
      <c r="Z70" s="518">
        <f t="shared" si="39"/>
        <v>5251.666666666667</v>
      </c>
      <c r="AA70" s="518">
        <f t="shared" si="41"/>
        <v>3206.7083333333335</v>
      </c>
      <c r="AB70" s="518">
        <f t="shared" si="43"/>
        <v>2656.6666666666665</v>
      </c>
      <c r="AC70" s="518">
        <f t="shared" si="45"/>
        <v>2408.3333333333335</v>
      </c>
      <c r="AD70" s="518">
        <f t="shared" si="47"/>
        <v>1618.3333333333333</v>
      </c>
      <c r="AE70" s="518">
        <f t="shared" si="49"/>
        <v>2563.3333333333335</v>
      </c>
      <c r="AF70" s="518">
        <f t="shared" si="51"/>
        <v>2318.3333333333335</v>
      </c>
      <c r="AG70" s="518">
        <f t="shared" si="53"/>
        <v>2056.6666666666665</v>
      </c>
      <c r="AH70" s="518">
        <f t="shared" si="55"/>
        <v>1968.3333333333333</v>
      </c>
      <c r="AI70" s="518">
        <f t="shared" si="57"/>
        <v>2435</v>
      </c>
      <c r="AJ70" s="518">
        <f t="shared" si="60"/>
        <v>1468.3333333333333</v>
      </c>
      <c r="AK70" s="518">
        <f t="shared" si="62"/>
        <v>1326.6666666666667</v>
      </c>
      <c r="AL70" s="518">
        <f t="shared" si="64"/>
        <v>1798.3333333333333</v>
      </c>
      <c r="AM70" s="518">
        <f t="shared" si="66"/>
        <v>1486.6666666666667</v>
      </c>
      <c r="AN70" s="518">
        <f t="shared" si="68"/>
        <v>1538.3333333333333</v>
      </c>
      <c r="AO70" s="518">
        <f t="shared" si="70"/>
        <v>1136.6666666666667</v>
      </c>
      <c r="AP70" s="518">
        <f t="shared" si="72"/>
        <v>1131.6666666666667</v>
      </c>
      <c r="AQ70" s="518">
        <f t="shared" si="75"/>
        <v>1275</v>
      </c>
      <c r="AR70" s="518">
        <f t="shared" si="77"/>
        <v>1440</v>
      </c>
      <c r="AS70" s="518">
        <f t="shared" si="79"/>
        <v>1505</v>
      </c>
      <c r="AT70" s="518">
        <f t="shared" si="84"/>
        <v>2083.3333333333335</v>
      </c>
      <c r="AU70" s="518">
        <f t="shared" si="86"/>
        <v>1470</v>
      </c>
      <c r="AV70" s="518">
        <f t="shared" si="88"/>
        <v>1508.3333333333333</v>
      </c>
      <c r="AW70" s="518">
        <f t="shared" si="90"/>
        <v>1710</v>
      </c>
      <c r="AX70" s="518">
        <f t="shared" si="94"/>
        <v>1583.3333333333333</v>
      </c>
      <c r="AY70" s="518">
        <f t="shared" si="96"/>
        <v>1113.3333333333333</v>
      </c>
      <c r="AZ70" s="518">
        <f t="shared" si="98"/>
        <v>1646.6666666666667</v>
      </c>
      <c r="BA70" s="518">
        <f t="shared" si="100"/>
        <v>1136.6666666666667</v>
      </c>
      <c r="BB70" s="518">
        <f t="shared" si="102"/>
        <v>1223.3333333333333</v>
      </c>
      <c r="BC70" s="619">
        <f t="shared" si="104"/>
        <v>1598.3333333333333</v>
      </c>
      <c r="BD70" s="619">
        <f t="shared" si="106"/>
        <v>163.33333333333334</v>
      </c>
      <c r="BE70" s="619">
        <f t="shared" si="108"/>
        <v>91.666666666666671</v>
      </c>
      <c r="BF70" s="619">
        <f t="shared" si="110"/>
        <v>18.333333333333332</v>
      </c>
      <c r="BG70" s="619">
        <f t="shared" si="112"/>
        <v>8.3333333333333339</v>
      </c>
      <c r="BH70" s="619"/>
      <c r="BI70" s="619"/>
      <c r="BJ70" s="619">
        <f t="shared" si="116"/>
        <v>8.3333333333333339</v>
      </c>
      <c r="BK70" s="619">
        <f t="shared" si="118"/>
        <v>0</v>
      </c>
      <c r="BL70" s="619">
        <f t="shared" si="120"/>
        <v>10</v>
      </c>
      <c r="BM70" s="619">
        <f t="shared" si="122"/>
        <v>0</v>
      </c>
      <c r="BN70" s="619">
        <f t="shared" si="124"/>
        <v>0</v>
      </c>
      <c r="BO70" s="619">
        <f t="shared" si="126"/>
        <v>0</v>
      </c>
      <c r="BP70" s="619">
        <f t="shared" si="128"/>
        <v>0</v>
      </c>
      <c r="BQ70" s="619">
        <f t="shared" si="130"/>
        <v>8.3333333333333339</v>
      </c>
      <c r="BR70" s="518">
        <f t="shared" ref="BR70:BR119" si="136">SUM(N70:BQ70)</f>
        <v>88483.028499999971</v>
      </c>
      <c r="BS70" s="518">
        <f t="shared" si="15"/>
        <v>5941360.3745000027</v>
      </c>
      <c r="BT70" s="518">
        <f t="shared" si="133"/>
        <v>1083111.3354999973</v>
      </c>
      <c r="BU70" s="518">
        <f t="shared" si="134"/>
        <v>1171594.3639999973</v>
      </c>
      <c r="DY70" s="621">
        <f t="shared" si="129"/>
        <v>0</v>
      </c>
      <c r="DZ70" s="621">
        <f t="shared" si="131"/>
        <v>41.666666666666664</v>
      </c>
      <c r="EA70" s="518">
        <f t="shared" ref="EA70:EA111" si="137">SUM(BW70:DZ70)</f>
        <v>41.666666666666664</v>
      </c>
      <c r="EC70" s="519">
        <f t="shared" si="92"/>
        <v>41.666666666666664</v>
      </c>
      <c r="ED70" s="519">
        <f t="shared" si="135"/>
        <v>88483.028499999971</v>
      </c>
      <c r="EE70" s="518">
        <f t="shared" si="93"/>
        <v>88441.3618333333</v>
      </c>
      <c r="EF70" s="518">
        <f>+EE70*'Capital Structure '!$P$30</f>
        <v>24860.866811349988</v>
      </c>
      <c r="EG70" s="518">
        <f t="shared" si="17"/>
        <v>-304450.88390905003</v>
      </c>
    </row>
    <row r="71" spans="1:137" s="585" customFormat="1" outlineLevel="1">
      <c r="A71" s="308" t="s">
        <v>54</v>
      </c>
      <c r="B71" s="308">
        <f t="shared" si="74"/>
        <v>2021</v>
      </c>
      <c r="C71" s="308" t="s">
        <v>47</v>
      </c>
      <c r="D71" s="518"/>
      <c r="E71" s="518"/>
      <c r="F71" s="518"/>
      <c r="G71" s="518"/>
      <c r="H71" s="518"/>
      <c r="I71" s="518"/>
      <c r="J71" s="519"/>
      <c r="K71" s="518">
        <f t="shared" si="132"/>
        <v>0</v>
      </c>
      <c r="L71" s="518">
        <f>SUM(K$5:K71)</f>
        <v>7024471.71</v>
      </c>
      <c r="U71" s="518">
        <f t="shared" si="28"/>
        <v>6890</v>
      </c>
      <c r="V71" s="518">
        <f t="shared" si="30"/>
        <v>5805</v>
      </c>
      <c r="W71" s="518">
        <f t="shared" si="32"/>
        <v>5580.9035000000003</v>
      </c>
      <c r="X71" s="518">
        <f t="shared" si="35"/>
        <v>4092.0833333333335</v>
      </c>
      <c r="Y71" s="518">
        <f t="shared" si="37"/>
        <v>3393.3333333333335</v>
      </c>
      <c r="Z71" s="518">
        <f t="shared" si="39"/>
        <v>5251.666666666667</v>
      </c>
      <c r="AA71" s="518">
        <f t="shared" si="41"/>
        <v>3206.7083333333335</v>
      </c>
      <c r="AB71" s="518">
        <f t="shared" si="43"/>
        <v>2656.6666666666665</v>
      </c>
      <c r="AC71" s="518">
        <f t="shared" si="45"/>
        <v>2408.3333333333335</v>
      </c>
      <c r="AD71" s="518">
        <f t="shared" si="47"/>
        <v>1618.3333333333333</v>
      </c>
      <c r="AE71" s="518">
        <f t="shared" si="49"/>
        <v>2563.3333333333335</v>
      </c>
      <c r="AF71" s="518">
        <f t="shared" si="51"/>
        <v>2318.3333333333335</v>
      </c>
      <c r="AG71" s="518">
        <f t="shared" si="53"/>
        <v>2056.6666666666665</v>
      </c>
      <c r="AH71" s="518">
        <f t="shared" si="55"/>
        <v>1968.3333333333333</v>
      </c>
      <c r="AI71" s="518">
        <f t="shared" si="57"/>
        <v>2435</v>
      </c>
      <c r="AJ71" s="518">
        <f t="shared" si="60"/>
        <v>1468.3333333333333</v>
      </c>
      <c r="AK71" s="518">
        <f t="shared" si="62"/>
        <v>1326.6666666666667</v>
      </c>
      <c r="AL71" s="518">
        <f t="shared" si="64"/>
        <v>1798.3333333333333</v>
      </c>
      <c r="AM71" s="518">
        <f t="shared" si="66"/>
        <v>1486.6666666666667</v>
      </c>
      <c r="AN71" s="518">
        <f t="shared" si="68"/>
        <v>1538.3333333333333</v>
      </c>
      <c r="AO71" s="518">
        <f t="shared" si="70"/>
        <v>1136.6666666666667</v>
      </c>
      <c r="AP71" s="518">
        <f t="shared" si="72"/>
        <v>1131.6666666666667</v>
      </c>
      <c r="AQ71" s="518">
        <f t="shared" si="75"/>
        <v>1275</v>
      </c>
      <c r="AR71" s="518">
        <f t="shared" si="77"/>
        <v>1440</v>
      </c>
      <c r="AS71" s="518">
        <f t="shared" si="79"/>
        <v>1505</v>
      </c>
      <c r="AT71" s="518">
        <f t="shared" si="84"/>
        <v>2083.3333333333335</v>
      </c>
      <c r="AU71" s="518">
        <f t="shared" si="86"/>
        <v>1470</v>
      </c>
      <c r="AV71" s="518">
        <f t="shared" si="88"/>
        <v>1508.3333333333333</v>
      </c>
      <c r="AW71" s="518">
        <f t="shared" si="90"/>
        <v>1710</v>
      </c>
      <c r="AX71" s="518">
        <f t="shared" si="94"/>
        <v>1583.3333333333333</v>
      </c>
      <c r="AY71" s="518">
        <f t="shared" si="96"/>
        <v>1113.3333333333333</v>
      </c>
      <c r="AZ71" s="518">
        <f t="shared" si="98"/>
        <v>1646.6666666666667</v>
      </c>
      <c r="BA71" s="518">
        <f t="shared" si="100"/>
        <v>1136.6666666666667</v>
      </c>
      <c r="BB71" s="518">
        <f t="shared" si="102"/>
        <v>1223.3333333333333</v>
      </c>
      <c r="BC71" s="619">
        <f t="shared" si="104"/>
        <v>1598.3333333333333</v>
      </c>
      <c r="BD71" s="619">
        <f t="shared" si="106"/>
        <v>163.33333333333334</v>
      </c>
      <c r="BE71" s="619">
        <f t="shared" si="108"/>
        <v>91.666666666666671</v>
      </c>
      <c r="BF71" s="619">
        <f t="shared" si="110"/>
        <v>18.333333333333332</v>
      </c>
      <c r="BG71" s="619">
        <f t="shared" si="112"/>
        <v>8.3333333333333339</v>
      </c>
      <c r="BH71" s="619"/>
      <c r="BI71" s="619"/>
      <c r="BJ71" s="619">
        <f t="shared" si="116"/>
        <v>8.3333333333333339</v>
      </c>
      <c r="BK71" s="619">
        <f t="shared" si="118"/>
        <v>0</v>
      </c>
      <c r="BL71" s="619">
        <f t="shared" si="120"/>
        <v>10</v>
      </c>
      <c r="BM71" s="619">
        <f t="shared" si="122"/>
        <v>0</v>
      </c>
      <c r="BN71" s="619">
        <f t="shared" si="124"/>
        <v>0</v>
      </c>
      <c r="BO71" s="619">
        <f t="shared" si="126"/>
        <v>0</v>
      </c>
      <c r="BP71" s="619">
        <f t="shared" si="128"/>
        <v>0</v>
      </c>
      <c r="BQ71" s="619">
        <f t="shared" si="130"/>
        <v>8.3333333333333339</v>
      </c>
      <c r="BR71" s="518">
        <f t="shared" si="136"/>
        <v>81733.028499999957</v>
      </c>
      <c r="BS71" s="518">
        <f t="shared" ref="BS71:BS76" si="138">BS70+BR71</f>
        <v>6023093.4030000027</v>
      </c>
      <c r="BT71" s="518">
        <f t="shared" si="133"/>
        <v>1001378.3069999972</v>
      </c>
      <c r="BU71" s="518">
        <f t="shared" si="134"/>
        <v>1083111.3354999973</v>
      </c>
      <c r="DZ71" s="621">
        <f t="shared" si="131"/>
        <v>41.666666666666664</v>
      </c>
      <c r="EA71" s="518">
        <f t="shared" si="137"/>
        <v>41.666666666666664</v>
      </c>
      <c r="EC71" s="519">
        <f t="shared" si="92"/>
        <v>41.666666666666664</v>
      </c>
      <c r="ED71" s="519">
        <f t="shared" si="135"/>
        <v>81733.028499999957</v>
      </c>
      <c r="EE71" s="518">
        <f t="shared" si="93"/>
        <v>81691.361833333285</v>
      </c>
      <c r="EF71" s="518">
        <f>+EE71*'Capital Structure '!$P$30</f>
        <v>22963.441811349985</v>
      </c>
      <c r="EG71" s="518">
        <f t="shared" ref="EG71:EG87" si="139">EG70+EF71</f>
        <v>-281487.44209770003</v>
      </c>
    </row>
    <row r="72" spans="1:137" s="585" customFormat="1" outlineLevel="1">
      <c r="A72" s="308" t="s">
        <v>55</v>
      </c>
      <c r="B72" s="308">
        <f t="shared" si="74"/>
        <v>2021</v>
      </c>
      <c r="C72" s="308" t="s">
        <v>47</v>
      </c>
      <c r="D72" s="518"/>
      <c r="E72" s="518"/>
      <c r="F72" s="518"/>
      <c r="G72" s="518"/>
      <c r="H72" s="518"/>
      <c r="I72" s="518"/>
      <c r="J72" s="519"/>
      <c r="K72" s="518">
        <f t="shared" si="132"/>
        <v>0</v>
      </c>
      <c r="L72" s="518">
        <f>SUM(K$5:K72)</f>
        <v>7024471.71</v>
      </c>
      <c r="V72" s="518">
        <f t="shared" si="30"/>
        <v>5805</v>
      </c>
      <c r="W72" s="518">
        <f t="shared" si="32"/>
        <v>5580.9035000000003</v>
      </c>
      <c r="X72" s="518">
        <f t="shared" si="35"/>
        <v>4092.0833333333335</v>
      </c>
      <c r="Y72" s="518">
        <f t="shared" si="37"/>
        <v>3393.3333333333335</v>
      </c>
      <c r="Z72" s="518">
        <f t="shared" si="39"/>
        <v>5251.666666666667</v>
      </c>
      <c r="AA72" s="518">
        <f t="shared" si="41"/>
        <v>3206.7083333333335</v>
      </c>
      <c r="AB72" s="518">
        <f t="shared" si="43"/>
        <v>2656.6666666666665</v>
      </c>
      <c r="AC72" s="518">
        <f t="shared" si="45"/>
        <v>2408.3333333333335</v>
      </c>
      <c r="AD72" s="518">
        <f t="shared" si="47"/>
        <v>1618.3333333333333</v>
      </c>
      <c r="AE72" s="518">
        <f t="shared" si="49"/>
        <v>2563.3333333333335</v>
      </c>
      <c r="AF72" s="518">
        <f t="shared" si="51"/>
        <v>2318.3333333333335</v>
      </c>
      <c r="AG72" s="518">
        <f t="shared" si="53"/>
        <v>2056.6666666666665</v>
      </c>
      <c r="AH72" s="518">
        <f t="shared" si="55"/>
        <v>1968.3333333333333</v>
      </c>
      <c r="AI72" s="518">
        <f t="shared" si="57"/>
        <v>2435</v>
      </c>
      <c r="AJ72" s="518">
        <f t="shared" si="60"/>
        <v>1468.3333333333333</v>
      </c>
      <c r="AK72" s="518">
        <f t="shared" si="62"/>
        <v>1326.6666666666667</v>
      </c>
      <c r="AL72" s="518">
        <f t="shared" si="64"/>
        <v>1798.3333333333333</v>
      </c>
      <c r="AM72" s="518">
        <f t="shared" si="66"/>
        <v>1486.6666666666667</v>
      </c>
      <c r="AN72" s="518">
        <f t="shared" si="68"/>
        <v>1538.3333333333333</v>
      </c>
      <c r="AO72" s="518">
        <f t="shared" si="70"/>
        <v>1136.6666666666667</v>
      </c>
      <c r="AP72" s="518">
        <f t="shared" si="72"/>
        <v>1131.6666666666667</v>
      </c>
      <c r="AQ72" s="518">
        <f t="shared" si="75"/>
        <v>1275</v>
      </c>
      <c r="AR72" s="518">
        <f t="shared" si="77"/>
        <v>1440</v>
      </c>
      <c r="AS72" s="518">
        <f t="shared" si="79"/>
        <v>1505</v>
      </c>
      <c r="AT72" s="518">
        <f t="shared" si="84"/>
        <v>2083.3333333333335</v>
      </c>
      <c r="AU72" s="518">
        <f t="shared" si="86"/>
        <v>1470</v>
      </c>
      <c r="AV72" s="518">
        <f t="shared" si="88"/>
        <v>1508.3333333333333</v>
      </c>
      <c r="AW72" s="518">
        <f t="shared" si="90"/>
        <v>1710</v>
      </c>
      <c r="AX72" s="518">
        <f t="shared" si="94"/>
        <v>1583.3333333333333</v>
      </c>
      <c r="AY72" s="518">
        <f t="shared" si="96"/>
        <v>1113.3333333333333</v>
      </c>
      <c r="AZ72" s="518">
        <f t="shared" si="98"/>
        <v>1646.6666666666667</v>
      </c>
      <c r="BA72" s="518">
        <f t="shared" si="100"/>
        <v>1136.6666666666667</v>
      </c>
      <c r="BB72" s="518">
        <f t="shared" si="102"/>
        <v>1223.3333333333333</v>
      </c>
      <c r="BC72" s="619">
        <f t="shared" si="104"/>
        <v>1598.3333333333333</v>
      </c>
      <c r="BD72" s="619">
        <f t="shared" si="106"/>
        <v>163.33333333333334</v>
      </c>
      <c r="BE72" s="619">
        <f t="shared" si="108"/>
        <v>91.666666666666671</v>
      </c>
      <c r="BF72" s="619">
        <f t="shared" si="110"/>
        <v>18.333333333333332</v>
      </c>
      <c r="BG72" s="619">
        <f t="shared" si="112"/>
        <v>8.3333333333333339</v>
      </c>
      <c r="BH72" s="619"/>
      <c r="BI72" s="619"/>
      <c r="BJ72" s="619">
        <f t="shared" si="116"/>
        <v>8.3333333333333339</v>
      </c>
      <c r="BK72" s="619">
        <f t="shared" si="118"/>
        <v>0</v>
      </c>
      <c r="BL72" s="619">
        <f t="shared" si="120"/>
        <v>10</v>
      </c>
      <c r="BM72" s="619">
        <f t="shared" si="122"/>
        <v>0</v>
      </c>
      <c r="BN72" s="619">
        <f t="shared" si="124"/>
        <v>0</v>
      </c>
      <c r="BO72" s="619">
        <f t="shared" si="126"/>
        <v>0</v>
      </c>
      <c r="BP72" s="619">
        <f t="shared" si="128"/>
        <v>0</v>
      </c>
      <c r="BQ72" s="619">
        <f t="shared" si="130"/>
        <v>8.3333333333333339</v>
      </c>
      <c r="BR72" s="518">
        <f t="shared" si="136"/>
        <v>74843.028499999986</v>
      </c>
      <c r="BS72" s="518">
        <f t="shared" si="138"/>
        <v>6097936.4315000027</v>
      </c>
      <c r="BT72" s="518">
        <f t="shared" si="133"/>
        <v>926535.27849999722</v>
      </c>
      <c r="BU72" s="518">
        <f t="shared" si="134"/>
        <v>1001378.3069999972</v>
      </c>
      <c r="EA72" s="518">
        <f t="shared" si="137"/>
        <v>0</v>
      </c>
      <c r="EC72" s="519">
        <f t="shared" si="92"/>
        <v>0</v>
      </c>
      <c r="ED72" s="519">
        <f t="shared" si="135"/>
        <v>74843.028499999986</v>
      </c>
      <c r="EE72" s="518">
        <f t="shared" si="93"/>
        <v>74843.028499999986</v>
      </c>
      <c r="EF72" s="518">
        <f>+EE72*'Capital Structure '!$P$30</f>
        <v>21038.375311349992</v>
      </c>
      <c r="EG72" s="518">
        <f t="shared" si="139"/>
        <v>-260449.06678635004</v>
      </c>
    </row>
    <row r="73" spans="1:137" s="585" customFormat="1" outlineLevel="1">
      <c r="A73" s="308" t="s">
        <v>56</v>
      </c>
      <c r="B73" s="308">
        <f t="shared" si="74"/>
        <v>2021</v>
      </c>
      <c r="C73" s="308" t="s">
        <v>47</v>
      </c>
      <c r="D73" s="518"/>
      <c r="E73" s="518"/>
      <c r="F73" s="518"/>
      <c r="G73" s="518"/>
      <c r="H73" s="518"/>
      <c r="I73" s="518"/>
      <c r="J73" s="519"/>
      <c r="K73" s="518">
        <f t="shared" si="132"/>
        <v>0</v>
      </c>
      <c r="L73" s="518">
        <f>SUM(K$5:K73)</f>
        <v>7024471.71</v>
      </c>
      <c r="W73" s="518">
        <f t="shared" si="32"/>
        <v>5580.9035000000003</v>
      </c>
      <c r="X73" s="518">
        <f t="shared" si="35"/>
        <v>4092.0833333333335</v>
      </c>
      <c r="Y73" s="518">
        <f t="shared" si="37"/>
        <v>3393.3333333333335</v>
      </c>
      <c r="Z73" s="518">
        <f t="shared" si="39"/>
        <v>5251.666666666667</v>
      </c>
      <c r="AA73" s="518">
        <f t="shared" si="41"/>
        <v>3206.7083333333335</v>
      </c>
      <c r="AB73" s="518">
        <f t="shared" si="43"/>
        <v>2656.6666666666665</v>
      </c>
      <c r="AC73" s="518">
        <f t="shared" si="45"/>
        <v>2408.3333333333335</v>
      </c>
      <c r="AD73" s="518">
        <f t="shared" si="47"/>
        <v>1618.3333333333333</v>
      </c>
      <c r="AE73" s="518">
        <f t="shared" si="49"/>
        <v>2563.3333333333335</v>
      </c>
      <c r="AF73" s="518">
        <f t="shared" si="51"/>
        <v>2318.3333333333335</v>
      </c>
      <c r="AG73" s="518">
        <f t="shared" si="53"/>
        <v>2056.6666666666665</v>
      </c>
      <c r="AH73" s="518">
        <f t="shared" si="55"/>
        <v>1968.3333333333333</v>
      </c>
      <c r="AI73" s="518">
        <f t="shared" si="57"/>
        <v>2435</v>
      </c>
      <c r="AJ73" s="518">
        <f t="shared" si="60"/>
        <v>1468.3333333333333</v>
      </c>
      <c r="AK73" s="518">
        <f t="shared" si="62"/>
        <v>1326.6666666666667</v>
      </c>
      <c r="AL73" s="518">
        <f t="shared" si="64"/>
        <v>1798.3333333333333</v>
      </c>
      <c r="AM73" s="518">
        <f t="shared" si="66"/>
        <v>1486.6666666666667</v>
      </c>
      <c r="AN73" s="518">
        <f t="shared" si="68"/>
        <v>1538.3333333333333</v>
      </c>
      <c r="AO73" s="518">
        <f t="shared" si="70"/>
        <v>1136.6666666666667</v>
      </c>
      <c r="AP73" s="518">
        <f t="shared" si="72"/>
        <v>1131.6666666666667</v>
      </c>
      <c r="AQ73" s="518">
        <f t="shared" si="75"/>
        <v>1275</v>
      </c>
      <c r="AR73" s="518">
        <f t="shared" si="77"/>
        <v>1440</v>
      </c>
      <c r="AS73" s="518">
        <f t="shared" si="79"/>
        <v>1505</v>
      </c>
      <c r="AT73" s="518">
        <f t="shared" si="84"/>
        <v>2083.3333333333335</v>
      </c>
      <c r="AU73" s="518">
        <f t="shared" si="86"/>
        <v>1470</v>
      </c>
      <c r="AV73" s="518">
        <f t="shared" si="88"/>
        <v>1508.3333333333333</v>
      </c>
      <c r="AW73" s="518">
        <f t="shared" si="90"/>
        <v>1710</v>
      </c>
      <c r="AX73" s="518">
        <f t="shared" si="94"/>
        <v>1583.3333333333333</v>
      </c>
      <c r="AY73" s="518">
        <f t="shared" si="96"/>
        <v>1113.3333333333333</v>
      </c>
      <c r="AZ73" s="518">
        <f t="shared" si="98"/>
        <v>1646.6666666666667</v>
      </c>
      <c r="BA73" s="518">
        <f t="shared" si="100"/>
        <v>1136.6666666666667</v>
      </c>
      <c r="BB73" s="518">
        <f t="shared" si="102"/>
        <v>1223.3333333333333</v>
      </c>
      <c r="BC73" s="619">
        <f t="shared" si="104"/>
        <v>1598.3333333333333</v>
      </c>
      <c r="BD73" s="619">
        <f t="shared" si="106"/>
        <v>163.33333333333334</v>
      </c>
      <c r="BE73" s="619">
        <f t="shared" si="108"/>
        <v>91.666666666666671</v>
      </c>
      <c r="BF73" s="619">
        <f t="shared" si="110"/>
        <v>18.333333333333332</v>
      </c>
      <c r="BG73" s="619">
        <f t="shared" si="112"/>
        <v>8.3333333333333339</v>
      </c>
      <c r="BH73" s="619"/>
      <c r="BI73" s="619"/>
      <c r="BJ73" s="619">
        <f t="shared" si="116"/>
        <v>8.3333333333333339</v>
      </c>
      <c r="BK73" s="619">
        <f t="shared" si="118"/>
        <v>0</v>
      </c>
      <c r="BL73" s="619">
        <f t="shared" si="120"/>
        <v>10</v>
      </c>
      <c r="BM73" s="619">
        <f t="shared" si="122"/>
        <v>0</v>
      </c>
      <c r="BN73" s="619">
        <f t="shared" si="124"/>
        <v>0</v>
      </c>
      <c r="BO73" s="619">
        <f t="shared" si="126"/>
        <v>0</v>
      </c>
      <c r="BP73" s="619">
        <f t="shared" si="128"/>
        <v>0</v>
      </c>
      <c r="BQ73" s="619">
        <f t="shared" si="130"/>
        <v>8.3333333333333339</v>
      </c>
      <c r="BR73" s="518">
        <f t="shared" si="136"/>
        <v>69038.028499999971</v>
      </c>
      <c r="BS73" s="518">
        <f t="shared" si="138"/>
        <v>6166974.4600000028</v>
      </c>
      <c r="BT73" s="518">
        <f t="shared" si="133"/>
        <v>857497.24999999721</v>
      </c>
      <c r="BU73" s="518">
        <f t="shared" si="134"/>
        <v>926535.27849999722</v>
      </c>
      <c r="EA73" s="518">
        <f t="shared" si="137"/>
        <v>0</v>
      </c>
      <c r="EC73" s="519">
        <f t="shared" si="92"/>
        <v>0</v>
      </c>
      <c r="ED73" s="519">
        <f t="shared" si="135"/>
        <v>69038.028499999971</v>
      </c>
      <c r="EE73" s="518">
        <f t="shared" si="93"/>
        <v>69038.028499999971</v>
      </c>
      <c r="EF73" s="518">
        <f>+EE73*'Capital Structure '!$P$30</f>
        <v>19406.58981134999</v>
      </c>
      <c r="EG73" s="518">
        <f t="shared" si="139"/>
        <v>-241042.47697500006</v>
      </c>
    </row>
    <row r="74" spans="1:137" s="585" customFormat="1" outlineLevel="1">
      <c r="A74" s="308" t="s">
        <v>57</v>
      </c>
      <c r="B74" s="308">
        <f t="shared" si="74"/>
        <v>2021</v>
      </c>
      <c r="C74" s="308" t="s">
        <v>47</v>
      </c>
      <c r="D74" s="518"/>
      <c r="E74" s="518"/>
      <c r="F74" s="518"/>
      <c r="G74" s="518"/>
      <c r="H74" s="518"/>
      <c r="I74" s="518"/>
      <c r="J74" s="519"/>
      <c r="K74" s="518">
        <f t="shared" si="132"/>
        <v>0</v>
      </c>
      <c r="L74" s="518">
        <f>SUM(K$5:K74)</f>
        <v>7024471.71</v>
      </c>
      <c r="X74" s="518">
        <f t="shared" si="35"/>
        <v>4092.0833333333335</v>
      </c>
      <c r="Y74" s="518">
        <f t="shared" si="37"/>
        <v>3393.3333333333335</v>
      </c>
      <c r="Z74" s="518">
        <f t="shared" si="39"/>
        <v>5251.666666666667</v>
      </c>
      <c r="AA74" s="518">
        <f t="shared" si="41"/>
        <v>3206.7083333333335</v>
      </c>
      <c r="AB74" s="518">
        <f t="shared" si="43"/>
        <v>2656.6666666666665</v>
      </c>
      <c r="AC74" s="518">
        <f t="shared" si="45"/>
        <v>2408.3333333333335</v>
      </c>
      <c r="AD74" s="518">
        <f t="shared" si="47"/>
        <v>1618.3333333333333</v>
      </c>
      <c r="AE74" s="518">
        <f t="shared" si="49"/>
        <v>2563.3333333333335</v>
      </c>
      <c r="AF74" s="518">
        <f t="shared" si="51"/>
        <v>2318.3333333333335</v>
      </c>
      <c r="AG74" s="518">
        <f t="shared" si="53"/>
        <v>2056.6666666666665</v>
      </c>
      <c r="AH74" s="518">
        <f t="shared" si="55"/>
        <v>1968.3333333333333</v>
      </c>
      <c r="AI74" s="518">
        <f t="shared" si="57"/>
        <v>2435</v>
      </c>
      <c r="AJ74" s="518">
        <f t="shared" si="60"/>
        <v>1468.3333333333333</v>
      </c>
      <c r="AK74" s="518">
        <f t="shared" si="62"/>
        <v>1326.6666666666667</v>
      </c>
      <c r="AL74" s="518">
        <f t="shared" si="64"/>
        <v>1798.3333333333333</v>
      </c>
      <c r="AM74" s="518">
        <f t="shared" si="66"/>
        <v>1486.6666666666667</v>
      </c>
      <c r="AN74" s="518">
        <f t="shared" si="68"/>
        <v>1538.3333333333333</v>
      </c>
      <c r="AO74" s="518">
        <f t="shared" si="70"/>
        <v>1136.6666666666667</v>
      </c>
      <c r="AP74" s="518">
        <f t="shared" si="72"/>
        <v>1131.6666666666667</v>
      </c>
      <c r="AQ74" s="518">
        <f t="shared" si="75"/>
        <v>1275</v>
      </c>
      <c r="AR74" s="518">
        <f t="shared" si="77"/>
        <v>1440</v>
      </c>
      <c r="AS74" s="518">
        <f t="shared" si="79"/>
        <v>1505</v>
      </c>
      <c r="AT74" s="518">
        <f t="shared" si="84"/>
        <v>2083.3333333333335</v>
      </c>
      <c r="AU74" s="518">
        <f t="shared" si="86"/>
        <v>1470</v>
      </c>
      <c r="AV74" s="518">
        <f t="shared" si="88"/>
        <v>1508.3333333333333</v>
      </c>
      <c r="AW74" s="518">
        <f t="shared" si="90"/>
        <v>1710</v>
      </c>
      <c r="AX74" s="518">
        <f t="shared" si="94"/>
        <v>1583.3333333333333</v>
      </c>
      <c r="AY74" s="518">
        <f t="shared" si="96"/>
        <v>1113.3333333333333</v>
      </c>
      <c r="AZ74" s="518">
        <f t="shared" si="98"/>
        <v>1646.6666666666667</v>
      </c>
      <c r="BA74" s="518">
        <f t="shared" si="100"/>
        <v>1136.6666666666667</v>
      </c>
      <c r="BB74" s="518">
        <f t="shared" si="102"/>
        <v>1223.3333333333333</v>
      </c>
      <c r="BC74" s="619">
        <f t="shared" si="104"/>
        <v>1598.3333333333333</v>
      </c>
      <c r="BD74" s="619">
        <f t="shared" si="106"/>
        <v>163.33333333333334</v>
      </c>
      <c r="BE74" s="619">
        <f t="shared" si="108"/>
        <v>91.666666666666671</v>
      </c>
      <c r="BF74" s="619">
        <f t="shared" si="110"/>
        <v>18.333333333333332</v>
      </c>
      <c r="BG74" s="619">
        <f t="shared" si="112"/>
        <v>8.3333333333333339</v>
      </c>
      <c r="BH74" s="619"/>
      <c r="BI74" s="619"/>
      <c r="BJ74" s="619">
        <f t="shared" si="116"/>
        <v>8.3333333333333339</v>
      </c>
      <c r="BK74" s="619">
        <f t="shared" si="118"/>
        <v>0</v>
      </c>
      <c r="BL74" s="619">
        <f t="shared" si="120"/>
        <v>10</v>
      </c>
      <c r="BM74" s="619">
        <f t="shared" si="122"/>
        <v>0</v>
      </c>
      <c r="BN74" s="619">
        <f t="shared" si="124"/>
        <v>0</v>
      </c>
      <c r="BO74" s="619">
        <f t="shared" si="126"/>
        <v>0</v>
      </c>
      <c r="BP74" s="619">
        <f t="shared" si="128"/>
        <v>0</v>
      </c>
      <c r="BQ74" s="619">
        <f t="shared" si="130"/>
        <v>8.3333333333333339</v>
      </c>
      <c r="BR74" s="518">
        <f t="shared" si="136"/>
        <v>63457.125000000015</v>
      </c>
      <c r="BS74" s="518">
        <f t="shared" si="138"/>
        <v>6230431.5850000028</v>
      </c>
      <c r="BT74" s="518">
        <f t="shared" si="133"/>
        <v>794040.12499999721</v>
      </c>
      <c r="BU74" s="518">
        <f t="shared" si="134"/>
        <v>857497.24999999721</v>
      </c>
      <c r="EA74" s="518">
        <f t="shared" si="137"/>
        <v>0</v>
      </c>
      <c r="EC74" s="519">
        <f t="shared" si="92"/>
        <v>0</v>
      </c>
      <c r="ED74" s="519">
        <f t="shared" si="135"/>
        <v>63457.125000000015</v>
      </c>
      <c r="EE74" s="518">
        <f t="shared" si="93"/>
        <v>63457.125000000015</v>
      </c>
      <c r="EF74" s="518">
        <f>+EE74*'Capital Structure '!$P$30</f>
        <v>17837.797837500002</v>
      </c>
      <c r="EG74" s="518">
        <f t="shared" si="139"/>
        <v>-223204.67913750006</v>
      </c>
    </row>
    <row r="75" spans="1:137" s="585" customFormat="1" outlineLevel="1">
      <c r="A75" s="308" t="s">
        <v>58</v>
      </c>
      <c r="B75" s="308">
        <f t="shared" si="74"/>
        <v>2021</v>
      </c>
      <c r="C75" s="308" t="s">
        <v>47</v>
      </c>
      <c r="D75" s="518"/>
      <c r="E75" s="518"/>
      <c r="F75" s="518"/>
      <c r="G75" s="518"/>
      <c r="H75" s="518"/>
      <c r="I75" s="518"/>
      <c r="K75" s="518">
        <f t="shared" si="132"/>
        <v>0</v>
      </c>
      <c r="L75" s="518">
        <f>SUM(K$5:K75)</f>
        <v>7024471.71</v>
      </c>
      <c r="Y75" s="518">
        <f t="shared" si="37"/>
        <v>3393.3333333333335</v>
      </c>
      <c r="Z75" s="518">
        <f t="shared" si="39"/>
        <v>5251.666666666667</v>
      </c>
      <c r="AA75" s="518">
        <f t="shared" si="41"/>
        <v>3206.7083333333335</v>
      </c>
      <c r="AB75" s="518">
        <f t="shared" si="43"/>
        <v>2656.6666666666665</v>
      </c>
      <c r="AC75" s="518">
        <f t="shared" si="45"/>
        <v>2408.3333333333335</v>
      </c>
      <c r="AD75" s="518">
        <f t="shared" si="47"/>
        <v>1618.3333333333333</v>
      </c>
      <c r="AE75" s="518">
        <f t="shared" si="49"/>
        <v>2563.3333333333335</v>
      </c>
      <c r="AF75" s="518">
        <f t="shared" si="51"/>
        <v>2318.3333333333335</v>
      </c>
      <c r="AG75" s="518">
        <f t="shared" si="53"/>
        <v>2056.6666666666665</v>
      </c>
      <c r="AH75" s="518">
        <f t="shared" si="55"/>
        <v>1968.3333333333333</v>
      </c>
      <c r="AI75" s="518">
        <f t="shared" si="57"/>
        <v>2435</v>
      </c>
      <c r="AJ75" s="518">
        <f t="shared" si="60"/>
        <v>1468.3333333333333</v>
      </c>
      <c r="AK75" s="518">
        <f t="shared" si="62"/>
        <v>1326.6666666666667</v>
      </c>
      <c r="AL75" s="518">
        <f t="shared" si="64"/>
        <v>1798.3333333333333</v>
      </c>
      <c r="AM75" s="518">
        <f t="shared" si="66"/>
        <v>1486.6666666666667</v>
      </c>
      <c r="AN75" s="518">
        <f t="shared" si="68"/>
        <v>1538.3333333333333</v>
      </c>
      <c r="AO75" s="518">
        <f t="shared" si="70"/>
        <v>1136.6666666666667</v>
      </c>
      <c r="AP75" s="518">
        <f t="shared" si="72"/>
        <v>1131.6666666666667</v>
      </c>
      <c r="AQ75" s="518">
        <f t="shared" si="75"/>
        <v>1275</v>
      </c>
      <c r="AR75" s="518">
        <f t="shared" si="77"/>
        <v>1440</v>
      </c>
      <c r="AS75" s="518">
        <f t="shared" si="79"/>
        <v>1505</v>
      </c>
      <c r="AT75" s="518">
        <f t="shared" si="84"/>
        <v>2083.3333333333335</v>
      </c>
      <c r="AU75" s="518">
        <f t="shared" si="86"/>
        <v>1470</v>
      </c>
      <c r="AV75" s="518">
        <f t="shared" si="88"/>
        <v>1508.3333333333333</v>
      </c>
      <c r="AW75" s="518">
        <f t="shared" si="90"/>
        <v>1710</v>
      </c>
      <c r="AX75" s="518">
        <f t="shared" si="94"/>
        <v>1583.3333333333333</v>
      </c>
      <c r="AY75" s="518">
        <f t="shared" si="96"/>
        <v>1113.3333333333333</v>
      </c>
      <c r="AZ75" s="518">
        <f t="shared" si="98"/>
        <v>1646.6666666666667</v>
      </c>
      <c r="BA75" s="518">
        <f t="shared" si="100"/>
        <v>1136.6666666666667</v>
      </c>
      <c r="BB75" s="518">
        <f t="shared" si="102"/>
        <v>1223.3333333333333</v>
      </c>
      <c r="BC75" s="619">
        <f t="shared" si="104"/>
        <v>1598.3333333333333</v>
      </c>
      <c r="BD75" s="619">
        <f t="shared" si="106"/>
        <v>163.33333333333334</v>
      </c>
      <c r="BE75" s="619">
        <f t="shared" si="108"/>
        <v>91.666666666666671</v>
      </c>
      <c r="BF75" s="619">
        <f t="shared" si="110"/>
        <v>18.333333333333332</v>
      </c>
      <c r="BG75" s="619">
        <f t="shared" si="112"/>
        <v>8.3333333333333339</v>
      </c>
      <c r="BH75" s="619"/>
      <c r="BI75" s="619"/>
      <c r="BJ75" s="619">
        <f t="shared" si="116"/>
        <v>8.3333333333333339</v>
      </c>
      <c r="BK75" s="619">
        <f t="shared" si="118"/>
        <v>0</v>
      </c>
      <c r="BL75" s="619">
        <f t="shared" si="120"/>
        <v>10</v>
      </c>
      <c r="BM75" s="619">
        <f t="shared" si="122"/>
        <v>0</v>
      </c>
      <c r="BN75" s="619">
        <f t="shared" si="124"/>
        <v>0</v>
      </c>
      <c r="BO75" s="619">
        <f t="shared" si="126"/>
        <v>0</v>
      </c>
      <c r="BP75" s="619">
        <f t="shared" si="128"/>
        <v>0</v>
      </c>
      <c r="BQ75" s="619">
        <f t="shared" si="130"/>
        <v>8.3333333333333339</v>
      </c>
      <c r="BR75" s="518">
        <f t="shared" si="136"/>
        <v>59365.041666666679</v>
      </c>
      <c r="BS75" s="518">
        <f t="shared" si="138"/>
        <v>6289796.6266666697</v>
      </c>
      <c r="BT75" s="518">
        <f t="shared" si="133"/>
        <v>734675.08333333023</v>
      </c>
      <c r="BU75" s="518">
        <f t="shared" si="134"/>
        <v>794040.12499999721</v>
      </c>
      <c r="EA75" s="518">
        <f t="shared" si="137"/>
        <v>0</v>
      </c>
      <c r="EC75" s="519">
        <f t="shared" si="92"/>
        <v>0</v>
      </c>
      <c r="ED75" s="519">
        <f t="shared" si="135"/>
        <v>59365.041666666679</v>
      </c>
      <c r="EE75" s="518">
        <f t="shared" si="93"/>
        <v>59365.041666666679</v>
      </c>
      <c r="EF75" s="518">
        <f>+EE75*'Capital Structure '!$P$30</f>
        <v>16687.513212500002</v>
      </c>
      <c r="EG75" s="518">
        <f t="shared" si="139"/>
        <v>-206517.16592500007</v>
      </c>
    </row>
    <row r="76" spans="1:137" s="585" customFormat="1" outlineLevel="1">
      <c r="A76" s="308" t="s">
        <v>59</v>
      </c>
      <c r="B76" s="308">
        <f t="shared" si="74"/>
        <v>2021</v>
      </c>
      <c r="C76" s="308" t="s">
        <v>47</v>
      </c>
      <c r="D76" s="518"/>
      <c r="E76" s="518"/>
      <c r="F76" s="518"/>
      <c r="G76" s="518"/>
      <c r="H76" s="518"/>
      <c r="I76" s="518"/>
      <c r="K76" s="518">
        <f t="shared" si="132"/>
        <v>0</v>
      </c>
      <c r="L76" s="518">
        <f>SUM(K$5:K76)</f>
        <v>7024471.71</v>
      </c>
      <c r="Z76" s="518">
        <f t="shared" si="39"/>
        <v>5251.666666666667</v>
      </c>
      <c r="AA76" s="518">
        <f t="shared" si="41"/>
        <v>3206.7083333333335</v>
      </c>
      <c r="AB76" s="518">
        <f t="shared" si="43"/>
        <v>2656.6666666666665</v>
      </c>
      <c r="AC76" s="518">
        <f t="shared" si="45"/>
        <v>2408.3333333333335</v>
      </c>
      <c r="AD76" s="518">
        <f t="shared" si="47"/>
        <v>1618.3333333333333</v>
      </c>
      <c r="AE76" s="518">
        <f t="shared" si="49"/>
        <v>2563.3333333333335</v>
      </c>
      <c r="AF76" s="518">
        <f t="shared" si="51"/>
        <v>2318.3333333333335</v>
      </c>
      <c r="AG76" s="518">
        <f t="shared" si="53"/>
        <v>2056.6666666666665</v>
      </c>
      <c r="AH76" s="518">
        <f t="shared" si="55"/>
        <v>1968.3333333333333</v>
      </c>
      <c r="AI76" s="518">
        <f t="shared" si="57"/>
        <v>2435</v>
      </c>
      <c r="AJ76" s="518">
        <f t="shared" si="60"/>
        <v>1468.3333333333333</v>
      </c>
      <c r="AK76" s="518">
        <f t="shared" si="62"/>
        <v>1326.6666666666667</v>
      </c>
      <c r="AL76" s="518">
        <f t="shared" si="64"/>
        <v>1798.3333333333333</v>
      </c>
      <c r="AM76" s="518">
        <f t="shared" si="66"/>
        <v>1486.6666666666667</v>
      </c>
      <c r="AN76" s="518">
        <f t="shared" si="68"/>
        <v>1538.3333333333333</v>
      </c>
      <c r="AO76" s="518">
        <f t="shared" si="70"/>
        <v>1136.6666666666667</v>
      </c>
      <c r="AP76" s="518">
        <f t="shared" si="72"/>
        <v>1131.6666666666667</v>
      </c>
      <c r="AQ76" s="518">
        <f t="shared" si="75"/>
        <v>1275</v>
      </c>
      <c r="AR76" s="518">
        <f t="shared" si="77"/>
        <v>1440</v>
      </c>
      <c r="AS76" s="518">
        <f t="shared" si="79"/>
        <v>1505</v>
      </c>
      <c r="AT76" s="518">
        <f t="shared" si="84"/>
        <v>2083.3333333333335</v>
      </c>
      <c r="AU76" s="518">
        <f t="shared" si="86"/>
        <v>1470</v>
      </c>
      <c r="AV76" s="518">
        <f t="shared" si="88"/>
        <v>1508.3333333333333</v>
      </c>
      <c r="AW76" s="518">
        <f t="shared" si="90"/>
        <v>1710</v>
      </c>
      <c r="AX76" s="518">
        <f t="shared" si="94"/>
        <v>1583.3333333333333</v>
      </c>
      <c r="AY76" s="518">
        <f t="shared" si="96"/>
        <v>1113.3333333333333</v>
      </c>
      <c r="AZ76" s="518">
        <f t="shared" si="98"/>
        <v>1646.6666666666667</v>
      </c>
      <c r="BA76" s="518">
        <f t="shared" si="100"/>
        <v>1136.6666666666667</v>
      </c>
      <c r="BB76" s="518">
        <f t="shared" si="102"/>
        <v>1223.3333333333333</v>
      </c>
      <c r="BC76" s="619">
        <f t="shared" si="104"/>
        <v>1598.3333333333333</v>
      </c>
      <c r="BD76" s="619">
        <f t="shared" si="106"/>
        <v>163.33333333333334</v>
      </c>
      <c r="BE76" s="619">
        <f t="shared" si="108"/>
        <v>91.666666666666671</v>
      </c>
      <c r="BF76" s="619">
        <f t="shared" si="110"/>
        <v>18.333333333333332</v>
      </c>
      <c r="BG76" s="619">
        <f t="shared" si="112"/>
        <v>8.3333333333333339</v>
      </c>
      <c r="BH76" s="619"/>
      <c r="BI76" s="619"/>
      <c r="BJ76" s="619">
        <f t="shared" si="116"/>
        <v>8.3333333333333339</v>
      </c>
      <c r="BK76" s="619">
        <f t="shared" si="118"/>
        <v>0</v>
      </c>
      <c r="BL76" s="619">
        <f t="shared" si="120"/>
        <v>10</v>
      </c>
      <c r="BM76" s="619">
        <f t="shared" si="122"/>
        <v>0</v>
      </c>
      <c r="BN76" s="619">
        <f t="shared" si="124"/>
        <v>0</v>
      </c>
      <c r="BO76" s="619">
        <f t="shared" si="126"/>
        <v>0</v>
      </c>
      <c r="BP76" s="619">
        <f t="shared" si="128"/>
        <v>0</v>
      </c>
      <c r="BQ76" s="619">
        <f t="shared" si="130"/>
        <v>8.3333333333333339</v>
      </c>
      <c r="BR76" s="518">
        <f t="shared" si="136"/>
        <v>55971.70833333335</v>
      </c>
      <c r="BS76" s="518">
        <f t="shared" si="138"/>
        <v>6345768.3350000028</v>
      </c>
      <c r="BT76" s="518">
        <f t="shared" si="133"/>
        <v>678703.37499999721</v>
      </c>
      <c r="BU76" s="518">
        <f t="shared" si="134"/>
        <v>734675.08333333023</v>
      </c>
      <c r="EA76" s="518">
        <f t="shared" si="137"/>
        <v>0</v>
      </c>
      <c r="EC76" s="519">
        <f t="shared" si="92"/>
        <v>0</v>
      </c>
      <c r="ED76" s="519">
        <f t="shared" si="135"/>
        <v>55971.70833333335</v>
      </c>
      <c r="EE76" s="518">
        <f t="shared" si="93"/>
        <v>55971.70833333335</v>
      </c>
      <c r="EF76" s="518">
        <f>+EE76*'Capital Structure '!$P$30</f>
        <v>15733.647212500002</v>
      </c>
      <c r="EG76" s="518">
        <f t="shared" si="139"/>
        <v>-190783.51871250005</v>
      </c>
    </row>
    <row r="77" spans="1:137" s="585" customFormat="1" outlineLevel="1">
      <c r="A77" s="308" t="s">
        <v>46</v>
      </c>
      <c r="B77" s="308">
        <f t="shared" si="74"/>
        <v>2021</v>
      </c>
      <c r="C77" s="308" t="s">
        <v>47</v>
      </c>
      <c r="D77" s="518"/>
      <c r="E77" s="518"/>
      <c r="F77" s="518"/>
      <c r="G77" s="518"/>
      <c r="H77" s="518"/>
      <c r="I77" s="518"/>
      <c r="K77" s="518">
        <f t="shared" si="132"/>
        <v>0</v>
      </c>
      <c r="L77" s="518">
        <f>SUM(K$5:K77)</f>
        <v>7024471.71</v>
      </c>
      <c r="AA77" s="518">
        <f t="shared" si="41"/>
        <v>3206.7083333333335</v>
      </c>
      <c r="AB77" s="518">
        <f t="shared" si="43"/>
        <v>2656.6666666666665</v>
      </c>
      <c r="AC77" s="518">
        <f t="shared" si="45"/>
        <v>2408.3333333333335</v>
      </c>
      <c r="AD77" s="518">
        <f t="shared" si="47"/>
        <v>1618.3333333333333</v>
      </c>
      <c r="AE77" s="518">
        <f t="shared" si="49"/>
        <v>2563.3333333333335</v>
      </c>
      <c r="AF77" s="518">
        <f t="shared" si="51"/>
        <v>2318.3333333333335</v>
      </c>
      <c r="AG77" s="518">
        <f t="shared" si="53"/>
        <v>2056.6666666666665</v>
      </c>
      <c r="AH77" s="518">
        <f t="shared" si="55"/>
        <v>1968.3333333333333</v>
      </c>
      <c r="AI77" s="518">
        <f t="shared" si="57"/>
        <v>2435</v>
      </c>
      <c r="AJ77" s="518">
        <f t="shared" si="60"/>
        <v>1468.3333333333333</v>
      </c>
      <c r="AK77" s="518">
        <f t="shared" si="62"/>
        <v>1326.6666666666667</v>
      </c>
      <c r="AL77" s="518">
        <f t="shared" si="64"/>
        <v>1798.3333333333333</v>
      </c>
      <c r="AM77" s="518">
        <f t="shared" si="66"/>
        <v>1486.6666666666667</v>
      </c>
      <c r="AN77" s="518">
        <f t="shared" si="68"/>
        <v>1538.3333333333333</v>
      </c>
      <c r="AO77" s="518">
        <f t="shared" si="70"/>
        <v>1136.6666666666667</v>
      </c>
      <c r="AP77" s="518">
        <f t="shared" si="72"/>
        <v>1131.6666666666667</v>
      </c>
      <c r="AQ77" s="518">
        <f t="shared" si="75"/>
        <v>1275</v>
      </c>
      <c r="AR77" s="518">
        <f t="shared" si="77"/>
        <v>1440</v>
      </c>
      <c r="AS77" s="518">
        <f t="shared" si="79"/>
        <v>1505</v>
      </c>
      <c r="AT77" s="518">
        <f t="shared" si="84"/>
        <v>2083.3333333333335</v>
      </c>
      <c r="AU77" s="518">
        <f t="shared" si="86"/>
        <v>1470</v>
      </c>
      <c r="AV77" s="518">
        <f t="shared" si="88"/>
        <v>1508.3333333333333</v>
      </c>
      <c r="AW77" s="518">
        <f t="shared" si="90"/>
        <v>1710</v>
      </c>
      <c r="AX77" s="518">
        <f t="shared" si="94"/>
        <v>1583.3333333333333</v>
      </c>
      <c r="AY77" s="518">
        <f t="shared" si="96"/>
        <v>1113.3333333333333</v>
      </c>
      <c r="AZ77" s="518">
        <f t="shared" si="98"/>
        <v>1646.6666666666667</v>
      </c>
      <c r="BA77" s="518">
        <f t="shared" si="100"/>
        <v>1136.6666666666667</v>
      </c>
      <c r="BB77" s="518">
        <f t="shared" si="102"/>
        <v>1223.3333333333333</v>
      </c>
      <c r="BC77" s="619">
        <f t="shared" si="104"/>
        <v>1598.3333333333333</v>
      </c>
      <c r="BD77" s="619">
        <f t="shared" si="106"/>
        <v>163.33333333333334</v>
      </c>
      <c r="BE77" s="619">
        <f t="shared" si="108"/>
        <v>91.666666666666671</v>
      </c>
      <c r="BF77" s="619">
        <f t="shared" si="110"/>
        <v>18.333333333333332</v>
      </c>
      <c r="BG77" s="619">
        <f t="shared" si="112"/>
        <v>8.3333333333333339</v>
      </c>
      <c r="BH77" s="619"/>
      <c r="BI77" s="619"/>
      <c r="BJ77" s="619">
        <f t="shared" si="116"/>
        <v>8.3333333333333339</v>
      </c>
      <c r="BK77" s="619">
        <f t="shared" si="118"/>
        <v>0</v>
      </c>
      <c r="BL77" s="619">
        <f t="shared" si="120"/>
        <v>10</v>
      </c>
      <c r="BM77" s="619">
        <f t="shared" si="122"/>
        <v>0</v>
      </c>
      <c r="BN77" s="619">
        <f t="shared" si="124"/>
        <v>0</v>
      </c>
      <c r="BO77" s="619">
        <f t="shared" si="126"/>
        <v>0</v>
      </c>
      <c r="BP77" s="619">
        <f t="shared" si="128"/>
        <v>0</v>
      </c>
      <c r="BQ77" s="619">
        <f t="shared" si="130"/>
        <v>8.3333333333333339</v>
      </c>
      <c r="BR77" s="518">
        <f t="shared" si="136"/>
        <v>50720.041666666686</v>
      </c>
      <c r="BS77" s="518">
        <f t="shared" ref="BS77:BS87" si="140">BS76+BR77</f>
        <v>6396488.3766666697</v>
      </c>
      <c r="BT77" s="518">
        <f t="shared" ref="BT77:BT87" si="141">+L77-BS77</f>
        <v>627983.33333333023</v>
      </c>
      <c r="BU77" s="518">
        <f t="shared" ref="BU77:BU87" si="142">+L77-BS76</f>
        <v>678703.37499999721</v>
      </c>
      <c r="EA77" s="518">
        <f t="shared" si="137"/>
        <v>0</v>
      </c>
      <c r="EC77" s="519">
        <f t="shared" ref="EC77:EC87" si="143">+EA77</f>
        <v>0</v>
      </c>
      <c r="ED77" s="519">
        <f t="shared" si="135"/>
        <v>50720.041666666686</v>
      </c>
      <c r="EE77" s="518">
        <f t="shared" ref="EE77:EE87" si="144">+ED77-EC77</f>
        <v>50720.041666666686</v>
      </c>
      <c r="EF77" s="518">
        <f>+EE77*'Capital Structure '!$P$30</f>
        <v>14257.403712500003</v>
      </c>
      <c r="EG77" s="518">
        <f t="shared" si="139"/>
        <v>-176526.11500000005</v>
      </c>
    </row>
    <row r="78" spans="1:137" s="585" customFormat="1" outlineLevel="1">
      <c r="A78" s="308" t="s">
        <v>48</v>
      </c>
      <c r="B78" s="308">
        <f t="shared" si="74"/>
        <v>2021</v>
      </c>
      <c r="C78" s="308" t="s">
        <v>47</v>
      </c>
      <c r="D78" s="518"/>
      <c r="E78" s="518"/>
      <c r="F78" s="518"/>
      <c r="G78" s="518"/>
      <c r="H78" s="518"/>
      <c r="I78" s="518"/>
      <c r="K78" s="518">
        <f t="shared" si="132"/>
        <v>0</v>
      </c>
      <c r="L78" s="518">
        <f>SUM(K$5:K78)</f>
        <v>7024471.71</v>
      </c>
      <c r="AA78" s="518"/>
      <c r="AB78" s="518">
        <f t="shared" si="43"/>
        <v>2656.6666666666665</v>
      </c>
      <c r="AC78" s="518">
        <f t="shared" si="45"/>
        <v>2408.3333333333335</v>
      </c>
      <c r="AD78" s="518">
        <f t="shared" si="47"/>
        <v>1618.3333333333333</v>
      </c>
      <c r="AE78" s="518">
        <f t="shared" si="49"/>
        <v>2563.3333333333335</v>
      </c>
      <c r="AF78" s="518">
        <f t="shared" si="51"/>
        <v>2318.3333333333335</v>
      </c>
      <c r="AG78" s="518">
        <f t="shared" si="53"/>
        <v>2056.6666666666665</v>
      </c>
      <c r="AH78" s="518">
        <f t="shared" si="55"/>
        <v>1968.3333333333333</v>
      </c>
      <c r="AI78" s="518">
        <f t="shared" si="57"/>
        <v>2435</v>
      </c>
      <c r="AJ78" s="518">
        <f t="shared" si="60"/>
        <v>1468.3333333333333</v>
      </c>
      <c r="AK78" s="518">
        <f t="shared" si="62"/>
        <v>1326.6666666666667</v>
      </c>
      <c r="AL78" s="518">
        <f t="shared" si="64"/>
        <v>1798.3333333333333</v>
      </c>
      <c r="AM78" s="518">
        <f t="shared" si="66"/>
        <v>1486.6666666666667</v>
      </c>
      <c r="AN78" s="518">
        <f t="shared" si="68"/>
        <v>1538.3333333333333</v>
      </c>
      <c r="AO78" s="518">
        <f t="shared" si="70"/>
        <v>1136.6666666666667</v>
      </c>
      <c r="AP78" s="518">
        <f t="shared" si="72"/>
        <v>1131.6666666666667</v>
      </c>
      <c r="AQ78" s="518">
        <f t="shared" si="75"/>
        <v>1275</v>
      </c>
      <c r="AR78" s="518">
        <f t="shared" si="77"/>
        <v>1440</v>
      </c>
      <c r="AS78" s="518">
        <f t="shared" si="79"/>
        <v>1505</v>
      </c>
      <c r="AT78" s="518">
        <f t="shared" si="84"/>
        <v>2083.3333333333335</v>
      </c>
      <c r="AU78" s="518">
        <f t="shared" si="86"/>
        <v>1470</v>
      </c>
      <c r="AV78" s="518">
        <f t="shared" si="88"/>
        <v>1508.3333333333333</v>
      </c>
      <c r="AW78" s="518">
        <f t="shared" si="90"/>
        <v>1710</v>
      </c>
      <c r="AX78" s="518">
        <f t="shared" si="94"/>
        <v>1583.3333333333333</v>
      </c>
      <c r="AY78" s="518">
        <f t="shared" si="96"/>
        <v>1113.3333333333333</v>
      </c>
      <c r="AZ78" s="518">
        <f t="shared" si="98"/>
        <v>1646.6666666666667</v>
      </c>
      <c r="BA78" s="518">
        <f t="shared" si="100"/>
        <v>1136.6666666666667</v>
      </c>
      <c r="BB78" s="518">
        <f t="shared" si="102"/>
        <v>1223.3333333333333</v>
      </c>
      <c r="BC78" s="619">
        <f t="shared" si="104"/>
        <v>1598.3333333333333</v>
      </c>
      <c r="BD78" s="619">
        <f t="shared" si="106"/>
        <v>163.33333333333334</v>
      </c>
      <c r="BE78" s="619">
        <f t="shared" si="108"/>
        <v>91.666666666666671</v>
      </c>
      <c r="BF78" s="619">
        <f t="shared" si="110"/>
        <v>18.333333333333332</v>
      </c>
      <c r="BG78" s="619">
        <f t="shared" si="112"/>
        <v>8.3333333333333339</v>
      </c>
      <c r="BH78" s="619"/>
      <c r="BI78" s="619"/>
      <c r="BJ78" s="619">
        <f t="shared" si="116"/>
        <v>8.3333333333333339</v>
      </c>
      <c r="BK78" s="619">
        <f t="shared" si="118"/>
        <v>0</v>
      </c>
      <c r="BL78" s="619">
        <f t="shared" si="120"/>
        <v>10</v>
      </c>
      <c r="BM78" s="619">
        <f t="shared" si="122"/>
        <v>0</v>
      </c>
      <c r="BN78" s="619">
        <f t="shared" si="124"/>
        <v>0</v>
      </c>
      <c r="BO78" s="619">
        <f t="shared" si="126"/>
        <v>0</v>
      </c>
      <c r="BP78" s="619">
        <f t="shared" si="128"/>
        <v>0</v>
      </c>
      <c r="BQ78" s="619">
        <f t="shared" si="130"/>
        <v>8.3333333333333339</v>
      </c>
      <c r="BR78" s="518">
        <f t="shared" si="136"/>
        <v>47513.33333333335</v>
      </c>
      <c r="BS78" s="518">
        <f t="shared" si="140"/>
        <v>6444001.7100000028</v>
      </c>
      <c r="BT78" s="518">
        <f t="shared" si="141"/>
        <v>580469.99999999721</v>
      </c>
      <c r="BU78" s="518">
        <f t="shared" si="142"/>
        <v>627983.33333333023</v>
      </c>
      <c r="EA78" s="518">
        <f t="shared" si="137"/>
        <v>0</v>
      </c>
      <c r="EC78" s="519">
        <f t="shared" si="143"/>
        <v>0</v>
      </c>
      <c r="ED78" s="519">
        <f t="shared" si="135"/>
        <v>47513.33333333335</v>
      </c>
      <c r="EE78" s="518">
        <f t="shared" si="144"/>
        <v>47513.33333333335</v>
      </c>
      <c r="EF78" s="518">
        <f>+EE78*'Capital Structure '!$P$30</f>
        <v>13355.998000000003</v>
      </c>
      <c r="EG78" s="518">
        <f t="shared" si="139"/>
        <v>-163170.11700000006</v>
      </c>
    </row>
    <row r="79" spans="1:137" s="585" customFormat="1" outlineLevel="1">
      <c r="A79" s="308" t="s">
        <v>50</v>
      </c>
      <c r="B79" s="308">
        <f t="shared" si="74"/>
        <v>2021</v>
      </c>
      <c r="C79" s="308" t="s">
        <v>47</v>
      </c>
      <c r="D79" s="518"/>
      <c r="E79" s="518"/>
      <c r="F79" s="518"/>
      <c r="G79" s="518"/>
      <c r="H79" s="518"/>
      <c r="I79" s="518"/>
      <c r="K79" s="518">
        <f t="shared" si="132"/>
        <v>0</v>
      </c>
      <c r="L79" s="518">
        <f>SUM(K$5:K79)</f>
        <v>7024471.71</v>
      </c>
      <c r="AA79" s="518"/>
      <c r="AB79" s="518"/>
      <c r="AC79" s="518">
        <f t="shared" si="45"/>
        <v>2408.3333333333335</v>
      </c>
      <c r="AD79" s="518">
        <f t="shared" si="47"/>
        <v>1618.3333333333333</v>
      </c>
      <c r="AE79" s="518">
        <f t="shared" si="49"/>
        <v>2563.3333333333335</v>
      </c>
      <c r="AF79" s="518">
        <f t="shared" si="51"/>
        <v>2318.3333333333335</v>
      </c>
      <c r="AG79" s="518">
        <f t="shared" si="53"/>
        <v>2056.6666666666665</v>
      </c>
      <c r="AH79" s="518">
        <f t="shared" si="55"/>
        <v>1968.3333333333333</v>
      </c>
      <c r="AI79" s="518">
        <f t="shared" si="57"/>
        <v>2435</v>
      </c>
      <c r="AJ79" s="518">
        <f t="shared" si="60"/>
        <v>1468.3333333333333</v>
      </c>
      <c r="AK79" s="518">
        <f t="shared" si="62"/>
        <v>1326.6666666666667</v>
      </c>
      <c r="AL79" s="518">
        <f t="shared" si="64"/>
        <v>1798.3333333333333</v>
      </c>
      <c r="AM79" s="518">
        <f t="shared" si="66"/>
        <v>1486.6666666666667</v>
      </c>
      <c r="AN79" s="518">
        <f t="shared" si="68"/>
        <v>1538.3333333333333</v>
      </c>
      <c r="AO79" s="518">
        <f t="shared" si="70"/>
        <v>1136.6666666666667</v>
      </c>
      <c r="AP79" s="518">
        <f t="shared" si="72"/>
        <v>1131.6666666666667</v>
      </c>
      <c r="AQ79" s="518">
        <f t="shared" si="75"/>
        <v>1275</v>
      </c>
      <c r="AR79" s="518">
        <f t="shared" si="77"/>
        <v>1440</v>
      </c>
      <c r="AS79" s="518">
        <f t="shared" si="79"/>
        <v>1505</v>
      </c>
      <c r="AT79" s="518">
        <f t="shared" si="84"/>
        <v>2083.3333333333335</v>
      </c>
      <c r="AU79" s="518">
        <f t="shared" si="86"/>
        <v>1470</v>
      </c>
      <c r="AV79" s="518">
        <f t="shared" si="88"/>
        <v>1508.3333333333333</v>
      </c>
      <c r="AW79" s="518">
        <f t="shared" si="90"/>
        <v>1710</v>
      </c>
      <c r="AX79" s="518">
        <f t="shared" si="94"/>
        <v>1583.3333333333333</v>
      </c>
      <c r="AY79" s="518">
        <f t="shared" si="96"/>
        <v>1113.3333333333333</v>
      </c>
      <c r="AZ79" s="518">
        <f t="shared" si="98"/>
        <v>1646.6666666666667</v>
      </c>
      <c r="BA79" s="518">
        <f t="shared" si="100"/>
        <v>1136.6666666666667</v>
      </c>
      <c r="BB79" s="518">
        <f t="shared" si="102"/>
        <v>1223.3333333333333</v>
      </c>
      <c r="BC79" s="619">
        <f t="shared" si="104"/>
        <v>1598.3333333333333</v>
      </c>
      <c r="BD79" s="619">
        <f t="shared" si="106"/>
        <v>163.33333333333334</v>
      </c>
      <c r="BE79" s="619">
        <f t="shared" si="108"/>
        <v>91.666666666666671</v>
      </c>
      <c r="BF79" s="619">
        <f t="shared" si="110"/>
        <v>18.333333333333332</v>
      </c>
      <c r="BG79" s="619">
        <f t="shared" si="112"/>
        <v>8.3333333333333339</v>
      </c>
      <c r="BH79" s="619"/>
      <c r="BI79" s="619"/>
      <c r="BJ79" s="619">
        <f t="shared" si="116"/>
        <v>8.3333333333333339</v>
      </c>
      <c r="BK79" s="619">
        <f t="shared" si="118"/>
        <v>0</v>
      </c>
      <c r="BL79" s="619">
        <f t="shared" si="120"/>
        <v>10</v>
      </c>
      <c r="BM79" s="619">
        <f t="shared" si="122"/>
        <v>0</v>
      </c>
      <c r="BN79" s="619">
        <f t="shared" si="124"/>
        <v>0</v>
      </c>
      <c r="BO79" s="619">
        <f t="shared" si="126"/>
        <v>0</v>
      </c>
      <c r="BP79" s="619">
        <f t="shared" si="128"/>
        <v>0</v>
      </c>
      <c r="BQ79" s="619">
        <f t="shared" si="130"/>
        <v>8.3333333333333339</v>
      </c>
      <c r="BR79" s="518">
        <f t="shared" si="136"/>
        <v>44856.666666666686</v>
      </c>
      <c r="BS79" s="518">
        <f t="shared" si="140"/>
        <v>6488858.3766666697</v>
      </c>
      <c r="BT79" s="518">
        <f t="shared" si="141"/>
        <v>535613.33333333023</v>
      </c>
      <c r="BU79" s="518">
        <f t="shared" si="142"/>
        <v>580469.99999999721</v>
      </c>
      <c r="EA79" s="518">
        <f t="shared" si="137"/>
        <v>0</v>
      </c>
      <c r="EC79" s="519">
        <f t="shared" si="143"/>
        <v>0</v>
      </c>
      <c r="ED79" s="519">
        <f t="shared" si="135"/>
        <v>44856.666666666686</v>
      </c>
      <c r="EE79" s="518">
        <f t="shared" si="144"/>
        <v>44856.666666666686</v>
      </c>
      <c r="EF79" s="518">
        <f>+EE79*'Capital Structure '!$P$30</f>
        <v>12609.209000000004</v>
      </c>
      <c r="EG79" s="518">
        <f t="shared" si="139"/>
        <v>-150560.90800000005</v>
      </c>
    </row>
    <row r="80" spans="1:137" s="585" customFormat="1" outlineLevel="1">
      <c r="A80" s="308" t="s">
        <v>51</v>
      </c>
      <c r="B80" s="308">
        <f t="shared" si="74"/>
        <v>2021</v>
      </c>
      <c r="C80" s="308" t="s">
        <v>47</v>
      </c>
      <c r="D80" s="518"/>
      <c r="E80" s="518"/>
      <c r="F80" s="518"/>
      <c r="G80" s="518"/>
      <c r="H80" s="518"/>
      <c r="I80" s="518"/>
      <c r="K80" s="518">
        <f t="shared" si="132"/>
        <v>0</v>
      </c>
      <c r="L80" s="518">
        <f>SUM(K$5:K80)</f>
        <v>7024471.71</v>
      </c>
      <c r="AA80" s="518"/>
      <c r="AB80" s="518"/>
      <c r="AC80" s="518"/>
      <c r="AD80" s="518">
        <f t="shared" si="47"/>
        <v>1618.3333333333333</v>
      </c>
      <c r="AE80" s="518">
        <f t="shared" si="49"/>
        <v>2563.3333333333335</v>
      </c>
      <c r="AF80" s="518">
        <f t="shared" si="51"/>
        <v>2318.3333333333335</v>
      </c>
      <c r="AG80" s="518">
        <f t="shared" si="53"/>
        <v>2056.6666666666665</v>
      </c>
      <c r="AH80" s="518">
        <f t="shared" si="55"/>
        <v>1968.3333333333333</v>
      </c>
      <c r="AI80" s="518">
        <f t="shared" si="57"/>
        <v>2435</v>
      </c>
      <c r="AJ80" s="518">
        <f t="shared" si="60"/>
        <v>1468.3333333333333</v>
      </c>
      <c r="AK80" s="518">
        <f t="shared" si="62"/>
        <v>1326.6666666666667</v>
      </c>
      <c r="AL80" s="518">
        <f t="shared" si="64"/>
        <v>1798.3333333333333</v>
      </c>
      <c r="AM80" s="518">
        <f t="shared" si="66"/>
        <v>1486.6666666666667</v>
      </c>
      <c r="AN80" s="518">
        <f t="shared" si="68"/>
        <v>1538.3333333333333</v>
      </c>
      <c r="AO80" s="518">
        <f t="shared" si="70"/>
        <v>1136.6666666666667</v>
      </c>
      <c r="AP80" s="518">
        <f t="shared" si="72"/>
        <v>1131.6666666666667</v>
      </c>
      <c r="AQ80" s="518">
        <f t="shared" si="75"/>
        <v>1275</v>
      </c>
      <c r="AR80" s="518">
        <f t="shared" si="77"/>
        <v>1440</v>
      </c>
      <c r="AS80" s="518">
        <f t="shared" si="79"/>
        <v>1505</v>
      </c>
      <c r="AT80" s="518">
        <f t="shared" si="84"/>
        <v>2083.3333333333335</v>
      </c>
      <c r="AU80" s="518">
        <f t="shared" si="86"/>
        <v>1470</v>
      </c>
      <c r="AV80" s="518">
        <f t="shared" si="88"/>
        <v>1508.3333333333333</v>
      </c>
      <c r="AW80" s="518">
        <f t="shared" si="90"/>
        <v>1710</v>
      </c>
      <c r="AX80" s="518">
        <f t="shared" si="94"/>
        <v>1583.3333333333333</v>
      </c>
      <c r="AY80" s="518">
        <f t="shared" si="96"/>
        <v>1113.3333333333333</v>
      </c>
      <c r="AZ80" s="518">
        <f t="shared" si="98"/>
        <v>1646.6666666666667</v>
      </c>
      <c r="BA80" s="518">
        <f t="shared" si="100"/>
        <v>1136.6666666666667</v>
      </c>
      <c r="BB80" s="518">
        <f t="shared" si="102"/>
        <v>1223.3333333333333</v>
      </c>
      <c r="BC80" s="619">
        <f t="shared" si="104"/>
        <v>1598.3333333333333</v>
      </c>
      <c r="BD80" s="619">
        <f t="shared" si="106"/>
        <v>163.33333333333334</v>
      </c>
      <c r="BE80" s="619">
        <f t="shared" si="108"/>
        <v>91.666666666666671</v>
      </c>
      <c r="BF80" s="619">
        <f t="shared" si="110"/>
        <v>18.333333333333332</v>
      </c>
      <c r="BG80" s="619">
        <f t="shared" si="112"/>
        <v>8.3333333333333339</v>
      </c>
      <c r="BH80" s="619"/>
      <c r="BI80" s="619"/>
      <c r="BJ80" s="619">
        <f t="shared" si="116"/>
        <v>8.3333333333333339</v>
      </c>
      <c r="BK80" s="619">
        <f t="shared" si="118"/>
        <v>0</v>
      </c>
      <c r="BL80" s="619">
        <f t="shared" si="120"/>
        <v>10</v>
      </c>
      <c r="BM80" s="619">
        <f t="shared" si="122"/>
        <v>0</v>
      </c>
      <c r="BN80" s="619">
        <f t="shared" si="124"/>
        <v>0</v>
      </c>
      <c r="BO80" s="619">
        <f t="shared" si="126"/>
        <v>0</v>
      </c>
      <c r="BP80" s="619">
        <f t="shared" si="128"/>
        <v>0</v>
      </c>
      <c r="BQ80" s="619">
        <f t="shared" si="130"/>
        <v>8.3333333333333339</v>
      </c>
      <c r="BR80" s="518">
        <f t="shared" si="136"/>
        <v>42448.333333333343</v>
      </c>
      <c r="BS80" s="518">
        <f t="shared" si="140"/>
        <v>6531306.7100000028</v>
      </c>
      <c r="BT80" s="518">
        <f t="shared" si="141"/>
        <v>493164.99999999721</v>
      </c>
      <c r="BU80" s="518">
        <f t="shared" si="142"/>
        <v>535613.33333333023</v>
      </c>
      <c r="EA80" s="518">
        <f t="shared" si="137"/>
        <v>0</v>
      </c>
      <c r="EC80" s="519">
        <f t="shared" si="143"/>
        <v>0</v>
      </c>
      <c r="ED80" s="519">
        <f t="shared" si="135"/>
        <v>42448.333333333343</v>
      </c>
      <c r="EE80" s="518">
        <f t="shared" si="144"/>
        <v>42448.333333333343</v>
      </c>
      <c r="EF80" s="518">
        <f>+EE80*'Capital Structure '!$P$30</f>
        <v>11932.226500000001</v>
      </c>
      <c r="EG80" s="518">
        <f t="shared" si="139"/>
        <v>-138628.68150000006</v>
      </c>
    </row>
    <row r="81" spans="1:137" s="585" customFormat="1" outlineLevel="1">
      <c r="A81" s="308" t="s">
        <v>52</v>
      </c>
      <c r="B81" s="308">
        <f t="shared" si="74"/>
        <v>2021</v>
      </c>
      <c r="C81" s="308" t="s">
        <v>47</v>
      </c>
      <c r="D81" s="518"/>
      <c r="E81" s="518"/>
      <c r="F81" s="518"/>
      <c r="G81" s="518"/>
      <c r="H81" s="518"/>
      <c r="I81" s="518"/>
      <c r="J81" s="518"/>
      <c r="K81" s="518">
        <f t="shared" si="132"/>
        <v>0</v>
      </c>
      <c r="L81" s="518">
        <f>SUM(K$5:K81)</f>
        <v>7024471.71</v>
      </c>
      <c r="N81" s="518"/>
      <c r="O81" s="518"/>
      <c r="P81" s="518"/>
      <c r="Q81" s="518"/>
      <c r="R81" s="518"/>
      <c r="S81" s="518"/>
      <c r="T81" s="518"/>
      <c r="U81" s="518"/>
      <c r="V81" s="518"/>
      <c r="W81" s="518"/>
      <c r="X81" s="518"/>
      <c r="Y81" s="518"/>
      <c r="Z81" s="518"/>
      <c r="AA81" s="518"/>
      <c r="AB81" s="518"/>
      <c r="AC81" s="518"/>
      <c r="AD81" s="518"/>
      <c r="AE81" s="518">
        <f t="shared" si="49"/>
        <v>2563.3333333333335</v>
      </c>
      <c r="AF81" s="518">
        <f t="shared" si="51"/>
        <v>2318.3333333333335</v>
      </c>
      <c r="AG81" s="518">
        <f t="shared" si="53"/>
        <v>2056.6666666666665</v>
      </c>
      <c r="AH81" s="518">
        <f t="shared" si="55"/>
        <v>1968.3333333333333</v>
      </c>
      <c r="AI81" s="518">
        <f t="shared" si="57"/>
        <v>2435</v>
      </c>
      <c r="AJ81" s="518">
        <f t="shared" si="60"/>
        <v>1468.3333333333333</v>
      </c>
      <c r="AK81" s="518">
        <f t="shared" si="62"/>
        <v>1326.6666666666667</v>
      </c>
      <c r="AL81" s="518">
        <f t="shared" si="64"/>
        <v>1798.3333333333333</v>
      </c>
      <c r="AM81" s="518">
        <f t="shared" si="66"/>
        <v>1486.6666666666667</v>
      </c>
      <c r="AN81" s="518">
        <f t="shared" si="68"/>
        <v>1538.3333333333333</v>
      </c>
      <c r="AO81" s="518">
        <f t="shared" si="70"/>
        <v>1136.6666666666667</v>
      </c>
      <c r="AP81" s="518">
        <f t="shared" si="72"/>
        <v>1131.6666666666667</v>
      </c>
      <c r="AQ81" s="518">
        <f t="shared" si="75"/>
        <v>1275</v>
      </c>
      <c r="AR81" s="518">
        <f t="shared" si="77"/>
        <v>1440</v>
      </c>
      <c r="AS81" s="518">
        <f t="shared" si="79"/>
        <v>1505</v>
      </c>
      <c r="AT81" s="518">
        <f t="shared" si="84"/>
        <v>2083.3333333333335</v>
      </c>
      <c r="AU81" s="518">
        <f t="shared" si="86"/>
        <v>1470</v>
      </c>
      <c r="AV81" s="518">
        <f t="shared" si="88"/>
        <v>1508.3333333333333</v>
      </c>
      <c r="AW81" s="518">
        <f t="shared" si="90"/>
        <v>1710</v>
      </c>
      <c r="AX81" s="518">
        <f t="shared" si="94"/>
        <v>1583.3333333333333</v>
      </c>
      <c r="AY81" s="518">
        <f t="shared" si="96"/>
        <v>1113.3333333333333</v>
      </c>
      <c r="AZ81" s="518">
        <f t="shared" si="98"/>
        <v>1646.6666666666667</v>
      </c>
      <c r="BA81" s="518">
        <f t="shared" si="100"/>
        <v>1136.6666666666667</v>
      </c>
      <c r="BB81" s="518">
        <f t="shared" si="102"/>
        <v>1223.3333333333333</v>
      </c>
      <c r="BC81" s="619">
        <f t="shared" si="104"/>
        <v>1598.3333333333333</v>
      </c>
      <c r="BD81" s="619">
        <f t="shared" si="106"/>
        <v>163.33333333333334</v>
      </c>
      <c r="BE81" s="619">
        <f t="shared" si="108"/>
        <v>91.666666666666671</v>
      </c>
      <c r="BF81" s="619">
        <f t="shared" si="110"/>
        <v>18.333333333333332</v>
      </c>
      <c r="BG81" s="619">
        <f t="shared" si="112"/>
        <v>8.3333333333333339</v>
      </c>
      <c r="BH81" s="619"/>
      <c r="BI81" s="619"/>
      <c r="BJ81" s="619">
        <f t="shared" si="116"/>
        <v>8.3333333333333339</v>
      </c>
      <c r="BK81" s="619">
        <f t="shared" si="118"/>
        <v>0</v>
      </c>
      <c r="BL81" s="619">
        <f t="shared" si="120"/>
        <v>10</v>
      </c>
      <c r="BM81" s="619">
        <f t="shared" si="122"/>
        <v>0</v>
      </c>
      <c r="BN81" s="619">
        <f t="shared" si="124"/>
        <v>0</v>
      </c>
      <c r="BO81" s="619">
        <f t="shared" si="126"/>
        <v>0</v>
      </c>
      <c r="BP81" s="619">
        <f t="shared" si="128"/>
        <v>0</v>
      </c>
      <c r="BQ81" s="619">
        <f t="shared" si="130"/>
        <v>8.3333333333333339</v>
      </c>
      <c r="BR81" s="518">
        <f t="shared" si="136"/>
        <v>40830.000000000015</v>
      </c>
      <c r="BS81" s="518">
        <f t="shared" si="140"/>
        <v>6572136.7100000028</v>
      </c>
      <c r="BT81" s="518">
        <f t="shared" si="141"/>
        <v>452334.99999999721</v>
      </c>
      <c r="BU81" s="518">
        <f t="shared" si="142"/>
        <v>493164.99999999721</v>
      </c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>
        <f t="shared" si="137"/>
        <v>0</v>
      </c>
      <c r="EC81" s="519">
        <f t="shared" si="143"/>
        <v>0</v>
      </c>
      <c r="ED81" s="519">
        <f t="shared" si="135"/>
        <v>40830.000000000015</v>
      </c>
      <c r="EE81" s="518">
        <f t="shared" si="144"/>
        <v>40830.000000000015</v>
      </c>
      <c r="EF81" s="518">
        <f>+EE81*'Capital Structure '!$T$30</f>
        <v>11477.313000000006</v>
      </c>
      <c r="EG81" s="518">
        <f t="shared" si="139"/>
        <v>-127151.36850000006</v>
      </c>
    </row>
    <row r="82" spans="1:137" s="585" customFormat="1" outlineLevel="1">
      <c r="A82" s="308" t="s">
        <v>53</v>
      </c>
      <c r="B82" s="308">
        <f>+B81+1</f>
        <v>2022</v>
      </c>
      <c r="C82" s="308" t="s">
        <v>47</v>
      </c>
      <c r="D82" s="518"/>
      <c r="E82" s="518"/>
      <c r="F82" s="518"/>
      <c r="G82" s="518"/>
      <c r="H82" s="518"/>
      <c r="I82" s="518"/>
      <c r="K82" s="518">
        <f t="shared" si="132"/>
        <v>0</v>
      </c>
      <c r="L82" s="518">
        <f>SUM(K$5:K82)</f>
        <v>7024471.71</v>
      </c>
      <c r="AA82" s="518"/>
      <c r="AB82" s="518"/>
      <c r="AC82" s="518"/>
      <c r="AD82" s="518"/>
      <c r="AE82" s="518"/>
      <c r="AF82" s="518">
        <f t="shared" si="51"/>
        <v>2318.3333333333335</v>
      </c>
      <c r="AG82" s="518">
        <f t="shared" si="53"/>
        <v>2056.6666666666665</v>
      </c>
      <c r="AH82" s="518">
        <f t="shared" si="55"/>
        <v>1968.3333333333333</v>
      </c>
      <c r="AI82" s="518">
        <f t="shared" si="57"/>
        <v>2435</v>
      </c>
      <c r="AJ82" s="518">
        <f t="shared" si="60"/>
        <v>1468.3333333333333</v>
      </c>
      <c r="AK82" s="518">
        <f t="shared" si="62"/>
        <v>1326.6666666666667</v>
      </c>
      <c r="AL82" s="518">
        <f t="shared" si="64"/>
        <v>1798.3333333333333</v>
      </c>
      <c r="AM82" s="518">
        <f t="shared" si="66"/>
        <v>1486.6666666666667</v>
      </c>
      <c r="AN82" s="518">
        <f t="shared" si="68"/>
        <v>1538.3333333333333</v>
      </c>
      <c r="AO82" s="518">
        <f t="shared" si="70"/>
        <v>1136.6666666666667</v>
      </c>
      <c r="AP82" s="518">
        <f t="shared" si="72"/>
        <v>1131.6666666666667</v>
      </c>
      <c r="AQ82" s="518">
        <f t="shared" si="75"/>
        <v>1275</v>
      </c>
      <c r="AR82" s="518">
        <f t="shared" si="77"/>
        <v>1440</v>
      </c>
      <c r="AS82" s="518">
        <f t="shared" si="79"/>
        <v>1505</v>
      </c>
      <c r="AT82" s="518">
        <f t="shared" si="84"/>
        <v>2083.3333333333335</v>
      </c>
      <c r="AU82" s="518">
        <f t="shared" si="86"/>
        <v>1470</v>
      </c>
      <c r="AV82" s="518">
        <f t="shared" si="88"/>
        <v>1508.3333333333333</v>
      </c>
      <c r="AW82" s="518">
        <f t="shared" si="90"/>
        <v>1710</v>
      </c>
      <c r="AX82" s="518">
        <f t="shared" si="94"/>
        <v>1583.3333333333333</v>
      </c>
      <c r="AY82" s="518">
        <f t="shared" si="96"/>
        <v>1113.3333333333333</v>
      </c>
      <c r="AZ82" s="518">
        <f t="shared" si="98"/>
        <v>1646.6666666666667</v>
      </c>
      <c r="BA82" s="518">
        <f t="shared" si="100"/>
        <v>1136.6666666666667</v>
      </c>
      <c r="BB82" s="518">
        <f t="shared" si="102"/>
        <v>1223.3333333333333</v>
      </c>
      <c r="BC82" s="619">
        <f t="shared" si="104"/>
        <v>1598.3333333333333</v>
      </c>
      <c r="BD82" s="619">
        <f t="shared" si="106"/>
        <v>163.33333333333334</v>
      </c>
      <c r="BE82" s="619">
        <f t="shared" si="108"/>
        <v>91.666666666666671</v>
      </c>
      <c r="BF82" s="619">
        <f t="shared" si="110"/>
        <v>18.333333333333332</v>
      </c>
      <c r="BG82" s="619">
        <f t="shared" si="112"/>
        <v>8.3333333333333339</v>
      </c>
      <c r="BH82" s="619"/>
      <c r="BI82" s="619"/>
      <c r="BJ82" s="619">
        <f t="shared" si="116"/>
        <v>8.3333333333333339</v>
      </c>
      <c r="BK82" s="619">
        <f t="shared" si="118"/>
        <v>0</v>
      </c>
      <c r="BL82" s="619">
        <f t="shared" si="120"/>
        <v>10</v>
      </c>
      <c r="BM82" s="619">
        <f t="shared" si="122"/>
        <v>0</v>
      </c>
      <c r="BN82" s="619">
        <f t="shared" si="124"/>
        <v>0</v>
      </c>
      <c r="BO82" s="619">
        <f t="shared" si="126"/>
        <v>0</v>
      </c>
      <c r="BP82" s="619">
        <f t="shared" si="128"/>
        <v>0</v>
      </c>
      <c r="BQ82" s="619">
        <f t="shared" si="130"/>
        <v>8.3333333333333339</v>
      </c>
      <c r="BR82" s="518">
        <f t="shared" si="136"/>
        <v>38266.666666666672</v>
      </c>
      <c r="BS82" s="518">
        <f t="shared" si="140"/>
        <v>6610403.3766666697</v>
      </c>
      <c r="BT82" s="518">
        <f t="shared" si="141"/>
        <v>414068.33333333023</v>
      </c>
      <c r="BU82" s="518">
        <f t="shared" si="142"/>
        <v>452334.99999999721</v>
      </c>
      <c r="EA82" s="518">
        <f t="shared" si="137"/>
        <v>0</v>
      </c>
      <c r="EC82" s="519">
        <f t="shared" si="143"/>
        <v>0</v>
      </c>
      <c r="ED82" s="519">
        <f t="shared" si="135"/>
        <v>38266.666666666672</v>
      </c>
      <c r="EE82" s="518">
        <f t="shared" si="144"/>
        <v>38266.666666666672</v>
      </c>
      <c r="EF82" s="518">
        <f>+EE82*'Capital Structure '!$T$30</f>
        <v>10756.760000000002</v>
      </c>
      <c r="EG82" s="518">
        <f t="shared" si="139"/>
        <v>-116394.60850000006</v>
      </c>
    </row>
    <row r="83" spans="1:137" s="585" customFormat="1" outlineLevel="1">
      <c r="A83" s="308" t="s">
        <v>54</v>
      </c>
      <c r="B83" s="308">
        <f t="shared" si="74"/>
        <v>2022</v>
      </c>
      <c r="C83" s="308" t="s">
        <v>47</v>
      </c>
      <c r="D83" s="518"/>
      <c r="E83" s="518"/>
      <c r="F83" s="518"/>
      <c r="G83" s="518"/>
      <c r="H83" s="518"/>
      <c r="I83" s="518"/>
      <c r="K83" s="518">
        <f t="shared" si="132"/>
        <v>0</v>
      </c>
      <c r="L83" s="518">
        <f>SUM(K$5:K83)</f>
        <v>7024471.71</v>
      </c>
      <c r="AA83" s="518"/>
      <c r="AB83" s="518"/>
      <c r="AC83" s="518"/>
      <c r="AD83" s="518"/>
      <c r="AE83" s="518"/>
      <c r="AF83" s="518"/>
      <c r="AG83" s="518">
        <f t="shared" si="53"/>
        <v>2056.6666666666665</v>
      </c>
      <c r="AH83" s="518">
        <f t="shared" si="55"/>
        <v>1968.3333333333333</v>
      </c>
      <c r="AI83" s="518">
        <f t="shared" si="57"/>
        <v>2435</v>
      </c>
      <c r="AJ83" s="518">
        <f t="shared" si="60"/>
        <v>1468.3333333333333</v>
      </c>
      <c r="AK83" s="518">
        <f t="shared" si="62"/>
        <v>1326.6666666666667</v>
      </c>
      <c r="AL83" s="518">
        <f t="shared" si="64"/>
        <v>1798.3333333333333</v>
      </c>
      <c r="AM83" s="518">
        <f t="shared" si="66"/>
        <v>1486.6666666666667</v>
      </c>
      <c r="AN83" s="518">
        <f t="shared" si="68"/>
        <v>1538.3333333333333</v>
      </c>
      <c r="AO83" s="518">
        <f t="shared" si="70"/>
        <v>1136.6666666666667</v>
      </c>
      <c r="AP83" s="518">
        <f t="shared" si="72"/>
        <v>1131.6666666666667</v>
      </c>
      <c r="AQ83" s="518">
        <f t="shared" si="75"/>
        <v>1275</v>
      </c>
      <c r="AR83" s="518">
        <f t="shared" si="77"/>
        <v>1440</v>
      </c>
      <c r="AS83" s="518">
        <f t="shared" si="79"/>
        <v>1505</v>
      </c>
      <c r="AT83" s="518">
        <f t="shared" si="84"/>
        <v>2083.3333333333335</v>
      </c>
      <c r="AU83" s="518">
        <f t="shared" si="86"/>
        <v>1470</v>
      </c>
      <c r="AV83" s="518">
        <f t="shared" si="88"/>
        <v>1508.3333333333333</v>
      </c>
      <c r="AW83" s="518">
        <f t="shared" si="90"/>
        <v>1710</v>
      </c>
      <c r="AX83" s="518">
        <f t="shared" si="94"/>
        <v>1583.3333333333333</v>
      </c>
      <c r="AY83" s="518">
        <f t="shared" si="96"/>
        <v>1113.3333333333333</v>
      </c>
      <c r="AZ83" s="518">
        <f t="shared" si="98"/>
        <v>1646.6666666666667</v>
      </c>
      <c r="BA83" s="518">
        <f t="shared" si="100"/>
        <v>1136.6666666666667</v>
      </c>
      <c r="BB83" s="518">
        <f t="shared" si="102"/>
        <v>1223.3333333333333</v>
      </c>
      <c r="BC83" s="619">
        <f t="shared" si="104"/>
        <v>1598.3333333333333</v>
      </c>
      <c r="BD83" s="619">
        <f t="shared" si="106"/>
        <v>163.33333333333334</v>
      </c>
      <c r="BE83" s="619">
        <f t="shared" si="108"/>
        <v>91.666666666666671</v>
      </c>
      <c r="BF83" s="619">
        <f t="shared" si="110"/>
        <v>18.333333333333332</v>
      </c>
      <c r="BG83" s="619">
        <f t="shared" si="112"/>
        <v>8.3333333333333339</v>
      </c>
      <c r="BH83" s="619"/>
      <c r="BI83" s="619"/>
      <c r="BJ83" s="619">
        <f t="shared" si="116"/>
        <v>8.3333333333333339</v>
      </c>
      <c r="BK83" s="619">
        <f t="shared" si="118"/>
        <v>0</v>
      </c>
      <c r="BL83" s="619">
        <f t="shared" si="120"/>
        <v>10</v>
      </c>
      <c r="BM83" s="619">
        <f t="shared" si="122"/>
        <v>0</v>
      </c>
      <c r="BN83" s="619">
        <f t="shared" si="124"/>
        <v>0</v>
      </c>
      <c r="BO83" s="619">
        <f t="shared" si="126"/>
        <v>0</v>
      </c>
      <c r="BP83" s="619">
        <f t="shared" si="128"/>
        <v>0</v>
      </c>
      <c r="BQ83" s="619">
        <f t="shared" si="130"/>
        <v>8.3333333333333339</v>
      </c>
      <c r="BR83" s="518">
        <f t="shared" si="136"/>
        <v>35948.333333333343</v>
      </c>
      <c r="BS83" s="518">
        <f t="shared" si="140"/>
        <v>6646351.7100000028</v>
      </c>
      <c r="BT83" s="518">
        <f t="shared" si="141"/>
        <v>378119.99999999721</v>
      </c>
      <c r="BU83" s="518">
        <f t="shared" si="142"/>
        <v>414068.33333333023</v>
      </c>
      <c r="EA83" s="518">
        <f t="shared" si="137"/>
        <v>0</v>
      </c>
      <c r="EC83" s="519">
        <f t="shared" si="143"/>
        <v>0</v>
      </c>
      <c r="ED83" s="519">
        <f t="shared" si="135"/>
        <v>35948.333333333343</v>
      </c>
      <c r="EE83" s="518">
        <f t="shared" si="144"/>
        <v>35948.333333333343</v>
      </c>
      <c r="EF83" s="518">
        <f>+EE83*'Capital Structure '!$T$30</f>
        <v>10105.076500000003</v>
      </c>
      <c r="EG83" s="518">
        <f t="shared" si="139"/>
        <v>-106289.53200000006</v>
      </c>
    </row>
    <row r="84" spans="1:137" s="585" customFormat="1" outlineLevel="1">
      <c r="A84" s="308" t="s">
        <v>55</v>
      </c>
      <c r="B84" s="308">
        <f t="shared" si="74"/>
        <v>2022</v>
      </c>
      <c r="C84" s="308" t="s">
        <v>47</v>
      </c>
      <c r="D84" s="518"/>
      <c r="E84" s="518"/>
      <c r="F84" s="518"/>
      <c r="G84" s="518"/>
      <c r="H84" s="518"/>
      <c r="I84" s="518"/>
      <c r="K84" s="518">
        <f t="shared" si="132"/>
        <v>0</v>
      </c>
      <c r="L84" s="518">
        <f>SUM(K$5:K84)</f>
        <v>7024471.71</v>
      </c>
      <c r="AA84" s="518"/>
      <c r="AB84" s="518"/>
      <c r="AC84" s="518"/>
      <c r="AD84" s="518"/>
      <c r="AE84" s="518"/>
      <c r="AF84" s="518"/>
      <c r="AG84" s="518"/>
      <c r="AH84" s="518">
        <f t="shared" si="55"/>
        <v>1968.3333333333333</v>
      </c>
      <c r="AI84" s="518">
        <f t="shared" si="57"/>
        <v>2435</v>
      </c>
      <c r="AJ84" s="518">
        <f t="shared" si="60"/>
        <v>1468.3333333333333</v>
      </c>
      <c r="AK84" s="518">
        <f t="shared" si="62"/>
        <v>1326.6666666666667</v>
      </c>
      <c r="AL84" s="518">
        <f t="shared" si="64"/>
        <v>1798.3333333333333</v>
      </c>
      <c r="AM84" s="518">
        <f t="shared" si="66"/>
        <v>1486.6666666666667</v>
      </c>
      <c r="AN84" s="518">
        <f t="shared" si="68"/>
        <v>1538.3333333333333</v>
      </c>
      <c r="AO84" s="518">
        <f t="shared" si="70"/>
        <v>1136.6666666666667</v>
      </c>
      <c r="AP84" s="518">
        <f t="shared" si="72"/>
        <v>1131.6666666666667</v>
      </c>
      <c r="AQ84" s="518">
        <f t="shared" si="75"/>
        <v>1275</v>
      </c>
      <c r="AR84" s="518">
        <f t="shared" si="77"/>
        <v>1440</v>
      </c>
      <c r="AS84" s="518">
        <f t="shared" si="79"/>
        <v>1505</v>
      </c>
      <c r="AT84" s="518">
        <f t="shared" si="84"/>
        <v>2083.3333333333335</v>
      </c>
      <c r="AU84" s="518">
        <f t="shared" si="86"/>
        <v>1470</v>
      </c>
      <c r="AV84" s="518">
        <f t="shared" si="88"/>
        <v>1508.3333333333333</v>
      </c>
      <c r="AW84" s="518">
        <f t="shared" si="90"/>
        <v>1710</v>
      </c>
      <c r="AX84" s="518">
        <f t="shared" si="94"/>
        <v>1583.3333333333333</v>
      </c>
      <c r="AY84" s="518">
        <f t="shared" si="96"/>
        <v>1113.3333333333333</v>
      </c>
      <c r="AZ84" s="518">
        <f t="shared" si="98"/>
        <v>1646.6666666666667</v>
      </c>
      <c r="BA84" s="518">
        <f t="shared" si="100"/>
        <v>1136.6666666666667</v>
      </c>
      <c r="BB84" s="518">
        <f t="shared" si="102"/>
        <v>1223.3333333333333</v>
      </c>
      <c r="BC84" s="619">
        <f t="shared" si="104"/>
        <v>1598.3333333333333</v>
      </c>
      <c r="BD84" s="619">
        <f t="shared" si="106"/>
        <v>163.33333333333334</v>
      </c>
      <c r="BE84" s="619">
        <f t="shared" si="108"/>
        <v>91.666666666666671</v>
      </c>
      <c r="BF84" s="619">
        <f t="shared" si="110"/>
        <v>18.333333333333332</v>
      </c>
      <c r="BG84" s="619">
        <f t="shared" si="112"/>
        <v>8.3333333333333339</v>
      </c>
      <c r="BH84" s="619"/>
      <c r="BI84" s="619"/>
      <c r="BJ84" s="619">
        <f t="shared" si="116"/>
        <v>8.3333333333333339</v>
      </c>
      <c r="BK84" s="619">
        <f t="shared" si="118"/>
        <v>0</v>
      </c>
      <c r="BL84" s="619">
        <f t="shared" si="120"/>
        <v>10</v>
      </c>
      <c r="BM84" s="619">
        <f t="shared" si="122"/>
        <v>0</v>
      </c>
      <c r="BN84" s="619">
        <f t="shared" si="124"/>
        <v>0</v>
      </c>
      <c r="BO84" s="619">
        <f t="shared" si="126"/>
        <v>0</v>
      </c>
      <c r="BP84" s="619">
        <f t="shared" si="128"/>
        <v>0</v>
      </c>
      <c r="BQ84" s="619">
        <f t="shared" si="130"/>
        <v>8.3333333333333339</v>
      </c>
      <c r="BR84" s="518">
        <f t="shared" si="136"/>
        <v>33891.666666666672</v>
      </c>
      <c r="BS84" s="518">
        <f t="shared" si="140"/>
        <v>6680243.3766666697</v>
      </c>
      <c r="BT84" s="518">
        <f t="shared" si="141"/>
        <v>344228.33333333023</v>
      </c>
      <c r="BU84" s="518">
        <f t="shared" si="142"/>
        <v>378119.99999999721</v>
      </c>
      <c r="EA84" s="518">
        <f t="shared" si="137"/>
        <v>0</v>
      </c>
      <c r="EC84" s="519">
        <f t="shared" si="143"/>
        <v>0</v>
      </c>
      <c r="ED84" s="519">
        <f t="shared" si="135"/>
        <v>33891.666666666672</v>
      </c>
      <c r="EE84" s="518">
        <f t="shared" si="144"/>
        <v>33891.666666666672</v>
      </c>
      <c r="EF84" s="518">
        <f>+EE84*'Capital Structure '!$T$30</f>
        <v>9526.947500000002</v>
      </c>
      <c r="EG84" s="518">
        <f t="shared" si="139"/>
        <v>-96762.584500000055</v>
      </c>
    </row>
    <row r="85" spans="1:137" s="585" customFormat="1" outlineLevel="1">
      <c r="A85" s="308" t="s">
        <v>56</v>
      </c>
      <c r="B85" s="308">
        <f t="shared" si="74"/>
        <v>2022</v>
      </c>
      <c r="C85" s="308" t="s">
        <v>47</v>
      </c>
      <c r="D85" s="518"/>
      <c r="E85" s="518"/>
      <c r="F85" s="518"/>
      <c r="G85" s="518"/>
      <c r="H85" s="518"/>
      <c r="I85" s="518"/>
      <c r="K85" s="518">
        <f t="shared" si="132"/>
        <v>0</v>
      </c>
      <c r="L85" s="518">
        <f>SUM(K$5:K85)</f>
        <v>7024471.71</v>
      </c>
      <c r="AA85" s="518"/>
      <c r="AB85" s="518"/>
      <c r="AC85" s="518"/>
      <c r="AD85" s="518"/>
      <c r="AE85" s="518"/>
      <c r="AF85" s="518"/>
      <c r="AG85" s="518"/>
      <c r="AH85" s="518"/>
      <c r="AI85" s="518">
        <f t="shared" si="57"/>
        <v>2435</v>
      </c>
      <c r="AJ85" s="518">
        <f t="shared" si="60"/>
        <v>1468.3333333333333</v>
      </c>
      <c r="AK85" s="518">
        <f t="shared" si="62"/>
        <v>1326.6666666666667</v>
      </c>
      <c r="AL85" s="518">
        <f t="shared" si="64"/>
        <v>1798.3333333333333</v>
      </c>
      <c r="AM85" s="518">
        <f t="shared" si="66"/>
        <v>1486.6666666666667</v>
      </c>
      <c r="AN85" s="518">
        <f t="shared" si="68"/>
        <v>1538.3333333333333</v>
      </c>
      <c r="AO85" s="518">
        <f t="shared" si="70"/>
        <v>1136.6666666666667</v>
      </c>
      <c r="AP85" s="518">
        <f t="shared" si="72"/>
        <v>1131.6666666666667</v>
      </c>
      <c r="AQ85" s="518">
        <f t="shared" si="75"/>
        <v>1275</v>
      </c>
      <c r="AR85" s="518">
        <f t="shared" si="77"/>
        <v>1440</v>
      </c>
      <c r="AS85" s="518">
        <f t="shared" si="79"/>
        <v>1505</v>
      </c>
      <c r="AT85" s="518">
        <f t="shared" si="84"/>
        <v>2083.3333333333335</v>
      </c>
      <c r="AU85" s="518">
        <f t="shared" si="86"/>
        <v>1470</v>
      </c>
      <c r="AV85" s="518">
        <f t="shared" si="88"/>
        <v>1508.3333333333333</v>
      </c>
      <c r="AW85" s="518">
        <f t="shared" si="90"/>
        <v>1710</v>
      </c>
      <c r="AX85" s="518">
        <f t="shared" si="94"/>
        <v>1583.3333333333333</v>
      </c>
      <c r="AY85" s="518">
        <f t="shared" si="96"/>
        <v>1113.3333333333333</v>
      </c>
      <c r="AZ85" s="518">
        <f t="shared" si="98"/>
        <v>1646.6666666666667</v>
      </c>
      <c r="BA85" s="518">
        <f t="shared" si="100"/>
        <v>1136.6666666666667</v>
      </c>
      <c r="BB85" s="518">
        <f t="shared" si="102"/>
        <v>1223.3333333333333</v>
      </c>
      <c r="BC85" s="619">
        <f t="shared" si="104"/>
        <v>1598.3333333333333</v>
      </c>
      <c r="BD85" s="619">
        <f t="shared" si="106"/>
        <v>163.33333333333334</v>
      </c>
      <c r="BE85" s="619">
        <f t="shared" si="108"/>
        <v>91.666666666666671</v>
      </c>
      <c r="BF85" s="619">
        <f t="shared" si="110"/>
        <v>18.333333333333332</v>
      </c>
      <c r="BG85" s="619">
        <f t="shared" si="112"/>
        <v>8.3333333333333339</v>
      </c>
      <c r="BH85" s="619"/>
      <c r="BI85" s="619"/>
      <c r="BJ85" s="619">
        <f t="shared" si="116"/>
        <v>8.3333333333333339</v>
      </c>
      <c r="BK85" s="619">
        <f t="shared" si="118"/>
        <v>0</v>
      </c>
      <c r="BL85" s="619">
        <f t="shared" si="120"/>
        <v>10</v>
      </c>
      <c r="BM85" s="619">
        <f t="shared" si="122"/>
        <v>0</v>
      </c>
      <c r="BN85" s="619">
        <f t="shared" si="124"/>
        <v>0</v>
      </c>
      <c r="BO85" s="619">
        <f t="shared" si="126"/>
        <v>0</v>
      </c>
      <c r="BP85" s="619">
        <f t="shared" si="128"/>
        <v>0</v>
      </c>
      <c r="BQ85" s="619">
        <f t="shared" si="130"/>
        <v>8.3333333333333339</v>
      </c>
      <c r="BR85" s="518">
        <f t="shared" si="136"/>
        <v>31923.333333333321</v>
      </c>
      <c r="BS85" s="518">
        <f t="shared" si="140"/>
        <v>6712166.7100000028</v>
      </c>
      <c r="BT85" s="518">
        <f t="shared" si="141"/>
        <v>312304.99999999721</v>
      </c>
      <c r="BU85" s="518">
        <f t="shared" si="142"/>
        <v>344228.33333333023</v>
      </c>
      <c r="EA85" s="518">
        <f t="shared" si="137"/>
        <v>0</v>
      </c>
      <c r="EC85" s="519">
        <f t="shared" si="143"/>
        <v>0</v>
      </c>
      <c r="ED85" s="519">
        <f t="shared" si="135"/>
        <v>31923.333333333321</v>
      </c>
      <c r="EE85" s="518">
        <f t="shared" si="144"/>
        <v>31923.333333333321</v>
      </c>
      <c r="EF85" s="518">
        <f>+EE85*'Capital Structure '!$T$30</f>
        <v>8973.6489999999976</v>
      </c>
      <c r="EG85" s="518">
        <f t="shared" si="139"/>
        <v>-87788.935500000051</v>
      </c>
    </row>
    <row r="86" spans="1:137" s="585" customFormat="1" outlineLevel="1">
      <c r="A86" s="308" t="s">
        <v>57</v>
      </c>
      <c r="B86" s="308">
        <f t="shared" si="74"/>
        <v>2022</v>
      </c>
      <c r="C86" s="308" t="s">
        <v>47</v>
      </c>
      <c r="D86" s="518"/>
      <c r="E86" s="518"/>
      <c r="F86" s="518"/>
      <c r="G86" s="518"/>
      <c r="H86" s="518"/>
      <c r="I86" s="518"/>
      <c r="K86" s="518">
        <f t="shared" si="132"/>
        <v>0</v>
      </c>
      <c r="L86" s="518">
        <f>SUM(K$5:K86)</f>
        <v>7024471.71</v>
      </c>
      <c r="AA86" s="518"/>
      <c r="AB86" s="518"/>
      <c r="AC86" s="518"/>
      <c r="AD86" s="518"/>
      <c r="AE86" s="518"/>
      <c r="AF86" s="518"/>
      <c r="AG86" s="518"/>
      <c r="AH86" s="518"/>
      <c r="AI86" s="518"/>
      <c r="AJ86" s="518">
        <f t="shared" si="60"/>
        <v>1468.3333333333333</v>
      </c>
      <c r="AK86" s="518">
        <f t="shared" si="62"/>
        <v>1326.6666666666667</v>
      </c>
      <c r="AL86" s="518">
        <f t="shared" si="64"/>
        <v>1798.3333333333333</v>
      </c>
      <c r="AM86" s="518">
        <f t="shared" si="66"/>
        <v>1486.6666666666667</v>
      </c>
      <c r="AN86" s="518">
        <f t="shared" si="68"/>
        <v>1538.3333333333333</v>
      </c>
      <c r="AO86" s="518">
        <f t="shared" si="70"/>
        <v>1136.6666666666667</v>
      </c>
      <c r="AP86" s="518">
        <f t="shared" si="72"/>
        <v>1131.6666666666667</v>
      </c>
      <c r="AQ86" s="518">
        <f t="shared" si="75"/>
        <v>1275</v>
      </c>
      <c r="AR86" s="518">
        <f t="shared" si="77"/>
        <v>1440</v>
      </c>
      <c r="AS86" s="518">
        <f t="shared" si="79"/>
        <v>1505</v>
      </c>
      <c r="AT86" s="518">
        <f t="shared" si="84"/>
        <v>2083.3333333333335</v>
      </c>
      <c r="AU86" s="518">
        <f t="shared" si="86"/>
        <v>1470</v>
      </c>
      <c r="AV86" s="518">
        <f t="shared" si="88"/>
        <v>1508.3333333333333</v>
      </c>
      <c r="AW86" s="518">
        <f t="shared" si="90"/>
        <v>1710</v>
      </c>
      <c r="AX86" s="518">
        <f t="shared" si="94"/>
        <v>1583.3333333333333</v>
      </c>
      <c r="AY86" s="518">
        <f t="shared" si="96"/>
        <v>1113.3333333333333</v>
      </c>
      <c r="AZ86" s="518">
        <f t="shared" si="98"/>
        <v>1646.6666666666667</v>
      </c>
      <c r="BA86" s="518">
        <f t="shared" si="100"/>
        <v>1136.6666666666667</v>
      </c>
      <c r="BB86" s="518">
        <f t="shared" si="102"/>
        <v>1223.3333333333333</v>
      </c>
      <c r="BC86" s="619">
        <f t="shared" si="104"/>
        <v>1598.3333333333333</v>
      </c>
      <c r="BD86" s="619">
        <f t="shared" si="106"/>
        <v>163.33333333333334</v>
      </c>
      <c r="BE86" s="619">
        <f t="shared" si="108"/>
        <v>91.666666666666671</v>
      </c>
      <c r="BF86" s="619">
        <f t="shared" si="110"/>
        <v>18.333333333333332</v>
      </c>
      <c r="BG86" s="619">
        <f t="shared" si="112"/>
        <v>8.3333333333333339</v>
      </c>
      <c r="BH86" s="619"/>
      <c r="BI86" s="619"/>
      <c r="BJ86" s="619">
        <f t="shared" si="116"/>
        <v>8.3333333333333339</v>
      </c>
      <c r="BK86" s="619">
        <f t="shared" si="118"/>
        <v>0</v>
      </c>
      <c r="BL86" s="619">
        <f t="shared" si="120"/>
        <v>10</v>
      </c>
      <c r="BM86" s="619">
        <f t="shared" si="122"/>
        <v>0</v>
      </c>
      <c r="BN86" s="619">
        <f t="shared" si="124"/>
        <v>0</v>
      </c>
      <c r="BO86" s="619">
        <f t="shared" si="126"/>
        <v>0</v>
      </c>
      <c r="BP86" s="619">
        <f t="shared" si="128"/>
        <v>0</v>
      </c>
      <c r="BQ86" s="619">
        <f t="shared" si="130"/>
        <v>8.3333333333333339</v>
      </c>
      <c r="BR86" s="518">
        <f t="shared" si="136"/>
        <v>29488.333333333325</v>
      </c>
      <c r="BS86" s="518">
        <f t="shared" si="140"/>
        <v>6741655.0433333358</v>
      </c>
      <c r="BT86" s="518">
        <f t="shared" si="141"/>
        <v>282816.66666666418</v>
      </c>
      <c r="BU86" s="518">
        <f t="shared" si="142"/>
        <v>312304.99999999721</v>
      </c>
      <c r="EA86" s="518">
        <f t="shared" si="137"/>
        <v>0</v>
      </c>
      <c r="EC86" s="519">
        <f t="shared" si="143"/>
        <v>0</v>
      </c>
      <c r="ED86" s="519">
        <f t="shared" si="135"/>
        <v>29488.333333333325</v>
      </c>
      <c r="EE86" s="518">
        <f t="shared" si="144"/>
        <v>29488.333333333325</v>
      </c>
      <c r="EF86" s="518">
        <f>+EE86*'Capital Structure '!$T$30</f>
        <v>8289.1704999999984</v>
      </c>
      <c r="EG86" s="518">
        <f t="shared" si="139"/>
        <v>-79499.765000000058</v>
      </c>
    </row>
    <row r="87" spans="1:137" s="585" customFormat="1" outlineLevel="1">
      <c r="A87" s="308" t="s">
        <v>58</v>
      </c>
      <c r="B87" s="308">
        <f t="shared" si="74"/>
        <v>2022</v>
      </c>
      <c r="C87" s="308" t="s">
        <v>47</v>
      </c>
      <c r="D87" s="518"/>
      <c r="E87" s="518"/>
      <c r="F87" s="518"/>
      <c r="G87" s="518"/>
      <c r="H87" s="518"/>
      <c r="I87" s="518"/>
      <c r="K87" s="518">
        <f t="shared" si="132"/>
        <v>0</v>
      </c>
      <c r="L87" s="518">
        <f>SUM(K$5:K87)</f>
        <v>7024471.71</v>
      </c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>
        <f t="shared" si="62"/>
        <v>1326.6666666666667</v>
      </c>
      <c r="AL87" s="518">
        <f t="shared" si="64"/>
        <v>1798.3333333333333</v>
      </c>
      <c r="AM87" s="518">
        <f t="shared" si="66"/>
        <v>1486.6666666666667</v>
      </c>
      <c r="AN87" s="518">
        <f t="shared" si="68"/>
        <v>1538.3333333333333</v>
      </c>
      <c r="AO87" s="518">
        <f t="shared" si="70"/>
        <v>1136.6666666666667</v>
      </c>
      <c r="AP87" s="518">
        <f t="shared" si="72"/>
        <v>1131.6666666666667</v>
      </c>
      <c r="AQ87" s="518">
        <f t="shared" si="75"/>
        <v>1275</v>
      </c>
      <c r="AR87" s="518">
        <f t="shared" si="77"/>
        <v>1440</v>
      </c>
      <c r="AS87" s="518">
        <f t="shared" si="79"/>
        <v>1505</v>
      </c>
      <c r="AT87" s="518">
        <f t="shared" si="84"/>
        <v>2083.3333333333335</v>
      </c>
      <c r="AU87" s="518">
        <f t="shared" si="86"/>
        <v>1470</v>
      </c>
      <c r="AV87" s="518">
        <f t="shared" si="88"/>
        <v>1508.3333333333333</v>
      </c>
      <c r="AW87" s="518">
        <f t="shared" si="90"/>
        <v>1710</v>
      </c>
      <c r="AX87" s="518">
        <f t="shared" si="94"/>
        <v>1583.3333333333333</v>
      </c>
      <c r="AY87" s="518">
        <f t="shared" si="96"/>
        <v>1113.3333333333333</v>
      </c>
      <c r="AZ87" s="518">
        <f t="shared" si="98"/>
        <v>1646.6666666666667</v>
      </c>
      <c r="BA87" s="518">
        <f t="shared" si="100"/>
        <v>1136.6666666666667</v>
      </c>
      <c r="BB87" s="518">
        <f t="shared" si="102"/>
        <v>1223.3333333333333</v>
      </c>
      <c r="BC87" s="619">
        <f t="shared" si="104"/>
        <v>1598.3333333333333</v>
      </c>
      <c r="BD87" s="619">
        <f t="shared" si="106"/>
        <v>163.33333333333334</v>
      </c>
      <c r="BE87" s="619">
        <f t="shared" si="108"/>
        <v>91.666666666666671</v>
      </c>
      <c r="BF87" s="619">
        <f t="shared" si="110"/>
        <v>18.333333333333332</v>
      </c>
      <c r="BG87" s="619">
        <f t="shared" si="112"/>
        <v>8.3333333333333339</v>
      </c>
      <c r="BH87" s="619"/>
      <c r="BI87" s="619"/>
      <c r="BJ87" s="619">
        <f t="shared" si="116"/>
        <v>8.3333333333333339</v>
      </c>
      <c r="BK87" s="619">
        <f t="shared" si="118"/>
        <v>0</v>
      </c>
      <c r="BL87" s="619">
        <f t="shared" si="120"/>
        <v>10</v>
      </c>
      <c r="BM87" s="619">
        <f t="shared" si="122"/>
        <v>0</v>
      </c>
      <c r="BN87" s="619">
        <f t="shared" si="124"/>
        <v>0</v>
      </c>
      <c r="BO87" s="619">
        <f t="shared" si="126"/>
        <v>0</v>
      </c>
      <c r="BP87" s="619">
        <f t="shared" si="128"/>
        <v>0</v>
      </c>
      <c r="BQ87" s="619">
        <f t="shared" si="130"/>
        <v>8.3333333333333339</v>
      </c>
      <c r="BR87" s="518">
        <f t="shared" si="136"/>
        <v>28019.999999999993</v>
      </c>
      <c r="BS87" s="518">
        <f t="shared" si="140"/>
        <v>6769675.0433333358</v>
      </c>
      <c r="BT87" s="518">
        <f t="shared" si="141"/>
        <v>254796.66666666418</v>
      </c>
      <c r="BU87" s="518">
        <f t="shared" si="142"/>
        <v>282816.66666666418</v>
      </c>
      <c r="EA87" s="518">
        <f t="shared" si="137"/>
        <v>0</v>
      </c>
      <c r="EC87" s="519">
        <f t="shared" si="143"/>
        <v>0</v>
      </c>
      <c r="ED87" s="519">
        <f t="shared" si="135"/>
        <v>28019.999999999993</v>
      </c>
      <c r="EE87" s="518">
        <f t="shared" si="144"/>
        <v>28019.999999999993</v>
      </c>
      <c r="EF87" s="518">
        <f>+EE87*'Capital Structure '!$T$30</f>
        <v>7876.4219999999987</v>
      </c>
      <c r="EG87" s="518">
        <f t="shared" si="139"/>
        <v>-71623.343000000052</v>
      </c>
    </row>
    <row r="88" spans="1:137" s="585" customFormat="1" outlineLevel="1">
      <c r="A88" s="308" t="s">
        <v>59</v>
      </c>
      <c r="B88" s="308">
        <f t="shared" si="74"/>
        <v>2022</v>
      </c>
      <c r="C88" s="308" t="s">
        <v>47</v>
      </c>
      <c r="D88" s="518"/>
      <c r="E88" s="518"/>
      <c r="F88" s="518"/>
      <c r="G88" s="518"/>
      <c r="H88" s="518"/>
      <c r="I88" s="518"/>
      <c r="K88" s="518">
        <f t="shared" si="132"/>
        <v>0</v>
      </c>
      <c r="L88" s="518">
        <f>SUM(K$5:K88)</f>
        <v>7024471.71</v>
      </c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>
        <f t="shared" si="64"/>
        <v>1798.3333333333333</v>
      </c>
      <c r="AM88" s="518">
        <f t="shared" si="66"/>
        <v>1486.6666666666667</v>
      </c>
      <c r="AN88" s="518">
        <f t="shared" si="68"/>
        <v>1538.3333333333333</v>
      </c>
      <c r="AO88" s="518">
        <f t="shared" si="70"/>
        <v>1136.6666666666667</v>
      </c>
      <c r="AP88" s="518">
        <f t="shared" si="72"/>
        <v>1131.6666666666667</v>
      </c>
      <c r="AQ88" s="518">
        <f t="shared" si="75"/>
        <v>1275</v>
      </c>
      <c r="AR88" s="518">
        <f t="shared" si="77"/>
        <v>1440</v>
      </c>
      <c r="AS88" s="518">
        <f t="shared" si="79"/>
        <v>1505</v>
      </c>
      <c r="AT88" s="518">
        <f t="shared" si="84"/>
        <v>2083.3333333333335</v>
      </c>
      <c r="AU88" s="518">
        <f t="shared" si="86"/>
        <v>1470</v>
      </c>
      <c r="AV88" s="518">
        <f t="shared" si="88"/>
        <v>1508.3333333333333</v>
      </c>
      <c r="AW88" s="518">
        <f t="shared" si="90"/>
        <v>1710</v>
      </c>
      <c r="AX88" s="518">
        <f t="shared" si="94"/>
        <v>1583.3333333333333</v>
      </c>
      <c r="AY88" s="518">
        <f t="shared" si="96"/>
        <v>1113.3333333333333</v>
      </c>
      <c r="AZ88" s="518">
        <f t="shared" si="98"/>
        <v>1646.6666666666667</v>
      </c>
      <c r="BA88" s="518">
        <f t="shared" si="100"/>
        <v>1136.6666666666667</v>
      </c>
      <c r="BB88" s="518">
        <f t="shared" si="102"/>
        <v>1223.3333333333333</v>
      </c>
      <c r="BC88" s="619">
        <f t="shared" si="104"/>
        <v>1598.3333333333333</v>
      </c>
      <c r="BD88" s="619">
        <f t="shared" si="106"/>
        <v>163.33333333333334</v>
      </c>
      <c r="BE88" s="619">
        <f t="shared" si="108"/>
        <v>91.666666666666671</v>
      </c>
      <c r="BF88" s="619">
        <f t="shared" si="110"/>
        <v>18.333333333333332</v>
      </c>
      <c r="BG88" s="619">
        <f t="shared" si="112"/>
        <v>8.3333333333333339</v>
      </c>
      <c r="BH88" s="619"/>
      <c r="BI88" s="619"/>
      <c r="BJ88" s="619">
        <f t="shared" si="116"/>
        <v>8.3333333333333339</v>
      </c>
      <c r="BK88" s="619">
        <f t="shared" si="118"/>
        <v>0</v>
      </c>
      <c r="BL88" s="619">
        <f t="shared" si="120"/>
        <v>10</v>
      </c>
      <c r="BM88" s="619">
        <f t="shared" si="122"/>
        <v>0</v>
      </c>
      <c r="BN88" s="619">
        <f t="shared" si="124"/>
        <v>0</v>
      </c>
      <c r="BO88" s="619">
        <f t="shared" si="126"/>
        <v>0</v>
      </c>
      <c r="BP88" s="619">
        <f t="shared" si="128"/>
        <v>0</v>
      </c>
      <c r="BQ88" s="619">
        <f t="shared" si="130"/>
        <v>8.3333333333333339</v>
      </c>
      <c r="BR88" s="518">
        <f t="shared" si="136"/>
        <v>26693.333333333328</v>
      </c>
      <c r="BS88" s="518">
        <f t="shared" ref="BS88:BS101" si="145">BS87+BR88</f>
        <v>6796368.3766666688</v>
      </c>
      <c r="BT88" s="518">
        <f t="shared" ref="BT88:BT101" si="146">+L88-BS88</f>
        <v>228103.33333333116</v>
      </c>
      <c r="BU88" s="518">
        <f t="shared" ref="BU88:BU101" si="147">+L88-BS87</f>
        <v>254796.66666666418</v>
      </c>
      <c r="EA88" s="518">
        <f t="shared" si="137"/>
        <v>0</v>
      </c>
      <c r="EC88" s="519">
        <f t="shared" ref="EC88:EC103" si="148">+EA88</f>
        <v>0</v>
      </c>
      <c r="ED88" s="519">
        <f t="shared" ref="ED88:ED103" si="149">+BR88</f>
        <v>26693.333333333328</v>
      </c>
      <c r="EE88" s="518">
        <f t="shared" ref="EE88:EE103" si="150">+ED88-EC88</f>
        <v>26693.333333333328</v>
      </c>
      <c r="EF88" s="518">
        <f>+EE88*'Capital Structure '!$T$30</f>
        <v>7503.4959999999992</v>
      </c>
      <c r="EG88" s="518">
        <f t="shared" ref="EG88:EG103" si="151">EG87+EF88</f>
        <v>-64119.847000000053</v>
      </c>
    </row>
    <row r="89" spans="1:137" s="585" customFormat="1" outlineLevel="1">
      <c r="A89" s="308" t="s">
        <v>46</v>
      </c>
      <c r="B89" s="308">
        <f t="shared" si="74"/>
        <v>2022</v>
      </c>
      <c r="C89" s="308" t="s">
        <v>47</v>
      </c>
      <c r="D89" s="518"/>
      <c r="E89" s="518"/>
      <c r="F89" s="518"/>
      <c r="G89" s="518"/>
      <c r="H89" s="518"/>
      <c r="I89" s="518"/>
      <c r="K89" s="518">
        <f t="shared" si="132"/>
        <v>0</v>
      </c>
      <c r="L89" s="518">
        <f>SUM(K$5:K89)</f>
        <v>7024471.71</v>
      </c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>
        <f t="shared" si="66"/>
        <v>1486.6666666666667</v>
      </c>
      <c r="AN89" s="518">
        <f t="shared" si="68"/>
        <v>1538.3333333333333</v>
      </c>
      <c r="AO89" s="518">
        <f t="shared" si="70"/>
        <v>1136.6666666666667</v>
      </c>
      <c r="AP89" s="518">
        <f t="shared" si="72"/>
        <v>1131.6666666666667</v>
      </c>
      <c r="AQ89" s="518">
        <f t="shared" si="75"/>
        <v>1275</v>
      </c>
      <c r="AR89" s="518">
        <f t="shared" si="77"/>
        <v>1440</v>
      </c>
      <c r="AS89" s="518">
        <f t="shared" si="79"/>
        <v>1505</v>
      </c>
      <c r="AT89" s="518">
        <f t="shared" si="84"/>
        <v>2083.3333333333335</v>
      </c>
      <c r="AU89" s="518">
        <f t="shared" si="86"/>
        <v>1470</v>
      </c>
      <c r="AV89" s="518">
        <f t="shared" si="88"/>
        <v>1508.3333333333333</v>
      </c>
      <c r="AW89" s="518">
        <f t="shared" si="90"/>
        <v>1710</v>
      </c>
      <c r="AX89" s="518">
        <f t="shared" si="94"/>
        <v>1583.3333333333333</v>
      </c>
      <c r="AY89" s="518">
        <f t="shared" si="96"/>
        <v>1113.3333333333333</v>
      </c>
      <c r="AZ89" s="518">
        <f t="shared" si="98"/>
        <v>1646.6666666666667</v>
      </c>
      <c r="BA89" s="518">
        <f t="shared" si="100"/>
        <v>1136.6666666666667</v>
      </c>
      <c r="BB89" s="518">
        <f t="shared" si="102"/>
        <v>1223.3333333333333</v>
      </c>
      <c r="BC89" s="619">
        <f t="shared" si="104"/>
        <v>1598.3333333333333</v>
      </c>
      <c r="BD89" s="619">
        <f t="shared" si="106"/>
        <v>163.33333333333334</v>
      </c>
      <c r="BE89" s="619">
        <f t="shared" si="108"/>
        <v>91.666666666666671</v>
      </c>
      <c r="BF89" s="619">
        <f t="shared" si="110"/>
        <v>18.333333333333332</v>
      </c>
      <c r="BG89" s="619">
        <f t="shared" si="112"/>
        <v>8.3333333333333339</v>
      </c>
      <c r="BH89" s="619"/>
      <c r="BI89" s="619"/>
      <c r="BJ89" s="619">
        <f t="shared" si="116"/>
        <v>8.3333333333333339</v>
      </c>
      <c r="BK89" s="619">
        <f t="shared" si="118"/>
        <v>0</v>
      </c>
      <c r="BL89" s="619">
        <f t="shared" si="120"/>
        <v>10</v>
      </c>
      <c r="BM89" s="619">
        <f t="shared" si="122"/>
        <v>0</v>
      </c>
      <c r="BN89" s="619">
        <f t="shared" si="124"/>
        <v>0</v>
      </c>
      <c r="BO89" s="619">
        <f t="shared" si="126"/>
        <v>0</v>
      </c>
      <c r="BP89" s="619">
        <f t="shared" si="128"/>
        <v>0</v>
      </c>
      <c r="BQ89" s="619">
        <f t="shared" si="130"/>
        <v>8.3333333333333339</v>
      </c>
      <c r="BR89" s="518">
        <f t="shared" si="136"/>
        <v>24894.999999999996</v>
      </c>
      <c r="BS89" s="518">
        <f t="shared" si="145"/>
        <v>6821263.3766666688</v>
      </c>
      <c r="BT89" s="518">
        <f t="shared" si="146"/>
        <v>203208.33333333116</v>
      </c>
      <c r="BU89" s="518">
        <f t="shared" si="147"/>
        <v>228103.33333333116</v>
      </c>
      <c r="EA89" s="518">
        <f t="shared" si="137"/>
        <v>0</v>
      </c>
      <c r="EC89" s="519">
        <f t="shared" si="148"/>
        <v>0</v>
      </c>
      <c r="ED89" s="519">
        <f t="shared" si="149"/>
        <v>24894.999999999996</v>
      </c>
      <c r="EE89" s="518">
        <f t="shared" si="150"/>
        <v>24894.999999999996</v>
      </c>
      <c r="EF89" s="518">
        <f>+EE89*'Capital Structure '!$T$30</f>
        <v>6997.9844999999996</v>
      </c>
      <c r="EG89" s="518">
        <f t="shared" si="151"/>
        <v>-57121.862500000054</v>
      </c>
    </row>
    <row r="90" spans="1:137" s="585" customFormat="1" outlineLevel="1">
      <c r="A90" s="308" t="s">
        <v>48</v>
      </c>
      <c r="B90" s="308">
        <f t="shared" si="74"/>
        <v>2022</v>
      </c>
      <c r="C90" s="308" t="s">
        <v>47</v>
      </c>
      <c r="D90" s="518"/>
      <c r="E90" s="518"/>
      <c r="F90" s="518"/>
      <c r="G90" s="518"/>
      <c r="H90" s="518"/>
      <c r="I90" s="518"/>
      <c r="K90" s="518">
        <f t="shared" si="132"/>
        <v>0</v>
      </c>
      <c r="L90" s="518">
        <f>SUM(K$5:K90)</f>
        <v>7024471.71</v>
      </c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>
        <f t="shared" si="68"/>
        <v>1538.3333333333333</v>
      </c>
      <c r="AO90" s="518">
        <f t="shared" si="70"/>
        <v>1136.6666666666667</v>
      </c>
      <c r="AP90" s="518">
        <f t="shared" si="72"/>
        <v>1131.6666666666667</v>
      </c>
      <c r="AQ90" s="518">
        <f t="shared" si="75"/>
        <v>1275</v>
      </c>
      <c r="AR90" s="518">
        <f t="shared" si="77"/>
        <v>1440</v>
      </c>
      <c r="AS90" s="518">
        <f t="shared" si="79"/>
        <v>1505</v>
      </c>
      <c r="AT90" s="518">
        <f t="shared" si="84"/>
        <v>2083.3333333333335</v>
      </c>
      <c r="AU90" s="518">
        <f t="shared" si="86"/>
        <v>1470</v>
      </c>
      <c r="AV90" s="518">
        <f t="shared" si="88"/>
        <v>1508.3333333333333</v>
      </c>
      <c r="AW90" s="518">
        <f t="shared" si="90"/>
        <v>1710</v>
      </c>
      <c r="AX90" s="518">
        <f t="shared" si="94"/>
        <v>1583.3333333333333</v>
      </c>
      <c r="AY90" s="518">
        <f t="shared" si="96"/>
        <v>1113.3333333333333</v>
      </c>
      <c r="AZ90" s="518">
        <f t="shared" si="98"/>
        <v>1646.6666666666667</v>
      </c>
      <c r="BA90" s="518">
        <f t="shared" si="100"/>
        <v>1136.6666666666667</v>
      </c>
      <c r="BB90" s="518">
        <f t="shared" si="102"/>
        <v>1223.3333333333333</v>
      </c>
      <c r="BC90" s="619">
        <f t="shared" si="104"/>
        <v>1598.3333333333333</v>
      </c>
      <c r="BD90" s="619">
        <f t="shared" si="106"/>
        <v>163.33333333333334</v>
      </c>
      <c r="BE90" s="619">
        <f t="shared" si="108"/>
        <v>91.666666666666671</v>
      </c>
      <c r="BF90" s="619">
        <f t="shared" si="110"/>
        <v>18.333333333333332</v>
      </c>
      <c r="BG90" s="619">
        <f t="shared" si="112"/>
        <v>8.3333333333333339</v>
      </c>
      <c r="BH90" s="619"/>
      <c r="BI90" s="619"/>
      <c r="BJ90" s="619">
        <f t="shared" si="116"/>
        <v>8.3333333333333339</v>
      </c>
      <c r="BK90" s="619">
        <f t="shared" si="118"/>
        <v>0</v>
      </c>
      <c r="BL90" s="619">
        <f t="shared" si="120"/>
        <v>10</v>
      </c>
      <c r="BM90" s="619">
        <f t="shared" si="122"/>
        <v>0</v>
      </c>
      <c r="BN90" s="619">
        <f t="shared" si="124"/>
        <v>0</v>
      </c>
      <c r="BO90" s="619">
        <f t="shared" si="126"/>
        <v>0</v>
      </c>
      <c r="BP90" s="619">
        <f t="shared" si="128"/>
        <v>0</v>
      </c>
      <c r="BQ90" s="619">
        <f t="shared" si="130"/>
        <v>8.3333333333333339</v>
      </c>
      <c r="BR90" s="518">
        <f t="shared" si="136"/>
        <v>23408.333333333328</v>
      </c>
      <c r="BS90" s="518">
        <f t="shared" si="145"/>
        <v>6844671.7100000018</v>
      </c>
      <c r="BT90" s="518">
        <f t="shared" si="146"/>
        <v>179799.99999999814</v>
      </c>
      <c r="BU90" s="518">
        <f t="shared" si="147"/>
        <v>203208.33333333116</v>
      </c>
      <c r="EA90" s="518">
        <f t="shared" si="137"/>
        <v>0</v>
      </c>
      <c r="EC90" s="519">
        <f t="shared" si="148"/>
        <v>0</v>
      </c>
      <c r="ED90" s="519">
        <f t="shared" si="149"/>
        <v>23408.333333333328</v>
      </c>
      <c r="EE90" s="518">
        <f t="shared" si="150"/>
        <v>23408.333333333328</v>
      </c>
      <c r="EF90" s="518">
        <f>+EE90*'Capital Structure '!$T$30</f>
        <v>6580.0824999999986</v>
      </c>
      <c r="EG90" s="518">
        <f t="shared" si="151"/>
        <v>-50541.780000000057</v>
      </c>
    </row>
    <row r="91" spans="1:137" s="585" customFormat="1" outlineLevel="1">
      <c r="A91" s="308" t="s">
        <v>50</v>
      </c>
      <c r="B91" s="308">
        <f t="shared" si="74"/>
        <v>2022</v>
      </c>
      <c r="C91" s="308" t="s">
        <v>47</v>
      </c>
      <c r="D91" s="518"/>
      <c r="E91" s="518"/>
      <c r="F91" s="518"/>
      <c r="G91" s="518"/>
      <c r="H91" s="518"/>
      <c r="I91" s="518"/>
      <c r="K91" s="518">
        <f t="shared" si="132"/>
        <v>0</v>
      </c>
      <c r="L91" s="518">
        <f>SUM(K$5:K91)</f>
        <v>7024471.71</v>
      </c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>
        <f t="shared" si="70"/>
        <v>1136.6666666666667</v>
      </c>
      <c r="AP91" s="518">
        <f t="shared" si="72"/>
        <v>1131.6666666666667</v>
      </c>
      <c r="AQ91" s="518">
        <f t="shared" si="75"/>
        <v>1275</v>
      </c>
      <c r="AR91" s="518">
        <f t="shared" si="77"/>
        <v>1440</v>
      </c>
      <c r="AS91" s="518">
        <f t="shared" si="79"/>
        <v>1505</v>
      </c>
      <c r="AT91" s="518">
        <f t="shared" si="84"/>
        <v>2083.3333333333335</v>
      </c>
      <c r="AU91" s="518">
        <f t="shared" si="86"/>
        <v>1470</v>
      </c>
      <c r="AV91" s="518">
        <f t="shared" si="88"/>
        <v>1508.3333333333333</v>
      </c>
      <c r="AW91" s="518">
        <f t="shared" si="90"/>
        <v>1710</v>
      </c>
      <c r="AX91" s="518">
        <f t="shared" si="94"/>
        <v>1583.3333333333333</v>
      </c>
      <c r="AY91" s="518">
        <f t="shared" si="96"/>
        <v>1113.3333333333333</v>
      </c>
      <c r="AZ91" s="518">
        <f t="shared" si="98"/>
        <v>1646.6666666666667</v>
      </c>
      <c r="BA91" s="518">
        <f t="shared" si="100"/>
        <v>1136.6666666666667</v>
      </c>
      <c r="BB91" s="518">
        <f t="shared" si="102"/>
        <v>1223.3333333333333</v>
      </c>
      <c r="BC91" s="619">
        <f t="shared" si="104"/>
        <v>1598.3333333333333</v>
      </c>
      <c r="BD91" s="619">
        <f t="shared" si="106"/>
        <v>163.33333333333334</v>
      </c>
      <c r="BE91" s="619">
        <f t="shared" si="108"/>
        <v>91.666666666666671</v>
      </c>
      <c r="BF91" s="619">
        <f t="shared" si="110"/>
        <v>18.333333333333332</v>
      </c>
      <c r="BG91" s="619">
        <f t="shared" si="112"/>
        <v>8.3333333333333339</v>
      </c>
      <c r="BH91" s="619"/>
      <c r="BI91" s="619"/>
      <c r="BJ91" s="619">
        <f t="shared" si="116"/>
        <v>8.3333333333333339</v>
      </c>
      <c r="BK91" s="619">
        <f t="shared" si="118"/>
        <v>0</v>
      </c>
      <c r="BL91" s="619">
        <f t="shared" si="120"/>
        <v>10</v>
      </c>
      <c r="BM91" s="619">
        <f t="shared" si="122"/>
        <v>0</v>
      </c>
      <c r="BN91" s="619">
        <f t="shared" si="124"/>
        <v>0</v>
      </c>
      <c r="BO91" s="619">
        <f t="shared" si="126"/>
        <v>0</v>
      </c>
      <c r="BP91" s="619">
        <f t="shared" si="128"/>
        <v>0</v>
      </c>
      <c r="BQ91" s="619">
        <f t="shared" si="130"/>
        <v>8.3333333333333339</v>
      </c>
      <c r="BR91" s="518">
        <f t="shared" si="136"/>
        <v>21869.999999999996</v>
      </c>
      <c r="BS91" s="518">
        <f t="shared" si="145"/>
        <v>6866541.7100000018</v>
      </c>
      <c r="BT91" s="518">
        <f t="shared" si="146"/>
        <v>157929.99999999814</v>
      </c>
      <c r="BU91" s="518">
        <f t="shared" si="147"/>
        <v>179799.99999999814</v>
      </c>
      <c r="EA91" s="518">
        <f t="shared" si="137"/>
        <v>0</v>
      </c>
      <c r="EC91" s="519">
        <f t="shared" si="148"/>
        <v>0</v>
      </c>
      <c r="ED91" s="519">
        <f t="shared" si="149"/>
        <v>21869.999999999996</v>
      </c>
      <c r="EE91" s="518">
        <f t="shared" si="150"/>
        <v>21869.999999999996</v>
      </c>
      <c r="EF91" s="518">
        <f>+EE91*'Capital Structure '!$T$30</f>
        <v>6147.6569999999992</v>
      </c>
      <c r="EG91" s="518">
        <f t="shared" si="151"/>
        <v>-44394.123000000058</v>
      </c>
    </row>
    <row r="92" spans="1:137" s="585" customFormat="1" outlineLevel="1">
      <c r="A92" s="308" t="s">
        <v>51</v>
      </c>
      <c r="B92" s="308">
        <f t="shared" si="74"/>
        <v>2022</v>
      </c>
      <c r="C92" s="308" t="s">
        <v>47</v>
      </c>
      <c r="D92" s="518"/>
      <c r="E92" s="518"/>
      <c r="F92" s="518"/>
      <c r="G92" s="518"/>
      <c r="H92" s="518"/>
      <c r="I92" s="518"/>
      <c r="K92" s="518">
        <f t="shared" si="132"/>
        <v>0</v>
      </c>
      <c r="L92" s="518">
        <f>SUM(K$5:K92)</f>
        <v>7024471.71</v>
      </c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>
        <f t="shared" si="72"/>
        <v>1131.6666666666667</v>
      </c>
      <c r="AQ92" s="518">
        <f t="shared" si="75"/>
        <v>1275</v>
      </c>
      <c r="AR92" s="518">
        <f t="shared" si="77"/>
        <v>1440</v>
      </c>
      <c r="AS92" s="518">
        <f t="shared" si="79"/>
        <v>1505</v>
      </c>
      <c r="AT92" s="518">
        <f t="shared" si="84"/>
        <v>2083.3333333333335</v>
      </c>
      <c r="AU92" s="518">
        <f t="shared" si="86"/>
        <v>1470</v>
      </c>
      <c r="AV92" s="518">
        <f t="shared" si="88"/>
        <v>1508.3333333333333</v>
      </c>
      <c r="AW92" s="518">
        <f t="shared" si="90"/>
        <v>1710</v>
      </c>
      <c r="AX92" s="518">
        <f t="shared" si="94"/>
        <v>1583.3333333333333</v>
      </c>
      <c r="AY92" s="518">
        <f t="shared" si="96"/>
        <v>1113.3333333333333</v>
      </c>
      <c r="AZ92" s="518">
        <f t="shared" si="98"/>
        <v>1646.6666666666667</v>
      </c>
      <c r="BA92" s="518">
        <f t="shared" si="100"/>
        <v>1136.6666666666667</v>
      </c>
      <c r="BB92" s="518">
        <f t="shared" si="102"/>
        <v>1223.3333333333333</v>
      </c>
      <c r="BC92" s="619">
        <f t="shared" si="104"/>
        <v>1598.3333333333333</v>
      </c>
      <c r="BD92" s="619">
        <f t="shared" si="106"/>
        <v>163.33333333333334</v>
      </c>
      <c r="BE92" s="619">
        <f t="shared" si="108"/>
        <v>91.666666666666671</v>
      </c>
      <c r="BF92" s="619">
        <f t="shared" si="110"/>
        <v>18.333333333333332</v>
      </c>
      <c r="BG92" s="619">
        <f t="shared" si="112"/>
        <v>8.3333333333333339</v>
      </c>
      <c r="BH92" s="619"/>
      <c r="BI92" s="619"/>
      <c r="BJ92" s="619">
        <f t="shared" si="116"/>
        <v>8.3333333333333339</v>
      </c>
      <c r="BK92" s="619">
        <f t="shared" si="118"/>
        <v>0</v>
      </c>
      <c r="BL92" s="619">
        <f t="shared" si="120"/>
        <v>10</v>
      </c>
      <c r="BM92" s="619">
        <f t="shared" si="122"/>
        <v>0</v>
      </c>
      <c r="BN92" s="619">
        <f t="shared" si="124"/>
        <v>0</v>
      </c>
      <c r="BO92" s="619">
        <f t="shared" si="126"/>
        <v>0</v>
      </c>
      <c r="BP92" s="619">
        <f t="shared" si="128"/>
        <v>0</v>
      </c>
      <c r="BQ92" s="619">
        <f t="shared" si="130"/>
        <v>8.3333333333333339</v>
      </c>
      <c r="BR92" s="518">
        <f t="shared" si="136"/>
        <v>20733.333333333328</v>
      </c>
      <c r="BS92" s="518">
        <f t="shared" si="145"/>
        <v>6887275.0433333348</v>
      </c>
      <c r="BT92" s="518">
        <f t="shared" si="146"/>
        <v>137196.66666666511</v>
      </c>
      <c r="BU92" s="518">
        <f t="shared" si="147"/>
        <v>157929.99999999814</v>
      </c>
      <c r="EA92" s="518">
        <f t="shared" si="137"/>
        <v>0</v>
      </c>
      <c r="EC92" s="519">
        <f t="shared" si="148"/>
        <v>0</v>
      </c>
      <c r="ED92" s="519">
        <f t="shared" si="149"/>
        <v>20733.333333333328</v>
      </c>
      <c r="EE92" s="518">
        <f t="shared" si="150"/>
        <v>20733.333333333328</v>
      </c>
      <c r="EF92" s="518">
        <f>+EE92*'Capital Structure '!$T$30</f>
        <v>5828.1399999999994</v>
      </c>
      <c r="EG92" s="518">
        <f t="shared" si="151"/>
        <v>-38565.983000000058</v>
      </c>
    </row>
    <row r="93" spans="1:137" s="585" customFormat="1" outlineLevel="1">
      <c r="A93" s="308" t="s">
        <v>52</v>
      </c>
      <c r="B93" s="308">
        <f t="shared" si="74"/>
        <v>2022</v>
      </c>
      <c r="C93" s="308" t="s">
        <v>47</v>
      </c>
      <c r="D93" s="518"/>
      <c r="E93" s="518"/>
      <c r="F93" s="518"/>
      <c r="G93" s="518"/>
      <c r="H93" s="518"/>
      <c r="I93" s="518"/>
      <c r="K93" s="518">
        <f t="shared" si="132"/>
        <v>0</v>
      </c>
      <c r="L93" s="518">
        <f>SUM(K$5:K93)</f>
        <v>7024471.71</v>
      </c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>
        <f t="shared" si="75"/>
        <v>1275</v>
      </c>
      <c r="AR93" s="518">
        <f t="shared" si="77"/>
        <v>1440</v>
      </c>
      <c r="AS93" s="518">
        <f t="shared" si="79"/>
        <v>1505</v>
      </c>
      <c r="AT93" s="518">
        <f t="shared" si="84"/>
        <v>2083.3333333333335</v>
      </c>
      <c r="AU93" s="518">
        <f t="shared" si="86"/>
        <v>1470</v>
      </c>
      <c r="AV93" s="518">
        <f t="shared" si="88"/>
        <v>1508.3333333333333</v>
      </c>
      <c r="AW93" s="518">
        <f t="shared" si="90"/>
        <v>1710</v>
      </c>
      <c r="AX93" s="518">
        <f t="shared" si="94"/>
        <v>1583.3333333333333</v>
      </c>
      <c r="AY93" s="518">
        <f t="shared" si="96"/>
        <v>1113.3333333333333</v>
      </c>
      <c r="AZ93" s="518">
        <f t="shared" si="98"/>
        <v>1646.6666666666667</v>
      </c>
      <c r="BA93" s="518">
        <f t="shared" si="100"/>
        <v>1136.6666666666667</v>
      </c>
      <c r="BB93" s="518">
        <f t="shared" si="102"/>
        <v>1223.3333333333333</v>
      </c>
      <c r="BC93" s="619">
        <f t="shared" si="104"/>
        <v>1598.3333333333333</v>
      </c>
      <c r="BD93" s="619">
        <f t="shared" si="106"/>
        <v>163.33333333333334</v>
      </c>
      <c r="BE93" s="619">
        <f t="shared" si="108"/>
        <v>91.666666666666671</v>
      </c>
      <c r="BF93" s="619">
        <f t="shared" si="110"/>
        <v>18.333333333333332</v>
      </c>
      <c r="BG93" s="619">
        <f t="shared" si="112"/>
        <v>8.3333333333333339</v>
      </c>
      <c r="BH93" s="619"/>
      <c r="BI93" s="619"/>
      <c r="BJ93" s="619">
        <f t="shared" si="116"/>
        <v>8.3333333333333339</v>
      </c>
      <c r="BK93" s="619">
        <f t="shared" si="118"/>
        <v>0</v>
      </c>
      <c r="BL93" s="619">
        <f t="shared" si="120"/>
        <v>10</v>
      </c>
      <c r="BM93" s="619">
        <f t="shared" si="122"/>
        <v>0</v>
      </c>
      <c r="BN93" s="619">
        <f t="shared" si="124"/>
        <v>0</v>
      </c>
      <c r="BO93" s="619">
        <f t="shared" si="126"/>
        <v>0</v>
      </c>
      <c r="BP93" s="619">
        <f t="shared" si="128"/>
        <v>0</v>
      </c>
      <c r="BQ93" s="619">
        <f t="shared" si="130"/>
        <v>8.3333333333333339</v>
      </c>
      <c r="BR93" s="518">
        <f t="shared" si="136"/>
        <v>19601.666666666661</v>
      </c>
      <c r="BS93" s="518">
        <f t="shared" si="145"/>
        <v>6906876.7100000018</v>
      </c>
      <c r="BT93" s="518">
        <f t="shared" si="146"/>
        <v>117594.99999999814</v>
      </c>
      <c r="BU93" s="518">
        <f t="shared" si="147"/>
        <v>137196.66666666511</v>
      </c>
      <c r="EA93" s="518">
        <f t="shared" si="137"/>
        <v>0</v>
      </c>
      <c r="EC93" s="519">
        <f t="shared" si="148"/>
        <v>0</v>
      </c>
      <c r="ED93" s="519">
        <f t="shared" si="149"/>
        <v>19601.666666666661</v>
      </c>
      <c r="EE93" s="518">
        <f t="shared" si="150"/>
        <v>19601.666666666661</v>
      </c>
      <c r="EF93" s="518">
        <f>+EE93*'Capital Structure '!$T$30</f>
        <v>5510.0284999999985</v>
      </c>
      <c r="EG93" s="518">
        <f t="shared" si="151"/>
        <v>-33055.954500000058</v>
      </c>
    </row>
    <row r="94" spans="1:137" s="585" customFormat="1" outlineLevel="1">
      <c r="A94" s="308" t="s">
        <v>53</v>
      </c>
      <c r="B94" s="308">
        <f>+B93+1</f>
        <v>2023</v>
      </c>
      <c r="C94" s="308" t="s">
        <v>47</v>
      </c>
      <c r="D94" s="518"/>
      <c r="E94" s="518"/>
      <c r="F94" s="518"/>
      <c r="G94" s="518"/>
      <c r="H94" s="518"/>
      <c r="I94" s="518"/>
      <c r="K94" s="518">
        <f t="shared" si="132"/>
        <v>0</v>
      </c>
      <c r="L94" s="518">
        <f>SUM(K$5:K94)</f>
        <v>7024471.71</v>
      </c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>
        <f t="shared" si="77"/>
        <v>1440</v>
      </c>
      <c r="AS94" s="518">
        <f t="shared" si="79"/>
        <v>1505</v>
      </c>
      <c r="AT94" s="518">
        <f t="shared" si="84"/>
        <v>2083.3333333333335</v>
      </c>
      <c r="AU94" s="518">
        <f t="shared" si="86"/>
        <v>1470</v>
      </c>
      <c r="AV94" s="518">
        <f t="shared" si="88"/>
        <v>1508.3333333333333</v>
      </c>
      <c r="AW94" s="518">
        <f t="shared" si="90"/>
        <v>1710</v>
      </c>
      <c r="AX94" s="518">
        <f t="shared" si="94"/>
        <v>1583.3333333333333</v>
      </c>
      <c r="AY94" s="518">
        <f t="shared" si="96"/>
        <v>1113.3333333333333</v>
      </c>
      <c r="AZ94" s="518">
        <f t="shared" si="98"/>
        <v>1646.6666666666667</v>
      </c>
      <c r="BA94" s="518">
        <f t="shared" si="100"/>
        <v>1136.6666666666667</v>
      </c>
      <c r="BB94" s="518">
        <f t="shared" si="102"/>
        <v>1223.3333333333333</v>
      </c>
      <c r="BC94" s="619">
        <f t="shared" si="104"/>
        <v>1598.3333333333333</v>
      </c>
      <c r="BD94" s="619">
        <f t="shared" si="106"/>
        <v>163.33333333333334</v>
      </c>
      <c r="BE94" s="619">
        <f t="shared" si="108"/>
        <v>91.666666666666671</v>
      </c>
      <c r="BF94" s="619">
        <f t="shared" si="110"/>
        <v>18.333333333333332</v>
      </c>
      <c r="BG94" s="619">
        <f t="shared" si="112"/>
        <v>8.3333333333333339</v>
      </c>
      <c r="BH94" s="619"/>
      <c r="BI94" s="619"/>
      <c r="BJ94" s="619">
        <f t="shared" si="116"/>
        <v>8.3333333333333339</v>
      </c>
      <c r="BK94" s="619">
        <f t="shared" si="118"/>
        <v>0</v>
      </c>
      <c r="BL94" s="619">
        <f t="shared" si="120"/>
        <v>10</v>
      </c>
      <c r="BM94" s="619">
        <f t="shared" si="122"/>
        <v>0</v>
      </c>
      <c r="BN94" s="619">
        <f t="shared" si="124"/>
        <v>0</v>
      </c>
      <c r="BO94" s="619">
        <f t="shared" si="126"/>
        <v>0</v>
      </c>
      <c r="BP94" s="619">
        <f t="shared" si="128"/>
        <v>0</v>
      </c>
      <c r="BQ94" s="619">
        <f t="shared" si="130"/>
        <v>8.3333333333333339</v>
      </c>
      <c r="BR94" s="518">
        <f t="shared" si="136"/>
        <v>18326.666666666661</v>
      </c>
      <c r="BS94" s="518">
        <f t="shared" si="145"/>
        <v>6925203.3766666688</v>
      </c>
      <c r="BT94" s="518">
        <f t="shared" si="146"/>
        <v>99268.33333333116</v>
      </c>
      <c r="BU94" s="518">
        <f t="shared" si="147"/>
        <v>117594.99999999814</v>
      </c>
      <c r="EA94" s="518">
        <f t="shared" si="137"/>
        <v>0</v>
      </c>
      <c r="EC94" s="519">
        <f t="shared" si="148"/>
        <v>0</v>
      </c>
      <c r="ED94" s="519">
        <f t="shared" si="149"/>
        <v>18326.666666666661</v>
      </c>
      <c r="EE94" s="518">
        <f t="shared" si="150"/>
        <v>18326.666666666661</v>
      </c>
      <c r="EF94" s="518">
        <f>+EE94*'Capital Structure '!$T$30</f>
        <v>5151.6259999999984</v>
      </c>
      <c r="EG94" s="518">
        <f t="shared" si="151"/>
        <v>-27904.328500000061</v>
      </c>
    </row>
    <row r="95" spans="1:137" s="585" customFormat="1" outlineLevel="1">
      <c r="A95" s="308" t="s">
        <v>54</v>
      </c>
      <c r="B95" s="308">
        <f t="shared" si="74"/>
        <v>2023</v>
      </c>
      <c r="C95" s="308" t="s">
        <v>47</v>
      </c>
      <c r="D95" s="518"/>
      <c r="E95" s="518"/>
      <c r="F95" s="518"/>
      <c r="G95" s="518"/>
      <c r="H95" s="518"/>
      <c r="I95" s="518"/>
      <c r="K95" s="518">
        <f t="shared" si="132"/>
        <v>0</v>
      </c>
      <c r="L95" s="518">
        <f>SUM(K$5:K95)</f>
        <v>7024471.71</v>
      </c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>
        <f t="shared" si="79"/>
        <v>1505</v>
      </c>
      <c r="AT95" s="518">
        <f t="shared" si="84"/>
        <v>2083.3333333333335</v>
      </c>
      <c r="AU95" s="518">
        <f t="shared" si="86"/>
        <v>1470</v>
      </c>
      <c r="AV95" s="518">
        <f t="shared" si="88"/>
        <v>1508.3333333333333</v>
      </c>
      <c r="AW95" s="518">
        <f t="shared" si="90"/>
        <v>1710</v>
      </c>
      <c r="AX95" s="518">
        <f t="shared" si="94"/>
        <v>1583.3333333333333</v>
      </c>
      <c r="AY95" s="518">
        <f t="shared" si="96"/>
        <v>1113.3333333333333</v>
      </c>
      <c r="AZ95" s="518">
        <f t="shared" si="98"/>
        <v>1646.6666666666667</v>
      </c>
      <c r="BA95" s="518">
        <f t="shared" si="100"/>
        <v>1136.6666666666667</v>
      </c>
      <c r="BB95" s="518">
        <f t="shared" si="102"/>
        <v>1223.3333333333333</v>
      </c>
      <c r="BC95" s="619">
        <f t="shared" si="104"/>
        <v>1598.3333333333333</v>
      </c>
      <c r="BD95" s="619">
        <f t="shared" si="106"/>
        <v>163.33333333333334</v>
      </c>
      <c r="BE95" s="619">
        <f t="shared" si="108"/>
        <v>91.666666666666671</v>
      </c>
      <c r="BF95" s="619">
        <f t="shared" si="110"/>
        <v>18.333333333333332</v>
      </c>
      <c r="BG95" s="619">
        <f t="shared" si="112"/>
        <v>8.3333333333333339</v>
      </c>
      <c r="BH95" s="619"/>
      <c r="BI95" s="619"/>
      <c r="BJ95" s="619">
        <f t="shared" si="116"/>
        <v>8.3333333333333339</v>
      </c>
      <c r="BK95" s="619">
        <f t="shared" si="118"/>
        <v>0</v>
      </c>
      <c r="BL95" s="619">
        <f t="shared" si="120"/>
        <v>10</v>
      </c>
      <c r="BM95" s="619">
        <f t="shared" si="122"/>
        <v>0</v>
      </c>
      <c r="BN95" s="619">
        <f t="shared" si="124"/>
        <v>0</v>
      </c>
      <c r="BO95" s="619">
        <f t="shared" si="126"/>
        <v>0</v>
      </c>
      <c r="BP95" s="619">
        <f t="shared" si="128"/>
        <v>0</v>
      </c>
      <c r="BQ95" s="619">
        <f t="shared" si="130"/>
        <v>8.3333333333333339</v>
      </c>
      <c r="BR95" s="518">
        <f t="shared" si="136"/>
        <v>16886.666666666664</v>
      </c>
      <c r="BS95" s="518">
        <f t="shared" si="145"/>
        <v>6942090.0433333358</v>
      </c>
      <c r="BT95" s="518">
        <f t="shared" si="146"/>
        <v>82381.666666664183</v>
      </c>
      <c r="BU95" s="518">
        <f t="shared" si="147"/>
        <v>99268.33333333116</v>
      </c>
      <c r="EA95" s="518">
        <f t="shared" si="137"/>
        <v>0</v>
      </c>
      <c r="EC95" s="519">
        <f t="shared" si="148"/>
        <v>0</v>
      </c>
      <c r="ED95" s="519">
        <f t="shared" si="149"/>
        <v>16886.666666666664</v>
      </c>
      <c r="EE95" s="518">
        <f t="shared" si="150"/>
        <v>16886.666666666664</v>
      </c>
      <c r="EF95" s="518">
        <f>+EE95*'Capital Structure '!$T$30</f>
        <v>4746.8419999999996</v>
      </c>
      <c r="EG95" s="518">
        <f t="shared" si="151"/>
        <v>-23157.486500000061</v>
      </c>
    </row>
    <row r="96" spans="1:137" s="585" customFormat="1" outlineLevel="1">
      <c r="A96" s="308" t="s">
        <v>55</v>
      </c>
      <c r="B96" s="308">
        <f t="shared" si="74"/>
        <v>2023</v>
      </c>
      <c r="C96" s="308" t="s">
        <v>47</v>
      </c>
      <c r="D96" s="518"/>
      <c r="E96" s="518"/>
      <c r="F96" s="518"/>
      <c r="G96" s="518"/>
      <c r="H96" s="518"/>
      <c r="I96" s="518"/>
      <c r="K96" s="518">
        <f t="shared" si="132"/>
        <v>0</v>
      </c>
      <c r="L96" s="518">
        <f>SUM(K$5:K96)</f>
        <v>7024471.71</v>
      </c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>
        <f t="shared" si="84"/>
        <v>2083.3333333333335</v>
      </c>
      <c r="AU96" s="518">
        <f t="shared" si="86"/>
        <v>1470</v>
      </c>
      <c r="AV96" s="518">
        <f t="shared" si="88"/>
        <v>1508.3333333333333</v>
      </c>
      <c r="AW96" s="518">
        <f t="shared" si="90"/>
        <v>1710</v>
      </c>
      <c r="AX96" s="518">
        <f t="shared" si="94"/>
        <v>1583.3333333333333</v>
      </c>
      <c r="AY96" s="518">
        <f t="shared" si="96"/>
        <v>1113.3333333333333</v>
      </c>
      <c r="AZ96" s="518">
        <f t="shared" si="98"/>
        <v>1646.6666666666667</v>
      </c>
      <c r="BA96" s="518">
        <f t="shared" si="100"/>
        <v>1136.6666666666667</v>
      </c>
      <c r="BB96" s="518">
        <f t="shared" si="102"/>
        <v>1223.3333333333333</v>
      </c>
      <c r="BC96" s="619">
        <f t="shared" si="104"/>
        <v>1598.3333333333333</v>
      </c>
      <c r="BD96" s="619">
        <f t="shared" si="106"/>
        <v>163.33333333333334</v>
      </c>
      <c r="BE96" s="619">
        <f t="shared" si="108"/>
        <v>91.666666666666671</v>
      </c>
      <c r="BF96" s="619">
        <f t="shared" si="110"/>
        <v>18.333333333333332</v>
      </c>
      <c r="BG96" s="619">
        <f t="shared" si="112"/>
        <v>8.3333333333333339</v>
      </c>
      <c r="BH96" s="619"/>
      <c r="BI96" s="619"/>
      <c r="BJ96" s="619">
        <f t="shared" si="116"/>
        <v>8.3333333333333339</v>
      </c>
      <c r="BK96" s="619">
        <f t="shared" si="118"/>
        <v>0</v>
      </c>
      <c r="BL96" s="619">
        <f t="shared" si="120"/>
        <v>10</v>
      </c>
      <c r="BM96" s="619">
        <f t="shared" si="122"/>
        <v>0</v>
      </c>
      <c r="BN96" s="619">
        <f t="shared" si="124"/>
        <v>0</v>
      </c>
      <c r="BO96" s="619">
        <f t="shared" si="126"/>
        <v>0</v>
      </c>
      <c r="BP96" s="619">
        <f t="shared" si="128"/>
        <v>0</v>
      </c>
      <c r="BQ96" s="619">
        <f t="shared" si="130"/>
        <v>8.3333333333333339</v>
      </c>
      <c r="BR96" s="518">
        <f t="shared" si="136"/>
        <v>15381.66666666667</v>
      </c>
      <c r="BS96" s="518">
        <f t="shared" si="145"/>
        <v>6957471.7100000028</v>
      </c>
      <c r="BT96" s="518">
        <f t="shared" si="146"/>
        <v>66999.999999997206</v>
      </c>
      <c r="BU96" s="518">
        <f t="shared" si="147"/>
        <v>82381.666666664183</v>
      </c>
      <c r="EA96" s="518">
        <f t="shared" si="137"/>
        <v>0</v>
      </c>
      <c r="EC96" s="519">
        <f t="shared" si="148"/>
        <v>0</v>
      </c>
      <c r="ED96" s="519">
        <f t="shared" si="149"/>
        <v>15381.66666666667</v>
      </c>
      <c r="EE96" s="518">
        <f t="shared" si="150"/>
        <v>15381.66666666667</v>
      </c>
      <c r="EF96" s="518">
        <f>+EE96*'Capital Structure '!$T$30</f>
        <v>4323.7865000000011</v>
      </c>
      <c r="EG96" s="518">
        <f t="shared" si="151"/>
        <v>-18833.700000000059</v>
      </c>
    </row>
    <row r="97" spans="1:137" s="585" customFormat="1" outlineLevel="1">
      <c r="A97" s="308" t="s">
        <v>56</v>
      </c>
      <c r="B97" s="308">
        <f t="shared" si="74"/>
        <v>2023</v>
      </c>
      <c r="C97" s="308" t="s">
        <v>102</v>
      </c>
      <c r="D97" s="518"/>
      <c r="E97" s="518"/>
      <c r="F97" s="518"/>
      <c r="G97" s="518"/>
      <c r="H97" s="518"/>
      <c r="I97" s="518"/>
      <c r="K97" s="518">
        <f t="shared" si="132"/>
        <v>0</v>
      </c>
      <c r="L97" s="518">
        <f>SUM(K$5:K97)</f>
        <v>7024471.71</v>
      </c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>
        <f t="shared" si="86"/>
        <v>1470</v>
      </c>
      <c r="AV97" s="518">
        <f t="shared" si="88"/>
        <v>1508.3333333333333</v>
      </c>
      <c r="AW97" s="518">
        <f t="shared" si="90"/>
        <v>1710</v>
      </c>
      <c r="AX97" s="518">
        <f t="shared" si="94"/>
        <v>1583.3333333333333</v>
      </c>
      <c r="AY97" s="518">
        <f t="shared" si="96"/>
        <v>1113.3333333333333</v>
      </c>
      <c r="AZ97" s="518">
        <f t="shared" si="98"/>
        <v>1646.6666666666667</v>
      </c>
      <c r="BA97" s="518">
        <f t="shared" si="100"/>
        <v>1136.6666666666667</v>
      </c>
      <c r="BB97" s="518">
        <f t="shared" si="102"/>
        <v>1223.3333333333333</v>
      </c>
      <c r="BC97" s="619">
        <f t="shared" si="104"/>
        <v>1598.3333333333333</v>
      </c>
      <c r="BD97" s="619">
        <f t="shared" si="106"/>
        <v>163.33333333333334</v>
      </c>
      <c r="BE97" s="619">
        <f t="shared" si="108"/>
        <v>91.666666666666671</v>
      </c>
      <c r="BF97" s="619">
        <f t="shared" si="110"/>
        <v>18.333333333333332</v>
      </c>
      <c r="BG97" s="619">
        <f t="shared" si="112"/>
        <v>8.3333333333333339</v>
      </c>
      <c r="BH97" s="619"/>
      <c r="BI97" s="619"/>
      <c r="BJ97" s="619">
        <f t="shared" si="116"/>
        <v>8.3333333333333339</v>
      </c>
      <c r="BK97" s="619">
        <f t="shared" si="118"/>
        <v>0</v>
      </c>
      <c r="BL97" s="619">
        <f t="shared" si="120"/>
        <v>10</v>
      </c>
      <c r="BM97" s="619">
        <f t="shared" si="122"/>
        <v>0</v>
      </c>
      <c r="BN97" s="619">
        <f t="shared" si="124"/>
        <v>0</v>
      </c>
      <c r="BO97" s="619">
        <f t="shared" si="126"/>
        <v>0</v>
      </c>
      <c r="BP97" s="619">
        <f t="shared" si="128"/>
        <v>0</v>
      </c>
      <c r="BQ97" s="619">
        <f t="shared" si="130"/>
        <v>8.3333333333333339</v>
      </c>
      <c r="BR97" s="518">
        <f t="shared" si="136"/>
        <v>13298.333333333336</v>
      </c>
      <c r="BS97" s="518">
        <f t="shared" si="145"/>
        <v>6970770.0433333358</v>
      </c>
      <c r="BT97" s="518">
        <f t="shared" si="146"/>
        <v>53701.666666664183</v>
      </c>
      <c r="BU97" s="518">
        <f t="shared" si="147"/>
        <v>66999.999999997206</v>
      </c>
      <c r="EA97" s="518">
        <f t="shared" si="137"/>
        <v>0</v>
      </c>
      <c r="EC97" s="519">
        <f t="shared" si="148"/>
        <v>0</v>
      </c>
      <c r="ED97" s="519">
        <f t="shared" si="149"/>
        <v>13298.333333333336</v>
      </c>
      <c r="EE97" s="518">
        <f t="shared" si="150"/>
        <v>13298.333333333336</v>
      </c>
      <c r="EF97" s="518">
        <f>+EE97*'Capital Structure '!$T$30</f>
        <v>3738.1615000000011</v>
      </c>
      <c r="EG97" s="518">
        <f t="shared" si="151"/>
        <v>-15095.538500000057</v>
      </c>
    </row>
    <row r="98" spans="1:137" s="585" customFormat="1" outlineLevel="1">
      <c r="A98" s="308" t="s">
        <v>57</v>
      </c>
      <c r="B98" s="308">
        <f t="shared" si="74"/>
        <v>2023</v>
      </c>
      <c r="C98" s="308" t="s">
        <v>102</v>
      </c>
      <c r="D98" s="518"/>
      <c r="E98" s="518"/>
      <c r="F98" s="518"/>
      <c r="G98" s="518"/>
      <c r="H98" s="518"/>
      <c r="I98" s="518"/>
      <c r="K98" s="518">
        <f t="shared" si="132"/>
        <v>0</v>
      </c>
      <c r="L98" s="518">
        <f>SUM(K$5:K98)</f>
        <v>7024471.71</v>
      </c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>
        <f t="shared" si="88"/>
        <v>1508.3333333333333</v>
      </c>
      <c r="AW98" s="518">
        <f t="shared" si="90"/>
        <v>1710</v>
      </c>
      <c r="AX98" s="518">
        <f t="shared" si="94"/>
        <v>1583.3333333333333</v>
      </c>
      <c r="AY98" s="518">
        <f t="shared" si="96"/>
        <v>1113.3333333333333</v>
      </c>
      <c r="AZ98" s="518">
        <f t="shared" si="98"/>
        <v>1646.6666666666667</v>
      </c>
      <c r="BA98" s="518">
        <f t="shared" si="100"/>
        <v>1136.6666666666667</v>
      </c>
      <c r="BB98" s="518">
        <f t="shared" si="102"/>
        <v>1223.3333333333333</v>
      </c>
      <c r="BC98" s="619">
        <f t="shared" si="104"/>
        <v>1598.3333333333333</v>
      </c>
      <c r="BD98" s="619">
        <f t="shared" si="106"/>
        <v>163.33333333333334</v>
      </c>
      <c r="BE98" s="619">
        <f t="shared" si="108"/>
        <v>91.666666666666671</v>
      </c>
      <c r="BF98" s="619">
        <f t="shared" si="110"/>
        <v>18.333333333333332</v>
      </c>
      <c r="BG98" s="619">
        <f t="shared" si="112"/>
        <v>8.3333333333333339</v>
      </c>
      <c r="BH98" s="619"/>
      <c r="BI98" s="619"/>
      <c r="BJ98" s="619">
        <f t="shared" si="116"/>
        <v>8.3333333333333339</v>
      </c>
      <c r="BK98" s="619">
        <f t="shared" si="118"/>
        <v>0</v>
      </c>
      <c r="BL98" s="619">
        <f t="shared" si="120"/>
        <v>10</v>
      </c>
      <c r="BM98" s="619">
        <f t="shared" si="122"/>
        <v>0</v>
      </c>
      <c r="BN98" s="619">
        <f t="shared" si="124"/>
        <v>0</v>
      </c>
      <c r="BO98" s="619">
        <f t="shared" si="126"/>
        <v>0</v>
      </c>
      <c r="BP98" s="619">
        <f t="shared" si="128"/>
        <v>0</v>
      </c>
      <c r="BQ98" s="619">
        <f t="shared" si="130"/>
        <v>8.3333333333333339</v>
      </c>
      <c r="BR98" s="518">
        <f t="shared" si="136"/>
        <v>11828.333333333336</v>
      </c>
      <c r="BS98" s="518">
        <f t="shared" si="145"/>
        <v>6982598.3766666688</v>
      </c>
      <c r="BT98" s="518">
        <f t="shared" si="146"/>
        <v>41873.33333333116</v>
      </c>
      <c r="BU98" s="518">
        <f t="shared" si="147"/>
        <v>53701.666666664183</v>
      </c>
      <c r="EA98" s="518">
        <f t="shared" si="137"/>
        <v>0</v>
      </c>
      <c r="EC98" s="519">
        <f t="shared" si="148"/>
        <v>0</v>
      </c>
      <c r="ED98" s="519">
        <f t="shared" si="149"/>
        <v>11828.333333333336</v>
      </c>
      <c r="EE98" s="518">
        <f t="shared" si="150"/>
        <v>11828.333333333336</v>
      </c>
      <c r="EF98" s="518">
        <f>+EE98*'Capital Structure '!$T$30</f>
        <v>3324.944500000001</v>
      </c>
      <c r="EG98" s="518">
        <f t="shared" si="151"/>
        <v>-11770.594000000056</v>
      </c>
    </row>
    <row r="99" spans="1:137" s="585" customFormat="1" outlineLevel="1">
      <c r="A99" s="308" t="s">
        <v>58</v>
      </c>
      <c r="B99" s="308">
        <f t="shared" ref="B99:B105" si="152">+B98</f>
        <v>2023</v>
      </c>
      <c r="C99" s="308" t="s">
        <v>102</v>
      </c>
      <c r="D99" s="518"/>
      <c r="E99" s="518"/>
      <c r="F99" s="518"/>
      <c r="G99" s="518"/>
      <c r="H99" s="518"/>
      <c r="I99" s="518"/>
      <c r="K99" s="518">
        <f t="shared" si="132"/>
        <v>0</v>
      </c>
      <c r="L99" s="518">
        <f>SUM(K$5:K99)</f>
        <v>7024471.71</v>
      </c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>
        <f t="shared" si="90"/>
        <v>1710</v>
      </c>
      <c r="AX99" s="518">
        <f t="shared" si="94"/>
        <v>1583.3333333333333</v>
      </c>
      <c r="AY99" s="518">
        <f t="shared" si="96"/>
        <v>1113.3333333333333</v>
      </c>
      <c r="AZ99" s="518">
        <f t="shared" si="98"/>
        <v>1646.6666666666667</v>
      </c>
      <c r="BA99" s="518">
        <f t="shared" si="100"/>
        <v>1136.6666666666667</v>
      </c>
      <c r="BB99" s="518">
        <f t="shared" si="102"/>
        <v>1223.3333333333333</v>
      </c>
      <c r="BC99" s="619">
        <f t="shared" si="104"/>
        <v>1598.3333333333333</v>
      </c>
      <c r="BD99" s="619">
        <f t="shared" si="106"/>
        <v>163.33333333333334</v>
      </c>
      <c r="BE99" s="619">
        <f t="shared" si="108"/>
        <v>91.666666666666671</v>
      </c>
      <c r="BF99" s="619">
        <f t="shared" si="110"/>
        <v>18.333333333333332</v>
      </c>
      <c r="BG99" s="619">
        <f t="shared" si="112"/>
        <v>8.3333333333333339</v>
      </c>
      <c r="BH99" s="619"/>
      <c r="BI99" s="619"/>
      <c r="BJ99" s="619">
        <f t="shared" si="116"/>
        <v>8.3333333333333339</v>
      </c>
      <c r="BK99" s="619">
        <f t="shared" si="118"/>
        <v>0</v>
      </c>
      <c r="BL99" s="619">
        <f t="shared" si="120"/>
        <v>10</v>
      </c>
      <c r="BM99" s="619">
        <f t="shared" si="122"/>
        <v>0</v>
      </c>
      <c r="BN99" s="619">
        <f t="shared" si="124"/>
        <v>0</v>
      </c>
      <c r="BO99" s="619">
        <f t="shared" si="126"/>
        <v>0</v>
      </c>
      <c r="BP99" s="619">
        <f t="shared" si="128"/>
        <v>0</v>
      </c>
      <c r="BQ99" s="619">
        <f t="shared" si="130"/>
        <v>8.3333333333333339</v>
      </c>
      <c r="BR99" s="518">
        <f t="shared" si="136"/>
        <v>10320.000000000004</v>
      </c>
      <c r="BS99" s="518">
        <f t="shared" si="145"/>
        <v>6992918.3766666688</v>
      </c>
      <c r="BT99" s="518">
        <f t="shared" si="146"/>
        <v>31553.33333333116</v>
      </c>
      <c r="BU99" s="518">
        <f t="shared" si="147"/>
        <v>41873.33333333116</v>
      </c>
      <c r="EA99" s="518">
        <f t="shared" si="137"/>
        <v>0</v>
      </c>
      <c r="EC99" s="519">
        <f t="shared" si="148"/>
        <v>0</v>
      </c>
      <c r="ED99" s="519">
        <f t="shared" si="149"/>
        <v>10320.000000000004</v>
      </c>
      <c r="EE99" s="518">
        <f t="shared" si="150"/>
        <v>10320.000000000004</v>
      </c>
      <c r="EF99" s="518">
        <f>+EE99*'Capital Structure '!$T$30</f>
        <v>2900.9520000000011</v>
      </c>
      <c r="EG99" s="518">
        <f t="shared" si="151"/>
        <v>-8869.6420000000544</v>
      </c>
    </row>
    <row r="100" spans="1:137" s="585" customFormat="1" outlineLevel="1">
      <c r="A100" s="308" t="s">
        <v>59</v>
      </c>
      <c r="B100" s="308">
        <f t="shared" si="152"/>
        <v>2023</v>
      </c>
      <c r="C100" s="308" t="s">
        <v>102</v>
      </c>
      <c r="D100" s="518"/>
      <c r="E100" s="518"/>
      <c r="F100" s="518"/>
      <c r="G100" s="518"/>
      <c r="H100" s="518"/>
      <c r="I100" s="518"/>
      <c r="K100" s="518">
        <f t="shared" si="132"/>
        <v>0</v>
      </c>
      <c r="L100" s="518">
        <f>SUM(K$5:K100)</f>
        <v>7024471.71</v>
      </c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>
        <f t="shared" si="94"/>
        <v>1583.3333333333333</v>
      </c>
      <c r="AY100" s="518">
        <f t="shared" si="96"/>
        <v>1113.3333333333333</v>
      </c>
      <c r="AZ100" s="518">
        <f t="shared" si="98"/>
        <v>1646.6666666666667</v>
      </c>
      <c r="BA100" s="518">
        <f t="shared" si="100"/>
        <v>1136.6666666666667</v>
      </c>
      <c r="BB100" s="518">
        <f t="shared" si="102"/>
        <v>1223.3333333333333</v>
      </c>
      <c r="BC100" s="619">
        <f t="shared" si="104"/>
        <v>1598.3333333333333</v>
      </c>
      <c r="BD100" s="619">
        <f t="shared" si="106"/>
        <v>163.33333333333334</v>
      </c>
      <c r="BE100" s="619">
        <f t="shared" si="108"/>
        <v>91.666666666666671</v>
      </c>
      <c r="BF100" s="619">
        <f t="shared" si="110"/>
        <v>18.333333333333332</v>
      </c>
      <c r="BG100" s="619">
        <f t="shared" si="112"/>
        <v>8.3333333333333339</v>
      </c>
      <c r="BH100" s="619"/>
      <c r="BI100" s="619"/>
      <c r="BJ100" s="619">
        <f t="shared" si="116"/>
        <v>8.3333333333333339</v>
      </c>
      <c r="BK100" s="619">
        <f t="shared" si="118"/>
        <v>0</v>
      </c>
      <c r="BL100" s="619">
        <f t="shared" si="120"/>
        <v>10</v>
      </c>
      <c r="BM100" s="619">
        <f t="shared" si="122"/>
        <v>0</v>
      </c>
      <c r="BN100" s="619">
        <f t="shared" si="124"/>
        <v>0</v>
      </c>
      <c r="BO100" s="619">
        <f t="shared" si="126"/>
        <v>0</v>
      </c>
      <c r="BP100" s="619">
        <f t="shared" si="128"/>
        <v>0</v>
      </c>
      <c r="BQ100" s="619">
        <f t="shared" si="130"/>
        <v>8.3333333333333339</v>
      </c>
      <c r="BR100" s="518">
        <f t="shared" si="136"/>
        <v>8610.0000000000018</v>
      </c>
      <c r="BS100" s="518">
        <f t="shared" si="145"/>
        <v>7001528.3766666688</v>
      </c>
      <c r="BT100" s="518">
        <f t="shared" si="146"/>
        <v>22943.33333333116</v>
      </c>
      <c r="BU100" s="518">
        <f t="shared" si="147"/>
        <v>31553.33333333116</v>
      </c>
      <c r="EA100" s="518">
        <f t="shared" si="137"/>
        <v>0</v>
      </c>
      <c r="EC100" s="519">
        <f t="shared" si="148"/>
        <v>0</v>
      </c>
      <c r="ED100" s="519">
        <f t="shared" si="149"/>
        <v>8610.0000000000018</v>
      </c>
      <c r="EE100" s="518">
        <f t="shared" si="150"/>
        <v>8610.0000000000018</v>
      </c>
      <c r="EF100" s="518">
        <f>+EE100*'Capital Structure '!$T$30</f>
        <v>2420.2710000000006</v>
      </c>
      <c r="EG100" s="518">
        <f t="shared" si="151"/>
        <v>-6449.3710000000538</v>
      </c>
    </row>
    <row r="101" spans="1:137" s="585" customFormat="1" outlineLevel="1">
      <c r="A101" s="308" t="s">
        <v>46</v>
      </c>
      <c r="B101" s="308">
        <f t="shared" si="152"/>
        <v>2023</v>
      </c>
      <c r="C101" s="308" t="s">
        <v>102</v>
      </c>
      <c r="D101" s="518"/>
      <c r="E101" s="518"/>
      <c r="F101" s="518"/>
      <c r="G101" s="518"/>
      <c r="H101" s="518"/>
      <c r="I101" s="518"/>
      <c r="K101" s="518">
        <f t="shared" si="132"/>
        <v>0</v>
      </c>
      <c r="L101" s="518">
        <f>SUM(K$5:K101)</f>
        <v>7024471.71</v>
      </c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>
        <f t="shared" si="96"/>
        <v>1113.3333333333333</v>
      </c>
      <c r="AZ101" s="518">
        <f t="shared" si="98"/>
        <v>1646.6666666666667</v>
      </c>
      <c r="BA101" s="518">
        <f t="shared" si="100"/>
        <v>1136.6666666666667</v>
      </c>
      <c r="BB101" s="518">
        <f t="shared" si="102"/>
        <v>1223.3333333333333</v>
      </c>
      <c r="BC101" s="619">
        <f t="shared" si="104"/>
        <v>1598.3333333333333</v>
      </c>
      <c r="BD101" s="619">
        <f t="shared" si="106"/>
        <v>163.33333333333334</v>
      </c>
      <c r="BE101" s="619">
        <f t="shared" si="108"/>
        <v>91.666666666666671</v>
      </c>
      <c r="BF101" s="619">
        <f t="shared" si="110"/>
        <v>18.333333333333332</v>
      </c>
      <c r="BG101" s="619">
        <f t="shared" si="112"/>
        <v>8.3333333333333339</v>
      </c>
      <c r="BH101" s="619"/>
      <c r="BI101" s="619"/>
      <c r="BJ101" s="619">
        <f t="shared" si="116"/>
        <v>8.3333333333333339</v>
      </c>
      <c r="BK101" s="619">
        <f t="shared" si="118"/>
        <v>0</v>
      </c>
      <c r="BL101" s="619">
        <f t="shared" si="120"/>
        <v>10</v>
      </c>
      <c r="BM101" s="619">
        <f t="shared" si="122"/>
        <v>0</v>
      </c>
      <c r="BN101" s="619">
        <f t="shared" si="124"/>
        <v>0</v>
      </c>
      <c r="BO101" s="619">
        <f t="shared" si="126"/>
        <v>0</v>
      </c>
      <c r="BP101" s="619">
        <f t="shared" si="128"/>
        <v>0</v>
      </c>
      <c r="BQ101" s="619">
        <f t="shared" si="130"/>
        <v>8.3333333333333339</v>
      </c>
      <c r="BR101" s="518">
        <f t="shared" si="136"/>
        <v>7026.6666666666652</v>
      </c>
      <c r="BS101" s="518">
        <f t="shared" si="145"/>
        <v>7008555.0433333358</v>
      </c>
      <c r="BT101" s="518">
        <f t="shared" si="146"/>
        <v>15916.666666664183</v>
      </c>
      <c r="BU101" s="518">
        <f t="shared" si="147"/>
        <v>22943.33333333116</v>
      </c>
      <c r="EA101" s="518">
        <f t="shared" si="137"/>
        <v>0</v>
      </c>
      <c r="EC101" s="519">
        <f t="shared" si="148"/>
        <v>0</v>
      </c>
      <c r="ED101" s="519">
        <f t="shared" si="149"/>
        <v>7026.6666666666652</v>
      </c>
      <c r="EE101" s="518">
        <f t="shared" si="150"/>
        <v>7026.6666666666652</v>
      </c>
      <c r="EF101" s="518">
        <f>+EE101*'Capital Structure '!$T$30</f>
        <v>1975.1959999999997</v>
      </c>
      <c r="EG101" s="518">
        <f t="shared" si="151"/>
        <v>-4474.1750000000538</v>
      </c>
    </row>
    <row r="102" spans="1:137" s="585" customFormat="1" outlineLevel="1">
      <c r="A102" s="308" t="s">
        <v>48</v>
      </c>
      <c r="B102" s="308">
        <f t="shared" si="152"/>
        <v>2023</v>
      </c>
      <c r="C102" s="308" t="s">
        <v>102</v>
      </c>
      <c r="D102" s="518"/>
      <c r="E102" s="518"/>
      <c r="F102" s="518"/>
      <c r="G102" s="518"/>
      <c r="H102" s="518"/>
      <c r="I102" s="518"/>
      <c r="K102" s="518">
        <f t="shared" si="132"/>
        <v>0</v>
      </c>
      <c r="L102" s="518">
        <f>SUM(K$5:K102)</f>
        <v>7024471.71</v>
      </c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>
        <f t="shared" si="98"/>
        <v>1646.6666666666667</v>
      </c>
      <c r="BA102" s="518">
        <f t="shared" si="100"/>
        <v>1136.6666666666667</v>
      </c>
      <c r="BB102" s="518">
        <f t="shared" si="102"/>
        <v>1223.3333333333333</v>
      </c>
      <c r="BC102" s="619">
        <f t="shared" si="104"/>
        <v>1598.3333333333333</v>
      </c>
      <c r="BD102" s="619">
        <f t="shared" si="106"/>
        <v>163.33333333333334</v>
      </c>
      <c r="BE102" s="619">
        <f t="shared" si="108"/>
        <v>91.666666666666671</v>
      </c>
      <c r="BF102" s="619">
        <f t="shared" si="110"/>
        <v>18.333333333333332</v>
      </c>
      <c r="BG102" s="619">
        <f t="shared" si="112"/>
        <v>8.3333333333333339</v>
      </c>
      <c r="BH102" s="619"/>
      <c r="BI102" s="619"/>
      <c r="BJ102" s="619">
        <f t="shared" si="116"/>
        <v>8.3333333333333339</v>
      </c>
      <c r="BK102" s="619">
        <f t="shared" si="118"/>
        <v>0</v>
      </c>
      <c r="BL102" s="619">
        <f t="shared" si="120"/>
        <v>10</v>
      </c>
      <c r="BM102" s="619">
        <f t="shared" si="122"/>
        <v>0</v>
      </c>
      <c r="BN102" s="619">
        <f t="shared" si="124"/>
        <v>0</v>
      </c>
      <c r="BO102" s="619">
        <f t="shared" si="126"/>
        <v>0</v>
      </c>
      <c r="BP102" s="619">
        <f t="shared" si="128"/>
        <v>0</v>
      </c>
      <c r="BQ102" s="619">
        <f t="shared" si="130"/>
        <v>8.3333333333333339</v>
      </c>
      <c r="BR102" s="518">
        <f t="shared" si="136"/>
        <v>5913.3333333333321</v>
      </c>
      <c r="BS102" s="518">
        <f t="shared" ref="BS102:BS114" si="153">BS101+BR102</f>
        <v>7014468.3766666688</v>
      </c>
      <c r="BT102" s="518">
        <f t="shared" ref="BT102:BT114" si="154">+L102-BS102</f>
        <v>10003.33333333116</v>
      </c>
      <c r="BU102" s="518">
        <f t="shared" ref="BU102:BU114" si="155">+L102-BS101</f>
        <v>15916.666666664183</v>
      </c>
      <c r="EA102" s="518">
        <f t="shared" si="137"/>
        <v>0</v>
      </c>
      <c r="EC102" s="519">
        <f t="shared" si="148"/>
        <v>0</v>
      </c>
      <c r="ED102" s="519">
        <f t="shared" si="149"/>
        <v>5913.3333333333321</v>
      </c>
      <c r="EE102" s="518">
        <f t="shared" si="150"/>
        <v>5913.3333333333321</v>
      </c>
      <c r="EF102" s="518">
        <f>+EE102*'Capital Structure '!$T$30</f>
        <v>1662.2379999999998</v>
      </c>
      <c r="EG102" s="518">
        <f t="shared" si="151"/>
        <v>-2811.937000000054</v>
      </c>
    </row>
    <row r="103" spans="1:137" s="585" customFormat="1">
      <c r="A103" s="308" t="s">
        <v>50</v>
      </c>
      <c r="B103" s="308">
        <f t="shared" si="152"/>
        <v>2023</v>
      </c>
      <c r="C103" s="308" t="s">
        <v>102</v>
      </c>
      <c r="D103" s="518"/>
      <c r="E103" s="518"/>
      <c r="F103" s="518"/>
      <c r="G103" s="518"/>
      <c r="H103" s="518"/>
      <c r="I103" s="518"/>
      <c r="K103" s="518">
        <f t="shared" si="132"/>
        <v>0</v>
      </c>
      <c r="L103" s="518">
        <f>SUM(K$5:K103)</f>
        <v>7024471.71</v>
      </c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>
        <f t="shared" si="100"/>
        <v>1136.6666666666667</v>
      </c>
      <c r="BB103" s="518">
        <f t="shared" si="102"/>
        <v>1223.3333333333333</v>
      </c>
      <c r="BC103" s="619">
        <f t="shared" si="104"/>
        <v>1598.3333333333333</v>
      </c>
      <c r="BD103" s="619">
        <f t="shared" si="106"/>
        <v>163.33333333333334</v>
      </c>
      <c r="BE103" s="619">
        <f t="shared" si="108"/>
        <v>91.666666666666671</v>
      </c>
      <c r="BF103" s="619">
        <f t="shared" si="110"/>
        <v>18.333333333333332</v>
      </c>
      <c r="BG103" s="619">
        <f t="shared" si="112"/>
        <v>8.3333333333333339</v>
      </c>
      <c r="BH103" s="619"/>
      <c r="BI103" s="619"/>
      <c r="BJ103" s="619">
        <f t="shared" si="116"/>
        <v>8.3333333333333339</v>
      </c>
      <c r="BK103" s="619">
        <f t="shared" si="118"/>
        <v>0</v>
      </c>
      <c r="BL103" s="619">
        <f t="shared" si="120"/>
        <v>10</v>
      </c>
      <c r="BM103" s="619">
        <f t="shared" si="122"/>
        <v>0</v>
      </c>
      <c r="BN103" s="619">
        <f t="shared" si="124"/>
        <v>0</v>
      </c>
      <c r="BO103" s="619">
        <f t="shared" si="126"/>
        <v>0</v>
      </c>
      <c r="BP103" s="619">
        <f t="shared" si="128"/>
        <v>0</v>
      </c>
      <c r="BQ103" s="619">
        <f t="shared" si="130"/>
        <v>8.3333333333333339</v>
      </c>
      <c r="BR103" s="518">
        <f t="shared" si="136"/>
        <v>4266.6666666666652</v>
      </c>
      <c r="BS103" s="518">
        <f t="shared" si="153"/>
        <v>7018735.0433333358</v>
      </c>
      <c r="BT103" s="518">
        <f t="shared" si="154"/>
        <v>5736.6666666641831</v>
      </c>
      <c r="BU103" s="518">
        <f t="shared" si="155"/>
        <v>10003.33333333116</v>
      </c>
      <c r="EA103" s="518">
        <f t="shared" si="137"/>
        <v>0</v>
      </c>
      <c r="EC103" s="519">
        <f t="shared" si="148"/>
        <v>0</v>
      </c>
      <c r="ED103" s="519">
        <f t="shared" si="149"/>
        <v>4266.6666666666652</v>
      </c>
      <c r="EE103" s="518">
        <f t="shared" si="150"/>
        <v>4266.6666666666652</v>
      </c>
      <c r="EF103" s="518">
        <f>+EE103*'Capital Structure '!$T$30</f>
        <v>1199.3599999999997</v>
      </c>
      <c r="EG103" s="518">
        <f t="shared" si="151"/>
        <v>-1612.5770000000543</v>
      </c>
    </row>
    <row r="104" spans="1:137" s="585" customFormat="1">
      <c r="A104" s="308" t="s">
        <v>51</v>
      </c>
      <c r="B104" s="308">
        <f t="shared" si="152"/>
        <v>2023</v>
      </c>
      <c r="C104" s="308" t="s">
        <v>102</v>
      </c>
      <c r="D104" s="518"/>
      <c r="E104" s="518"/>
      <c r="F104" s="518"/>
      <c r="G104" s="518"/>
      <c r="H104" s="518"/>
      <c r="I104" s="518"/>
      <c r="K104" s="518">
        <f t="shared" si="132"/>
        <v>0</v>
      </c>
      <c r="L104" s="518">
        <f>SUM(K$5:K104)</f>
        <v>7024471.71</v>
      </c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>
        <f t="shared" si="102"/>
        <v>1223.3333333333333</v>
      </c>
      <c r="BC104" s="619">
        <f t="shared" si="104"/>
        <v>1598.3333333333333</v>
      </c>
      <c r="BD104" s="619">
        <f t="shared" si="106"/>
        <v>163.33333333333334</v>
      </c>
      <c r="BE104" s="619">
        <f t="shared" si="108"/>
        <v>91.666666666666671</v>
      </c>
      <c r="BF104" s="619">
        <f t="shared" si="110"/>
        <v>18.333333333333332</v>
      </c>
      <c r="BG104" s="619">
        <f t="shared" si="112"/>
        <v>8.3333333333333339</v>
      </c>
      <c r="BH104" s="619"/>
      <c r="BI104" s="619"/>
      <c r="BJ104" s="619">
        <f t="shared" si="116"/>
        <v>8.3333333333333339</v>
      </c>
      <c r="BK104" s="619">
        <f t="shared" si="118"/>
        <v>0</v>
      </c>
      <c r="BL104" s="619">
        <f t="shared" si="120"/>
        <v>10</v>
      </c>
      <c r="BM104" s="619">
        <f t="shared" si="122"/>
        <v>0</v>
      </c>
      <c r="BN104" s="619">
        <f t="shared" si="124"/>
        <v>0</v>
      </c>
      <c r="BO104" s="619">
        <f t="shared" si="126"/>
        <v>0</v>
      </c>
      <c r="BP104" s="619">
        <f t="shared" si="128"/>
        <v>0</v>
      </c>
      <c r="BQ104" s="619">
        <f t="shared" si="130"/>
        <v>8.3333333333333339</v>
      </c>
      <c r="BR104" s="518">
        <f t="shared" si="136"/>
        <v>3130.0000000000005</v>
      </c>
      <c r="BS104" s="518">
        <f t="shared" si="153"/>
        <v>7021865.0433333358</v>
      </c>
      <c r="BT104" s="518">
        <f t="shared" si="154"/>
        <v>2606.6666666641831</v>
      </c>
      <c r="BU104" s="518">
        <f t="shared" si="155"/>
        <v>5736.6666666641831</v>
      </c>
      <c r="EA104" s="518">
        <f t="shared" si="137"/>
        <v>0</v>
      </c>
      <c r="ED104" s="519">
        <f>+BR104</f>
        <v>3130.0000000000005</v>
      </c>
      <c r="EE104" s="518">
        <f>+ED104-EC104</f>
        <v>3130.0000000000005</v>
      </c>
      <c r="EF104" s="518">
        <f>+EE104*'Capital Structure '!$T$30</f>
        <v>879.84300000000019</v>
      </c>
      <c r="EG104" s="518">
        <f>EG103+EF104</f>
        <v>-732.73400000005415</v>
      </c>
    </row>
    <row r="105" spans="1:137" s="585" customFormat="1">
      <c r="A105" s="308" t="s">
        <v>52</v>
      </c>
      <c r="B105" s="308">
        <f t="shared" si="152"/>
        <v>2023</v>
      </c>
      <c r="C105" s="308" t="s">
        <v>102</v>
      </c>
      <c r="D105" s="518"/>
      <c r="E105" s="518"/>
      <c r="F105" s="518"/>
      <c r="G105" s="518"/>
      <c r="H105" s="518"/>
      <c r="I105" s="518"/>
      <c r="K105" s="518">
        <f t="shared" si="132"/>
        <v>0</v>
      </c>
      <c r="L105" s="518">
        <f>SUM(K$5:K105)</f>
        <v>7024471.71</v>
      </c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619">
        <f t="shared" si="104"/>
        <v>1598.3333333333333</v>
      </c>
      <c r="BD105" s="619">
        <f t="shared" si="106"/>
        <v>163.33333333333334</v>
      </c>
      <c r="BE105" s="619">
        <f t="shared" si="108"/>
        <v>91.666666666666671</v>
      </c>
      <c r="BF105" s="619">
        <f t="shared" si="110"/>
        <v>18.333333333333332</v>
      </c>
      <c r="BG105" s="619">
        <f t="shared" si="112"/>
        <v>8.3333333333333339</v>
      </c>
      <c r="BH105" s="619"/>
      <c r="BI105" s="619"/>
      <c r="BJ105" s="619">
        <f t="shared" si="116"/>
        <v>8.3333333333333339</v>
      </c>
      <c r="BK105" s="619">
        <f t="shared" si="118"/>
        <v>0</v>
      </c>
      <c r="BL105" s="619">
        <f t="shared" si="120"/>
        <v>10</v>
      </c>
      <c r="BM105" s="619">
        <f t="shared" si="122"/>
        <v>0</v>
      </c>
      <c r="BN105" s="619">
        <f t="shared" si="124"/>
        <v>0</v>
      </c>
      <c r="BO105" s="619">
        <f t="shared" si="126"/>
        <v>0</v>
      </c>
      <c r="BP105" s="619">
        <f t="shared" si="128"/>
        <v>0</v>
      </c>
      <c r="BQ105" s="619">
        <f t="shared" si="130"/>
        <v>8.3333333333333339</v>
      </c>
      <c r="BR105" s="518">
        <f t="shared" si="136"/>
        <v>1906.6666666666663</v>
      </c>
      <c r="BS105" s="518">
        <f t="shared" si="153"/>
        <v>7023771.7100000028</v>
      </c>
      <c r="BT105" s="518">
        <f t="shared" si="154"/>
        <v>699.99999999720603</v>
      </c>
      <c r="BU105" s="518">
        <f t="shared" si="155"/>
        <v>2606.6666666641831</v>
      </c>
      <c r="EA105" s="518">
        <f t="shared" si="137"/>
        <v>0</v>
      </c>
      <c r="ED105" s="519">
        <f>+BR105</f>
        <v>1906.6666666666663</v>
      </c>
      <c r="EE105" s="518">
        <f>+ED105-EC105</f>
        <v>1906.6666666666663</v>
      </c>
      <c r="EF105" s="518">
        <f>+EE105*'Capital Structure '!$T$30</f>
        <v>535.96399999999994</v>
      </c>
      <c r="EG105" s="518">
        <f>EG104+EF105</f>
        <v>-196.77000000005421</v>
      </c>
    </row>
    <row r="106" spans="1:137" s="585" customFormat="1">
      <c r="A106" s="308" t="s">
        <v>315</v>
      </c>
      <c r="B106" s="308">
        <v>2024</v>
      </c>
      <c r="C106" s="308" t="s">
        <v>102</v>
      </c>
      <c r="L106" s="518">
        <f>SUM(K$5:K106)</f>
        <v>7024471.71</v>
      </c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  <c r="AK106" s="518"/>
      <c r="AL106" s="518"/>
      <c r="AM106" s="518"/>
      <c r="AN106" s="518"/>
      <c r="AO106" s="518"/>
      <c r="AP106" s="518"/>
      <c r="AQ106" s="518"/>
      <c r="AR106" s="518"/>
      <c r="AS106" s="518"/>
      <c r="AT106" s="518"/>
      <c r="AU106" s="518"/>
      <c r="AV106" s="518"/>
      <c r="AW106" s="518"/>
      <c r="AX106" s="518"/>
      <c r="AY106" s="518"/>
      <c r="AZ106" s="518"/>
      <c r="BA106" s="518"/>
      <c r="BB106" s="518"/>
      <c r="BC106" s="518"/>
      <c r="BD106" s="619">
        <f t="shared" si="106"/>
        <v>163.33333333333334</v>
      </c>
      <c r="BE106" s="619">
        <f t="shared" si="108"/>
        <v>91.666666666666671</v>
      </c>
      <c r="BF106" s="619">
        <f t="shared" si="110"/>
        <v>18.333333333333332</v>
      </c>
      <c r="BG106" s="619">
        <f t="shared" si="112"/>
        <v>8.3333333333333339</v>
      </c>
      <c r="BH106" s="619"/>
      <c r="BI106" s="619"/>
      <c r="BJ106" s="619">
        <f t="shared" si="116"/>
        <v>8.3333333333333339</v>
      </c>
      <c r="BK106" s="619">
        <f t="shared" si="118"/>
        <v>0</v>
      </c>
      <c r="BL106" s="619">
        <f t="shared" si="120"/>
        <v>10</v>
      </c>
      <c r="BM106" s="619">
        <f t="shared" si="122"/>
        <v>0</v>
      </c>
      <c r="BN106" s="619">
        <f t="shared" si="124"/>
        <v>0</v>
      </c>
      <c r="BO106" s="619">
        <f t="shared" si="126"/>
        <v>0</v>
      </c>
      <c r="BP106" s="619">
        <f t="shared" si="128"/>
        <v>0</v>
      </c>
      <c r="BQ106" s="619">
        <f t="shared" si="130"/>
        <v>8.3333333333333339</v>
      </c>
      <c r="BR106" s="518">
        <f t="shared" si="136"/>
        <v>308.33333333333326</v>
      </c>
      <c r="BS106" s="518">
        <f t="shared" si="153"/>
        <v>7024080.0433333358</v>
      </c>
      <c r="BT106" s="518">
        <f t="shared" si="154"/>
        <v>391.66666666418314</v>
      </c>
      <c r="BU106" s="518">
        <f t="shared" si="155"/>
        <v>699.99999999720603</v>
      </c>
      <c r="EA106" s="518">
        <f t="shared" si="137"/>
        <v>0</v>
      </c>
      <c r="ED106" s="519">
        <f>+BR106</f>
        <v>308.33333333333326</v>
      </c>
      <c r="EE106" s="518">
        <f>+ED106-EC106</f>
        <v>308.33333333333326</v>
      </c>
      <c r="EF106" s="518">
        <f>+EE106*'Capital Structure '!$T$30</f>
        <v>86.672499999999985</v>
      </c>
      <c r="EG106" s="518">
        <f>EG105+EF106</f>
        <v>-110.09750000005423</v>
      </c>
    </row>
    <row r="107" spans="1:137" s="585" customFormat="1">
      <c r="A107" s="308" t="s">
        <v>54</v>
      </c>
      <c r="B107" s="308">
        <v>2024</v>
      </c>
      <c r="C107" s="308" t="s">
        <v>102</v>
      </c>
      <c r="L107" s="519">
        <f>SUM(K$5:K107)</f>
        <v>7024471.71</v>
      </c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  <c r="AK107" s="518"/>
      <c r="AL107" s="518"/>
      <c r="AM107" s="518"/>
      <c r="AN107" s="518"/>
      <c r="AO107" s="518"/>
      <c r="AP107" s="518"/>
      <c r="AQ107" s="518"/>
      <c r="AR107" s="518"/>
      <c r="AS107" s="518"/>
      <c r="AT107" s="518"/>
      <c r="AU107" s="518"/>
      <c r="AV107" s="518"/>
      <c r="AW107" s="518"/>
      <c r="AX107" s="518"/>
      <c r="AY107" s="518"/>
      <c r="AZ107" s="518"/>
      <c r="BA107" s="518"/>
      <c r="BB107" s="518"/>
      <c r="BC107" s="518"/>
      <c r="BD107" s="518"/>
      <c r="BE107" s="619">
        <f t="shared" si="108"/>
        <v>91.666666666666671</v>
      </c>
      <c r="BF107" s="619">
        <f t="shared" si="110"/>
        <v>18.333333333333332</v>
      </c>
      <c r="BG107" s="619">
        <f t="shared" si="112"/>
        <v>8.3333333333333339</v>
      </c>
      <c r="BH107" s="619"/>
      <c r="BI107" s="619"/>
      <c r="BJ107" s="619">
        <f t="shared" si="116"/>
        <v>8.3333333333333339</v>
      </c>
      <c r="BK107" s="619">
        <f t="shared" si="118"/>
        <v>0</v>
      </c>
      <c r="BL107" s="619">
        <f t="shared" si="120"/>
        <v>10</v>
      </c>
      <c r="BM107" s="619">
        <f t="shared" si="122"/>
        <v>0</v>
      </c>
      <c r="BN107" s="619">
        <f t="shared" si="124"/>
        <v>0</v>
      </c>
      <c r="BO107" s="619">
        <f t="shared" si="126"/>
        <v>0</v>
      </c>
      <c r="BP107" s="619">
        <f t="shared" si="128"/>
        <v>0</v>
      </c>
      <c r="BQ107" s="619">
        <f t="shared" si="130"/>
        <v>8.3333333333333339</v>
      </c>
      <c r="BR107" s="518">
        <f t="shared" si="136"/>
        <v>145</v>
      </c>
      <c r="BS107" s="518">
        <f t="shared" si="153"/>
        <v>7024225.0433333358</v>
      </c>
      <c r="BT107" s="518">
        <f t="shared" si="154"/>
        <v>246.66666666418314</v>
      </c>
      <c r="BU107" s="518">
        <f t="shared" si="155"/>
        <v>391.66666666418314</v>
      </c>
      <c r="EA107" s="518">
        <f t="shared" si="137"/>
        <v>0</v>
      </c>
      <c r="ED107" s="519">
        <f>+BR107</f>
        <v>145</v>
      </c>
      <c r="EE107" s="518">
        <f>+ED107-EC107</f>
        <v>145</v>
      </c>
      <c r="EF107" s="518">
        <f>+EE107*'Capital Structure '!$T$30</f>
        <v>40.759500000000003</v>
      </c>
      <c r="EG107" s="518">
        <f>EG106+EF107</f>
        <v>-69.338000000054222</v>
      </c>
    </row>
    <row r="108" spans="1:137" s="585" customFormat="1">
      <c r="A108" s="308" t="s">
        <v>55</v>
      </c>
      <c r="B108" s="308">
        <v>2024</v>
      </c>
      <c r="C108" s="308" t="s">
        <v>102</v>
      </c>
      <c r="L108" s="519">
        <f>SUM(K$5:K108)</f>
        <v>7024471.71</v>
      </c>
      <c r="BF108" s="619">
        <f t="shared" si="110"/>
        <v>18.333333333333332</v>
      </c>
      <c r="BG108" s="619">
        <f t="shared" si="112"/>
        <v>8.3333333333333339</v>
      </c>
      <c r="BH108" s="619"/>
      <c r="BI108" s="619"/>
      <c r="BJ108" s="619">
        <f t="shared" si="116"/>
        <v>8.3333333333333339</v>
      </c>
      <c r="BK108" s="619">
        <f t="shared" si="118"/>
        <v>0</v>
      </c>
      <c r="BL108" s="619">
        <f t="shared" si="120"/>
        <v>10</v>
      </c>
      <c r="BM108" s="619">
        <f t="shared" si="122"/>
        <v>0</v>
      </c>
      <c r="BN108" s="619">
        <f t="shared" si="124"/>
        <v>0</v>
      </c>
      <c r="BO108" s="619">
        <f t="shared" si="126"/>
        <v>0</v>
      </c>
      <c r="BP108" s="619">
        <f t="shared" si="128"/>
        <v>0</v>
      </c>
      <c r="BQ108" s="619">
        <f t="shared" si="130"/>
        <v>8.3333333333333339</v>
      </c>
      <c r="BR108" s="518">
        <f t="shared" si="136"/>
        <v>53.333333333333336</v>
      </c>
      <c r="BS108" s="518">
        <f t="shared" si="153"/>
        <v>7024278.3766666688</v>
      </c>
      <c r="BT108" s="518">
        <f t="shared" si="154"/>
        <v>193.33333333116025</v>
      </c>
      <c r="BU108" s="518">
        <f t="shared" si="155"/>
        <v>246.66666666418314</v>
      </c>
      <c r="EA108" s="518">
        <f t="shared" si="137"/>
        <v>0</v>
      </c>
    </row>
    <row r="109" spans="1:137" s="585" customFormat="1">
      <c r="A109" s="308" t="s">
        <v>56</v>
      </c>
      <c r="B109" s="308">
        <v>2024</v>
      </c>
      <c r="C109" s="308" t="s">
        <v>102</v>
      </c>
      <c r="L109" s="519">
        <f>SUM(K$5:K109)</f>
        <v>7024471.71</v>
      </c>
      <c r="BG109" s="619">
        <f t="shared" si="112"/>
        <v>8.3333333333333339</v>
      </c>
      <c r="BH109" s="619"/>
      <c r="BI109" s="619"/>
      <c r="BJ109" s="619">
        <f t="shared" si="116"/>
        <v>8.3333333333333339</v>
      </c>
      <c r="BK109" s="619">
        <f t="shared" si="118"/>
        <v>0</v>
      </c>
      <c r="BL109" s="619">
        <f t="shared" si="120"/>
        <v>10</v>
      </c>
      <c r="BM109" s="619">
        <f t="shared" si="122"/>
        <v>0</v>
      </c>
      <c r="BN109" s="619">
        <f t="shared" si="124"/>
        <v>0</v>
      </c>
      <c r="BO109" s="619">
        <f t="shared" si="126"/>
        <v>0</v>
      </c>
      <c r="BP109" s="619">
        <f t="shared" si="128"/>
        <v>0</v>
      </c>
      <c r="BQ109" s="619">
        <f t="shared" si="130"/>
        <v>8.3333333333333339</v>
      </c>
      <c r="BR109" s="518">
        <f t="shared" si="136"/>
        <v>35</v>
      </c>
      <c r="BS109" s="518">
        <f t="shared" si="153"/>
        <v>7024313.3766666688</v>
      </c>
      <c r="BT109" s="518">
        <f t="shared" si="154"/>
        <v>158.33333333116025</v>
      </c>
      <c r="BU109" s="518">
        <f t="shared" si="155"/>
        <v>193.33333333116025</v>
      </c>
      <c r="EA109" s="518">
        <f t="shared" si="137"/>
        <v>0</v>
      </c>
    </row>
    <row r="110" spans="1:137" s="585" customFormat="1">
      <c r="A110" s="308" t="s">
        <v>57</v>
      </c>
      <c r="B110" s="308">
        <v>2024</v>
      </c>
      <c r="C110" s="308" t="s">
        <v>102</v>
      </c>
      <c r="L110" s="519">
        <f>SUM(K$5:K110)</f>
        <v>7024471.71</v>
      </c>
      <c r="BJ110" s="619">
        <f t="shared" si="116"/>
        <v>8.3333333333333339</v>
      </c>
      <c r="BK110" s="619">
        <f t="shared" si="118"/>
        <v>0</v>
      </c>
      <c r="BL110" s="619">
        <f t="shared" si="120"/>
        <v>10</v>
      </c>
      <c r="BM110" s="619">
        <f t="shared" si="122"/>
        <v>0</v>
      </c>
      <c r="BN110" s="619">
        <f t="shared" si="124"/>
        <v>0</v>
      </c>
      <c r="BO110" s="619">
        <f t="shared" si="126"/>
        <v>0</v>
      </c>
      <c r="BP110" s="619">
        <f t="shared" si="128"/>
        <v>0</v>
      </c>
      <c r="BQ110" s="619">
        <f t="shared" si="130"/>
        <v>8.3333333333333339</v>
      </c>
      <c r="BR110" s="518">
        <f t="shared" si="136"/>
        <v>26.666666666666671</v>
      </c>
      <c r="BS110" s="518">
        <f t="shared" si="153"/>
        <v>7024340.0433333358</v>
      </c>
      <c r="BT110" s="518">
        <f t="shared" si="154"/>
        <v>131.66666666418314</v>
      </c>
      <c r="BU110" s="518">
        <f t="shared" si="155"/>
        <v>158.33333333116025</v>
      </c>
      <c r="EA110" s="518">
        <f t="shared" si="137"/>
        <v>0</v>
      </c>
    </row>
    <row r="111" spans="1:137" s="585" customFormat="1">
      <c r="A111" s="308" t="s">
        <v>58</v>
      </c>
      <c r="B111" s="308">
        <v>2024</v>
      </c>
      <c r="C111" s="308" t="s">
        <v>102</v>
      </c>
      <c r="L111" s="519">
        <f>SUM(K$5:K111)</f>
        <v>7024471.71</v>
      </c>
      <c r="BJ111" s="619">
        <f t="shared" si="116"/>
        <v>8.3333333333333339</v>
      </c>
      <c r="BK111" s="619">
        <f t="shared" si="118"/>
        <v>0</v>
      </c>
      <c r="BL111" s="619">
        <f t="shared" si="120"/>
        <v>10</v>
      </c>
      <c r="BM111" s="619">
        <f t="shared" si="122"/>
        <v>0</v>
      </c>
      <c r="BN111" s="619">
        <f t="shared" si="124"/>
        <v>0</v>
      </c>
      <c r="BO111" s="619">
        <f t="shared" si="126"/>
        <v>0</v>
      </c>
      <c r="BP111" s="619">
        <f t="shared" si="128"/>
        <v>0</v>
      </c>
      <c r="BQ111" s="619">
        <f t="shared" si="130"/>
        <v>8.3333333333333339</v>
      </c>
      <c r="BR111" s="518">
        <f t="shared" si="136"/>
        <v>26.666666666666671</v>
      </c>
      <c r="BS111" s="518">
        <f t="shared" si="153"/>
        <v>7024366.7100000028</v>
      </c>
      <c r="BT111" s="518">
        <f t="shared" si="154"/>
        <v>104.99999999720603</v>
      </c>
      <c r="BU111" s="518">
        <f t="shared" si="155"/>
        <v>131.66666666418314</v>
      </c>
      <c r="EA111" s="518">
        <f t="shared" si="137"/>
        <v>0</v>
      </c>
    </row>
    <row r="112" spans="1:137" s="585" customFormat="1">
      <c r="A112" s="308" t="s">
        <v>59</v>
      </c>
      <c r="B112" s="308">
        <v>2024</v>
      </c>
      <c r="C112" s="308" t="s">
        <v>102</v>
      </c>
      <c r="L112" s="519">
        <f>SUM(K$5:K112)</f>
        <v>7024471.71</v>
      </c>
      <c r="BJ112" s="619">
        <f t="shared" si="116"/>
        <v>8.3333333333333339</v>
      </c>
      <c r="BK112" s="619">
        <f t="shared" si="118"/>
        <v>0</v>
      </c>
      <c r="BL112" s="619">
        <f t="shared" si="120"/>
        <v>10</v>
      </c>
      <c r="BM112" s="619">
        <f t="shared" si="122"/>
        <v>0</v>
      </c>
      <c r="BN112" s="619">
        <f t="shared" si="124"/>
        <v>0</v>
      </c>
      <c r="BO112" s="619">
        <f t="shared" si="126"/>
        <v>0</v>
      </c>
      <c r="BP112" s="619">
        <f t="shared" si="128"/>
        <v>0</v>
      </c>
      <c r="BQ112" s="619">
        <f t="shared" si="130"/>
        <v>8.3333333333333339</v>
      </c>
      <c r="BR112" s="518">
        <f t="shared" si="136"/>
        <v>26.666666666666671</v>
      </c>
      <c r="BS112" s="518">
        <f t="shared" si="153"/>
        <v>7024393.3766666697</v>
      </c>
      <c r="BT112" s="518">
        <f t="shared" si="154"/>
        <v>78.333333330228925</v>
      </c>
      <c r="BU112" s="518">
        <f t="shared" si="155"/>
        <v>104.99999999720603</v>
      </c>
    </row>
    <row r="113" spans="1:73" s="585" customFormat="1">
      <c r="A113" s="308" t="s">
        <v>46</v>
      </c>
      <c r="B113" s="308">
        <v>2024</v>
      </c>
      <c r="C113" s="308" t="s">
        <v>102</v>
      </c>
      <c r="L113" s="519">
        <f>SUM(K$5:K113)</f>
        <v>7024471.71</v>
      </c>
      <c r="BK113" s="619">
        <f t="shared" si="118"/>
        <v>0</v>
      </c>
      <c r="BL113" s="619">
        <f t="shared" si="120"/>
        <v>10</v>
      </c>
      <c r="BM113" s="619">
        <f t="shared" si="122"/>
        <v>0</v>
      </c>
      <c r="BN113" s="619">
        <f t="shared" si="124"/>
        <v>0</v>
      </c>
      <c r="BO113" s="619">
        <f t="shared" si="126"/>
        <v>0</v>
      </c>
      <c r="BP113" s="619">
        <f t="shared" si="128"/>
        <v>0</v>
      </c>
      <c r="BQ113" s="619">
        <f t="shared" si="130"/>
        <v>8.3333333333333339</v>
      </c>
      <c r="BR113" s="518">
        <f t="shared" si="136"/>
        <v>18.333333333333336</v>
      </c>
      <c r="BS113" s="518">
        <f t="shared" si="153"/>
        <v>7024411.7100000028</v>
      </c>
      <c r="BT113" s="518">
        <f t="shared" si="154"/>
        <v>59.999999997206032</v>
      </c>
      <c r="BU113" s="518">
        <f t="shared" si="155"/>
        <v>78.333333330228925</v>
      </c>
    </row>
    <row r="114" spans="1:73" s="585" customFormat="1">
      <c r="A114" s="308" t="s">
        <v>48</v>
      </c>
      <c r="B114" s="308">
        <v>2024</v>
      </c>
      <c r="C114" s="308" t="s">
        <v>102</v>
      </c>
      <c r="L114" s="519">
        <f>SUM(K$5:K114)</f>
        <v>7024471.71</v>
      </c>
      <c r="BL114" s="619">
        <f t="shared" si="120"/>
        <v>10</v>
      </c>
      <c r="BM114" s="619">
        <f t="shared" si="122"/>
        <v>0</v>
      </c>
      <c r="BN114" s="619">
        <f t="shared" si="124"/>
        <v>0</v>
      </c>
      <c r="BO114" s="619">
        <f t="shared" si="126"/>
        <v>0</v>
      </c>
      <c r="BP114" s="619">
        <f t="shared" si="128"/>
        <v>0</v>
      </c>
      <c r="BQ114" s="619">
        <f t="shared" si="130"/>
        <v>8.3333333333333339</v>
      </c>
      <c r="BR114" s="518">
        <f t="shared" si="136"/>
        <v>18.333333333333336</v>
      </c>
      <c r="BS114" s="518">
        <f t="shared" si="153"/>
        <v>7024430.0433333358</v>
      </c>
      <c r="BT114" s="518">
        <f t="shared" si="154"/>
        <v>41.66666666418314</v>
      </c>
      <c r="BU114" s="518">
        <f t="shared" si="155"/>
        <v>59.999999997206032</v>
      </c>
    </row>
    <row r="115" spans="1:73" s="585" customFormat="1">
      <c r="A115" s="308" t="s">
        <v>50</v>
      </c>
      <c r="B115" s="308">
        <v>2024</v>
      </c>
      <c r="C115" s="308" t="s">
        <v>102</v>
      </c>
      <c r="L115" s="519">
        <f>SUM(K$5:K115)</f>
        <v>7024471.71</v>
      </c>
      <c r="BM115" s="619">
        <f t="shared" si="122"/>
        <v>0</v>
      </c>
      <c r="BN115" s="619">
        <f t="shared" si="124"/>
        <v>0</v>
      </c>
      <c r="BO115" s="619">
        <f t="shared" si="126"/>
        <v>0</v>
      </c>
      <c r="BP115" s="619">
        <f t="shared" si="128"/>
        <v>0</v>
      </c>
      <c r="BQ115" s="619">
        <f t="shared" si="130"/>
        <v>8.3333333333333339</v>
      </c>
      <c r="BR115" s="518">
        <f t="shared" si="136"/>
        <v>8.3333333333333339</v>
      </c>
      <c r="BS115" s="518">
        <f t="shared" ref="BS115:BS119" si="156">BS114+BR115</f>
        <v>7024438.3766666688</v>
      </c>
      <c r="BT115" s="518">
        <f t="shared" ref="BT115:BT119" si="157">+L115-BS115</f>
        <v>33.333333331160247</v>
      </c>
      <c r="BU115" s="518">
        <f t="shared" ref="BU115:BU119" si="158">+L115-BS114</f>
        <v>41.66666666418314</v>
      </c>
    </row>
    <row r="116" spans="1:73" s="585" customFormat="1">
      <c r="A116" s="308" t="s">
        <v>51</v>
      </c>
      <c r="B116" s="308">
        <v>2024</v>
      </c>
      <c r="C116" s="308" t="s">
        <v>102</v>
      </c>
      <c r="L116" s="519">
        <f>SUM(K$5:K116)</f>
        <v>7024471.71</v>
      </c>
      <c r="BN116" s="619">
        <f t="shared" si="124"/>
        <v>0</v>
      </c>
      <c r="BO116" s="619">
        <f t="shared" si="126"/>
        <v>0</v>
      </c>
      <c r="BP116" s="619">
        <f t="shared" si="128"/>
        <v>0</v>
      </c>
      <c r="BQ116" s="619">
        <f t="shared" si="130"/>
        <v>8.3333333333333339</v>
      </c>
      <c r="BR116" s="518">
        <f t="shared" si="136"/>
        <v>8.3333333333333339</v>
      </c>
      <c r="BS116" s="518">
        <f t="shared" si="156"/>
        <v>7024446.7100000018</v>
      </c>
      <c r="BT116" s="518">
        <f t="shared" si="157"/>
        <v>24.999999998137355</v>
      </c>
      <c r="BU116" s="518">
        <f t="shared" si="158"/>
        <v>33.333333331160247</v>
      </c>
    </row>
    <row r="117" spans="1:73" s="585" customFormat="1">
      <c r="A117" s="308" t="s">
        <v>52</v>
      </c>
      <c r="B117" s="308">
        <v>2024</v>
      </c>
      <c r="C117" s="308" t="s">
        <v>102</v>
      </c>
      <c r="L117" s="519">
        <f>SUM(K$5:K117)</f>
        <v>7024471.71</v>
      </c>
      <c r="BO117" s="619">
        <f t="shared" si="126"/>
        <v>0</v>
      </c>
      <c r="BP117" s="619">
        <f t="shared" si="128"/>
        <v>0</v>
      </c>
      <c r="BQ117" s="619">
        <f t="shared" si="130"/>
        <v>8.3333333333333339</v>
      </c>
      <c r="BR117" s="518">
        <f t="shared" si="136"/>
        <v>8.3333333333333339</v>
      </c>
      <c r="BS117" s="518">
        <f t="shared" si="156"/>
        <v>7024455.0433333348</v>
      </c>
      <c r="BT117" s="518">
        <f t="shared" si="157"/>
        <v>16.666666665114462</v>
      </c>
      <c r="BU117" s="518">
        <f t="shared" si="158"/>
        <v>24.999999998137355</v>
      </c>
    </row>
    <row r="118" spans="1:73" s="585" customFormat="1">
      <c r="A118" s="308" t="s">
        <v>53</v>
      </c>
      <c r="B118" s="308">
        <v>2025</v>
      </c>
      <c r="C118" s="308" t="s">
        <v>102</v>
      </c>
      <c r="L118" s="519">
        <f>SUM(K$5:K118)</f>
        <v>7024471.71</v>
      </c>
      <c r="BP118" s="619">
        <f t="shared" si="128"/>
        <v>0</v>
      </c>
      <c r="BQ118" s="619">
        <f t="shared" si="130"/>
        <v>8.3333333333333339</v>
      </c>
      <c r="BR118" s="518">
        <f t="shared" si="136"/>
        <v>8.3333333333333339</v>
      </c>
      <c r="BS118" s="518">
        <f t="shared" si="156"/>
        <v>7024463.3766666679</v>
      </c>
      <c r="BT118" s="518">
        <f t="shared" si="157"/>
        <v>8.3333333320915699</v>
      </c>
      <c r="BU118" s="518">
        <f t="shared" si="158"/>
        <v>16.666666665114462</v>
      </c>
    </row>
    <row r="119" spans="1:73" s="585" customFormat="1">
      <c r="A119" s="308" t="s">
        <v>54</v>
      </c>
      <c r="B119" s="308">
        <v>2025</v>
      </c>
      <c r="C119" s="308" t="s">
        <v>102</v>
      </c>
      <c r="L119" s="519">
        <f>SUM(K$5:K119)</f>
        <v>7024471.71</v>
      </c>
      <c r="BQ119" s="619">
        <f t="shared" si="130"/>
        <v>8.3333333333333339</v>
      </c>
      <c r="BR119" s="518">
        <f t="shared" si="136"/>
        <v>8.3333333333333339</v>
      </c>
      <c r="BS119" s="518">
        <f t="shared" si="156"/>
        <v>7024471.7100000009</v>
      </c>
      <c r="BT119" s="518">
        <f t="shared" si="157"/>
        <v>0</v>
      </c>
      <c r="BU119" s="518">
        <f t="shared" si="158"/>
        <v>8.3333333320915699</v>
      </c>
    </row>
  </sheetData>
  <mergeCells count="3">
    <mergeCell ref="D1:L1"/>
    <mergeCell ref="N1:BU1"/>
    <mergeCell ref="BW1:EG1"/>
  </mergeCells>
  <pageMargins left="0.7" right="0.7" top="0.75" bottom="0.75" header="0.3" footer="0.3"/>
  <pageSetup scale="1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  <pageSetUpPr fitToPage="1"/>
  </sheetPr>
  <dimension ref="A1:BR210"/>
  <sheetViews>
    <sheetView workbookViewId="0">
      <pane ySplit="2" topLeftCell="A165" activePane="bottomLeft" state="frozen"/>
      <selection pane="bottomLeft" activeCell="M69" sqref="M69"/>
    </sheetView>
  </sheetViews>
  <sheetFormatPr defaultColWidth="9.140625" defaultRowHeight="12.75" outlineLevelRow="1" outlineLevelCol="1"/>
  <cols>
    <col min="1" max="2" width="6.7109375" style="4" customWidth="1"/>
    <col min="3" max="3" width="6.42578125" style="4" customWidth="1"/>
    <col min="4" max="4" width="12.85546875" style="4" bestFit="1" customWidth="1"/>
    <col min="5" max="5" width="17.85546875" style="4" customWidth="1"/>
    <col min="6" max="6" width="18.28515625" style="4" customWidth="1"/>
    <col min="7" max="7" width="5" style="4" bestFit="1" customWidth="1"/>
    <col min="8" max="8" width="17.5703125" style="4" customWidth="1"/>
    <col min="9" max="9" width="1.42578125" style="4" customWidth="1"/>
    <col min="10" max="10" width="12.85546875" style="4" bestFit="1" customWidth="1"/>
    <col min="11" max="11" width="14.5703125" style="4" customWidth="1"/>
    <col min="12" max="12" width="2.42578125" style="4" customWidth="1"/>
    <col min="13" max="13" width="11.7109375" style="4" customWidth="1"/>
    <col min="14" max="14" width="11.5703125" style="4" customWidth="1"/>
    <col min="15" max="15" width="2.85546875" style="4" customWidth="1"/>
    <col min="16" max="16" width="16.140625" style="4" customWidth="1"/>
    <col min="17" max="17" width="3.140625" style="4" customWidth="1"/>
    <col min="18" max="21" width="9.140625" style="4" hidden="1" customWidth="1" outlineLevel="1"/>
    <col min="22" max="26" width="10.28515625" style="4" hidden="1" customWidth="1" outlineLevel="1"/>
    <col min="27" max="27" width="10.85546875" style="4" hidden="1" customWidth="1" outlineLevel="1"/>
    <col min="28" max="28" width="10.28515625" style="4" hidden="1" customWidth="1" outlineLevel="1"/>
    <col min="29" max="29" width="10.28515625" style="4" customWidth="1" collapsed="1"/>
    <col min="30" max="30" width="10.28515625" style="4" customWidth="1"/>
    <col min="31" max="31" width="10.140625" style="4" customWidth="1"/>
    <col min="32" max="32" width="10.85546875" style="4" customWidth="1"/>
    <col min="33" max="33" width="11.28515625" style="4" customWidth="1"/>
    <col min="34" max="34" width="11.140625" style="4" customWidth="1"/>
    <col min="35" max="35" width="10.5703125" style="4" customWidth="1"/>
    <col min="36" max="36" width="10.42578125" style="4" customWidth="1"/>
    <col min="37" max="37" width="10" style="4" customWidth="1"/>
    <col min="38" max="39" width="11.140625" style="4" customWidth="1"/>
    <col min="40" max="40" width="12.140625" style="4" customWidth="1"/>
    <col min="41" max="58" width="11.42578125" style="4" customWidth="1"/>
    <col min="59" max="59" width="10" style="4" customWidth="1"/>
    <col min="60" max="68" width="10.28515625" style="4" customWidth="1"/>
    <col min="69" max="69" width="11.140625" style="4" customWidth="1"/>
    <col min="70" max="16384" width="9.140625" style="4"/>
  </cols>
  <sheetData>
    <row r="1" spans="1:70"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R1" s="708" t="s">
        <v>144</v>
      </c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8"/>
      <c r="AR1" s="708"/>
      <c r="AS1" s="708"/>
      <c r="AT1" s="708"/>
      <c r="AU1" s="708"/>
      <c r="AV1" s="708"/>
      <c r="AW1" s="708"/>
      <c r="AX1" s="708"/>
      <c r="AY1" s="708"/>
      <c r="AZ1" s="708"/>
      <c r="BA1" s="708"/>
      <c r="BB1" s="708"/>
      <c r="BC1" s="708"/>
      <c r="BD1" s="708"/>
      <c r="BE1" s="708"/>
      <c r="BF1" s="708"/>
      <c r="BG1" s="708"/>
      <c r="BH1" s="708"/>
      <c r="BI1" s="708"/>
      <c r="BJ1" s="708"/>
      <c r="BK1" s="708"/>
      <c r="BL1" s="708"/>
      <c r="BM1" s="708"/>
      <c r="BN1" s="708"/>
      <c r="BO1" s="708"/>
      <c r="BP1" s="708"/>
      <c r="BQ1" s="708"/>
    </row>
    <row r="2" spans="1:70" ht="38.25">
      <c r="A2" s="338"/>
      <c r="B2" s="338"/>
      <c r="C2" s="29" t="s">
        <v>16</v>
      </c>
      <c r="D2" s="51" t="s">
        <v>205</v>
      </c>
      <c r="E2" s="51" t="s">
        <v>204</v>
      </c>
      <c r="F2" s="51" t="s">
        <v>206</v>
      </c>
      <c r="G2" s="51"/>
      <c r="H2" s="51" t="s">
        <v>220</v>
      </c>
      <c r="I2" s="51"/>
      <c r="J2" s="51" t="s">
        <v>104</v>
      </c>
      <c r="K2" s="120" t="s">
        <v>149</v>
      </c>
      <c r="L2" s="120"/>
      <c r="M2" s="51" t="s">
        <v>99</v>
      </c>
      <c r="N2" s="51" t="s">
        <v>100</v>
      </c>
      <c r="O2" s="52"/>
      <c r="P2" s="52" t="s">
        <v>101</v>
      </c>
      <c r="Q2" s="338"/>
      <c r="R2" s="341">
        <v>42217</v>
      </c>
      <c r="S2" s="341">
        <f t="shared" ref="S2:AK2" si="0">+R2+31</f>
        <v>42248</v>
      </c>
      <c r="T2" s="341">
        <f t="shared" si="0"/>
        <v>42279</v>
      </c>
      <c r="U2" s="341">
        <f t="shared" si="0"/>
        <v>42310</v>
      </c>
      <c r="V2" s="341">
        <f t="shared" si="0"/>
        <v>42341</v>
      </c>
      <c r="W2" s="341">
        <f t="shared" si="0"/>
        <v>42372</v>
      </c>
      <c r="X2" s="341">
        <f t="shared" si="0"/>
        <v>42403</v>
      </c>
      <c r="Y2" s="341">
        <f t="shared" si="0"/>
        <v>42434</v>
      </c>
      <c r="Z2" s="341">
        <f t="shared" si="0"/>
        <v>42465</v>
      </c>
      <c r="AA2" s="341">
        <f t="shared" si="0"/>
        <v>42496</v>
      </c>
      <c r="AB2" s="341">
        <f t="shared" si="0"/>
        <v>42527</v>
      </c>
      <c r="AC2" s="341">
        <f t="shared" si="0"/>
        <v>42558</v>
      </c>
      <c r="AD2" s="341">
        <f t="shared" si="0"/>
        <v>42589</v>
      </c>
      <c r="AE2" s="341">
        <f t="shared" si="0"/>
        <v>42620</v>
      </c>
      <c r="AF2" s="341">
        <f t="shared" si="0"/>
        <v>42651</v>
      </c>
      <c r="AG2" s="341">
        <f t="shared" si="0"/>
        <v>42682</v>
      </c>
      <c r="AH2" s="341">
        <f t="shared" si="0"/>
        <v>42713</v>
      </c>
      <c r="AI2" s="341">
        <f t="shared" si="0"/>
        <v>42744</v>
      </c>
      <c r="AJ2" s="341">
        <f t="shared" si="0"/>
        <v>42775</v>
      </c>
      <c r="AK2" s="341">
        <f t="shared" si="0"/>
        <v>42806</v>
      </c>
      <c r="AL2" s="341">
        <f t="shared" ref="AL2:BF2" si="1">+AK2+31</f>
        <v>42837</v>
      </c>
      <c r="AM2" s="341">
        <f t="shared" si="1"/>
        <v>42868</v>
      </c>
      <c r="AN2" s="341">
        <f t="shared" si="1"/>
        <v>42899</v>
      </c>
      <c r="AO2" s="341">
        <f t="shared" si="1"/>
        <v>42930</v>
      </c>
      <c r="AP2" s="341">
        <f t="shared" si="1"/>
        <v>42961</v>
      </c>
      <c r="AQ2" s="341">
        <f t="shared" si="1"/>
        <v>42992</v>
      </c>
      <c r="AR2" s="341">
        <f t="shared" si="1"/>
        <v>43023</v>
      </c>
      <c r="AS2" s="341">
        <f t="shared" si="1"/>
        <v>43054</v>
      </c>
      <c r="AT2" s="341">
        <f t="shared" si="1"/>
        <v>43085</v>
      </c>
      <c r="AU2" s="341">
        <f t="shared" si="1"/>
        <v>43116</v>
      </c>
      <c r="AV2" s="341">
        <f t="shared" si="1"/>
        <v>43147</v>
      </c>
      <c r="AW2" s="341">
        <f t="shared" si="1"/>
        <v>43178</v>
      </c>
      <c r="AX2" s="341">
        <f t="shared" si="1"/>
        <v>43209</v>
      </c>
      <c r="AY2" s="341">
        <f t="shared" si="1"/>
        <v>43240</v>
      </c>
      <c r="AZ2" s="341">
        <f t="shared" si="1"/>
        <v>43271</v>
      </c>
      <c r="BA2" s="341">
        <f t="shared" si="1"/>
        <v>43302</v>
      </c>
      <c r="BB2" s="341">
        <f t="shared" si="1"/>
        <v>43333</v>
      </c>
      <c r="BC2" s="341">
        <f t="shared" si="1"/>
        <v>43364</v>
      </c>
      <c r="BD2" s="341">
        <f t="shared" si="1"/>
        <v>43395</v>
      </c>
      <c r="BE2" s="341">
        <f t="shared" si="1"/>
        <v>43426</v>
      </c>
      <c r="BF2" s="341">
        <f t="shared" si="1"/>
        <v>43457</v>
      </c>
      <c r="BG2" s="341">
        <v>43466</v>
      </c>
      <c r="BH2" s="341">
        <v>43497</v>
      </c>
      <c r="BI2" s="341">
        <v>43525</v>
      </c>
      <c r="BJ2" s="341">
        <v>43556</v>
      </c>
      <c r="BK2" s="341">
        <v>43586</v>
      </c>
      <c r="BL2" s="341">
        <v>43617</v>
      </c>
      <c r="BM2" s="341">
        <v>43647</v>
      </c>
      <c r="BN2" s="341">
        <v>43678</v>
      </c>
      <c r="BO2" s="341">
        <v>43709</v>
      </c>
      <c r="BP2" s="341">
        <v>43739</v>
      </c>
      <c r="BQ2" s="338" t="s">
        <v>69</v>
      </c>
      <c r="BR2" s="338"/>
    </row>
    <row r="3" spans="1:70" s="585" customFormat="1" ht="15.75">
      <c r="A3" s="585" t="s">
        <v>27</v>
      </c>
      <c r="B3" s="308" t="s">
        <v>203</v>
      </c>
      <c r="C3" s="308" t="s">
        <v>28</v>
      </c>
      <c r="D3" s="354"/>
      <c r="E3" s="354"/>
      <c r="F3" s="354"/>
      <c r="G3" s="354"/>
      <c r="H3" s="354"/>
      <c r="I3" s="354"/>
      <c r="J3" s="354"/>
      <c r="K3" s="308"/>
      <c r="L3" s="308"/>
      <c r="M3" s="354" t="s">
        <v>67</v>
      </c>
      <c r="N3" s="354"/>
      <c r="O3" s="308"/>
      <c r="P3" s="308"/>
      <c r="BJ3" s="624"/>
      <c r="BK3" s="624"/>
      <c r="BL3" s="624"/>
      <c r="BM3" s="624"/>
      <c r="BN3" s="624"/>
      <c r="BO3" s="624"/>
      <c r="BP3" s="624"/>
    </row>
    <row r="4" spans="1:70" s="585" customFormat="1">
      <c r="A4" s="308"/>
      <c r="B4" s="308"/>
      <c r="C4" s="30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84"/>
      <c r="BJ4" s="624"/>
      <c r="BK4" s="624"/>
      <c r="BL4" s="624"/>
      <c r="BM4" s="624"/>
      <c r="BN4" s="624"/>
      <c r="BO4" s="624"/>
      <c r="BP4" s="624"/>
    </row>
    <row r="5" spans="1:70" s="585" customFormat="1" ht="12.75" customHeight="1" outlineLevel="1">
      <c r="A5" s="308" t="s">
        <v>46</v>
      </c>
      <c r="B5" s="308">
        <v>2015</v>
      </c>
      <c r="C5" s="308" t="s">
        <v>47</v>
      </c>
      <c r="D5" s="518">
        <v>0</v>
      </c>
      <c r="E5" s="518">
        <v>0</v>
      </c>
      <c r="F5" s="518">
        <v>0</v>
      </c>
      <c r="G5" s="518">
        <v>0</v>
      </c>
      <c r="H5" s="518">
        <v>0</v>
      </c>
      <c r="I5" s="518"/>
      <c r="J5" s="518">
        <f t="shared" ref="J5:J36" si="2">SUM(D5:H5)</f>
        <v>0</v>
      </c>
      <c r="K5" s="518">
        <f>J5</f>
        <v>0</v>
      </c>
      <c r="L5" s="518"/>
      <c r="M5" s="518">
        <v>0</v>
      </c>
      <c r="N5" s="518">
        <f>M5</f>
        <v>0</v>
      </c>
      <c r="O5" s="518"/>
      <c r="P5" s="518">
        <f>+K5-N5</f>
        <v>0</v>
      </c>
      <c r="R5" s="518">
        <f>$J$5/120</f>
        <v>0</v>
      </c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518"/>
      <c r="BB5" s="518"/>
      <c r="BC5" s="518"/>
      <c r="BD5" s="518"/>
      <c r="BE5" s="518"/>
      <c r="BF5" s="518"/>
      <c r="BG5" s="518"/>
      <c r="BH5" s="518"/>
      <c r="BI5" s="518"/>
      <c r="BJ5" s="624"/>
      <c r="BK5" s="624"/>
      <c r="BL5" s="624"/>
      <c r="BM5" s="624"/>
      <c r="BN5" s="624"/>
      <c r="BO5" s="624"/>
      <c r="BP5" s="624"/>
      <c r="BQ5" s="518">
        <f>SUM(R5:BI5)</f>
        <v>0</v>
      </c>
    </row>
    <row r="6" spans="1:70" s="585" customFormat="1" ht="12.75" customHeight="1" outlineLevel="1">
      <c r="A6" s="308" t="s">
        <v>48</v>
      </c>
      <c r="B6" s="308">
        <f>+B5</f>
        <v>2015</v>
      </c>
      <c r="C6" s="308" t="s">
        <v>47</v>
      </c>
      <c r="D6" s="518">
        <v>0</v>
      </c>
      <c r="E6" s="518">
        <v>49895</v>
      </c>
      <c r="F6" s="518">
        <v>0</v>
      </c>
      <c r="G6" s="518">
        <v>0</v>
      </c>
      <c r="H6" s="518">
        <v>0</v>
      </c>
      <c r="I6" s="518"/>
      <c r="J6" s="518">
        <f t="shared" si="2"/>
        <v>49895</v>
      </c>
      <c r="K6" s="518">
        <f>K5+J6</f>
        <v>49895</v>
      </c>
      <c r="L6" s="518"/>
      <c r="M6" s="518">
        <v>249.14</v>
      </c>
      <c r="N6" s="518">
        <f>N5+M6</f>
        <v>249.14</v>
      </c>
      <c r="O6" s="518"/>
      <c r="P6" s="518">
        <f t="shared" ref="P6:P69" si="3">+K6-N6</f>
        <v>49645.86</v>
      </c>
      <c r="R6" s="518">
        <f t="shared" ref="R6:R69" si="4">$J$5/120</f>
        <v>0</v>
      </c>
      <c r="S6" s="518">
        <f>$J$6/120</f>
        <v>415.79166666666669</v>
      </c>
      <c r="T6" s="518"/>
      <c r="U6" s="518"/>
      <c r="V6" s="518"/>
      <c r="W6" s="518"/>
      <c r="X6" s="518"/>
      <c r="Y6" s="518"/>
      <c r="Z6" s="518"/>
      <c r="AA6" s="518"/>
      <c r="AB6" s="518"/>
      <c r="AC6" s="518"/>
      <c r="AD6" s="518"/>
      <c r="AE6" s="518"/>
      <c r="AF6" s="518"/>
      <c r="AG6" s="518"/>
      <c r="AH6" s="518"/>
      <c r="AI6" s="518"/>
      <c r="AJ6" s="518"/>
      <c r="AK6" s="518"/>
      <c r="AL6" s="518"/>
      <c r="AM6" s="518"/>
      <c r="AN6" s="518"/>
      <c r="AO6" s="518"/>
      <c r="AP6" s="518"/>
      <c r="AQ6" s="518"/>
      <c r="AR6" s="518"/>
      <c r="AS6" s="518"/>
      <c r="AT6" s="518"/>
      <c r="AU6" s="518"/>
      <c r="AV6" s="518"/>
      <c r="AW6" s="518"/>
      <c r="AX6" s="518"/>
      <c r="AY6" s="518"/>
      <c r="AZ6" s="518"/>
      <c r="BA6" s="518"/>
      <c r="BB6" s="518"/>
      <c r="BC6" s="518"/>
      <c r="BD6" s="518"/>
      <c r="BE6" s="518"/>
      <c r="BF6" s="518"/>
      <c r="BG6" s="518"/>
      <c r="BH6" s="518"/>
      <c r="BI6" s="518"/>
      <c r="BJ6" s="624"/>
      <c r="BK6" s="624"/>
      <c r="BL6" s="624"/>
      <c r="BM6" s="624"/>
      <c r="BN6" s="624"/>
      <c r="BO6" s="624"/>
      <c r="BP6" s="624"/>
      <c r="BQ6" s="518">
        <f>SUM(R6:BP6)</f>
        <v>415.79166666666669</v>
      </c>
    </row>
    <row r="7" spans="1:70" s="585" customFormat="1" ht="12.75" customHeight="1" outlineLevel="1">
      <c r="A7" s="308" t="s">
        <v>50</v>
      </c>
      <c r="B7" s="308">
        <f>+B6</f>
        <v>2015</v>
      </c>
      <c r="C7" s="308" t="s">
        <v>47</v>
      </c>
      <c r="D7" s="518">
        <f>5492+6500</f>
        <v>11992</v>
      </c>
      <c r="E7" s="518">
        <v>93470</v>
      </c>
      <c r="F7" s="518">
        <v>0</v>
      </c>
      <c r="G7" s="518">
        <v>0</v>
      </c>
      <c r="H7" s="518">
        <v>0</v>
      </c>
      <c r="I7" s="518"/>
      <c r="J7" s="518">
        <f t="shared" si="2"/>
        <v>105462</v>
      </c>
      <c r="K7" s="518">
        <f t="shared" ref="K7:K70" si="5">K6+J7</f>
        <v>155357</v>
      </c>
      <c r="L7" s="518"/>
      <c r="M7" s="518">
        <v>697.03</v>
      </c>
      <c r="N7" s="518">
        <f t="shared" ref="N7:N70" si="6">N6+M7</f>
        <v>946.17</v>
      </c>
      <c r="O7" s="518"/>
      <c r="P7" s="518">
        <f t="shared" si="3"/>
        <v>154410.82999999999</v>
      </c>
      <c r="R7" s="518">
        <f t="shared" si="4"/>
        <v>0</v>
      </c>
      <c r="S7" s="518">
        <f t="shared" ref="S7:S70" si="7">$J$6/120</f>
        <v>415.79166666666669</v>
      </c>
      <c r="T7" s="518">
        <f>$J$7/120</f>
        <v>878.85</v>
      </c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518"/>
      <c r="AV7" s="518"/>
      <c r="AW7" s="518"/>
      <c r="AX7" s="518"/>
      <c r="AY7" s="518"/>
      <c r="AZ7" s="518"/>
      <c r="BA7" s="518"/>
      <c r="BB7" s="518"/>
      <c r="BC7" s="518"/>
      <c r="BD7" s="518"/>
      <c r="BE7" s="518"/>
      <c r="BF7" s="518"/>
      <c r="BG7" s="518"/>
      <c r="BH7" s="518"/>
      <c r="BI7" s="518"/>
      <c r="BJ7" s="624"/>
      <c r="BK7" s="624"/>
      <c r="BL7" s="624"/>
      <c r="BM7" s="624"/>
      <c r="BN7" s="624"/>
      <c r="BO7" s="624"/>
      <c r="BP7" s="624"/>
      <c r="BQ7" s="518">
        <f t="shared" ref="BQ7:BQ70" si="8">SUM(R7:BP7)</f>
        <v>1294.6416666666667</v>
      </c>
    </row>
    <row r="8" spans="1:70" s="585" customFormat="1" ht="12.75" customHeight="1" outlineLevel="1">
      <c r="A8" s="308" t="s">
        <v>51</v>
      </c>
      <c r="B8" s="308">
        <f>+B7</f>
        <v>2015</v>
      </c>
      <c r="C8" s="308" t="s">
        <v>47</v>
      </c>
      <c r="D8" s="518">
        <f>33578+6500</f>
        <v>40078</v>
      </c>
      <c r="E8" s="518">
        <f>454084+6500</f>
        <v>460584</v>
      </c>
      <c r="F8" s="518">
        <v>0</v>
      </c>
      <c r="G8" s="518">
        <v>0</v>
      </c>
      <c r="H8" s="518">
        <v>0</v>
      </c>
      <c r="I8" s="518"/>
      <c r="J8" s="518">
        <f t="shared" si="2"/>
        <v>500662</v>
      </c>
      <c r="K8" s="518">
        <f t="shared" si="5"/>
        <v>656019</v>
      </c>
      <c r="L8" s="518"/>
      <c r="M8" s="518">
        <f>2437.31+108.34+108.34+108.34</f>
        <v>2762.3300000000004</v>
      </c>
      <c r="N8" s="518">
        <f t="shared" si="6"/>
        <v>3708.5000000000005</v>
      </c>
      <c r="O8" s="518"/>
      <c r="P8" s="518">
        <f t="shared" si="3"/>
        <v>652310.5</v>
      </c>
      <c r="R8" s="518">
        <f t="shared" si="4"/>
        <v>0</v>
      </c>
      <c r="S8" s="518">
        <f t="shared" si="7"/>
        <v>415.79166666666669</v>
      </c>
      <c r="T8" s="518">
        <f t="shared" ref="T8:T71" si="9">$J$7/120</f>
        <v>878.85</v>
      </c>
      <c r="U8" s="518">
        <f>$J$8/120</f>
        <v>4172.1833333333334</v>
      </c>
      <c r="V8" s="518"/>
      <c r="W8" s="518"/>
      <c r="X8" s="518"/>
      <c r="Y8" s="518"/>
      <c r="Z8" s="518"/>
      <c r="AA8" s="518"/>
      <c r="AB8" s="518"/>
      <c r="AC8" s="518"/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  <c r="AQ8" s="518"/>
      <c r="AR8" s="518"/>
      <c r="AS8" s="518"/>
      <c r="AT8" s="518"/>
      <c r="AU8" s="518"/>
      <c r="AV8" s="518"/>
      <c r="AW8" s="518"/>
      <c r="AX8" s="518"/>
      <c r="AY8" s="518"/>
      <c r="AZ8" s="518"/>
      <c r="BA8" s="518"/>
      <c r="BB8" s="518"/>
      <c r="BC8" s="518"/>
      <c r="BD8" s="518"/>
      <c r="BE8" s="518"/>
      <c r="BF8" s="518"/>
      <c r="BG8" s="518"/>
      <c r="BH8" s="518"/>
      <c r="BI8" s="518"/>
      <c r="BJ8" s="624"/>
      <c r="BK8" s="624"/>
      <c r="BL8" s="624"/>
      <c r="BM8" s="624"/>
      <c r="BN8" s="624"/>
      <c r="BO8" s="624"/>
      <c r="BP8" s="624"/>
      <c r="BQ8" s="518">
        <f t="shared" si="8"/>
        <v>5466.8249999999998</v>
      </c>
    </row>
    <row r="9" spans="1:70" s="585" customFormat="1" ht="12.75" customHeight="1" outlineLevel="1">
      <c r="A9" s="308" t="s">
        <v>52</v>
      </c>
      <c r="B9" s="308">
        <f>+B8</f>
        <v>2015</v>
      </c>
      <c r="C9" s="308" t="s">
        <v>47</v>
      </c>
      <c r="D9" s="518">
        <f>19668-3500-3288+6500+6500+6500</f>
        <v>32380</v>
      </c>
      <c r="E9" s="518">
        <v>669817</v>
      </c>
      <c r="F9" s="518">
        <v>90000</v>
      </c>
      <c r="G9" s="518">
        <v>0</v>
      </c>
      <c r="H9" s="518">
        <v>0</v>
      </c>
      <c r="I9" s="518"/>
      <c r="J9" s="518">
        <f t="shared" si="2"/>
        <v>792197</v>
      </c>
      <c r="K9" s="518">
        <f t="shared" si="5"/>
        <v>1448216</v>
      </c>
      <c r="L9" s="518"/>
      <c r="M9" s="518">
        <f>7857.42-79.77-81.35+108.34+108.34+108.34+108.34</f>
        <v>8129.66</v>
      </c>
      <c r="N9" s="518">
        <f t="shared" si="6"/>
        <v>11838.16</v>
      </c>
      <c r="O9" s="518"/>
      <c r="P9" s="518">
        <f t="shared" si="3"/>
        <v>1436377.84</v>
      </c>
      <c r="R9" s="518">
        <f t="shared" si="4"/>
        <v>0</v>
      </c>
      <c r="S9" s="518">
        <f t="shared" si="7"/>
        <v>415.79166666666669</v>
      </c>
      <c r="T9" s="518">
        <f t="shared" si="9"/>
        <v>878.85</v>
      </c>
      <c r="U9" s="518">
        <f t="shared" ref="U9:U72" si="10">$J$8/120</f>
        <v>4172.1833333333334</v>
      </c>
      <c r="V9" s="518">
        <f>$J$9/120</f>
        <v>6601.6416666666664</v>
      </c>
      <c r="W9" s="518"/>
      <c r="X9" s="518"/>
      <c r="Y9" s="518"/>
      <c r="Z9" s="518"/>
      <c r="AA9" s="518"/>
      <c r="AB9" s="518"/>
      <c r="AC9" s="518"/>
      <c r="AD9" s="518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/>
      <c r="AR9" s="518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/>
      <c r="BF9" s="518"/>
      <c r="BG9" s="518"/>
      <c r="BH9" s="518"/>
      <c r="BI9" s="518"/>
      <c r="BJ9" s="624"/>
      <c r="BK9" s="624"/>
      <c r="BL9" s="624"/>
      <c r="BM9" s="624"/>
      <c r="BN9" s="624"/>
      <c r="BO9" s="624"/>
      <c r="BP9" s="624"/>
      <c r="BQ9" s="518">
        <f t="shared" si="8"/>
        <v>12068.466666666667</v>
      </c>
    </row>
    <row r="10" spans="1:70" s="585" customFormat="1" ht="12.75" customHeight="1" outlineLevel="1">
      <c r="A10" s="308" t="s">
        <v>53</v>
      </c>
      <c r="B10" s="308">
        <f>B9+1</f>
        <v>2016</v>
      </c>
      <c r="C10" s="308" t="s">
        <v>47</v>
      </c>
      <c r="D10" s="518">
        <f>29811.89+6500</f>
        <v>36311.89</v>
      </c>
      <c r="E10" s="518">
        <f>459101+6500</f>
        <v>465601</v>
      </c>
      <c r="F10" s="518">
        <v>128750</v>
      </c>
      <c r="G10" s="518">
        <v>0</v>
      </c>
      <c r="H10" s="518">
        <v>7025</v>
      </c>
      <c r="I10" s="518"/>
      <c r="J10" s="518">
        <f t="shared" si="2"/>
        <v>637687.89</v>
      </c>
      <c r="K10" s="518">
        <f t="shared" si="5"/>
        <v>2085903.8900000001</v>
      </c>
      <c r="L10" s="518"/>
      <c r="M10" s="518">
        <f>15905.49+58.55-79.77-81.35+108.34+108.34+108.34</f>
        <v>16127.939999999999</v>
      </c>
      <c r="N10" s="518">
        <f t="shared" si="6"/>
        <v>27966.1</v>
      </c>
      <c r="O10" s="518"/>
      <c r="P10" s="518">
        <f t="shared" si="3"/>
        <v>2057937.79</v>
      </c>
      <c r="R10" s="518">
        <f t="shared" si="4"/>
        <v>0</v>
      </c>
      <c r="S10" s="518">
        <f t="shared" si="7"/>
        <v>415.79166666666669</v>
      </c>
      <c r="T10" s="518">
        <f t="shared" si="9"/>
        <v>878.85</v>
      </c>
      <c r="U10" s="518">
        <f t="shared" si="10"/>
        <v>4172.1833333333334</v>
      </c>
      <c r="V10" s="518">
        <f t="shared" ref="V10:V73" si="11">$J$9/120</f>
        <v>6601.6416666666664</v>
      </c>
      <c r="W10" s="518">
        <f>$J$10/120</f>
        <v>5314.0657499999998</v>
      </c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8"/>
      <c r="BC10" s="518"/>
      <c r="BD10" s="518"/>
      <c r="BE10" s="518"/>
      <c r="BF10" s="518"/>
      <c r="BG10" s="518"/>
      <c r="BH10" s="518"/>
      <c r="BI10" s="518"/>
      <c r="BJ10" s="624"/>
      <c r="BK10" s="624"/>
      <c r="BL10" s="624"/>
      <c r="BM10" s="624"/>
      <c r="BN10" s="624"/>
      <c r="BO10" s="624"/>
      <c r="BP10" s="624"/>
      <c r="BQ10" s="518">
        <f t="shared" si="8"/>
        <v>17382.532416666669</v>
      </c>
    </row>
    <row r="11" spans="1:70" s="585" customFormat="1" ht="12.75" customHeight="1" outlineLevel="1">
      <c r="A11" s="308" t="s">
        <v>54</v>
      </c>
      <c r="B11" s="308">
        <f t="shared" ref="B11:B16" si="12">+B10</f>
        <v>2016</v>
      </c>
      <c r="C11" s="308" t="s">
        <v>47</v>
      </c>
      <c r="D11" s="518">
        <f>7000+6500+6500</f>
        <v>20000</v>
      </c>
      <c r="E11" s="518">
        <v>258050</v>
      </c>
      <c r="F11" s="518">
        <v>81000</v>
      </c>
      <c r="G11" s="518">
        <v>0</v>
      </c>
      <c r="H11" s="518">
        <v>125420.26</v>
      </c>
      <c r="I11" s="518"/>
      <c r="J11" s="518">
        <f t="shared" si="2"/>
        <v>484470.26</v>
      </c>
      <c r="K11" s="518">
        <f t="shared" si="5"/>
        <v>2570374.1500000004</v>
      </c>
      <c r="L11" s="518"/>
      <c r="M11" s="518">
        <f>24848.78+87.44-79.77-81.35+108.34+108.34+108.34+108.34</f>
        <v>25208.46</v>
      </c>
      <c r="N11" s="518">
        <f t="shared" si="6"/>
        <v>53174.559999999998</v>
      </c>
      <c r="O11" s="518"/>
      <c r="P11" s="518">
        <f t="shared" si="3"/>
        <v>2517199.5900000003</v>
      </c>
      <c r="R11" s="518">
        <f t="shared" si="4"/>
        <v>0</v>
      </c>
      <c r="S11" s="518">
        <f t="shared" si="7"/>
        <v>415.79166666666669</v>
      </c>
      <c r="T11" s="518">
        <f t="shared" si="9"/>
        <v>878.85</v>
      </c>
      <c r="U11" s="518">
        <f t="shared" si="10"/>
        <v>4172.1833333333334</v>
      </c>
      <c r="V11" s="518">
        <f t="shared" si="11"/>
        <v>6601.6416666666664</v>
      </c>
      <c r="W11" s="518">
        <f t="shared" ref="W11:W74" si="13">$J$10/120</f>
        <v>5314.0657499999998</v>
      </c>
      <c r="X11" s="518">
        <f>$J$11/120</f>
        <v>4037.2521666666667</v>
      </c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AT11" s="518"/>
      <c r="AU11" s="518"/>
      <c r="AV11" s="518"/>
      <c r="AW11" s="518"/>
      <c r="AX11" s="518"/>
      <c r="AY11" s="518"/>
      <c r="AZ11" s="518"/>
      <c r="BA11" s="518"/>
      <c r="BB11" s="518"/>
      <c r="BC11" s="518"/>
      <c r="BD11" s="518"/>
      <c r="BE11" s="518"/>
      <c r="BF11" s="518"/>
      <c r="BG11" s="518"/>
      <c r="BH11" s="518"/>
      <c r="BI11" s="518"/>
      <c r="BJ11" s="624"/>
      <c r="BK11" s="624"/>
      <c r="BL11" s="624"/>
      <c r="BM11" s="624"/>
      <c r="BN11" s="624"/>
      <c r="BO11" s="624"/>
      <c r="BP11" s="624"/>
      <c r="BQ11" s="518">
        <f t="shared" si="8"/>
        <v>21419.784583333334</v>
      </c>
    </row>
    <row r="12" spans="1:70" s="585" customFormat="1" ht="12.75" customHeight="1" outlineLevel="1">
      <c r="A12" s="308" t="s">
        <v>55</v>
      </c>
      <c r="B12" s="308">
        <f t="shared" si="12"/>
        <v>2016</v>
      </c>
      <c r="C12" s="308" t="s">
        <v>47</v>
      </c>
      <c r="D12" s="518">
        <f>6920+6500+6500+6500</f>
        <v>26420</v>
      </c>
      <c r="E12" s="518">
        <f>49368+6500</f>
        <v>55868</v>
      </c>
      <c r="F12" s="518">
        <v>191945</v>
      </c>
      <c r="G12" s="518">
        <v>0</v>
      </c>
      <c r="H12" s="518">
        <v>0</v>
      </c>
      <c r="I12" s="518"/>
      <c r="J12" s="518">
        <f t="shared" si="2"/>
        <v>274233</v>
      </c>
      <c r="K12" s="518">
        <f t="shared" si="5"/>
        <v>2844607.1500000004</v>
      </c>
      <c r="L12" s="518"/>
      <c r="M12" s="518">
        <f>19212.63+1162.28+1162.72+204.88-79.77-81.35+108.34+108.34+108.34+108.34+108.34</f>
        <v>22123.090000000004</v>
      </c>
      <c r="N12" s="518">
        <f t="shared" si="6"/>
        <v>75297.649999999994</v>
      </c>
      <c r="O12" s="518"/>
      <c r="P12" s="518">
        <f t="shared" si="3"/>
        <v>2769309.5000000005</v>
      </c>
      <c r="R12" s="518">
        <f t="shared" si="4"/>
        <v>0</v>
      </c>
      <c r="S12" s="518">
        <f t="shared" si="7"/>
        <v>415.79166666666669</v>
      </c>
      <c r="T12" s="518">
        <f t="shared" si="9"/>
        <v>878.85</v>
      </c>
      <c r="U12" s="518">
        <f t="shared" si="10"/>
        <v>4172.1833333333334</v>
      </c>
      <c r="V12" s="518">
        <f t="shared" si="11"/>
        <v>6601.6416666666664</v>
      </c>
      <c r="W12" s="518">
        <f t="shared" si="13"/>
        <v>5314.0657499999998</v>
      </c>
      <c r="X12" s="518">
        <f t="shared" ref="X12:X75" si="14">$J$11/120</f>
        <v>4037.2521666666667</v>
      </c>
      <c r="Y12" s="518">
        <f>$J$12/120</f>
        <v>2285.2750000000001</v>
      </c>
      <c r="Z12" s="518"/>
      <c r="AA12" s="518"/>
      <c r="AB12" s="518"/>
      <c r="AC12" s="518"/>
      <c r="AD12" s="518"/>
      <c r="AE12" s="518"/>
      <c r="AF12" s="518"/>
      <c r="AG12" s="518"/>
      <c r="AH12" s="518"/>
      <c r="AI12" s="518"/>
      <c r="AJ12" s="518"/>
      <c r="AK12" s="518"/>
      <c r="AL12" s="518"/>
      <c r="AM12" s="518"/>
      <c r="AN12" s="518"/>
      <c r="AO12" s="518"/>
      <c r="AP12" s="518"/>
      <c r="AQ12" s="518"/>
      <c r="AR12" s="518"/>
      <c r="AS12" s="518"/>
      <c r="AT12" s="518"/>
      <c r="AU12" s="518"/>
      <c r="AV12" s="518"/>
      <c r="AW12" s="518"/>
      <c r="AX12" s="518"/>
      <c r="AY12" s="518"/>
      <c r="AZ12" s="518"/>
      <c r="BA12" s="518"/>
      <c r="BB12" s="518"/>
      <c r="BC12" s="518"/>
      <c r="BD12" s="518"/>
      <c r="BE12" s="518"/>
      <c r="BF12" s="518"/>
      <c r="BG12" s="518"/>
      <c r="BH12" s="518"/>
      <c r="BI12" s="518"/>
      <c r="BJ12" s="624"/>
      <c r="BK12" s="624"/>
      <c r="BL12" s="624"/>
      <c r="BM12" s="624"/>
      <c r="BN12" s="624"/>
      <c r="BO12" s="624"/>
      <c r="BP12" s="624"/>
      <c r="BQ12" s="518">
        <f t="shared" si="8"/>
        <v>23705.059583333335</v>
      </c>
    </row>
    <row r="13" spans="1:70" s="585" customFormat="1" ht="12.75" customHeight="1" outlineLevel="1">
      <c r="A13" s="308" t="s">
        <v>56</v>
      </c>
      <c r="B13" s="308">
        <f t="shared" si="12"/>
        <v>2016</v>
      </c>
      <c r="C13" s="308" t="s">
        <v>47</v>
      </c>
      <c r="D13" s="518">
        <f>7000+6500</f>
        <v>13500</v>
      </c>
      <c r="E13" s="518">
        <v>10000</v>
      </c>
      <c r="F13" s="518">
        <v>107511</v>
      </c>
      <c r="G13" s="518">
        <v>0</v>
      </c>
      <c r="H13" s="518">
        <v>0</v>
      </c>
      <c r="I13" s="518"/>
      <c r="J13" s="518">
        <f t="shared" si="2"/>
        <v>131011</v>
      </c>
      <c r="K13" s="518">
        <f t="shared" si="5"/>
        <v>2975618.1500000004</v>
      </c>
      <c r="L13" s="518"/>
      <c r="M13" s="518">
        <f>1103.73+4345.83+18276.57-79.77-81.35+108.34+108.34+108.34+108.34+108.34</f>
        <v>24106.71</v>
      </c>
      <c r="N13" s="518">
        <f t="shared" si="6"/>
        <v>99404.359999999986</v>
      </c>
      <c r="O13" s="518"/>
      <c r="P13" s="518">
        <f t="shared" si="3"/>
        <v>2876213.7900000005</v>
      </c>
      <c r="R13" s="518">
        <f t="shared" si="4"/>
        <v>0</v>
      </c>
      <c r="S13" s="518">
        <f t="shared" si="7"/>
        <v>415.79166666666669</v>
      </c>
      <c r="T13" s="518">
        <f t="shared" si="9"/>
        <v>878.85</v>
      </c>
      <c r="U13" s="518">
        <f t="shared" si="10"/>
        <v>4172.1833333333334</v>
      </c>
      <c r="V13" s="518">
        <f t="shared" si="11"/>
        <v>6601.6416666666664</v>
      </c>
      <c r="W13" s="518">
        <f t="shared" si="13"/>
        <v>5314.0657499999998</v>
      </c>
      <c r="X13" s="518">
        <f t="shared" si="14"/>
        <v>4037.2521666666667</v>
      </c>
      <c r="Y13" s="518">
        <f t="shared" ref="Y13:Y76" si="15">$J$12/120</f>
        <v>2285.2750000000001</v>
      </c>
      <c r="Z13" s="518">
        <f>$J$13/120</f>
        <v>1091.7583333333334</v>
      </c>
      <c r="AA13" s="518"/>
      <c r="AB13" s="518"/>
      <c r="AC13" s="518"/>
      <c r="AD13" s="518"/>
      <c r="AE13" s="518"/>
      <c r="AF13" s="518"/>
      <c r="AG13" s="518"/>
      <c r="AH13" s="518"/>
      <c r="AI13" s="518"/>
      <c r="AJ13" s="518"/>
      <c r="AK13" s="518"/>
      <c r="AL13" s="518"/>
      <c r="AM13" s="518"/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624"/>
      <c r="BK13" s="624"/>
      <c r="BL13" s="624"/>
      <c r="BM13" s="624"/>
      <c r="BN13" s="624"/>
      <c r="BO13" s="624"/>
      <c r="BP13" s="624"/>
      <c r="BQ13" s="518">
        <f t="shared" si="8"/>
        <v>24796.81791666667</v>
      </c>
    </row>
    <row r="14" spans="1:70" s="585" customFormat="1" ht="12.75" customHeight="1" outlineLevel="1">
      <c r="A14" s="308" t="s">
        <v>57</v>
      </c>
      <c r="B14" s="308">
        <f t="shared" si="12"/>
        <v>2016</v>
      </c>
      <c r="C14" s="308" t="s">
        <v>47</v>
      </c>
      <c r="D14" s="518">
        <f>9153+6500+6500</f>
        <v>22153</v>
      </c>
      <c r="E14" s="518">
        <v>0</v>
      </c>
      <c r="F14" s="518">
        <v>127450</v>
      </c>
      <c r="G14" s="583"/>
      <c r="H14" s="518">
        <v>2792.1</v>
      </c>
      <c r="I14" s="518"/>
      <c r="J14" s="518">
        <f t="shared" si="2"/>
        <v>152395.1</v>
      </c>
      <c r="K14" s="518">
        <f t="shared" si="5"/>
        <v>3128013.2500000005</v>
      </c>
      <c r="L14" s="518"/>
      <c r="M14" s="518">
        <f>18595.41+1709.56+1127-79.77-81.35+108.34+108.34+108.34+108.34+108.34+108.34</f>
        <v>21920.890000000003</v>
      </c>
      <c r="N14" s="518">
        <f t="shared" si="6"/>
        <v>121325.24999999999</v>
      </c>
      <c r="O14" s="518"/>
      <c r="P14" s="518">
        <f t="shared" si="3"/>
        <v>3006688.0000000005</v>
      </c>
      <c r="R14" s="518">
        <f t="shared" si="4"/>
        <v>0</v>
      </c>
      <c r="S14" s="518">
        <f t="shared" si="7"/>
        <v>415.79166666666669</v>
      </c>
      <c r="T14" s="518">
        <f t="shared" si="9"/>
        <v>878.85</v>
      </c>
      <c r="U14" s="518">
        <f t="shared" si="10"/>
        <v>4172.1833333333334</v>
      </c>
      <c r="V14" s="518">
        <f t="shared" si="11"/>
        <v>6601.6416666666664</v>
      </c>
      <c r="W14" s="518">
        <f t="shared" si="13"/>
        <v>5314.0657499999998</v>
      </c>
      <c r="X14" s="518">
        <f t="shared" si="14"/>
        <v>4037.2521666666667</v>
      </c>
      <c r="Y14" s="518">
        <f t="shared" si="15"/>
        <v>2285.2750000000001</v>
      </c>
      <c r="Z14" s="518">
        <f t="shared" ref="Z14:Z77" si="16">$J$13/120</f>
        <v>1091.7583333333334</v>
      </c>
      <c r="AA14" s="518">
        <f>$J$14/120</f>
        <v>1269.9591666666668</v>
      </c>
      <c r="AB14" s="518"/>
      <c r="AC14" s="518"/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  <c r="AX14" s="518"/>
      <c r="AY14" s="518"/>
      <c r="AZ14" s="518"/>
      <c r="BA14" s="518"/>
      <c r="BB14" s="518"/>
      <c r="BC14" s="518"/>
      <c r="BD14" s="518"/>
      <c r="BE14" s="518"/>
      <c r="BF14" s="518"/>
      <c r="BG14" s="518"/>
      <c r="BH14" s="518"/>
      <c r="BI14" s="518"/>
      <c r="BJ14" s="624"/>
      <c r="BK14" s="624"/>
      <c r="BL14" s="624"/>
      <c r="BM14" s="624"/>
      <c r="BN14" s="624"/>
      <c r="BO14" s="624"/>
      <c r="BP14" s="624"/>
      <c r="BQ14" s="518">
        <f t="shared" si="8"/>
        <v>26066.777083333338</v>
      </c>
    </row>
    <row r="15" spans="1:70" s="585" customFormat="1" ht="12.75" customHeight="1" outlineLevel="1">
      <c r="A15" s="308" t="s">
        <v>58</v>
      </c>
      <c r="B15" s="308">
        <f t="shared" si="12"/>
        <v>2016</v>
      </c>
      <c r="C15" s="308" t="s">
        <v>47</v>
      </c>
      <c r="D15" s="518">
        <f>6161.42+6500+6500</f>
        <v>19161.419999999998</v>
      </c>
      <c r="E15" s="518">
        <v>0</v>
      </c>
      <c r="F15" s="518">
        <v>53640</v>
      </c>
      <c r="G15" s="583"/>
      <c r="H15" s="518">
        <v>0</v>
      </c>
      <c r="I15" s="518"/>
      <c r="J15" s="583">
        <f t="shared" si="2"/>
        <v>72801.42</v>
      </c>
      <c r="K15" s="518">
        <f t="shared" si="5"/>
        <v>3200814.6700000004</v>
      </c>
      <c r="L15" s="518"/>
      <c r="M15" s="518">
        <f>20026.61+1127+3446.24-79.77-81.35+108.34+108.34+108.34+108.34+108.34+108.34</f>
        <v>25088.77</v>
      </c>
      <c r="N15" s="518">
        <f t="shared" si="6"/>
        <v>146414.01999999999</v>
      </c>
      <c r="O15" s="518"/>
      <c r="P15" s="518">
        <f t="shared" si="3"/>
        <v>3054400.6500000004</v>
      </c>
      <c r="R15" s="518">
        <f t="shared" si="4"/>
        <v>0</v>
      </c>
      <c r="S15" s="518">
        <f t="shared" si="7"/>
        <v>415.79166666666669</v>
      </c>
      <c r="T15" s="518">
        <f t="shared" si="9"/>
        <v>878.85</v>
      </c>
      <c r="U15" s="518">
        <f t="shared" si="10"/>
        <v>4172.1833333333334</v>
      </c>
      <c r="V15" s="518">
        <f t="shared" si="11"/>
        <v>6601.6416666666664</v>
      </c>
      <c r="W15" s="518">
        <f t="shared" si="13"/>
        <v>5314.0657499999998</v>
      </c>
      <c r="X15" s="518">
        <f t="shared" si="14"/>
        <v>4037.2521666666667</v>
      </c>
      <c r="Y15" s="518">
        <f t="shared" si="15"/>
        <v>2285.2750000000001</v>
      </c>
      <c r="Z15" s="518">
        <f t="shared" si="16"/>
        <v>1091.7583333333334</v>
      </c>
      <c r="AA15" s="518">
        <f t="shared" ref="AA15:AA78" si="17">$J$14/120</f>
        <v>1269.9591666666668</v>
      </c>
      <c r="AB15" s="518">
        <f>$J$15/120</f>
        <v>606.67849999999999</v>
      </c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8"/>
      <c r="AR15" s="518"/>
      <c r="AS15" s="518"/>
      <c r="AT15" s="518"/>
      <c r="AU15" s="518"/>
      <c r="AV15" s="518"/>
      <c r="AW15" s="518"/>
      <c r="AX15" s="518"/>
      <c r="AY15" s="518"/>
      <c r="AZ15" s="518"/>
      <c r="BA15" s="518"/>
      <c r="BB15" s="518"/>
      <c r="BC15" s="518"/>
      <c r="BD15" s="518"/>
      <c r="BE15" s="518"/>
      <c r="BF15" s="518"/>
      <c r="BG15" s="518"/>
      <c r="BH15" s="518"/>
      <c r="BI15" s="518"/>
      <c r="BJ15" s="624"/>
      <c r="BK15" s="624"/>
      <c r="BL15" s="624"/>
      <c r="BM15" s="624"/>
      <c r="BN15" s="624"/>
      <c r="BO15" s="624"/>
      <c r="BP15" s="624"/>
      <c r="BQ15" s="518">
        <f t="shared" si="8"/>
        <v>26673.455583333336</v>
      </c>
    </row>
    <row r="16" spans="1:70" s="585" customFormat="1" ht="12.75" customHeight="1">
      <c r="A16" s="308" t="s">
        <v>59</v>
      </c>
      <c r="B16" s="308">
        <f t="shared" si="12"/>
        <v>2016</v>
      </c>
      <c r="C16" s="308" t="s">
        <v>47</v>
      </c>
      <c r="D16" s="518">
        <v>6126</v>
      </c>
      <c r="E16" s="518">
        <v>0</v>
      </c>
      <c r="F16" s="518">
        <v>51050</v>
      </c>
      <c r="G16" s="583"/>
      <c r="H16" s="518">
        <v>0</v>
      </c>
      <c r="I16" s="518"/>
      <c r="J16" s="583">
        <f t="shared" si="2"/>
        <v>57176</v>
      </c>
      <c r="K16" s="518">
        <f t="shared" si="5"/>
        <v>3257990.6700000004</v>
      </c>
      <c r="L16" s="518"/>
      <c r="M16" s="518">
        <f>17647.72+1127+4151.46-79.77-81.35+108.34+108.34+108.34+108.34</f>
        <v>23198.420000000002</v>
      </c>
      <c r="N16" s="518">
        <f t="shared" si="6"/>
        <v>169612.44</v>
      </c>
      <c r="O16" s="518"/>
      <c r="P16" s="518">
        <f t="shared" si="3"/>
        <v>3088378.2300000004</v>
      </c>
      <c r="R16" s="518">
        <f t="shared" si="4"/>
        <v>0</v>
      </c>
      <c r="S16" s="518">
        <f t="shared" si="7"/>
        <v>415.79166666666669</v>
      </c>
      <c r="T16" s="518">
        <f t="shared" si="9"/>
        <v>878.85</v>
      </c>
      <c r="U16" s="518">
        <f t="shared" si="10"/>
        <v>4172.1833333333334</v>
      </c>
      <c r="V16" s="518">
        <f t="shared" si="11"/>
        <v>6601.6416666666664</v>
      </c>
      <c r="W16" s="518">
        <f t="shared" si="13"/>
        <v>5314.0657499999998</v>
      </c>
      <c r="X16" s="518">
        <f t="shared" si="14"/>
        <v>4037.2521666666667</v>
      </c>
      <c r="Y16" s="518">
        <f t="shared" si="15"/>
        <v>2285.2750000000001</v>
      </c>
      <c r="Z16" s="518">
        <f t="shared" si="16"/>
        <v>1091.7583333333334</v>
      </c>
      <c r="AA16" s="518">
        <f t="shared" si="17"/>
        <v>1269.9591666666668</v>
      </c>
      <c r="AB16" s="518">
        <f t="shared" ref="AB16:AB79" si="18">$J$15/120</f>
        <v>606.67849999999999</v>
      </c>
      <c r="AC16" s="518">
        <f>$J$16/120</f>
        <v>476.46666666666664</v>
      </c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  <c r="AQ16" s="518"/>
      <c r="AR16" s="518"/>
      <c r="AS16" s="518"/>
      <c r="AT16" s="518"/>
      <c r="AU16" s="518"/>
      <c r="AV16" s="518"/>
      <c r="AW16" s="518"/>
      <c r="AX16" s="518"/>
      <c r="AY16" s="518"/>
      <c r="AZ16" s="518"/>
      <c r="BA16" s="518"/>
      <c r="BB16" s="518"/>
      <c r="BC16" s="518"/>
      <c r="BD16" s="518"/>
      <c r="BE16" s="518"/>
      <c r="BF16" s="518"/>
      <c r="BG16" s="518"/>
      <c r="BH16" s="518"/>
      <c r="BI16" s="518"/>
      <c r="BJ16" s="624"/>
      <c r="BK16" s="624"/>
      <c r="BL16" s="624"/>
      <c r="BM16" s="624"/>
      <c r="BN16" s="624"/>
      <c r="BO16" s="624"/>
      <c r="BP16" s="624"/>
      <c r="BQ16" s="518">
        <f t="shared" si="8"/>
        <v>27149.922250000003</v>
      </c>
    </row>
    <row r="17" spans="1:69" s="585" customFormat="1" ht="12.75" customHeight="1">
      <c r="A17" s="308" t="s">
        <v>46</v>
      </c>
      <c r="B17" s="308">
        <f>+B5+1</f>
        <v>2016</v>
      </c>
      <c r="C17" s="308" t="s">
        <v>47</v>
      </c>
      <c r="D17" s="518">
        <v>3223</v>
      </c>
      <c r="E17" s="518">
        <v>3500</v>
      </c>
      <c r="F17" s="518">
        <v>160035</v>
      </c>
      <c r="G17" s="625"/>
      <c r="H17" s="518">
        <v>32168.17</v>
      </c>
      <c r="I17" s="518"/>
      <c r="J17" s="583">
        <f t="shared" si="2"/>
        <v>198926.16999999998</v>
      </c>
      <c r="K17" s="518">
        <f t="shared" si="5"/>
        <v>3456916.8400000003</v>
      </c>
      <c r="L17" s="518"/>
      <c r="M17" s="518">
        <f>23739.63+1127+4534.75-79.77-81.35</f>
        <v>29240.260000000002</v>
      </c>
      <c r="N17" s="518">
        <f t="shared" si="6"/>
        <v>198852.7</v>
      </c>
      <c r="O17" s="518"/>
      <c r="P17" s="518">
        <f t="shared" si="3"/>
        <v>3258064.14</v>
      </c>
      <c r="R17" s="518">
        <f t="shared" si="4"/>
        <v>0</v>
      </c>
      <c r="S17" s="518">
        <f t="shared" si="7"/>
        <v>415.79166666666669</v>
      </c>
      <c r="T17" s="518">
        <f t="shared" si="9"/>
        <v>878.85</v>
      </c>
      <c r="U17" s="518">
        <f t="shared" si="10"/>
        <v>4172.1833333333334</v>
      </c>
      <c r="V17" s="518">
        <f t="shared" si="11"/>
        <v>6601.6416666666664</v>
      </c>
      <c r="W17" s="518">
        <f t="shared" si="13"/>
        <v>5314.0657499999998</v>
      </c>
      <c r="X17" s="518">
        <f t="shared" si="14"/>
        <v>4037.2521666666667</v>
      </c>
      <c r="Y17" s="518">
        <f t="shared" si="15"/>
        <v>2285.2750000000001</v>
      </c>
      <c r="Z17" s="518">
        <f t="shared" si="16"/>
        <v>1091.7583333333334</v>
      </c>
      <c r="AA17" s="518">
        <f t="shared" si="17"/>
        <v>1269.9591666666668</v>
      </c>
      <c r="AB17" s="518">
        <f t="shared" si="18"/>
        <v>606.67849999999999</v>
      </c>
      <c r="AC17" s="518">
        <f t="shared" ref="AC17:AC80" si="19">$J$16/120</f>
        <v>476.46666666666664</v>
      </c>
      <c r="AD17" s="518">
        <f>$J$17/120</f>
        <v>1657.7180833333332</v>
      </c>
      <c r="AE17" s="518"/>
      <c r="AF17" s="518"/>
      <c r="AG17" s="518"/>
      <c r="AH17" s="518"/>
      <c r="AI17" s="518"/>
      <c r="AJ17" s="518"/>
      <c r="AK17" s="518"/>
      <c r="AL17" s="518"/>
      <c r="AM17" s="518"/>
      <c r="AN17" s="518"/>
      <c r="AO17" s="518"/>
      <c r="AP17" s="518"/>
      <c r="AQ17" s="518"/>
      <c r="AR17" s="518"/>
      <c r="AS17" s="518"/>
      <c r="AT17" s="518"/>
      <c r="AU17" s="518"/>
      <c r="AV17" s="518"/>
      <c r="AW17" s="518"/>
      <c r="AX17" s="518"/>
      <c r="AY17" s="518"/>
      <c r="AZ17" s="518"/>
      <c r="BA17" s="518"/>
      <c r="BB17" s="518"/>
      <c r="BC17" s="518"/>
      <c r="BD17" s="518"/>
      <c r="BE17" s="518"/>
      <c r="BF17" s="518"/>
      <c r="BG17" s="518"/>
      <c r="BH17" s="518"/>
      <c r="BI17" s="518"/>
      <c r="BJ17" s="624"/>
      <c r="BK17" s="624"/>
      <c r="BL17" s="624"/>
      <c r="BM17" s="624"/>
      <c r="BN17" s="624"/>
      <c r="BO17" s="624"/>
      <c r="BP17" s="624"/>
      <c r="BQ17" s="518">
        <f t="shared" si="8"/>
        <v>28807.640333333336</v>
      </c>
    </row>
    <row r="18" spans="1:69" s="585" customFormat="1" ht="12.75" customHeight="1">
      <c r="A18" s="308" t="s">
        <v>48</v>
      </c>
      <c r="B18" s="308">
        <f t="shared" ref="B18:B81" si="20">+B6+1</f>
        <v>2016</v>
      </c>
      <c r="C18" s="308" t="s">
        <v>47</v>
      </c>
      <c r="D18" s="518">
        <f>7000+6500+6500+6500+6500+6500</f>
        <v>39500</v>
      </c>
      <c r="E18" s="518">
        <v>0</v>
      </c>
      <c r="F18" s="518">
        <v>280519</v>
      </c>
      <c r="G18" s="625"/>
      <c r="H18" s="518">
        <v>101924.37</v>
      </c>
      <c r="I18" s="518"/>
      <c r="J18" s="518">
        <f t="shared" si="2"/>
        <v>421943.37</v>
      </c>
      <c r="K18" s="518">
        <f t="shared" si="5"/>
        <v>3878860.2100000004</v>
      </c>
      <c r="L18" s="518"/>
      <c r="M18" s="518">
        <f>28325.12+1581.2+5587.25-79.77-81.35+108.34+108.34+108.34</f>
        <v>35657.469999999994</v>
      </c>
      <c r="N18" s="518">
        <f t="shared" si="6"/>
        <v>234510.17</v>
      </c>
      <c r="O18" s="518"/>
      <c r="P18" s="518">
        <f t="shared" si="3"/>
        <v>3644350.0400000005</v>
      </c>
      <c r="R18" s="518">
        <f t="shared" si="4"/>
        <v>0</v>
      </c>
      <c r="S18" s="518">
        <f t="shared" si="7"/>
        <v>415.79166666666669</v>
      </c>
      <c r="T18" s="518">
        <f t="shared" si="9"/>
        <v>878.85</v>
      </c>
      <c r="U18" s="518">
        <f t="shared" si="10"/>
        <v>4172.1833333333334</v>
      </c>
      <c r="V18" s="518">
        <f t="shared" si="11"/>
        <v>6601.6416666666664</v>
      </c>
      <c r="W18" s="518">
        <f t="shared" si="13"/>
        <v>5314.0657499999998</v>
      </c>
      <c r="X18" s="518">
        <f t="shared" si="14"/>
        <v>4037.2521666666667</v>
      </c>
      <c r="Y18" s="518">
        <f t="shared" si="15"/>
        <v>2285.2750000000001</v>
      </c>
      <c r="Z18" s="518">
        <f t="shared" si="16"/>
        <v>1091.7583333333334</v>
      </c>
      <c r="AA18" s="518">
        <f t="shared" si="17"/>
        <v>1269.9591666666668</v>
      </c>
      <c r="AB18" s="518">
        <f t="shared" si="18"/>
        <v>606.67849999999999</v>
      </c>
      <c r="AC18" s="518">
        <f t="shared" si="19"/>
        <v>476.46666666666664</v>
      </c>
      <c r="AD18" s="518">
        <f t="shared" ref="AD18:AD81" si="21">$J$17/120</f>
        <v>1657.7180833333332</v>
      </c>
      <c r="AE18" s="518">
        <f>$J$18/120</f>
        <v>3516.1947500000001</v>
      </c>
      <c r="AF18" s="518"/>
      <c r="AG18" s="518"/>
      <c r="AH18" s="518"/>
      <c r="AI18" s="518"/>
      <c r="AJ18" s="518"/>
      <c r="AK18" s="518"/>
      <c r="AL18" s="518"/>
      <c r="AM18" s="518"/>
      <c r="AN18" s="518"/>
      <c r="AO18" s="518"/>
      <c r="AP18" s="518"/>
      <c r="AQ18" s="518"/>
      <c r="AR18" s="518"/>
      <c r="AS18" s="518"/>
      <c r="AT18" s="518"/>
      <c r="AU18" s="518"/>
      <c r="AV18" s="518"/>
      <c r="AW18" s="518"/>
      <c r="AX18" s="518"/>
      <c r="AY18" s="518"/>
      <c r="AZ18" s="518"/>
      <c r="BA18" s="518"/>
      <c r="BB18" s="518"/>
      <c r="BC18" s="518"/>
      <c r="BD18" s="518"/>
      <c r="BE18" s="518"/>
      <c r="BF18" s="518"/>
      <c r="BG18" s="518"/>
      <c r="BH18" s="518"/>
      <c r="BI18" s="518"/>
      <c r="BJ18" s="624"/>
      <c r="BK18" s="624"/>
      <c r="BL18" s="624"/>
      <c r="BM18" s="624"/>
      <c r="BN18" s="624"/>
      <c r="BO18" s="624"/>
      <c r="BP18" s="624"/>
      <c r="BQ18" s="518">
        <f t="shared" si="8"/>
        <v>32323.835083333335</v>
      </c>
    </row>
    <row r="19" spans="1:69" s="585" customFormat="1" ht="12.75" customHeight="1">
      <c r="A19" s="308" t="s">
        <v>50</v>
      </c>
      <c r="B19" s="308">
        <f t="shared" si="20"/>
        <v>2016</v>
      </c>
      <c r="C19" s="308" t="s">
        <v>47</v>
      </c>
      <c r="D19" s="518">
        <f>10080+6500+6500</f>
        <v>23080</v>
      </c>
      <c r="E19" s="518">
        <v>6500</v>
      </c>
      <c r="F19" s="518">
        <v>158148</v>
      </c>
      <c r="G19" s="583"/>
      <c r="H19" s="518">
        <v>0</v>
      </c>
      <c r="I19" s="518"/>
      <c r="J19" s="518">
        <f t="shared" si="2"/>
        <v>187728</v>
      </c>
      <c r="K19" s="518">
        <f t="shared" si="5"/>
        <v>4066588.2100000004</v>
      </c>
      <c r="L19" s="518"/>
      <c r="M19" s="518">
        <f>17563.83+1976.38+6163.25-79.77-81.35+108.34+108.34+108.34+108.34+108.34</f>
        <v>26084.040000000005</v>
      </c>
      <c r="N19" s="518">
        <f t="shared" si="6"/>
        <v>260594.21000000002</v>
      </c>
      <c r="O19" s="518"/>
      <c r="P19" s="518">
        <f t="shared" si="3"/>
        <v>3805994.0000000005</v>
      </c>
      <c r="R19" s="518">
        <f t="shared" si="4"/>
        <v>0</v>
      </c>
      <c r="S19" s="518">
        <f t="shared" si="7"/>
        <v>415.79166666666669</v>
      </c>
      <c r="T19" s="518">
        <f t="shared" si="9"/>
        <v>878.85</v>
      </c>
      <c r="U19" s="518">
        <f t="shared" si="10"/>
        <v>4172.1833333333334</v>
      </c>
      <c r="V19" s="518">
        <f t="shared" si="11"/>
        <v>6601.6416666666664</v>
      </c>
      <c r="W19" s="518">
        <f t="shared" si="13"/>
        <v>5314.0657499999998</v>
      </c>
      <c r="X19" s="518">
        <f t="shared" si="14"/>
        <v>4037.2521666666667</v>
      </c>
      <c r="Y19" s="518">
        <f t="shared" si="15"/>
        <v>2285.2750000000001</v>
      </c>
      <c r="Z19" s="518">
        <f t="shared" si="16"/>
        <v>1091.7583333333334</v>
      </c>
      <c r="AA19" s="518">
        <f t="shared" si="17"/>
        <v>1269.9591666666668</v>
      </c>
      <c r="AB19" s="518">
        <f t="shared" si="18"/>
        <v>606.67849999999999</v>
      </c>
      <c r="AC19" s="518">
        <f t="shared" si="19"/>
        <v>476.46666666666664</v>
      </c>
      <c r="AD19" s="518">
        <f t="shared" si="21"/>
        <v>1657.7180833333332</v>
      </c>
      <c r="AE19" s="518">
        <f t="shared" ref="AE19:AE82" si="22">$J$18/120</f>
        <v>3516.1947500000001</v>
      </c>
      <c r="AF19" s="518">
        <f>$J$19/120</f>
        <v>1564.4</v>
      </c>
      <c r="AG19" s="518"/>
      <c r="AH19" s="518"/>
      <c r="AI19" s="518"/>
      <c r="AJ19" s="518"/>
      <c r="AK19" s="518"/>
      <c r="AL19" s="518"/>
      <c r="AM19" s="518"/>
      <c r="AN19" s="518"/>
      <c r="AO19" s="518"/>
      <c r="AP19" s="518"/>
      <c r="AQ19" s="518"/>
      <c r="AR19" s="518"/>
      <c r="AS19" s="518"/>
      <c r="AT19" s="518"/>
      <c r="AU19" s="518"/>
      <c r="AV19" s="518"/>
      <c r="AW19" s="518"/>
      <c r="AX19" s="518"/>
      <c r="AY19" s="518"/>
      <c r="AZ19" s="518"/>
      <c r="BA19" s="518"/>
      <c r="BB19" s="518"/>
      <c r="BC19" s="518"/>
      <c r="BD19" s="518"/>
      <c r="BE19" s="518"/>
      <c r="BF19" s="518"/>
      <c r="BG19" s="518"/>
      <c r="BH19" s="518"/>
      <c r="BI19" s="518"/>
      <c r="BJ19" s="624"/>
      <c r="BK19" s="624"/>
      <c r="BL19" s="624"/>
      <c r="BM19" s="624"/>
      <c r="BN19" s="624"/>
      <c r="BO19" s="624"/>
      <c r="BP19" s="624"/>
      <c r="BQ19" s="518">
        <f t="shared" si="8"/>
        <v>33888.235083333333</v>
      </c>
    </row>
    <row r="20" spans="1:69" s="585" customFormat="1" ht="12.75" customHeight="1">
      <c r="A20" s="308" t="s">
        <v>51</v>
      </c>
      <c r="B20" s="308">
        <f t="shared" si="20"/>
        <v>2016</v>
      </c>
      <c r="C20" s="308" t="s">
        <v>47</v>
      </c>
      <c r="D20" s="518">
        <f>3500+6500</f>
        <v>10000</v>
      </c>
      <c r="E20" s="518">
        <v>6500</v>
      </c>
      <c r="F20" s="518">
        <v>164033</v>
      </c>
      <c r="G20" s="583"/>
      <c r="H20" s="518">
        <v>130000</v>
      </c>
      <c r="I20" s="518"/>
      <c r="J20" s="518">
        <f t="shared" si="2"/>
        <v>310533</v>
      </c>
      <c r="K20" s="518">
        <f t="shared" si="5"/>
        <v>4377121.2100000009</v>
      </c>
      <c r="L20" s="518"/>
      <c r="M20" s="518">
        <f>49984.73-79.77-81.35+108.34+108.34+108.34+108.34+108.34+108.34+108.34</f>
        <v>50581.989999999983</v>
      </c>
      <c r="N20" s="518">
        <f t="shared" si="6"/>
        <v>311176.2</v>
      </c>
      <c r="O20" s="518"/>
      <c r="P20" s="518">
        <f t="shared" si="3"/>
        <v>4065945.0100000007</v>
      </c>
      <c r="R20" s="518">
        <f t="shared" si="4"/>
        <v>0</v>
      </c>
      <c r="S20" s="518">
        <f t="shared" si="7"/>
        <v>415.79166666666669</v>
      </c>
      <c r="T20" s="518">
        <f t="shared" si="9"/>
        <v>878.85</v>
      </c>
      <c r="U20" s="518">
        <f t="shared" si="10"/>
        <v>4172.1833333333334</v>
      </c>
      <c r="V20" s="518">
        <f t="shared" si="11"/>
        <v>6601.6416666666664</v>
      </c>
      <c r="W20" s="518">
        <f t="shared" si="13"/>
        <v>5314.0657499999998</v>
      </c>
      <c r="X20" s="518">
        <f t="shared" si="14"/>
        <v>4037.2521666666667</v>
      </c>
      <c r="Y20" s="518">
        <f t="shared" si="15"/>
        <v>2285.2750000000001</v>
      </c>
      <c r="Z20" s="518">
        <f t="shared" si="16"/>
        <v>1091.7583333333334</v>
      </c>
      <c r="AA20" s="518">
        <f t="shared" si="17"/>
        <v>1269.9591666666668</v>
      </c>
      <c r="AB20" s="518">
        <f t="shared" si="18"/>
        <v>606.67849999999999</v>
      </c>
      <c r="AC20" s="518">
        <f t="shared" si="19"/>
        <v>476.46666666666664</v>
      </c>
      <c r="AD20" s="518">
        <f t="shared" si="21"/>
        <v>1657.7180833333332</v>
      </c>
      <c r="AE20" s="518">
        <f t="shared" si="22"/>
        <v>3516.1947500000001</v>
      </c>
      <c r="AF20" s="518">
        <f t="shared" ref="AF20:AF83" si="23">$J$19/120</f>
        <v>1564.4</v>
      </c>
      <c r="AG20" s="518">
        <f>$J$20/120</f>
        <v>2587.7750000000001</v>
      </c>
      <c r="AH20" s="518"/>
      <c r="AI20" s="518"/>
      <c r="AJ20" s="518"/>
      <c r="AK20" s="518"/>
      <c r="AL20" s="518"/>
      <c r="AM20" s="518"/>
      <c r="AN20" s="518"/>
      <c r="AO20" s="518"/>
      <c r="AP20" s="518"/>
      <c r="AQ20" s="518"/>
      <c r="AR20" s="518"/>
      <c r="AS20" s="518"/>
      <c r="AT20" s="518"/>
      <c r="AU20" s="518"/>
      <c r="AV20" s="518"/>
      <c r="AW20" s="518"/>
      <c r="AX20" s="518"/>
      <c r="AY20" s="518"/>
      <c r="AZ20" s="518"/>
      <c r="BA20" s="518"/>
      <c r="BB20" s="518"/>
      <c r="BC20" s="518"/>
      <c r="BD20" s="518"/>
      <c r="BE20" s="518"/>
      <c r="BF20" s="518"/>
      <c r="BG20" s="518"/>
      <c r="BH20" s="518"/>
      <c r="BI20" s="518"/>
      <c r="BJ20" s="624"/>
      <c r="BK20" s="624"/>
      <c r="BL20" s="624"/>
      <c r="BM20" s="624"/>
      <c r="BN20" s="624"/>
      <c r="BO20" s="624"/>
      <c r="BP20" s="624"/>
      <c r="BQ20" s="518">
        <f t="shared" si="8"/>
        <v>36476.010083333334</v>
      </c>
    </row>
    <row r="21" spans="1:69" s="585" customFormat="1" ht="12.75" customHeight="1">
      <c r="A21" s="308" t="s">
        <v>52</v>
      </c>
      <c r="B21" s="308">
        <f t="shared" si="20"/>
        <v>2016</v>
      </c>
      <c r="C21" s="308" t="s">
        <v>47</v>
      </c>
      <c r="D21" s="518">
        <f>3500+6500+6500+6500</f>
        <v>23000</v>
      </c>
      <c r="E21" s="518">
        <v>3500</v>
      </c>
      <c r="F21" s="518">
        <v>237827.42</v>
      </c>
      <c r="G21" s="583"/>
      <c r="H21" s="518">
        <v>12000</v>
      </c>
      <c r="I21" s="518"/>
      <c r="J21" s="518">
        <f t="shared" si="2"/>
        <v>276327.42000000004</v>
      </c>
      <c r="K21" s="518">
        <f t="shared" si="5"/>
        <v>4653448.6300000008</v>
      </c>
      <c r="L21" s="518"/>
      <c r="M21" s="518">
        <f>40671.54-79.77-81.35+108.34+108.34+108.34+108.34+108.34+108.34+108.34</f>
        <v>41268.799999999981</v>
      </c>
      <c r="N21" s="518">
        <f t="shared" si="6"/>
        <v>352445</v>
      </c>
      <c r="O21" s="518"/>
      <c r="P21" s="518">
        <f t="shared" si="3"/>
        <v>4301003.6300000008</v>
      </c>
      <c r="R21" s="518">
        <f t="shared" si="4"/>
        <v>0</v>
      </c>
      <c r="S21" s="518">
        <f t="shared" si="7"/>
        <v>415.79166666666669</v>
      </c>
      <c r="T21" s="518">
        <f t="shared" si="9"/>
        <v>878.85</v>
      </c>
      <c r="U21" s="518">
        <f t="shared" si="10"/>
        <v>4172.1833333333334</v>
      </c>
      <c r="V21" s="518">
        <f t="shared" si="11"/>
        <v>6601.6416666666664</v>
      </c>
      <c r="W21" s="518">
        <f t="shared" si="13"/>
        <v>5314.0657499999998</v>
      </c>
      <c r="X21" s="518">
        <f t="shared" si="14"/>
        <v>4037.2521666666667</v>
      </c>
      <c r="Y21" s="518">
        <f t="shared" si="15"/>
        <v>2285.2750000000001</v>
      </c>
      <c r="Z21" s="518">
        <f t="shared" si="16"/>
        <v>1091.7583333333334</v>
      </c>
      <c r="AA21" s="518">
        <f t="shared" si="17"/>
        <v>1269.9591666666668</v>
      </c>
      <c r="AB21" s="518">
        <f t="shared" si="18"/>
        <v>606.67849999999999</v>
      </c>
      <c r="AC21" s="518">
        <f t="shared" si="19"/>
        <v>476.46666666666664</v>
      </c>
      <c r="AD21" s="518">
        <f t="shared" si="21"/>
        <v>1657.7180833333332</v>
      </c>
      <c r="AE21" s="518">
        <f t="shared" si="22"/>
        <v>3516.1947500000001</v>
      </c>
      <c r="AF21" s="518">
        <f t="shared" si="23"/>
        <v>1564.4</v>
      </c>
      <c r="AG21" s="518">
        <f t="shared" ref="AG21:AG84" si="24">$J$20/120</f>
        <v>2587.7750000000001</v>
      </c>
      <c r="AH21" s="518">
        <f>$J$21/120</f>
        <v>2302.7285000000002</v>
      </c>
      <c r="AI21" s="518"/>
      <c r="AJ21" s="518"/>
      <c r="AK21" s="518"/>
      <c r="AL21" s="518"/>
      <c r="AM21" s="518"/>
      <c r="AN21" s="518"/>
      <c r="AO21" s="518"/>
      <c r="AP21" s="518"/>
      <c r="AQ21" s="518"/>
      <c r="AR21" s="518"/>
      <c r="AS21" s="518"/>
      <c r="AT21" s="518"/>
      <c r="AU21" s="518"/>
      <c r="AV21" s="518"/>
      <c r="AW21" s="518"/>
      <c r="AX21" s="518"/>
      <c r="AY21" s="518"/>
      <c r="AZ21" s="518"/>
      <c r="BA21" s="518"/>
      <c r="BB21" s="518"/>
      <c r="BC21" s="518"/>
      <c r="BD21" s="518"/>
      <c r="BE21" s="518"/>
      <c r="BF21" s="518"/>
      <c r="BG21" s="518"/>
      <c r="BH21" s="518"/>
      <c r="BI21" s="518"/>
      <c r="BJ21" s="624"/>
      <c r="BK21" s="624"/>
      <c r="BL21" s="624"/>
      <c r="BM21" s="624"/>
      <c r="BN21" s="624"/>
      <c r="BO21" s="624"/>
      <c r="BP21" s="624"/>
      <c r="BQ21" s="518">
        <f t="shared" si="8"/>
        <v>38778.738583333332</v>
      </c>
    </row>
    <row r="22" spans="1:69" s="585" customFormat="1" ht="12.75" customHeight="1">
      <c r="A22" s="308" t="s">
        <v>53</v>
      </c>
      <c r="B22" s="308">
        <f t="shared" si="20"/>
        <v>2017</v>
      </c>
      <c r="C22" s="308" t="s">
        <v>47</v>
      </c>
      <c r="D22" s="518">
        <v>6500</v>
      </c>
      <c r="E22" s="518">
        <v>3500</v>
      </c>
      <c r="F22" s="518">
        <v>224924</v>
      </c>
      <c r="G22" s="583"/>
      <c r="H22" s="518">
        <v>0</v>
      </c>
      <c r="I22" s="518"/>
      <c r="J22" s="518">
        <f t="shared" si="2"/>
        <v>234924</v>
      </c>
      <c r="K22" s="518">
        <f t="shared" si="5"/>
        <v>4888372.6300000008</v>
      </c>
      <c r="L22" s="518"/>
      <c r="M22" s="518">
        <f>19567.95+3427.79+9643.02-79.77-81.35+108.34+108.34+108.34+108.34+108.34+108.34</f>
        <v>33127.679999999993</v>
      </c>
      <c r="N22" s="518">
        <f t="shared" si="6"/>
        <v>385572.68</v>
      </c>
      <c r="O22" s="518"/>
      <c r="P22" s="518">
        <f t="shared" si="3"/>
        <v>4502799.9500000011</v>
      </c>
      <c r="R22" s="518">
        <f t="shared" si="4"/>
        <v>0</v>
      </c>
      <c r="S22" s="518">
        <f t="shared" si="7"/>
        <v>415.79166666666669</v>
      </c>
      <c r="T22" s="518">
        <f t="shared" si="9"/>
        <v>878.85</v>
      </c>
      <c r="U22" s="518">
        <f t="shared" si="10"/>
        <v>4172.1833333333334</v>
      </c>
      <c r="V22" s="518">
        <f t="shared" si="11"/>
        <v>6601.6416666666664</v>
      </c>
      <c r="W22" s="518">
        <f t="shared" si="13"/>
        <v>5314.0657499999998</v>
      </c>
      <c r="X22" s="518">
        <f t="shared" si="14"/>
        <v>4037.2521666666667</v>
      </c>
      <c r="Y22" s="518">
        <f t="shared" si="15"/>
        <v>2285.2750000000001</v>
      </c>
      <c r="Z22" s="518">
        <f t="shared" si="16"/>
        <v>1091.7583333333334</v>
      </c>
      <c r="AA22" s="518">
        <f t="shared" si="17"/>
        <v>1269.9591666666668</v>
      </c>
      <c r="AB22" s="518">
        <f t="shared" si="18"/>
        <v>606.67849999999999</v>
      </c>
      <c r="AC22" s="518">
        <f t="shared" si="19"/>
        <v>476.46666666666664</v>
      </c>
      <c r="AD22" s="518">
        <f t="shared" si="21"/>
        <v>1657.7180833333332</v>
      </c>
      <c r="AE22" s="518">
        <f t="shared" si="22"/>
        <v>3516.1947500000001</v>
      </c>
      <c r="AF22" s="518">
        <f t="shared" si="23"/>
        <v>1564.4</v>
      </c>
      <c r="AG22" s="518">
        <f t="shared" si="24"/>
        <v>2587.7750000000001</v>
      </c>
      <c r="AH22" s="518">
        <f t="shared" ref="AH22:AH85" si="25">$J$21/120</f>
        <v>2302.7285000000002</v>
      </c>
      <c r="AI22" s="518">
        <f>$J$22/120</f>
        <v>1957.7</v>
      </c>
      <c r="AJ22" s="518"/>
      <c r="AK22" s="518"/>
      <c r="AL22" s="518"/>
      <c r="AM22" s="518"/>
      <c r="AN22" s="518"/>
      <c r="AO22" s="518"/>
      <c r="AP22" s="518"/>
      <c r="AQ22" s="518"/>
      <c r="AR22" s="518"/>
      <c r="AS22" s="518"/>
      <c r="AT22" s="518"/>
      <c r="AU22" s="518"/>
      <c r="AV22" s="518"/>
      <c r="AW22" s="518"/>
      <c r="AX22" s="518"/>
      <c r="AY22" s="518"/>
      <c r="AZ22" s="518"/>
      <c r="BA22" s="518"/>
      <c r="BB22" s="518"/>
      <c r="BC22" s="518"/>
      <c r="BD22" s="518"/>
      <c r="BE22" s="518"/>
      <c r="BF22" s="518"/>
      <c r="BG22" s="518"/>
      <c r="BH22" s="518"/>
      <c r="BI22" s="518"/>
      <c r="BJ22" s="624"/>
      <c r="BK22" s="624"/>
      <c r="BL22" s="624"/>
      <c r="BM22" s="624"/>
      <c r="BN22" s="624"/>
      <c r="BO22" s="624"/>
      <c r="BP22" s="624"/>
      <c r="BQ22" s="518">
        <f t="shared" si="8"/>
        <v>40736.438583333329</v>
      </c>
    </row>
    <row r="23" spans="1:69" s="585" customFormat="1" ht="12.75" customHeight="1">
      <c r="A23" s="308" t="s">
        <v>54</v>
      </c>
      <c r="B23" s="308">
        <f t="shared" si="20"/>
        <v>2017</v>
      </c>
      <c r="C23" s="308" t="s">
        <v>47</v>
      </c>
      <c r="D23" s="518">
        <f>10500+6500</f>
        <v>17000</v>
      </c>
      <c r="E23" s="518">
        <f>7000+6500+6500</f>
        <v>20000</v>
      </c>
      <c r="F23" s="518">
        <v>82000</v>
      </c>
      <c r="G23" s="583"/>
      <c r="H23" s="518">
        <v>9055</v>
      </c>
      <c r="I23" s="518"/>
      <c r="J23" s="518">
        <f t="shared" si="2"/>
        <v>128055</v>
      </c>
      <c r="K23" s="518">
        <f t="shared" si="5"/>
        <v>5016427.6300000008</v>
      </c>
      <c r="L23" s="518"/>
      <c r="M23" s="518">
        <f>17150.95+3258.57+12221.49-79.77-81.35+108.34+108.34+108.34+108.34</f>
        <v>32903.25</v>
      </c>
      <c r="N23" s="518">
        <f t="shared" si="6"/>
        <v>418475.93</v>
      </c>
      <c r="O23" s="518"/>
      <c r="P23" s="518">
        <f t="shared" si="3"/>
        <v>4597951.7000000011</v>
      </c>
      <c r="R23" s="518">
        <f t="shared" si="4"/>
        <v>0</v>
      </c>
      <c r="S23" s="518">
        <f t="shared" si="7"/>
        <v>415.79166666666669</v>
      </c>
      <c r="T23" s="518">
        <f t="shared" si="9"/>
        <v>878.85</v>
      </c>
      <c r="U23" s="518">
        <f t="shared" si="10"/>
        <v>4172.1833333333334</v>
      </c>
      <c r="V23" s="518">
        <f t="shared" si="11"/>
        <v>6601.6416666666664</v>
      </c>
      <c r="W23" s="518">
        <f t="shared" si="13"/>
        <v>5314.0657499999998</v>
      </c>
      <c r="X23" s="518">
        <f t="shared" si="14"/>
        <v>4037.2521666666667</v>
      </c>
      <c r="Y23" s="518">
        <f t="shared" si="15"/>
        <v>2285.2750000000001</v>
      </c>
      <c r="Z23" s="518">
        <f t="shared" si="16"/>
        <v>1091.7583333333334</v>
      </c>
      <c r="AA23" s="518">
        <f t="shared" si="17"/>
        <v>1269.9591666666668</v>
      </c>
      <c r="AB23" s="518">
        <f t="shared" si="18"/>
        <v>606.67849999999999</v>
      </c>
      <c r="AC23" s="518">
        <f t="shared" si="19"/>
        <v>476.46666666666664</v>
      </c>
      <c r="AD23" s="518">
        <f t="shared" si="21"/>
        <v>1657.7180833333332</v>
      </c>
      <c r="AE23" s="518">
        <f t="shared" si="22"/>
        <v>3516.1947500000001</v>
      </c>
      <c r="AF23" s="518">
        <f t="shared" si="23"/>
        <v>1564.4</v>
      </c>
      <c r="AG23" s="518">
        <f t="shared" si="24"/>
        <v>2587.7750000000001</v>
      </c>
      <c r="AH23" s="518">
        <f t="shared" si="25"/>
        <v>2302.7285000000002</v>
      </c>
      <c r="AI23" s="518">
        <f t="shared" ref="AI23:AI86" si="26">$J$22/120</f>
        <v>1957.7</v>
      </c>
      <c r="AJ23" s="518">
        <f>$J$23/120</f>
        <v>1067.125</v>
      </c>
      <c r="AK23" s="518"/>
      <c r="AL23" s="518"/>
      <c r="AM23" s="518"/>
      <c r="AN23" s="518"/>
      <c r="AO23" s="518"/>
      <c r="AP23" s="518"/>
      <c r="AQ23" s="518"/>
      <c r="AR23" s="518"/>
      <c r="AS23" s="518"/>
      <c r="AT23" s="518"/>
      <c r="AU23" s="518"/>
      <c r="AV23" s="518"/>
      <c r="AW23" s="518"/>
      <c r="AX23" s="518"/>
      <c r="AY23" s="518"/>
      <c r="AZ23" s="518"/>
      <c r="BA23" s="518"/>
      <c r="BB23" s="518"/>
      <c r="BC23" s="518"/>
      <c r="BD23" s="518"/>
      <c r="BE23" s="518"/>
      <c r="BF23" s="518"/>
      <c r="BG23" s="518"/>
      <c r="BH23" s="518"/>
      <c r="BI23" s="518"/>
      <c r="BJ23" s="624"/>
      <c r="BK23" s="624"/>
      <c r="BL23" s="624"/>
      <c r="BM23" s="624"/>
      <c r="BN23" s="624"/>
      <c r="BO23" s="624"/>
      <c r="BP23" s="624"/>
      <c r="BQ23" s="518">
        <f t="shared" si="8"/>
        <v>41803.563583333329</v>
      </c>
    </row>
    <row r="24" spans="1:69" s="585" customFormat="1" ht="12.75" customHeight="1">
      <c r="A24" s="308" t="s">
        <v>55</v>
      </c>
      <c r="B24" s="308">
        <f t="shared" si="20"/>
        <v>2017</v>
      </c>
      <c r="C24" s="308" t="s">
        <v>47</v>
      </c>
      <c r="D24" s="518">
        <f>6500+6500</f>
        <v>13000</v>
      </c>
      <c r="E24" s="518">
        <f>3500+6000+6500</f>
        <v>16000</v>
      </c>
      <c r="F24" s="518">
        <v>187729</v>
      </c>
      <c r="G24" s="583"/>
      <c r="H24" s="518">
        <v>0</v>
      </c>
      <c r="I24" s="518"/>
      <c r="J24" s="518">
        <f t="shared" si="2"/>
        <v>216729</v>
      </c>
      <c r="K24" s="518">
        <f t="shared" si="5"/>
        <v>5233156.6300000008</v>
      </c>
      <c r="L24" s="518"/>
      <c r="M24" s="518">
        <f>22788+6284.06+12950.54-79.77-81.35+108.34+108.34+108.34+108.34</f>
        <v>42294.84</v>
      </c>
      <c r="N24" s="518">
        <f t="shared" si="6"/>
        <v>460770.77</v>
      </c>
      <c r="O24" s="518"/>
      <c r="P24" s="518">
        <f t="shared" si="3"/>
        <v>4772385.8600000013</v>
      </c>
      <c r="R24" s="518">
        <f t="shared" si="4"/>
        <v>0</v>
      </c>
      <c r="S24" s="518">
        <f t="shared" si="7"/>
        <v>415.79166666666669</v>
      </c>
      <c r="T24" s="518">
        <f t="shared" si="9"/>
        <v>878.85</v>
      </c>
      <c r="U24" s="518">
        <f t="shared" si="10"/>
        <v>4172.1833333333334</v>
      </c>
      <c r="V24" s="518">
        <f t="shared" si="11"/>
        <v>6601.6416666666664</v>
      </c>
      <c r="W24" s="518">
        <f t="shared" si="13"/>
        <v>5314.0657499999998</v>
      </c>
      <c r="X24" s="518">
        <f t="shared" si="14"/>
        <v>4037.2521666666667</v>
      </c>
      <c r="Y24" s="518">
        <f t="shared" si="15"/>
        <v>2285.2750000000001</v>
      </c>
      <c r="Z24" s="518">
        <f t="shared" si="16"/>
        <v>1091.7583333333334</v>
      </c>
      <c r="AA24" s="518">
        <f t="shared" si="17"/>
        <v>1269.9591666666668</v>
      </c>
      <c r="AB24" s="518">
        <f t="shared" si="18"/>
        <v>606.67849999999999</v>
      </c>
      <c r="AC24" s="518">
        <f t="shared" si="19"/>
        <v>476.46666666666664</v>
      </c>
      <c r="AD24" s="518">
        <f t="shared" si="21"/>
        <v>1657.7180833333332</v>
      </c>
      <c r="AE24" s="518">
        <f t="shared" si="22"/>
        <v>3516.1947500000001</v>
      </c>
      <c r="AF24" s="518">
        <f t="shared" si="23"/>
        <v>1564.4</v>
      </c>
      <c r="AG24" s="518">
        <f t="shared" si="24"/>
        <v>2587.7750000000001</v>
      </c>
      <c r="AH24" s="518">
        <f t="shared" si="25"/>
        <v>2302.7285000000002</v>
      </c>
      <c r="AI24" s="518">
        <f t="shared" si="26"/>
        <v>1957.7</v>
      </c>
      <c r="AJ24" s="518">
        <f t="shared" ref="AJ24:AJ87" si="27">$J$23/120</f>
        <v>1067.125</v>
      </c>
      <c r="AK24" s="518">
        <f>$J$24/120</f>
        <v>1806.075</v>
      </c>
      <c r="AL24" s="518"/>
      <c r="AM24" s="518"/>
      <c r="AN24" s="518"/>
      <c r="AO24" s="518"/>
      <c r="AP24" s="518"/>
      <c r="AQ24" s="518"/>
      <c r="AR24" s="518"/>
      <c r="AS24" s="518"/>
      <c r="AT24" s="518"/>
      <c r="AU24" s="518"/>
      <c r="AV24" s="518"/>
      <c r="AW24" s="518"/>
      <c r="AX24" s="518"/>
      <c r="AY24" s="518"/>
      <c r="AZ24" s="518"/>
      <c r="BA24" s="518"/>
      <c r="BB24" s="518"/>
      <c r="BC24" s="518"/>
      <c r="BD24" s="518"/>
      <c r="BE24" s="518"/>
      <c r="BF24" s="518"/>
      <c r="BG24" s="518"/>
      <c r="BH24" s="518"/>
      <c r="BI24" s="518"/>
      <c r="BJ24" s="624"/>
      <c r="BK24" s="624"/>
      <c r="BL24" s="624"/>
      <c r="BM24" s="624"/>
      <c r="BN24" s="624"/>
      <c r="BO24" s="624"/>
      <c r="BP24" s="624"/>
      <c r="BQ24" s="518">
        <f t="shared" si="8"/>
        <v>43609.638583333326</v>
      </c>
    </row>
    <row r="25" spans="1:69" s="585" customFormat="1" ht="12.75" customHeight="1">
      <c r="A25" s="308" t="s">
        <v>56</v>
      </c>
      <c r="B25" s="308">
        <f t="shared" si="20"/>
        <v>2017</v>
      </c>
      <c r="C25" s="308" t="s">
        <v>47</v>
      </c>
      <c r="D25" s="518">
        <v>9391.65</v>
      </c>
      <c r="E25" s="518">
        <v>0</v>
      </c>
      <c r="F25" s="518">
        <v>197393</v>
      </c>
      <c r="G25" s="518"/>
      <c r="H25" s="518">
        <v>0</v>
      </c>
      <c r="I25" s="518"/>
      <c r="J25" s="518">
        <f t="shared" si="2"/>
        <v>206784.65</v>
      </c>
      <c r="K25" s="518">
        <f t="shared" si="5"/>
        <v>5439941.2800000012</v>
      </c>
      <c r="L25" s="518"/>
      <c r="M25" s="518">
        <f>17865.27+3235.3+15811.11-79.77-81.35+108.34+100+108.34+108.34</f>
        <v>37175.579999999994</v>
      </c>
      <c r="N25" s="518">
        <f t="shared" si="6"/>
        <v>497946.35000000003</v>
      </c>
      <c r="O25" s="518"/>
      <c r="P25" s="518">
        <f t="shared" si="3"/>
        <v>4941994.9300000016</v>
      </c>
      <c r="R25" s="518">
        <f t="shared" si="4"/>
        <v>0</v>
      </c>
      <c r="S25" s="518">
        <f t="shared" si="7"/>
        <v>415.79166666666669</v>
      </c>
      <c r="T25" s="518">
        <f t="shared" si="9"/>
        <v>878.85</v>
      </c>
      <c r="U25" s="518">
        <f t="shared" si="10"/>
        <v>4172.1833333333334</v>
      </c>
      <c r="V25" s="518">
        <f t="shared" si="11"/>
        <v>6601.6416666666664</v>
      </c>
      <c r="W25" s="518">
        <f t="shared" si="13"/>
        <v>5314.0657499999998</v>
      </c>
      <c r="X25" s="518">
        <f t="shared" si="14"/>
        <v>4037.2521666666667</v>
      </c>
      <c r="Y25" s="518">
        <f t="shared" si="15"/>
        <v>2285.2750000000001</v>
      </c>
      <c r="Z25" s="518">
        <f t="shared" si="16"/>
        <v>1091.7583333333334</v>
      </c>
      <c r="AA25" s="518">
        <f t="shared" si="17"/>
        <v>1269.9591666666668</v>
      </c>
      <c r="AB25" s="518">
        <f t="shared" si="18"/>
        <v>606.67849999999999</v>
      </c>
      <c r="AC25" s="518">
        <f t="shared" si="19"/>
        <v>476.46666666666664</v>
      </c>
      <c r="AD25" s="518">
        <f t="shared" si="21"/>
        <v>1657.7180833333332</v>
      </c>
      <c r="AE25" s="518">
        <f t="shared" si="22"/>
        <v>3516.1947500000001</v>
      </c>
      <c r="AF25" s="518">
        <f t="shared" si="23"/>
        <v>1564.4</v>
      </c>
      <c r="AG25" s="518">
        <f t="shared" si="24"/>
        <v>2587.7750000000001</v>
      </c>
      <c r="AH25" s="518">
        <f t="shared" si="25"/>
        <v>2302.7285000000002</v>
      </c>
      <c r="AI25" s="518">
        <f t="shared" si="26"/>
        <v>1957.7</v>
      </c>
      <c r="AJ25" s="518">
        <f t="shared" si="27"/>
        <v>1067.125</v>
      </c>
      <c r="AK25" s="518">
        <f t="shared" ref="AK25:AK88" si="28">$J$24/120</f>
        <v>1806.075</v>
      </c>
      <c r="AL25" s="518">
        <f>$J$25/120</f>
        <v>1723.2054166666667</v>
      </c>
      <c r="AM25" s="518"/>
      <c r="AN25" s="518"/>
      <c r="AO25" s="518"/>
      <c r="AP25" s="518"/>
      <c r="AQ25" s="518"/>
      <c r="AR25" s="518"/>
      <c r="AS25" s="518"/>
      <c r="AT25" s="518"/>
      <c r="AU25" s="518"/>
      <c r="AV25" s="518"/>
      <c r="AW25" s="518"/>
      <c r="AX25" s="518"/>
      <c r="AY25" s="518"/>
      <c r="AZ25" s="518"/>
      <c r="BA25" s="518"/>
      <c r="BB25" s="518"/>
      <c r="BC25" s="518"/>
      <c r="BD25" s="518"/>
      <c r="BE25" s="518"/>
      <c r="BF25" s="518"/>
      <c r="BG25" s="518"/>
      <c r="BH25" s="518"/>
      <c r="BI25" s="518"/>
      <c r="BJ25" s="624"/>
      <c r="BK25" s="624"/>
      <c r="BL25" s="624"/>
      <c r="BM25" s="624"/>
      <c r="BN25" s="624"/>
      <c r="BO25" s="624"/>
      <c r="BP25" s="624"/>
      <c r="BQ25" s="518">
        <f t="shared" si="8"/>
        <v>45332.84399999999</v>
      </c>
    </row>
    <row r="26" spans="1:69" s="585" customFormat="1" ht="12.75" customHeight="1">
      <c r="A26" s="308" t="s">
        <v>57</v>
      </c>
      <c r="B26" s="308">
        <f t="shared" si="20"/>
        <v>2017</v>
      </c>
      <c r="C26" s="308" t="s">
        <v>47</v>
      </c>
      <c r="D26" s="518">
        <v>3500</v>
      </c>
      <c r="E26" s="518">
        <f>3500+6500</f>
        <v>10000</v>
      </c>
      <c r="F26" s="518">
        <v>188900</v>
      </c>
      <c r="G26" s="518"/>
      <c r="H26" s="518">
        <v>158845</v>
      </c>
      <c r="I26" s="518"/>
      <c r="J26" s="518">
        <f t="shared" si="2"/>
        <v>361245</v>
      </c>
      <c r="K26" s="518">
        <f t="shared" si="5"/>
        <v>5801186.2800000012</v>
      </c>
      <c r="L26" s="518"/>
      <c r="M26" s="518">
        <f>30913.21+4558+25706.08-79.77-81.35+100+108.34</f>
        <v>61224.51</v>
      </c>
      <c r="N26" s="518">
        <f t="shared" si="6"/>
        <v>559170.86</v>
      </c>
      <c r="O26" s="518"/>
      <c r="P26" s="518">
        <f t="shared" si="3"/>
        <v>5242015.4200000009</v>
      </c>
      <c r="R26" s="518">
        <f t="shared" si="4"/>
        <v>0</v>
      </c>
      <c r="S26" s="518">
        <f t="shared" si="7"/>
        <v>415.79166666666669</v>
      </c>
      <c r="T26" s="518">
        <f t="shared" si="9"/>
        <v>878.85</v>
      </c>
      <c r="U26" s="518">
        <f t="shared" si="10"/>
        <v>4172.1833333333334</v>
      </c>
      <c r="V26" s="518">
        <f t="shared" si="11"/>
        <v>6601.6416666666664</v>
      </c>
      <c r="W26" s="518">
        <f t="shared" si="13"/>
        <v>5314.0657499999998</v>
      </c>
      <c r="X26" s="518">
        <f t="shared" si="14"/>
        <v>4037.2521666666667</v>
      </c>
      <c r="Y26" s="518">
        <f t="shared" si="15"/>
        <v>2285.2750000000001</v>
      </c>
      <c r="Z26" s="518">
        <f t="shared" si="16"/>
        <v>1091.7583333333334</v>
      </c>
      <c r="AA26" s="518">
        <f t="shared" si="17"/>
        <v>1269.9591666666668</v>
      </c>
      <c r="AB26" s="518">
        <f t="shared" si="18"/>
        <v>606.67849999999999</v>
      </c>
      <c r="AC26" s="518">
        <f t="shared" si="19"/>
        <v>476.46666666666664</v>
      </c>
      <c r="AD26" s="518">
        <f t="shared" si="21"/>
        <v>1657.7180833333332</v>
      </c>
      <c r="AE26" s="518">
        <f t="shared" si="22"/>
        <v>3516.1947500000001</v>
      </c>
      <c r="AF26" s="518">
        <f t="shared" si="23"/>
        <v>1564.4</v>
      </c>
      <c r="AG26" s="518">
        <f t="shared" si="24"/>
        <v>2587.7750000000001</v>
      </c>
      <c r="AH26" s="518">
        <f t="shared" si="25"/>
        <v>2302.7285000000002</v>
      </c>
      <c r="AI26" s="518">
        <f t="shared" si="26"/>
        <v>1957.7</v>
      </c>
      <c r="AJ26" s="518">
        <f t="shared" si="27"/>
        <v>1067.125</v>
      </c>
      <c r="AK26" s="518">
        <f t="shared" si="28"/>
        <v>1806.075</v>
      </c>
      <c r="AL26" s="518">
        <f t="shared" ref="AL26:AL89" si="29">$J$25/120</f>
        <v>1723.2054166666667</v>
      </c>
      <c r="AM26" s="518">
        <f>$J$26/120</f>
        <v>3010.375</v>
      </c>
      <c r="AN26" s="518"/>
      <c r="AO26" s="518"/>
      <c r="AP26" s="518"/>
      <c r="AQ26" s="518"/>
      <c r="AR26" s="518"/>
      <c r="AS26" s="518"/>
      <c r="AT26" s="518"/>
      <c r="AU26" s="518"/>
      <c r="AV26" s="518"/>
      <c r="AW26" s="518"/>
      <c r="AX26" s="518"/>
      <c r="AY26" s="518"/>
      <c r="AZ26" s="518"/>
      <c r="BA26" s="518"/>
      <c r="BB26" s="518"/>
      <c r="BC26" s="518"/>
      <c r="BD26" s="518"/>
      <c r="BE26" s="518"/>
      <c r="BF26" s="518"/>
      <c r="BG26" s="518"/>
      <c r="BH26" s="518"/>
      <c r="BI26" s="518"/>
      <c r="BJ26" s="624"/>
      <c r="BK26" s="624"/>
      <c r="BL26" s="624"/>
      <c r="BM26" s="624"/>
      <c r="BN26" s="624"/>
      <c r="BO26" s="624"/>
      <c r="BP26" s="624"/>
      <c r="BQ26" s="518">
        <f t="shared" si="8"/>
        <v>48343.21899999999</v>
      </c>
    </row>
    <row r="27" spans="1:69" s="585" customFormat="1" ht="12.75" customHeight="1">
      <c r="A27" s="308" t="s">
        <v>58</v>
      </c>
      <c r="B27" s="308">
        <f t="shared" si="20"/>
        <v>2017</v>
      </c>
      <c r="C27" s="308" t="s">
        <v>47</v>
      </c>
      <c r="D27" s="518">
        <f>6500+6500</f>
        <v>13000</v>
      </c>
      <c r="E27" s="518">
        <v>3500</v>
      </c>
      <c r="F27" s="518">
        <v>94000</v>
      </c>
      <c r="G27" s="518"/>
      <c r="H27" s="518">
        <v>0</v>
      </c>
      <c r="I27" s="518"/>
      <c r="J27" s="518">
        <f t="shared" si="2"/>
        <v>110500</v>
      </c>
      <c r="K27" s="518">
        <f t="shared" si="5"/>
        <v>5911686.2800000012</v>
      </c>
      <c r="L27" s="518"/>
      <c r="M27" s="518">
        <f>52237.92-79.77-81.35+100+108.34+108.34</f>
        <v>52393.479999999996</v>
      </c>
      <c r="N27" s="518">
        <f t="shared" si="6"/>
        <v>611564.34</v>
      </c>
      <c r="O27" s="518"/>
      <c r="P27" s="518">
        <f t="shared" si="3"/>
        <v>5300121.9400000013</v>
      </c>
      <c r="R27" s="518">
        <f t="shared" si="4"/>
        <v>0</v>
      </c>
      <c r="S27" s="518">
        <f t="shared" si="7"/>
        <v>415.79166666666669</v>
      </c>
      <c r="T27" s="518">
        <f t="shared" si="9"/>
        <v>878.85</v>
      </c>
      <c r="U27" s="518">
        <f t="shared" si="10"/>
        <v>4172.1833333333334</v>
      </c>
      <c r="V27" s="518">
        <f t="shared" si="11"/>
        <v>6601.6416666666664</v>
      </c>
      <c r="W27" s="518">
        <f t="shared" si="13"/>
        <v>5314.0657499999998</v>
      </c>
      <c r="X27" s="518">
        <f t="shared" si="14"/>
        <v>4037.2521666666667</v>
      </c>
      <c r="Y27" s="518">
        <f t="shared" si="15"/>
        <v>2285.2750000000001</v>
      </c>
      <c r="Z27" s="518">
        <f t="shared" si="16"/>
        <v>1091.7583333333334</v>
      </c>
      <c r="AA27" s="518">
        <f t="shared" si="17"/>
        <v>1269.9591666666668</v>
      </c>
      <c r="AB27" s="518">
        <f t="shared" si="18"/>
        <v>606.67849999999999</v>
      </c>
      <c r="AC27" s="518">
        <f t="shared" si="19"/>
        <v>476.46666666666664</v>
      </c>
      <c r="AD27" s="518">
        <f t="shared" si="21"/>
        <v>1657.7180833333332</v>
      </c>
      <c r="AE27" s="518">
        <f t="shared" si="22"/>
        <v>3516.1947500000001</v>
      </c>
      <c r="AF27" s="518">
        <f t="shared" si="23"/>
        <v>1564.4</v>
      </c>
      <c r="AG27" s="518">
        <f t="shared" si="24"/>
        <v>2587.7750000000001</v>
      </c>
      <c r="AH27" s="518">
        <f t="shared" si="25"/>
        <v>2302.7285000000002</v>
      </c>
      <c r="AI27" s="518">
        <f t="shared" si="26"/>
        <v>1957.7</v>
      </c>
      <c r="AJ27" s="518">
        <f t="shared" si="27"/>
        <v>1067.125</v>
      </c>
      <c r="AK27" s="518">
        <f t="shared" si="28"/>
        <v>1806.075</v>
      </c>
      <c r="AL27" s="518">
        <f t="shared" si="29"/>
        <v>1723.2054166666667</v>
      </c>
      <c r="AM27" s="518">
        <f t="shared" ref="AM27:AM90" si="30">$J$26/120</f>
        <v>3010.375</v>
      </c>
      <c r="AN27" s="518">
        <f>$J$27/120</f>
        <v>920.83333333333337</v>
      </c>
      <c r="AO27" s="518"/>
      <c r="AP27" s="518"/>
      <c r="AQ27" s="518"/>
      <c r="AR27" s="518"/>
      <c r="AS27" s="518"/>
      <c r="AT27" s="518"/>
      <c r="AU27" s="518"/>
      <c r="AV27" s="518"/>
      <c r="AW27" s="518"/>
      <c r="AX27" s="518"/>
      <c r="AY27" s="518"/>
      <c r="AZ27" s="518"/>
      <c r="BA27" s="518"/>
      <c r="BB27" s="518"/>
      <c r="BC27" s="518"/>
      <c r="BD27" s="518"/>
      <c r="BE27" s="518"/>
      <c r="BF27" s="518"/>
      <c r="BG27" s="518"/>
      <c r="BH27" s="518"/>
      <c r="BI27" s="518"/>
      <c r="BJ27" s="624"/>
      <c r="BK27" s="624"/>
      <c r="BL27" s="624"/>
      <c r="BM27" s="624"/>
      <c r="BN27" s="624"/>
      <c r="BO27" s="624"/>
      <c r="BP27" s="624"/>
      <c r="BQ27" s="518">
        <f t="shared" si="8"/>
        <v>49264.052333333326</v>
      </c>
    </row>
    <row r="28" spans="1:69" s="585" customFormat="1" ht="12.75" customHeight="1">
      <c r="A28" s="308" t="s">
        <v>59</v>
      </c>
      <c r="B28" s="308">
        <f t="shared" si="20"/>
        <v>2017</v>
      </c>
      <c r="C28" s="308" t="s">
        <v>47</v>
      </c>
      <c r="D28" s="518">
        <f>3500+6500</f>
        <v>10000</v>
      </c>
      <c r="E28" s="518">
        <v>0</v>
      </c>
      <c r="F28" s="518">
        <v>160825</v>
      </c>
      <c r="G28" s="518"/>
      <c r="H28" s="518">
        <v>0</v>
      </c>
      <c r="I28" s="518"/>
      <c r="J28" s="518">
        <f t="shared" si="2"/>
        <v>170825</v>
      </c>
      <c r="K28" s="518">
        <f t="shared" si="5"/>
        <v>6082511.2800000012</v>
      </c>
      <c r="L28" s="518"/>
      <c r="M28" s="518">
        <f>57469.78-79.77-81.35+100+108.34+108.34</f>
        <v>57625.34</v>
      </c>
      <c r="N28" s="518">
        <f t="shared" si="6"/>
        <v>669189.67999999993</v>
      </c>
      <c r="O28" s="518"/>
      <c r="P28" s="518">
        <f t="shared" si="3"/>
        <v>5413321.6000000015</v>
      </c>
      <c r="R28" s="518">
        <f t="shared" si="4"/>
        <v>0</v>
      </c>
      <c r="S28" s="518">
        <f t="shared" si="7"/>
        <v>415.79166666666669</v>
      </c>
      <c r="T28" s="518">
        <f t="shared" si="9"/>
        <v>878.85</v>
      </c>
      <c r="U28" s="518">
        <f t="shared" si="10"/>
        <v>4172.1833333333334</v>
      </c>
      <c r="V28" s="518">
        <f t="shared" si="11"/>
        <v>6601.6416666666664</v>
      </c>
      <c r="W28" s="518">
        <f t="shared" si="13"/>
        <v>5314.0657499999998</v>
      </c>
      <c r="X28" s="518">
        <f t="shared" si="14"/>
        <v>4037.2521666666667</v>
      </c>
      <c r="Y28" s="518">
        <f t="shared" si="15"/>
        <v>2285.2750000000001</v>
      </c>
      <c r="Z28" s="518">
        <f t="shared" si="16"/>
        <v>1091.7583333333334</v>
      </c>
      <c r="AA28" s="518">
        <f t="shared" si="17"/>
        <v>1269.9591666666668</v>
      </c>
      <c r="AB28" s="518">
        <f t="shared" si="18"/>
        <v>606.67849999999999</v>
      </c>
      <c r="AC28" s="518">
        <f t="shared" si="19"/>
        <v>476.46666666666664</v>
      </c>
      <c r="AD28" s="518">
        <f t="shared" si="21"/>
        <v>1657.7180833333332</v>
      </c>
      <c r="AE28" s="518">
        <f t="shared" si="22"/>
        <v>3516.1947500000001</v>
      </c>
      <c r="AF28" s="518">
        <f t="shared" si="23"/>
        <v>1564.4</v>
      </c>
      <c r="AG28" s="518">
        <f t="shared" si="24"/>
        <v>2587.7750000000001</v>
      </c>
      <c r="AH28" s="518">
        <f t="shared" si="25"/>
        <v>2302.7285000000002</v>
      </c>
      <c r="AI28" s="518">
        <f t="shared" si="26"/>
        <v>1957.7</v>
      </c>
      <c r="AJ28" s="518">
        <f t="shared" si="27"/>
        <v>1067.125</v>
      </c>
      <c r="AK28" s="518">
        <f t="shared" si="28"/>
        <v>1806.075</v>
      </c>
      <c r="AL28" s="518">
        <f t="shared" si="29"/>
        <v>1723.2054166666667</v>
      </c>
      <c r="AM28" s="518">
        <f t="shared" si="30"/>
        <v>3010.375</v>
      </c>
      <c r="AN28" s="518">
        <f t="shared" ref="AN28:AN91" si="31">$J$27/120</f>
        <v>920.83333333333337</v>
      </c>
      <c r="AO28" s="518">
        <f>$J$28/120</f>
        <v>1423.5416666666667</v>
      </c>
      <c r="AP28" s="518"/>
      <c r="AQ28" s="518"/>
      <c r="AR28" s="518"/>
      <c r="AS28" s="518"/>
      <c r="AT28" s="518"/>
      <c r="AU28" s="518"/>
      <c r="AV28" s="518"/>
      <c r="AW28" s="518"/>
      <c r="AX28" s="518"/>
      <c r="AY28" s="518"/>
      <c r="AZ28" s="518"/>
      <c r="BA28" s="518"/>
      <c r="BB28" s="518"/>
      <c r="BC28" s="518"/>
      <c r="BD28" s="518"/>
      <c r="BE28" s="518"/>
      <c r="BF28" s="518"/>
      <c r="BG28" s="518"/>
      <c r="BH28" s="518"/>
      <c r="BI28" s="518"/>
      <c r="BJ28" s="624"/>
      <c r="BK28" s="624"/>
      <c r="BL28" s="624"/>
      <c r="BM28" s="624"/>
      <c r="BN28" s="624"/>
      <c r="BO28" s="624"/>
      <c r="BP28" s="624"/>
      <c r="BQ28" s="518">
        <f t="shared" si="8"/>
        <v>50687.59399999999</v>
      </c>
    </row>
    <row r="29" spans="1:69" s="585" customFormat="1" ht="12.75" customHeight="1">
      <c r="A29" s="308" t="s">
        <v>46</v>
      </c>
      <c r="B29" s="308">
        <f t="shared" si="20"/>
        <v>2017</v>
      </c>
      <c r="C29" s="308" t="s">
        <v>47</v>
      </c>
      <c r="D29" s="518">
        <v>2515.5700000000002</v>
      </c>
      <c r="E29" s="518">
        <v>3500</v>
      </c>
      <c r="F29" s="518">
        <v>168290.2</v>
      </c>
      <c r="G29" s="518"/>
      <c r="H29" s="518">
        <v>0</v>
      </c>
      <c r="I29" s="518"/>
      <c r="J29" s="518">
        <f t="shared" si="2"/>
        <v>174305.77000000002</v>
      </c>
      <c r="K29" s="518">
        <f t="shared" si="5"/>
        <v>6256817.0500000007</v>
      </c>
      <c r="L29" s="518"/>
      <c r="M29" s="518">
        <f>75965.71-79.77-81.35+100+108.34+108.34</f>
        <v>76121.26999999999</v>
      </c>
      <c r="N29" s="518">
        <f t="shared" si="6"/>
        <v>745310.95</v>
      </c>
      <c r="O29" s="518"/>
      <c r="P29" s="518">
        <f t="shared" si="3"/>
        <v>5511506.1000000006</v>
      </c>
      <c r="R29" s="518">
        <f t="shared" si="4"/>
        <v>0</v>
      </c>
      <c r="S29" s="518">
        <f t="shared" si="7"/>
        <v>415.79166666666669</v>
      </c>
      <c r="T29" s="518">
        <f t="shared" si="9"/>
        <v>878.85</v>
      </c>
      <c r="U29" s="518">
        <f t="shared" si="10"/>
        <v>4172.1833333333334</v>
      </c>
      <c r="V29" s="518">
        <f t="shared" si="11"/>
        <v>6601.6416666666664</v>
      </c>
      <c r="W29" s="518">
        <f t="shared" si="13"/>
        <v>5314.0657499999998</v>
      </c>
      <c r="X29" s="518">
        <f t="shared" si="14"/>
        <v>4037.2521666666667</v>
      </c>
      <c r="Y29" s="518">
        <f t="shared" si="15"/>
        <v>2285.2750000000001</v>
      </c>
      <c r="Z29" s="518">
        <f t="shared" si="16"/>
        <v>1091.7583333333334</v>
      </c>
      <c r="AA29" s="518">
        <f t="shared" si="17"/>
        <v>1269.9591666666668</v>
      </c>
      <c r="AB29" s="518">
        <f t="shared" si="18"/>
        <v>606.67849999999999</v>
      </c>
      <c r="AC29" s="518">
        <f t="shared" si="19"/>
        <v>476.46666666666664</v>
      </c>
      <c r="AD29" s="518">
        <f t="shared" si="21"/>
        <v>1657.7180833333332</v>
      </c>
      <c r="AE29" s="518">
        <f t="shared" si="22"/>
        <v>3516.1947500000001</v>
      </c>
      <c r="AF29" s="518">
        <f t="shared" si="23"/>
        <v>1564.4</v>
      </c>
      <c r="AG29" s="518">
        <f t="shared" si="24"/>
        <v>2587.7750000000001</v>
      </c>
      <c r="AH29" s="518">
        <f t="shared" si="25"/>
        <v>2302.7285000000002</v>
      </c>
      <c r="AI29" s="518">
        <f t="shared" si="26"/>
        <v>1957.7</v>
      </c>
      <c r="AJ29" s="518">
        <f t="shared" si="27"/>
        <v>1067.125</v>
      </c>
      <c r="AK29" s="518">
        <f t="shared" si="28"/>
        <v>1806.075</v>
      </c>
      <c r="AL29" s="518">
        <f t="shared" si="29"/>
        <v>1723.2054166666667</v>
      </c>
      <c r="AM29" s="518">
        <f t="shared" si="30"/>
        <v>3010.375</v>
      </c>
      <c r="AN29" s="518">
        <f t="shared" si="31"/>
        <v>920.83333333333337</v>
      </c>
      <c r="AO29" s="518">
        <f t="shared" ref="AO29:AO92" si="32">$J$28/120</f>
        <v>1423.5416666666667</v>
      </c>
      <c r="AP29" s="518">
        <f>$J$29/120</f>
        <v>1452.5480833333336</v>
      </c>
      <c r="AQ29" s="518"/>
      <c r="AR29" s="518"/>
      <c r="AS29" s="518"/>
      <c r="AT29" s="518"/>
      <c r="AU29" s="518"/>
      <c r="AV29" s="518"/>
      <c r="AW29" s="518"/>
      <c r="AX29" s="518"/>
      <c r="AY29" s="518"/>
      <c r="AZ29" s="518"/>
      <c r="BA29" s="518"/>
      <c r="BB29" s="518"/>
      <c r="BC29" s="518"/>
      <c r="BD29" s="518"/>
      <c r="BE29" s="518"/>
      <c r="BF29" s="518"/>
      <c r="BG29" s="518"/>
      <c r="BH29" s="518"/>
      <c r="BI29" s="518"/>
      <c r="BJ29" s="624"/>
      <c r="BK29" s="624"/>
      <c r="BL29" s="624"/>
      <c r="BM29" s="624"/>
      <c r="BN29" s="624"/>
      <c r="BO29" s="624"/>
      <c r="BP29" s="624"/>
      <c r="BQ29" s="518">
        <f t="shared" si="8"/>
        <v>52140.142083333325</v>
      </c>
    </row>
    <row r="30" spans="1:69" s="585" customFormat="1" ht="12.75" customHeight="1">
      <c r="A30" s="308" t="s">
        <v>48</v>
      </c>
      <c r="B30" s="308">
        <f t="shared" si="20"/>
        <v>2017</v>
      </c>
      <c r="C30" s="308" t="s">
        <v>47</v>
      </c>
      <c r="D30" s="518">
        <v>2590</v>
      </c>
      <c r="E30" s="518">
        <v>0</v>
      </c>
      <c r="F30" s="518">
        <v>81946</v>
      </c>
      <c r="G30" s="518"/>
      <c r="H30" s="518">
        <v>9438</v>
      </c>
      <c r="I30" s="518"/>
      <c r="J30" s="518">
        <f t="shared" si="2"/>
        <v>93974</v>
      </c>
      <c r="K30" s="518">
        <f t="shared" si="5"/>
        <v>6350791.0500000007</v>
      </c>
      <c r="L30" s="518"/>
      <c r="M30" s="518">
        <f>26022.79+4045.25+18025.6-79.77-81.35+108.34</f>
        <v>48040.86</v>
      </c>
      <c r="N30" s="518">
        <f t="shared" si="6"/>
        <v>793351.80999999994</v>
      </c>
      <c r="O30" s="518"/>
      <c r="P30" s="518">
        <f t="shared" si="3"/>
        <v>5557439.2400000012</v>
      </c>
      <c r="R30" s="518">
        <f t="shared" si="4"/>
        <v>0</v>
      </c>
      <c r="S30" s="518">
        <f t="shared" si="7"/>
        <v>415.79166666666669</v>
      </c>
      <c r="T30" s="518">
        <f t="shared" si="9"/>
        <v>878.85</v>
      </c>
      <c r="U30" s="518">
        <f t="shared" si="10"/>
        <v>4172.1833333333334</v>
      </c>
      <c r="V30" s="518">
        <f t="shared" si="11"/>
        <v>6601.6416666666664</v>
      </c>
      <c r="W30" s="518">
        <f t="shared" si="13"/>
        <v>5314.0657499999998</v>
      </c>
      <c r="X30" s="518">
        <f t="shared" si="14"/>
        <v>4037.2521666666667</v>
      </c>
      <c r="Y30" s="518">
        <f t="shared" si="15"/>
        <v>2285.2750000000001</v>
      </c>
      <c r="Z30" s="518">
        <f t="shared" si="16"/>
        <v>1091.7583333333334</v>
      </c>
      <c r="AA30" s="518">
        <f t="shared" si="17"/>
        <v>1269.9591666666668</v>
      </c>
      <c r="AB30" s="518">
        <f t="shared" si="18"/>
        <v>606.67849999999999</v>
      </c>
      <c r="AC30" s="518">
        <f t="shared" si="19"/>
        <v>476.46666666666664</v>
      </c>
      <c r="AD30" s="518">
        <f t="shared" si="21"/>
        <v>1657.7180833333332</v>
      </c>
      <c r="AE30" s="518">
        <f t="shared" si="22"/>
        <v>3516.1947500000001</v>
      </c>
      <c r="AF30" s="518">
        <f t="shared" si="23"/>
        <v>1564.4</v>
      </c>
      <c r="AG30" s="518">
        <f t="shared" si="24"/>
        <v>2587.7750000000001</v>
      </c>
      <c r="AH30" s="518">
        <f t="shared" si="25"/>
        <v>2302.7285000000002</v>
      </c>
      <c r="AI30" s="518">
        <f t="shared" si="26"/>
        <v>1957.7</v>
      </c>
      <c r="AJ30" s="518">
        <f t="shared" si="27"/>
        <v>1067.125</v>
      </c>
      <c r="AK30" s="518">
        <f t="shared" si="28"/>
        <v>1806.075</v>
      </c>
      <c r="AL30" s="518">
        <f t="shared" si="29"/>
        <v>1723.2054166666667</v>
      </c>
      <c r="AM30" s="518">
        <f t="shared" si="30"/>
        <v>3010.375</v>
      </c>
      <c r="AN30" s="518">
        <f t="shared" si="31"/>
        <v>920.83333333333337</v>
      </c>
      <c r="AO30" s="518">
        <f t="shared" si="32"/>
        <v>1423.5416666666667</v>
      </c>
      <c r="AP30" s="518">
        <f t="shared" ref="AP30:AP93" si="33">$J$29/120</f>
        <v>1452.5480833333336</v>
      </c>
      <c r="AQ30" s="518">
        <f>$J$30/120</f>
        <v>783.11666666666667</v>
      </c>
      <c r="AR30" s="518"/>
      <c r="AS30" s="518"/>
      <c r="AT30" s="518"/>
      <c r="AU30" s="518"/>
      <c r="AV30" s="518"/>
      <c r="AW30" s="518"/>
      <c r="AX30" s="518"/>
      <c r="AY30" s="518"/>
      <c r="AZ30" s="518"/>
      <c r="BA30" s="518"/>
      <c r="BB30" s="518"/>
      <c r="BC30" s="518"/>
      <c r="BD30" s="518"/>
      <c r="BE30" s="518"/>
      <c r="BF30" s="518"/>
      <c r="BG30" s="518"/>
      <c r="BH30" s="518"/>
      <c r="BI30" s="518"/>
      <c r="BJ30" s="624"/>
      <c r="BK30" s="624"/>
      <c r="BL30" s="624"/>
      <c r="BM30" s="624"/>
      <c r="BN30" s="624"/>
      <c r="BO30" s="624"/>
      <c r="BP30" s="624"/>
      <c r="BQ30" s="518">
        <f t="shared" si="8"/>
        <v>52923.258749999994</v>
      </c>
    </row>
    <row r="31" spans="1:69" s="585" customFormat="1" ht="12.75" customHeight="1">
      <c r="A31" s="308" t="s">
        <v>50</v>
      </c>
      <c r="B31" s="308">
        <f t="shared" si="20"/>
        <v>2017</v>
      </c>
      <c r="C31" s="308" t="s">
        <v>47</v>
      </c>
      <c r="D31" s="518">
        <v>3500</v>
      </c>
      <c r="E31" s="518">
        <v>0</v>
      </c>
      <c r="F31" s="518">
        <v>246150</v>
      </c>
      <c r="G31" s="518"/>
      <c r="H31" s="518">
        <v>0</v>
      </c>
      <c r="I31" s="518"/>
      <c r="J31" s="518">
        <f t="shared" si="2"/>
        <v>249650</v>
      </c>
      <c r="K31" s="518">
        <f t="shared" si="5"/>
        <v>6600441.0500000007</v>
      </c>
      <c r="L31" s="518"/>
      <c r="M31" s="518">
        <f>36121.29+4882.35+20368.53-79.77-81.35+108.34</f>
        <v>61319.39</v>
      </c>
      <c r="N31" s="518">
        <f t="shared" si="6"/>
        <v>854671.2</v>
      </c>
      <c r="O31" s="518"/>
      <c r="P31" s="518">
        <f t="shared" si="3"/>
        <v>5745769.8500000006</v>
      </c>
      <c r="R31" s="518">
        <f t="shared" si="4"/>
        <v>0</v>
      </c>
      <c r="S31" s="518">
        <f t="shared" si="7"/>
        <v>415.79166666666669</v>
      </c>
      <c r="T31" s="518">
        <f t="shared" si="9"/>
        <v>878.85</v>
      </c>
      <c r="U31" s="518">
        <f t="shared" si="10"/>
        <v>4172.1833333333334</v>
      </c>
      <c r="V31" s="518">
        <f t="shared" si="11"/>
        <v>6601.6416666666664</v>
      </c>
      <c r="W31" s="518">
        <f t="shared" si="13"/>
        <v>5314.0657499999998</v>
      </c>
      <c r="X31" s="518">
        <f t="shared" si="14"/>
        <v>4037.2521666666667</v>
      </c>
      <c r="Y31" s="518">
        <f t="shared" si="15"/>
        <v>2285.2750000000001</v>
      </c>
      <c r="Z31" s="518">
        <f t="shared" si="16"/>
        <v>1091.7583333333334</v>
      </c>
      <c r="AA31" s="518">
        <f t="shared" si="17"/>
        <v>1269.9591666666668</v>
      </c>
      <c r="AB31" s="518">
        <f t="shared" si="18"/>
        <v>606.67849999999999</v>
      </c>
      <c r="AC31" s="518">
        <f t="shared" si="19"/>
        <v>476.46666666666664</v>
      </c>
      <c r="AD31" s="518">
        <f t="shared" si="21"/>
        <v>1657.7180833333332</v>
      </c>
      <c r="AE31" s="518">
        <f t="shared" si="22"/>
        <v>3516.1947500000001</v>
      </c>
      <c r="AF31" s="518">
        <f t="shared" si="23"/>
        <v>1564.4</v>
      </c>
      <c r="AG31" s="518">
        <f t="shared" si="24"/>
        <v>2587.7750000000001</v>
      </c>
      <c r="AH31" s="518">
        <f t="shared" si="25"/>
        <v>2302.7285000000002</v>
      </c>
      <c r="AI31" s="518">
        <f t="shared" si="26"/>
        <v>1957.7</v>
      </c>
      <c r="AJ31" s="518">
        <f t="shared" si="27"/>
        <v>1067.125</v>
      </c>
      <c r="AK31" s="518">
        <f t="shared" si="28"/>
        <v>1806.075</v>
      </c>
      <c r="AL31" s="518">
        <f t="shared" si="29"/>
        <v>1723.2054166666667</v>
      </c>
      <c r="AM31" s="518">
        <f t="shared" si="30"/>
        <v>3010.375</v>
      </c>
      <c r="AN31" s="518">
        <f t="shared" si="31"/>
        <v>920.83333333333337</v>
      </c>
      <c r="AO31" s="518">
        <f t="shared" si="32"/>
        <v>1423.5416666666667</v>
      </c>
      <c r="AP31" s="518">
        <f t="shared" si="33"/>
        <v>1452.5480833333336</v>
      </c>
      <c r="AQ31" s="518">
        <f t="shared" ref="AQ31:AQ94" si="34">$J$30/120</f>
        <v>783.11666666666667</v>
      </c>
      <c r="AR31" s="518">
        <f>$J$31/120</f>
        <v>2080.4166666666665</v>
      </c>
      <c r="AS31" s="518"/>
      <c r="AT31" s="518"/>
      <c r="AU31" s="518"/>
      <c r="AV31" s="518"/>
      <c r="AW31" s="518"/>
      <c r="AX31" s="518"/>
      <c r="AY31" s="518"/>
      <c r="AZ31" s="518"/>
      <c r="BA31" s="518"/>
      <c r="BB31" s="518"/>
      <c r="BC31" s="518"/>
      <c r="BD31" s="518"/>
      <c r="BE31" s="518"/>
      <c r="BF31" s="518"/>
      <c r="BG31" s="518"/>
      <c r="BH31" s="518"/>
      <c r="BI31" s="518"/>
      <c r="BJ31" s="518"/>
      <c r="BK31" s="518"/>
      <c r="BL31" s="518"/>
      <c r="BM31" s="518"/>
      <c r="BN31" s="518"/>
      <c r="BO31" s="518"/>
      <c r="BP31" s="518"/>
      <c r="BQ31" s="518">
        <f t="shared" si="8"/>
        <v>55003.675416666658</v>
      </c>
    </row>
    <row r="32" spans="1:69" s="585" customFormat="1" ht="12.75" customHeight="1">
      <c r="A32" s="308" t="s">
        <v>51</v>
      </c>
      <c r="B32" s="308">
        <f t="shared" si="20"/>
        <v>2017</v>
      </c>
      <c r="C32" s="308" t="s">
        <v>47</v>
      </c>
      <c r="D32" s="518">
        <f>6500+6500</f>
        <v>13000</v>
      </c>
      <c r="E32" s="518">
        <v>0</v>
      </c>
      <c r="F32" s="518">
        <v>69644</v>
      </c>
      <c r="G32" s="518"/>
      <c r="H32" s="518">
        <v>0</v>
      </c>
      <c r="I32" s="518"/>
      <c r="J32" s="518">
        <f t="shared" si="2"/>
        <v>82644</v>
      </c>
      <c r="K32" s="518">
        <f t="shared" si="5"/>
        <v>6683085.0500000007</v>
      </c>
      <c r="L32" s="518"/>
      <c r="M32" s="518">
        <f>19236.57+4782.35+21898.86-79.77-81.35+108.34+108.34</f>
        <v>45973.34</v>
      </c>
      <c r="N32" s="518">
        <f t="shared" si="6"/>
        <v>900644.53999999992</v>
      </c>
      <c r="O32" s="518"/>
      <c r="P32" s="518">
        <f t="shared" si="3"/>
        <v>5782440.5100000007</v>
      </c>
      <c r="R32" s="518">
        <f t="shared" si="4"/>
        <v>0</v>
      </c>
      <c r="S32" s="518">
        <f t="shared" si="7"/>
        <v>415.79166666666669</v>
      </c>
      <c r="T32" s="518">
        <f t="shared" si="9"/>
        <v>878.85</v>
      </c>
      <c r="U32" s="518">
        <f t="shared" si="10"/>
        <v>4172.1833333333334</v>
      </c>
      <c r="V32" s="518">
        <f t="shared" si="11"/>
        <v>6601.6416666666664</v>
      </c>
      <c r="W32" s="518">
        <f t="shared" si="13"/>
        <v>5314.0657499999998</v>
      </c>
      <c r="X32" s="518">
        <f t="shared" si="14"/>
        <v>4037.2521666666667</v>
      </c>
      <c r="Y32" s="518">
        <f t="shared" si="15"/>
        <v>2285.2750000000001</v>
      </c>
      <c r="Z32" s="518">
        <f t="shared" si="16"/>
        <v>1091.7583333333334</v>
      </c>
      <c r="AA32" s="518">
        <f t="shared" si="17"/>
        <v>1269.9591666666668</v>
      </c>
      <c r="AB32" s="518">
        <f t="shared" si="18"/>
        <v>606.67849999999999</v>
      </c>
      <c r="AC32" s="518">
        <f t="shared" si="19"/>
        <v>476.46666666666664</v>
      </c>
      <c r="AD32" s="518">
        <f t="shared" si="21"/>
        <v>1657.7180833333332</v>
      </c>
      <c r="AE32" s="518">
        <f t="shared" si="22"/>
        <v>3516.1947500000001</v>
      </c>
      <c r="AF32" s="518">
        <f t="shared" si="23"/>
        <v>1564.4</v>
      </c>
      <c r="AG32" s="518">
        <f t="shared" si="24"/>
        <v>2587.7750000000001</v>
      </c>
      <c r="AH32" s="518">
        <f t="shared" si="25"/>
        <v>2302.7285000000002</v>
      </c>
      <c r="AI32" s="518">
        <f t="shared" si="26"/>
        <v>1957.7</v>
      </c>
      <c r="AJ32" s="518">
        <f t="shared" si="27"/>
        <v>1067.125</v>
      </c>
      <c r="AK32" s="518">
        <f t="shared" si="28"/>
        <v>1806.075</v>
      </c>
      <c r="AL32" s="518">
        <f t="shared" si="29"/>
        <v>1723.2054166666667</v>
      </c>
      <c r="AM32" s="518">
        <f t="shared" si="30"/>
        <v>3010.375</v>
      </c>
      <c r="AN32" s="518">
        <f t="shared" si="31"/>
        <v>920.83333333333337</v>
      </c>
      <c r="AO32" s="518">
        <f t="shared" si="32"/>
        <v>1423.5416666666667</v>
      </c>
      <c r="AP32" s="518">
        <f t="shared" si="33"/>
        <v>1452.5480833333336</v>
      </c>
      <c r="AQ32" s="518">
        <f t="shared" si="34"/>
        <v>783.11666666666667</v>
      </c>
      <c r="AR32" s="518">
        <f t="shared" ref="AR32:AR95" si="35">$J$31/120</f>
        <v>2080.4166666666665</v>
      </c>
      <c r="AS32" s="518">
        <f>$J$32/120</f>
        <v>688.7</v>
      </c>
      <c r="AT32" s="518"/>
      <c r="AU32" s="518"/>
      <c r="AV32" s="518"/>
      <c r="AW32" s="518"/>
      <c r="AX32" s="518"/>
      <c r="AY32" s="518"/>
      <c r="AZ32" s="518"/>
      <c r="BA32" s="518"/>
      <c r="BB32" s="518"/>
      <c r="BC32" s="518"/>
      <c r="BD32" s="518"/>
      <c r="BE32" s="518"/>
      <c r="BF32" s="518"/>
      <c r="BG32" s="518"/>
      <c r="BH32" s="518"/>
      <c r="BI32" s="518"/>
      <c r="BJ32" s="518"/>
      <c r="BK32" s="518"/>
      <c r="BL32" s="518"/>
      <c r="BM32" s="518"/>
      <c r="BN32" s="518"/>
      <c r="BO32" s="518"/>
      <c r="BP32" s="518"/>
      <c r="BQ32" s="518">
        <f t="shared" si="8"/>
        <v>55692.375416666655</v>
      </c>
    </row>
    <row r="33" spans="1:69" s="585" customFormat="1" ht="12.75" customHeight="1">
      <c r="A33" s="308" t="s">
        <v>52</v>
      </c>
      <c r="B33" s="308">
        <f t="shared" si="20"/>
        <v>2017</v>
      </c>
      <c r="C33" s="308" t="s">
        <v>47</v>
      </c>
      <c r="D33" s="518">
        <v>3500</v>
      </c>
      <c r="E33" s="518">
        <v>4000</v>
      </c>
      <c r="F33" s="518">
        <v>126180</v>
      </c>
      <c r="G33" s="518"/>
      <c r="H33" s="518">
        <v>59275.17</v>
      </c>
      <c r="I33" s="518"/>
      <c r="J33" s="518">
        <f t="shared" si="2"/>
        <v>192955.16999999998</v>
      </c>
      <c r="K33" s="518">
        <f t="shared" si="5"/>
        <v>6876040.2200000007</v>
      </c>
      <c r="L33" s="518"/>
      <c r="M33" s="518">
        <f>35590.48+5376.31+21346.75-79.77-81.35+108.34+108.34+108.34</f>
        <v>62477.439999999995</v>
      </c>
      <c r="N33" s="518">
        <f t="shared" si="6"/>
        <v>963121.97999999986</v>
      </c>
      <c r="O33" s="518"/>
      <c r="P33" s="518">
        <f t="shared" si="3"/>
        <v>5912918.2400000012</v>
      </c>
      <c r="R33" s="518">
        <f t="shared" si="4"/>
        <v>0</v>
      </c>
      <c r="S33" s="518">
        <f t="shared" si="7"/>
        <v>415.79166666666669</v>
      </c>
      <c r="T33" s="518">
        <f t="shared" si="9"/>
        <v>878.85</v>
      </c>
      <c r="U33" s="518">
        <f t="shared" si="10"/>
        <v>4172.1833333333334</v>
      </c>
      <c r="V33" s="518">
        <f t="shared" si="11"/>
        <v>6601.6416666666664</v>
      </c>
      <c r="W33" s="518">
        <f t="shared" si="13"/>
        <v>5314.0657499999998</v>
      </c>
      <c r="X33" s="518">
        <f t="shared" si="14"/>
        <v>4037.2521666666667</v>
      </c>
      <c r="Y33" s="518">
        <f t="shared" si="15"/>
        <v>2285.2750000000001</v>
      </c>
      <c r="Z33" s="518">
        <f t="shared" si="16"/>
        <v>1091.7583333333334</v>
      </c>
      <c r="AA33" s="518">
        <f t="shared" si="17"/>
        <v>1269.9591666666668</v>
      </c>
      <c r="AB33" s="518">
        <f t="shared" si="18"/>
        <v>606.67849999999999</v>
      </c>
      <c r="AC33" s="518">
        <f t="shared" si="19"/>
        <v>476.46666666666664</v>
      </c>
      <c r="AD33" s="518">
        <f t="shared" si="21"/>
        <v>1657.7180833333332</v>
      </c>
      <c r="AE33" s="518">
        <f t="shared" si="22"/>
        <v>3516.1947500000001</v>
      </c>
      <c r="AF33" s="518">
        <f t="shared" si="23"/>
        <v>1564.4</v>
      </c>
      <c r="AG33" s="518">
        <f t="shared" si="24"/>
        <v>2587.7750000000001</v>
      </c>
      <c r="AH33" s="518">
        <f t="shared" si="25"/>
        <v>2302.7285000000002</v>
      </c>
      <c r="AI33" s="518">
        <f t="shared" si="26"/>
        <v>1957.7</v>
      </c>
      <c r="AJ33" s="518">
        <f t="shared" si="27"/>
        <v>1067.125</v>
      </c>
      <c r="AK33" s="518">
        <f t="shared" si="28"/>
        <v>1806.075</v>
      </c>
      <c r="AL33" s="518">
        <f t="shared" si="29"/>
        <v>1723.2054166666667</v>
      </c>
      <c r="AM33" s="518">
        <f t="shared" si="30"/>
        <v>3010.375</v>
      </c>
      <c r="AN33" s="518">
        <f t="shared" si="31"/>
        <v>920.83333333333337</v>
      </c>
      <c r="AO33" s="518">
        <f t="shared" si="32"/>
        <v>1423.5416666666667</v>
      </c>
      <c r="AP33" s="518">
        <f t="shared" si="33"/>
        <v>1452.5480833333336</v>
      </c>
      <c r="AQ33" s="518">
        <f t="shared" si="34"/>
        <v>783.11666666666667</v>
      </c>
      <c r="AR33" s="518">
        <f t="shared" si="35"/>
        <v>2080.4166666666665</v>
      </c>
      <c r="AS33" s="518">
        <f t="shared" ref="AS33:AS96" si="36">$J$32/120</f>
        <v>688.7</v>
      </c>
      <c r="AT33" s="518">
        <f>$J$33/120</f>
        <v>1607.9597499999998</v>
      </c>
      <c r="AU33" s="518"/>
      <c r="AV33" s="518"/>
      <c r="AW33" s="518"/>
      <c r="AX33" s="518"/>
      <c r="AY33" s="518"/>
      <c r="AZ33" s="518"/>
      <c r="BA33" s="518"/>
      <c r="BB33" s="518"/>
      <c r="BC33" s="518"/>
      <c r="BD33" s="518"/>
      <c r="BE33" s="518"/>
      <c r="BF33" s="518"/>
      <c r="BG33" s="518"/>
      <c r="BH33" s="518"/>
      <c r="BI33" s="518"/>
      <c r="BJ33" s="518"/>
      <c r="BK33" s="518"/>
      <c r="BL33" s="518"/>
      <c r="BM33" s="518"/>
      <c r="BN33" s="518"/>
      <c r="BO33" s="518"/>
      <c r="BP33" s="518"/>
      <c r="BQ33" s="518">
        <f t="shared" si="8"/>
        <v>57300.335166666657</v>
      </c>
    </row>
    <row r="34" spans="1:69" s="585" customFormat="1" ht="12.75" customHeight="1">
      <c r="A34" s="308" t="s">
        <v>53</v>
      </c>
      <c r="B34" s="308">
        <f t="shared" si="20"/>
        <v>2018</v>
      </c>
      <c r="C34" s="308" t="s">
        <v>47</v>
      </c>
      <c r="D34" s="518">
        <v>0</v>
      </c>
      <c r="E34" s="518">
        <v>0</v>
      </c>
      <c r="F34" s="518">
        <v>82874</v>
      </c>
      <c r="G34" s="518"/>
      <c r="H34" s="518">
        <v>0</v>
      </c>
      <c r="I34" s="626"/>
      <c r="J34" s="518">
        <f t="shared" si="2"/>
        <v>82874</v>
      </c>
      <c r="K34" s="518">
        <f t="shared" si="5"/>
        <v>6958914.2200000007</v>
      </c>
      <c r="L34" s="518"/>
      <c r="M34" s="518">
        <f>22216.61+21094.11+5376.31-79.77-81.35+108.34+108.34</f>
        <v>48742.59</v>
      </c>
      <c r="N34" s="518">
        <f t="shared" si="6"/>
        <v>1011864.5699999998</v>
      </c>
      <c r="O34" s="518"/>
      <c r="P34" s="518">
        <f t="shared" si="3"/>
        <v>5947049.6500000004</v>
      </c>
      <c r="R34" s="518">
        <f t="shared" si="4"/>
        <v>0</v>
      </c>
      <c r="S34" s="518">
        <f t="shared" si="7"/>
        <v>415.79166666666669</v>
      </c>
      <c r="T34" s="518">
        <f t="shared" si="9"/>
        <v>878.85</v>
      </c>
      <c r="U34" s="518">
        <f t="shared" si="10"/>
        <v>4172.1833333333334</v>
      </c>
      <c r="V34" s="518">
        <f t="shared" si="11"/>
        <v>6601.6416666666664</v>
      </c>
      <c r="W34" s="518">
        <f t="shared" si="13"/>
        <v>5314.0657499999998</v>
      </c>
      <c r="X34" s="518">
        <f t="shared" si="14"/>
        <v>4037.2521666666667</v>
      </c>
      <c r="Y34" s="518">
        <f t="shared" si="15"/>
        <v>2285.2750000000001</v>
      </c>
      <c r="Z34" s="518">
        <f t="shared" si="16"/>
        <v>1091.7583333333334</v>
      </c>
      <c r="AA34" s="518">
        <f t="shared" si="17"/>
        <v>1269.9591666666668</v>
      </c>
      <c r="AB34" s="518">
        <f t="shared" si="18"/>
        <v>606.67849999999999</v>
      </c>
      <c r="AC34" s="518">
        <f t="shared" si="19"/>
        <v>476.46666666666664</v>
      </c>
      <c r="AD34" s="518">
        <f t="shared" si="21"/>
        <v>1657.7180833333332</v>
      </c>
      <c r="AE34" s="518">
        <f t="shared" si="22"/>
        <v>3516.1947500000001</v>
      </c>
      <c r="AF34" s="518">
        <f t="shared" si="23"/>
        <v>1564.4</v>
      </c>
      <c r="AG34" s="518">
        <f t="shared" si="24"/>
        <v>2587.7750000000001</v>
      </c>
      <c r="AH34" s="518">
        <f t="shared" si="25"/>
        <v>2302.7285000000002</v>
      </c>
      <c r="AI34" s="518">
        <f t="shared" si="26"/>
        <v>1957.7</v>
      </c>
      <c r="AJ34" s="518">
        <f t="shared" si="27"/>
        <v>1067.125</v>
      </c>
      <c r="AK34" s="518">
        <f t="shared" si="28"/>
        <v>1806.075</v>
      </c>
      <c r="AL34" s="518">
        <f t="shared" si="29"/>
        <v>1723.2054166666667</v>
      </c>
      <c r="AM34" s="518">
        <f t="shared" si="30"/>
        <v>3010.375</v>
      </c>
      <c r="AN34" s="518">
        <f t="shared" si="31"/>
        <v>920.83333333333337</v>
      </c>
      <c r="AO34" s="518">
        <f t="shared" si="32"/>
        <v>1423.5416666666667</v>
      </c>
      <c r="AP34" s="518">
        <f t="shared" si="33"/>
        <v>1452.5480833333336</v>
      </c>
      <c r="AQ34" s="518">
        <f t="shared" si="34"/>
        <v>783.11666666666667</v>
      </c>
      <c r="AR34" s="518">
        <f t="shared" si="35"/>
        <v>2080.4166666666665</v>
      </c>
      <c r="AS34" s="518">
        <f t="shared" si="36"/>
        <v>688.7</v>
      </c>
      <c r="AT34" s="518">
        <f t="shared" ref="AT34:AT97" si="37">$J$33/120</f>
        <v>1607.9597499999998</v>
      </c>
      <c r="AU34" s="518">
        <f>$J$34/120</f>
        <v>690.61666666666667</v>
      </c>
      <c r="AV34" s="518"/>
      <c r="AW34" s="518"/>
      <c r="AX34" s="518"/>
      <c r="AY34" s="518"/>
      <c r="AZ34" s="518"/>
      <c r="BA34" s="518"/>
      <c r="BB34" s="518"/>
      <c r="BC34" s="518"/>
      <c r="BD34" s="518"/>
      <c r="BE34" s="518"/>
      <c r="BF34" s="518"/>
      <c r="BG34" s="518"/>
      <c r="BH34" s="518"/>
      <c r="BI34" s="518"/>
      <c r="BJ34" s="518"/>
      <c r="BK34" s="518"/>
      <c r="BL34" s="518"/>
      <c r="BM34" s="518"/>
      <c r="BN34" s="518"/>
      <c r="BO34" s="518"/>
      <c r="BP34" s="518"/>
      <c r="BQ34" s="518">
        <f t="shared" si="8"/>
        <v>57990.951833333325</v>
      </c>
    </row>
    <row r="35" spans="1:69" s="585" customFormat="1" ht="12.75" customHeight="1">
      <c r="A35" s="308" t="s">
        <v>54</v>
      </c>
      <c r="B35" s="308">
        <f t="shared" si="20"/>
        <v>2018</v>
      </c>
      <c r="C35" s="308" t="s">
        <v>47</v>
      </c>
      <c r="D35" s="518">
        <v>0</v>
      </c>
      <c r="E35" s="518">
        <v>0</v>
      </c>
      <c r="F35" s="518">
        <v>138850</v>
      </c>
      <c r="G35" s="518"/>
      <c r="H35" s="518">
        <v>22865.1</v>
      </c>
      <c r="I35" s="626"/>
      <c r="J35" s="518">
        <f t="shared" si="2"/>
        <v>161715.1</v>
      </c>
      <c r="K35" s="518">
        <f t="shared" si="5"/>
        <v>7120629.3200000003</v>
      </c>
      <c r="L35" s="518"/>
      <c r="M35" s="518">
        <f>20278.61+38948.34+4298.29+82.29+82.29-79.77-81.35+108.34+108.34</f>
        <v>63745.38</v>
      </c>
      <c r="N35" s="518">
        <f t="shared" si="6"/>
        <v>1075609.9499999997</v>
      </c>
      <c r="O35" s="518"/>
      <c r="P35" s="518">
        <f t="shared" si="3"/>
        <v>6045019.370000001</v>
      </c>
      <c r="R35" s="518">
        <f t="shared" si="4"/>
        <v>0</v>
      </c>
      <c r="S35" s="518">
        <f t="shared" si="7"/>
        <v>415.79166666666669</v>
      </c>
      <c r="T35" s="518">
        <f t="shared" si="9"/>
        <v>878.85</v>
      </c>
      <c r="U35" s="518">
        <f t="shared" si="10"/>
        <v>4172.1833333333334</v>
      </c>
      <c r="V35" s="518">
        <f t="shared" si="11"/>
        <v>6601.6416666666664</v>
      </c>
      <c r="W35" s="518">
        <f t="shared" si="13"/>
        <v>5314.0657499999998</v>
      </c>
      <c r="X35" s="518">
        <f t="shared" si="14"/>
        <v>4037.2521666666667</v>
      </c>
      <c r="Y35" s="518">
        <f t="shared" si="15"/>
        <v>2285.2750000000001</v>
      </c>
      <c r="Z35" s="518">
        <f t="shared" si="16"/>
        <v>1091.7583333333334</v>
      </c>
      <c r="AA35" s="518">
        <f t="shared" si="17"/>
        <v>1269.9591666666668</v>
      </c>
      <c r="AB35" s="518">
        <f t="shared" si="18"/>
        <v>606.67849999999999</v>
      </c>
      <c r="AC35" s="518">
        <f t="shared" si="19"/>
        <v>476.46666666666664</v>
      </c>
      <c r="AD35" s="518">
        <f t="shared" si="21"/>
        <v>1657.7180833333332</v>
      </c>
      <c r="AE35" s="518">
        <f t="shared" si="22"/>
        <v>3516.1947500000001</v>
      </c>
      <c r="AF35" s="518">
        <f t="shared" si="23"/>
        <v>1564.4</v>
      </c>
      <c r="AG35" s="518">
        <f t="shared" si="24"/>
        <v>2587.7750000000001</v>
      </c>
      <c r="AH35" s="518">
        <f t="shared" si="25"/>
        <v>2302.7285000000002</v>
      </c>
      <c r="AI35" s="518">
        <f t="shared" si="26"/>
        <v>1957.7</v>
      </c>
      <c r="AJ35" s="518">
        <f t="shared" si="27"/>
        <v>1067.125</v>
      </c>
      <c r="AK35" s="518">
        <f t="shared" si="28"/>
        <v>1806.075</v>
      </c>
      <c r="AL35" s="518">
        <f t="shared" si="29"/>
        <v>1723.2054166666667</v>
      </c>
      <c r="AM35" s="518">
        <f t="shared" si="30"/>
        <v>3010.375</v>
      </c>
      <c r="AN35" s="518">
        <f t="shared" si="31"/>
        <v>920.83333333333337</v>
      </c>
      <c r="AO35" s="518">
        <f t="shared" si="32"/>
        <v>1423.5416666666667</v>
      </c>
      <c r="AP35" s="518">
        <f t="shared" si="33"/>
        <v>1452.5480833333336</v>
      </c>
      <c r="AQ35" s="518">
        <f t="shared" si="34"/>
        <v>783.11666666666667</v>
      </c>
      <c r="AR35" s="518">
        <f t="shared" si="35"/>
        <v>2080.4166666666665</v>
      </c>
      <c r="AS35" s="518">
        <f t="shared" si="36"/>
        <v>688.7</v>
      </c>
      <c r="AT35" s="518">
        <f t="shared" si="37"/>
        <v>1607.9597499999998</v>
      </c>
      <c r="AU35" s="518">
        <f t="shared" ref="AU35:AU98" si="38">$J$34/120</f>
        <v>690.61666666666667</v>
      </c>
      <c r="AV35" s="518">
        <f>$J$35/120</f>
        <v>1347.6258333333333</v>
      </c>
      <c r="AW35" s="518"/>
      <c r="AX35" s="518"/>
      <c r="AY35" s="518"/>
      <c r="AZ35" s="518"/>
      <c r="BA35" s="518"/>
      <c r="BB35" s="518"/>
      <c r="BC35" s="518"/>
      <c r="BD35" s="518"/>
      <c r="BE35" s="518"/>
      <c r="BF35" s="518"/>
      <c r="BG35" s="518"/>
      <c r="BH35" s="518"/>
      <c r="BI35" s="518"/>
      <c r="BJ35" s="518"/>
      <c r="BK35" s="518"/>
      <c r="BL35" s="518"/>
      <c r="BM35" s="518"/>
      <c r="BN35" s="518"/>
      <c r="BO35" s="518"/>
      <c r="BP35" s="518"/>
      <c r="BQ35" s="518">
        <f t="shared" si="8"/>
        <v>59338.577666666657</v>
      </c>
    </row>
    <row r="36" spans="1:69" s="585" customFormat="1" ht="12.75" customHeight="1">
      <c r="A36" s="308" t="s">
        <v>55</v>
      </c>
      <c r="B36" s="308">
        <f t="shared" si="20"/>
        <v>2018</v>
      </c>
      <c r="C36" s="308" t="s">
        <v>47</v>
      </c>
      <c r="D36" s="518">
        <v>0</v>
      </c>
      <c r="E36" s="518">
        <v>0</v>
      </c>
      <c r="F36" s="518">
        <v>124647</v>
      </c>
      <c r="G36" s="518"/>
      <c r="H36" s="518">
        <v>0</v>
      </c>
      <c r="I36" s="626"/>
      <c r="J36" s="518">
        <f t="shared" si="2"/>
        <v>124647</v>
      </c>
      <c r="K36" s="518">
        <f t="shared" si="5"/>
        <v>7245276.3200000003</v>
      </c>
      <c r="L36" s="518"/>
      <c r="M36" s="518">
        <f>49425.73-79.77-81.35+108.34</f>
        <v>49372.950000000004</v>
      </c>
      <c r="N36" s="518">
        <f t="shared" si="6"/>
        <v>1124982.8999999997</v>
      </c>
      <c r="O36" s="518"/>
      <c r="P36" s="518">
        <f t="shared" si="3"/>
        <v>6120293.4200000009</v>
      </c>
      <c r="R36" s="518">
        <f t="shared" si="4"/>
        <v>0</v>
      </c>
      <c r="S36" s="518">
        <f t="shared" si="7"/>
        <v>415.79166666666669</v>
      </c>
      <c r="T36" s="518">
        <f t="shared" si="9"/>
        <v>878.85</v>
      </c>
      <c r="U36" s="518">
        <f t="shared" si="10"/>
        <v>4172.1833333333334</v>
      </c>
      <c r="V36" s="518">
        <f t="shared" si="11"/>
        <v>6601.6416666666664</v>
      </c>
      <c r="W36" s="518">
        <f t="shared" si="13"/>
        <v>5314.0657499999998</v>
      </c>
      <c r="X36" s="518">
        <f t="shared" si="14"/>
        <v>4037.2521666666667</v>
      </c>
      <c r="Y36" s="518">
        <f t="shared" si="15"/>
        <v>2285.2750000000001</v>
      </c>
      <c r="Z36" s="518">
        <f t="shared" si="16"/>
        <v>1091.7583333333334</v>
      </c>
      <c r="AA36" s="518">
        <f t="shared" si="17"/>
        <v>1269.9591666666668</v>
      </c>
      <c r="AB36" s="518">
        <f t="shared" si="18"/>
        <v>606.67849999999999</v>
      </c>
      <c r="AC36" s="518">
        <f t="shared" si="19"/>
        <v>476.46666666666664</v>
      </c>
      <c r="AD36" s="518">
        <f t="shared" si="21"/>
        <v>1657.7180833333332</v>
      </c>
      <c r="AE36" s="518">
        <f t="shared" si="22"/>
        <v>3516.1947500000001</v>
      </c>
      <c r="AF36" s="518">
        <f t="shared" si="23"/>
        <v>1564.4</v>
      </c>
      <c r="AG36" s="518">
        <f t="shared" si="24"/>
        <v>2587.7750000000001</v>
      </c>
      <c r="AH36" s="518">
        <f t="shared" si="25"/>
        <v>2302.7285000000002</v>
      </c>
      <c r="AI36" s="518">
        <f t="shared" si="26"/>
        <v>1957.7</v>
      </c>
      <c r="AJ36" s="518">
        <f t="shared" si="27"/>
        <v>1067.125</v>
      </c>
      <c r="AK36" s="518">
        <f t="shared" si="28"/>
        <v>1806.075</v>
      </c>
      <c r="AL36" s="518">
        <f t="shared" si="29"/>
        <v>1723.2054166666667</v>
      </c>
      <c r="AM36" s="518">
        <f t="shared" si="30"/>
        <v>3010.375</v>
      </c>
      <c r="AN36" s="518">
        <f t="shared" si="31"/>
        <v>920.83333333333337</v>
      </c>
      <c r="AO36" s="518">
        <f t="shared" si="32"/>
        <v>1423.5416666666667</v>
      </c>
      <c r="AP36" s="518">
        <f t="shared" si="33"/>
        <v>1452.5480833333336</v>
      </c>
      <c r="AQ36" s="518">
        <f t="shared" si="34"/>
        <v>783.11666666666667</v>
      </c>
      <c r="AR36" s="518">
        <f t="shared" si="35"/>
        <v>2080.4166666666665</v>
      </c>
      <c r="AS36" s="518">
        <f t="shared" si="36"/>
        <v>688.7</v>
      </c>
      <c r="AT36" s="518">
        <f t="shared" si="37"/>
        <v>1607.9597499999998</v>
      </c>
      <c r="AU36" s="518">
        <f t="shared" si="38"/>
        <v>690.61666666666667</v>
      </c>
      <c r="AV36" s="518">
        <f t="shared" ref="AV36:AV99" si="39">$J$35/120</f>
        <v>1347.6258333333333</v>
      </c>
      <c r="AW36" s="518">
        <f>$J$36/120</f>
        <v>1038.7249999999999</v>
      </c>
      <c r="AX36" s="518"/>
      <c r="AY36" s="518"/>
      <c r="AZ36" s="518"/>
      <c r="BA36" s="518"/>
      <c r="BB36" s="518"/>
      <c r="BC36" s="518"/>
      <c r="BD36" s="518"/>
      <c r="BE36" s="518"/>
      <c r="BF36" s="518"/>
      <c r="BG36" s="518"/>
      <c r="BH36" s="518"/>
      <c r="BI36" s="518"/>
      <c r="BJ36" s="518"/>
      <c r="BK36" s="518"/>
      <c r="BL36" s="518"/>
      <c r="BM36" s="518"/>
      <c r="BN36" s="518"/>
      <c r="BO36" s="518"/>
      <c r="BP36" s="518"/>
      <c r="BQ36" s="518">
        <f t="shared" si="8"/>
        <v>60377.302666666656</v>
      </c>
    </row>
    <row r="37" spans="1:69" s="585" customFormat="1" ht="12.75" customHeight="1">
      <c r="A37" s="308" t="s">
        <v>56</v>
      </c>
      <c r="B37" s="308">
        <f t="shared" si="20"/>
        <v>2018</v>
      </c>
      <c r="C37" s="308" t="s">
        <v>47</v>
      </c>
      <c r="D37" s="626"/>
      <c r="E37" s="626"/>
      <c r="F37" s="518">
        <v>148393</v>
      </c>
      <c r="G37" s="518"/>
      <c r="H37" s="518">
        <v>19115.34</v>
      </c>
      <c r="I37" s="626"/>
      <c r="J37" s="518">
        <f t="shared" ref="J37:J68" si="40">SUM(D37:H37)</f>
        <v>167508.34</v>
      </c>
      <c r="K37" s="518">
        <f t="shared" si="5"/>
        <v>7412784.6600000001</v>
      </c>
      <c r="L37" s="518"/>
      <c r="M37" s="518">
        <f>21281.44+5566.86+28539.45+14582.29-79.77-81.35+108.34</f>
        <v>69917.259999999995</v>
      </c>
      <c r="N37" s="518">
        <f t="shared" si="6"/>
        <v>1194900.1599999997</v>
      </c>
      <c r="O37" s="518"/>
      <c r="P37" s="518">
        <f t="shared" si="3"/>
        <v>6217884.5</v>
      </c>
      <c r="R37" s="518">
        <f t="shared" si="4"/>
        <v>0</v>
      </c>
      <c r="S37" s="518">
        <f t="shared" si="7"/>
        <v>415.79166666666669</v>
      </c>
      <c r="T37" s="518">
        <f t="shared" si="9"/>
        <v>878.85</v>
      </c>
      <c r="U37" s="518">
        <f t="shared" si="10"/>
        <v>4172.1833333333334</v>
      </c>
      <c r="V37" s="518">
        <f t="shared" si="11"/>
        <v>6601.6416666666664</v>
      </c>
      <c r="W37" s="518">
        <f t="shared" si="13"/>
        <v>5314.0657499999998</v>
      </c>
      <c r="X37" s="518">
        <f t="shared" si="14"/>
        <v>4037.2521666666667</v>
      </c>
      <c r="Y37" s="518">
        <f t="shared" si="15"/>
        <v>2285.2750000000001</v>
      </c>
      <c r="Z37" s="518">
        <f t="shared" si="16"/>
        <v>1091.7583333333334</v>
      </c>
      <c r="AA37" s="518">
        <f t="shared" si="17"/>
        <v>1269.9591666666668</v>
      </c>
      <c r="AB37" s="518">
        <f t="shared" si="18"/>
        <v>606.67849999999999</v>
      </c>
      <c r="AC37" s="518">
        <f t="shared" si="19"/>
        <v>476.46666666666664</v>
      </c>
      <c r="AD37" s="518">
        <f t="shared" si="21"/>
        <v>1657.7180833333332</v>
      </c>
      <c r="AE37" s="518">
        <f t="shared" si="22"/>
        <v>3516.1947500000001</v>
      </c>
      <c r="AF37" s="518">
        <f t="shared" si="23"/>
        <v>1564.4</v>
      </c>
      <c r="AG37" s="518">
        <f t="shared" si="24"/>
        <v>2587.7750000000001</v>
      </c>
      <c r="AH37" s="518">
        <f t="shared" si="25"/>
        <v>2302.7285000000002</v>
      </c>
      <c r="AI37" s="518">
        <f t="shared" si="26"/>
        <v>1957.7</v>
      </c>
      <c r="AJ37" s="518">
        <f t="shared" si="27"/>
        <v>1067.125</v>
      </c>
      <c r="AK37" s="518">
        <f t="shared" si="28"/>
        <v>1806.075</v>
      </c>
      <c r="AL37" s="518">
        <f t="shared" si="29"/>
        <v>1723.2054166666667</v>
      </c>
      <c r="AM37" s="518">
        <f t="shared" si="30"/>
        <v>3010.375</v>
      </c>
      <c r="AN37" s="518">
        <f t="shared" si="31"/>
        <v>920.83333333333337</v>
      </c>
      <c r="AO37" s="518">
        <f t="shared" si="32"/>
        <v>1423.5416666666667</v>
      </c>
      <c r="AP37" s="518">
        <f t="shared" si="33"/>
        <v>1452.5480833333336</v>
      </c>
      <c r="AQ37" s="518">
        <f t="shared" si="34"/>
        <v>783.11666666666667</v>
      </c>
      <c r="AR37" s="518">
        <f t="shared" si="35"/>
        <v>2080.4166666666665</v>
      </c>
      <c r="AS37" s="518">
        <f t="shared" si="36"/>
        <v>688.7</v>
      </c>
      <c r="AT37" s="518">
        <f t="shared" si="37"/>
        <v>1607.9597499999998</v>
      </c>
      <c r="AU37" s="518">
        <f t="shared" si="38"/>
        <v>690.61666666666667</v>
      </c>
      <c r="AV37" s="518">
        <f t="shared" si="39"/>
        <v>1347.6258333333333</v>
      </c>
      <c r="AW37" s="518">
        <f t="shared" ref="AW37:AW100" si="41">$J$36/120</f>
        <v>1038.7249999999999</v>
      </c>
      <c r="AX37" s="518">
        <f>$J$37/120</f>
        <v>1395.9028333333333</v>
      </c>
      <c r="AY37" s="518"/>
      <c r="AZ37" s="518"/>
      <c r="BA37" s="518"/>
      <c r="BB37" s="518"/>
      <c r="BC37" s="518"/>
      <c r="BD37" s="518"/>
      <c r="BE37" s="518"/>
      <c r="BF37" s="518"/>
      <c r="BG37" s="518"/>
      <c r="BH37" s="518"/>
      <c r="BI37" s="518"/>
      <c r="BJ37" s="518"/>
      <c r="BK37" s="518"/>
      <c r="BL37" s="518"/>
      <c r="BM37" s="518"/>
      <c r="BN37" s="518"/>
      <c r="BO37" s="518"/>
      <c r="BP37" s="518"/>
      <c r="BQ37" s="518">
        <f t="shared" si="8"/>
        <v>61773.205499999989</v>
      </c>
    </row>
    <row r="38" spans="1:69" s="585" customFormat="1" ht="12.75" customHeight="1">
      <c r="A38" s="308" t="s">
        <v>57</v>
      </c>
      <c r="B38" s="308">
        <f t="shared" si="20"/>
        <v>2018</v>
      </c>
      <c r="C38" s="308" t="s">
        <v>47</v>
      </c>
      <c r="D38" s="518">
        <f>3500+6500</f>
        <v>10000</v>
      </c>
      <c r="E38" s="518"/>
      <c r="F38" s="518">
        <v>139500</v>
      </c>
      <c r="G38" s="518"/>
      <c r="H38" s="518">
        <v>14300.66</v>
      </c>
      <c r="I38" s="518"/>
      <c r="J38" s="518">
        <f t="shared" si="40"/>
        <v>163800.66</v>
      </c>
      <c r="K38" s="518">
        <f t="shared" si="5"/>
        <v>7576585.3200000003</v>
      </c>
      <c r="L38" s="518"/>
      <c r="M38" s="518">
        <f>30395.79+6810.95+38538.16-79.77-81.35+108.34</f>
        <v>75692.119999999981</v>
      </c>
      <c r="N38" s="518">
        <f t="shared" si="6"/>
        <v>1270592.2799999996</v>
      </c>
      <c r="O38" s="518"/>
      <c r="P38" s="518">
        <f t="shared" si="3"/>
        <v>6305993.040000001</v>
      </c>
      <c r="R38" s="518">
        <f t="shared" si="4"/>
        <v>0</v>
      </c>
      <c r="S38" s="518">
        <f t="shared" si="7"/>
        <v>415.79166666666669</v>
      </c>
      <c r="T38" s="518">
        <f t="shared" si="9"/>
        <v>878.85</v>
      </c>
      <c r="U38" s="518">
        <f t="shared" si="10"/>
        <v>4172.1833333333334</v>
      </c>
      <c r="V38" s="518">
        <f t="shared" si="11"/>
        <v>6601.6416666666664</v>
      </c>
      <c r="W38" s="518">
        <f t="shared" si="13"/>
        <v>5314.0657499999998</v>
      </c>
      <c r="X38" s="518">
        <f t="shared" si="14"/>
        <v>4037.2521666666667</v>
      </c>
      <c r="Y38" s="518">
        <f t="shared" si="15"/>
        <v>2285.2750000000001</v>
      </c>
      <c r="Z38" s="518">
        <f t="shared" si="16"/>
        <v>1091.7583333333334</v>
      </c>
      <c r="AA38" s="518">
        <f t="shared" si="17"/>
        <v>1269.9591666666668</v>
      </c>
      <c r="AB38" s="518">
        <f t="shared" si="18"/>
        <v>606.67849999999999</v>
      </c>
      <c r="AC38" s="518">
        <f t="shared" si="19"/>
        <v>476.46666666666664</v>
      </c>
      <c r="AD38" s="518">
        <f t="shared" si="21"/>
        <v>1657.7180833333332</v>
      </c>
      <c r="AE38" s="518">
        <f t="shared" si="22"/>
        <v>3516.1947500000001</v>
      </c>
      <c r="AF38" s="518">
        <f t="shared" si="23"/>
        <v>1564.4</v>
      </c>
      <c r="AG38" s="518">
        <f t="shared" si="24"/>
        <v>2587.7750000000001</v>
      </c>
      <c r="AH38" s="518">
        <f t="shared" si="25"/>
        <v>2302.7285000000002</v>
      </c>
      <c r="AI38" s="518">
        <f t="shared" si="26"/>
        <v>1957.7</v>
      </c>
      <c r="AJ38" s="518">
        <f t="shared" si="27"/>
        <v>1067.125</v>
      </c>
      <c r="AK38" s="518">
        <f t="shared" si="28"/>
        <v>1806.075</v>
      </c>
      <c r="AL38" s="518">
        <f t="shared" si="29"/>
        <v>1723.2054166666667</v>
      </c>
      <c r="AM38" s="518">
        <f t="shared" si="30"/>
        <v>3010.375</v>
      </c>
      <c r="AN38" s="518">
        <f t="shared" si="31"/>
        <v>920.83333333333337</v>
      </c>
      <c r="AO38" s="518">
        <f t="shared" si="32"/>
        <v>1423.5416666666667</v>
      </c>
      <c r="AP38" s="518">
        <f t="shared" si="33"/>
        <v>1452.5480833333336</v>
      </c>
      <c r="AQ38" s="518">
        <f t="shared" si="34"/>
        <v>783.11666666666667</v>
      </c>
      <c r="AR38" s="518">
        <f t="shared" si="35"/>
        <v>2080.4166666666665</v>
      </c>
      <c r="AS38" s="518">
        <f t="shared" si="36"/>
        <v>688.7</v>
      </c>
      <c r="AT38" s="518">
        <f t="shared" si="37"/>
        <v>1607.9597499999998</v>
      </c>
      <c r="AU38" s="518">
        <f t="shared" si="38"/>
        <v>690.61666666666667</v>
      </c>
      <c r="AV38" s="518">
        <f t="shared" si="39"/>
        <v>1347.6258333333333</v>
      </c>
      <c r="AW38" s="518">
        <f t="shared" si="41"/>
        <v>1038.7249999999999</v>
      </c>
      <c r="AX38" s="518">
        <f t="shared" ref="AX38:AX101" si="42">$J$37/120</f>
        <v>1395.9028333333333</v>
      </c>
      <c r="AY38" s="518">
        <f>$J$38/120</f>
        <v>1365.0055</v>
      </c>
      <c r="AZ38" s="518"/>
      <c r="BA38" s="518"/>
      <c r="BB38" s="518"/>
      <c r="BC38" s="518"/>
      <c r="BD38" s="518"/>
      <c r="BE38" s="518"/>
      <c r="BF38" s="518"/>
      <c r="BG38" s="518"/>
      <c r="BH38" s="518"/>
      <c r="BI38" s="518"/>
      <c r="BJ38" s="518"/>
      <c r="BK38" s="518"/>
      <c r="BL38" s="518"/>
      <c r="BM38" s="518"/>
      <c r="BN38" s="518"/>
      <c r="BO38" s="518"/>
      <c r="BP38" s="518"/>
      <c r="BQ38" s="518">
        <f t="shared" si="8"/>
        <v>63138.210999999988</v>
      </c>
    </row>
    <row r="39" spans="1:69" s="585" customFormat="1" ht="12.75" customHeight="1">
      <c r="A39" s="308" t="s">
        <v>58</v>
      </c>
      <c r="B39" s="308">
        <f t="shared" si="20"/>
        <v>2018</v>
      </c>
      <c r="C39" s="308" t="s">
        <v>47</v>
      </c>
      <c r="D39" s="518">
        <v>3441</v>
      </c>
      <c r="E39" s="518"/>
      <c r="F39" s="518">
        <v>135650</v>
      </c>
      <c r="G39" s="518"/>
      <c r="H39" s="518"/>
      <c r="I39" s="518"/>
      <c r="J39" s="518">
        <f t="shared" si="40"/>
        <v>139091</v>
      </c>
      <c r="K39" s="518">
        <f t="shared" si="5"/>
        <v>7715676.3200000003</v>
      </c>
      <c r="L39" s="518"/>
      <c r="M39" s="518">
        <f>21129.87+13138.08+26256.53-79.77-81.35</f>
        <v>60363.360000000001</v>
      </c>
      <c r="N39" s="518">
        <f t="shared" si="6"/>
        <v>1330955.6399999997</v>
      </c>
      <c r="O39" s="518"/>
      <c r="P39" s="518">
        <f t="shared" si="3"/>
        <v>6384720.6800000006</v>
      </c>
      <c r="R39" s="518">
        <f t="shared" si="4"/>
        <v>0</v>
      </c>
      <c r="S39" s="518">
        <f t="shared" si="7"/>
        <v>415.79166666666669</v>
      </c>
      <c r="T39" s="518">
        <f t="shared" si="9"/>
        <v>878.85</v>
      </c>
      <c r="U39" s="518">
        <f t="shared" si="10"/>
        <v>4172.1833333333334</v>
      </c>
      <c r="V39" s="518">
        <f t="shared" si="11"/>
        <v>6601.6416666666664</v>
      </c>
      <c r="W39" s="518">
        <f t="shared" si="13"/>
        <v>5314.0657499999998</v>
      </c>
      <c r="X39" s="518">
        <f t="shared" si="14"/>
        <v>4037.2521666666667</v>
      </c>
      <c r="Y39" s="518">
        <f t="shared" si="15"/>
        <v>2285.2750000000001</v>
      </c>
      <c r="Z39" s="518">
        <f t="shared" si="16"/>
        <v>1091.7583333333334</v>
      </c>
      <c r="AA39" s="518">
        <f t="shared" si="17"/>
        <v>1269.9591666666668</v>
      </c>
      <c r="AB39" s="518">
        <f t="shared" si="18"/>
        <v>606.67849999999999</v>
      </c>
      <c r="AC39" s="518">
        <f t="shared" si="19"/>
        <v>476.46666666666664</v>
      </c>
      <c r="AD39" s="518">
        <f t="shared" si="21"/>
        <v>1657.7180833333332</v>
      </c>
      <c r="AE39" s="518">
        <f t="shared" si="22"/>
        <v>3516.1947500000001</v>
      </c>
      <c r="AF39" s="518">
        <f t="shared" si="23"/>
        <v>1564.4</v>
      </c>
      <c r="AG39" s="518">
        <f t="shared" si="24"/>
        <v>2587.7750000000001</v>
      </c>
      <c r="AH39" s="518">
        <f t="shared" si="25"/>
        <v>2302.7285000000002</v>
      </c>
      <c r="AI39" s="518">
        <f t="shared" si="26"/>
        <v>1957.7</v>
      </c>
      <c r="AJ39" s="518">
        <f t="shared" si="27"/>
        <v>1067.125</v>
      </c>
      <c r="AK39" s="518">
        <f t="shared" si="28"/>
        <v>1806.075</v>
      </c>
      <c r="AL39" s="518">
        <f t="shared" si="29"/>
        <v>1723.2054166666667</v>
      </c>
      <c r="AM39" s="518">
        <f t="shared" si="30"/>
        <v>3010.375</v>
      </c>
      <c r="AN39" s="518">
        <f t="shared" si="31"/>
        <v>920.83333333333337</v>
      </c>
      <c r="AO39" s="518">
        <f t="shared" si="32"/>
        <v>1423.5416666666667</v>
      </c>
      <c r="AP39" s="518">
        <f t="shared" si="33"/>
        <v>1452.5480833333336</v>
      </c>
      <c r="AQ39" s="518">
        <f t="shared" si="34"/>
        <v>783.11666666666667</v>
      </c>
      <c r="AR39" s="518">
        <f t="shared" si="35"/>
        <v>2080.4166666666665</v>
      </c>
      <c r="AS39" s="518">
        <f t="shared" si="36"/>
        <v>688.7</v>
      </c>
      <c r="AT39" s="518">
        <f t="shared" si="37"/>
        <v>1607.9597499999998</v>
      </c>
      <c r="AU39" s="518">
        <f t="shared" si="38"/>
        <v>690.61666666666667</v>
      </c>
      <c r="AV39" s="518">
        <f t="shared" si="39"/>
        <v>1347.6258333333333</v>
      </c>
      <c r="AW39" s="518">
        <f t="shared" si="41"/>
        <v>1038.7249999999999</v>
      </c>
      <c r="AX39" s="518">
        <f t="shared" si="42"/>
        <v>1395.9028333333333</v>
      </c>
      <c r="AY39" s="518">
        <f t="shared" ref="AY39:AY102" si="43">$J$38/120</f>
        <v>1365.0055</v>
      </c>
      <c r="AZ39" s="518">
        <f>$J$39/120</f>
        <v>1159.0916666666667</v>
      </c>
      <c r="BA39" s="518"/>
      <c r="BB39" s="518"/>
      <c r="BC39" s="518"/>
      <c r="BD39" s="518"/>
      <c r="BE39" s="518"/>
      <c r="BF39" s="518"/>
      <c r="BG39" s="518"/>
      <c r="BH39" s="518"/>
      <c r="BI39" s="518"/>
      <c r="BJ39" s="518"/>
      <c r="BK39" s="518"/>
      <c r="BL39" s="518"/>
      <c r="BM39" s="518"/>
      <c r="BN39" s="518"/>
      <c r="BO39" s="518"/>
      <c r="BP39" s="518"/>
      <c r="BQ39" s="518">
        <f t="shared" si="8"/>
        <v>64297.302666666656</v>
      </c>
    </row>
    <row r="40" spans="1:69" s="585" customFormat="1" ht="12.75" customHeight="1">
      <c r="A40" s="308" t="s">
        <v>59</v>
      </c>
      <c r="B40" s="308">
        <f t="shared" si="20"/>
        <v>2018</v>
      </c>
      <c r="C40" s="308" t="s">
        <v>47</v>
      </c>
      <c r="D40" s="518">
        <f>6364.8+6250</f>
        <v>12614.8</v>
      </c>
      <c r="E40" s="518"/>
      <c r="F40" s="518">
        <v>187502</v>
      </c>
      <c r="G40" s="518"/>
      <c r="H40" s="518">
        <v>118580.67</v>
      </c>
      <c r="I40" s="518"/>
      <c r="J40" s="518">
        <f t="shared" si="40"/>
        <v>318697.46999999997</v>
      </c>
      <c r="K40" s="518">
        <f t="shared" si="5"/>
        <v>8034373.79</v>
      </c>
      <c r="L40" s="518"/>
      <c r="M40" s="518">
        <f>43941.75+6421.14+26889.63-79.77-81.35</f>
        <v>77091.399999999994</v>
      </c>
      <c r="N40" s="518">
        <f t="shared" si="6"/>
        <v>1408047.0399999996</v>
      </c>
      <c r="O40" s="518"/>
      <c r="P40" s="518">
        <f t="shared" si="3"/>
        <v>6626326.75</v>
      </c>
      <c r="R40" s="518">
        <f t="shared" si="4"/>
        <v>0</v>
      </c>
      <c r="S40" s="518">
        <f t="shared" si="7"/>
        <v>415.79166666666669</v>
      </c>
      <c r="T40" s="518">
        <f t="shared" si="9"/>
        <v>878.85</v>
      </c>
      <c r="U40" s="518">
        <f t="shared" si="10"/>
        <v>4172.1833333333334</v>
      </c>
      <c r="V40" s="518">
        <f t="shared" si="11"/>
        <v>6601.6416666666664</v>
      </c>
      <c r="W40" s="518">
        <f t="shared" si="13"/>
        <v>5314.0657499999998</v>
      </c>
      <c r="X40" s="518">
        <f t="shared" si="14"/>
        <v>4037.2521666666667</v>
      </c>
      <c r="Y40" s="518">
        <f t="shared" si="15"/>
        <v>2285.2750000000001</v>
      </c>
      <c r="Z40" s="518">
        <f t="shared" si="16"/>
        <v>1091.7583333333334</v>
      </c>
      <c r="AA40" s="518">
        <f t="shared" si="17"/>
        <v>1269.9591666666668</v>
      </c>
      <c r="AB40" s="518">
        <f t="shared" si="18"/>
        <v>606.67849999999999</v>
      </c>
      <c r="AC40" s="518">
        <f t="shared" si="19"/>
        <v>476.46666666666664</v>
      </c>
      <c r="AD40" s="518">
        <f t="shared" si="21"/>
        <v>1657.7180833333332</v>
      </c>
      <c r="AE40" s="518">
        <f t="shared" si="22"/>
        <v>3516.1947500000001</v>
      </c>
      <c r="AF40" s="518">
        <f t="shared" si="23"/>
        <v>1564.4</v>
      </c>
      <c r="AG40" s="518">
        <f t="shared" si="24"/>
        <v>2587.7750000000001</v>
      </c>
      <c r="AH40" s="518">
        <f t="shared" si="25"/>
        <v>2302.7285000000002</v>
      </c>
      <c r="AI40" s="518">
        <f t="shared" si="26"/>
        <v>1957.7</v>
      </c>
      <c r="AJ40" s="518">
        <f t="shared" si="27"/>
        <v>1067.125</v>
      </c>
      <c r="AK40" s="518">
        <f t="shared" si="28"/>
        <v>1806.075</v>
      </c>
      <c r="AL40" s="518">
        <f t="shared" si="29"/>
        <v>1723.2054166666667</v>
      </c>
      <c r="AM40" s="518">
        <f t="shared" si="30"/>
        <v>3010.375</v>
      </c>
      <c r="AN40" s="518">
        <f t="shared" si="31"/>
        <v>920.83333333333337</v>
      </c>
      <c r="AO40" s="518">
        <f t="shared" si="32"/>
        <v>1423.5416666666667</v>
      </c>
      <c r="AP40" s="518">
        <f t="shared" si="33"/>
        <v>1452.5480833333336</v>
      </c>
      <c r="AQ40" s="518">
        <f t="shared" si="34"/>
        <v>783.11666666666667</v>
      </c>
      <c r="AR40" s="518">
        <f t="shared" si="35"/>
        <v>2080.4166666666665</v>
      </c>
      <c r="AS40" s="518">
        <f t="shared" si="36"/>
        <v>688.7</v>
      </c>
      <c r="AT40" s="518">
        <f t="shared" si="37"/>
        <v>1607.9597499999998</v>
      </c>
      <c r="AU40" s="518">
        <f t="shared" si="38"/>
        <v>690.61666666666667</v>
      </c>
      <c r="AV40" s="518">
        <f t="shared" si="39"/>
        <v>1347.6258333333333</v>
      </c>
      <c r="AW40" s="518">
        <f t="shared" si="41"/>
        <v>1038.7249999999999</v>
      </c>
      <c r="AX40" s="518">
        <f t="shared" si="42"/>
        <v>1395.9028333333333</v>
      </c>
      <c r="AY40" s="518">
        <f t="shared" si="43"/>
        <v>1365.0055</v>
      </c>
      <c r="AZ40" s="518">
        <f t="shared" ref="AZ40:AZ103" si="44">$J$39/120</f>
        <v>1159.0916666666667</v>
      </c>
      <c r="BA40" s="518">
        <f>$J$40/120</f>
        <v>2655.8122499999999</v>
      </c>
      <c r="BB40" s="518"/>
      <c r="BC40" s="518"/>
      <c r="BD40" s="518"/>
      <c r="BE40" s="518"/>
      <c r="BF40" s="518"/>
      <c r="BG40" s="518"/>
      <c r="BH40" s="518"/>
      <c r="BI40" s="518"/>
      <c r="BJ40" s="518"/>
      <c r="BK40" s="518"/>
      <c r="BL40" s="518"/>
      <c r="BM40" s="518"/>
      <c r="BN40" s="518"/>
      <c r="BO40" s="518"/>
      <c r="BP40" s="518"/>
      <c r="BQ40" s="518">
        <f t="shared" si="8"/>
        <v>66953.114916666658</v>
      </c>
    </row>
    <row r="41" spans="1:69" s="585" customFormat="1" ht="12.75" customHeight="1">
      <c r="A41" s="308" t="s">
        <v>46</v>
      </c>
      <c r="B41" s="308">
        <f t="shared" si="20"/>
        <v>2018</v>
      </c>
      <c r="C41" s="308" t="s">
        <v>47</v>
      </c>
      <c r="D41" s="518"/>
      <c r="E41" s="518"/>
      <c r="F41" s="518">
        <v>56200</v>
      </c>
      <c r="G41" s="518"/>
      <c r="H41" s="518">
        <v>0</v>
      </c>
      <c r="I41" s="518"/>
      <c r="J41" s="518">
        <f t="shared" si="40"/>
        <v>56200</v>
      </c>
      <c r="K41" s="518">
        <f t="shared" si="5"/>
        <v>8090573.79</v>
      </c>
      <c r="L41" s="518"/>
      <c r="M41" s="518">
        <f>26394.87+8592.7+33914.42-79.77-81.35</f>
        <v>68740.869999999981</v>
      </c>
      <c r="N41" s="518">
        <f t="shared" si="6"/>
        <v>1476787.9099999995</v>
      </c>
      <c r="O41" s="518"/>
      <c r="P41" s="518">
        <f t="shared" si="3"/>
        <v>6613785.8800000008</v>
      </c>
      <c r="R41" s="518">
        <f t="shared" si="4"/>
        <v>0</v>
      </c>
      <c r="S41" s="518">
        <f t="shared" si="7"/>
        <v>415.79166666666669</v>
      </c>
      <c r="T41" s="518">
        <f t="shared" si="9"/>
        <v>878.85</v>
      </c>
      <c r="U41" s="518">
        <f t="shared" si="10"/>
        <v>4172.1833333333334</v>
      </c>
      <c r="V41" s="518">
        <f t="shared" si="11"/>
        <v>6601.6416666666664</v>
      </c>
      <c r="W41" s="518">
        <f t="shared" si="13"/>
        <v>5314.0657499999998</v>
      </c>
      <c r="X41" s="518">
        <f t="shared" si="14"/>
        <v>4037.2521666666667</v>
      </c>
      <c r="Y41" s="518">
        <f t="shared" si="15"/>
        <v>2285.2750000000001</v>
      </c>
      <c r="Z41" s="518">
        <f t="shared" si="16"/>
        <v>1091.7583333333334</v>
      </c>
      <c r="AA41" s="518">
        <f t="shared" si="17"/>
        <v>1269.9591666666668</v>
      </c>
      <c r="AB41" s="518">
        <f t="shared" si="18"/>
        <v>606.67849999999999</v>
      </c>
      <c r="AC41" s="518">
        <f t="shared" si="19"/>
        <v>476.46666666666664</v>
      </c>
      <c r="AD41" s="518">
        <f t="shared" si="21"/>
        <v>1657.7180833333332</v>
      </c>
      <c r="AE41" s="518">
        <f t="shared" si="22"/>
        <v>3516.1947500000001</v>
      </c>
      <c r="AF41" s="518">
        <f t="shared" si="23"/>
        <v>1564.4</v>
      </c>
      <c r="AG41" s="518">
        <f t="shared" si="24"/>
        <v>2587.7750000000001</v>
      </c>
      <c r="AH41" s="518">
        <f t="shared" si="25"/>
        <v>2302.7285000000002</v>
      </c>
      <c r="AI41" s="518">
        <f t="shared" si="26"/>
        <v>1957.7</v>
      </c>
      <c r="AJ41" s="518">
        <f t="shared" si="27"/>
        <v>1067.125</v>
      </c>
      <c r="AK41" s="518">
        <f t="shared" si="28"/>
        <v>1806.075</v>
      </c>
      <c r="AL41" s="518">
        <f t="shared" si="29"/>
        <v>1723.2054166666667</v>
      </c>
      <c r="AM41" s="518">
        <f t="shared" si="30"/>
        <v>3010.375</v>
      </c>
      <c r="AN41" s="518">
        <f t="shared" si="31"/>
        <v>920.83333333333337</v>
      </c>
      <c r="AO41" s="518">
        <f t="shared" si="32"/>
        <v>1423.5416666666667</v>
      </c>
      <c r="AP41" s="518">
        <f t="shared" si="33"/>
        <v>1452.5480833333336</v>
      </c>
      <c r="AQ41" s="518">
        <f t="shared" si="34"/>
        <v>783.11666666666667</v>
      </c>
      <c r="AR41" s="518">
        <f t="shared" si="35"/>
        <v>2080.4166666666665</v>
      </c>
      <c r="AS41" s="518">
        <f t="shared" si="36"/>
        <v>688.7</v>
      </c>
      <c r="AT41" s="518">
        <f t="shared" si="37"/>
        <v>1607.9597499999998</v>
      </c>
      <c r="AU41" s="518">
        <f t="shared" si="38"/>
        <v>690.61666666666667</v>
      </c>
      <c r="AV41" s="518">
        <f t="shared" si="39"/>
        <v>1347.6258333333333</v>
      </c>
      <c r="AW41" s="518">
        <f t="shared" si="41"/>
        <v>1038.7249999999999</v>
      </c>
      <c r="AX41" s="518">
        <f t="shared" si="42"/>
        <v>1395.9028333333333</v>
      </c>
      <c r="AY41" s="518">
        <f t="shared" si="43"/>
        <v>1365.0055</v>
      </c>
      <c r="AZ41" s="518">
        <f t="shared" si="44"/>
        <v>1159.0916666666667</v>
      </c>
      <c r="BA41" s="518">
        <f t="shared" ref="BA41:BA104" si="45">$J$40/120</f>
        <v>2655.8122499999999</v>
      </c>
      <c r="BB41" s="518">
        <f>$J$41/120</f>
        <v>468.33333333333331</v>
      </c>
      <c r="BC41" s="518"/>
      <c r="BD41" s="518"/>
      <c r="BE41" s="518"/>
      <c r="BF41" s="518"/>
      <c r="BG41" s="518"/>
      <c r="BH41" s="518"/>
      <c r="BI41" s="518"/>
      <c r="BJ41" s="518"/>
      <c r="BK41" s="518"/>
      <c r="BL41" s="518"/>
      <c r="BM41" s="518"/>
      <c r="BN41" s="518"/>
      <c r="BO41" s="518"/>
      <c r="BP41" s="518"/>
      <c r="BQ41" s="518">
        <f t="shared" si="8"/>
        <v>67421.448249999987</v>
      </c>
    </row>
    <row r="42" spans="1:69" s="585" customFormat="1" ht="12.75" customHeight="1">
      <c r="A42" s="308" t="s">
        <v>48</v>
      </c>
      <c r="B42" s="308">
        <f t="shared" si="20"/>
        <v>2018</v>
      </c>
      <c r="C42" s="308" t="s">
        <v>47</v>
      </c>
      <c r="D42" s="518">
        <v>2500</v>
      </c>
      <c r="E42" s="518"/>
      <c r="F42" s="518">
        <v>195086</v>
      </c>
      <c r="G42" s="518"/>
      <c r="H42" s="518">
        <v>12232</v>
      </c>
      <c r="I42" s="518"/>
      <c r="J42" s="518">
        <f t="shared" si="40"/>
        <v>209818</v>
      </c>
      <c r="K42" s="518">
        <f t="shared" si="5"/>
        <v>8300391.79</v>
      </c>
      <c r="L42" s="518"/>
      <c r="M42" s="518">
        <f>16956.65+5001.38+31682.96-3936.32-79.77-81.35</f>
        <v>49543.55000000001</v>
      </c>
      <c r="N42" s="518">
        <f t="shared" si="6"/>
        <v>1526331.4599999995</v>
      </c>
      <c r="O42" s="518"/>
      <c r="P42" s="518">
        <f t="shared" si="3"/>
        <v>6774060.3300000001</v>
      </c>
      <c r="R42" s="518">
        <f t="shared" si="4"/>
        <v>0</v>
      </c>
      <c r="S42" s="518">
        <f t="shared" si="7"/>
        <v>415.79166666666669</v>
      </c>
      <c r="T42" s="518">
        <f t="shared" si="9"/>
        <v>878.85</v>
      </c>
      <c r="U42" s="518">
        <f t="shared" si="10"/>
        <v>4172.1833333333334</v>
      </c>
      <c r="V42" s="518">
        <f t="shared" si="11"/>
        <v>6601.6416666666664</v>
      </c>
      <c r="W42" s="518">
        <f t="shared" si="13"/>
        <v>5314.0657499999998</v>
      </c>
      <c r="X42" s="518">
        <f t="shared" si="14"/>
        <v>4037.2521666666667</v>
      </c>
      <c r="Y42" s="518">
        <f t="shared" si="15"/>
        <v>2285.2750000000001</v>
      </c>
      <c r="Z42" s="518">
        <f t="shared" si="16"/>
        <v>1091.7583333333334</v>
      </c>
      <c r="AA42" s="518">
        <f t="shared" si="17"/>
        <v>1269.9591666666668</v>
      </c>
      <c r="AB42" s="518">
        <f t="shared" si="18"/>
        <v>606.67849999999999</v>
      </c>
      <c r="AC42" s="518">
        <f t="shared" si="19"/>
        <v>476.46666666666664</v>
      </c>
      <c r="AD42" s="518">
        <f t="shared" si="21"/>
        <v>1657.7180833333332</v>
      </c>
      <c r="AE42" s="518">
        <f t="shared" si="22"/>
        <v>3516.1947500000001</v>
      </c>
      <c r="AF42" s="518">
        <f t="shared" si="23"/>
        <v>1564.4</v>
      </c>
      <c r="AG42" s="518">
        <f t="shared" si="24"/>
        <v>2587.7750000000001</v>
      </c>
      <c r="AH42" s="518">
        <f t="shared" si="25"/>
        <v>2302.7285000000002</v>
      </c>
      <c r="AI42" s="518">
        <f t="shared" si="26"/>
        <v>1957.7</v>
      </c>
      <c r="AJ42" s="518">
        <f t="shared" si="27"/>
        <v>1067.125</v>
      </c>
      <c r="AK42" s="518">
        <f t="shared" si="28"/>
        <v>1806.075</v>
      </c>
      <c r="AL42" s="518">
        <f t="shared" si="29"/>
        <v>1723.2054166666667</v>
      </c>
      <c r="AM42" s="518">
        <f t="shared" si="30"/>
        <v>3010.375</v>
      </c>
      <c r="AN42" s="518">
        <f t="shared" si="31"/>
        <v>920.83333333333337</v>
      </c>
      <c r="AO42" s="518">
        <f t="shared" si="32"/>
        <v>1423.5416666666667</v>
      </c>
      <c r="AP42" s="518">
        <f t="shared" si="33"/>
        <v>1452.5480833333336</v>
      </c>
      <c r="AQ42" s="518">
        <f t="shared" si="34"/>
        <v>783.11666666666667</v>
      </c>
      <c r="AR42" s="518">
        <f t="shared" si="35"/>
        <v>2080.4166666666665</v>
      </c>
      <c r="AS42" s="518">
        <f t="shared" si="36"/>
        <v>688.7</v>
      </c>
      <c r="AT42" s="518">
        <f t="shared" si="37"/>
        <v>1607.9597499999998</v>
      </c>
      <c r="AU42" s="518">
        <f t="shared" si="38"/>
        <v>690.61666666666667</v>
      </c>
      <c r="AV42" s="518">
        <f t="shared" si="39"/>
        <v>1347.6258333333333</v>
      </c>
      <c r="AW42" s="518">
        <f t="shared" si="41"/>
        <v>1038.7249999999999</v>
      </c>
      <c r="AX42" s="518">
        <f t="shared" si="42"/>
        <v>1395.9028333333333</v>
      </c>
      <c r="AY42" s="518">
        <f t="shared" si="43"/>
        <v>1365.0055</v>
      </c>
      <c r="AZ42" s="518">
        <f t="shared" si="44"/>
        <v>1159.0916666666667</v>
      </c>
      <c r="BA42" s="518">
        <f t="shared" si="45"/>
        <v>2655.8122499999999</v>
      </c>
      <c r="BB42" s="518">
        <f t="shared" ref="BB42:BB105" si="46">$J$41/120</f>
        <v>468.33333333333331</v>
      </c>
      <c r="BC42" s="518">
        <f>$J$42/120</f>
        <v>1748.4833333333333</v>
      </c>
      <c r="BD42" s="518"/>
      <c r="BE42" s="518"/>
      <c r="BF42" s="518"/>
      <c r="BG42" s="518"/>
      <c r="BH42" s="518"/>
      <c r="BI42" s="518"/>
      <c r="BJ42" s="518"/>
      <c r="BK42" s="518"/>
      <c r="BL42" s="518"/>
      <c r="BM42" s="518"/>
      <c r="BN42" s="518"/>
      <c r="BO42" s="518"/>
      <c r="BP42" s="518"/>
      <c r="BQ42" s="518">
        <f t="shared" si="8"/>
        <v>69169.931583333324</v>
      </c>
    </row>
    <row r="43" spans="1:69" s="585" customFormat="1" ht="12.75" customHeight="1" outlineLevel="1">
      <c r="A43" s="308" t="s">
        <v>50</v>
      </c>
      <c r="B43" s="308">
        <f t="shared" si="20"/>
        <v>2018</v>
      </c>
      <c r="C43" s="308" t="s">
        <v>47</v>
      </c>
      <c r="D43" s="518">
        <v>6500</v>
      </c>
      <c r="E43" s="518"/>
      <c r="F43" s="518">
        <v>168641</v>
      </c>
      <c r="G43" s="518"/>
      <c r="H43" s="518">
        <v>0</v>
      </c>
      <c r="I43" s="518"/>
      <c r="J43" s="518">
        <f t="shared" si="40"/>
        <v>175141</v>
      </c>
      <c r="K43" s="518">
        <f t="shared" si="5"/>
        <v>8475532.7899999991</v>
      </c>
      <c r="L43" s="518"/>
      <c r="M43" s="518">
        <f>30061.1+6948.01+37650.25-79.77-81.35</f>
        <v>74498.239999999991</v>
      </c>
      <c r="N43" s="518">
        <f t="shared" si="6"/>
        <v>1600829.6999999995</v>
      </c>
      <c r="O43" s="518"/>
      <c r="P43" s="518">
        <f t="shared" si="3"/>
        <v>6874703.0899999999</v>
      </c>
      <c r="R43" s="518">
        <f t="shared" si="4"/>
        <v>0</v>
      </c>
      <c r="S43" s="518">
        <f t="shared" si="7"/>
        <v>415.79166666666669</v>
      </c>
      <c r="T43" s="518">
        <f t="shared" si="9"/>
        <v>878.85</v>
      </c>
      <c r="U43" s="518">
        <f t="shared" si="10"/>
        <v>4172.1833333333334</v>
      </c>
      <c r="V43" s="518">
        <f t="shared" si="11"/>
        <v>6601.6416666666664</v>
      </c>
      <c r="W43" s="518">
        <f t="shared" si="13"/>
        <v>5314.0657499999998</v>
      </c>
      <c r="X43" s="518">
        <f t="shared" si="14"/>
        <v>4037.2521666666667</v>
      </c>
      <c r="Y43" s="518">
        <f t="shared" si="15"/>
        <v>2285.2750000000001</v>
      </c>
      <c r="Z43" s="518">
        <f t="shared" si="16"/>
        <v>1091.7583333333334</v>
      </c>
      <c r="AA43" s="518">
        <f t="shared" si="17"/>
        <v>1269.9591666666668</v>
      </c>
      <c r="AB43" s="518">
        <f t="shared" si="18"/>
        <v>606.67849999999999</v>
      </c>
      <c r="AC43" s="518">
        <f t="shared" si="19"/>
        <v>476.46666666666664</v>
      </c>
      <c r="AD43" s="518">
        <f t="shared" si="21"/>
        <v>1657.7180833333332</v>
      </c>
      <c r="AE43" s="518">
        <f t="shared" si="22"/>
        <v>3516.1947500000001</v>
      </c>
      <c r="AF43" s="518">
        <f t="shared" si="23"/>
        <v>1564.4</v>
      </c>
      <c r="AG43" s="518">
        <f t="shared" si="24"/>
        <v>2587.7750000000001</v>
      </c>
      <c r="AH43" s="518">
        <f t="shared" si="25"/>
        <v>2302.7285000000002</v>
      </c>
      <c r="AI43" s="518">
        <f t="shared" si="26"/>
        <v>1957.7</v>
      </c>
      <c r="AJ43" s="518">
        <f t="shared" si="27"/>
        <v>1067.125</v>
      </c>
      <c r="AK43" s="518">
        <f t="shared" si="28"/>
        <v>1806.075</v>
      </c>
      <c r="AL43" s="518">
        <f t="shared" si="29"/>
        <v>1723.2054166666667</v>
      </c>
      <c r="AM43" s="518">
        <f t="shared" si="30"/>
        <v>3010.375</v>
      </c>
      <c r="AN43" s="518">
        <f t="shared" si="31"/>
        <v>920.83333333333337</v>
      </c>
      <c r="AO43" s="518">
        <f t="shared" si="32"/>
        <v>1423.5416666666667</v>
      </c>
      <c r="AP43" s="518">
        <f t="shared" si="33"/>
        <v>1452.5480833333336</v>
      </c>
      <c r="AQ43" s="518">
        <f t="shared" si="34"/>
        <v>783.11666666666667</v>
      </c>
      <c r="AR43" s="518">
        <f t="shared" si="35"/>
        <v>2080.4166666666665</v>
      </c>
      <c r="AS43" s="518">
        <f t="shared" si="36"/>
        <v>688.7</v>
      </c>
      <c r="AT43" s="518">
        <f t="shared" si="37"/>
        <v>1607.9597499999998</v>
      </c>
      <c r="AU43" s="518">
        <f t="shared" si="38"/>
        <v>690.61666666666667</v>
      </c>
      <c r="AV43" s="518">
        <f t="shared" si="39"/>
        <v>1347.6258333333333</v>
      </c>
      <c r="AW43" s="518">
        <f t="shared" si="41"/>
        <v>1038.7249999999999</v>
      </c>
      <c r="AX43" s="518">
        <f t="shared" si="42"/>
        <v>1395.9028333333333</v>
      </c>
      <c r="AY43" s="518">
        <f t="shared" si="43"/>
        <v>1365.0055</v>
      </c>
      <c r="AZ43" s="518">
        <f t="shared" si="44"/>
        <v>1159.0916666666667</v>
      </c>
      <c r="BA43" s="518">
        <f t="shared" si="45"/>
        <v>2655.8122499999999</v>
      </c>
      <c r="BB43" s="518">
        <f t="shared" si="46"/>
        <v>468.33333333333331</v>
      </c>
      <c r="BC43" s="518">
        <f t="shared" ref="BC43:BC106" si="47">$J$42/120</f>
        <v>1748.4833333333333</v>
      </c>
      <c r="BD43" s="518">
        <f>$J$43/120</f>
        <v>1459.5083333333334</v>
      </c>
      <c r="BE43" s="518"/>
      <c r="BF43" s="518"/>
      <c r="BG43" s="518"/>
      <c r="BH43" s="518"/>
      <c r="BI43" s="518"/>
      <c r="BJ43" s="518"/>
      <c r="BK43" s="518"/>
      <c r="BL43" s="518"/>
      <c r="BM43" s="518"/>
      <c r="BN43" s="518"/>
      <c r="BO43" s="518"/>
      <c r="BP43" s="518"/>
      <c r="BQ43" s="518">
        <f t="shared" si="8"/>
        <v>70629.439916666655</v>
      </c>
    </row>
    <row r="44" spans="1:69" s="585" customFormat="1" ht="12.75" customHeight="1" outlineLevel="1">
      <c r="A44" s="308" t="s">
        <v>51</v>
      </c>
      <c r="B44" s="308">
        <f t="shared" si="20"/>
        <v>2018</v>
      </c>
      <c r="C44" s="308" t="s">
        <v>47</v>
      </c>
      <c r="D44" s="518"/>
      <c r="E44" s="518"/>
      <c r="F44" s="518">
        <v>184818</v>
      </c>
      <c r="G44" s="518"/>
      <c r="H44" s="518">
        <v>0</v>
      </c>
      <c r="I44" s="518"/>
      <c r="J44" s="518">
        <f t="shared" si="40"/>
        <v>184818</v>
      </c>
      <c r="K44" s="518">
        <f t="shared" si="5"/>
        <v>8660350.7899999991</v>
      </c>
      <c r="L44" s="518"/>
      <c r="M44" s="518">
        <f>26001.33+33036.4+6748.01-79.77-81.35</f>
        <v>65624.62</v>
      </c>
      <c r="N44" s="518">
        <f t="shared" si="6"/>
        <v>1666454.3199999994</v>
      </c>
      <c r="O44" s="518"/>
      <c r="P44" s="518">
        <f t="shared" si="3"/>
        <v>6993896.4699999997</v>
      </c>
      <c r="R44" s="518">
        <f t="shared" si="4"/>
        <v>0</v>
      </c>
      <c r="S44" s="518">
        <f t="shared" si="7"/>
        <v>415.79166666666669</v>
      </c>
      <c r="T44" s="518">
        <f t="shared" si="9"/>
        <v>878.85</v>
      </c>
      <c r="U44" s="518">
        <f t="shared" si="10"/>
        <v>4172.1833333333334</v>
      </c>
      <c r="V44" s="518">
        <f t="shared" si="11"/>
        <v>6601.6416666666664</v>
      </c>
      <c r="W44" s="518">
        <f t="shared" si="13"/>
        <v>5314.0657499999998</v>
      </c>
      <c r="X44" s="518">
        <f t="shared" si="14"/>
        <v>4037.2521666666667</v>
      </c>
      <c r="Y44" s="518">
        <f t="shared" si="15"/>
        <v>2285.2750000000001</v>
      </c>
      <c r="Z44" s="518">
        <f t="shared" si="16"/>
        <v>1091.7583333333334</v>
      </c>
      <c r="AA44" s="518">
        <f t="shared" si="17"/>
        <v>1269.9591666666668</v>
      </c>
      <c r="AB44" s="518">
        <f t="shared" si="18"/>
        <v>606.67849999999999</v>
      </c>
      <c r="AC44" s="518">
        <f t="shared" si="19"/>
        <v>476.46666666666664</v>
      </c>
      <c r="AD44" s="518">
        <f t="shared" si="21"/>
        <v>1657.7180833333332</v>
      </c>
      <c r="AE44" s="518">
        <f t="shared" si="22"/>
        <v>3516.1947500000001</v>
      </c>
      <c r="AF44" s="518">
        <f t="shared" si="23"/>
        <v>1564.4</v>
      </c>
      <c r="AG44" s="518">
        <f t="shared" si="24"/>
        <v>2587.7750000000001</v>
      </c>
      <c r="AH44" s="518">
        <f t="shared" si="25"/>
        <v>2302.7285000000002</v>
      </c>
      <c r="AI44" s="518">
        <f t="shared" si="26"/>
        <v>1957.7</v>
      </c>
      <c r="AJ44" s="518">
        <f t="shared" si="27"/>
        <v>1067.125</v>
      </c>
      <c r="AK44" s="518">
        <f t="shared" si="28"/>
        <v>1806.075</v>
      </c>
      <c r="AL44" s="518">
        <f t="shared" si="29"/>
        <v>1723.2054166666667</v>
      </c>
      <c r="AM44" s="518">
        <f t="shared" si="30"/>
        <v>3010.375</v>
      </c>
      <c r="AN44" s="518">
        <f t="shared" si="31"/>
        <v>920.83333333333337</v>
      </c>
      <c r="AO44" s="518">
        <f t="shared" si="32"/>
        <v>1423.5416666666667</v>
      </c>
      <c r="AP44" s="518">
        <f t="shared" si="33"/>
        <v>1452.5480833333336</v>
      </c>
      <c r="AQ44" s="518">
        <f t="shared" si="34"/>
        <v>783.11666666666667</v>
      </c>
      <c r="AR44" s="518">
        <f t="shared" si="35"/>
        <v>2080.4166666666665</v>
      </c>
      <c r="AS44" s="518">
        <f t="shared" si="36"/>
        <v>688.7</v>
      </c>
      <c r="AT44" s="518">
        <f t="shared" si="37"/>
        <v>1607.9597499999998</v>
      </c>
      <c r="AU44" s="518">
        <f t="shared" si="38"/>
        <v>690.61666666666667</v>
      </c>
      <c r="AV44" s="518">
        <f t="shared" si="39"/>
        <v>1347.6258333333333</v>
      </c>
      <c r="AW44" s="518">
        <f t="shared" si="41"/>
        <v>1038.7249999999999</v>
      </c>
      <c r="AX44" s="518">
        <f t="shared" si="42"/>
        <v>1395.9028333333333</v>
      </c>
      <c r="AY44" s="518">
        <f t="shared" si="43"/>
        <v>1365.0055</v>
      </c>
      <c r="AZ44" s="518">
        <f t="shared" si="44"/>
        <v>1159.0916666666667</v>
      </c>
      <c r="BA44" s="518">
        <f t="shared" si="45"/>
        <v>2655.8122499999999</v>
      </c>
      <c r="BB44" s="518">
        <f t="shared" si="46"/>
        <v>468.33333333333331</v>
      </c>
      <c r="BC44" s="518">
        <f t="shared" si="47"/>
        <v>1748.4833333333333</v>
      </c>
      <c r="BD44" s="518">
        <f t="shared" ref="BD44:BD107" si="48">$J$43/120</f>
        <v>1459.5083333333334</v>
      </c>
      <c r="BE44" s="518">
        <f>$J$44/120</f>
        <v>1540.15</v>
      </c>
      <c r="BF44" s="518"/>
      <c r="BG44" s="518"/>
      <c r="BH44" s="518"/>
      <c r="BI44" s="518"/>
      <c r="BJ44" s="518"/>
      <c r="BK44" s="518"/>
      <c r="BL44" s="518"/>
      <c r="BM44" s="518"/>
      <c r="BN44" s="518"/>
      <c r="BO44" s="518"/>
      <c r="BP44" s="518"/>
      <c r="BQ44" s="518">
        <f t="shared" si="8"/>
        <v>72169.58991666665</v>
      </c>
    </row>
    <row r="45" spans="1:69" s="585" customFormat="1" ht="12.75" customHeight="1" outlineLevel="1">
      <c r="A45" s="308" t="s">
        <v>52</v>
      </c>
      <c r="B45" s="308">
        <f t="shared" si="20"/>
        <v>2018</v>
      </c>
      <c r="C45" s="308" t="s">
        <v>47</v>
      </c>
      <c r="D45" s="518">
        <v>3000</v>
      </c>
      <c r="E45" s="518"/>
      <c r="F45" s="518">
        <v>126700</v>
      </c>
      <c r="G45" s="518"/>
      <c r="H45" s="518">
        <v>0</v>
      </c>
      <c r="I45" s="518"/>
      <c r="J45" s="518">
        <f t="shared" si="40"/>
        <v>129700</v>
      </c>
      <c r="K45" s="518">
        <f t="shared" si="5"/>
        <v>8790050.7899999991</v>
      </c>
      <c r="L45" s="518"/>
      <c r="M45" s="518">
        <f>19832.96+6848.01+29516.02-79.77-81.35</f>
        <v>56035.87000000001</v>
      </c>
      <c r="N45" s="518">
        <f t="shared" si="6"/>
        <v>1722490.1899999995</v>
      </c>
      <c r="O45" s="518"/>
      <c r="P45" s="518">
        <f t="shared" si="3"/>
        <v>7067560.5999999996</v>
      </c>
      <c r="R45" s="518">
        <f t="shared" si="4"/>
        <v>0</v>
      </c>
      <c r="S45" s="518">
        <f t="shared" si="7"/>
        <v>415.79166666666669</v>
      </c>
      <c r="T45" s="518">
        <f t="shared" si="9"/>
        <v>878.85</v>
      </c>
      <c r="U45" s="518">
        <f t="shared" si="10"/>
        <v>4172.1833333333334</v>
      </c>
      <c r="V45" s="518">
        <f t="shared" si="11"/>
        <v>6601.6416666666664</v>
      </c>
      <c r="W45" s="518">
        <f t="shared" si="13"/>
        <v>5314.0657499999998</v>
      </c>
      <c r="X45" s="518">
        <f t="shared" si="14"/>
        <v>4037.2521666666667</v>
      </c>
      <c r="Y45" s="518">
        <f t="shared" si="15"/>
        <v>2285.2750000000001</v>
      </c>
      <c r="Z45" s="518">
        <f t="shared" si="16"/>
        <v>1091.7583333333334</v>
      </c>
      <c r="AA45" s="518">
        <f t="shared" si="17"/>
        <v>1269.9591666666668</v>
      </c>
      <c r="AB45" s="518">
        <f t="shared" si="18"/>
        <v>606.67849999999999</v>
      </c>
      <c r="AC45" s="518">
        <f t="shared" si="19"/>
        <v>476.46666666666664</v>
      </c>
      <c r="AD45" s="518">
        <f t="shared" si="21"/>
        <v>1657.7180833333332</v>
      </c>
      <c r="AE45" s="518">
        <f t="shared" si="22"/>
        <v>3516.1947500000001</v>
      </c>
      <c r="AF45" s="518">
        <f t="shared" si="23"/>
        <v>1564.4</v>
      </c>
      <c r="AG45" s="518">
        <f t="shared" si="24"/>
        <v>2587.7750000000001</v>
      </c>
      <c r="AH45" s="518">
        <f t="shared" si="25"/>
        <v>2302.7285000000002</v>
      </c>
      <c r="AI45" s="518">
        <f t="shared" si="26"/>
        <v>1957.7</v>
      </c>
      <c r="AJ45" s="518">
        <f t="shared" si="27"/>
        <v>1067.125</v>
      </c>
      <c r="AK45" s="518">
        <f t="shared" si="28"/>
        <v>1806.075</v>
      </c>
      <c r="AL45" s="518">
        <f t="shared" si="29"/>
        <v>1723.2054166666667</v>
      </c>
      <c r="AM45" s="518">
        <f t="shared" si="30"/>
        <v>3010.375</v>
      </c>
      <c r="AN45" s="518">
        <f t="shared" si="31"/>
        <v>920.83333333333337</v>
      </c>
      <c r="AO45" s="518">
        <f t="shared" si="32"/>
        <v>1423.5416666666667</v>
      </c>
      <c r="AP45" s="518">
        <f t="shared" si="33"/>
        <v>1452.5480833333336</v>
      </c>
      <c r="AQ45" s="518">
        <f t="shared" si="34"/>
        <v>783.11666666666667</v>
      </c>
      <c r="AR45" s="518">
        <f t="shared" si="35"/>
        <v>2080.4166666666665</v>
      </c>
      <c r="AS45" s="518">
        <f t="shared" si="36"/>
        <v>688.7</v>
      </c>
      <c r="AT45" s="518">
        <f t="shared" si="37"/>
        <v>1607.9597499999998</v>
      </c>
      <c r="AU45" s="518">
        <f t="shared" si="38"/>
        <v>690.61666666666667</v>
      </c>
      <c r="AV45" s="518">
        <f t="shared" si="39"/>
        <v>1347.6258333333333</v>
      </c>
      <c r="AW45" s="518">
        <f t="shared" si="41"/>
        <v>1038.7249999999999</v>
      </c>
      <c r="AX45" s="518">
        <f t="shared" si="42"/>
        <v>1395.9028333333333</v>
      </c>
      <c r="AY45" s="518">
        <f t="shared" si="43"/>
        <v>1365.0055</v>
      </c>
      <c r="AZ45" s="518">
        <f t="shared" si="44"/>
        <v>1159.0916666666667</v>
      </c>
      <c r="BA45" s="518">
        <f t="shared" si="45"/>
        <v>2655.8122499999999</v>
      </c>
      <c r="BB45" s="518">
        <f t="shared" si="46"/>
        <v>468.33333333333331</v>
      </c>
      <c r="BC45" s="518">
        <f t="shared" si="47"/>
        <v>1748.4833333333333</v>
      </c>
      <c r="BD45" s="518">
        <f t="shared" si="48"/>
        <v>1459.5083333333334</v>
      </c>
      <c r="BE45" s="518">
        <f t="shared" ref="BE45:BE108" si="49">$J$44/120</f>
        <v>1540.15</v>
      </c>
      <c r="BF45" s="518">
        <f>$J$45/120</f>
        <v>1080.8333333333333</v>
      </c>
      <c r="BG45" s="518"/>
      <c r="BH45" s="518"/>
      <c r="BI45" s="518"/>
      <c r="BJ45" s="518"/>
      <c r="BK45" s="518"/>
      <c r="BL45" s="518"/>
      <c r="BM45" s="518"/>
      <c r="BN45" s="518"/>
      <c r="BO45" s="518"/>
      <c r="BP45" s="518"/>
      <c r="BQ45" s="518">
        <f t="shared" si="8"/>
        <v>73250.423249999978</v>
      </c>
    </row>
    <row r="46" spans="1:69" s="585" customFormat="1" ht="12.75" customHeight="1" outlineLevel="1">
      <c r="A46" s="308" t="s">
        <v>53</v>
      </c>
      <c r="B46" s="308">
        <f t="shared" si="20"/>
        <v>2019</v>
      </c>
      <c r="C46" s="308" t="s">
        <v>47</v>
      </c>
      <c r="D46" s="518">
        <v>2680</v>
      </c>
      <c r="E46" s="518"/>
      <c r="F46" s="518">
        <v>195372</v>
      </c>
      <c r="G46" s="518"/>
      <c r="H46" s="518"/>
      <c r="I46" s="518"/>
      <c r="J46" s="518">
        <f t="shared" si="40"/>
        <v>198052</v>
      </c>
      <c r="K46" s="518">
        <f t="shared" si="5"/>
        <v>8988102.7899999991</v>
      </c>
      <c r="L46" s="518"/>
      <c r="M46" s="518">
        <f>22532.65+6848.01+31755.55-79.77-81.35</f>
        <v>60975.090000000011</v>
      </c>
      <c r="N46" s="518">
        <f t="shared" si="6"/>
        <v>1783465.2799999996</v>
      </c>
      <c r="O46" s="518"/>
      <c r="P46" s="518">
        <f t="shared" si="3"/>
        <v>7204637.5099999998</v>
      </c>
      <c r="R46" s="518">
        <f t="shared" si="4"/>
        <v>0</v>
      </c>
      <c r="S46" s="518">
        <f t="shared" si="7"/>
        <v>415.79166666666669</v>
      </c>
      <c r="T46" s="518">
        <f t="shared" si="9"/>
        <v>878.85</v>
      </c>
      <c r="U46" s="518">
        <f t="shared" si="10"/>
        <v>4172.1833333333334</v>
      </c>
      <c r="V46" s="518">
        <f t="shared" si="11"/>
        <v>6601.6416666666664</v>
      </c>
      <c r="W46" s="518">
        <f t="shared" si="13"/>
        <v>5314.0657499999998</v>
      </c>
      <c r="X46" s="518">
        <f t="shared" si="14"/>
        <v>4037.2521666666667</v>
      </c>
      <c r="Y46" s="518">
        <f t="shared" si="15"/>
        <v>2285.2750000000001</v>
      </c>
      <c r="Z46" s="518">
        <f t="shared" si="16"/>
        <v>1091.7583333333334</v>
      </c>
      <c r="AA46" s="518">
        <f t="shared" si="17"/>
        <v>1269.9591666666668</v>
      </c>
      <c r="AB46" s="518">
        <f t="shared" si="18"/>
        <v>606.67849999999999</v>
      </c>
      <c r="AC46" s="518">
        <f t="shared" si="19"/>
        <v>476.46666666666664</v>
      </c>
      <c r="AD46" s="518">
        <f t="shared" si="21"/>
        <v>1657.7180833333332</v>
      </c>
      <c r="AE46" s="518">
        <f t="shared" si="22"/>
        <v>3516.1947500000001</v>
      </c>
      <c r="AF46" s="518">
        <f t="shared" si="23"/>
        <v>1564.4</v>
      </c>
      <c r="AG46" s="518">
        <f t="shared" si="24"/>
        <v>2587.7750000000001</v>
      </c>
      <c r="AH46" s="518">
        <f t="shared" si="25"/>
        <v>2302.7285000000002</v>
      </c>
      <c r="AI46" s="518">
        <f t="shared" si="26"/>
        <v>1957.7</v>
      </c>
      <c r="AJ46" s="518">
        <f t="shared" si="27"/>
        <v>1067.125</v>
      </c>
      <c r="AK46" s="518">
        <f t="shared" si="28"/>
        <v>1806.075</v>
      </c>
      <c r="AL46" s="518">
        <f t="shared" si="29"/>
        <v>1723.2054166666667</v>
      </c>
      <c r="AM46" s="518">
        <f t="shared" si="30"/>
        <v>3010.375</v>
      </c>
      <c r="AN46" s="518">
        <f t="shared" si="31"/>
        <v>920.83333333333337</v>
      </c>
      <c r="AO46" s="518">
        <f t="shared" si="32"/>
        <v>1423.5416666666667</v>
      </c>
      <c r="AP46" s="518">
        <f t="shared" si="33"/>
        <v>1452.5480833333336</v>
      </c>
      <c r="AQ46" s="518">
        <f t="shared" si="34"/>
        <v>783.11666666666667</v>
      </c>
      <c r="AR46" s="518">
        <f t="shared" si="35"/>
        <v>2080.4166666666665</v>
      </c>
      <c r="AS46" s="518">
        <f t="shared" si="36"/>
        <v>688.7</v>
      </c>
      <c r="AT46" s="518">
        <f t="shared" si="37"/>
        <v>1607.9597499999998</v>
      </c>
      <c r="AU46" s="518">
        <f t="shared" si="38"/>
        <v>690.61666666666667</v>
      </c>
      <c r="AV46" s="518">
        <f t="shared" si="39"/>
        <v>1347.6258333333333</v>
      </c>
      <c r="AW46" s="518">
        <f t="shared" si="41"/>
        <v>1038.7249999999999</v>
      </c>
      <c r="AX46" s="518">
        <f t="shared" si="42"/>
        <v>1395.9028333333333</v>
      </c>
      <c r="AY46" s="518">
        <f t="shared" si="43"/>
        <v>1365.0055</v>
      </c>
      <c r="AZ46" s="518">
        <f t="shared" si="44"/>
        <v>1159.0916666666667</v>
      </c>
      <c r="BA46" s="518">
        <f t="shared" si="45"/>
        <v>2655.8122499999999</v>
      </c>
      <c r="BB46" s="518">
        <f t="shared" si="46"/>
        <v>468.33333333333331</v>
      </c>
      <c r="BC46" s="518">
        <f t="shared" si="47"/>
        <v>1748.4833333333333</v>
      </c>
      <c r="BD46" s="518">
        <f t="shared" si="48"/>
        <v>1459.5083333333334</v>
      </c>
      <c r="BE46" s="518">
        <f t="shared" si="49"/>
        <v>1540.15</v>
      </c>
      <c r="BF46" s="518">
        <f t="shared" ref="BF46:BF109" si="50">$J$45/120</f>
        <v>1080.8333333333333</v>
      </c>
      <c r="BG46" s="619">
        <f>$J$46/120</f>
        <v>1650.4333333333334</v>
      </c>
      <c r="BH46" s="518"/>
      <c r="BI46" s="518"/>
      <c r="BJ46" s="518"/>
      <c r="BK46" s="518"/>
      <c r="BL46" s="518"/>
      <c r="BM46" s="518"/>
      <c r="BN46" s="518"/>
      <c r="BO46" s="518"/>
      <c r="BP46" s="518"/>
      <c r="BQ46" s="518">
        <f t="shared" si="8"/>
        <v>74900.856583333312</v>
      </c>
    </row>
    <row r="47" spans="1:69" s="585" customFormat="1" ht="12.75" customHeight="1" outlineLevel="1">
      <c r="A47" s="308" t="s">
        <v>54</v>
      </c>
      <c r="B47" s="308">
        <f t="shared" si="20"/>
        <v>2019</v>
      </c>
      <c r="C47" s="308" t="s">
        <v>47</v>
      </c>
      <c r="D47" s="518">
        <v>3500</v>
      </c>
      <c r="E47" s="518"/>
      <c r="F47" s="518">
        <v>93850</v>
      </c>
      <c r="G47" s="518"/>
      <c r="H47" s="518"/>
      <c r="I47" s="518"/>
      <c r="J47" s="518">
        <f t="shared" si="40"/>
        <v>97350</v>
      </c>
      <c r="K47" s="518">
        <f t="shared" si="5"/>
        <v>9085452.7899999991</v>
      </c>
      <c r="L47" s="518"/>
      <c r="M47" s="518">
        <f>19260.38+5769.99+45758.44-79.77-81.35</f>
        <v>70627.689999999988</v>
      </c>
      <c r="N47" s="518">
        <f t="shared" si="6"/>
        <v>1854092.9699999995</v>
      </c>
      <c r="O47" s="518"/>
      <c r="P47" s="518">
        <f t="shared" si="3"/>
        <v>7231359.8199999994</v>
      </c>
      <c r="R47" s="518">
        <f t="shared" si="4"/>
        <v>0</v>
      </c>
      <c r="S47" s="518">
        <f t="shared" si="7"/>
        <v>415.79166666666669</v>
      </c>
      <c r="T47" s="518">
        <f t="shared" si="9"/>
        <v>878.85</v>
      </c>
      <c r="U47" s="518">
        <f t="shared" si="10"/>
        <v>4172.1833333333334</v>
      </c>
      <c r="V47" s="518">
        <f t="shared" si="11"/>
        <v>6601.6416666666664</v>
      </c>
      <c r="W47" s="518">
        <f t="shared" si="13"/>
        <v>5314.0657499999998</v>
      </c>
      <c r="X47" s="518">
        <f t="shared" si="14"/>
        <v>4037.2521666666667</v>
      </c>
      <c r="Y47" s="518">
        <f t="shared" si="15"/>
        <v>2285.2750000000001</v>
      </c>
      <c r="Z47" s="518">
        <f t="shared" si="16"/>
        <v>1091.7583333333334</v>
      </c>
      <c r="AA47" s="518">
        <f t="shared" si="17"/>
        <v>1269.9591666666668</v>
      </c>
      <c r="AB47" s="518">
        <f t="shared" si="18"/>
        <v>606.67849999999999</v>
      </c>
      <c r="AC47" s="518">
        <f t="shared" si="19"/>
        <v>476.46666666666664</v>
      </c>
      <c r="AD47" s="518">
        <f t="shared" si="21"/>
        <v>1657.7180833333332</v>
      </c>
      <c r="AE47" s="518">
        <f t="shared" si="22"/>
        <v>3516.1947500000001</v>
      </c>
      <c r="AF47" s="518">
        <f t="shared" si="23"/>
        <v>1564.4</v>
      </c>
      <c r="AG47" s="518">
        <f t="shared" si="24"/>
        <v>2587.7750000000001</v>
      </c>
      <c r="AH47" s="518">
        <f t="shared" si="25"/>
        <v>2302.7285000000002</v>
      </c>
      <c r="AI47" s="518">
        <f t="shared" si="26"/>
        <v>1957.7</v>
      </c>
      <c r="AJ47" s="518">
        <f t="shared" si="27"/>
        <v>1067.125</v>
      </c>
      <c r="AK47" s="518">
        <f t="shared" si="28"/>
        <v>1806.075</v>
      </c>
      <c r="AL47" s="518">
        <f t="shared" si="29"/>
        <v>1723.2054166666667</v>
      </c>
      <c r="AM47" s="518">
        <f t="shared" si="30"/>
        <v>3010.375</v>
      </c>
      <c r="AN47" s="518">
        <f t="shared" si="31"/>
        <v>920.83333333333337</v>
      </c>
      <c r="AO47" s="518">
        <f t="shared" si="32"/>
        <v>1423.5416666666667</v>
      </c>
      <c r="AP47" s="518">
        <f t="shared" si="33"/>
        <v>1452.5480833333336</v>
      </c>
      <c r="AQ47" s="518">
        <f t="shared" si="34"/>
        <v>783.11666666666667</v>
      </c>
      <c r="AR47" s="518">
        <f t="shared" si="35"/>
        <v>2080.4166666666665</v>
      </c>
      <c r="AS47" s="518">
        <f t="shared" si="36"/>
        <v>688.7</v>
      </c>
      <c r="AT47" s="518">
        <f t="shared" si="37"/>
        <v>1607.9597499999998</v>
      </c>
      <c r="AU47" s="518">
        <f t="shared" si="38"/>
        <v>690.61666666666667</v>
      </c>
      <c r="AV47" s="518">
        <f t="shared" si="39"/>
        <v>1347.6258333333333</v>
      </c>
      <c r="AW47" s="518">
        <f t="shared" si="41"/>
        <v>1038.7249999999999</v>
      </c>
      <c r="AX47" s="518">
        <f t="shared" si="42"/>
        <v>1395.9028333333333</v>
      </c>
      <c r="AY47" s="518">
        <f t="shared" si="43"/>
        <v>1365.0055</v>
      </c>
      <c r="AZ47" s="518">
        <f t="shared" si="44"/>
        <v>1159.0916666666667</v>
      </c>
      <c r="BA47" s="518">
        <f t="shared" si="45"/>
        <v>2655.8122499999999</v>
      </c>
      <c r="BB47" s="518">
        <f t="shared" si="46"/>
        <v>468.33333333333331</v>
      </c>
      <c r="BC47" s="518">
        <f t="shared" si="47"/>
        <v>1748.4833333333333</v>
      </c>
      <c r="BD47" s="518">
        <f t="shared" si="48"/>
        <v>1459.5083333333334</v>
      </c>
      <c r="BE47" s="518">
        <f t="shared" si="49"/>
        <v>1540.15</v>
      </c>
      <c r="BF47" s="518">
        <f t="shared" si="50"/>
        <v>1080.8333333333333</v>
      </c>
      <c r="BG47" s="619">
        <f t="shared" ref="BG47:BG110" si="51">$J$46/120</f>
        <v>1650.4333333333334</v>
      </c>
      <c r="BH47" s="619">
        <f>$J$47/120</f>
        <v>811.25</v>
      </c>
      <c r="BI47" s="619"/>
      <c r="BJ47" s="619"/>
      <c r="BK47" s="619"/>
      <c r="BL47" s="619"/>
      <c r="BM47" s="619"/>
      <c r="BN47" s="619"/>
      <c r="BO47" s="619"/>
      <c r="BP47" s="619"/>
      <c r="BQ47" s="518">
        <f t="shared" si="8"/>
        <v>75712.106583333312</v>
      </c>
    </row>
    <row r="48" spans="1:69" s="585" customFormat="1" ht="12.75" customHeight="1" outlineLevel="1">
      <c r="A48" s="308" t="s">
        <v>55</v>
      </c>
      <c r="B48" s="308">
        <f t="shared" si="20"/>
        <v>2019</v>
      </c>
      <c r="C48" s="308" t="s">
        <v>47</v>
      </c>
      <c r="D48" s="518"/>
      <c r="E48" s="518"/>
      <c r="F48" s="518">
        <v>63800</v>
      </c>
      <c r="G48" s="518"/>
      <c r="H48" s="518">
        <v>225171.25</v>
      </c>
      <c r="I48" s="518"/>
      <c r="J48" s="518">
        <f t="shared" si="40"/>
        <v>288971.25</v>
      </c>
      <c r="K48" s="518">
        <f t="shared" si="5"/>
        <v>9374424.0399999991</v>
      </c>
      <c r="L48" s="518"/>
      <c r="M48" s="518">
        <f>28064.85+8724.45+47124.97-79.77-81.35</f>
        <v>83753.149999999994</v>
      </c>
      <c r="N48" s="518">
        <f t="shared" si="6"/>
        <v>1937846.1199999994</v>
      </c>
      <c r="O48" s="518"/>
      <c r="P48" s="518">
        <f t="shared" si="3"/>
        <v>7436577.9199999999</v>
      </c>
      <c r="R48" s="518">
        <f t="shared" si="4"/>
        <v>0</v>
      </c>
      <c r="S48" s="518">
        <f t="shared" si="7"/>
        <v>415.79166666666669</v>
      </c>
      <c r="T48" s="518">
        <f t="shared" si="9"/>
        <v>878.85</v>
      </c>
      <c r="U48" s="518">
        <f t="shared" si="10"/>
        <v>4172.1833333333334</v>
      </c>
      <c r="V48" s="518">
        <f t="shared" si="11"/>
        <v>6601.6416666666664</v>
      </c>
      <c r="W48" s="518">
        <f t="shared" si="13"/>
        <v>5314.0657499999998</v>
      </c>
      <c r="X48" s="518">
        <f t="shared" si="14"/>
        <v>4037.2521666666667</v>
      </c>
      <c r="Y48" s="518">
        <f t="shared" si="15"/>
        <v>2285.2750000000001</v>
      </c>
      <c r="Z48" s="518">
        <f t="shared" si="16"/>
        <v>1091.7583333333334</v>
      </c>
      <c r="AA48" s="518">
        <f t="shared" si="17"/>
        <v>1269.9591666666668</v>
      </c>
      <c r="AB48" s="518">
        <f t="shared" si="18"/>
        <v>606.67849999999999</v>
      </c>
      <c r="AC48" s="518">
        <f t="shared" si="19"/>
        <v>476.46666666666664</v>
      </c>
      <c r="AD48" s="518">
        <f t="shared" si="21"/>
        <v>1657.7180833333332</v>
      </c>
      <c r="AE48" s="518">
        <f t="shared" si="22"/>
        <v>3516.1947500000001</v>
      </c>
      <c r="AF48" s="518">
        <f t="shared" si="23"/>
        <v>1564.4</v>
      </c>
      <c r="AG48" s="518">
        <f t="shared" si="24"/>
        <v>2587.7750000000001</v>
      </c>
      <c r="AH48" s="518">
        <f t="shared" si="25"/>
        <v>2302.7285000000002</v>
      </c>
      <c r="AI48" s="518">
        <f t="shared" si="26"/>
        <v>1957.7</v>
      </c>
      <c r="AJ48" s="518">
        <f t="shared" si="27"/>
        <v>1067.125</v>
      </c>
      <c r="AK48" s="518">
        <f t="shared" si="28"/>
        <v>1806.075</v>
      </c>
      <c r="AL48" s="518">
        <f t="shared" si="29"/>
        <v>1723.2054166666667</v>
      </c>
      <c r="AM48" s="518">
        <f t="shared" si="30"/>
        <v>3010.375</v>
      </c>
      <c r="AN48" s="518">
        <f t="shared" si="31"/>
        <v>920.83333333333337</v>
      </c>
      <c r="AO48" s="518">
        <f t="shared" si="32"/>
        <v>1423.5416666666667</v>
      </c>
      <c r="AP48" s="518">
        <f t="shared" si="33"/>
        <v>1452.5480833333336</v>
      </c>
      <c r="AQ48" s="518">
        <f t="shared" si="34"/>
        <v>783.11666666666667</v>
      </c>
      <c r="AR48" s="518">
        <f t="shared" si="35"/>
        <v>2080.4166666666665</v>
      </c>
      <c r="AS48" s="518">
        <f t="shared" si="36"/>
        <v>688.7</v>
      </c>
      <c r="AT48" s="518">
        <f t="shared" si="37"/>
        <v>1607.9597499999998</v>
      </c>
      <c r="AU48" s="518">
        <f t="shared" si="38"/>
        <v>690.61666666666667</v>
      </c>
      <c r="AV48" s="518">
        <f t="shared" si="39"/>
        <v>1347.6258333333333</v>
      </c>
      <c r="AW48" s="518">
        <f t="shared" si="41"/>
        <v>1038.7249999999999</v>
      </c>
      <c r="AX48" s="518">
        <f t="shared" si="42"/>
        <v>1395.9028333333333</v>
      </c>
      <c r="AY48" s="518">
        <f t="shared" si="43"/>
        <v>1365.0055</v>
      </c>
      <c r="AZ48" s="518">
        <f t="shared" si="44"/>
        <v>1159.0916666666667</v>
      </c>
      <c r="BA48" s="518">
        <f t="shared" si="45"/>
        <v>2655.8122499999999</v>
      </c>
      <c r="BB48" s="518">
        <f t="shared" si="46"/>
        <v>468.33333333333331</v>
      </c>
      <c r="BC48" s="518">
        <f t="shared" si="47"/>
        <v>1748.4833333333333</v>
      </c>
      <c r="BD48" s="518">
        <f t="shared" si="48"/>
        <v>1459.5083333333334</v>
      </c>
      <c r="BE48" s="518">
        <f t="shared" si="49"/>
        <v>1540.15</v>
      </c>
      <c r="BF48" s="518">
        <f t="shared" si="50"/>
        <v>1080.8333333333333</v>
      </c>
      <c r="BG48" s="619">
        <f t="shared" si="51"/>
        <v>1650.4333333333334</v>
      </c>
      <c r="BH48" s="619">
        <f t="shared" ref="BH48:BH111" si="52">$J$47/120</f>
        <v>811.25</v>
      </c>
      <c r="BI48" s="619">
        <f>$J$48/120</f>
        <v>2408.09375</v>
      </c>
      <c r="BJ48" s="619"/>
      <c r="BK48" s="619"/>
      <c r="BL48" s="619"/>
      <c r="BM48" s="619"/>
      <c r="BN48" s="619"/>
      <c r="BO48" s="619"/>
      <c r="BP48" s="619"/>
      <c r="BQ48" s="518">
        <f t="shared" si="8"/>
        <v>78120.200333333312</v>
      </c>
    </row>
    <row r="49" spans="1:69" s="585" customFormat="1" ht="12.75" customHeight="1" outlineLevel="1">
      <c r="A49" s="308" t="s">
        <v>56</v>
      </c>
      <c r="B49" s="308">
        <f t="shared" si="20"/>
        <v>2019</v>
      </c>
      <c r="C49" s="308" t="s">
        <v>47</v>
      </c>
      <c r="D49" s="518"/>
      <c r="E49" s="518"/>
      <c r="F49" s="518"/>
      <c r="G49" s="518"/>
      <c r="H49" s="518"/>
      <c r="I49" s="518"/>
      <c r="J49" s="518">
        <f t="shared" si="40"/>
        <v>0</v>
      </c>
      <c r="K49" s="518">
        <f t="shared" si="5"/>
        <v>9374424.0399999991</v>
      </c>
      <c r="L49" s="518"/>
      <c r="M49" s="518">
        <f>37172.64+8724.45+52289.16-79.77-81.35</f>
        <v>98025.12999999999</v>
      </c>
      <c r="N49" s="518">
        <f t="shared" si="6"/>
        <v>2035871.2499999993</v>
      </c>
      <c r="O49" s="518"/>
      <c r="P49" s="518">
        <f t="shared" si="3"/>
        <v>7338552.79</v>
      </c>
      <c r="R49" s="518">
        <f t="shared" si="4"/>
        <v>0</v>
      </c>
      <c r="S49" s="518">
        <f t="shared" si="7"/>
        <v>415.79166666666669</v>
      </c>
      <c r="T49" s="518">
        <f t="shared" si="9"/>
        <v>878.85</v>
      </c>
      <c r="U49" s="518">
        <f t="shared" si="10"/>
        <v>4172.1833333333334</v>
      </c>
      <c r="V49" s="518">
        <f t="shared" si="11"/>
        <v>6601.6416666666664</v>
      </c>
      <c r="W49" s="518">
        <f t="shared" si="13"/>
        <v>5314.0657499999998</v>
      </c>
      <c r="X49" s="518">
        <f t="shared" si="14"/>
        <v>4037.2521666666667</v>
      </c>
      <c r="Y49" s="518">
        <f t="shared" si="15"/>
        <v>2285.2750000000001</v>
      </c>
      <c r="Z49" s="518">
        <f t="shared" si="16"/>
        <v>1091.7583333333334</v>
      </c>
      <c r="AA49" s="518">
        <f t="shared" si="17"/>
        <v>1269.9591666666668</v>
      </c>
      <c r="AB49" s="518">
        <f t="shared" si="18"/>
        <v>606.67849999999999</v>
      </c>
      <c r="AC49" s="518">
        <f t="shared" si="19"/>
        <v>476.46666666666664</v>
      </c>
      <c r="AD49" s="518">
        <f t="shared" si="21"/>
        <v>1657.7180833333332</v>
      </c>
      <c r="AE49" s="518">
        <f t="shared" si="22"/>
        <v>3516.1947500000001</v>
      </c>
      <c r="AF49" s="518">
        <f t="shared" si="23"/>
        <v>1564.4</v>
      </c>
      <c r="AG49" s="518">
        <f t="shared" si="24"/>
        <v>2587.7750000000001</v>
      </c>
      <c r="AH49" s="518">
        <f t="shared" si="25"/>
        <v>2302.7285000000002</v>
      </c>
      <c r="AI49" s="518">
        <f t="shared" si="26"/>
        <v>1957.7</v>
      </c>
      <c r="AJ49" s="518">
        <f t="shared" si="27"/>
        <v>1067.125</v>
      </c>
      <c r="AK49" s="518">
        <f t="shared" si="28"/>
        <v>1806.075</v>
      </c>
      <c r="AL49" s="518">
        <f t="shared" si="29"/>
        <v>1723.2054166666667</v>
      </c>
      <c r="AM49" s="518">
        <f t="shared" si="30"/>
        <v>3010.375</v>
      </c>
      <c r="AN49" s="518">
        <f t="shared" si="31"/>
        <v>920.83333333333337</v>
      </c>
      <c r="AO49" s="518">
        <f t="shared" si="32"/>
        <v>1423.5416666666667</v>
      </c>
      <c r="AP49" s="518">
        <f t="shared" si="33"/>
        <v>1452.5480833333336</v>
      </c>
      <c r="AQ49" s="518">
        <f t="shared" si="34"/>
        <v>783.11666666666667</v>
      </c>
      <c r="AR49" s="518">
        <f t="shared" si="35"/>
        <v>2080.4166666666665</v>
      </c>
      <c r="AS49" s="518">
        <f t="shared" si="36"/>
        <v>688.7</v>
      </c>
      <c r="AT49" s="518">
        <f t="shared" si="37"/>
        <v>1607.9597499999998</v>
      </c>
      <c r="AU49" s="518">
        <f t="shared" si="38"/>
        <v>690.61666666666667</v>
      </c>
      <c r="AV49" s="518">
        <f t="shared" si="39"/>
        <v>1347.6258333333333</v>
      </c>
      <c r="AW49" s="518">
        <f t="shared" si="41"/>
        <v>1038.7249999999999</v>
      </c>
      <c r="AX49" s="518">
        <f t="shared" si="42"/>
        <v>1395.9028333333333</v>
      </c>
      <c r="AY49" s="518">
        <f t="shared" si="43"/>
        <v>1365.0055</v>
      </c>
      <c r="AZ49" s="518">
        <f t="shared" si="44"/>
        <v>1159.0916666666667</v>
      </c>
      <c r="BA49" s="518">
        <f t="shared" si="45"/>
        <v>2655.8122499999999</v>
      </c>
      <c r="BB49" s="518">
        <f t="shared" si="46"/>
        <v>468.33333333333331</v>
      </c>
      <c r="BC49" s="518">
        <f t="shared" si="47"/>
        <v>1748.4833333333333</v>
      </c>
      <c r="BD49" s="518">
        <f t="shared" si="48"/>
        <v>1459.5083333333334</v>
      </c>
      <c r="BE49" s="518">
        <f t="shared" si="49"/>
        <v>1540.15</v>
      </c>
      <c r="BF49" s="518">
        <f t="shared" si="50"/>
        <v>1080.8333333333333</v>
      </c>
      <c r="BG49" s="619">
        <f t="shared" si="51"/>
        <v>1650.4333333333334</v>
      </c>
      <c r="BH49" s="619">
        <f t="shared" si="52"/>
        <v>811.25</v>
      </c>
      <c r="BI49" s="619">
        <f t="shared" ref="BI49:BI112" si="53">$J$48/120</f>
        <v>2408.09375</v>
      </c>
      <c r="BJ49" s="619">
        <f>$J$49/120</f>
        <v>0</v>
      </c>
      <c r="BK49" s="619"/>
      <c r="BL49" s="619"/>
      <c r="BM49" s="619"/>
      <c r="BN49" s="619"/>
      <c r="BO49" s="619"/>
      <c r="BP49" s="619"/>
      <c r="BQ49" s="518">
        <f t="shared" si="8"/>
        <v>78120.200333333312</v>
      </c>
    </row>
    <row r="50" spans="1:69" s="585" customFormat="1" ht="12.75" customHeight="1" outlineLevel="1">
      <c r="A50" s="308" t="s">
        <v>57</v>
      </c>
      <c r="B50" s="308">
        <f t="shared" si="20"/>
        <v>2019</v>
      </c>
      <c r="C50" s="308" t="s">
        <v>47</v>
      </c>
      <c r="D50" s="518"/>
      <c r="E50" s="518"/>
      <c r="F50" s="518">
        <v>12352</v>
      </c>
      <c r="G50" s="518"/>
      <c r="H50" s="518"/>
      <c r="I50" s="518"/>
      <c r="J50" s="518">
        <f t="shared" si="40"/>
        <v>12352</v>
      </c>
      <c r="K50" s="518">
        <f t="shared" si="5"/>
        <v>9386776.0399999991</v>
      </c>
      <c r="L50" s="518"/>
      <c r="M50" s="518">
        <f>25445.73+9802.47+36835.28-79.77-81.35</f>
        <v>71922.359999999986</v>
      </c>
      <c r="N50" s="518">
        <f t="shared" si="6"/>
        <v>2107793.6099999994</v>
      </c>
      <c r="O50" s="518"/>
      <c r="P50" s="518">
        <f t="shared" si="3"/>
        <v>7278982.4299999997</v>
      </c>
      <c r="R50" s="518">
        <f t="shared" si="4"/>
        <v>0</v>
      </c>
      <c r="S50" s="518">
        <f t="shared" si="7"/>
        <v>415.79166666666669</v>
      </c>
      <c r="T50" s="518">
        <f t="shared" si="9"/>
        <v>878.85</v>
      </c>
      <c r="U50" s="518">
        <f t="shared" si="10"/>
        <v>4172.1833333333334</v>
      </c>
      <c r="V50" s="518">
        <f t="shared" si="11"/>
        <v>6601.6416666666664</v>
      </c>
      <c r="W50" s="518">
        <f t="shared" si="13"/>
        <v>5314.0657499999998</v>
      </c>
      <c r="X50" s="518">
        <f t="shared" si="14"/>
        <v>4037.2521666666667</v>
      </c>
      <c r="Y50" s="518">
        <f t="shared" si="15"/>
        <v>2285.2750000000001</v>
      </c>
      <c r="Z50" s="518">
        <f t="shared" si="16"/>
        <v>1091.7583333333334</v>
      </c>
      <c r="AA50" s="518">
        <f t="shared" si="17"/>
        <v>1269.9591666666668</v>
      </c>
      <c r="AB50" s="518">
        <f t="shared" si="18"/>
        <v>606.67849999999999</v>
      </c>
      <c r="AC50" s="518">
        <f t="shared" si="19"/>
        <v>476.46666666666664</v>
      </c>
      <c r="AD50" s="518">
        <f t="shared" si="21"/>
        <v>1657.7180833333332</v>
      </c>
      <c r="AE50" s="518">
        <f t="shared" si="22"/>
        <v>3516.1947500000001</v>
      </c>
      <c r="AF50" s="518">
        <f t="shared" si="23"/>
        <v>1564.4</v>
      </c>
      <c r="AG50" s="518">
        <f t="shared" si="24"/>
        <v>2587.7750000000001</v>
      </c>
      <c r="AH50" s="518">
        <f t="shared" si="25"/>
        <v>2302.7285000000002</v>
      </c>
      <c r="AI50" s="518">
        <f t="shared" si="26"/>
        <v>1957.7</v>
      </c>
      <c r="AJ50" s="518">
        <f t="shared" si="27"/>
        <v>1067.125</v>
      </c>
      <c r="AK50" s="518">
        <f t="shared" si="28"/>
        <v>1806.075</v>
      </c>
      <c r="AL50" s="518">
        <f t="shared" si="29"/>
        <v>1723.2054166666667</v>
      </c>
      <c r="AM50" s="518">
        <f t="shared" si="30"/>
        <v>3010.375</v>
      </c>
      <c r="AN50" s="518">
        <f t="shared" si="31"/>
        <v>920.83333333333337</v>
      </c>
      <c r="AO50" s="518">
        <f t="shared" si="32"/>
        <v>1423.5416666666667</v>
      </c>
      <c r="AP50" s="518">
        <f t="shared" si="33"/>
        <v>1452.5480833333336</v>
      </c>
      <c r="AQ50" s="518">
        <f t="shared" si="34"/>
        <v>783.11666666666667</v>
      </c>
      <c r="AR50" s="518">
        <f t="shared" si="35"/>
        <v>2080.4166666666665</v>
      </c>
      <c r="AS50" s="518">
        <f t="shared" si="36"/>
        <v>688.7</v>
      </c>
      <c r="AT50" s="518">
        <f t="shared" si="37"/>
        <v>1607.9597499999998</v>
      </c>
      <c r="AU50" s="518">
        <f t="shared" si="38"/>
        <v>690.61666666666667</v>
      </c>
      <c r="AV50" s="518">
        <f t="shared" si="39"/>
        <v>1347.6258333333333</v>
      </c>
      <c r="AW50" s="518">
        <f t="shared" si="41"/>
        <v>1038.7249999999999</v>
      </c>
      <c r="AX50" s="518">
        <f t="shared" si="42"/>
        <v>1395.9028333333333</v>
      </c>
      <c r="AY50" s="518">
        <f t="shared" si="43"/>
        <v>1365.0055</v>
      </c>
      <c r="AZ50" s="518">
        <f t="shared" si="44"/>
        <v>1159.0916666666667</v>
      </c>
      <c r="BA50" s="518">
        <f t="shared" si="45"/>
        <v>2655.8122499999999</v>
      </c>
      <c r="BB50" s="518">
        <f t="shared" si="46"/>
        <v>468.33333333333331</v>
      </c>
      <c r="BC50" s="518">
        <f t="shared" si="47"/>
        <v>1748.4833333333333</v>
      </c>
      <c r="BD50" s="518">
        <f t="shared" si="48"/>
        <v>1459.5083333333334</v>
      </c>
      <c r="BE50" s="518">
        <f t="shared" si="49"/>
        <v>1540.15</v>
      </c>
      <c r="BF50" s="518">
        <f t="shared" si="50"/>
        <v>1080.8333333333333</v>
      </c>
      <c r="BG50" s="619">
        <f t="shared" si="51"/>
        <v>1650.4333333333334</v>
      </c>
      <c r="BH50" s="619">
        <f t="shared" si="52"/>
        <v>811.25</v>
      </c>
      <c r="BI50" s="619">
        <f t="shared" si="53"/>
        <v>2408.09375</v>
      </c>
      <c r="BJ50" s="619">
        <f t="shared" ref="BJ50:BJ113" si="54">$J$49/120</f>
        <v>0</v>
      </c>
      <c r="BK50" s="619">
        <f>$J$50/120</f>
        <v>102.93333333333334</v>
      </c>
      <c r="BL50" s="619"/>
      <c r="BM50" s="619"/>
      <c r="BN50" s="619"/>
      <c r="BO50" s="619"/>
      <c r="BP50" s="619"/>
      <c r="BQ50" s="518">
        <f t="shared" si="8"/>
        <v>78223.133666666647</v>
      </c>
    </row>
    <row r="51" spans="1:69" s="585" customFormat="1" ht="12.75" customHeight="1" outlineLevel="1">
      <c r="A51" s="308" t="s">
        <v>58</v>
      </c>
      <c r="B51" s="308">
        <f t="shared" si="20"/>
        <v>2019</v>
      </c>
      <c r="C51" s="308" t="s">
        <v>47</v>
      </c>
      <c r="D51" s="518">
        <v>0</v>
      </c>
      <c r="E51" s="518">
        <v>0</v>
      </c>
      <c r="F51" s="518">
        <v>0</v>
      </c>
      <c r="G51" s="518"/>
      <c r="H51" s="518">
        <v>0</v>
      </c>
      <c r="I51" s="518"/>
      <c r="J51" s="518">
        <f t="shared" si="40"/>
        <v>0</v>
      </c>
      <c r="K51" s="518">
        <f t="shared" si="5"/>
        <v>9386776.0399999991</v>
      </c>
      <c r="L51" s="518"/>
      <c r="M51" s="518">
        <f>24213.38+7646.43+38955.87-79.77-81.35</f>
        <v>70654.559999999998</v>
      </c>
      <c r="N51" s="518">
        <f t="shared" si="6"/>
        <v>2178448.1699999995</v>
      </c>
      <c r="O51" s="518"/>
      <c r="P51" s="518">
        <f t="shared" si="3"/>
        <v>7208327.8699999992</v>
      </c>
      <c r="R51" s="518">
        <f t="shared" si="4"/>
        <v>0</v>
      </c>
      <c r="S51" s="518">
        <f t="shared" si="7"/>
        <v>415.79166666666669</v>
      </c>
      <c r="T51" s="518">
        <f t="shared" si="9"/>
        <v>878.85</v>
      </c>
      <c r="U51" s="518">
        <f t="shared" si="10"/>
        <v>4172.1833333333334</v>
      </c>
      <c r="V51" s="518">
        <f t="shared" si="11"/>
        <v>6601.6416666666664</v>
      </c>
      <c r="W51" s="518">
        <f t="shared" si="13"/>
        <v>5314.0657499999998</v>
      </c>
      <c r="X51" s="518">
        <f t="shared" si="14"/>
        <v>4037.2521666666667</v>
      </c>
      <c r="Y51" s="518">
        <f t="shared" si="15"/>
        <v>2285.2750000000001</v>
      </c>
      <c r="Z51" s="518">
        <f t="shared" si="16"/>
        <v>1091.7583333333334</v>
      </c>
      <c r="AA51" s="518">
        <f t="shared" si="17"/>
        <v>1269.9591666666668</v>
      </c>
      <c r="AB51" s="518">
        <f t="shared" si="18"/>
        <v>606.67849999999999</v>
      </c>
      <c r="AC51" s="518">
        <f t="shared" si="19"/>
        <v>476.46666666666664</v>
      </c>
      <c r="AD51" s="518">
        <f t="shared" si="21"/>
        <v>1657.7180833333332</v>
      </c>
      <c r="AE51" s="518">
        <f t="shared" si="22"/>
        <v>3516.1947500000001</v>
      </c>
      <c r="AF51" s="518">
        <f t="shared" si="23"/>
        <v>1564.4</v>
      </c>
      <c r="AG51" s="518">
        <f t="shared" si="24"/>
        <v>2587.7750000000001</v>
      </c>
      <c r="AH51" s="518">
        <f t="shared" si="25"/>
        <v>2302.7285000000002</v>
      </c>
      <c r="AI51" s="518">
        <f t="shared" si="26"/>
        <v>1957.7</v>
      </c>
      <c r="AJ51" s="518">
        <f t="shared" si="27"/>
        <v>1067.125</v>
      </c>
      <c r="AK51" s="518">
        <f t="shared" si="28"/>
        <v>1806.075</v>
      </c>
      <c r="AL51" s="518">
        <f t="shared" si="29"/>
        <v>1723.2054166666667</v>
      </c>
      <c r="AM51" s="518">
        <f t="shared" si="30"/>
        <v>3010.375</v>
      </c>
      <c r="AN51" s="518">
        <f t="shared" si="31"/>
        <v>920.83333333333337</v>
      </c>
      <c r="AO51" s="518">
        <f t="shared" si="32"/>
        <v>1423.5416666666667</v>
      </c>
      <c r="AP51" s="518">
        <f t="shared" si="33"/>
        <v>1452.5480833333336</v>
      </c>
      <c r="AQ51" s="518">
        <f t="shared" si="34"/>
        <v>783.11666666666667</v>
      </c>
      <c r="AR51" s="518">
        <f t="shared" si="35"/>
        <v>2080.4166666666665</v>
      </c>
      <c r="AS51" s="518">
        <f t="shared" si="36"/>
        <v>688.7</v>
      </c>
      <c r="AT51" s="518">
        <f t="shared" si="37"/>
        <v>1607.9597499999998</v>
      </c>
      <c r="AU51" s="518">
        <f t="shared" si="38"/>
        <v>690.61666666666667</v>
      </c>
      <c r="AV51" s="518">
        <f t="shared" si="39"/>
        <v>1347.6258333333333</v>
      </c>
      <c r="AW51" s="518">
        <f t="shared" si="41"/>
        <v>1038.7249999999999</v>
      </c>
      <c r="AX51" s="518">
        <f t="shared" si="42"/>
        <v>1395.9028333333333</v>
      </c>
      <c r="AY51" s="518">
        <f t="shared" si="43"/>
        <v>1365.0055</v>
      </c>
      <c r="AZ51" s="518">
        <f t="shared" si="44"/>
        <v>1159.0916666666667</v>
      </c>
      <c r="BA51" s="518">
        <f t="shared" si="45"/>
        <v>2655.8122499999999</v>
      </c>
      <c r="BB51" s="518">
        <f t="shared" si="46"/>
        <v>468.33333333333331</v>
      </c>
      <c r="BC51" s="518">
        <f t="shared" si="47"/>
        <v>1748.4833333333333</v>
      </c>
      <c r="BD51" s="518">
        <f t="shared" si="48"/>
        <v>1459.5083333333334</v>
      </c>
      <c r="BE51" s="518">
        <f t="shared" si="49"/>
        <v>1540.15</v>
      </c>
      <c r="BF51" s="518">
        <f t="shared" si="50"/>
        <v>1080.8333333333333</v>
      </c>
      <c r="BG51" s="619">
        <f t="shared" si="51"/>
        <v>1650.4333333333334</v>
      </c>
      <c r="BH51" s="619">
        <f t="shared" si="52"/>
        <v>811.25</v>
      </c>
      <c r="BI51" s="619">
        <f t="shared" si="53"/>
        <v>2408.09375</v>
      </c>
      <c r="BJ51" s="619">
        <f t="shared" si="54"/>
        <v>0</v>
      </c>
      <c r="BK51" s="619">
        <f t="shared" ref="BK51:BK114" si="55">$J$50/120</f>
        <v>102.93333333333334</v>
      </c>
      <c r="BL51" s="619"/>
      <c r="BM51" s="619"/>
      <c r="BN51" s="619"/>
      <c r="BO51" s="619"/>
      <c r="BP51" s="619"/>
      <c r="BQ51" s="518">
        <f t="shared" si="8"/>
        <v>78223.133666666647</v>
      </c>
    </row>
    <row r="52" spans="1:69" s="585" customFormat="1" ht="12.75" customHeight="1" outlineLevel="1">
      <c r="A52" s="308" t="s">
        <v>59</v>
      </c>
      <c r="B52" s="308">
        <f t="shared" si="20"/>
        <v>2019</v>
      </c>
      <c r="C52" s="308" t="s">
        <v>47</v>
      </c>
      <c r="D52" s="518"/>
      <c r="E52" s="518"/>
      <c r="F52" s="518"/>
      <c r="G52" s="518"/>
      <c r="H52" s="518">
        <v>160400.12</v>
      </c>
      <c r="I52" s="518"/>
      <c r="J52" s="518">
        <f t="shared" si="40"/>
        <v>160400.12</v>
      </c>
      <c r="K52" s="518">
        <f t="shared" si="5"/>
        <v>9547176.1599999983</v>
      </c>
      <c r="L52" s="518"/>
      <c r="M52" s="518">
        <f>30004.75+11382.77+36089.16-810.22-79.77-81.35</f>
        <v>76505.34</v>
      </c>
      <c r="N52" s="518">
        <f t="shared" si="6"/>
        <v>2254953.5099999993</v>
      </c>
      <c r="O52" s="518"/>
      <c r="P52" s="518">
        <f t="shared" si="3"/>
        <v>7292222.6499999985</v>
      </c>
      <c r="R52" s="518">
        <f t="shared" si="4"/>
        <v>0</v>
      </c>
      <c r="S52" s="518">
        <f t="shared" si="7"/>
        <v>415.79166666666669</v>
      </c>
      <c r="T52" s="518">
        <f t="shared" si="9"/>
        <v>878.85</v>
      </c>
      <c r="U52" s="518">
        <f t="shared" si="10"/>
        <v>4172.1833333333334</v>
      </c>
      <c r="V52" s="518">
        <f t="shared" si="11"/>
        <v>6601.6416666666664</v>
      </c>
      <c r="W52" s="518">
        <f t="shared" si="13"/>
        <v>5314.0657499999998</v>
      </c>
      <c r="X52" s="518">
        <f t="shared" si="14"/>
        <v>4037.2521666666667</v>
      </c>
      <c r="Y52" s="518">
        <f t="shared" si="15"/>
        <v>2285.2750000000001</v>
      </c>
      <c r="Z52" s="518">
        <f t="shared" si="16"/>
        <v>1091.7583333333334</v>
      </c>
      <c r="AA52" s="518">
        <f t="shared" si="17"/>
        <v>1269.9591666666668</v>
      </c>
      <c r="AB52" s="518">
        <f t="shared" si="18"/>
        <v>606.67849999999999</v>
      </c>
      <c r="AC52" s="518">
        <f t="shared" si="19"/>
        <v>476.46666666666664</v>
      </c>
      <c r="AD52" s="518">
        <f t="shared" si="21"/>
        <v>1657.7180833333332</v>
      </c>
      <c r="AE52" s="518">
        <f t="shared" si="22"/>
        <v>3516.1947500000001</v>
      </c>
      <c r="AF52" s="518">
        <f t="shared" si="23"/>
        <v>1564.4</v>
      </c>
      <c r="AG52" s="518">
        <f t="shared" si="24"/>
        <v>2587.7750000000001</v>
      </c>
      <c r="AH52" s="518">
        <f t="shared" si="25"/>
        <v>2302.7285000000002</v>
      </c>
      <c r="AI52" s="518">
        <f t="shared" si="26"/>
        <v>1957.7</v>
      </c>
      <c r="AJ52" s="518">
        <f t="shared" si="27"/>
        <v>1067.125</v>
      </c>
      <c r="AK52" s="518">
        <f t="shared" si="28"/>
        <v>1806.075</v>
      </c>
      <c r="AL52" s="518">
        <f t="shared" si="29"/>
        <v>1723.2054166666667</v>
      </c>
      <c r="AM52" s="518">
        <f t="shared" si="30"/>
        <v>3010.375</v>
      </c>
      <c r="AN52" s="518">
        <f t="shared" si="31"/>
        <v>920.83333333333337</v>
      </c>
      <c r="AO52" s="518">
        <f t="shared" si="32"/>
        <v>1423.5416666666667</v>
      </c>
      <c r="AP52" s="518">
        <f t="shared" si="33"/>
        <v>1452.5480833333336</v>
      </c>
      <c r="AQ52" s="518">
        <f t="shared" si="34"/>
        <v>783.11666666666667</v>
      </c>
      <c r="AR52" s="518">
        <f t="shared" si="35"/>
        <v>2080.4166666666665</v>
      </c>
      <c r="AS52" s="518">
        <f t="shared" si="36"/>
        <v>688.7</v>
      </c>
      <c r="AT52" s="518">
        <f t="shared" si="37"/>
        <v>1607.9597499999998</v>
      </c>
      <c r="AU52" s="518">
        <f t="shared" si="38"/>
        <v>690.61666666666667</v>
      </c>
      <c r="AV52" s="518">
        <f t="shared" si="39"/>
        <v>1347.6258333333333</v>
      </c>
      <c r="AW52" s="518">
        <f t="shared" si="41"/>
        <v>1038.7249999999999</v>
      </c>
      <c r="AX52" s="518">
        <f t="shared" si="42"/>
        <v>1395.9028333333333</v>
      </c>
      <c r="AY52" s="518">
        <f t="shared" si="43"/>
        <v>1365.0055</v>
      </c>
      <c r="AZ52" s="518">
        <f t="shared" si="44"/>
        <v>1159.0916666666667</v>
      </c>
      <c r="BA52" s="518">
        <f t="shared" si="45"/>
        <v>2655.8122499999999</v>
      </c>
      <c r="BB52" s="518">
        <f t="shared" si="46"/>
        <v>468.33333333333331</v>
      </c>
      <c r="BC52" s="518">
        <f t="shared" si="47"/>
        <v>1748.4833333333333</v>
      </c>
      <c r="BD52" s="518">
        <f t="shared" si="48"/>
        <v>1459.5083333333334</v>
      </c>
      <c r="BE52" s="518">
        <f t="shared" si="49"/>
        <v>1540.15</v>
      </c>
      <c r="BF52" s="518">
        <f t="shared" si="50"/>
        <v>1080.8333333333333</v>
      </c>
      <c r="BG52" s="619">
        <f t="shared" si="51"/>
        <v>1650.4333333333334</v>
      </c>
      <c r="BH52" s="619">
        <f t="shared" si="52"/>
        <v>811.25</v>
      </c>
      <c r="BI52" s="619">
        <f t="shared" si="53"/>
        <v>2408.09375</v>
      </c>
      <c r="BJ52" s="619">
        <f t="shared" si="54"/>
        <v>0</v>
      </c>
      <c r="BK52" s="619">
        <f t="shared" si="55"/>
        <v>102.93333333333334</v>
      </c>
      <c r="BL52" s="619"/>
      <c r="BM52" s="619">
        <f>$J$52/120</f>
        <v>1336.6676666666667</v>
      </c>
      <c r="BN52" s="619"/>
      <c r="BO52" s="619"/>
      <c r="BP52" s="619"/>
      <c r="BQ52" s="518">
        <f t="shared" si="8"/>
        <v>79559.801333333307</v>
      </c>
    </row>
    <row r="53" spans="1:69" s="585" customFormat="1" ht="12.75" customHeight="1" outlineLevel="1">
      <c r="A53" s="308" t="s">
        <v>46</v>
      </c>
      <c r="B53" s="308">
        <f t="shared" si="20"/>
        <v>2019</v>
      </c>
      <c r="C53" s="308" t="s">
        <v>47</v>
      </c>
      <c r="D53" s="518"/>
      <c r="E53" s="518"/>
      <c r="F53" s="518">
        <v>30000</v>
      </c>
      <c r="G53" s="518"/>
      <c r="H53" s="518">
        <v>27268.66</v>
      </c>
      <c r="I53" s="518"/>
      <c r="J53" s="518">
        <f t="shared" si="40"/>
        <v>57268.66</v>
      </c>
      <c r="K53" s="518">
        <f t="shared" si="5"/>
        <v>9604444.8199999984</v>
      </c>
      <c r="L53" s="518"/>
      <c r="M53" s="518">
        <f>33345.44+10388.37+46023.36-79.77-81.35</f>
        <v>89596.05</v>
      </c>
      <c r="N53" s="518">
        <f t="shared" si="6"/>
        <v>2344549.5599999991</v>
      </c>
      <c r="O53" s="518"/>
      <c r="P53" s="518">
        <f t="shared" si="3"/>
        <v>7259895.2599999998</v>
      </c>
      <c r="R53" s="518">
        <f t="shared" si="4"/>
        <v>0</v>
      </c>
      <c r="S53" s="518">
        <f t="shared" si="7"/>
        <v>415.79166666666669</v>
      </c>
      <c r="T53" s="518">
        <f t="shared" si="9"/>
        <v>878.85</v>
      </c>
      <c r="U53" s="518">
        <f t="shared" si="10"/>
        <v>4172.1833333333334</v>
      </c>
      <c r="V53" s="518">
        <f t="shared" si="11"/>
        <v>6601.6416666666664</v>
      </c>
      <c r="W53" s="518">
        <f t="shared" si="13"/>
        <v>5314.0657499999998</v>
      </c>
      <c r="X53" s="518">
        <f t="shared" si="14"/>
        <v>4037.2521666666667</v>
      </c>
      <c r="Y53" s="518">
        <f t="shared" si="15"/>
        <v>2285.2750000000001</v>
      </c>
      <c r="Z53" s="518">
        <f t="shared" si="16"/>
        <v>1091.7583333333334</v>
      </c>
      <c r="AA53" s="518">
        <f t="shared" si="17"/>
        <v>1269.9591666666668</v>
      </c>
      <c r="AB53" s="518">
        <f t="shared" si="18"/>
        <v>606.67849999999999</v>
      </c>
      <c r="AC53" s="518">
        <f t="shared" si="19"/>
        <v>476.46666666666664</v>
      </c>
      <c r="AD53" s="518">
        <f t="shared" si="21"/>
        <v>1657.7180833333332</v>
      </c>
      <c r="AE53" s="518">
        <f t="shared" si="22"/>
        <v>3516.1947500000001</v>
      </c>
      <c r="AF53" s="518">
        <f t="shared" si="23"/>
        <v>1564.4</v>
      </c>
      <c r="AG53" s="518">
        <f t="shared" si="24"/>
        <v>2587.7750000000001</v>
      </c>
      <c r="AH53" s="518">
        <f t="shared" si="25"/>
        <v>2302.7285000000002</v>
      </c>
      <c r="AI53" s="518">
        <f t="shared" si="26"/>
        <v>1957.7</v>
      </c>
      <c r="AJ53" s="518">
        <f t="shared" si="27"/>
        <v>1067.125</v>
      </c>
      <c r="AK53" s="518">
        <f t="shared" si="28"/>
        <v>1806.075</v>
      </c>
      <c r="AL53" s="518">
        <f t="shared" si="29"/>
        <v>1723.2054166666667</v>
      </c>
      <c r="AM53" s="518">
        <f t="shared" si="30"/>
        <v>3010.375</v>
      </c>
      <c r="AN53" s="518">
        <f t="shared" si="31"/>
        <v>920.83333333333337</v>
      </c>
      <c r="AO53" s="518">
        <f t="shared" si="32"/>
        <v>1423.5416666666667</v>
      </c>
      <c r="AP53" s="518">
        <f t="shared" si="33"/>
        <v>1452.5480833333336</v>
      </c>
      <c r="AQ53" s="518">
        <f t="shared" si="34"/>
        <v>783.11666666666667</v>
      </c>
      <c r="AR53" s="518">
        <f t="shared" si="35"/>
        <v>2080.4166666666665</v>
      </c>
      <c r="AS53" s="518">
        <f t="shared" si="36"/>
        <v>688.7</v>
      </c>
      <c r="AT53" s="518">
        <f t="shared" si="37"/>
        <v>1607.9597499999998</v>
      </c>
      <c r="AU53" s="518">
        <f t="shared" si="38"/>
        <v>690.61666666666667</v>
      </c>
      <c r="AV53" s="518">
        <f t="shared" si="39"/>
        <v>1347.6258333333333</v>
      </c>
      <c r="AW53" s="518">
        <f t="shared" si="41"/>
        <v>1038.7249999999999</v>
      </c>
      <c r="AX53" s="518">
        <f t="shared" si="42"/>
        <v>1395.9028333333333</v>
      </c>
      <c r="AY53" s="518">
        <f t="shared" si="43"/>
        <v>1365.0055</v>
      </c>
      <c r="AZ53" s="518">
        <f t="shared" si="44"/>
        <v>1159.0916666666667</v>
      </c>
      <c r="BA53" s="518">
        <f t="shared" si="45"/>
        <v>2655.8122499999999</v>
      </c>
      <c r="BB53" s="518">
        <f t="shared" si="46"/>
        <v>468.33333333333331</v>
      </c>
      <c r="BC53" s="518">
        <f t="shared" si="47"/>
        <v>1748.4833333333333</v>
      </c>
      <c r="BD53" s="518">
        <f t="shared" si="48"/>
        <v>1459.5083333333334</v>
      </c>
      <c r="BE53" s="518">
        <f t="shared" si="49"/>
        <v>1540.15</v>
      </c>
      <c r="BF53" s="518">
        <f t="shared" si="50"/>
        <v>1080.8333333333333</v>
      </c>
      <c r="BG53" s="619">
        <f t="shared" si="51"/>
        <v>1650.4333333333334</v>
      </c>
      <c r="BH53" s="619">
        <f t="shared" si="52"/>
        <v>811.25</v>
      </c>
      <c r="BI53" s="619">
        <f t="shared" si="53"/>
        <v>2408.09375</v>
      </c>
      <c r="BJ53" s="619">
        <f t="shared" si="54"/>
        <v>0</v>
      </c>
      <c r="BK53" s="619">
        <f t="shared" si="55"/>
        <v>102.93333333333334</v>
      </c>
      <c r="BL53" s="619"/>
      <c r="BM53" s="619">
        <f t="shared" ref="BM53:BM116" si="56">$J$52/120</f>
        <v>1336.6676666666667</v>
      </c>
      <c r="BN53" s="619">
        <f>$J$53/120</f>
        <v>477.23883333333339</v>
      </c>
      <c r="BO53" s="619"/>
      <c r="BP53" s="619"/>
      <c r="BQ53" s="518">
        <f t="shared" si="8"/>
        <v>80037.040166666644</v>
      </c>
    </row>
    <row r="54" spans="1:69" s="585" customFormat="1" ht="12.75" customHeight="1" outlineLevel="1">
      <c r="A54" s="308" t="s">
        <v>48</v>
      </c>
      <c r="B54" s="308">
        <f t="shared" si="20"/>
        <v>2019</v>
      </c>
      <c r="C54" s="308" t="s">
        <v>47</v>
      </c>
      <c r="D54" s="518">
        <v>0</v>
      </c>
      <c r="E54" s="518">
        <v>0</v>
      </c>
      <c r="F54" s="518">
        <v>0</v>
      </c>
      <c r="G54" s="518"/>
      <c r="H54" s="518">
        <v>0</v>
      </c>
      <c r="I54" s="518"/>
      <c r="J54" s="518">
        <f t="shared" si="40"/>
        <v>0</v>
      </c>
      <c r="K54" s="518">
        <f t="shared" si="5"/>
        <v>9604444.8199999984</v>
      </c>
      <c r="L54" s="518"/>
      <c r="M54" s="518">
        <f>25418.67+10188.37+66072.72-79.77-81.35</f>
        <v>101518.64</v>
      </c>
      <c r="N54" s="518">
        <f t="shared" si="6"/>
        <v>2446068.1999999993</v>
      </c>
      <c r="O54" s="518"/>
      <c r="P54" s="518">
        <f t="shared" si="3"/>
        <v>7158376.6199999992</v>
      </c>
      <c r="R54" s="518">
        <f t="shared" si="4"/>
        <v>0</v>
      </c>
      <c r="S54" s="518">
        <f t="shared" si="7"/>
        <v>415.79166666666669</v>
      </c>
      <c r="T54" s="518">
        <f t="shared" si="9"/>
        <v>878.85</v>
      </c>
      <c r="U54" s="518">
        <f t="shared" si="10"/>
        <v>4172.1833333333334</v>
      </c>
      <c r="V54" s="518">
        <f t="shared" si="11"/>
        <v>6601.6416666666664</v>
      </c>
      <c r="W54" s="518">
        <f t="shared" si="13"/>
        <v>5314.0657499999998</v>
      </c>
      <c r="X54" s="518">
        <f t="shared" si="14"/>
        <v>4037.2521666666667</v>
      </c>
      <c r="Y54" s="518">
        <f t="shared" si="15"/>
        <v>2285.2750000000001</v>
      </c>
      <c r="Z54" s="518">
        <f t="shared" si="16"/>
        <v>1091.7583333333334</v>
      </c>
      <c r="AA54" s="518">
        <f t="shared" si="17"/>
        <v>1269.9591666666668</v>
      </c>
      <c r="AB54" s="518">
        <f t="shared" si="18"/>
        <v>606.67849999999999</v>
      </c>
      <c r="AC54" s="518">
        <f t="shared" si="19"/>
        <v>476.46666666666664</v>
      </c>
      <c r="AD54" s="518">
        <f t="shared" si="21"/>
        <v>1657.7180833333332</v>
      </c>
      <c r="AE54" s="518">
        <f t="shared" si="22"/>
        <v>3516.1947500000001</v>
      </c>
      <c r="AF54" s="518">
        <f t="shared" si="23"/>
        <v>1564.4</v>
      </c>
      <c r="AG54" s="518">
        <f t="shared" si="24"/>
        <v>2587.7750000000001</v>
      </c>
      <c r="AH54" s="518">
        <f t="shared" si="25"/>
        <v>2302.7285000000002</v>
      </c>
      <c r="AI54" s="518">
        <f t="shared" si="26"/>
        <v>1957.7</v>
      </c>
      <c r="AJ54" s="518">
        <f t="shared" si="27"/>
        <v>1067.125</v>
      </c>
      <c r="AK54" s="518">
        <f t="shared" si="28"/>
        <v>1806.075</v>
      </c>
      <c r="AL54" s="518">
        <f t="shared" si="29"/>
        <v>1723.2054166666667</v>
      </c>
      <c r="AM54" s="518">
        <f t="shared" si="30"/>
        <v>3010.375</v>
      </c>
      <c r="AN54" s="518">
        <f t="shared" si="31"/>
        <v>920.83333333333337</v>
      </c>
      <c r="AO54" s="518">
        <f t="shared" si="32"/>
        <v>1423.5416666666667</v>
      </c>
      <c r="AP54" s="518">
        <f t="shared" si="33"/>
        <v>1452.5480833333336</v>
      </c>
      <c r="AQ54" s="518">
        <f t="shared" si="34"/>
        <v>783.11666666666667</v>
      </c>
      <c r="AR54" s="518">
        <f t="shared" si="35"/>
        <v>2080.4166666666665</v>
      </c>
      <c r="AS54" s="518">
        <f t="shared" si="36"/>
        <v>688.7</v>
      </c>
      <c r="AT54" s="518">
        <f t="shared" si="37"/>
        <v>1607.9597499999998</v>
      </c>
      <c r="AU54" s="518">
        <f t="shared" si="38"/>
        <v>690.61666666666667</v>
      </c>
      <c r="AV54" s="518">
        <f t="shared" si="39"/>
        <v>1347.6258333333333</v>
      </c>
      <c r="AW54" s="518">
        <f t="shared" si="41"/>
        <v>1038.7249999999999</v>
      </c>
      <c r="AX54" s="518">
        <f t="shared" si="42"/>
        <v>1395.9028333333333</v>
      </c>
      <c r="AY54" s="518">
        <f t="shared" si="43"/>
        <v>1365.0055</v>
      </c>
      <c r="AZ54" s="518">
        <f t="shared" si="44"/>
        <v>1159.0916666666667</v>
      </c>
      <c r="BA54" s="518">
        <f t="shared" si="45"/>
        <v>2655.8122499999999</v>
      </c>
      <c r="BB54" s="518">
        <f t="shared" si="46"/>
        <v>468.33333333333331</v>
      </c>
      <c r="BC54" s="518">
        <f t="shared" si="47"/>
        <v>1748.4833333333333</v>
      </c>
      <c r="BD54" s="518">
        <f t="shared" si="48"/>
        <v>1459.5083333333334</v>
      </c>
      <c r="BE54" s="518">
        <f t="shared" si="49"/>
        <v>1540.15</v>
      </c>
      <c r="BF54" s="518">
        <f t="shared" si="50"/>
        <v>1080.8333333333333</v>
      </c>
      <c r="BG54" s="619">
        <f t="shared" si="51"/>
        <v>1650.4333333333334</v>
      </c>
      <c r="BH54" s="619">
        <f t="shared" si="52"/>
        <v>811.25</v>
      </c>
      <c r="BI54" s="619">
        <f t="shared" si="53"/>
        <v>2408.09375</v>
      </c>
      <c r="BJ54" s="619">
        <f t="shared" si="54"/>
        <v>0</v>
      </c>
      <c r="BK54" s="619">
        <f t="shared" si="55"/>
        <v>102.93333333333334</v>
      </c>
      <c r="BL54" s="619"/>
      <c r="BM54" s="619">
        <f t="shared" si="56"/>
        <v>1336.6676666666667</v>
      </c>
      <c r="BN54" s="619">
        <f t="shared" ref="BN54:BN117" si="57">$J$53/120</f>
        <v>477.23883333333339</v>
      </c>
      <c r="BO54" s="619">
        <f>$J$54/120</f>
        <v>0</v>
      </c>
      <c r="BP54" s="619"/>
      <c r="BQ54" s="518">
        <f t="shared" si="8"/>
        <v>80037.040166666644</v>
      </c>
    </row>
    <row r="55" spans="1:69" s="585" customFormat="1" ht="12.75" customHeight="1" outlineLevel="1">
      <c r="A55" s="308" t="s">
        <v>50</v>
      </c>
      <c r="B55" s="308">
        <f t="shared" si="20"/>
        <v>2019</v>
      </c>
      <c r="C55" s="308" t="s">
        <v>47</v>
      </c>
      <c r="D55" s="518"/>
      <c r="E55" s="518"/>
      <c r="F55" s="518"/>
      <c r="G55" s="518"/>
      <c r="H55" s="518">
        <v>11747.84</v>
      </c>
      <c r="I55" s="518"/>
      <c r="J55" s="518">
        <f t="shared" si="40"/>
        <v>11747.84</v>
      </c>
      <c r="K55" s="518">
        <f t="shared" si="5"/>
        <v>9616192.6599999983</v>
      </c>
      <c r="L55" s="518"/>
      <c r="M55" s="518">
        <f>41822.56+50356.45+10486.27-79.77-81.35</f>
        <v>102504.15999999999</v>
      </c>
      <c r="N55" s="518">
        <f t="shared" si="6"/>
        <v>2548572.3599999994</v>
      </c>
      <c r="O55" s="518"/>
      <c r="P55" s="518">
        <f t="shared" si="3"/>
        <v>7067620.2999999989</v>
      </c>
      <c r="R55" s="518">
        <f t="shared" si="4"/>
        <v>0</v>
      </c>
      <c r="S55" s="518">
        <f t="shared" si="7"/>
        <v>415.79166666666669</v>
      </c>
      <c r="T55" s="518">
        <f t="shared" si="9"/>
        <v>878.85</v>
      </c>
      <c r="U55" s="518">
        <f t="shared" si="10"/>
        <v>4172.1833333333334</v>
      </c>
      <c r="V55" s="518">
        <f t="shared" si="11"/>
        <v>6601.6416666666664</v>
      </c>
      <c r="W55" s="518">
        <f t="shared" si="13"/>
        <v>5314.0657499999998</v>
      </c>
      <c r="X55" s="518">
        <f t="shared" si="14"/>
        <v>4037.2521666666667</v>
      </c>
      <c r="Y55" s="518">
        <f t="shared" si="15"/>
        <v>2285.2750000000001</v>
      </c>
      <c r="Z55" s="518">
        <f t="shared" si="16"/>
        <v>1091.7583333333334</v>
      </c>
      <c r="AA55" s="518">
        <f t="shared" si="17"/>
        <v>1269.9591666666668</v>
      </c>
      <c r="AB55" s="518">
        <f t="shared" si="18"/>
        <v>606.67849999999999</v>
      </c>
      <c r="AC55" s="518">
        <f t="shared" si="19"/>
        <v>476.46666666666664</v>
      </c>
      <c r="AD55" s="518">
        <f t="shared" si="21"/>
        <v>1657.7180833333332</v>
      </c>
      <c r="AE55" s="518">
        <f t="shared" si="22"/>
        <v>3516.1947500000001</v>
      </c>
      <c r="AF55" s="518">
        <f t="shared" si="23"/>
        <v>1564.4</v>
      </c>
      <c r="AG55" s="518">
        <f t="shared" si="24"/>
        <v>2587.7750000000001</v>
      </c>
      <c r="AH55" s="518">
        <f t="shared" si="25"/>
        <v>2302.7285000000002</v>
      </c>
      <c r="AI55" s="518">
        <f t="shared" si="26"/>
        <v>1957.7</v>
      </c>
      <c r="AJ55" s="518">
        <f t="shared" si="27"/>
        <v>1067.125</v>
      </c>
      <c r="AK55" s="518">
        <f t="shared" si="28"/>
        <v>1806.075</v>
      </c>
      <c r="AL55" s="518">
        <f t="shared" si="29"/>
        <v>1723.2054166666667</v>
      </c>
      <c r="AM55" s="518">
        <f t="shared" si="30"/>
        <v>3010.375</v>
      </c>
      <c r="AN55" s="518">
        <f t="shared" si="31"/>
        <v>920.83333333333337</v>
      </c>
      <c r="AO55" s="518">
        <f t="shared" si="32"/>
        <v>1423.5416666666667</v>
      </c>
      <c r="AP55" s="518">
        <f t="shared" si="33"/>
        <v>1452.5480833333336</v>
      </c>
      <c r="AQ55" s="518">
        <f t="shared" si="34"/>
        <v>783.11666666666667</v>
      </c>
      <c r="AR55" s="518">
        <f t="shared" si="35"/>
        <v>2080.4166666666665</v>
      </c>
      <c r="AS55" s="518">
        <f t="shared" si="36"/>
        <v>688.7</v>
      </c>
      <c r="AT55" s="518">
        <f t="shared" si="37"/>
        <v>1607.9597499999998</v>
      </c>
      <c r="AU55" s="518">
        <f t="shared" si="38"/>
        <v>690.61666666666667</v>
      </c>
      <c r="AV55" s="518">
        <f t="shared" si="39"/>
        <v>1347.6258333333333</v>
      </c>
      <c r="AW55" s="518">
        <f t="shared" si="41"/>
        <v>1038.7249999999999</v>
      </c>
      <c r="AX55" s="518">
        <f t="shared" si="42"/>
        <v>1395.9028333333333</v>
      </c>
      <c r="AY55" s="518">
        <f t="shared" si="43"/>
        <v>1365.0055</v>
      </c>
      <c r="AZ55" s="518">
        <f t="shared" si="44"/>
        <v>1159.0916666666667</v>
      </c>
      <c r="BA55" s="518">
        <f t="shared" si="45"/>
        <v>2655.8122499999999</v>
      </c>
      <c r="BB55" s="518">
        <f t="shared" si="46"/>
        <v>468.33333333333331</v>
      </c>
      <c r="BC55" s="518">
        <f t="shared" si="47"/>
        <v>1748.4833333333333</v>
      </c>
      <c r="BD55" s="518">
        <f t="shared" si="48"/>
        <v>1459.5083333333334</v>
      </c>
      <c r="BE55" s="518">
        <f t="shared" si="49"/>
        <v>1540.15</v>
      </c>
      <c r="BF55" s="518">
        <f t="shared" si="50"/>
        <v>1080.8333333333333</v>
      </c>
      <c r="BG55" s="619">
        <f t="shared" si="51"/>
        <v>1650.4333333333334</v>
      </c>
      <c r="BH55" s="619">
        <f t="shared" si="52"/>
        <v>811.25</v>
      </c>
      <c r="BI55" s="619">
        <f t="shared" si="53"/>
        <v>2408.09375</v>
      </c>
      <c r="BJ55" s="619">
        <f t="shared" si="54"/>
        <v>0</v>
      </c>
      <c r="BK55" s="619">
        <f t="shared" si="55"/>
        <v>102.93333333333334</v>
      </c>
      <c r="BL55" s="619"/>
      <c r="BM55" s="619">
        <f t="shared" si="56"/>
        <v>1336.6676666666667</v>
      </c>
      <c r="BN55" s="619">
        <f t="shared" si="57"/>
        <v>477.23883333333339</v>
      </c>
      <c r="BO55" s="619">
        <f t="shared" ref="BO55:BO118" si="58">$J$54/120</f>
        <v>0</v>
      </c>
      <c r="BP55" s="619">
        <f>$J$55/120</f>
        <v>97.898666666666671</v>
      </c>
      <c r="BQ55" s="518">
        <f t="shared" si="8"/>
        <v>80134.938833333305</v>
      </c>
    </row>
    <row r="56" spans="1:69" s="585" customFormat="1" ht="12.75" customHeight="1" outlineLevel="1">
      <c r="A56" s="308" t="s">
        <v>51</v>
      </c>
      <c r="B56" s="308">
        <f t="shared" si="20"/>
        <v>2019</v>
      </c>
      <c r="C56" s="308" t="s">
        <v>47</v>
      </c>
      <c r="D56" s="518">
        <v>0</v>
      </c>
      <c r="E56" s="518">
        <v>0</v>
      </c>
      <c r="F56" s="518">
        <v>0</v>
      </c>
      <c r="G56" s="518"/>
      <c r="H56" s="518">
        <v>0</v>
      </c>
      <c r="I56" s="518"/>
      <c r="J56" s="518">
        <f t="shared" si="40"/>
        <v>0</v>
      </c>
      <c r="K56" s="518">
        <f t="shared" si="5"/>
        <v>9616192.6599999983</v>
      </c>
      <c r="L56" s="518"/>
      <c r="M56" s="518">
        <f>15208.06+10286.27+69988.25-79.77-81.35</f>
        <v>95321.459999999992</v>
      </c>
      <c r="N56" s="518">
        <f t="shared" si="6"/>
        <v>2643893.8199999994</v>
      </c>
      <c r="O56" s="518"/>
      <c r="P56" s="518">
        <f t="shared" si="3"/>
        <v>6972298.8399999989</v>
      </c>
      <c r="R56" s="518">
        <f t="shared" si="4"/>
        <v>0</v>
      </c>
      <c r="S56" s="518">
        <f t="shared" si="7"/>
        <v>415.79166666666669</v>
      </c>
      <c r="T56" s="518">
        <f t="shared" si="9"/>
        <v>878.85</v>
      </c>
      <c r="U56" s="518">
        <f t="shared" si="10"/>
        <v>4172.1833333333334</v>
      </c>
      <c r="V56" s="518">
        <f t="shared" si="11"/>
        <v>6601.6416666666664</v>
      </c>
      <c r="W56" s="518">
        <f t="shared" si="13"/>
        <v>5314.0657499999998</v>
      </c>
      <c r="X56" s="518">
        <f t="shared" si="14"/>
        <v>4037.2521666666667</v>
      </c>
      <c r="Y56" s="518">
        <f t="shared" si="15"/>
        <v>2285.2750000000001</v>
      </c>
      <c r="Z56" s="518">
        <f t="shared" si="16"/>
        <v>1091.7583333333334</v>
      </c>
      <c r="AA56" s="518">
        <f t="shared" si="17"/>
        <v>1269.9591666666668</v>
      </c>
      <c r="AB56" s="518">
        <f t="shared" si="18"/>
        <v>606.67849999999999</v>
      </c>
      <c r="AC56" s="518">
        <f t="shared" si="19"/>
        <v>476.46666666666664</v>
      </c>
      <c r="AD56" s="518">
        <f t="shared" si="21"/>
        <v>1657.7180833333332</v>
      </c>
      <c r="AE56" s="518">
        <f t="shared" si="22"/>
        <v>3516.1947500000001</v>
      </c>
      <c r="AF56" s="518">
        <f t="shared" si="23"/>
        <v>1564.4</v>
      </c>
      <c r="AG56" s="518">
        <f t="shared" si="24"/>
        <v>2587.7750000000001</v>
      </c>
      <c r="AH56" s="518">
        <f t="shared" si="25"/>
        <v>2302.7285000000002</v>
      </c>
      <c r="AI56" s="518">
        <f t="shared" si="26"/>
        <v>1957.7</v>
      </c>
      <c r="AJ56" s="518">
        <f t="shared" si="27"/>
        <v>1067.125</v>
      </c>
      <c r="AK56" s="518">
        <f t="shared" si="28"/>
        <v>1806.075</v>
      </c>
      <c r="AL56" s="518">
        <f t="shared" si="29"/>
        <v>1723.2054166666667</v>
      </c>
      <c r="AM56" s="518">
        <f t="shared" si="30"/>
        <v>3010.375</v>
      </c>
      <c r="AN56" s="518">
        <f t="shared" si="31"/>
        <v>920.83333333333337</v>
      </c>
      <c r="AO56" s="518">
        <f t="shared" si="32"/>
        <v>1423.5416666666667</v>
      </c>
      <c r="AP56" s="518">
        <f t="shared" si="33"/>
        <v>1452.5480833333336</v>
      </c>
      <c r="AQ56" s="518">
        <f t="shared" si="34"/>
        <v>783.11666666666667</v>
      </c>
      <c r="AR56" s="518">
        <f t="shared" si="35"/>
        <v>2080.4166666666665</v>
      </c>
      <c r="AS56" s="518">
        <f t="shared" si="36"/>
        <v>688.7</v>
      </c>
      <c r="AT56" s="518">
        <f t="shared" si="37"/>
        <v>1607.9597499999998</v>
      </c>
      <c r="AU56" s="518">
        <f t="shared" si="38"/>
        <v>690.61666666666667</v>
      </c>
      <c r="AV56" s="518">
        <f t="shared" si="39"/>
        <v>1347.6258333333333</v>
      </c>
      <c r="AW56" s="518">
        <f t="shared" si="41"/>
        <v>1038.7249999999999</v>
      </c>
      <c r="AX56" s="518">
        <f t="shared" si="42"/>
        <v>1395.9028333333333</v>
      </c>
      <c r="AY56" s="518">
        <f t="shared" si="43"/>
        <v>1365.0055</v>
      </c>
      <c r="AZ56" s="518">
        <f t="shared" si="44"/>
        <v>1159.0916666666667</v>
      </c>
      <c r="BA56" s="518">
        <f t="shared" si="45"/>
        <v>2655.8122499999999</v>
      </c>
      <c r="BB56" s="518">
        <f t="shared" si="46"/>
        <v>468.33333333333331</v>
      </c>
      <c r="BC56" s="518">
        <f t="shared" si="47"/>
        <v>1748.4833333333333</v>
      </c>
      <c r="BD56" s="518">
        <f t="shared" si="48"/>
        <v>1459.5083333333334</v>
      </c>
      <c r="BE56" s="518">
        <f t="shared" si="49"/>
        <v>1540.15</v>
      </c>
      <c r="BF56" s="518">
        <f t="shared" si="50"/>
        <v>1080.8333333333333</v>
      </c>
      <c r="BG56" s="619">
        <f t="shared" si="51"/>
        <v>1650.4333333333334</v>
      </c>
      <c r="BH56" s="619">
        <f t="shared" si="52"/>
        <v>811.25</v>
      </c>
      <c r="BI56" s="619">
        <f t="shared" si="53"/>
        <v>2408.09375</v>
      </c>
      <c r="BJ56" s="619">
        <f t="shared" si="54"/>
        <v>0</v>
      </c>
      <c r="BK56" s="619">
        <f t="shared" si="55"/>
        <v>102.93333333333334</v>
      </c>
      <c r="BL56" s="619"/>
      <c r="BM56" s="619">
        <f t="shared" si="56"/>
        <v>1336.6676666666667</v>
      </c>
      <c r="BN56" s="619">
        <f t="shared" si="57"/>
        <v>477.23883333333339</v>
      </c>
      <c r="BO56" s="619">
        <f t="shared" si="58"/>
        <v>0</v>
      </c>
      <c r="BP56" s="619">
        <f t="shared" ref="BP56:BP119" si="59">$J$55/120</f>
        <v>97.898666666666671</v>
      </c>
      <c r="BQ56" s="518">
        <f t="shared" si="8"/>
        <v>80134.938833333305</v>
      </c>
    </row>
    <row r="57" spans="1:69" s="585" customFormat="1" ht="12.75" customHeight="1" outlineLevel="1">
      <c r="A57" s="308" t="s">
        <v>52</v>
      </c>
      <c r="B57" s="308">
        <f t="shared" si="20"/>
        <v>2019</v>
      </c>
      <c r="C57" s="308" t="s">
        <v>47</v>
      </c>
      <c r="D57" s="518"/>
      <c r="E57" s="518"/>
      <c r="F57" s="518"/>
      <c r="G57" s="518"/>
      <c r="H57" s="518"/>
      <c r="I57" s="518"/>
      <c r="J57" s="518">
        <f t="shared" si="40"/>
        <v>0</v>
      </c>
      <c r="K57" s="518">
        <f t="shared" si="5"/>
        <v>9616192.6599999983</v>
      </c>
      <c r="L57" s="518"/>
      <c r="M57" s="518">
        <f>52700.37+10386.27+64193.15-79.77-81.35</f>
        <v>127118.67</v>
      </c>
      <c r="N57" s="518">
        <f t="shared" si="6"/>
        <v>2771012.4899999993</v>
      </c>
      <c r="O57" s="518"/>
      <c r="P57" s="518">
        <f t="shared" si="3"/>
        <v>6845180.169999999</v>
      </c>
      <c r="R57" s="518">
        <f t="shared" si="4"/>
        <v>0</v>
      </c>
      <c r="S57" s="518">
        <f t="shared" si="7"/>
        <v>415.79166666666669</v>
      </c>
      <c r="T57" s="518">
        <f t="shared" si="9"/>
        <v>878.85</v>
      </c>
      <c r="U57" s="518">
        <f t="shared" si="10"/>
        <v>4172.1833333333334</v>
      </c>
      <c r="V57" s="518">
        <f t="shared" si="11"/>
        <v>6601.6416666666664</v>
      </c>
      <c r="W57" s="518">
        <f t="shared" si="13"/>
        <v>5314.0657499999998</v>
      </c>
      <c r="X57" s="518">
        <f t="shared" si="14"/>
        <v>4037.2521666666667</v>
      </c>
      <c r="Y57" s="518">
        <f t="shared" si="15"/>
        <v>2285.2750000000001</v>
      </c>
      <c r="Z57" s="518">
        <f t="shared" si="16"/>
        <v>1091.7583333333334</v>
      </c>
      <c r="AA57" s="518">
        <f t="shared" si="17"/>
        <v>1269.9591666666668</v>
      </c>
      <c r="AB57" s="518">
        <f t="shared" si="18"/>
        <v>606.67849999999999</v>
      </c>
      <c r="AC57" s="518">
        <f t="shared" si="19"/>
        <v>476.46666666666664</v>
      </c>
      <c r="AD57" s="518">
        <f t="shared" si="21"/>
        <v>1657.7180833333332</v>
      </c>
      <c r="AE57" s="518">
        <f t="shared" si="22"/>
        <v>3516.1947500000001</v>
      </c>
      <c r="AF57" s="518">
        <f t="shared" si="23"/>
        <v>1564.4</v>
      </c>
      <c r="AG57" s="518">
        <f t="shared" si="24"/>
        <v>2587.7750000000001</v>
      </c>
      <c r="AH57" s="518">
        <f t="shared" si="25"/>
        <v>2302.7285000000002</v>
      </c>
      <c r="AI57" s="518">
        <f t="shared" si="26"/>
        <v>1957.7</v>
      </c>
      <c r="AJ57" s="518">
        <f t="shared" si="27"/>
        <v>1067.125</v>
      </c>
      <c r="AK57" s="518">
        <f t="shared" si="28"/>
        <v>1806.075</v>
      </c>
      <c r="AL57" s="518">
        <f t="shared" si="29"/>
        <v>1723.2054166666667</v>
      </c>
      <c r="AM57" s="518">
        <f t="shared" si="30"/>
        <v>3010.375</v>
      </c>
      <c r="AN57" s="518">
        <f t="shared" si="31"/>
        <v>920.83333333333337</v>
      </c>
      <c r="AO57" s="518">
        <f t="shared" si="32"/>
        <v>1423.5416666666667</v>
      </c>
      <c r="AP57" s="518">
        <f t="shared" si="33"/>
        <v>1452.5480833333336</v>
      </c>
      <c r="AQ57" s="518">
        <f t="shared" si="34"/>
        <v>783.11666666666667</v>
      </c>
      <c r="AR57" s="518">
        <f t="shared" si="35"/>
        <v>2080.4166666666665</v>
      </c>
      <c r="AS57" s="518">
        <f t="shared" si="36"/>
        <v>688.7</v>
      </c>
      <c r="AT57" s="518">
        <f t="shared" si="37"/>
        <v>1607.9597499999998</v>
      </c>
      <c r="AU57" s="518">
        <f t="shared" si="38"/>
        <v>690.61666666666667</v>
      </c>
      <c r="AV57" s="518">
        <f t="shared" si="39"/>
        <v>1347.6258333333333</v>
      </c>
      <c r="AW57" s="518">
        <f t="shared" si="41"/>
        <v>1038.7249999999999</v>
      </c>
      <c r="AX57" s="518">
        <f t="shared" si="42"/>
        <v>1395.9028333333333</v>
      </c>
      <c r="AY57" s="518">
        <f t="shared" si="43"/>
        <v>1365.0055</v>
      </c>
      <c r="AZ57" s="518">
        <f t="shared" si="44"/>
        <v>1159.0916666666667</v>
      </c>
      <c r="BA57" s="518">
        <f t="shared" si="45"/>
        <v>2655.8122499999999</v>
      </c>
      <c r="BB57" s="518">
        <f t="shared" si="46"/>
        <v>468.33333333333331</v>
      </c>
      <c r="BC57" s="518">
        <f t="shared" si="47"/>
        <v>1748.4833333333333</v>
      </c>
      <c r="BD57" s="518">
        <f t="shared" si="48"/>
        <v>1459.5083333333334</v>
      </c>
      <c r="BE57" s="518">
        <f t="shared" si="49"/>
        <v>1540.15</v>
      </c>
      <c r="BF57" s="518">
        <f t="shared" si="50"/>
        <v>1080.8333333333333</v>
      </c>
      <c r="BG57" s="619">
        <f t="shared" si="51"/>
        <v>1650.4333333333334</v>
      </c>
      <c r="BH57" s="619">
        <f t="shared" si="52"/>
        <v>811.25</v>
      </c>
      <c r="BI57" s="619">
        <f t="shared" si="53"/>
        <v>2408.09375</v>
      </c>
      <c r="BJ57" s="619">
        <f t="shared" si="54"/>
        <v>0</v>
      </c>
      <c r="BK57" s="619">
        <f t="shared" si="55"/>
        <v>102.93333333333334</v>
      </c>
      <c r="BL57" s="619"/>
      <c r="BM57" s="619">
        <f t="shared" si="56"/>
        <v>1336.6676666666667</v>
      </c>
      <c r="BN57" s="619">
        <f t="shared" si="57"/>
        <v>477.23883333333339</v>
      </c>
      <c r="BO57" s="619">
        <f t="shared" si="58"/>
        <v>0</v>
      </c>
      <c r="BP57" s="619">
        <f t="shared" si="59"/>
        <v>97.898666666666671</v>
      </c>
      <c r="BQ57" s="518">
        <f t="shared" si="8"/>
        <v>80134.938833333305</v>
      </c>
    </row>
    <row r="58" spans="1:69" s="585" customFormat="1" ht="12.75" customHeight="1" outlineLevel="1">
      <c r="A58" s="308" t="s">
        <v>53</v>
      </c>
      <c r="B58" s="308">
        <f t="shared" si="20"/>
        <v>2020</v>
      </c>
      <c r="C58" s="308" t="s">
        <v>47</v>
      </c>
      <c r="D58" s="518"/>
      <c r="E58" s="518"/>
      <c r="F58" s="518"/>
      <c r="G58" s="518"/>
      <c r="H58" s="518"/>
      <c r="I58" s="518"/>
      <c r="J58" s="518">
        <f t="shared" si="40"/>
        <v>0</v>
      </c>
      <c r="K58" s="518">
        <f t="shared" si="5"/>
        <v>9616192.6599999983</v>
      </c>
      <c r="L58" s="518"/>
      <c r="M58" s="518">
        <f>15983.84+10386.27+71030.75-29223.92-79.77-81.35</f>
        <v>68015.819999999992</v>
      </c>
      <c r="N58" s="518">
        <f t="shared" si="6"/>
        <v>2839028.3099999991</v>
      </c>
      <c r="O58" s="518"/>
      <c r="P58" s="518">
        <f t="shared" si="3"/>
        <v>6777164.3499999996</v>
      </c>
      <c r="R58" s="518">
        <f t="shared" si="4"/>
        <v>0</v>
      </c>
      <c r="S58" s="518">
        <f t="shared" si="7"/>
        <v>415.79166666666669</v>
      </c>
      <c r="T58" s="518">
        <f t="shared" si="9"/>
        <v>878.85</v>
      </c>
      <c r="U58" s="518">
        <f t="shared" si="10"/>
        <v>4172.1833333333334</v>
      </c>
      <c r="V58" s="518">
        <f t="shared" si="11"/>
        <v>6601.6416666666664</v>
      </c>
      <c r="W58" s="518">
        <f t="shared" si="13"/>
        <v>5314.0657499999998</v>
      </c>
      <c r="X58" s="518">
        <f t="shared" si="14"/>
        <v>4037.2521666666667</v>
      </c>
      <c r="Y58" s="518">
        <f t="shared" si="15"/>
        <v>2285.2750000000001</v>
      </c>
      <c r="Z58" s="518">
        <f t="shared" si="16"/>
        <v>1091.7583333333334</v>
      </c>
      <c r="AA58" s="518">
        <f t="shared" si="17"/>
        <v>1269.9591666666668</v>
      </c>
      <c r="AB58" s="518">
        <f t="shared" si="18"/>
        <v>606.67849999999999</v>
      </c>
      <c r="AC58" s="518">
        <f t="shared" si="19"/>
        <v>476.46666666666664</v>
      </c>
      <c r="AD58" s="518">
        <f t="shared" si="21"/>
        <v>1657.7180833333332</v>
      </c>
      <c r="AE58" s="518">
        <f t="shared" si="22"/>
        <v>3516.1947500000001</v>
      </c>
      <c r="AF58" s="518">
        <f t="shared" si="23"/>
        <v>1564.4</v>
      </c>
      <c r="AG58" s="518">
        <f t="shared" si="24"/>
        <v>2587.7750000000001</v>
      </c>
      <c r="AH58" s="518">
        <f t="shared" si="25"/>
        <v>2302.7285000000002</v>
      </c>
      <c r="AI58" s="518">
        <f t="shared" si="26"/>
        <v>1957.7</v>
      </c>
      <c r="AJ58" s="518">
        <f t="shared" si="27"/>
        <v>1067.125</v>
      </c>
      <c r="AK58" s="518">
        <f t="shared" si="28"/>
        <v>1806.075</v>
      </c>
      <c r="AL58" s="518">
        <f t="shared" si="29"/>
        <v>1723.2054166666667</v>
      </c>
      <c r="AM58" s="518">
        <f t="shared" si="30"/>
        <v>3010.375</v>
      </c>
      <c r="AN58" s="518">
        <f t="shared" si="31"/>
        <v>920.83333333333337</v>
      </c>
      <c r="AO58" s="518">
        <f t="shared" si="32"/>
        <v>1423.5416666666667</v>
      </c>
      <c r="AP58" s="518">
        <f t="shared" si="33"/>
        <v>1452.5480833333336</v>
      </c>
      <c r="AQ58" s="518">
        <f t="shared" si="34"/>
        <v>783.11666666666667</v>
      </c>
      <c r="AR58" s="518">
        <f t="shared" si="35"/>
        <v>2080.4166666666665</v>
      </c>
      <c r="AS58" s="518">
        <f t="shared" si="36"/>
        <v>688.7</v>
      </c>
      <c r="AT58" s="518">
        <f t="shared" si="37"/>
        <v>1607.9597499999998</v>
      </c>
      <c r="AU58" s="518">
        <f t="shared" si="38"/>
        <v>690.61666666666667</v>
      </c>
      <c r="AV58" s="518">
        <f t="shared" si="39"/>
        <v>1347.6258333333333</v>
      </c>
      <c r="AW58" s="518">
        <f t="shared" si="41"/>
        <v>1038.7249999999999</v>
      </c>
      <c r="AX58" s="518">
        <f t="shared" si="42"/>
        <v>1395.9028333333333</v>
      </c>
      <c r="AY58" s="518">
        <f t="shared" si="43"/>
        <v>1365.0055</v>
      </c>
      <c r="AZ58" s="518">
        <f t="shared" si="44"/>
        <v>1159.0916666666667</v>
      </c>
      <c r="BA58" s="518">
        <f t="shared" si="45"/>
        <v>2655.8122499999999</v>
      </c>
      <c r="BB58" s="518">
        <f t="shared" si="46"/>
        <v>468.33333333333331</v>
      </c>
      <c r="BC58" s="518">
        <f t="shared" si="47"/>
        <v>1748.4833333333333</v>
      </c>
      <c r="BD58" s="518">
        <f t="shared" si="48"/>
        <v>1459.5083333333334</v>
      </c>
      <c r="BE58" s="518">
        <f t="shared" si="49"/>
        <v>1540.15</v>
      </c>
      <c r="BF58" s="518">
        <f t="shared" si="50"/>
        <v>1080.8333333333333</v>
      </c>
      <c r="BG58" s="619">
        <f t="shared" si="51"/>
        <v>1650.4333333333334</v>
      </c>
      <c r="BH58" s="619">
        <f t="shared" si="52"/>
        <v>811.25</v>
      </c>
      <c r="BI58" s="619">
        <f t="shared" si="53"/>
        <v>2408.09375</v>
      </c>
      <c r="BJ58" s="619">
        <f t="shared" si="54"/>
        <v>0</v>
      </c>
      <c r="BK58" s="619">
        <f t="shared" si="55"/>
        <v>102.93333333333334</v>
      </c>
      <c r="BL58" s="619"/>
      <c r="BM58" s="619">
        <f t="shared" si="56"/>
        <v>1336.6676666666667</v>
      </c>
      <c r="BN58" s="619">
        <f t="shared" si="57"/>
        <v>477.23883333333339</v>
      </c>
      <c r="BO58" s="619">
        <f t="shared" si="58"/>
        <v>0</v>
      </c>
      <c r="BP58" s="619">
        <f t="shared" si="59"/>
        <v>97.898666666666671</v>
      </c>
      <c r="BQ58" s="518">
        <f t="shared" si="8"/>
        <v>80134.938833333305</v>
      </c>
    </row>
    <row r="59" spans="1:69" s="585" customFormat="1" ht="12.75" customHeight="1" outlineLevel="1">
      <c r="A59" s="308" t="s">
        <v>54</v>
      </c>
      <c r="B59" s="308">
        <f t="shared" si="20"/>
        <v>2020</v>
      </c>
      <c r="C59" s="308" t="s">
        <v>47</v>
      </c>
      <c r="D59" s="518"/>
      <c r="E59" s="518"/>
      <c r="F59" s="518"/>
      <c r="G59" s="518"/>
      <c r="H59" s="518"/>
      <c r="I59" s="518"/>
      <c r="J59" s="518">
        <f t="shared" si="40"/>
        <v>0</v>
      </c>
      <c r="K59" s="518">
        <f t="shared" si="5"/>
        <v>9616192.6599999983</v>
      </c>
      <c r="L59" s="518"/>
      <c r="M59" s="518">
        <f>23976.8+109113.5+60248.63-19453.7-79.77-81.35</f>
        <v>173724.11</v>
      </c>
      <c r="N59" s="518">
        <f t="shared" si="6"/>
        <v>3012752.419999999</v>
      </c>
      <c r="O59" s="518"/>
      <c r="P59" s="518">
        <f t="shared" si="3"/>
        <v>6603440.2399999993</v>
      </c>
      <c r="R59" s="518">
        <f t="shared" si="4"/>
        <v>0</v>
      </c>
      <c r="S59" s="518">
        <f t="shared" si="7"/>
        <v>415.79166666666669</v>
      </c>
      <c r="T59" s="518">
        <f t="shared" si="9"/>
        <v>878.85</v>
      </c>
      <c r="U59" s="518">
        <f t="shared" si="10"/>
        <v>4172.1833333333334</v>
      </c>
      <c r="V59" s="518">
        <f t="shared" si="11"/>
        <v>6601.6416666666664</v>
      </c>
      <c r="W59" s="518">
        <f t="shared" si="13"/>
        <v>5314.0657499999998</v>
      </c>
      <c r="X59" s="518">
        <f t="shared" si="14"/>
        <v>4037.2521666666667</v>
      </c>
      <c r="Y59" s="518">
        <f t="shared" si="15"/>
        <v>2285.2750000000001</v>
      </c>
      <c r="Z59" s="518">
        <f t="shared" si="16"/>
        <v>1091.7583333333334</v>
      </c>
      <c r="AA59" s="518">
        <f t="shared" si="17"/>
        <v>1269.9591666666668</v>
      </c>
      <c r="AB59" s="518">
        <f t="shared" si="18"/>
        <v>606.67849999999999</v>
      </c>
      <c r="AC59" s="518">
        <f t="shared" si="19"/>
        <v>476.46666666666664</v>
      </c>
      <c r="AD59" s="518">
        <f t="shared" si="21"/>
        <v>1657.7180833333332</v>
      </c>
      <c r="AE59" s="518">
        <f t="shared" si="22"/>
        <v>3516.1947500000001</v>
      </c>
      <c r="AF59" s="518">
        <f t="shared" si="23"/>
        <v>1564.4</v>
      </c>
      <c r="AG59" s="518">
        <f t="shared" si="24"/>
        <v>2587.7750000000001</v>
      </c>
      <c r="AH59" s="518">
        <f t="shared" si="25"/>
        <v>2302.7285000000002</v>
      </c>
      <c r="AI59" s="518">
        <f t="shared" si="26"/>
        <v>1957.7</v>
      </c>
      <c r="AJ59" s="518">
        <f t="shared" si="27"/>
        <v>1067.125</v>
      </c>
      <c r="AK59" s="518">
        <f t="shared" si="28"/>
        <v>1806.075</v>
      </c>
      <c r="AL59" s="518">
        <f t="shared" si="29"/>
        <v>1723.2054166666667</v>
      </c>
      <c r="AM59" s="518">
        <f t="shared" si="30"/>
        <v>3010.375</v>
      </c>
      <c r="AN59" s="518">
        <f t="shared" si="31"/>
        <v>920.83333333333337</v>
      </c>
      <c r="AO59" s="518">
        <f t="shared" si="32"/>
        <v>1423.5416666666667</v>
      </c>
      <c r="AP59" s="518">
        <f t="shared" si="33"/>
        <v>1452.5480833333336</v>
      </c>
      <c r="AQ59" s="518">
        <f t="shared" si="34"/>
        <v>783.11666666666667</v>
      </c>
      <c r="AR59" s="518">
        <f t="shared" si="35"/>
        <v>2080.4166666666665</v>
      </c>
      <c r="AS59" s="518">
        <f t="shared" si="36"/>
        <v>688.7</v>
      </c>
      <c r="AT59" s="518">
        <f t="shared" si="37"/>
        <v>1607.9597499999998</v>
      </c>
      <c r="AU59" s="518">
        <f t="shared" si="38"/>
        <v>690.61666666666667</v>
      </c>
      <c r="AV59" s="518">
        <f t="shared" si="39"/>
        <v>1347.6258333333333</v>
      </c>
      <c r="AW59" s="518">
        <f t="shared" si="41"/>
        <v>1038.7249999999999</v>
      </c>
      <c r="AX59" s="518">
        <f t="shared" si="42"/>
        <v>1395.9028333333333</v>
      </c>
      <c r="AY59" s="518">
        <f t="shared" si="43"/>
        <v>1365.0055</v>
      </c>
      <c r="AZ59" s="518">
        <f t="shared" si="44"/>
        <v>1159.0916666666667</v>
      </c>
      <c r="BA59" s="518">
        <f t="shared" si="45"/>
        <v>2655.8122499999999</v>
      </c>
      <c r="BB59" s="518">
        <f t="shared" si="46"/>
        <v>468.33333333333331</v>
      </c>
      <c r="BC59" s="518">
        <f t="shared" si="47"/>
        <v>1748.4833333333333</v>
      </c>
      <c r="BD59" s="518">
        <f t="shared" si="48"/>
        <v>1459.5083333333334</v>
      </c>
      <c r="BE59" s="518">
        <f t="shared" si="49"/>
        <v>1540.15</v>
      </c>
      <c r="BF59" s="518">
        <f t="shared" si="50"/>
        <v>1080.8333333333333</v>
      </c>
      <c r="BG59" s="619">
        <f t="shared" si="51"/>
        <v>1650.4333333333334</v>
      </c>
      <c r="BH59" s="619">
        <f t="shared" si="52"/>
        <v>811.25</v>
      </c>
      <c r="BI59" s="619">
        <f t="shared" si="53"/>
        <v>2408.09375</v>
      </c>
      <c r="BJ59" s="619">
        <f t="shared" si="54"/>
        <v>0</v>
      </c>
      <c r="BK59" s="619">
        <f t="shared" si="55"/>
        <v>102.93333333333334</v>
      </c>
      <c r="BL59" s="619"/>
      <c r="BM59" s="619">
        <f t="shared" si="56"/>
        <v>1336.6676666666667</v>
      </c>
      <c r="BN59" s="619">
        <f t="shared" si="57"/>
        <v>477.23883333333339</v>
      </c>
      <c r="BO59" s="619">
        <f t="shared" si="58"/>
        <v>0</v>
      </c>
      <c r="BP59" s="619">
        <f t="shared" si="59"/>
        <v>97.898666666666671</v>
      </c>
      <c r="BQ59" s="518">
        <f t="shared" si="8"/>
        <v>80134.938833333305</v>
      </c>
    </row>
    <row r="60" spans="1:69" s="585" customFormat="1" ht="12.75" customHeight="1" outlineLevel="1">
      <c r="A60" s="308" t="s">
        <v>55</v>
      </c>
      <c r="B60" s="308">
        <f t="shared" si="20"/>
        <v>2020</v>
      </c>
      <c r="C60" s="308" t="s">
        <v>47</v>
      </c>
      <c r="D60" s="518"/>
      <c r="E60" s="518"/>
      <c r="F60" s="518"/>
      <c r="G60" s="518"/>
      <c r="H60" s="518"/>
      <c r="I60" s="518"/>
      <c r="J60" s="518">
        <f t="shared" si="40"/>
        <v>0</v>
      </c>
      <c r="K60" s="518">
        <f t="shared" si="5"/>
        <v>9616192.6599999983</v>
      </c>
      <c r="L60" s="518"/>
      <c r="M60" s="518">
        <f>27288.81+10476.11+58321.53-16346.56-79.77-81.35</f>
        <v>79578.76999999999</v>
      </c>
      <c r="N60" s="518">
        <f t="shared" si="6"/>
        <v>3092331.189999999</v>
      </c>
      <c r="O60" s="518"/>
      <c r="P60" s="518">
        <f t="shared" si="3"/>
        <v>6523861.4699999988</v>
      </c>
      <c r="R60" s="518">
        <f t="shared" si="4"/>
        <v>0</v>
      </c>
      <c r="S60" s="518">
        <f t="shared" si="7"/>
        <v>415.79166666666669</v>
      </c>
      <c r="T60" s="518">
        <f t="shared" si="9"/>
        <v>878.85</v>
      </c>
      <c r="U60" s="518">
        <f t="shared" si="10"/>
        <v>4172.1833333333334</v>
      </c>
      <c r="V60" s="518">
        <f t="shared" si="11"/>
        <v>6601.6416666666664</v>
      </c>
      <c r="W60" s="518">
        <f t="shared" si="13"/>
        <v>5314.0657499999998</v>
      </c>
      <c r="X60" s="518">
        <f t="shared" si="14"/>
        <v>4037.2521666666667</v>
      </c>
      <c r="Y60" s="518">
        <f t="shared" si="15"/>
        <v>2285.2750000000001</v>
      </c>
      <c r="Z60" s="518">
        <f t="shared" si="16"/>
        <v>1091.7583333333334</v>
      </c>
      <c r="AA60" s="518">
        <f t="shared" si="17"/>
        <v>1269.9591666666668</v>
      </c>
      <c r="AB60" s="518">
        <f t="shared" si="18"/>
        <v>606.67849999999999</v>
      </c>
      <c r="AC60" s="518">
        <f t="shared" si="19"/>
        <v>476.46666666666664</v>
      </c>
      <c r="AD60" s="518">
        <f t="shared" si="21"/>
        <v>1657.7180833333332</v>
      </c>
      <c r="AE60" s="518">
        <f t="shared" si="22"/>
        <v>3516.1947500000001</v>
      </c>
      <c r="AF60" s="518">
        <f t="shared" si="23"/>
        <v>1564.4</v>
      </c>
      <c r="AG60" s="518">
        <f t="shared" si="24"/>
        <v>2587.7750000000001</v>
      </c>
      <c r="AH60" s="518">
        <f t="shared" si="25"/>
        <v>2302.7285000000002</v>
      </c>
      <c r="AI60" s="518">
        <f t="shared" si="26"/>
        <v>1957.7</v>
      </c>
      <c r="AJ60" s="518">
        <f t="shared" si="27"/>
        <v>1067.125</v>
      </c>
      <c r="AK60" s="518">
        <f t="shared" si="28"/>
        <v>1806.075</v>
      </c>
      <c r="AL60" s="518">
        <f t="shared" si="29"/>
        <v>1723.2054166666667</v>
      </c>
      <c r="AM60" s="518">
        <f t="shared" si="30"/>
        <v>3010.375</v>
      </c>
      <c r="AN60" s="518">
        <f t="shared" si="31"/>
        <v>920.83333333333337</v>
      </c>
      <c r="AO60" s="518">
        <f t="shared" si="32"/>
        <v>1423.5416666666667</v>
      </c>
      <c r="AP60" s="518">
        <f t="shared" si="33"/>
        <v>1452.5480833333336</v>
      </c>
      <c r="AQ60" s="518">
        <f t="shared" si="34"/>
        <v>783.11666666666667</v>
      </c>
      <c r="AR60" s="518">
        <f t="shared" si="35"/>
        <v>2080.4166666666665</v>
      </c>
      <c r="AS60" s="518">
        <f t="shared" si="36"/>
        <v>688.7</v>
      </c>
      <c r="AT60" s="518">
        <f t="shared" si="37"/>
        <v>1607.9597499999998</v>
      </c>
      <c r="AU60" s="518">
        <f t="shared" si="38"/>
        <v>690.61666666666667</v>
      </c>
      <c r="AV60" s="518">
        <f t="shared" si="39"/>
        <v>1347.6258333333333</v>
      </c>
      <c r="AW60" s="518">
        <f t="shared" si="41"/>
        <v>1038.7249999999999</v>
      </c>
      <c r="AX60" s="518">
        <f t="shared" si="42"/>
        <v>1395.9028333333333</v>
      </c>
      <c r="AY60" s="518">
        <f t="shared" si="43"/>
        <v>1365.0055</v>
      </c>
      <c r="AZ60" s="518">
        <f t="shared" si="44"/>
        <v>1159.0916666666667</v>
      </c>
      <c r="BA60" s="518">
        <f t="shared" si="45"/>
        <v>2655.8122499999999</v>
      </c>
      <c r="BB60" s="518">
        <f t="shared" si="46"/>
        <v>468.33333333333331</v>
      </c>
      <c r="BC60" s="518">
        <f t="shared" si="47"/>
        <v>1748.4833333333333</v>
      </c>
      <c r="BD60" s="518">
        <f t="shared" si="48"/>
        <v>1459.5083333333334</v>
      </c>
      <c r="BE60" s="518">
        <f t="shared" si="49"/>
        <v>1540.15</v>
      </c>
      <c r="BF60" s="518">
        <f t="shared" si="50"/>
        <v>1080.8333333333333</v>
      </c>
      <c r="BG60" s="619">
        <f t="shared" si="51"/>
        <v>1650.4333333333334</v>
      </c>
      <c r="BH60" s="619">
        <f t="shared" si="52"/>
        <v>811.25</v>
      </c>
      <c r="BI60" s="619">
        <f t="shared" si="53"/>
        <v>2408.09375</v>
      </c>
      <c r="BJ60" s="619">
        <f t="shared" si="54"/>
        <v>0</v>
      </c>
      <c r="BK60" s="619">
        <f t="shared" si="55"/>
        <v>102.93333333333334</v>
      </c>
      <c r="BL60" s="619"/>
      <c r="BM60" s="619">
        <f t="shared" si="56"/>
        <v>1336.6676666666667</v>
      </c>
      <c r="BN60" s="619">
        <f t="shared" si="57"/>
        <v>477.23883333333339</v>
      </c>
      <c r="BO60" s="619">
        <f t="shared" si="58"/>
        <v>0</v>
      </c>
      <c r="BP60" s="619">
        <f t="shared" si="59"/>
        <v>97.898666666666671</v>
      </c>
      <c r="BQ60" s="518">
        <f t="shared" si="8"/>
        <v>80134.938833333305</v>
      </c>
    </row>
    <row r="61" spans="1:69" s="585" customFormat="1" ht="12.75" customHeight="1" outlineLevel="1">
      <c r="A61" s="308" t="s">
        <v>56</v>
      </c>
      <c r="B61" s="308">
        <f t="shared" si="20"/>
        <v>2020</v>
      </c>
      <c r="C61" s="308" t="s">
        <v>47</v>
      </c>
      <c r="D61" s="518"/>
      <c r="E61" s="518"/>
      <c r="F61" s="518"/>
      <c r="G61" s="518"/>
      <c r="H61" s="518"/>
      <c r="I61" s="518"/>
      <c r="J61" s="518">
        <f t="shared" si="40"/>
        <v>0</v>
      </c>
      <c r="K61" s="518">
        <f t="shared" si="5"/>
        <v>9616192.6599999983</v>
      </c>
      <c r="L61" s="518"/>
      <c r="M61" s="459">
        <f>31149.01+9398.09+72456.12-19401.62-4226.86-81.35</f>
        <v>89293.39</v>
      </c>
      <c r="N61" s="518">
        <f t="shared" si="6"/>
        <v>3181624.5799999991</v>
      </c>
      <c r="O61" s="518"/>
      <c r="P61" s="518">
        <f t="shared" si="3"/>
        <v>6434568.0799999991</v>
      </c>
      <c r="R61" s="518">
        <f t="shared" si="4"/>
        <v>0</v>
      </c>
      <c r="S61" s="518">
        <f t="shared" si="7"/>
        <v>415.79166666666669</v>
      </c>
      <c r="T61" s="518">
        <f t="shared" si="9"/>
        <v>878.85</v>
      </c>
      <c r="U61" s="518">
        <f t="shared" si="10"/>
        <v>4172.1833333333334</v>
      </c>
      <c r="V61" s="518">
        <f t="shared" si="11"/>
        <v>6601.6416666666664</v>
      </c>
      <c r="W61" s="518">
        <f t="shared" si="13"/>
        <v>5314.0657499999998</v>
      </c>
      <c r="X61" s="518">
        <f t="shared" si="14"/>
        <v>4037.2521666666667</v>
      </c>
      <c r="Y61" s="518">
        <f t="shared" si="15"/>
        <v>2285.2750000000001</v>
      </c>
      <c r="Z61" s="518">
        <f t="shared" si="16"/>
        <v>1091.7583333333334</v>
      </c>
      <c r="AA61" s="518">
        <f t="shared" si="17"/>
        <v>1269.9591666666668</v>
      </c>
      <c r="AB61" s="518">
        <f t="shared" si="18"/>
        <v>606.67849999999999</v>
      </c>
      <c r="AC61" s="518">
        <f t="shared" si="19"/>
        <v>476.46666666666664</v>
      </c>
      <c r="AD61" s="518">
        <f t="shared" si="21"/>
        <v>1657.7180833333332</v>
      </c>
      <c r="AE61" s="518">
        <f t="shared" si="22"/>
        <v>3516.1947500000001</v>
      </c>
      <c r="AF61" s="518">
        <f t="shared" si="23"/>
        <v>1564.4</v>
      </c>
      <c r="AG61" s="518">
        <f t="shared" si="24"/>
        <v>2587.7750000000001</v>
      </c>
      <c r="AH61" s="518">
        <f t="shared" si="25"/>
        <v>2302.7285000000002</v>
      </c>
      <c r="AI61" s="518">
        <f t="shared" si="26"/>
        <v>1957.7</v>
      </c>
      <c r="AJ61" s="518">
        <f t="shared" si="27"/>
        <v>1067.125</v>
      </c>
      <c r="AK61" s="518">
        <f t="shared" si="28"/>
        <v>1806.075</v>
      </c>
      <c r="AL61" s="518">
        <f t="shared" si="29"/>
        <v>1723.2054166666667</v>
      </c>
      <c r="AM61" s="518">
        <f t="shared" si="30"/>
        <v>3010.375</v>
      </c>
      <c r="AN61" s="518">
        <f t="shared" si="31"/>
        <v>920.83333333333337</v>
      </c>
      <c r="AO61" s="518">
        <f t="shared" si="32"/>
        <v>1423.5416666666667</v>
      </c>
      <c r="AP61" s="518">
        <f t="shared" si="33"/>
        <v>1452.5480833333336</v>
      </c>
      <c r="AQ61" s="518">
        <f t="shared" si="34"/>
        <v>783.11666666666667</v>
      </c>
      <c r="AR61" s="518">
        <f t="shared" si="35"/>
        <v>2080.4166666666665</v>
      </c>
      <c r="AS61" s="518">
        <f t="shared" si="36"/>
        <v>688.7</v>
      </c>
      <c r="AT61" s="518">
        <f t="shared" si="37"/>
        <v>1607.9597499999998</v>
      </c>
      <c r="AU61" s="518">
        <f t="shared" si="38"/>
        <v>690.61666666666667</v>
      </c>
      <c r="AV61" s="518">
        <f t="shared" si="39"/>
        <v>1347.6258333333333</v>
      </c>
      <c r="AW61" s="518">
        <f t="shared" si="41"/>
        <v>1038.7249999999999</v>
      </c>
      <c r="AX61" s="518">
        <f t="shared" si="42"/>
        <v>1395.9028333333333</v>
      </c>
      <c r="AY61" s="518">
        <f t="shared" si="43"/>
        <v>1365.0055</v>
      </c>
      <c r="AZ61" s="518">
        <f t="shared" si="44"/>
        <v>1159.0916666666667</v>
      </c>
      <c r="BA61" s="518">
        <f t="shared" si="45"/>
        <v>2655.8122499999999</v>
      </c>
      <c r="BB61" s="518">
        <f t="shared" si="46"/>
        <v>468.33333333333331</v>
      </c>
      <c r="BC61" s="518">
        <f t="shared" si="47"/>
        <v>1748.4833333333333</v>
      </c>
      <c r="BD61" s="518">
        <f t="shared" si="48"/>
        <v>1459.5083333333334</v>
      </c>
      <c r="BE61" s="518">
        <f t="shared" si="49"/>
        <v>1540.15</v>
      </c>
      <c r="BF61" s="518">
        <f t="shared" si="50"/>
        <v>1080.8333333333333</v>
      </c>
      <c r="BG61" s="619">
        <f t="shared" si="51"/>
        <v>1650.4333333333334</v>
      </c>
      <c r="BH61" s="619">
        <f t="shared" si="52"/>
        <v>811.25</v>
      </c>
      <c r="BI61" s="619">
        <f t="shared" si="53"/>
        <v>2408.09375</v>
      </c>
      <c r="BJ61" s="619">
        <f t="shared" si="54"/>
        <v>0</v>
      </c>
      <c r="BK61" s="619">
        <f t="shared" si="55"/>
        <v>102.93333333333334</v>
      </c>
      <c r="BL61" s="619"/>
      <c r="BM61" s="619">
        <f t="shared" si="56"/>
        <v>1336.6676666666667</v>
      </c>
      <c r="BN61" s="619">
        <f t="shared" si="57"/>
        <v>477.23883333333339</v>
      </c>
      <c r="BO61" s="619">
        <f t="shared" si="58"/>
        <v>0</v>
      </c>
      <c r="BP61" s="619">
        <f t="shared" si="59"/>
        <v>97.898666666666671</v>
      </c>
      <c r="BQ61" s="518">
        <f t="shared" si="8"/>
        <v>80134.938833333305</v>
      </c>
    </row>
    <row r="62" spans="1:69" s="585" customFormat="1" ht="12.75" customHeight="1" outlineLevel="1">
      <c r="A62" s="308" t="s">
        <v>57</v>
      </c>
      <c r="B62" s="308">
        <f t="shared" si="20"/>
        <v>2020</v>
      </c>
      <c r="C62" s="308" t="s">
        <v>47</v>
      </c>
      <c r="D62" s="518"/>
      <c r="E62" s="518"/>
      <c r="F62" s="518"/>
      <c r="G62" s="518"/>
      <c r="H62" s="518"/>
      <c r="I62" s="518"/>
      <c r="J62" s="518">
        <f t="shared" si="40"/>
        <v>0</v>
      </c>
      <c r="K62" s="518">
        <f t="shared" si="5"/>
        <v>9616192.6599999983</v>
      </c>
      <c r="L62" s="518"/>
      <c r="M62" s="459">
        <f>24544.45+50808.41+7656.82-81.35</f>
        <v>82928.329999999987</v>
      </c>
      <c r="N62" s="518">
        <f t="shared" si="6"/>
        <v>3264552.9099999992</v>
      </c>
      <c r="O62" s="518"/>
      <c r="P62" s="518">
        <f t="shared" si="3"/>
        <v>6351639.7499999991</v>
      </c>
      <c r="R62" s="518">
        <f t="shared" si="4"/>
        <v>0</v>
      </c>
      <c r="S62" s="518">
        <f t="shared" si="7"/>
        <v>415.79166666666669</v>
      </c>
      <c r="T62" s="518">
        <f t="shared" si="9"/>
        <v>878.85</v>
      </c>
      <c r="U62" s="518">
        <f t="shared" si="10"/>
        <v>4172.1833333333334</v>
      </c>
      <c r="V62" s="518">
        <f t="shared" si="11"/>
        <v>6601.6416666666664</v>
      </c>
      <c r="W62" s="518">
        <f t="shared" si="13"/>
        <v>5314.0657499999998</v>
      </c>
      <c r="X62" s="518">
        <f t="shared" si="14"/>
        <v>4037.2521666666667</v>
      </c>
      <c r="Y62" s="518">
        <f t="shared" si="15"/>
        <v>2285.2750000000001</v>
      </c>
      <c r="Z62" s="518">
        <f t="shared" si="16"/>
        <v>1091.7583333333334</v>
      </c>
      <c r="AA62" s="518">
        <f t="shared" si="17"/>
        <v>1269.9591666666668</v>
      </c>
      <c r="AB62" s="518">
        <f t="shared" si="18"/>
        <v>606.67849999999999</v>
      </c>
      <c r="AC62" s="518">
        <f t="shared" si="19"/>
        <v>476.46666666666664</v>
      </c>
      <c r="AD62" s="518">
        <f t="shared" si="21"/>
        <v>1657.7180833333332</v>
      </c>
      <c r="AE62" s="518">
        <f t="shared" si="22"/>
        <v>3516.1947500000001</v>
      </c>
      <c r="AF62" s="518">
        <f t="shared" si="23"/>
        <v>1564.4</v>
      </c>
      <c r="AG62" s="518">
        <f t="shared" si="24"/>
        <v>2587.7750000000001</v>
      </c>
      <c r="AH62" s="518">
        <f t="shared" si="25"/>
        <v>2302.7285000000002</v>
      </c>
      <c r="AI62" s="518">
        <f t="shared" si="26"/>
        <v>1957.7</v>
      </c>
      <c r="AJ62" s="518">
        <f t="shared" si="27"/>
        <v>1067.125</v>
      </c>
      <c r="AK62" s="518">
        <f t="shared" si="28"/>
        <v>1806.075</v>
      </c>
      <c r="AL62" s="518">
        <f t="shared" si="29"/>
        <v>1723.2054166666667</v>
      </c>
      <c r="AM62" s="518">
        <f t="shared" si="30"/>
        <v>3010.375</v>
      </c>
      <c r="AN62" s="518">
        <f t="shared" si="31"/>
        <v>920.83333333333337</v>
      </c>
      <c r="AO62" s="518">
        <f t="shared" si="32"/>
        <v>1423.5416666666667</v>
      </c>
      <c r="AP62" s="518">
        <f t="shared" si="33"/>
        <v>1452.5480833333336</v>
      </c>
      <c r="AQ62" s="518">
        <f t="shared" si="34"/>
        <v>783.11666666666667</v>
      </c>
      <c r="AR62" s="518">
        <f t="shared" si="35"/>
        <v>2080.4166666666665</v>
      </c>
      <c r="AS62" s="518">
        <f t="shared" si="36"/>
        <v>688.7</v>
      </c>
      <c r="AT62" s="518">
        <f t="shared" si="37"/>
        <v>1607.9597499999998</v>
      </c>
      <c r="AU62" s="518">
        <f t="shared" si="38"/>
        <v>690.61666666666667</v>
      </c>
      <c r="AV62" s="518">
        <f t="shared" si="39"/>
        <v>1347.6258333333333</v>
      </c>
      <c r="AW62" s="518">
        <f t="shared" si="41"/>
        <v>1038.7249999999999</v>
      </c>
      <c r="AX62" s="518">
        <f t="shared" si="42"/>
        <v>1395.9028333333333</v>
      </c>
      <c r="AY62" s="518">
        <f t="shared" si="43"/>
        <v>1365.0055</v>
      </c>
      <c r="AZ62" s="518">
        <f t="shared" si="44"/>
        <v>1159.0916666666667</v>
      </c>
      <c r="BA62" s="518">
        <f t="shared" si="45"/>
        <v>2655.8122499999999</v>
      </c>
      <c r="BB62" s="518">
        <f t="shared" si="46"/>
        <v>468.33333333333331</v>
      </c>
      <c r="BC62" s="518">
        <f t="shared" si="47"/>
        <v>1748.4833333333333</v>
      </c>
      <c r="BD62" s="518">
        <f t="shared" si="48"/>
        <v>1459.5083333333334</v>
      </c>
      <c r="BE62" s="518">
        <f t="shared" si="49"/>
        <v>1540.15</v>
      </c>
      <c r="BF62" s="518">
        <f t="shared" si="50"/>
        <v>1080.8333333333333</v>
      </c>
      <c r="BG62" s="619">
        <f t="shared" si="51"/>
        <v>1650.4333333333334</v>
      </c>
      <c r="BH62" s="619">
        <f t="shared" si="52"/>
        <v>811.25</v>
      </c>
      <c r="BI62" s="619">
        <f t="shared" si="53"/>
        <v>2408.09375</v>
      </c>
      <c r="BJ62" s="619">
        <f t="shared" si="54"/>
        <v>0</v>
      </c>
      <c r="BK62" s="619">
        <f t="shared" si="55"/>
        <v>102.93333333333334</v>
      </c>
      <c r="BL62" s="619"/>
      <c r="BM62" s="619">
        <f t="shared" si="56"/>
        <v>1336.6676666666667</v>
      </c>
      <c r="BN62" s="619">
        <f t="shared" si="57"/>
        <v>477.23883333333339</v>
      </c>
      <c r="BO62" s="619">
        <f t="shared" si="58"/>
        <v>0</v>
      </c>
      <c r="BP62" s="619">
        <f t="shared" si="59"/>
        <v>97.898666666666671</v>
      </c>
      <c r="BQ62" s="518">
        <f t="shared" si="8"/>
        <v>80134.938833333305</v>
      </c>
    </row>
    <row r="63" spans="1:69" s="585" customFormat="1" ht="12.75" customHeight="1" outlineLevel="1">
      <c r="A63" s="308" t="s">
        <v>58</v>
      </c>
      <c r="B63" s="308">
        <f t="shared" si="20"/>
        <v>2020</v>
      </c>
      <c r="C63" s="308" t="s">
        <v>47</v>
      </c>
      <c r="D63" s="518"/>
      <c r="E63" s="518"/>
      <c r="F63" s="518"/>
      <c r="G63" s="518"/>
      <c r="H63" s="518"/>
      <c r="I63" s="518"/>
      <c r="J63" s="518">
        <f t="shared" si="40"/>
        <v>0</v>
      </c>
      <c r="K63" s="518">
        <f t="shared" si="5"/>
        <v>9616192.6599999983</v>
      </c>
      <c r="L63" s="518"/>
      <c r="M63" s="622">
        <f>30481.41+9812.86+48114.82-81.35</f>
        <v>88327.739999999991</v>
      </c>
      <c r="N63" s="518">
        <f t="shared" si="6"/>
        <v>3352880.6499999994</v>
      </c>
      <c r="O63" s="518"/>
      <c r="P63" s="518">
        <f t="shared" si="3"/>
        <v>6263312.0099999988</v>
      </c>
      <c r="R63" s="518">
        <f t="shared" si="4"/>
        <v>0</v>
      </c>
      <c r="S63" s="518">
        <f t="shared" si="7"/>
        <v>415.79166666666669</v>
      </c>
      <c r="T63" s="518">
        <f t="shared" si="9"/>
        <v>878.85</v>
      </c>
      <c r="U63" s="518">
        <f t="shared" si="10"/>
        <v>4172.1833333333334</v>
      </c>
      <c r="V63" s="518">
        <f t="shared" si="11"/>
        <v>6601.6416666666664</v>
      </c>
      <c r="W63" s="518">
        <f t="shared" si="13"/>
        <v>5314.0657499999998</v>
      </c>
      <c r="X63" s="518">
        <f t="shared" si="14"/>
        <v>4037.2521666666667</v>
      </c>
      <c r="Y63" s="518">
        <f t="shared" si="15"/>
        <v>2285.2750000000001</v>
      </c>
      <c r="Z63" s="518">
        <f t="shared" si="16"/>
        <v>1091.7583333333334</v>
      </c>
      <c r="AA63" s="518">
        <f t="shared" si="17"/>
        <v>1269.9591666666668</v>
      </c>
      <c r="AB63" s="518">
        <f t="shared" si="18"/>
        <v>606.67849999999999</v>
      </c>
      <c r="AC63" s="518">
        <f t="shared" si="19"/>
        <v>476.46666666666664</v>
      </c>
      <c r="AD63" s="518">
        <f t="shared" si="21"/>
        <v>1657.7180833333332</v>
      </c>
      <c r="AE63" s="518">
        <f t="shared" si="22"/>
        <v>3516.1947500000001</v>
      </c>
      <c r="AF63" s="518">
        <f t="shared" si="23"/>
        <v>1564.4</v>
      </c>
      <c r="AG63" s="518">
        <f t="shared" si="24"/>
        <v>2587.7750000000001</v>
      </c>
      <c r="AH63" s="518">
        <f t="shared" si="25"/>
        <v>2302.7285000000002</v>
      </c>
      <c r="AI63" s="518">
        <f t="shared" si="26"/>
        <v>1957.7</v>
      </c>
      <c r="AJ63" s="518">
        <f t="shared" si="27"/>
        <v>1067.125</v>
      </c>
      <c r="AK63" s="518">
        <f t="shared" si="28"/>
        <v>1806.075</v>
      </c>
      <c r="AL63" s="518">
        <f t="shared" si="29"/>
        <v>1723.2054166666667</v>
      </c>
      <c r="AM63" s="518">
        <f t="shared" si="30"/>
        <v>3010.375</v>
      </c>
      <c r="AN63" s="518">
        <f t="shared" si="31"/>
        <v>920.83333333333337</v>
      </c>
      <c r="AO63" s="518">
        <f t="shared" si="32"/>
        <v>1423.5416666666667</v>
      </c>
      <c r="AP63" s="518">
        <f t="shared" si="33"/>
        <v>1452.5480833333336</v>
      </c>
      <c r="AQ63" s="518">
        <f t="shared" si="34"/>
        <v>783.11666666666667</v>
      </c>
      <c r="AR63" s="518">
        <f t="shared" si="35"/>
        <v>2080.4166666666665</v>
      </c>
      <c r="AS63" s="518">
        <f t="shared" si="36"/>
        <v>688.7</v>
      </c>
      <c r="AT63" s="518">
        <f t="shared" si="37"/>
        <v>1607.9597499999998</v>
      </c>
      <c r="AU63" s="518">
        <f t="shared" si="38"/>
        <v>690.61666666666667</v>
      </c>
      <c r="AV63" s="518">
        <f t="shared" si="39"/>
        <v>1347.6258333333333</v>
      </c>
      <c r="AW63" s="518">
        <f t="shared" si="41"/>
        <v>1038.7249999999999</v>
      </c>
      <c r="AX63" s="518">
        <f t="shared" si="42"/>
        <v>1395.9028333333333</v>
      </c>
      <c r="AY63" s="518">
        <f t="shared" si="43"/>
        <v>1365.0055</v>
      </c>
      <c r="AZ63" s="518">
        <f t="shared" si="44"/>
        <v>1159.0916666666667</v>
      </c>
      <c r="BA63" s="518">
        <f t="shared" si="45"/>
        <v>2655.8122499999999</v>
      </c>
      <c r="BB63" s="518">
        <f t="shared" si="46"/>
        <v>468.33333333333331</v>
      </c>
      <c r="BC63" s="518">
        <f t="shared" si="47"/>
        <v>1748.4833333333333</v>
      </c>
      <c r="BD63" s="518">
        <f t="shared" si="48"/>
        <v>1459.5083333333334</v>
      </c>
      <c r="BE63" s="518">
        <f t="shared" si="49"/>
        <v>1540.15</v>
      </c>
      <c r="BF63" s="518">
        <f t="shared" si="50"/>
        <v>1080.8333333333333</v>
      </c>
      <c r="BG63" s="619">
        <f t="shared" si="51"/>
        <v>1650.4333333333334</v>
      </c>
      <c r="BH63" s="619">
        <f t="shared" si="52"/>
        <v>811.25</v>
      </c>
      <c r="BI63" s="619">
        <f t="shared" si="53"/>
        <v>2408.09375</v>
      </c>
      <c r="BJ63" s="619">
        <f t="shared" si="54"/>
        <v>0</v>
      </c>
      <c r="BK63" s="619">
        <f t="shared" si="55"/>
        <v>102.93333333333334</v>
      </c>
      <c r="BL63" s="619"/>
      <c r="BM63" s="619">
        <f t="shared" si="56"/>
        <v>1336.6676666666667</v>
      </c>
      <c r="BN63" s="619">
        <f t="shared" si="57"/>
        <v>477.23883333333339</v>
      </c>
      <c r="BO63" s="619">
        <f t="shared" si="58"/>
        <v>0</v>
      </c>
      <c r="BP63" s="619">
        <f t="shared" si="59"/>
        <v>97.898666666666671</v>
      </c>
      <c r="BQ63" s="518">
        <f t="shared" si="8"/>
        <v>80134.938833333305</v>
      </c>
    </row>
    <row r="64" spans="1:69" s="585" customFormat="1" ht="12.75" customHeight="1" outlineLevel="1">
      <c r="A64" s="308" t="s">
        <v>59</v>
      </c>
      <c r="B64" s="308">
        <f t="shared" si="20"/>
        <v>2020</v>
      </c>
      <c r="C64" s="308" t="s">
        <v>47</v>
      </c>
      <c r="D64" s="518"/>
      <c r="E64" s="518"/>
      <c r="F64" s="518"/>
      <c r="G64" s="518"/>
      <c r="H64" s="518"/>
      <c r="I64" s="518"/>
      <c r="J64" s="518">
        <f t="shared" si="40"/>
        <v>0</v>
      </c>
      <c r="K64" s="518">
        <f t="shared" si="5"/>
        <v>9616192.6599999983</v>
      </c>
      <c r="L64" s="518"/>
      <c r="M64" s="622">
        <f>28919.31+8734.84+59229.86-81.35</f>
        <v>96802.66</v>
      </c>
      <c r="N64" s="518">
        <f t="shared" si="6"/>
        <v>3449683.3099999996</v>
      </c>
      <c r="O64" s="518"/>
      <c r="P64" s="518">
        <f t="shared" si="3"/>
        <v>6166509.3499999987</v>
      </c>
      <c r="R64" s="518">
        <f t="shared" si="4"/>
        <v>0</v>
      </c>
      <c r="S64" s="518">
        <f t="shared" si="7"/>
        <v>415.79166666666669</v>
      </c>
      <c r="T64" s="518">
        <f t="shared" si="9"/>
        <v>878.85</v>
      </c>
      <c r="U64" s="518">
        <f t="shared" si="10"/>
        <v>4172.1833333333334</v>
      </c>
      <c r="V64" s="518">
        <f t="shared" si="11"/>
        <v>6601.6416666666664</v>
      </c>
      <c r="W64" s="518">
        <f t="shared" si="13"/>
        <v>5314.0657499999998</v>
      </c>
      <c r="X64" s="518">
        <f t="shared" si="14"/>
        <v>4037.2521666666667</v>
      </c>
      <c r="Y64" s="518">
        <f t="shared" si="15"/>
        <v>2285.2750000000001</v>
      </c>
      <c r="Z64" s="518">
        <f t="shared" si="16"/>
        <v>1091.7583333333334</v>
      </c>
      <c r="AA64" s="518">
        <f t="shared" si="17"/>
        <v>1269.9591666666668</v>
      </c>
      <c r="AB64" s="518">
        <f t="shared" si="18"/>
        <v>606.67849999999999</v>
      </c>
      <c r="AC64" s="518">
        <f t="shared" si="19"/>
        <v>476.46666666666664</v>
      </c>
      <c r="AD64" s="518">
        <f t="shared" si="21"/>
        <v>1657.7180833333332</v>
      </c>
      <c r="AE64" s="518">
        <f t="shared" si="22"/>
        <v>3516.1947500000001</v>
      </c>
      <c r="AF64" s="518">
        <f t="shared" si="23"/>
        <v>1564.4</v>
      </c>
      <c r="AG64" s="518">
        <f t="shared" si="24"/>
        <v>2587.7750000000001</v>
      </c>
      <c r="AH64" s="518">
        <f t="shared" si="25"/>
        <v>2302.7285000000002</v>
      </c>
      <c r="AI64" s="518">
        <f t="shared" si="26"/>
        <v>1957.7</v>
      </c>
      <c r="AJ64" s="518">
        <f t="shared" si="27"/>
        <v>1067.125</v>
      </c>
      <c r="AK64" s="518">
        <f t="shared" si="28"/>
        <v>1806.075</v>
      </c>
      <c r="AL64" s="518">
        <f t="shared" si="29"/>
        <v>1723.2054166666667</v>
      </c>
      <c r="AM64" s="518">
        <f t="shared" si="30"/>
        <v>3010.375</v>
      </c>
      <c r="AN64" s="518">
        <f t="shared" si="31"/>
        <v>920.83333333333337</v>
      </c>
      <c r="AO64" s="518">
        <f t="shared" si="32"/>
        <v>1423.5416666666667</v>
      </c>
      <c r="AP64" s="518">
        <f t="shared" si="33"/>
        <v>1452.5480833333336</v>
      </c>
      <c r="AQ64" s="518">
        <f t="shared" si="34"/>
        <v>783.11666666666667</v>
      </c>
      <c r="AR64" s="518">
        <f t="shared" si="35"/>
        <v>2080.4166666666665</v>
      </c>
      <c r="AS64" s="518">
        <f t="shared" si="36"/>
        <v>688.7</v>
      </c>
      <c r="AT64" s="518">
        <f t="shared" si="37"/>
        <v>1607.9597499999998</v>
      </c>
      <c r="AU64" s="518">
        <f t="shared" si="38"/>
        <v>690.61666666666667</v>
      </c>
      <c r="AV64" s="518">
        <f t="shared" si="39"/>
        <v>1347.6258333333333</v>
      </c>
      <c r="AW64" s="518">
        <f t="shared" si="41"/>
        <v>1038.7249999999999</v>
      </c>
      <c r="AX64" s="518">
        <f t="shared" si="42"/>
        <v>1395.9028333333333</v>
      </c>
      <c r="AY64" s="518">
        <f t="shared" si="43"/>
        <v>1365.0055</v>
      </c>
      <c r="AZ64" s="518">
        <f t="shared" si="44"/>
        <v>1159.0916666666667</v>
      </c>
      <c r="BA64" s="518">
        <f t="shared" si="45"/>
        <v>2655.8122499999999</v>
      </c>
      <c r="BB64" s="518">
        <f t="shared" si="46"/>
        <v>468.33333333333331</v>
      </c>
      <c r="BC64" s="518">
        <f t="shared" si="47"/>
        <v>1748.4833333333333</v>
      </c>
      <c r="BD64" s="518">
        <f t="shared" si="48"/>
        <v>1459.5083333333334</v>
      </c>
      <c r="BE64" s="518">
        <f t="shared" si="49"/>
        <v>1540.15</v>
      </c>
      <c r="BF64" s="518">
        <f t="shared" si="50"/>
        <v>1080.8333333333333</v>
      </c>
      <c r="BG64" s="619">
        <f t="shared" si="51"/>
        <v>1650.4333333333334</v>
      </c>
      <c r="BH64" s="619">
        <f t="shared" si="52"/>
        <v>811.25</v>
      </c>
      <c r="BI64" s="619">
        <f t="shared" si="53"/>
        <v>2408.09375</v>
      </c>
      <c r="BJ64" s="619">
        <f t="shared" si="54"/>
        <v>0</v>
      </c>
      <c r="BK64" s="619">
        <f t="shared" si="55"/>
        <v>102.93333333333334</v>
      </c>
      <c r="BL64" s="619"/>
      <c r="BM64" s="619">
        <f t="shared" si="56"/>
        <v>1336.6676666666667</v>
      </c>
      <c r="BN64" s="619">
        <f t="shared" si="57"/>
        <v>477.23883333333339</v>
      </c>
      <c r="BO64" s="619">
        <f t="shared" si="58"/>
        <v>0</v>
      </c>
      <c r="BP64" s="619">
        <f t="shared" si="59"/>
        <v>97.898666666666671</v>
      </c>
      <c r="BQ64" s="518">
        <f t="shared" si="8"/>
        <v>80134.938833333305</v>
      </c>
    </row>
    <row r="65" spans="1:69" s="585" customFormat="1" ht="12.75" customHeight="1" outlineLevel="1">
      <c r="A65" s="308" t="s">
        <v>46</v>
      </c>
      <c r="B65" s="308">
        <f t="shared" si="20"/>
        <v>2020</v>
      </c>
      <c r="C65" s="308" t="s">
        <v>47</v>
      </c>
      <c r="D65" s="518"/>
      <c r="E65" s="518"/>
      <c r="F65" s="518"/>
      <c r="G65" s="518"/>
      <c r="H65" s="518"/>
      <c r="I65" s="518"/>
      <c r="J65" s="518">
        <f t="shared" si="40"/>
        <v>0</v>
      </c>
      <c r="K65" s="518">
        <f t="shared" si="5"/>
        <v>9616192.6599999983</v>
      </c>
      <c r="L65" s="518"/>
      <c r="M65" s="622">
        <f>23096.32+9498.09+45885.78-81.35</f>
        <v>78398.84</v>
      </c>
      <c r="N65" s="518">
        <f t="shared" si="6"/>
        <v>3528082.1499999994</v>
      </c>
      <c r="O65" s="518"/>
      <c r="P65" s="518">
        <f t="shared" si="3"/>
        <v>6088110.5099999988</v>
      </c>
      <c r="R65" s="518">
        <f t="shared" si="4"/>
        <v>0</v>
      </c>
      <c r="S65" s="518">
        <f t="shared" si="7"/>
        <v>415.79166666666669</v>
      </c>
      <c r="T65" s="518">
        <f t="shared" si="9"/>
        <v>878.85</v>
      </c>
      <c r="U65" s="518">
        <f t="shared" si="10"/>
        <v>4172.1833333333334</v>
      </c>
      <c r="V65" s="518">
        <f t="shared" si="11"/>
        <v>6601.6416666666664</v>
      </c>
      <c r="W65" s="518">
        <f t="shared" si="13"/>
        <v>5314.0657499999998</v>
      </c>
      <c r="X65" s="518">
        <f t="shared" si="14"/>
        <v>4037.2521666666667</v>
      </c>
      <c r="Y65" s="518">
        <f t="shared" si="15"/>
        <v>2285.2750000000001</v>
      </c>
      <c r="Z65" s="518">
        <f t="shared" si="16"/>
        <v>1091.7583333333334</v>
      </c>
      <c r="AA65" s="518">
        <f t="shared" si="17"/>
        <v>1269.9591666666668</v>
      </c>
      <c r="AB65" s="518">
        <f t="shared" si="18"/>
        <v>606.67849999999999</v>
      </c>
      <c r="AC65" s="518">
        <f t="shared" si="19"/>
        <v>476.46666666666664</v>
      </c>
      <c r="AD65" s="518">
        <f t="shared" si="21"/>
        <v>1657.7180833333332</v>
      </c>
      <c r="AE65" s="518">
        <f t="shared" si="22"/>
        <v>3516.1947500000001</v>
      </c>
      <c r="AF65" s="518">
        <f t="shared" si="23"/>
        <v>1564.4</v>
      </c>
      <c r="AG65" s="518">
        <f t="shared" si="24"/>
        <v>2587.7750000000001</v>
      </c>
      <c r="AH65" s="518">
        <f t="shared" si="25"/>
        <v>2302.7285000000002</v>
      </c>
      <c r="AI65" s="518">
        <f t="shared" si="26"/>
        <v>1957.7</v>
      </c>
      <c r="AJ65" s="518">
        <f t="shared" si="27"/>
        <v>1067.125</v>
      </c>
      <c r="AK65" s="518">
        <f t="shared" si="28"/>
        <v>1806.075</v>
      </c>
      <c r="AL65" s="518">
        <f t="shared" si="29"/>
        <v>1723.2054166666667</v>
      </c>
      <c r="AM65" s="518">
        <f t="shared" si="30"/>
        <v>3010.375</v>
      </c>
      <c r="AN65" s="518">
        <f t="shared" si="31"/>
        <v>920.83333333333337</v>
      </c>
      <c r="AO65" s="518">
        <f t="shared" si="32"/>
        <v>1423.5416666666667</v>
      </c>
      <c r="AP65" s="518">
        <f t="shared" si="33"/>
        <v>1452.5480833333336</v>
      </c>
      <c r="AQ65" s="518">
        <f t="shared" si="34"/>
        <v>783.11666666666667</v>
      </c>
      <c r="AR65" s="518">
        <f t="shared" si="35"/>
        <v>2080.4166666666665</v>
      </c>
      <c r="AS65" s="518">
        <f t="shared" si="36"/>
        <v>688.7</v>
      </c>
      <c r="AT65" s="518">
        <f t="shared" si="37"/>
        <v>1607.9597499999998</v>
      </c>
      <c r="AU65" s="518">
        <f t="shared" si="38"/>
        <v>690.61666666666667</v>
      </c>
      <c r="AV65" s="518">
        <f t="shared" si="39"/>
        <v>1347.6258333333333</v>
      </c>
      <c r="AW65" s="518">
        <f t="shared" si="41"/>
        <v>1038.7249999999999</v>
      </c>
      <c r="AX65" s="518">
        <f t="shared" si="42"/>
        <v>1395.9028333333333</v>
      </c>
      <c r="AY65" s="518">
        <f t="shared" si="43"/>
        <v>1365.0055</v>
      </c>
      <c r="AZ65" s="518">
        <f t="shared" si="44"/>
        <v>1159.0916666666667</v>
      </c>
      <c r="BA65" s="518">
        <f t="shared" si="45"/>
        <v>2655.8122499999999</v>
      </c>
      <c r="BB65" s="518">
        <f t="shared" si="46"/>
        <v>468.33333333333331</v>
      </c>
      <c r="BC65" s="518">
        <f t="shared" si="47"/>
        <v>1748.4833333333333</v>
      </c>
      <c r="BD65" s="518">
        <f t="shared" si="48"/>
        <v>1459.5083333333334</v>
      </c>
      <c r="BE65" s="518">
        <f t="shared" si="49"/>
        <v>1540.15</v>
      </c>
      <c r="BF65" s="518">
        <f t="shared" si="50"/>
        <v>1080.8333333333333</v>
      </c>
      <c r="BG65" s="619">
        <f t="shared" si="51"/>
        <v>1650.4333333333334</v>
      </c>
      <c r="BH65" s="619">
        <f t="shared" si="52"/>
        <v>811.25</v>
      </c>
      <c r="BI65" s="619">
        <f t="shared" si="53"/>
        <v>2408.09375</v>
      </c>
      <c r="BJ65" s="619">
        <f t="shared" si="54"/>
        <v>0</v>
      </c>
      <c r="BK65" s="619">
        <f t="shared" si="55"/>
        <v>102.93333333333334</v>
      </c>
      <c r="BL65" s="619"/>
      <c r="BM65" s="619">
        <f t="shared" si="56"/>
        <v>1336.6676666666667</v>
      </c>
      <c r="BN65" s="619">
        <f t="shared" si="57"/>
        <v>477.23883333333339</v>
      </c>
      <c r="BO65" s="619">
        <f t="shared" si="58"/>
        <v>0</v>
      </c>
      <c r="BP65" s="619">
        <f t="shared" si="59"/>
        <v>97.898666666666671</v>
      </c>
      <c r="BQ65" s="518">
        <f t="shared" si="8"/>
        <v>80134.938833333305</v>
      </c>
    </row>
    <row r="66" spans="1:69" s="585" customFormat="1" ht="12.75" customHeight="1" outlineLevel="1">
      <c r="A66" s="308" t="s">
        <v>48</v>
      </c>
      <c r="B66" s="308">
        <f t="shared" si="20"/>
        <v>2020</v>
      </c>
      <c r="C66" s="308" t="s">
        <v>47</v>
      </c>
      <c r="D66" s="518"/>
      <c r="E66" s="518"/>
      <c r="F66" s="518"/>
      <c r="G66" s="518"/>
      <c r="H66" s="518"/>
      <c r="I66" s="518"/>
      <c r="J66" s="518">
        <f t="shared" si="40"/>
        <v>0</v>
      </c>
      <c r="K66" s="518">
        <f t="shared" si="5"/>
        <v>9616192.6599999983</v>
      </c>
      <c r="L66" s="518"/>
      <c r="M66" s="518">
        <f>20064.21+9398.09+34378.81-81.35</f>
        <v>63759.76</v>
      </c>
      <c r="N66" s="518">
        <f t="shared" si="6"/>
        <v>3591841.9099999992</v>
      </c>
      <c r="O66" s="518"/>
      <c r="P66" s="518">
        <f t="shared" si="3"/>
        <v>6024350.7499999991</v>
      </c>
      <c r="R66" s="518">
        <f t="shared" si="4"/>
        <v>0</v>
      </c>
      <c r="S66" s="518">
        <f t="shared" si="7"/>
        <v>415.79166666666669</v>
      </c>
      <c r="T66" s="518">
        <f t="shared" si="9"/>
        <v>878.85</v>
      </c>
      <c r="U66" s="518">
        <f t="shared" si="10"/>
        <v>4172.1833333333334</v>
      </c>
      <c r="V66" s="518">
        <f t="shared" si="11"/>
        <v>6601.6416666666664</v>
      </c>
      <c r="W66" s="518">
        <f t="shared" si="13"/>
        <v>5314.0657499999998</v>
      </c>
      <c r="X66" s="518">
        <f t="shared" si="14"/>
        <v>4037.2521666666667</v>
      </c>
      <c r="Y66" s="518">
        <f t="shared" si="15"/>
        <v>2285.2750000000001</v>
      </c>
      <c r="Z66" s="518">
        <f t="shared" si="16"/>
        <v>1091.7583333333334</v>
      </c>
      <c r="AA66" s="518">
        <f t="shared" si="17"/>
        <v>1269.9591666666668</v>
      </c>
      <c r="AB66" s="518">
        <f t="shared" si="18"/>
        <v>606.67849999999999</v>
      </c>
      <c r="AC66" s="518">
        <f t="shared" si="19"/>
        <v>476.46666666666664</v>
      </c>
      <c r="AD66" s="518">
        <f t="shared" si="21"/>
        <v>1657.7180833333332</v>
      </c>
      <c r="AE66" s="518">
        <f t="shared" si="22"/>
        <v>3516.1947500000001</v>
      </c>
      <c r="AF66" s="518">
        <f t="shared" si="23"/>
        <v>1564.4</v>
      </c>
      <c r="AG66" s="518">
        <f t="shared" si="24"/>
        <v>2587.7750000000001</v>
      </c>
      <c r="AH66" s="518">
        <f t="shared" si="25"/>
        <v>2302.7285000000002</v>
      </c>
      <c r="AI66" s="518">
        <f t="shared" si="26"/>
        <v>1957.7</v>
      </c>
      <c r="AJ66" s="518">
        <f t="shared" si="27"/>
        <v>1067.125</v>
      </c>
      <c r="AK66" s="518">
        <f t="shared" si="28"/>
        <v>1806.075</v>
      </c>
      <c r="AL66" s="518">
        <f t="shared" si="29"/>
        <v>1723.2054166666667</v>
      </c>
      <c r="AM66" s="518">
        <f t="shared" si="30"/>
        <v>3010.375</v>
      </c>
      <c r="AN66" s="518">
        <f t="shared" si="31"/>
        <v>920.83333333333337</v>
      </c>
      <c r="AO66" s="518">
        <f t="shared" si="32"/>
        <v>1423.5416666666667</v>
      </c>
      <c r="AP66" s="518">
        <f t="shared" si="33"/>
        <v>1452.5480833333336</v>
      </c>
      <c r="AQ66" s="518">
        <f t="shared" si="34"/>
        <v>783.11666666666667</v>
      </c>
      <c r="AR66" s="518">
        <f t="shared" si="35"/>
        <v>2080.4166666666665</v>
      </c>
      <c r="AS66" s="518">
        <f t="shared" si="36"/>
        <v>688.7</v>
      </c>
      <c r="AT66" s="518">
        <f t="shared" si="37"/>
        <v>1607.9597499999998</v>
      </c>
      <c r="AU66" s="518">
        <f t="shared" si="38"/>
        <v>690.61666666666667</v>
      </c>
      <c r="AV66" s="518">
        <f t="shared" si="39"/>
        <v>1347.6258333333333</v>
      </c>
      <c r="AW66" s="518">
        <f t="shared" si="41"/>
        <v>1038.7249999999999</v>
      </c>
      <c r="AX66" s="518">
        <f t="shared" si="42"/>
        <v>1395.9028333333333</v>
      </c>
      <c r="AY66" s="518">
        <f t="shared" si="43"/>
        <v>1365.0055</v>
      </c>
      <c r="AZ66" s="518">
        <f t="shared" si="44"/>
        <v>1159.0916666666667</v>
      </c>
      <c r="BA66" s="518">
        <f t="shared" si="45"/>
        <v>2655.8122499999999</v>
      </c>
      <c r="BB66" s="518">
        <f t="shared" si="46"/>
        <v>468.33333333333331</v>
      </c>
      <c r="BC66" s="518">
        <f t="shared" si="47"/>
        <v>1748.4833333333333</v>
      </c>
      <c r="BD66" s="518">
        <f t="shared" si="48"/>
        <v>1459.5083333333334</v>
      </c>
      <c r="BE66" s="518">
        <f t="shared" si="49"/>
        <v>1540.15</v>
      </c>
      <c r="BF66" s="518">
        <f t="shared" si="50"/>
        <v>1080.8333333333333</v>
      </c>
      <c r="BG66" s="619">
        <f t="shared" si="51"/>
        <v>1650.4333333333334</v>
      </c>
      <c r="BH66" s="619">
        <f t="shared" si="52"/>
        <v>811.25</v>
      </c>
      <c r="BI66" s="619">
        <f t="shared" si="53"/>
        <v>2408.09375</v>
      </c>
      <c r="BJ66" s="619">
        <f t="shared" si="54"/>
        <v>0</v>
      </c>
      <c r="BK66" s="619">
        <f t="shared" si="55"/>
        <v>102.93333333333334</v>
      </c>
      <c r="BL66" s="619"/>
      <c r="BM66" s="619">
        <f t="shared" si="56"/>
        <v>1336.6676666666667</v>
      </c>
      <c r="BN66" s="619">
        <f t="shared" si="57"/>
        <v>477.23883333333339</v>
      </c>
      <c r="BO66" s="619">
        <f t="shared" si="58"/>
        <v>0</v>
      </c>
      <c r="BP66" s="619">
        <f t="shared" si="59"/>
        <v>97.898666666666671</v>
      </c>
      <c r="BQ66" s="518">
        <f t="shared" si="8"/>
        <v>80134.938833333305</v>
      </c>
    </row>
    <row r="67" spans="1:69" s="585" customFormat="1" ht="12.75" customHeight="1" outlineLevel="1">
      <c r="A67" s="308" t="s">
        <v>50</v>
      </c>
      <c r="B67" s="308">
        <f t="shared" si="20"/>
        <v>2020</v>
      </c>
      <c r="C67" s="308" t="s">
        <v>47</v>
      </c>
      <c r="D67" s="518"/>
      <c r="E67" s="518"/>
      <c r="F67" s="518"/>
      <c r="G67" s="518"/>
      <c r="H67" s="518"/>
      <c r="I67" s="518"/>
      <c r="J67" s="518">
        <f t="shared" si="40"/>
        <v>0</v>
      </c>
      <c r="K67" s="518">
        <f t="shared" si="5"/>
        <v>9616192.6599999983</v>
      </c>
      <c r="L67" s="518"/>
      <c r="M67" s="622">
        <f>40056.75+9398.09+46575.02-81.35</f>
        <v>95948.50999999998</v>
      </c>
      <c r="N67" s="518">
        <f t="shared" si="6"/>
        <v>3687790.419999999</v>
      </c>
      <c r="O67" s="518"/>
      <c r="P67" s="518">
        <f t="shared" si="3"/>
        <v>5928402.2399999993</v>
      </c>
      <c r="R67" s="518">
        <f t="shared" si="4"/>
        <v>0</v>
      </c>
      <c r="S67" s="518">
        <f t="shared" si="7"/>
        <v>415.79166666666669</v>
      </c>
      <c r="T67" s="518">
        <f t="shared" si="9"/>
        <v>878.85</v>
      </c>
      <c r="U67" s="518">
        <f t="shared" si="10"/>
        <v>4172.1833333333334</v>
      </c>
      <c r="V67" s="518">
        <f t="shared" si="11"/>
        <v>6601.6416666666664</v>
      </c>
      <c r="W67" s="518">
        <f t="shared" si="13"/>
        <v>5314.0657499999998</v>
      </c>
      <c r="X67" s="518">
        <f t="shared" si="14"/>
        <v>4037.2521666666667</v>
      </c>
      <c r="Y67" s="518">
        <f t="shared" si="15"/>
        <v>2285.2750000000001</v>
      </c>
      <c r="Z67" s="518">
        <f t="shared" si="16"/>
        <v>1091.7583333333334</v>
      </c>
      <c r="AA67" s="518">
        <f t="shared" si="17"/>
        <v>1269.9591666666668</v>
      </c>
      <c r="AB67" s="518">
        <f t="shared" si="18"/>
        <v>606.67849999999999</v>
      </c>
      <c r="AC67" s="518">
        <f t="shared" si="19"/>
        <v>476.46666666666664</v>
      </c>
      <c r="AD67" s="518">
        <f t="shared" si="21"/>
        <v>1657.7180833333332</v>
      </c>
      <c r="AE67" s="518">
        <f t="shared" si="22"/>
        <v>3516.1947500000001</v>
      </c>
      <c r="AF67" s="518">
        <f t="shared" si="23"/>
        <v>1564.4</v>
      </c>
      <c r="AG67" s="518">
        <f t="shared" si="24"/>
        <v>2587.7750000000001</v>
      </c>
      <c r="AH67" s="518">
        <f t="shared" si="25"/>
        <v>2302.7285000000002</v>
      </c>
      <c r="AI67" s="518">
        <f t="shared" si="26"/>
        <v>1957.7</v>
      </c>
      <c r="AJ67" s="518">
        <f t="shared" si="27"/>
        <v>1067.125</v>
      </c>
      <c r="AK67" s="518">
        <f t="shared" si="28"/>
        <v>1806.075</v>
      </c>
      <c r="AL67" s="518">
        <f t="shared" si="29"/>
        <v>1723.2054166666667</v>
      </c>
      <c r="AM67" s="518">
        <f t="shared" si="30"/>
        <v>3010.375</v>
      </c>
      <c r="AN67" s="518">
        <f t="shared" si="31"/>
        <v>920.83333333333337</v>
      </c>
      <c r="AO67" s="518">
        <f t="shared" si="32"/>
        <v>1423.5416666666667</v>
      </c>
      <c r="AP67" s="518">
        <f t="shared" si="33"/>
        <v>1452.5480833333336</v>
      </c>
      <c r="AQ67" s="518">
        <f t="shared" si="34"/>
        <v>783.11666666666667</v>
      </c>
      <c r="AR67" s="518">
        <f t="shared" si="35"/>
        <v>2080.4166666666665</v>
      </c>
      <c r="AS67" s="518">
        <f t="shared" si="36"/>
        <v>688.7</v>
      </c>
      <c r="AT67" s="518">
        <f t="shared" si="37"/>
        <v>1607.9597499999998</v>
      </c>
      <c r="AU67" s="518">
        <f t="shared" si="38"/>
        <v>690.61666666666667</v>
      </c>
      <c r="AV67" s="518">
        <f t="shared" si="39"/>
        <v>1347.6258333333333</v>
      </c>
      <c r="AW67" s="518">
        <f t="shared" si="41"/>
        <v>1038.7249999999999</v>
      </c>
      <c r="AX67" s="518">
        <f t="shared" si="42"/>
        <v>1395.9028333333333</v>
      </c>
      <c r="AY67" s="518">
        <f t="shared" si="43"/>
        <v>1365.0055</v>
      </c>
      <c r="AZ67" s="518">
        <f t="shared" si="44"/>
        <v>1159.0916666666667</v>
      </c>
      <c r="BA67" s="518">
        <f t="shared" si="45"/>
        <v>2655.8122499999999</v>
      </c>
      <c r="BB67" s="518">
        <f t="shared" si="46"/>
        <v>468.33333333333331</v>
      </c>
      <c r="BC67" s="518">
        <f t="shared" si="47"/>
        <v>1748.4833333333333</v>
      </c>
      <c r="BD67" s="518">
        <f t="shared" si="48"/>
        <v>1459.5083333333334</v>
      </c>
      <c r="BE67" s="518">
        <f t="shared" si="49"/>
        <v>1540.15</v>
      </c>
      <c r="BF67" s="518">
        <f t="shared" si="50"/>
        <v>1080.8333333333333</v>
      </c>
      <c r="BG67" s="619">
        <f t="shared" si="51"/>
        <v>1650.4333333333334</v>
      </c>
      <c r="BH67" s="619">
        <f t="shared" si="52"/>
        <v>811.25</v>
      </c>
      <c r="BI67" s="619">
        <f t="shared" si="53"/>
        <v>2408.09375</v>
      </c>
      <c r="BJ67" s="619">
        <f t="shared" si="54"/>
        <v>0</v>
      </c>
      <c r="BK67" s="619">
        <f t="shared" si="55"/>
        <v>102.93333333333334</v>
      </c>
      <c r="BL67" s="619"/>
      <c r="BM67" s="619">
        <f t="shared" si="56"/>
        <v>1336.6676666666667</v>
      </c>
      <c r="BN67" s="619">
        <f t="shared" si="57"/>
        <v>477.23883333333339</v>
      </c>
      <c r="BO67" s="619">
        <f t="shared" si="58"/>
        <v>0</v>
      </c>
      <c r="BP67" s="619">
        <f t="shared" si="59"/>
        <v>97.898666666666671</v>
      </c>
      <c r="BQ67" s="518">
        <f t="shared" si="8"/>
        <v>80134.938833333305</v>
      </c>
    </row>
    <row r="68" spans="1:69" s="585" customFormat="1" ht="12.75" customHeight="1" outlineLevel="1">
      <c r="A68" s="308" t="s">
        <v>51</v>
      </c>
      <c r="B68" s="308">
        <f t="shared" si="20"/>
        <v>2020</v>
      </c>
      <c r="C68" s="308" t="s">
        <v>47</v>
      </c>
      <c r="D68" s="518"/>
      <c r="E68" s="518"/>
      <c r="F68" s="518"/>
      <c r="G68" s="518"/>
      <c r="H68" s="518"/>
      <c r="I68" s="518"/>
      <c r="J68" s="518">
        <f t="shared" si="40"/>
        <v>0</v>
      </c>
      <c r="K68" s="518">
        <f t="shared" si="5"/>
        <v>9616192.6599999983</v>
      </c>
      <c r="L68" s="518"/>
      <c r="M68" s="622">
        <f>21900.79+9298.09+65202.86-4880.01</f>
        <v>91521.73000000001</v>
      </c>
      <c r="N68" s="518">
        <f t="shared" si="6"/>
        <v>3779312.149999999</v>
      </c>
      <c r="O68" s="518"/>
      <c r="P68" s="518">
        <f t="shared" si="3"/>
        <v>5836880.5099999998</v>
      </c>
      <c r="R68" s="518">
        <f t="shared" si="4"/>
        <v>0</v>
      </c>
      <c r="S68" s="518">
        <f t="shared" si="7"/>
        <v>415.79166666666669</v>
      </c>
      <c r="T68" s="518">
        <f t="shared" si="9"/>
        <v>878.85</v>
      </c>
      <c r="U68" s="518">
        <f t="shared" si="10"/>
        <v>4172.1833333333334</v>
      </c>
      <c r="V68" s="518">
        <f t="shared" si="11"/>
        <v>6601.6416666666664</v>
      </c>
      <c r="W68" s="518">
        <f t="shared" si="13"/>
        <v>5314.0657499999998</v>
      </c>
      <c r="X68" s="518">
        <f t="shared" si="14"/>
        <v>4037.2521666666667</v>
      </c>
      <c r="Y68" s="518">
        <f t="shared" si="15"/>
        <v>2285.2750000000001</v>
      </c>
      <c r="Z68" s="518">
        <f t="shared" si="16"/>
        <v>1091.7583333333334</v>
      </c>
      <c r="AA68" s="518">
        <f t="shared" si="17"/>
        <v>1269.9591666666668</v>
      </c>
      <c r="AB68" s="518">
        <f t="shared" si="18"/>
        <v>606.67849999999999</v>
      </c>
      <c r="AC68" s="518">
        <f t="shared" si="19"/>
        <v>476.46666666666664</v>
      </c>
      <c r="AD68" s="518">
        <f t="shared" si="21"/>
        <v>1657.7180833333332</v>
      </c>
      <c r="AE68" s="518">
        <f t="shared" si="22"/>
        <v>3516.1947500000001</v>
      </c>
      <c r="AF68" s="518">
        <f t="shared" si="23"/>
        <v>1564.4</v>
      </c>
      <c r="AG68" s="518">
        <f t="shared" si="24"/>
        <v>2587.7750000000001</v>
      </c>
      <c r="AH68" s="518">
        <f t="shared" si="25"/>
        <v>2302.7285000000002</v>
      </c>
      <c r="AI68" s="518">
        <f t="shared" si="26"/>
        <v>1957.7</v>
      </c>
      <c r="AJ68" s="518">
        <f t="shared" si="27"/>
        <v>1067.125</v>
      </c>
      <c r="AK68" s="518">
        <f t="shared" si="28"/>
        <v>1806.075</v>
      </c>
      <c r="AL68" s="518">
        <f t="shared" si="29"/>
        <v>1723.2054166666667</v>
      </c>
      <c r="AM68" s="518">
        <f t="shared" si="30"/>
        <v>3010.375</v>
      </c>
      <c r="AN68" s="518">
        <f t="shared" si="31"/>
        <v>920.83333333333337</v>
      </c>
      <c r="AO68" s="518">
        <f t="shared" si="32"/>
        <v>1423.5416666666667</v>
      </c>
      <c r="AP68" s="518">
        <f t="shared" si="33"/>
        <v>1452.5480833333336</v>
      </c>
      <c r="AQ68" s="518">
        <f t="shared" si="34"/>
        <v>783.11666666666667</v>
      </c>
      <c r="AR68" s="518">
        <f t="shared" si="35"/>
        <v>2080.4166666666665</v>
      </c>
      <c r="AS68" s="518">
        <f t="shared" si="36"/>
        <v>688.7</v>
      </c>
      <c r="AT68" s="518">
        <f t="shared" si="37"/>
        <v>1607.9597499999998</v>
      </c>
      <c r="AU68" s="518">
        <f t="shared" si="38"/>
        <v>690.61666666666667</v>
      </c>
      <c r="AV68" s="518">
        <f t="shared" si="39"/>
        <v>1347.6258333333333</v>
      </c>
      <c r="AW68" s="518">
        <f t="shared" si="41"/>
        <v>1038.7249999999999</v>
      </c>
      <c r="AX68" s="518">
        <f t="shared" si="42"/>
        <v>1395.9028333333333</v>
      </c>
      <c r="AY68" s="518">
        <f t="shared" si="43"/>
        <v>1365.0055</v>
      </c>
      <c r="AZ68" s="518">
        <f t="shared" si="44"/>
        <v>1159.0916666666667</v>
      </c>
      <c r="BA68" s="518">
        <f t="shared" si="45"/>
        <v>2655.8122499999999</v>
      </c>
      <c r="BB68" s="518">
        <f t="shared" si="46"/>
        <v>468.33333333333331</v>
      </c>
      <c r="BC68" s="518">
        <f t="shared" si="47"/>
        <v>1748.4833333333333</v>
      </c>
      <c r="BD68" s="518">
        <f t="shared" si="48"/>
        <v>1459.5083333333334</v>
      </c>
      <c r="BE68" s="518">
        <f t="shared" si="49"/>
        <v>1540.15</v>
      </c>
      <c r="BF68" s="518">
        <f t="shared" si="50"/>
        <v>1080.8333333333333</v>
      </c>
      <c r="BG68" s="619">
        <f t="shared" si="51"/>
        <v>1650.4333333333334</v>
      </c>
      <c r="BH68" s="619">
        <f t="shared" si="52"/>
        <v>811.25</v>
      </c>
      <c r="BI68" s="619">
        <f t="shared" si="53"/>
        <v>2408.09375</v>
      </c>
      <c r="BJ68" s="619">
        <f t="shared" si="54"/>
        <v>0</v>
      </c>
      <c r="BK68" s="619">
        <f t="shared" si="55"/>
        <v>102.93333333333334</v>
      </c>
      <c r="BL68" s="619"/>
      <c r="BM68" s="619">
        <f t="shared" si="56"/>
        <v>1336.6676666666667</v>
      </c>
      <c r="BN68" s="619">
        <f t="shared" si="57"/>
        <v>477.23883333333339</v>
      </c>
      <c r="BO68" s="619">
        <f t="shared" si="58"/>
        <v>0</v>
      </c>
      <c r="BP68" s="619">
        <f t="shared" si="59"/>
        <v>97.898666666666671</v>
      </c>
      <c r="BQ68" s="518">
        <f t="shared" si="8"/>
        <v>80134.938833333305</v>
      </c>
    </row>
    <row r="69" spans="1:69" s="585" customFormat="1" ht="12.75" customHeight="1" outlineLevel="1">
      <c r="A69" s="308" t="s">
        <v>52</v>
      </c>
      <c r="B69" s="308">
        <f t="shared" si="20"/>
        <v>2020</v>
      </c>
      <c r="C69" s="308" t="s">
        <v>47</v>
      </c>
      <c r="D69" s="518"/>
      <c r="E69" s="518"/>
      <c r="F69" s="518"/>
      <c r="G69" s="518"/>
      <c r="H69" s="518"/>
      <c r="I69" s="518"/>
      <c r="J69" s="518">
        <f t="shared" ref="J69:J100" si="60">SUM(D69:H69)</f>
        <v>0</v>
      </c>
      <c r="K69" s="518">
        <f t="shared" si="5"/>
        <v>9616192.6599999983</v>
      </c>
      <c r="L69" s="518"/>
      <c r="M69" s="459">
        <f>22514.69+9398.09+47885.45</f>
        <v>79798.23</v>
      </c>
      <c r="N69" s="518">
        <f t="shared" si="6"/>
        <v>3859110.379999999</v>
      </c>
      <c r="O69" s="518"/>
      <c r="P69" s="518">
        <f t="shared" si="3"/>
        <v>5757082.2799999993</v>
      </c>
      <c r="R69" s="518">
        <f t="shared" si="4"/>
        <v>0</v>
      </c>
      <c r="S69" s="518">
        <f t="shared" si="7"/>
        <v>415.79166666666669</v>
      </c>
      <c r="T69" s="518">
        <f t="shared" si="9"/>
        <v>878.85</v>
      </c>
      <c r="U69" s="518">
        <f t="shared" si="10"/>
        <v>4172.1833333333334</v>
      </c>
      <c r="V69" s="518">
        <f t="shared" si="11"/>
        <v>6601.6416666666664</v>
      </c>
      <c r="W69" s="518">
        <f t="shared" si="13"/>
        <v>5314.0657499999998</v>
      </c>
      <c r="X69" s="518">
        <f t="shared" si="14"/>
        <v>4037.2521666666667</v>
      </c>
      <c r="Y69" s="518">
        <f t="shared" si="15"/>
        <v>2285.2750000000001</v>
      </c>
      <c r="Z69" s="518">
        <f t="shared" si="16"/>
        <v>1091.7583333333334</v>
      </c>
      <c r="AA69" s="518">
        <f t="shared" si="17"/>
        <v>1269.9591666666668</v>
      </c>
      <c r="AB69" s="518">
        <f t="shared" si="18"/>
        <v>606.67849999999999</v>
      </c>
      <c r="AC69" s="518">
        <f t="shared" si="19"/>
        <v>476.46666666666664</v>
      </c>
      <c r="AD69" s="518">
        <f t="shared" si="21"/>
        <v>1657.7180833333332</v>
      </c>
      <c r="AE69" s="518">
        <f t="shared" si="22"/>
        <v>3516.1947500000001</v>
      </c>
      <c r="AF69" s="518">
        <f t="shared" si="23"/>
        <v>1564.4</v>
      </c>
      <c r="AG69" s="518">
        <f t="shared" si="24"/>
        <v>2587.7750000000001</v>
      </c>
      <c r="AH69" s="518">
        <f t="shared" si="25"/>
        <v>2302.7285000000002</v>
      </c>
      <c r="AI69" s="518">
        <f t="shared" si="26"/>
        <v>1957.7</v>
      </c>
      <c r="AJ69" s="518">
        <f t="shared" si="27"/>
        <v>1067.125</v>
      </c>
      <c r="AK69" s="518">
        <f t="shared" si="28"/>
        <v>1806.075</v>
      </c>
      <c r="AL69" s="518">
        <f t="shared" si="29"/>
        <v>1723.2054166666667</v>
      </c>
      <c r="AM69" s="518">
        <f t="shared" si="30"/>
        <v>3010.375</v>
      </c>
      <c r="AN69" s="518">
        <f t="shared" si="31"/>
        <v>920.83333333333337</v>
      </c>
      <c r="AO69" s="518">
        <f t="shared" si="32"/>
        <v>1423.5416666666667</v>
      </c>
      <c r="AP69" s="518">
        <f t="shared" si="33"/>
        <v>1452.5480833333336</v>
      </c>
      <c r="AQ69" s="518">
        <f t="shared" si="34"/>
        <v>783.11666666666667</v>
      </c>
      <c r="AR69" s="518">
        <f t="shared" si="35"/>
        <v>2080.4166666666665</v>
      </c>
      <c r="AS69" s="518">
        <f t="shared" si="36"/>
        <v>688.7</v>
      </c>
      <c r="AT69" s="518">
        <f t="shared" si="37"/>
        <v>1607.9597499999998</v>
      </c>
      <c r="AU69" s="518">
        <f t="shared" si="38"/>
        <v>690.61666666666667</v>
      </c>
      <c r="AV69" s="518">
        <f t="shared" si="39"/>
        <v>1347.6258333333333</v>
      </c>
      <c r="AW69" s="518">
        <f t="shared" si="41"/>
        <v>1038.7249999999999</v>
      </c>
      <c r="AX69" s="518">
        <f t="shared" si="42"/>
        <v>1395.9028333333333</v>
      </c>
      <c r="AY69" s="518">
        <f t="shared" si="43"/>
        <v>1365.0055</v>
      </c>
      <c r="AZ69" s="518">
        <f t="shared" si="44"/>
        <v>1159.0916666666667</v>
      </c>
      <c r="BA69" s="518">
        <f t="shared" si="45"/>
        <v>2655.8122499999999</v>
      </c>
      <c r="BB69" s="518">
        <f t="shared" si="46"/>
        <v>468.33333333333331</v>
      </c>
      <c r="BC69" s="518">
        <f t="shared" si="47"/>
        <v>1748.4833333333333</v>
      </c>
      <c r="BD69" s="518">
        <f t="shared" si="48"/>
        <v>1459.5083333333334</v>
      </c>
      <c r="BE69" s="518">
        <f t="shared" si="49"/>
        <v>1540.15</v>
      </c>
      <c r="BF69" s="518">
        <f t="shared" si="50"/>
        <v>1080.8333333333333</v>
      </c>
      <c r="BG69" s="619">
        <f t="shared" si="51"/>
        <v>1650.4333333333334</v>
      </c>
      <c r="BH69" s="619">
        <f t="shared" si="52"/>
        <v>811.25</v>
      </c>
      <c r="BI69" s="619">
        <f t="shared" si="53"/>
        <v>2408.09375</v>
      </c>
      <c r="BJ69" s="619">
        <f t="shared" si="54"/>
        <v>0</v>
      </c>
      <c r="BK69" s="619">
        <f t="shared" si="55"/>
        <v>102.93333333333334</v>
      </c>
      <c r="BL69" s="619"/>
      <c r="BM69" s="619">
        <f t="shared" si="56"/>
        <v>1336.6676666666667</v>
      </c>
      <c r="BN69" s="619">
        <f t="shared" si="57"/>
        <v>477.23883333333339</v>
      </c>
      <c r="BO69" s="619">
        <f t="shared" si="58"/>
        <v>0</v>
      </c>
      <c r="BP69" s="619">
        <f t="shared" si="59"/>
        <v>97.898666666666671</v>
      </c>
      <c r="BQ69" s="518">
        <f t="shared" si="8"/>
        <v>80134.938833333305</v>
      </c>
    </row>
    <row r="70" spans="1:69" s="585" customFormat="1" ht="12.75" customHeight="1" outlineLevel="1">
      <c r="A70" s="308" t="s">
        <v>53</v>
      </c>
      <c r="B70" s="308">
        <f t="shared" si="20"/>
        <v>2021</v>
      </c>
      <c r="C70" s="308" t="s">
        <v>47</v>
      </c>
      <c r="D70" s="518"/>
      <c r="E70" s="518"/>
      <c r="F70" s="518"/>
      <c r="G70" s="518"/>
      <c r="H70" s="518"/>
      <c r="I70" s="518"/>
      <c r="J70" s="518">
        <f t="shared" si="60"/>
        <v>0</v>
      </c>
      <c r="K70" s="518">
        <f t="shared" si="5"/>
        <v>9616192.6599999983</v>
      </c>
      <c r="L70" s="518"/>
      <c r="M70" s="459">
        <f>19715.21+9398.09+42582.09</f>
        <v>71695.39</v>
      </c>
      <c r="N70" s="518">
        <f t="shared" si="6"/>
        <v>3930805.7699999991</v>
      </c>
      <c r="O70" s="518"/>
      <c r="P70" s="518">
        <f t="shared" ref="P70:P129" si="61">+K70-N70</f>
        <v>5685386.8899999987</v>
      </c>
      <c r="R70" s="518">
        <f t="shared" ref="R70:R124" si="62">$J$5/120</f>
        <v>0</v>
      </c>
      <c r="S70" s="518">
        <f t="shared" si="7"/>
        <v>415.79166666666669</v>
      </c>
      <c r="T70" s="518">
        <f t="shared" si="9"/>
        <v>878.85</v>
      </c>
      <c r="U70" s="518">
        <f t="shared" si="10"/>
        <v>4172.1833333333334</v>
      </c>
      <c r="V70" s="518">
        <f t="shared" si="11"/>
        <v>6601.6416666666664</v>
      </c>
      <c r="W70" s="518">
        <f t="shared" si="13"/>
        <v>5314.0657499999998</v>
      </c>
      <c r="X70" s="518">
        <f t="shared" si="14"/>
        <v>4037.2521666666667</v>
      </c>
      <c r="Y70" s="518">
        <f t="shared" si="15"/>
        <v>2285.2750000000001</v>
      </c>
      <c r="Z70" s="518">
        <f t="shared" si="16"/>
        <v>1091.7583333333334</v>
      </c>
      <c r="AA70" s="518">
        <f t="shared" si="17"/>
        <v>1269.9591666666668</v>
      </c>
      <c r="AB70" s="518">
        <f t="shared" si="18"/>
        <v>606.67849999999999</v>
      </c>
      <c r="AC70" s="518">
        <f t="shared" si="19"/>
        <v>476.46666666666664</v>
      </c>
      <c r="AD70" s="518">
        <f t="shared" si="21"/>
        <v>1657.7180833333332</v>
      </c>
      <c r="AE70" s="518">
        <f t="shared" si="22"/>
        <v>3516.1947500000001</v>
      </c>
      <c r="AF70" s="518">
        <f t="shared" si="23"/>
        <v>1564.4</v>
      </c>
      <c r="AG70" s="518">
        <f t="shared" si="24"/>
        <v>2587.7750000000001</v>
      </c>
      <c r="AH70" s="518">
        <f t="shared" si="25"/>
        <v>2302.7285000000002</v>
      </c>
      <c r="AI70" s="518">
        <f t="shared" si="26"/>
        <v>1957.7</v>
      </c>
      <c r="AJ70" s="518">
        <f t="shared" si="27"/>
        <v>1067.125</v>
      </c>
      <c r="AK70" s="518">
        <f t="shared" si="28"/>
        <v>1806.075</v>
      </c>
      <c r="AL70" s="518">
        <f t="shared" si="29"/>
        <v>1723.2054166666667</v>
      </c>
      <c r="AM70" s="518">
        <f t="shared" si="30"/>
        <v>3010.375</v>
      </c>
      <c r="AN70" s="518">
        <f t="shared" si="31"/>
        <v>920.83333333333337</v>
      </c>
      <c r="AO70" s="518">
        <f t="shared" si="32"/>
        <v>1423.5416666666667</v>
      </c>
      <c r="AP70" s="518">
        <f t="shared" si="33"/>
        <v>1452.5480833333336</v>
      </c>
      <c r="AQ70" s="518">
        <f t="shared" si="34"/>
        <v>783.11666666666667</v>
      </c>
      <c r="AR70" s="518">
        <f t="shared" si="35"/>
        <v>2080.4166666666665</v>
      </c>
      <c r="AS70" s="518">
        <f t="shared" si="36"/>
        <v>688.7</v>
      </c>
      <c r="AT70" s="518">
        <f t="shared" si="37"/>
        <v>1607.9597499999998</v>
      </c>
      <c r="AU70" s="518">
        <f t="shared" si="38"/>
        <v>690.61666666666667</v>
      </c>
      <c r="AV70" s="518">
        <f t="shared" si="39"/>
        <v>1347.6258333333333</v>
      </c>
      <c r="AW70" s="518">
        <f t="shared" si="41"/>
        <v>1038.7249999999999</v>
      </c>
      <c r="AX70" s="518">
        <f t="shared" si="42"/>
        <v>1395.9028333333333</v>
      </c>
      <c r="AY70" s="518">
        <f t="shared" si="43"/>
        <v>1365.0055</v>
      </c>
      <c r="AZ70" s="518">
        <f t="shared" si="44"/>
        <v>1159.0916666666667</v>
      </c>
      <c r="BA70" s="518">
        <f t="shared" si="45"/>
        <v>2655.8122499999999</v>
      </c>
      <c r="BB70" s="518">
        <f t="shared" si="46"/>
        <v>468.33333333333331</v>
      </c>
      <c r="BC70" s="518">
        <f t="shared" si="47"/>
        <v>1748.4833333333333</v>
      </c>
      <c r="BD70" s="518">
        <f t="shared" si="48"/>
        <v>1459.5083333333334</v>
      </c>
      <c r="BE70" s="518">
        <f t="shared" si="49"/>
        <v>1540.15</v>
      </c>
      <c r="BF70" s="518">
        <f t="shared" si="50"/>
        <v>1080.8333333333333</v>
      </c>
      <c r="BG70" s="619">
        <f t="shared" si="51"/>
        <v>1650.4333333333334</v>
      </c>
      <c r="BH70" s="619">
        <f t="shared" si="52"/>
        <v>811.25</v>
      </c>
      <c r="BI70" s="619">
        <f t="shared" si="53"/>
        <v>2408.09375</v>
      </c>
      <c r="BJ70" s="619">
        <f t="shared" si="54"/>
        <v>0</v>
      </c>
      <c r="BK70" s="619">
        <f t="shared" si="55"/>
        <v>102.93333333333334</v>
      </c>
      <c r="BL70" s="619"/>
      <c r="BM70" s="619">
        <f t="shared" si="56"/>
        <v>1336.6676666666667</v>
      </c>
      <c r="BN70" s="619">
        <f t="shared" si="57"/>
        <v>477.23883333333339</v>
      </c>
      <c r="BO70" s="619">
        <f t="shared" si="58"/>
        <v>0</v>
      </c>
      <c r="BP70" s="619">
        <f t="shared" si="59"/>
        <v>97.898666666666671</v>
      </c>
      <c r="BQ70" s="518">
        <f t="shared" si="8"/>
        <v>80134.938833333305</v>
      </c>
    </row>
    <row r="71" spans="1:69" s="585" customFormat="1" ht="12.75" customHeight="1" outlineLevel="1">
      <c r="A71" s="308" t="s">
        <v>54</v>
      </c>
      <c r="B71" s="308">
        <f t="shared" si="20"/>
        <v>2021</v>
      </c>
      <c r="C71" s="308" t="s">
        <v>47</v>
      </c>
      <c r="D71" s="518"/>
      <c r="E71" s="518"/>
      <c r="F71" s="518"/>
      <c r="G71" s="518"/>
      <c r="H71" s="518"/>
      <c r="I71" s="518"/>
      <c r="J71" s="518">
        <f t="shared" si="60"/>
        <v>0</v>
      </c>
      <c r="K71" s="518">
        <f t="shared" ref="K71:K129" si="63">K70+J71</f>
        <v>9616192.6599999983</v>
      </c>
      <c r="L71" s="518"/>
      <c r="M71" s="459">
        <f>16881.02+8056.1+41791.44</f>
        <v>66728.56</v>
      </c>
      <c r="N71" s="518">
        <f t="shared" ref="N71:N129" si="64">N70+M71</f>
        <v>3997534.3299999991</v>
      </c>
      <c r="O71" s="518"/>
      <c r="P71" s="518">
        <f t="shared" si="61"/>
        <v>5618658.3299999991</v>
      </c>
      <c r="R71" s="518">
        <f t="shared" si="62"/>
        <v>0</v>
      </c>
      <c r="S71" s="518">
        <f t="shared" ref="S71:S125" si="65">$J$6/120</f>
        <v>415.79166666666669</v>
      </c>
      <c r="T71" s="518">
        <f t="shared" si="9"/>
        <v>878.85</v>
      </c>
      <c r="U71" s="518">
        <f t="shared" si="10"/>
        <v>4172.1833333333334</v>
      </c>
      <c r="V71" s="518">
        <f t="shared" si="11"/>
        <v>6601.6416666666664</v>
      </c>
      <c r="W71" s="518">
        <f t="shared" si="13"/>
        <v>5314.0657499999998</v>
      </c>
      <c r="X71" s="518">
        <f t="shared" si="14"/>
        <v>4037.2521666666667</v>
      </c>
      <c r="Y71" s="518">
        <f t="shared" si="15"/>
        <v>2285.2750000000001</v>
      </c>
      <c r="Z71" s="518">
        <f t="shared" si="16"/>
        <v>1091.7583333333334</v>
      </c>
      <c r="AA71" s="518">
        <f t="shared" si="17"/>
        <v>1269.9591666666668</v>
      </c>
      <c r="AB71" s="518">
        <f t="shared" si="18"/>
        <v>606.67849999999999</v>
      </c>
      <c r="AC71" s="518">
        <f t="shared" si="19"/>
        <v>476.46666666666664</v>
      </c>
      <c r="AD71" s="518">
        <f t="shared" si="21"/>
        <v>1657.7180833333332</v>
      </c>
      <c r="AE71" s="518">
        <f t="shared" si="22"/>
        <v>3516.1947500000001</v>
      </c>
      <c r="AF71" s="518">
        <f t="shared" si="23"/>
        <v>1564.4</v>
      </c>
      <c r="AG71" s="518">
        <f t="shared" si="24"/>
        <v>2587.7750000000001</v>
      </c>
      <c r="AH71" s="518">
        <f t="shared" si="25"/>
        <v>2302.7285000000002</v>
      </c>
      <c r="AI71" s="518">
        <f t="shared" si="26"/>
        <v>1957.7</v>
      </c>
      <c r="AJ71" s="518">
        <f t="shared" si="27"/>
        <v>1067.125</v>
      </c>
      <c r="AK71" s="518">
        <f t="shared" si="28"/>
        <v>1806.075</v>
      </c>
      <c r="AL71" s="518">
        <f t="shared" si="29"/>
        <v>1723.2054166666667</v>
      </c>
      <c r="AM71" s="518">
        <f t="shared" si="30"/>
        <v>3010.375</v>
      </c>
      <c r="AN71" s="518">
        <f t="shared" si="31"/>
        <v>920.83333333333337</v>
      </c>
      <c r="AO71" s="518">
        <f t="shared" si="32"/>
        <v>1423.5416666666667</v>
      </c>
      <c r="AP71" s="518">
        <f t="shared" si="33"/>
        <v>1452.5480833333336</v>
      </c>
      <c r="AQ71" s="518">
        <f t="shared" si="34"/>
        <v>783.11666666666667</v>
      </c>
      <c r="AR71" s="518">
        <f t="shared" si="35"/>
        <v>2080.4166666666665</v>
      </c>
      <c r="AS71" s="518">
        <f t="shared" si="36"/>
        <v>688.7</v>
      </c>
      <c r="AT71" s="518">
        <f t="shared" si="37"/>
        <v>1607.9597499999998</v>
      </c>
      <c r="AU71" s="518">
        <f t="shared" si="38"/>
        <v>690.61666666666667</v>
      </c>
      <c r="AV71" s="518">
        <f t="shared" si="39"/>
        <v>1347.6258333333333</v>
      </c>
      <c r="AW71" s="518">
        <f t="shared" si="41"/>
        <v>1038.7249999999999</v>
      </c>
      <c r="AX71" s="518">
        <f t="shared" si="42"/>
        <v>1395.9028333333333</v>
      </c>
      <c r="AY71" s="518">
        <f t="shared" si="43"/>
        <v>1365.0055</v>
      </c>
      <c r="AZ71" s="518">
        <f t="shared" si="44"/>
        <v>1159.0916666666667</v>
      </c>
      <c r="BA71" s="518">
        <f t="shared" si="45"/>
        <v>2655.8122499999999</v>
      </c>
      <c r="BB71" s="518">
        <f t="shared" si="46"/>
        <v>468.33333333333331</v>
      </c>
      <c r="BC71" s="518">
        <f t="shared" si="47"/>
        <v>1748.4833333333333</v>
      </c>
      <c r="BD71" s="518">
        <f t="shared" si="48"/>
        <v>1459.5083333333334</v>
      </c>
      <c r="BE71" s="518">
        <f t="shared" si="49"/>
        <v>1540.15</v>
      </c>
      <c r="BF71" s="518">
        <f t="shared" si="50"/>
        <v>1080.8333333333333</v>
      </c>
      <c r="BG71" s="619">
        <f t="shared" si="51"/>
        <v>1650.4333333333334</v>
      </c>
      <c r="BH71" s="619">
        <f t="shared" si="52"/>
        <v>811.25</v>
      </c>
      <c r="BI71" s="619">
        <f t="shared" si="53"/>
        <v>2408.09375</v>
      </c>
      <c r="BJ71" s="619">
        <f t="shared" si="54"/>
        <v>0</v>
      </c>
      <c r="BK71" s="619">
        <f t="shared" si="55"/>
        <v>102.93333333333334</v>
      </c>
      <c r="BL71" s="619"/>
      <c r="BM71" s="619">
        <f t="shared" si="56"/>
        <v>1336.6676666666667</v>
      </c>
      <c r="BN71" s="619">
        <f t="shared" si="57"/>
        <v>477.23883333333339</v>
      </c>
      <c r="BO71" s="619">
        <f t="shared" si="58"/>
        <v>0</v>
      </c>
      <c r="BP71" s="619">
        <f t="shared" si="59"/>
        <v>97.898666666666671</v>
      </c>
      <c r="BQ71" s="518">
        <f t="shared" ref="BQ71:BQ134" si="66">SUM(R71:BP71)</f>
        <v>80134.938833333305</v>
      </c>
    </row>
    <row r="72" spans="1:69" s="585" customFormat="1" ht="12.75" customHeight="1" outlineLevel="1">
      <c r="A72" s="308" t="s">
        <v>55</v>
      </c>
      <c r="B72" s="308">
        <f t="shared" si="20"/>
        <v>2021</v>
      </c>
      <c r="C72" s="308" t="s">
        <v>47</v>
      </c>
      <c r="D72" s="518"/>
      <c r="E72" s="518"/>
      <c r="F72" s="518"/>
      <c r="G72" s="518"/>
      <c r="H72" s="518"/>
      <c r="I72" s="518"/>
      <c r="J72" s="518">
        <f t="shared" si="60"/>
        <v>0</v>
      </c>
      <c r="K72" s="518">
        <f t="shared" si="63"/>
        <v>9616192.6599999983</v>
      </c>
      <c r="L72" s="518"/>
      <c r="M72" s="459">
        <f>22295.2+10740.08+32716.65-310.15</f>
        <v>65441.779999999992</v>
      </c>
      <c r="N72" s="518">
        <f t="shared" si="64"/>
        <v>4062976.1099999989</v>
      </c>
      <c r="O72" s="518"/>
      <c r="P72" s="518">
        <f t="shared" si="61"/>
        <v>5553216.5499999989</v>
      </c>
      <c r="R72" s="518">
        <f t="shared" si="62"/>
        <v>0</v>
      </c>
      <c r="S72" s="518">
        <f t="shared" si="65"/>
        <v>415.79166666666669</v>
      </c>
      <c r="T72" s="518">
        <f t="shared" ref="T72:T126" si="67">$J$7/120</f>
        <v>878.85</v>
      </c>
      <c r="U72" s="518">
        <f t="shared" si="10"/>
        <v>4172.1833333333334</v>
      </c>
      <c r="V72" s="518">
        <f t="shared" si="11"/>
        <v>6601.6416666666664</v>
      </c>
      <c r="W72" s="518">
        <f t="shared" si="13"/>
        <v>5314.0657499999998</v>
      </c>
      <c r="X72" s="518">
        <f t="shared" si="14"/>
        <v>4037.2521666666667</v>
      </c>
      <c r="Y72" s="518">
        <f t="shared" si="15"/>
        <v>2285.2750000000001</v>
      </c>
      <c r="Z72" s="518">
        <f t="shared" si="16"/>
        <v>1091.7583333333334</v>
      </c>
      <c r="AA72" s="518">
        <f t="shared" si="17"/>
        <v>1269.9591666666668</v>
      </c>
      <c r="AB72" s="518">
        <f t="shared" si="18"/>
        <v>606.67849999999999</v>
      </c>
      <c r="AC72" s="518">
        <f t="shared" si="19"/>
        <v>476.46666666666664</v>
      </c>
      <c r="AD72" s="518">
        <f t="shared" si="21"/>
        <v>1657.7180833333332</v>
      </c>
      <c r="AE72" s="518">
        <f t="shared" si="22"/>
        <v>3516.1947500000001</v>
      </c>
      <c r="AF72" s="518">
        <f t="shared" si="23"/>
        <v>1564.4</v>
      </c>
      <c r="AG72" s="518">
        <f t="shared" si="24"/>
        <v>2587.7750000000001</v>
      </c>
      <c r="AH72" s="518">
        <f t="shared" si="25"/>
        <v>2302.7285000000002</v>
      </c>
      <c r="AI72" s="518">
        <f t="shared" si="26"/>
        <v>1957.7</v>
      </c>
      <c r="AJ72" s="518">
        <f t="shared" si="27"/>
        <v>1067.125</v>
      </c>
      <c r="AK72" s="518">
        <f t="shared" si="28"/>
        <v>1806.075</v>
      </c>
      <c r="AL72" s="518">
        <f t="shared" si="29"/>
        <v>1723.2054166666667</v>
      </c>
      <c r="AM72" s="518">
        <f t="shared" si="30"/>
        <v>3010.375</v>
      </c>
      <c r="AN72" s="518">
        <f t="shared" si="31"/>
        <v>920.83333333333337</v>
      </c>
      <c r="AO72" s="518">
        <f t="shared" si="32"/>
        <v>1423.5416666666667</v>
      </c>
      <c r="AP72" s="518">
        <f t="shared" si="33"/>
        <v>1452.5480833333336</v>
      </c>
      <c r="AQ72" s="518">
        <f t="shared" si="34"/>
        <v>783.11666666666667</v>
      </c>
      <c r="AR72" s="518">
        <f t="shared" si="35"/>
        <v>2080.4166666666665</v>
      </c>
      <c r="AS72" s="518">
        <f t="shared" si="36"/>
        <v>688.7</v>
      </c>
      <c r="AT72" s="518">
        <f t="shared" si="37"/>
        <v>1607.9597499999998</v>
      </c>
      <c r="AU72" s="518">
        <f t="shared" si="38"/>
        <v>690.61666666666667</v>
      </c>
      <c r="AV72" s="518">
        <f t="shared" si="39"/>
        <v>1347.6258333333333</v>
      </c>
      <c r="AW72" s="518">
        <f t="shared" si="41"/>
        <v>1038.7249999999999</v>
      </c>
      <c r="AX72" s="518">
        <f t="shared" si="42"/>
        <v>1395.9028333333333</v>
      </c>
      <c r="AY72" s="518">
        <f t="shared" si="43"/>
        <v>1365.0055</v>
      </c>
      <c r="AZ72" s="518">
        <f t="shared" si="44"/>
        <v>1159.0916666666667</v>
      </c>
      <c r="BA72" s="518">
        <f t="shared" si="45"/>
        <v>2655.8122499999999</v>
      </c>
      <c r="BB72" s="518">
        <f t="shared" si="46"/>
        <v>468.33333333333331</v>
      </c>
      <c r="BC72" s="518">
        <f t="shared" si="47"/>
        <v>1748.4833333333333</v>
      </c>
      <c r="BD72" s="518">
        <f t="shared" si="48"/>
        <v>1459.5083333333334</v>
      </c>
      <c r="BE72" s="518">
        <f t="shared" si="49"/>
        <v>1540.15</v>
      </c>
      <c r="BF72" s="518">
        <f t="shared" si="50"/>
        <v>1080.8333333333333</v>
      </c>
      <c r="BG72" s="619">
        <f t="shared" si="51"/>
        <v>1650.4333333333334</v>
      </c>
      <c r="BH72" s="619">
        <f t="shared" si="52"/>
        <v>811.25</v>
      </c>
      <c r="BI72" s="619">
        <f t="shared" si="53"/>
        <v>2408.09375</v>
      </c>
      <c r="BJ72" s="619">
        <f t="shared" si="54"/>
        <v>0</v>
      </c>
      <c r="BK72" s="619">
        <f t="shared" si="55"/>
        <v>102.93333333333334</v>
      </c>
      <c r="BL72" s="619"/>
      <c r="BM72" s="619">
        <f t="shared" si="56"/>
        <v>1336.6676666666667</v>
      </c>
      <c r="BN72" s="619">
        <f t="shared" si="57"/>
        <v>477.23883333333339</v>
      </c>
      <c r="BO72" s="619">
        <f t="shared" si="58"/>
        <v>0</v>
      </c>
      <c r="BP72" s="619">
        <f t="shared" si="59"/>
        <v>97.898666666666671</v>
      </c>
      <c r="BQ72" s="518">
        <f t="shared" si="66"/>
        <v>80134.938833333305</v>
      </c>
    </row>
    <row r="73" spans="1:69" s="585" customFormat="1" ht="12.75" customHeight="1" outlineLevel="1">
      <c r="A73" s="308" t="s">
        <v>56</v>
      </c>
      <c r="B73" s="308">
        <f t="shared" si="20"/>
        <v>2021</v>
      </c>
      <c r="C73" s="308" t="s">
        <v>47</v>
      </c>
      <c r="D73" s="518"/>
      <c r="E73" s="518"/>
      <c r="F73" s="518"/>
      <c r="G73" s="518"/>
      <c r="H73" s="518"/>
      <c r="I73" s="518"/>
      <c r="J73" s="518">
        <f t="shared" si="60"/>
        <v>0</v>
      </c>
      <c r="K73" s="518">
        <f t="shared" si="63"/>
        <v>9616192.6599999983</v>
      </c>
      <c r="L73" s="518"/>
      <c r="M73" s="459">
        <f>19588.11+9398.09+61185.24</f>
        <v>90171.44</v>
      </c>
      <c r="N73" s="518">
        <f t="shared" si="64"/>
        <v>4153147.5499999989</v>
      </c>
      <c r="O73" s="518"/>
      <c r="P73" s="518">
        <f t="shared" si="61"/>
        <v>5463045.1099999994</v>
      </c>
      <c r="R73" s="518">
        <f t="shared" si="62"/>
        <v>0</v>
      </c>
      <c r="S73" s="518">
        <f t="shared" si="65"/>
        <v>415.79166666666669</v>
      </c>
      <c r="T73" s="518">
        <f t="shared" si="67"/>
        <v>878.85</v>
      </c>
      <c r="U73" s="518">
        <f t="shared" ref="U73:U127" si="68">$J$8/120</f>
        <v>4172.1833333333334</v>
      </c>
      <c r="V73" s="518">
        <f t="shared" si="11"/>
        <v>6601.6416666666664</v>
      </c>
      <c r="W73" s="518">
        <f t="shared" si="13"/>
        <v>5314.0657499999998</v>
      </c>
      <c r="X73" s="518">
        <f t="shared" si="14"/>
        <v>4037.2521666666667</v>
      </c>
      <c r="Y73" s="518">
        <f t="shared" si="15"/>
        <v>2285.2750000000001</v>
      </c>
      <c r="Z73" s="518">
        <f t="shared" si="16"/>
        <v>1091.7583333333334</v>
      </c>
      <c r="AA73" s="518">
        <f t="shared" si="17"/>
        <v>1269.9591666666668</v>
      </c>
      <c r="AB73" s="518">
        <f t="shared" si="18"/>
        <v>606.67849999999999</v>
      </c>
      <c r="AC73" s="518">
        <f t="shared" si="19"/>
        <v>476.46666666666664</v>
      </c>
      <c r="AD73" s="518">
        <f t="shared" si="21"/>
        <v>1657.7180833333332</v>
      </c>
      <c r="AE73" s="518">
        <f t="shared" si="22"/>
        <v>3516.1947500000001</v>
      </c>
      <c r="AF73" s="518">
        <f t="shared" si="23"/>
        <v>1564.4</v>
      </c>
      <c r="AG73" s="518">
        <f t="shared" si="24"/>
        <v>2587.7750000000001</v>
      </c>
      <c r="AH73" s="518">
        <f t="shared" si="25"/>
        <v>2302.7285000000002</v>
      </c>
      <c r="AI73" s="518">
        <f t="shared" si="26"/>
        <v>1957.7</v>
      </c>
      <c r="AJ73" s="518">
        <f t="shared" si="27"/>
        <v>1067.125</v>
      </c>
      <c r="AK73" s="518">
        <f t="shared" si="28"/>
        <v>1806.075</v>
      </c>
      <c r="AL73" s="518">
        <f t="shared" si="29"/>
        <v>1723.2054166666667</v>
      </c>
      <c r="AM73" s="518">
        <f t="shared" si="30"/>
        <v>3010.375</v>
      </c>
      <c r="AN73" s="518">
        <f t="shared" si="31"/>
        <v>920.83333333333337</v>
      </c>
      <c r="AO73" s="518">
        <f t="shared" si="32"/>
        <v>1423.5416666666667</v>
      </c>
      <c r="AP73" s="518">
        <f t="shared" si="33"/>
        <v>1452.5480833333336</v>
      </c>
      <c r="AQ73" s="518">
        <f t="shared" si="34"/>
        <v>783.11666666666667</v>
      </c>
      <c r="AR73" s="518">
        <f t="shared" si="35"/>
        <v>2080.4166666666665</v>
      </c>
      <c r="AS73" s="518">
        <f t="shared" si="36"/>
        <v>688.7</v>
      </c>
      <c r="AT73" s="518">
        <f t="shared" si="37"/>
        <v>1607.9597499999998</v>
      </c>
      <c r="AU73" s="518">
        <f t="shared" si="38"/>
        <v>690.61666666666667</v>
      </c>
      <c r="AV73" s="518">
        <f t="shared" si="39"/>
        <v>1347.6258333333333</v>
      </c>
      <c r="AW73" s="518">
        <f t="shared" si="41"/>
        <v>1038.7249999999999</v>
      </c>
      <c r="AX73" s="518">
        <f t="shared" si="42"/>
        <v>1395.9028333333333</v>
      </c>
      <c r="AY73" s="518">
        <f t="shared" si="43"/>
        <v>1365.0055</v>
      </c>
      <c r="AZ73" s="518">
        <f t="shared" si="44"/>
        <v>1159.0916666666667</v>
      </c>
      <c r="BA73" s="518">
        <f t="shared" si="45"/>
        <v>2655.8122499999999</v>
      </c>
      <c r="BB73" s="518">
        <f t="shared" si="46"/>
        <v>468.33333333333331</v>
      </c>
      <c r="BC73" s="518">
        <f t="shared" si="47"/>
        <v>1748.4833333333333</v>
      </c>
      <c r="BD73" s="518">
        <f t="shared" si="48"/>
        <v>1459.5083333333334</v>
      </c>
      <c r="BE73" s="518">
        <f t="shared" si="49"/>
        <v>1540.15</v>
      </c>
      <c r="BF73" s="518">
        <f t="shared" si="50"/>
        <v>1080.8333333333333</v>
      </c>
      <c r="BG73" s="619">
        <f t="shared" si="51"/>
        <v>1650.4333333333334</v>
      </c>
      <c r="BH73" s="619">
        <f t="shared" si="52"/>
        <v>811.25</v>
      </c>
      <c r="BI73" s="619">
        <f t="shared" si="53"/>
        <v>2408.09375</v>
      </c>
      <c r="BJ73" s="619">
        <f t="shared" si="54"/>
        <v>0</v>
      </c>
      <c r="BK73" s="619">
        <f t="shared" si="55"/>
        <v>102.93333333333334</v>
      </c>
      <c r="BL73" s="619"/>
      <c r="BM73" s="619">
        <f t="shared" si="56"/>
        <v>1336.6676666666667</v>
      </c>
      <c r="BN73" s="619">
        <f t="shared" si="57"/>
        <v>477.23883333333339</v>
      </c>
      <c r="BO73" s="619">
        <f t="shared" si="58"/>
        <v>0</v>
      </c>
      <c r="BP73" s="619">
        <f t="shared" si="59"/>
        <v>97.898666666666671</v>
      </c>
      <c r="BQ73" s="518">
        <f t="shared" si="66"/>
        <v>80134.938833333305</v>
      </c>
    </row>
    <row r="74" spans="1:69" s="585" customFormat="1" ht="12.75" customHeight="1" outlineLevel="1">
      <c r="A74" s="308" t="s">
        <v>57</v>
      </c>
      <c r="B74" s="308">
        <f t="shared" si="20"/>
        <v>2021</v>
      </c>
      <c r="C74" s="308" t="s">
        <v>47</v>
      </c>
      <c r="D74" s="518"/>
      <c r="E74" s="518"/>
      <c r="F74" s="518"/>
      <c r="G74" s="518"/>
      <c r="H74" s="518"/>
      <c r="I74" s="518"/>
      <c r="J74" s="518">
        <f t="shared" si="60"/>
        <v>0</v>
      </c>
      <c r="K74" s="518">
        <f t="shared" si="63"/>
        <v>9616192.6599999983</v>
      </c>
      <c r="L74" s="518"/>
      <c r="M74" s="459">
        <f>32206.76+8320.07+68921.59</f>
        <v>109448.42</v>
      </c>
      <c r="N74" s="518">
        <f t="shared" si="64"/>
        <v>4262595.9699999988</v>
      </c>
      <c r="O74" s="518"/>
      <c r="P74" s="518">
        <f t="shared" si="61"/>
        <v>5353596.6899999995</v>
      </c>
      <c r="R74" s="518">
        <f t="shared" si="62"/>
        <v>0</v>
      </c>
      <c r="S74" s="518">
        <f t="shared" si="65"/>
        <v>415.79166666666669</v>
      </c>
      <c r="T74" s="518">
        <f t="shared" si="67"/>
        <v>878.85</v>
      </c>
      <c r="U74" s="518">
        <f t="shared" si="68"/>
        <v>4172.1833333333334</v>
      </c>
      <c r="V74" s="518">
        <f t="shared" ref="V74:V128" si="69">$J$9/120</f>
        <v>6601.6416666666664</v>
      </c>
      <c r="W74" s="518">
        <f t="shared" si="13"/>
        <v>5314.0657499999998</v>
      </c>
      <c r="X74" s="518">
        <f t="shared" si="14"/>
        <v>4037.2521666666667</v>
      </c>
      <c r="Y74" s="518">
        <f t="shared" si="15"/>
        <v>2285.2750000000001</v>
      </c>
      <c r="Z74" s="518">
        <f t="shared" si="16"/>
        <v>1091.7583333333334</v>
      </c>
      <c r="AA74" s="518">
        <f t="shared" si="17"/>
        <v>1269.9591666666668</v>
      </c>
      <c r="AB74" s="518">
        <f t="shared" si="18"/>
        <v>606.67849999999999</v>
      </c>
      <c r="AC74" s="518">
        <f t="shared" si="19"/>
        <v>476.46666666666664</v>
      </c>
      <c r="AD74" s="518">
        <f t="shared" si="21"/>
        <v>1657.7180833333332</v>
      </c>
      <c r="AE74" s="518">
        <f t="shared" si="22"/>
        <v>3516.1947500000001</v>
      </c>
      <c r="AF74" s="518">
        <f t="shared" si="23"/>
        <v>1564.4</v>
      </c>
      <c r="AG74" s="518">
        <f t="shared" si="24"/>
        <v>2587.7750000000001</v>
      </c>
      <c r="AH74" s="518">
        <f t="shared" si="25"/>
        <v>2302.7285000000002</v>
      </c>
      <c r="AI74" s="518">
        <f t="shared" si="26"/>
        <v>1957.7</v>
      </c>
      <c r="AJ74" s="518">
        <f t="shared" si="27"/>
        <v>1067.125</v>
      </c>
      <c r="AK74" s="518">
        <f t="shared" si="28"/>
        <v>1806.075</v>
      </c>
      <c r="AL74" s="518">
        <f t="shared" si="29"/>
        <v>1723.2054166666667</v>
      </c>
      <c r="AM74" s="518">
        <f t="shared" si="30"/>
        <v>3010.375</v>
      </c>
      <c r="AN74" s="518">
        <f t="shared" si="31"/>
        <v>920.83333333333337</v>
      </c>
      <c r="AO74" s="518">
        <f t="shared" si="32"/>
        <v>1423.5416666666667</v>
      </c>
      <c r="AP74" s="518">
        <f t="shared" si="33"/>
        <v>1452.5480833333336</v>
      </c>
      <c r="AQ74" s="518">
        <f t="shared" si="34"/>
        <v>783.11666666666667</v>
      </c>
      <c r="AR74" s="518">
        <f t="shared" si="35"/>
        <v>2080.4166666666665</v>
      </c>
      <c r="AS74" s="518">
        <f t="shared" si="36"/>
        <v>688.7</v>
      </c>
      <c r="AT74" s="518">
        <f t="shared" si="37"/>
        <v>1607.9597499999998</v>
      </c>
      <c r="AU74" s="518">
        <f t="shared" si="38"/>
        <v>690.61666666666667</v>
      </c>
      <c r="AV74" s="518">
        <f t="shared" si="39"/>
        <v>1347.6258333333333</v>
      </c>
      <c r="AW74" s="518">
        <f t="shared" si="41"/>
        <v>1038.7249999999999</v>
      </c>
      <c r="AX74" s="518">
        <f t="shared" si="42"/>
        <v>1395.9028333333333</v>
      </c>
      <c r="AY74" s="518">
        <f t="shared" si="43"/>
        <v>1365.0055</v>
      </c>
      <c r="AZ74" s="518">
        <f t="shared" si="44"/>
        <v>1159.0916666666667</v>
      </c>
      <c r="BA74" s="518">
        <f t="shared" si="45"/>
        <v>2655.8122499999999</v>
      </c>
      <c r="BB74" s="518">
        <f t="shared" si="46"/>
        <v>468.33333333333331</v>
      </c>
      <c r="BC74" s="518">
        <f t="shared" si="47"/>
        <v>1748.4833333333333</v>
      </c>
      <c r="BD74" s="518">
        <f t="shared" si="48"/>
        <v>1459.5083333333334</v>
      </c>
      <c r="BE74" s="518">
        <f t="shared" si="49"/>
        <v>1540.15</v>
      </c>
      <c r="BF74" s="518">
        <f t="shared" si="50"/>
        <v>1080.8333333333333</v>
      </c>
      <c r="BG74" s="619">
        <f t="shared" si="51"/>
        <v>1650.4333333333334</v>
      </c>
      <c r="BH74" s="619">
        <f t="shared" si="52"/>
        <v>811.25</v>
      </c>
      <c r="BI74" s="619">
        <f t="shared" si="53"/>
        <v>2408.09375</v>
      </c>
      <c r="BJ74" s="619">
        <f t="shared" si="54"/>
        <v>0</v>
      </c>
      <c r="BK74" s="619">
        <f t="shared" si="55"/>
        <v>102.93333333333334</v>
      </c>
      <c r="BL74" s="619"/>
      <c r="BM74" s="619">
        <f t="shared" si="56"/>
        <v>1336.6676666666667</v>
      </c>
      <c r="BN74" s="619">
        <f t="shared" si="57"/>
        <v>477.23883333333339</v>
      </c>
      <c r="BO74" s="619">
        <f t="shared" si="58"/>
        <v>0</v>
      </c>
      <c r="BP74" s="619">
        <f t="shared" si="59"/>
        <v>97.898666666666671</v>
      </c>
      <c r="BQ74" s="518">
        <f t="shared" si="66"/>
        <v>80134.938833333305</v>
      </c>
    </row>
    <row r="75" spans="1:69" s="585" customFormat="1" ht="12.75" customHeight="1" outlineLevel="1">
      <c r="A75" s="308" t="s">
        <v>58</v>
      </c>
      <c r="B75" s="308">
        <f t="shared" si="20"/>
        <v>2021</v>
      </c>
      <c r="C75" s="308" t="s">
        <v>47</v>
      </c>
      <c r="D75" s="518"/>
      <c r="E75" s="518"/>
      <c r="F75" s="518"/>
      <c r="G75" s="518"/>
      <c r="H75" s="518"/>
      <c r="I75" s="518"/>
      <c r="J75" s="518">
        <f t="shared" si="60"/>
        <v>0</v>
      </c>
      <c r="K75" s="518">
        <f t="shared" si="63"/>
        <v>9616192.6599999983</v>
      </c>
      <c r="L75" s="518"/>
      <c r="M75" s="459">
        <f>42731.68+10476.11+45735.36</f>
        <v>98943.15</v>
      </c>
      <c r="N75" s="518">
        <f t="shared" si="64"/>
        <v>4361539.1199999992</v>
      </c>
      <c r="O75" s="518"/>
      <c r="P75" s="518">
        <f t="shared" si="61"/>
        <v>5254653.5399999991</v>
      </c>
      <c r="R75" s="518">
        <f t="shared" si="62"/>
        <v>0</v>
      </c>
      <c r="S75" s="518">
        <f t="shared" si="65"/>
        <v>415.79166666666669</v>
      </c>
      <c r="T75" s="518">
        <f t="shared" si="67"/>
        <v>878.85</v>
      </c>
      <c r="U75" s="518">
        <f t="shared" si="68"/>
        <v>4172.1833333333334</v>
      </c>
      <c r="V75" s="518">
        <f t="shared" si="69"/>
        <v>6601.6416666666664</v>
      </c>
      <c r="W75" s="518">
        <f t="shared" ref="W75:W129" si="70">$J$10/120</f>
        <v>5314.0657499999998</v>
      </c>
      <c r="X75" s="518">
        <f t="shared" si="14"/>
        <v>4037.2521666666667</v>
      </c>
      <c r="Y75" s="518">
        <f t="shared" si="15"/>
        <v>2285.2750000000001</v>
      </c>
      <c r="Z75" s="518">
        <f t="shared" si="16"/>
        <v>1091.7583333333334</v>
      </c>
      <c r="AA75" s="518">
        <f t="shared" si="17"/>
        <v>1269.9591666666668</v>
      </c>
      <c r="AB75" s="518">
        <f t="shared" si="18"/>
        <v>606.67849999999999</v>
      </c>
      <c r="AC75" s="518">
        <f t="shared" si="19"/>
        <v>476.46666666666664</v>
      </c>
      <c r="AD75" s="518">
        <f t="shared" si="21"/>
        <v>1657.7180833333332</v>
      </c>
      <c r="AE75" s="518">
        <f t="shared" si="22"/>
        <v>3516.1947500000001</v>
      </c>
      <c r="AF75" s="518">
        <f t="shared" si="23"/>
        <v>1564.4</v>
      </c>
      <c r="AG75" s="518">
        <f t="shared" si="24"/>
        <v>2587.7750000000001</v>
      </c>
      <c r="AH75" s="518">
        <f t="shared" si="25"/>
        <v>2302.7285000000002</v>
      </c>
      <c r="AI75" s="518">
        <f t="shared" si="26"/>
        <v>1957.7</v>
      </c>
      <c r="AJ75" s="518">
        <f t="shared" si="27"/>
        <v>1067.125</v>
      </c>
      <c r="AK75" s="518">
        <f t="shared" si="28"/>
        <v>1806.075</v>
      </c>
      <c r="AL75" s="518">
        <f t="shared" si="29"/>
        <v>1723.2054166666667</v>
      </c>
      <c r="AM75" s="518">
        <f t="shared" si="30"/>
        <v>3010.375</v>
      </c>
      <c r="AN75" s="518">
        <f t="shared" si="31"/>
        <v>920.83333333333337</v>
      </c>
      <c r="AO75" s="518">
        <f t="shared" si="32"/>
        <v>1423.5416666666667</v>
      </c>
      <c r="AP75" s="518">
        <f t="shared" si="33"/>
        <v>1452.5480833333336</v>
      </c>
      <c r="AQ75" s="518">
        <f t="shared" si="34"/>
        <v>783.11666666666667</v>
      </c>
      <c r="AR75" s="518">
        <f t="shared" si="35"/>
        <v>2080.4166666666665</v>
      </c>
      <c r="AS75" s="518">
        <f t="shared" si="36"/>
        <v>688.7</v>
      </c>
      <c r="AT75" s="518">
        <f t="shared" si="37"/>
        <v>1607.9597499999998</v>
      </c>
      <c r="AU75" s="518">
        <f t="shared" si="38"/>
        <v>690.61666666666667</v>
      </c>
      <c r="AV75" s="518">
        <f t="shared" si="39"/>
        <v>1347.6258333333333</v>
      </c>
      <c r="AW75" s="518">
        <f t="shared" si="41"/>
        <v>1038.7249999999999</v>
      </c>
      <c r="AX75" s="518">
        <f t="shared" si="42"/>
        <v>1395.9028333333333</v>
      </c>
      <c r="AY75" s="518">
        <f t="shared" si="43"/>
        <v>1365.0055</v>
      </c>
      <c r="AZ75" s="518">
        <f t="shared" si="44"/>
        <v>1159.0916666666667</v>
      </c>
      <c r="BA75" s="518">
        <f t="shared" si="45"/>
        <v>2655.8122499999999</v>
      </c>
      <c r="BB75" s="518">
        <f t="shared" si="46"/>
        <v>468.33333333333331</v>
      </c>
      <c r="BC75" s="518">
        <f t="shared" si="47"/>
        <v>1748.4833333333333</v>
      </c>
      <c r="BD75" s="518">
        <f t="shared" si="48"/>
        <v>1459.5083333333334</v>
      </c>
      <c r="BE75" s="518">
        <f t="shared" si="49"/>
        <v>1540.15</v>
      </c>
      <c r="BF75" s="518">
        <f t="shared" si="50"/>
        <v>1080.8333333333333</v>
      </c>
      <c r="BG75" s="619">
        <f t="shared" si="51"/>
        <v>1650.4333333333334</v>
      </c>
      <c r="BH75" s="619">
        <f t="shared" si="52"/>
        <v>811.25</v>
      </c>
      <c r="BI75" s="619">
        <f t="shared" si="53"/>
        <v>2408.09375</v>
      </c>
      <c r="BJ75" s="619">
        <f t="shared" si="54"/>
        <v>0</v>
      </c>
      <c r="BK75" s="619">
        <f t="shared" si="55"/>
        <v>102.93333333333334</v>
      </c>
      <c r="BL75" s="619"/>
      <c r="BM75" s="619">
        <f t="shared" si="56"/>
        <v>1336.6676666666667</v>
      </c>
      <c r="BN75" s="619">
        <f t="shared" si="57"/>
        <v>477.23883333333339</v>
      </c>
      <c r="BO75" s="619">
        <f t="shared" si="58"/>
        <v>0</v>
      </c>
      <c r="BP75" s="619">
        <f t="shared" si="59"/>
        <v>97.898666666666671</v>
      </c>
      <c r="BQ75" s="518">
        <f t="shared" si="66"/>
        <v>80134.938833333305</v>
      </c>
    </row>
    <row r="76" spans="1:69" s="585" customFormat="1" ht="12.75" customHeight="1" outlineLevel="1">
      <c r="A76" s="308" t="s">
        <v>59</v>
      </c>
      <c r="B76" s="308">
        <f t="shared" si="20"/>
        <v>2021</v>
      </c>
      <c r="C76" s="308" t="s">
        <v>47</v>
      </c>
      <c r="D76" s="518"/>
      <c r="E76" s="518"/>
      <c r="F76" s="518"/>
      <c r="G76" s="518"/>
      <c r="H76" s="518"/>
      <c r="I76" s="518"/>
      <c r="J76" s="518">
        <f t="shared" si="60"/>
        <v>0</v>
      </c>
      <c r="K76" s="518">
        <f t="shared" si="63"/>
        <v>9616192.6599999983</v>
      </c>
      <c r="L76" s="518"/>
      <c r="M76" s="459">
        <f>32004.67+9398.09+50469.79</f>
        <v>91872.549999999988</v>
      </c>
      <c r="N76" s="518">
        <f t="shared" si="64"/>
        <v>4453411.669999999</v>
      </c>
      <c r="O76" s="518"/>
      <c r="P76" s="518">
        <f t="shared" si="61"/>
        <v>5162780.9899999993</v>
      </c>
      <c r="R76" s="518">
        <f t="shared" si="62"/>
        <v>0</v>
      </c>
      <c r="S76" s="518">
        <f t="shared" si="65"/>
        <v>415.79166666666669</v>
      </c>
      <c r="T76" s="518">
        <f t="shared" si="67"/>
        <v>878.85</v>
      </c>
      <c r="U76" s="518">
        <f t="shared" si="68"/>
        <v>4172.1833333333334</v>
      </c>
      <c r="V76" s="518">
        <f t="shared" si="69"/>
        <v>6601.6416666666664</v>
      </c>
      <c r="W76" s="518">
        <f t="shared" si="70"/>
        <v>5314.0657499999998</v>
      </c>
      <c r="X76" s="518">
        <f t="shared" ref="X76:X130" si="71">$J$11/120</f>
        <v>4037.2521666666667</v>
      </c>
      <c r="Y76" s="518">
        <f t="shared" si="15"/>
        <v>2285.2750000000001</v>
      </c>
      <c r="Z76" s="518">
        <f t="shared" si="16"/>
        <v>1091.7583333333334</v>
      </c>
      <c r="AA76" s="518">
        <f t="shared" si="17"/>
        <v>1269.9591666666668</v>
      </c>
      <c r="AB76" s="518">
        <f t="shared" si="18"/>
        <v>606.67849999999999</v>
      </c>
      <c r="AC76" s="518">
        <f t="shared" si="19"/>
        <v>476.46666666666664</v>
      </c>
      <c r="AD76" s="518">
        <f t="shared" si="21"/>
        <v>1657.7180833333332</v>
      </c>
      <c r="AE76" s="518">
        <f t="shared" si="22"/>
        <v>3516.1947500000001</v>
      </c>
      <c r="AF76" s="518">
        <f t="shared" si="23"/>
        <v>1564.4</v>
      </c>
      <c r="AG76" s="518">
        <f t="shared" si="24"/>
        <v>2587.7750000000001</v>
      </c>
      <c r="AH76" s="518">
        <f t="shared" si="25"/>
        <v>2302.7285000000002</v>
      </c>
      <c r="AI76" s="518">
        <f t="shared" si="26"/>
        <v>1957.7</v>
      </c>
      <c r="AJ76" s="518">
        <f t="shared" si="27"/>
        <v>1067.125</v>
      </c>
      <c r="AK76" s="518">
        <f t="shared" si="28"/>
        <v>1806.075</v>
      </c>
      <c r="AL76" s="518">
        <f t="shared" si="29"/>
        <v>1723.2054166666667</v>
      </c>
      <c r="AM76" s="518">
        <f t="shared" si="30"/>
        <v>3010.375</v>
      </c>
      <c r="AN76" s="518">
        <f t="shared" si="31"/>
        <v>920.83333333333337</v>
      </c>
      <c r="AO76" s="518">
        <f t="shared" si="32"/>
        <v>1423.5416666666667</v>
      </c>
      <c r="AP76" s="518">
        <f t="shared" si="33"/>
        <v>1452.5480833333336</v>
      </c>
      <c r="AQ76" s="518">
        <f t="shared" si="34"/>
        <v>783.11666666666667</v>
      </c>
      <c r="AR76" s="518">
        <f t="shared" si="35"/>
        <v>2080.4166666666665</v>
      </c>
      <c r="AS76" s="518">
        <f t="shared" si="36"/>
        <v>688.7</v>
      </c>
      <c r="AT76" s="518">
        <f t="shared" si="37"/>
        <v>1607.9597499999998</v>
      </c>
      <c r="AU76" s="518">
        <f t="shared" si="38"/>
        <v>690.61666666666667</v>
      </c>
      <c r="AV76" s="518">
        <f t="shared" si="39"/>
        <v>1347.6258333333333</v>
      </c>
      <c r="AW76" s="518">
        <f t="shared" si="41"/>
        <v>1038.7249999999999</v>
      </c>
      <c r="AX76" s="518">
        <f t="shared" si="42"/>
        <v>1395.9028333333333</v>
      </c>
      <c r="AY76" s="518">
        <f t="shared" si="43"/>
        <v>1365.0055</v>
      </c>
      <c r="AZ76" s="518">
        <f t="shared" si="44"/>
        <v>1159.0916666666667</v>
      </c>
      <c r="BA76" s="518">
        <f t="shared" si="45"/>
        <v>2655.8122499999999</v>
      </c>
      <c r="BB76" s="518">
        <f t="shared" si="46"/>
        <v>468.33333333333331</v>
      </c>
      <c r="BC76" s="518">
        <f t="shared" si="47"/>
        <v>1748.4833333333333</v>
      </c>
      <c r="BD76" s="518">
        <f t="shared" si="48"/>
        <v>1459.5083333333334</v>
      </c>
      <c r="BE76" s="518">
        <f t="shared" si="49"/>
        <v>1540.15</v>
      </c>
      <c r="BF76" s="518">
        <f t="shared" si="50"/>
        <v>1080.8333333333333</v>
      </c>
      <c r="BG76" s="619">
        <f t="shared" si="51"/>
        <v>1650.4333333333334</v>
      </c>
      <c r="BH76" s="619">
        <f t="shared" si="52"/>
        <v>811.25</v>
      </c>
      <c r="BI76" s="619">
        <f t="shared" si="53"/>
        <v>2408.09375</v>
      </c>
      <c r="BJ76" s="619">
        <f t="shared" si="54"/>
        <v>0</v>
      </c>
      <c r="BK76" s="619">
        <f t="shared" si="55"/>
        <v>102.93333333333334</v>
      </c>
      <c r="BL76" s="619"/>
      <c r="BM76" s="619">
        <f t="shared" si="56"/>
        <v>1336.6676666666667</v>
      </c>
      <c r="BN76" s="619">
        <f t="shared" si="57"/>
        <v>477.23883333333339</v>
      </c>
      <c r="BO76" s="619">
        <f t="shared" si="58"/>
        <v>0</v>
      </c>
      <c r="BP76" s="619">
        <f t="shared" si="59"/>
        <v>97.898666666666671</v>
      </c>
      <c r="BQ76" s="518">
        <f t="shared" si="66"/>
        <v>80134.938833333305</v>
      </c>
    </row>
    <row r="77" spans="1:69" s="585" customFormat="1" ht="12.75" customHeight="1" outlineLevel="1">
      <c r="A77" s="308" t="s">
        <v>46</v>
      </c>
      <c r="B77" s="308">
        <f t="shared" si="20"/>
        <v>2021</v>
      </c>
      <c r="C77" s="308" t="s">
        <v>47</v>
      </c>
      <c r="D77" s="518"/>
      <c r="E77" s="518"/>
      <c r="F77" s="518"/>
      <c r="G77" s="518"/>
      <c r="H77" s="518"/>
      <c r="I77" s="518"/>
      <c r="J77" s="518">
        <f t="shared" si="60"/>
        <v>0</v>
      </c>
      <c r="K77" s="518">
        <f t="shared" si="63"/>
        <v>9616192.6599999983</v>
      </c>
      <c r="L77" s="518"/>
      <c r="M77" s="459">
        <f>25838.94+9498.09+45273.81</f>
        <v>80610.84</v>
      </c>
      <c r="N77" s="518">
        <f t="shared" si="64"/>
        <v>4534022.5099999988</v>
      </c>
      <c r="O77" s="518"/>
      <c r="P77" s="518">
        <f t="shared" si="61"/>
        <v>5082170.1499999994</v>
      </c>
      <c r="R77" s="518">
        <f t="shared" si="62"/>
        <v>0</v>
      </c>
      <c r="S77" s="518">
        <f t="shared" si="65"/>
        <v>415.79166666666669</v>
      </c>
      <c r="T77" s="518">
        <f t="shared" si="67"/>
        <v>878.85</v>
      </c>
      <c r="U77" s="518">
        <f t="shared" si="68"/>
        <v>4172.1833333333334</v>
      </c>
      <c r="V77" s="518">
        <f t="shared" si="69"/>
        <v>6601.6416666666664</v>
      </c>
      <c r="W77" s="518">
        <f t="shared" si="70"/>
        <v>5314.0657499999998</v>
      </c>
      <c r="X77" s="518">
        <f t="shared" si="71"/>
        <v>4037.2521666666667</v>
      </c>
      <c r="Y77" s="518">
        <f t="shared" ref="Y77:Y131" si="72">$J$12/120</f>
        <v>2285.2750000000001</v>
      </c>
      <c r="Z77" s="518">
        <f t="shared" si="16"/>
        <v>1091.7583333333334</v>
      </c>
      <c r="AA77" s="518">
        <f t="shared" si="17"/>
        <v>1269.9591666666668</v>
      </c>
      <c r="AB77" s="518">
        <f t="shared" si="18"/>
        <v>606.67849999999999</v>
      </c>
      <c r="AC77" s="518">
        <f t="shared" si="19"/>
        <v>476.46666666666664</v>
      </c>
      <c r="AD77" s="518">
        <f t="shared" si="21"/>
        <v>1657.7180833333332</v>
      </c>
      <c r="AE77" s="518">
        <f t="shared" si="22"/>
        <v>3516.1947500000001</v>
      </c>
      <c r="AF77" s="518">
        <f t="shared" si="23"/>
        <v>1564.4</v>
      </c>
      <c r="AG77" s="518">
        <f t="shared" si="24"/>
        <v>2587.7750000000001</v>
      </c>
      <c r="AH77" s="518">
        <f t="shared" si="25"/>
        <v>2302.7285000000002</v>
      </c>
      <c r="AI77" s="518">
        <f t="shared" si="26"/>
        <v>1957.7</v>
      </c>
      <c r="AJ77" s="518">
        <f t="shared" si="27"/>
        <v>1067.125</v>
      </c>
      <c r="AK77" s="518">
        <f t="shared" si="28"/>
        <v>1806.075</v>
      </c>
      <c r="AL77" s="518">
        <f t="shared" si="29"/>
        <v>1723.2054166666667</v>
      </c>
      <c r="AM77" s="518">
        <f t="shared" si="30"/>
        <v>3010.375</v>
      </c>
      <c r="AN77" s="518">
        <f t="shared" si="31"/>
        <v>920.83333333333337</v>
      </c>
      <c r="AO77" s="518">
        <f t="shared" si="32"/>
        <v>1423.5416666666667</v>
      </c>
      <c r="AP77" s="518">
        <f t="shared" si="33"/>
        <v>1452.5480833333336</v>
      </c>
      <c r="AQ77" s="518">
        <f t="shared" si="34"/>
        <v>783.11666666666667</v>
      </c>
      <c r="AR77" s="518">
        <f t="shared" si="35"/>
        <v>2080.4166666666665</v>
      </c>
      <c r="AS77" s="518">
        <f t="shared" si="36"/>
        <v>688.7</v>
      </c>
      <c r="AT77" s="518">
        <f t="shared" si="37"/>
        <v>1607.9597499999998</v>
      </c>
      <c r="AU77" s="518">
        <f t="shared" si="38"/>
        <v>690.61666666666667</v>
      </c>
      <c r="AV77" s="518">
        <f t="shared" si="39"/>
        <v>1347.6258333333333</v>
      </c>
      <c r="AW77" s="518">
        <f t="shared" si="41"/>
        <v>1038.7249999999999</v>
      </c>
      <c r="AX77" s="518">
        <f t="shared" si="42"/>
        <v>1395.9028333333333</v>
      </c>
      <c r="AY77" s="518">
        <f t="shared" si="43"/>
        <v>1365.0055</v>
      </c>
      <c r="AZ77" s="518">
        <f t="shared" si="44"/>
        <v>1159.0916666666667</v>
      </c>
      <c r="BA77" s="518">
        <f t="shared" si="45"/>
        <v>2655.8122499999999</v>
      </c>
      <c r="BB77" s="518">
        <f t="shared" si="46"/>
        <v>468.33333333333331</v>
      </c>
      <c r="BC77" s="518">
        <f t="shared" si="47"/>
        <v>1748.4833333333333</v>
      </c>
      <c r="BD77" s="518">
        <f t="shared" si="48"/>
        <v>1459.5083333333334</v>
      </c>
      <c r="BE77" s="518">
        <f t="shared" si="49"/>
        <v>1540.15</v>
      </c>
      <c r="BF77" s="518">
        <f t="shared" si="50"/>
        <v>1080.8333333333333</v>
      </c>
      <c r="BG77" s="619">
        <f t="shared" si="51"/>
        <v>1650.4333333333334</v>
      </c>
      <c r="BH77" s="619">
        <f t="shared" si="52"/>
        <v>811.25</v>
      </c>
      <c r="BI77" s="619">
        <f t="shared" si="53"/>
        <v>2408.09375</v>
      </c>
      <c r="BJ77" s="619">
        <f t="shared" si="54"/>
        <v>0</v>
      </c>
      <c r="BK77" s="619">
        <f t="shared" si="55"/>
        <v>102.93333333333334</v>
      </c>
      <c r="BL77" s="619"/>
      <c r="BM77" s="619">
        <f t="shared" si="56"/>
        <v>1336.6676666666667</v>
      </c>
      <c r="BN77" s="619">
        <f t="shared" si="57"/>
        <v>477.23883333333339</v>
      </c>
      <c r="BO77" s="619">
        <f t="shared" si="58"/>
        <v>0</v>
      </c>
      <c r="BP77" s="619">
        <f t="shared" si="59"/>
        <v>97.898666666666671</v>
      </c>
      <c r="BQ77" s="518">
        <f t="shared" si="66"/>
        <v>80134.938833333305</v>
      </c>
    </row>
    <row r="78" spans="1:69" s="585" customFormat="1" ht="12.75" customHeight="1" outlineLevel="1">
      <c r="A78" s="308" t="s">
        <v>48</v>
      </c>
      <c r="B78" s="308">
        <f t="shared" si="20"/>
        <v>2021</v>
      </c>
      <c r="C78" s="308" t="s">
        <v>47</v>
      </c>
      <c r="D78" s="518"/>
      <c r="E78" s="518"/>
      <c r="F78" s="518"/>
      <c r="G78" s="518"/>
      <c r="H78" s="518"/>
      <c r="I78" s="518"/>
      <c r="J78" s="518">
        <f t="shared" si="60"/>
        <v>0</v>
      </c>
      <c r="K78" s="518">
        <f t="shared" si="63"/>
        <v>9616192.6599999983</v>
      </c>
      <c r="L78" s="518"/>
      <c r="M78" s="459">
        <f>22678.77+9398.09+53126.33</f>
        <v>85203.19</v>
      </c>
      <c r="N78" s="518">
        <f t="shared" si="64"/>
        <v>4619225.6999999993</v>
      </c>
      <c r="O78" s="518"/>
      <c r="P78" s="518">
        <f t="shared" si="61"/>
        <v>4996966.959999999</v>
      </c>
      <c r="R78" s="518">
        <f t="shared" si="62"/>
        <v>0</v>
      </c>
      <c r="S78" s="518">
        <f t="shared" si="65"/>
        <v>415.79166666666669</v>
      </c>
      <c r="T78" s="518">
        <f t="shared" si="67"/>
        <v>878.85</v>
      </c>
      <c r="U78" s="518">
        <f t="shared" si="68"/>
        <v>4172.1833333333334</v>
      </c>
      <c r="V78" s="518">
        <f t="shared" si="69"/>
        <v>6601.6416666666664</v>
      </c>
      <c r="W78" s="518">
        <f t="shared" si="70"/>
        <v>5314.0657499999998</v>
      </c>
      <c r="X78" s="518">
        <f t="shared" si="71"/>
        <v>4037.2521666666667</v>
      </c>
      <c r="Y78" s="518">
        <f t="shared" si="72"/>
        <v>2285.2750000000001</v>
      </c>
      <c r="Z78" s="518">
        <f t="shared" ref="Z78:Z132" si="73">$J$13/120</f>
        <v>1091.7583333333334</v>
      </c>
      <c r="AA78" s="518">
        <f t="shared" si="17"/>
        <v>1269.9591666666668</v>
      </c>
      <c r="AB78" s="518">
        <f t="shared" si="18"/>
        <v>606.67849999999999</v>
      </c>
      <c r="AC78" s="518">
        <f t="shared" si="19"/>
        <v>476.46666666666664</v>
      </c>
      <c r="AD78" s="518">
        <f t="shared" si="21"/>
        <v>1657.7180833333332</v>
      </c>
      <c r="AE78" s="518">
        <f t="shared" si="22"/>
        <v>3516.1947500000001</v>
      </c>
      <c r="AF78" s="518">
        <f t="shared" si="23"/>
        <v>1564.4</v>
      </c>
      <c r="AG78" s="518">
        <f t="shared" si="24"/>
        <v>2587.7750000000001</v>
      </c>
      <c r="AH78" s="518">
        <f t="shared" si="25"/>
        <v>2302.7285000000002</v>
      </c>
      <c r="AI78" s="518">
        <f t="shared" si="26"/>
        <v>1957.7</v>
      </c>
      <c r="AJ78" s="518">
        <f t="shared" si="27"/>
        <v>1067.125</v>
      </c>
      <c r="AK78" s="518">
        <f t="shared" si="28"/>
        <v>1806.075</v>
      </c>
      <c r="AL78" s="518">
        <f t="shared" si="29"/>
        <v>1723.2054166666667</v>
      </c>
      <c r="AM78" s="518">
        <f t="shared" si="30"/>
        <v>3010.375</v>
      </c>
      <c r="AN78" s="518">
        <f t="shared" si="31"/>
        <v>920.83333333333337</v>
      </c>
      <c r="AO78" s="518">
        <f t="shared" si="32"/>
        <v>1423.5416666666667</v>
      </c>
      <c r="AP78" s="518">
        <f t="shared" si="33"/>
        <v>1452.5480833333336</v>
      </c>
      <c r="AQ78" s="518">
        <f t="shared" si="34"/>
        <v>783.11666666666667</v>
      </c>
      <c r="AR78" s="518">
        <f t="shared" si="35"/>
        <v>2080.4166666666665</v>
      </c>
      <c r="AS78" s="518">
        <f t="shared" si="36"/>
        <v>688.7</v>
      </c>
      <c r="AT78" s="518">
        <f t="shared" si="37"/>
        <v>1607.9597499999998</v>
      </c>
      <c r="AU78" s="518">
        <f t="shared" si="38"/>
        <v>690.61666666666667</v>
      </c>
      <c r="AV78" s="518">
        <f t="shared" si="39"/>
        <v>1347.6258333333333</v>
      </c>
      <c r="AW78" s="518">
        <f t="shared" si="41"/>
        <v>1038.7249999999999</v>
      </c>
      <c r="AX78" s="518">
        <f t="shared" si="42"/>
        <v>1395.9028333333333</v>
      </c>
      <c r="AY78" s="518">
        <f t="shared" si="43"/>
        <v>1365.0055</v>
      </c>
      <c r="AZ78" s="518">
        <f t="shared" si="44"/>
        <v>1159.0916666666667</v>
      </c>
      <c r="BA78" s="518">
        <f t="shared" si="45"/>
        <v>2655.8122499999999</v>
      </c>
      <c r="BB78" s="518">
        <f t="shared" si="46"/>
        <v>468.33333333333331</v>
      </c>
      <c r="BC78" s="518">
        <f t="shared" si="47"/>
        <v>1748.4833333333333</v>
      </c>
      <c r="BD78" s="518">
        <f t="shared" si="48"/>
        <v>1459.5083333333334</v>
      </c>
      <c r="BE78" s="518">
        <f t="shared" si="49"/>
        <v>1540.15</v>
      </c>
      <c r="BF78" s="518">
        <f t="shared" si="50"/>
        <v>1080.8333333333333</v>
      </c>
      <c r="BG78" s="619">
        <f t="shared" si="51"/>
        <v>1650.4333333333334</v>
      </c>
      <c r="BH78" s="619">
        <f t="shared" si="52"/>
        <v>811.25</v>
      </c>
      <c r="BI78" s="619">
        <f t="shared" si="53"/>
        <v>2408.09375</v>
      </c>
      <c r="BJ78" s="619">
        <f t="shared" si="54"/>
        <v>0</v>
      </c>
      <c r="BK78" s="619">
        <f t="shared" si="55"/>
        <v>102.93333333333334</v>
      </c>
      <c r="BL78" s="619"/>
      <c r="BM78" s="619">
        <f t="shared" si="56"/>
        <v>1336.6676666666667</v>
      </c>
      <c r="BN78" s="619">
        <f t="shared" si="57"/>
        <v>477.23883333333339</v>
      </c>
      <c r="BO78" s="619">
        <f t="shared" si="58"/>
        <v>0</v>
      </c>
      <c r="BP78" s="619">
        <f t="shared" si="59"/>
        <v>97.898666666666671</v>
      </c>
      <c r="BQ78" s="518">
        <f t="shared" si="66"/>
        <v>80134.938833333305</v>
      </c>
    </row>
    <row r="79" spans="1:69" s="585" customFormat="1" ht="12.75" customHeight="1" outlineLevel="1">
      <c r="A79" s="308" t="s">
        <v>50</v>
      </c>
      <c r="B79" s="308">
        <f t="shared" si="20"/>
        <v>2021</v>
      </c>
      <c r="C79" s="308" t="s">
        <v>47</v>
      </c>
      <c r="D79" s="518"/>
      <c r="E79" s="518"/>
      <c r="F79" s="518"/>
      <c r="G79" s="518"/>
      <c r="H79" s="518"/>
      <c r="I79" s="518"/>
      <c r="J79" s="518">
        <f t="shared" si="60"/>
        <v>0</v>
      </c>
      <c r="K79" s="518">
        <f t="shared" si="63"/>
        <v>9616192.6599999983</v>
      </c>
      <c r="L79" s="518"/>
      <c r="M79" s="459">
        <f>18103.17+9298.09+48570.89</f>
        <v>75972.149999999994</v>
      </c>
      <c r="N79" s="518">
        <f t="shared" si="64"/>
        <v>4695197.8499999996</v>
      </c>
      <c r="O79" s="518"/>
      <c r="P79" s="518">
        <f t="shared" si="61"/>
        <v>4920994.8099999987</v>
      </c>
      <c r="R79" s="518">
        <f t="shared" si="62"/>
        <v>0</v>
      </c>
      <c r="S79" s="518">
        <f t="shared" si="65"/>
        <v>415.79166666666669</v>
      </c>
      <c r="T79" s="518">
        <f t="shared" si="67"/>
        <v>878.85</v>
      </c>
      <c r="U79" s="518">
        <f t="shared" si="68"/>
        <v>4172.1833333333334</v>
      </c>
      <c r="V79" s="518">
        <f t="shared" si="69"/>
        <v>6601.6416666666664</v>
      </c>
      <c r="W79" s="518">
        <f t="shared" si="70"/>
        <v>5314.0657499999998</v>
      </c>
      <c r="X79" s="518">
        <f t="shared" si="71"/>
        <v>4037.2521666666667</v>
      </c>
      <c r="Y79" s="518">
        <f t="shared" si="72"/>
        <v>2285.2750000000001</v>
      </c>
      <c r="Z79" s="518">
        <f t="shared" si="73"/>
        <v>1091.7583333333334</v>
      </c>
      <c r="AA79" s="518">
        <f t="shared" ref="AA79:AA133" si="74">$J$14/120</f>
        <v>1269.9591666666668</v>
      </c>
      <c r="AB79" s="518">
        <f t="shared" si="18"/>
        <v>606.67849999999999</v>
      </c>
      <c r="AC79" s="518">
        <f t="shared" si="19"/>
        <v>476.46666666666664</v>
      </c>
      <c r="AD79" s="518">
        <f t="shared" si="21"/>
        <v>1657.7180833333332</v>
      </c>
      <c r="AE79" s="518">
        <f t="shared" si="22"/>
        <v>3516.1947500000001</v>
      </c>
      <c r="AF79" s="518">
        <f t="shared" si="23"/>
        <v>1564.4</v>
      </c>
      <c r="AG79" s="518">
        <f t="shared" si="24"/>
        <v>2587.7750000000001</v>
      </c>
      <c r="AH79" s="518">
        <f t="shared" si="25"/>
        <v>2302.7285000000002</v>
      </c>
      <c r="AI79" s="518">
        <f t="shared" si="26"/>
        <v>1957.7</v>
      </c>
      <c r="AJ79" s="518">
        <f t="shared" si="27"/>
        <v>1067.125</v>
      </c>
      <c r="AK79" s="518">
        <f t="shared" si="28"/>
        <v>1806.075</v>
      </c>
      <c r="AL79" s="518">
        <f t="shared" si="29"/>
        <v>1723.2054166666667</v>
      </c>
      <c r="AM79" s="518">
        <f t="shared" si="30"/>
        <v>3010.375</v>
      </c>
      <c r="AN79" s="518">
        <f t="shared" si="31"/>
        <v>920.83333333333337</v>
      </c>
      <c r="AO79" s="518">
        <f t="shared" si="32"/>
        <v>1423.5416666666667</v>
      </c>
      <c r="AP79" s="518">
        <f t="shared" si="33"/>
        <v>1452.5480833333336</v>
      </c>
      <c r="AQ79" s="518">
        <f t="shared" si="34"/>
        <v>783.11666666666667</v>
      </c>
      <c r="AR79" s="518">
        <f t="shared" si="35"/>
        <v>2080.4166666666665</v>
      </c>
      <c r="AS79" s="518">
        <f t="shared" si="36"/>
        <v>688.7</v>
      </c>
      <c r="AT79" s="518">
        <f t="shared" si="37"/>
        <v>1607.9597499999998</v>
      </c>
      <c r="AU79" s="518">
        <f t="shared" si="38"/>
        <v>690.61666666666667</v>
      </c>
      <c r="AV79" s="518">
        <f t="shared" si="39"/>
        <v>1347.6258333333333</v>
      </c>
      <c r="AW79" s="518">
        <f t="shared" si="41"/>
        <v>1038.7249999999999</v>
      </c>
      <c r="AX79" s="518">
        <f t="shared" si="42"/>
        <v>1395.9028333333333</v>
      </c>
      <c r="AY79" s="518">
        <f t="shared" si="43"/>
        <v>1365.0055</v>
      </c>
      <c r="AZ79" s="518">
        <f t="shared" si="44"/>
        <v>1159.0916666666667</v>
      </c>
      <c r="BA79" s="518">
        <f t="shared" si="45"/>
        <v>2655.8122499999999</v>
      </c>
      <c r="BB79" s="518">
        <f t="shared" si="46"/>
        <v>468.33333333333331</v>
      </c>
      <c r="BC79" s="518">
        <f t="shared" si="47"/>
        <v>1748.4833333333333</v>
      </c>
      <c r="BD79" s="518">
        <f t="shared" si="48"/>
        <v>1459.5083333333334</v>
      </c>
      <c r="BE79" s="518">
        <f t="shared" si="49"/>
        <v>1540.15</v>
      </c>
      <c r="BF79" s="518">
        <f t="shared" si="50"/>
        <v>1080.8333333333333</v>
      </c>
      <c r="BG79" s="619">
        <f t="shared" si="51"/>
        <v>1650.4333333333334</v>
      </c>
      <c r="BH79" s="619">
        <f t="shared" si="52"/>
        <v>811.25</v>
      </c>
      <c r="BI79" s="619">
        <f t="shared" si="53"/>
        <v>2408.09375</v>
      </c>
      <c r="BJ79" s="619">
        <f t="shared" si="54"/>
        <v>0</v>
      </c>
      <c r="BK79" s="619">
        <f t="shared" si="55"/>
        <v>102.93333333333334</v>
      </c>
      <c r="BL79" s="619"/>
      <c r="BM79" s="619">
        <f t="shared" si="56"/>
        <v>1336.6676666666667</v>
      </c>
      <c r="BN79" s="619">
        <f t="shared" si="57"/>
        <v>477.23883333333339</v>
      </c>
      <c r="BO79" s="619">
        <f t="shared" si="58"/>
        <v>0</v>
      </c>
      <c r="BP79" s="619">
        <f t="shared" si="59"/>
        <v>97.898666666666671</v>
      </c>
      <c r="BQ79" s="518">
        <f t="shared" si="66"/>
        <v>80134.938833333305</v>
      </c>
    </row>
    <row r="80" spans="1:69" s="585" customFormat="1" ht="12.75" customHeight="1" outlineLevel="1">
      <c r="A80" s="308" t="s">
        <v>51</v>
      </c>
      <c r="B80" s="308">
        <f t="shared" si="20"/>
        <v>2021</v>
      </c>
      <c r="C80" s="308" t="s">
        <v>47</v>
      </c>
      <c r="D80" s="518"/>
      <c r="E80" s="518"/>
      <c r="F80" s="518"/>
      <c r="G80" s="518"/>
      <c r="H80" s="518"/>
      <c r="I80" s="518"/>
      <c r="J80" s="518">
        <f t="shared" si="60"/>
        <v>0</v>
      </c>
      <c r="K80" s="518">
        <f t="shared" si="63"/>
        <v>9616192.6599999983</v>
      </c>
      <c r="L80" s="518"/>
      <c r="M80" s="622">
        <f>38472.48+9398.09+51134.38</f>
        <v>99004.950000000012</v>
      </c>
      <c r="N80" s="518">
        <f t="shared" si="64"/>
        <v>4794202.8</v>
      </c>
      <c r="O80" s="518"/>
      <c r="P80" s="518">
        <f t="shared" si="61"/>
        <v>4821989.8599999985</v>
      </c>
      <c r="R80" s="518">
        <f t="shared" si="62"/>
        <v>0</v>
      </c>
      <c r="S80" s="518">
        <f t="shared" si="65"/>
        <v>415.79166666666669</v>
      </c>
      <c r="T80" s="518">
        <f t="shared" si="67"/>
        <v>878.85</v>
      </c>
      <c r="U80" s="518">
        <f t="shared" si="68"/>
        <v>4172.1833333333334</v>
      </c>
      <c r="V80" s="518">
        <f t="shared" si="69"/>
        <v>6601.6416666666664</v>
      </c>
      <c r="W80" s="518">
        <f t="shared" si="70"/>
        <v>5314.0657499999998</v>
      </c>
      <c r="X80" s="518">
        <f t="shared" si="71"/>
        <v>4037.2521666666667</v>
      </c>
      <c r="Y80" s="518">
        <f t="shared" si="72"/>
        <v>2285.2750000000001</v>
      </c>
      <c r="Z80" s="518">
        <f t="shared" si="73"/>
        <v>1091.7583333333334</v>
      </c>
      <c r="AA80" s="518">
        <f t="shared" si="74"/>
        <v>1269.9591666666668</v>
      </c>
      <c r="AB80" s="518">
        <f t="shared" ref="AB80:AB134" si="75">$J$15/120</f>
        <v>606.67849999999999</v>
      </c>
      <c r="AC80" s="518">
        <f t="shared" si="19"/>
        <v>476.46666666666664</v>
      </c>
      <c r="AD80" s="518">
        <f t="shared" si="21"/>
        <v>1657.7180833333332</v>
      </c>
      <c r="AE80" s="518">
        <f t="shared" si="22"/>
        <v>3516.1947500000001</v>
      </c>
      <c r="AF80" s="518">
        <f t="shared" si="23"/>
        <v>1564.4</v>
      </c>
      <c r="AG80" s="518">
        <f t="shared" si="24"/>
        <v>2587.7750000000001</v>
      </c>
      <c r="AH80" s="518">
        <f t="shared" si="25"/>
        <v>2302.7285000000002</v>
      </c>
      <c r="AI80" s="518">
        <f t="shared" si="26"/>
        <v>1957.7</v>
      </c>
      <c r="AJ80" s="518">
        <f t="shared" si="27"/>
        <v>1067.125</v>
      </c>
      <c r="AK80" s="518">
        <f t="shared" si="28"/>
        <v>1806.075</v>
      </c>
      <c r="AL80" s="518">
        <f t="shared" si="29"/>
        <v>1723.2054166666667</v>
      </c>
      <c r="AM80" s="518">
        <f t="shared" si="30"/>
        <v>3010.375</v>
      </c>
      <c r="AN80" s="518">
        <f t="shared" si="31"/>
        <v>920.83333333333337</v>
      </c>
      <c r="AO80" s="518">
        <f t="shared" si="32"/>
        <v>1423.5416666666667</v>
      </c>
      <c r="AP80" s="518">
        <f t="shared" si="33"/>
        <v>1452.5480833333336</v>
      </c>
      <c r="AQ80" s="518">
        <f t="shared" si="34"/>
        <v>783.11666666666667</v>
      </c>
      <c r="AR80" s="518">
        <f t="shared" si="35"/>
        <v>2080.4166666666665</v>
      </c>
      <c r="AS80" s="518">
        <f t="shared" si="36"/>
        <v>688.7</v>
      </c>
      <c r="AT80" s="518">
        <f t="shared" si="37"/>
        <v>1607.9597499999998</v>
      </c>
      <c r="AU80" s="518">
        <f t="shared" si="38"/>
        <v>690.61666666666667</v>
      </c>
      <c r="AV80" s="518">
        <f t="shared" si="39"/>
        <v>1347.6258333333333</v>
      </c>
      <c r="AW80" s="518">
        <f t="shared" si="41"/>
        <v>1038.7249999999999</v>
      </c>
      <c r="AX80" s="518">
        <f t="shared" si="42"/>
        <v>1395.9028333333333</v>
      </c>
      <c r="AY80" s="518">
        <f t="shared" si="43"/>
        <v>1365.0055</v>
      </c>
      <c r="AZ80" s="518">
        <f t="shared" si="44"/>
        <v>1159.0916666666667</v>
      </c>
      <c r="BA80" s="518">
        <f t="shared" si="45"/>
        <v>2655.8122499999999</v>
      </c>
      <c r="BB80" s="518">
        <f t="shared" si="46"/>
        <v>468.33333333333331</v>
      </c>
      <c r="BC80" s="518">
        <f t="shared" si="47"/>
        <v>1748.4833333333333</v>
      </c>
      <c r="BD80" s="518">
        <f t="shared" si="48"/>
        <v>1459.5083333333334</v>
      </c>
      <c r="BE80" s="518">
        <f t="shared" si="49"/>
        <v>1540.15</v>
      </c>
      <c r="BF80" s="518">
        <f t="shared" si="50"/>
        <v>1080.8333333333333</v>
      </c>
      <c r="BG80" s="619">
        <f t="shared" si="51"/>
        <v>1650.4333333333334</v>
      </c>
      <c r="BH80" s="619">
        <f t="shared" si="52"/>
        <v>811.25</v>
      </c>
      <c r="BI80" s="619">
        <f t="shared" si="53"/>
        <v>2408.09375</v>
      </c>
      <c r="BJ80" s="619">
        <f t="shared" si="54"/>
        <v>0</v>
      </c>
      <c r="BK80" s="619">
        <f t="shared" si="55"/>
        <v>102.93333333333334</v>
      </c>
      <c r="BL80" s="619"/>
      <c r="BM80" s="619">
        <f t="shared" si="56"/>
        <v>1336.6676666666667</v>
      </c>
      <c r="BN80" s="619">
        <f t="shared" si="57"/>
        <v>477.23883333333339</v>
      </c>
      <c r="BO80" s="619">
        <f t="shared" si="58"/>
        <v>0</v>
      </c>
      <c r="BP80" s="619">
        <f t="shared" si="59"/>
        <v>97.898666666666671</v>
      </c>
      <c r="BQ80" s="518">
        <f t="shared" si="66"/>
        <v>80134.938833333305</v>
      </c>
    </row>
    <row r="81" spans="1:69" s="585" customFormat="1" ht="12.75" customHeight="1" outlineLevel="1">
      <c r="A81" s="308" t="s">
        <v>52</v>
      </c>
      <c r="B81" s="308">
        <f t="shared" si="20"/>
        <v>2021</v>
      </c>
      <c r="C81" s="308" t="s">
        <v>47</v>
      </c>
      <c r="D81" s="518"/>
      <c r="E81" s="518"/>
      <c r="F81" s="518"/>
      <c r="G81" s="518"/>
      <c r="H81" s="518"/>
      <c r="I81" s="518"/>
      <c r="J81" s="518">
        <f t="shared" si="60"/>
        <v>0</v>
      </c>
      <c r="K81" s="518">
        <f t="shared" si="63"/>
        <v>9616192.6599999983</v>
      </c>
      <c r="L81" s="518"/>
      <c r="M81" s="622">
        <f>18106.06+9398.09+69498.94</f>
        <v>97003.09</v>
      </c>
      <c r="N81" s="518">
        <f t="shared" si="64"/>
        <v>4891205.8899999997</v>
      </c>
      <c r="O81" s="518"/>
      <c r="P81" s="518">
        <f t="shared" si="61"/>
        <v>4724986.7699999986</v>
      </c>
      <c r="R81" s="518">
        <f t="shared" si="62"/>
        <v>0</v>
      </c>
      <c r="S81" s="518">
        <f t="shared" si="65"/>
        <v>415.79166666666669</v>
      </c>
      <c r="T81" s="518">
        <f t="shared" si="67"/>
        <v>878.85</v>
      </c>
      <c r="U81" s="518">
        <f t="shared" si="68"/>
        <v>4172.1833333333334</v>
      </c>
      <c r="V81" s="518">
        <f t="shared" si="69"/>
        <v>6601.6416666666664</v>
      </c>
      <c r="W81" s="518">
        <f t="shared" si="70"/>
        <v>5314.0657499999998</v>
      </c>
      <c r="X81" s="518">
        <f t="shared" si="71"/>
        <v>4037.2521666666667</v>
      </c>
      <c r="Y81" s="518">
        <f t="shared" si="72"/>
        <v>2285.2750000000001</v>
      </c>
      <c r="Z81" s="518">
        <f t="shared" si="73"/>
        <v>1091.7583333333334</v>
      </c>
      <c r="AA81" s="518">
        <f t="shared" si="74"/>
        <v>1269.9591666666668</v>
      </c>
      <c r="AB81" s="518">
        <f t="shared" si="75"/>
        <v>606.67849999999999</v>
      </c>
      <c r="AC81" s="518">
        <f t="shared" ref="AC81:AC135" si="76">$J$16/120</f>
        <v>476.46666666666664</v>
      </c>
      <c r="AD81" s="518">
        <f t="shared" si="21"/>
        <v>1657.7180833333332</v>
      </c>
      <c r="AE81" s="518">
        <f t="shared" si="22"/>
        <v>3516.1947500000001</v>
      </c>
      <c r="AF81" s="518">
        <f t="shared" si="23"/>
        <v>1564.4</v>
      </c>
      <c r="AG81" s="518">
        <f t="shared" si="24"/>
        <v>2587.7750000000001</v>
      </c>
      <c r="AH81" s="518">
        <f t="shared" si="25"/>
        <v>2302.7285000000002</v>
      </c>
      <c r="AI81" s="518">
        <f t="shared" si="26"/>
        <v>1957.7</v>
      </c>
      <c r="AJ81" s="518">
        <f t="shared" si="27"/>
        <v>1067.125</v>
      </c>
      <c r="AK81" s="518">
        <f t="shared" si="28"/>
        <v>1806.075</v>
      </c>
      <c r="AL81" s="518">
        <f t="shared" si="29"/>
        <v>1723.2054166666667</v>
      </c>
      <c r="AM81" s="518">
        <f t="shared" si="30"/>
        <v>3010.375</v>
      </c>
      <c r="AN81" s="518">
        <f t="shared" si="31"/>
        <v>920.83333333333337</v>
      </c>
      <c r="AO81" s="518">
        <f t="shared" si="32"/>
        <v>1423.5416666666667</v>
      </c>
      <c r="AP81" s="518">
        <f t="shared" si="33"/>
        <v>1452.5480833333336</v>
      </c>
      <c r="AQ81" s="518">
        <f t="shared" si="34"/>
        <v>783.11666666666667</v>
      </c>
      <c r="AR81" s="518">
        <f t="shared" si="35"/>
        <v>2080.4166666666665</v>
      </c>
      <c r="AS81" s="518">
        <f t="shared" si="36"/>
        <v>688.7</v>
      </c>
      <c r="AT81" s="518">
        <f t="shared" si="37"/>
        <v>1607.9597499999998</v>
      </c>
      <c r="AU81" s="518">
        <f t="shared" si="38"/>
        <v>690.61666666666667</v>
      </c>
      <c r="AV81" s="518">
        <f t="shared" si="39"/>
        <v>1347.6258333333333</v>
      </c>
      <c r="AW81" s="518">
        <f t="shared" si="41"/>
        <v>1038.7249999999999</v>
      </c>
      <c r="AX81" s="518">
        <f t="shared" si="42"/>
        <v>1395.9028333333333</v>
      </c>
      <c r="AY81" s="518">
        <f t="shared" si="43"/>
        <v>1365.0055</v>
      </c>
      <c r="AZ81" s="518">
        <f t="shared" si="44"/>
        <v>1159.0916666666667</v>
      </c>
      <c r="BA81" s="518">
        <f t="shared" si="45"/>
        <v>2655.8122499999999</v>
      </c>
      <c r="BB81" s="518">
        <f t="shared" si="46"/>
        <v>468.33333333333331</v>
      </c>
      <c r="BC81" s="518">
        <f t="shared" si="47"/>
        <v>1748.4833333333333</v>
      </c>
      <c r="BD81" s="518">
        <f t="shared" si="48"/>
        <v>1459.5083333333334</v>
      </c>
      <c r="BE81" s="518">
        <f t="shared" si="49"/>
        <v>1540.15</v>
      </c>
      <c r="BF81" s="518">
        <f t="shared" si="50"/>
        <v>1080.8333333333333</v>
      </c>
      <c r="BG81" s="619">
        <f t="shared" si="51"/>
        <v>1650.4333333333334</v>
      </c>
      <c r="BH81" s="619">
        <f t="shared" si="52"/>
        <v>811.25</v>
      </c>
      <c r="BI81" s="619">
        <f t="shared" si="53"/>
        <v>2408.09375</v>
      </c>
      <c r="BJ81" s="619">
        <f t="shared" si="54"/>
        <v>0</v>
      </c>
      <c r="BK81" s="619">
        <f t="shared" si="55"/>
        <v>102.93333333333334</v>
      </c>
      <c r="BL81" s="619"/>
      <c r="BM81" s="619">
        <f t="shared" si="56"/>
        <v>1336.6676666666667</v>
      </c>
      <c r="BN81" s="619">
        <f t="shared" si="57"/>
        <v>477.23883333333339</v>
      </c>
      <c r="BO81" s="619">
        <f t="shared" si="58"/>
        <v>0</v>
      </c>
      <c r="BP81" s="619">
        <f t="shared" si="59"/>
        <v>97.898666666666671</v>
      </c>
      <c r="BQ81" s="518">
        <f t="shared" si="66"/>
        <v>80134.938833333305</v>
      </c>
    </row>
    <row r="82" spans="1:69" s="585" customFormat="1" ht="12.75" customHeight="1" outlineLevel="1">
      <c r="A82" s="308" t="s">
        <v>53</v>
      </c>
      <c r="B82" s="308">
        <f t="shared" ref="B82:B145" si="77">+B70+1</f>
        <v>2022</v>
      </c>
      <c r="C82" s="308" t="s">
        <v>47</v>
      </c>
      <c r="D82" s="518"/>
      <c r="E82" s="518"/>
      <c r="F82" s="518"/>
      <c r="G82" s="518"/>
      <c r="H82" s="518"/>
      <c r="I82" s="518"/>
      <c r="J82" s="518">
        <f t="shared" si="60"/>
        <v>0</v>
      </c>
      <c r="K82" s="518">
        <f t="shared" si="63"/>
        <v>9616192.6599999983</v>
      </c>
      <c r="L82" s="518"/>
      <c r="M82" s="622">
        <f>22506.04+9398.09+26119.41</f>
        <v>58023.54</v>
      </c>
      <c r="N82" s="518">
        <f t="shared" si="64"/>
        <v>4949229.43</v>
      </c>
      <c r="O82" s="518"/>
      <c r="P82" s="518">
        <f t="shared" si="61"/>
        <v>4666963.2299999986</v>
      </c>
      <c r="R82" s="518">
        <f t="shared" si="62"/>
        <v>0</v>
      </c>
      <c r="S82" s="518">
        <f t="shared" si="65"/>
        <v>415.79166666666669</v>
      </c>
      <c r="T82" s="518">
        <f t="shared" si="67"/>
        <v>878.85</v>
      </c>
      <c r="U82" s="518">
        <f t="shared" si="68"/>
        <v>4172.1833333333334</v>
      </c>
      <c r="V82" s="518">
        <f t="shared" si="69"/>
        <v>6601.6416666666664</v>
      </c>
      <c r="W82" s="518">
        <f t="shared" si="70"/>
        <v>5314.0657499999998</v>
      </c>
      <c r="X82" s="518">
        <f t="shared" si="71"/>
        <v>4037.2521666666667</v>
      </c>
      <c r="Y82" s="518">
        <f t="shared" si="72"/>
        <v>2285.2750000000001</v>
      </c>
      <c r="Z82" s="518">
        <f t="shared" si="73"/>
        <v>1091.7583333333334</v>
      </c>
      <c r="AA82" s="518">
        <f t="shared" si="74"/>
        <v>1269.9591666666668</v>
      </c>
      <c r="AB82" s="518">
        <f t="shared" si="75"/>
        <v>606.67849999999999</v>
      </c>
      <c r="AC82" s="518">
        <f t="shared" si="76"/>
        <v>476.46666666666664</v>
      </c>
      <c r="AD82" s="518">
        <f t="shared" ref="AD82:AD136" si="78">$J$17/120</f>
        <v>1657.7180833333332</v>
      </c>
      <c r="AE82" s="518">
        <f t="shared" si="22"/>
        <v>3516.1947500000001</v>
      </c>
      <c r="AF82" s="518">
        <f t="shared" si="23"/>
        <v>1564.4</v>
      </c>
      <c r="AG82" s="518">
        <f t="shared" si="24"/>
        <v>2587.7750000000001</v>
      </c>
      <c r="AH82" s="518">
        <f t="shared" si="25"/>
        <v>2302.7285000000002</v>
      </c>
      <c r="AI82" s="518">
        <f t="shared" si="26"/>
        <v>1957.7</v>
      </c>
      <c r="AJ82" s="518">
        <f t="shared" si="27"/>
        <v>1067.125</v>
      </c>
      <c r="AK82" s="518">
        <f t="shared" si="28"/>
        <v>1806.075</v>
      </c>
      <c r="AL82" s="518">
        <f t="shared" si="29"/>
        <v>1723.2054166666667</v>
      </c>
      <c r="AM82" s="518">
        <f t="shared" si="30"/>
        <v>3010.375</v>
      </c>
      <c r="AN82" s="518">
        <f t="shared" si="31"/>
        <v>920.83333333333337</v>
      </c>
      <c r="AO82" s="518">
        <f t="shared" si="32"/>
        <v>1423.5416666666667</v>
      </c>
      <c r="AP82" s="518">
        <f t="shared" si="33"/>
        <v>1452.5480833333336</v>
      </c>
      <c r="AQ82" s="518">
        <f t="shared" si="34"/>
        <v>783.11666666666667</v>
      </c>
      <c r="AR82" s="518">
        <f t="shared" si="35"/>
        <v>2080.4166666666665</v>
      </c>
      <c r="AS82" s="518">
        <f t="shared" si="36"/>
        <v>688.7</v>
      </c>
      <c r="AT82" s="518">
        <f t="shared" si="37"/>
        <v>1607.9597499999998</v>
      </c>
      <c r="AU82" s="518">
        <f t="shared" si="38"/>
        <v>690.61666666666667</v>
      </c>
      <c r="AV82" s="518">
        <f t="shared" si="39"/>
        <v>1347.6258333333333</v>
      </c>
      <c r="AW82" s="518">
        <f t="shared" si="41"/>
        <v>1038.7249999999999</v>
      </c>
      <c r="AX82" s="518">
        <f t="shared" si="42"/>
        <v>1395.9028333333333</v>
      </c>
      <c r="AY82" s="518">
        <f t="shared" si="43"/>
        <v>1365.0055</v>
      </c>
      <c r="AZ82" s="518">
        <f t="shared" si="44"/>
        <v>1159.0916666666667</v>
      </c>
      <c r="BA82" s="518">
        <f t="shared" si="45"/>
        <v>2655.8122499999999</v>
      </c>
      <c r="BB82" s="518">
        <f t="shared" si="46"/>
        <v>468.33333333333331</v>
      </c>
      <c r="BC82" s="518">
        <f t="shared" si="47"/>
        <v>1748.4833333333333</v>
      </c>
      <c r="BD82" s="518">
        <f t="shared" si="48"/>
        <v>1459.5083333333334</v>
      </c>
      <c r="BE82" s="518">
        <f t="shared" si="49"/>
        <v>1540.15</v>
      </c>
      <c r="BF82" s="518">
        <f t="shared" si="50"/>
        <v>1080.8333333333333</v>
      </c>
      <c r="BG82" s="619">
        <f t="shared" si="51"/>
        <v>1650.4333333333334</v>
      </c>
      <c r="BH82" s="619">
        <f t="shared" si="52"/>
        <v>811.25</v>
      </c>
      <c r="BI82" s="619">
        <f t="shared" si="53"/>
        <v>2408.09375</v>
      </c>
      <c r="BJ82" s="619">
        <f t="shared" si="54"/>
        <v>0</v>
      </c>
      <c r="BK82" s="619">
        <f t="shared" si="55"/>
        <v>102.93333333333334</v>
      </c>
      <c r="BL82" s="619"/>
      <c r="BM82" s="619">
        <f t="shared" si="56"/>
        <v>1336.6676666666667</v>
      </c>
      <c r="BN82" s="619">
        <f t="shared" si="57"/>
        <v>477.23883333333339</v>
      </c>
      <c r="BO82" s="619">
        <f t="shared" si="58"/>
        <v>0</v>
      </c>
      <c r="BP82" s="619">
        <f t="shared" si="59"/>
        <v>97.898666666666671</v>
      </c>
      <c r="BQ82" s="518">
        <f t="shared" si="66"/>
        <v>80134.938833333305</v>
      </c>
    </row>
    <row r="83" spans="1:69" s="585" customFormat="1" ht="12.75" customHeight="1" outlineLevel="1">
      <c r="A83" s="308" t="s">
        <v>54</v>
      </c>
      <c r="B83" s="308">
        <f t="shared" si="77"/>
        <v>2022</v>
      </c>
      <c r="C83" s="308" t="s">
        <v>47</v>
      </c>
      <c r="D83" s="518"/>
      <c r="E83" s="518"/>
      <c r="F83" s="518"/>
      <c r="G83" s="518"/>
      <c r="H83" s="518"/>
      <c r="I83" s="518"/>
      <c r="J83" s="518">
        <f t="shared" si="60"/>
        <v>0</v>
      </c>
      <c r="K83" s="518">
        <f t="shared" si="63"/>
        <v>9616192.6599999983</v>
      </c>
      <c r="L83" s="518"/>
      <c r="M83" s="622">
        <f>19443.51+8056.1+78008.68</f>
        <v>105508.29</v>
      </c>
      <c r="N83" s="518">
        <f t="shared" si="64"/>
        <v>5054737.72</v>
      </c>
      <c r="O83" s="518"/>
      <c r="P83" s="518">
        <f t="shared" si="61"/>
        <v>4561454.9399999985</v>
      </c>
      <c r="R83" s="518">
        <f t="shared" si="62"/>
        <v>0</v>
      </c>
      <c r="S83" s="518">
        <f t="shared" si="65"/>
        <v>415.79166666666669</v>
      </c>
      <c r="T83" s="518">
        <f t="shared" si="67"/>
        <v>878.85</v>
      </c>
      <c r="U83" s="518">
        <f t="shared" si="68"/>
        <v>4172.1833333333334</v>
      </c>
      <c r="V83" s="518">
        <f t="shared" si="69"/>
        <v>6601.6416666666664</v>
      </c>
      <c r="W83" s="518">
        <f t="shared" si="70"/>
        <v>5314.0657499999998</v>
      </c>
      <c r="X83" s="518">
        <f t="shared" si="71"/>
        <v>4037.2521666666667</v>
      </c>
      <c r="Y83" s="518">
        <f t="shared" si="72"/>
        <v>2285.2750000000001</v>
      </c>
      <c r="Z83" s="518">
        <f t="shared" si="73"/>
        <v>1091.7583333333334</v>
      </c>
      <c r="AA83" s="518">
        <f t="shared" si="74"/>
        <v>1269.9591666666668</v>
      </c>
      <c r="AB83" s="518">
        <f t="shared" si="75"/>
        <v>606.67849999999999</v>
      </c>
      <c r="AC83" s="518">
        <f t="shared" si="76"/>
        <v>476.46666666666664</v>
      </c>
      <c r="AD83" s="518">
        <f t="shared" si="78"/>
        <v>1657.7180833333332</v>
      </c>
      <c r="AE83" s="518">
        <f t="shared" ref="AE83:AE137" si="79">$J$18/120</f>
        <v>3516.1947500000001</v>
      </c>
      <c r="AF83" s="518">
        <f t="shared" si="23"/>
        <v>1564.4</v>
      </c>
      <c r="AG83" s="518">
        <f t="shared" si="24"/>
        <v>2587.7750000000001</v>
      </c>
      <c r="AH83" s="518">
        <f t="shared" si="25"/>
        <v>2302.7285000000002</v>
      </c>
      <c r="AI83" s="518">
        <f t="shared" si="26"/>
        <v>1957.7</v>
      </c>
      <c r="AJ83" s="518">
        <f t="shared" si="27"/>
        <v>1067.125</v>
      </c>
      <c r="AK83" s="518">
        <f t="shared" si="28"/>
        <v>1806.075</v>
      </c>
      <c r="AL83" s="518">
        <f t="shared" si="29"/>
        <v>1723.2054166666667</v>
      </c>
      <c r="AM83" s="518">
        <f t="shared" si="30"/>
        <v>3010.375</v>
      </c>
      <c r="AN83" s="518">
        <f t="shared" si="31"/>
        <v>920.83333333333337</v>
      </c>
      <c r="AO83" s="518">
        <f t="shared" si="32"/>
        <v>1423.5416666666667</v>
      </c>
      <c r="AP83" s="518">
        <f t="shared" si="33"/>
        <v>1452.5480833333336</v>
      </c>
      <c r="AQ83" s="518">
        <f t="shared" si="34"/>
        <v>783.11666666666667</v>
      </c>
      <c r="AR83" s="518">
        <f t="shared" si="35"/>
        <v>2080.4166666666665</v>
      </c>
      <c r="AS83" s="518">
        <f t="shared" si="36"/>
        <v>688.7</v>
      </c>
      <c r="AT83" s="518">
        <f t="shared" si="37"/>
        <v>1607.9597499999998</v>
      </c>
      <c r="AU83" s="518">
        <f t="shared" si="38"/>
        <v>690.61666666666667</v>
      </c>
      <c r="AV83" s="518">
        <f t="shared" si="39"/>
        <v>1347.6258333333333</v>
      </c>
      <c r="AW83" s="518">
        <f t="shared" si="41"/>
        <v>1038.7249999999999</v>
      </c>
      <c r="AX83" s="518">
        <f t="shared" si="42"/>
        <v>1395.9028333333333</v>
      </c>
      <c r="AY83" s="518">
        <f t="shared" si="43"/>
        <v>1365.0055</v>
      </c>
      <c r="AZ83" s="518">
        <f t="shared" si="44"/>
        <v>1159.0916666666667</v>
      </c>
      <c r="BA83" s="518">
        <f t="shared" si="45"/>
        <v>2655.8122499999999</v>
      </c>
      <c r="BB83" s="518">
        <f t="shared" si="46"/>
        <v>468.33333333333331</v>
      </c>
      <c r="BC83" s="518">
        <f t="shared" si="47"/>
        <v>1748.4833333333333</v>
      </c>
      <c r="BD83" s="518">
        <f t="shared" si="48"/>
        <v>1459.5083333333334</v>
      </c>
      <c r="BE83" s="518">
        <f t="shared" si="49"/>
        <v>1540.15</v>
      </c>
      <c r="BF83" s="518">
        <f t="shared" si="50"/>
        <v>1080.8333333333333</v>
      </c>
      <c r="BG83" s="619">
        <f t="shared" si="51"/>
        <v>1650.4333333333334</v>
      </c>
      <c r="BH83" s="619">
        <f t="shared" si="52"/>
        <v>811.25</v>
      </c>
      <c r="BI83" s="619">
        <f t="shared" si="53"/>
        <v>2408.09375</v>
      </c>
      <c r="BJ83" s="619">
        <f t="shared" si="54"/>
        <v>0</v>
      </c>
      <c r="BK83" s="619">
        <f t="shared" si="55"/>
        <v>102.93333333333334</v>
      </c>
      <c r="BL83" s="619"/>
      <c r="BM83" s="619">
        <f t="shared" si="56"/>
        <v>1336.6676666666667</v>
      </c>
      <c r="BN83" s="619">
        <f t="shared" si="57"/>
        <v>477.23883333333339</v>
      </c>
      <c r="BO83" s="619">
        <f t="shared" si="58"/>
        <v>0</v>
      </c>
      <c r="BP83" s="619">
        <f t="shared" si="59"/>
        <v>97.898666666666671</v>
      </c>
      <c r="BQ83" s="518">
        <f t="shared" si="66"/>
        <v>80134.938833333305</v>
      </c>
    </row>
    <row r="84" spans="1:69" s="585" customFormat="1" ht="12.75" customHeight="1" outlineLevel="1">
      <c r="A84" s="308" t="s">
        <v>55</v>
      </c>
      <c r="B84" s="308">
        <f t="shared" si="77"/>
        <v>2022</v>
      </c>
      <c r="C84" s="308" t="s">
        <v>47</v>
      </c>
      <c r="D84" s="518"/>
      <c r="E84" s="518"/>
      <c r="F84" s="518"/>
      <c r="G84" s="518"/>
      <c r="H84" s="518"/>
      <c r="I84" s="518"/>
      <c r="J84" s="518">
        <f t="shared" si="60"/>
        <v>0</v>
      </c>
      <c r="K84" s="518">
        <f t="shared" si="63"/>
        <v>9616192.6599999983</v>
      </c>
      <c r="L84" s="518"/>
      <c r="M84" s="623">
        <f>24034.29+10740.08</f>
        <v>34774.370000000003</v>
      </c>
      <c r="N84" s="518">
        <f t="shared" si="64"/>
        <v>5089512.09</v>
      </c>
      <c r="O84" s="518"/>
      <c r="P84" s="518">
        <f t="shared" si="61"/>
        <v>4526680.5699999984</v>
      </c>
      <c r="R84" s="518">
        <f t="shared" si="62"/>
        <v>0</v>
      </c>
      <c r="S84" s="518">
        <f t="shared" si="65"/>
        <v>415.79166666666669</v>
      </c>
      <c r="T84" s="518">
        <f t="shared" si="67"/>
        <v>878.85</v>
      </c>
      <c r="U84" s="518">
        <f t="shared" si="68"/>
        <v>4172.1833333333334</v>
      </c>
      <c r="V84" s="518">
        <f t="shared" si="69"/>
        <v>6601.6416666666664</v>
      </c>
      <c r="W84" s="518">
        <f t="shared" si="70"/>
        <v>5314.0657499999998</v>
      </c>
      <c r="X84" s="518">
        <f t="shared" si="71"/>
        <v>4037.2521666666667</v>
      </c>
      <c r="Y84" s="518">
        <f t="shared" si="72"/>
        <v>2285.2750000000001</v>
      </c>
      <c r="Z84" s="518">
        <f t="shared" si="73"/>
        <v>1091.7583333333334</v>
      </c>
      <c r="AA84" s="518">
        <f t="shared" si="74"/>
        <v>1269.9591666666668</v>
      </c>
      <c r="AB84" s="518">
        <f t="shared" si="75"/>
        <v>606.67849999999999</v>
      </c>
      <c r="AC84" s="518">
        <f t="shared" si="76"/>
        <v>476.46666666666664</v>
      </c>
      <c r="AD84" s="518">
        <f t="shared" si="78"/>
        <v>1657.7180833333332</v>
      </c>
      <c r="AE84" s="518">
        <f t="shared" si="79"/>
        <v>3516.1947500000001</v>
      </c>
      <c r="AF84" s="518">
        <f t="shared" ref="AF84:AF138" si="80">$J$19/120</f>
        <v>1564.4</v>
      </c>
      <c r="AG84" s="518">
        <f t="shared" si="24"/>
        <v>2587.7750000000001</v>
      </c>
      <c r="AH84" s="518">
        <f t="shared" si="25"/>
        <v>2302.7285000000002</v>
      </c>
      <c r="AI84" s="518">
        <f t="shared" si="26"/>
        <v>1957.7</v>
      </c>
      <c r="AJ84" s="518">
        <f t="shared" si="27"/>
        <v>1067.125</v>
      </c>
      <c r="AK84" s="518">
        <f t="shared" si="28"/>
        <v>1806.075</v>
      </c>
      <c r="AL84" s="518">
        <f t="shared" si="29"/>
        <v>1723.2054166666667</v>
      </c>
      <c r="AM84" s="518">
        <f t="shared" si="30"/>
        <v>3010.375</v>
      </c>
      <c r="AN84" s="518">
        <f t="shared" si="31"/>
        <v>920.83333333333337</v>
      </c>
      <c r="AO84" s="518">
        <f t="shared" si="32"/>
        <v>1423.5416666666667</v>
      </c>
      <c r="AP84" s="518">
        <f t="shared" si="33"/>
        <v>1452.5480833333336</v>
      </c>
      <c r="AQ84" s="518">
        <f t="shared" si="34"/>
        <v>783.11666666666667</v>
      </c>
      <c r="AR84" s="518">
        <f t="shared" si="35"/>
        <v>2080.4166666666665</v>
      </c>
      <c r="AS84" s="518">
        <f t="shared" si="36"/>
        <v>688.7</v>
      </c>
      <c r="AT84" s="518">
        <f t="shared" si="37"/>
        <v>1607.9597499999998</v>
      </c>
      <c r="AU84" s="518">
        <f t="shared" si="38"/>
        <v>690.61666666666667</v>
      </c>
      <c r="AV84" s="518">
        <f t="shared" si="39"/>
        <v>1347.6258333333333</v>
      </c>
      <c r="AW84" s="518">
        <f t="shared" si="41"/>
        <v>1038.7249999999999</v>
      </c>
      <c r="AX84" s="518">
        <f t="shared" si="42"/>
        <v>1395.9028333333333</v>
      </c>
      <c r="AY84" s="518">
        <f t="shared" si="43"/>
        <v>1365.0055</v>
      </c>
      <c r="AZ84" s="518">
        <f t="shared" si="44"/>
        <v>1159.0916666666667</v>
      </c>
      <c r="BA84" s="518">
        <f t="shared" si="45"/>
        <v>2655.8122499999999</v>
      </c>
      <c r="BB84" s="518">
        <f t="shared" si="46"/>
        <v>468.33333333333331</v>
      </c>
      <c r="BC84" s="518">
        <f t="shared" si="47"/>
        <v>1748.4833333333333</v>
      </c>
      <c r="BD84" s="518">
        <f t="shared" si="48"/>
        <v>1459.5083333333334</v>
      </c>
      <c r="BE84" s="518">
        <f t="shared" si="49"/>
        <v>1540.15</v>
      </c>
      <c r="BF84" s="518">
        <f t="shared" si="50"/>
        <v>1080.8333333333333</v>
      </c>
      <c r="BG84" s="619">
        <f t="shared" si="51"/>
        <v>1650.4333333333334</v>
      </c>
      <c r="BH84" s="619">
        <f t="shared" si="52"/>
        <v>811.25</v>
      </c>
      <c r="BI84" s="619">
        <f t="shared" si="53"/>
        <v>2408.09375</v>
      </c>
      <c r="BJ84" s="619">
        <f t="shared" si="54"/>
        <v>0</v>
      </c>
      <c r="BK84" s="619">
        <f t="shared" si="55"/>
        <v>102.93333333333334</v>
      </c>
      <c r="BL84" s="619"/>
      <c r="BM84" s="619">
        <f t="shared" si="56"/>
        <v>1336.6676666666667</v>
      </c>
      <c r="BN84" s="619">
        <f t="shared" si="57"/>
        <v>477.23883333333339</v>
      </c>
      <c r="BO84" s="619">
        <f t="shared" si="58"/>
        <v>0</v>
      </c>
      <c r="BP84" s="619">
        <f t="shared" si="59"/>
        <v>97.898666666666671</v>
      </c>
      <c r="BQ84" s="518">
        <f t="shared" si="66"/>
        <v>80134.938833333305</v>
      </c>
    </row>
    <row r="85" spans="1:69" s="585" customFormat="1" ht="12.75" customHeight="1" outlineLevel="1">
      <c r="A85" s="308" t="s">
        <v>56</v>
      </c>
      <c r="B85" s="308">
        <f t="shared" si="77"/>
        <v>2022</v>
      </c>
      <c r="C85" s="308" t="s">
        <v>47</v>
      </c>
      <c r="D85" s="518"/>
      <c r="E85" s="518"/>
      <c r="F85" s="518"/>
      <c r="G85" s="518"/>
      <c r="H85" s="518"/>
      <c r="I85" s="518"/>
      <c r="J85" s="518">
        <f t="shared" si="60"/>
        <v>0</v>
      </c>
      <c r="K85" s="518">
        <f t="shared" si="63"/>
        <v>9616192.6599999983</v>
      </c>
      <c r="L85" s="518"/>
      <c r="M85" s="623">
        <f>42928.78+20341.97+8320.07+52142.7</f>
        <v>123733.52</v>
      </c>
      <c r="N85" s="518">
        <f t="shared" si="64"/>
        <v>5213245.6099999994</v>
      </c>
      <c r="O85" s="518"/>
      <c r="P85" s="518">
        <f t="shared" si="61"/>
        <v>4402947.0499999989</v>
      </c>
      <c r="R85" s="518">
        <f t="shared" si="62"/>
        <v>0</v>
      </c>
      <c r="S85" s="518">
        <f t="shared" si="65"/>
        <v>415.79166666666669</v>
      </c>
      <c r="T85" s="518">
        <f t="shared" si="67"/>
        <v>878.85</v>
      </c>
      <c r="U85" s="518">
        <f t="shared" si="68"/>
        <v>4172.1833333333334</v>
      </c>
      <c r="V85" s="518">
        <f t="shared" si="69"/>
        <v>6601.6416666666664</v>
      </c>
      <c r="W85" s="518">
        <f t="shared" si="70"/>
        <v>5314.0657499999998</v>
      </c>
      <c r="X85" s="518">
        <f t="shared" si="71"/>
        <v>4037.2521666666667</v>
      </c>
      <c r="Y85" s="518">
        <f t="shared" si="72"/>
        <v>2285.2750000000001</v>
      </c>
      <c r="Z85" s="518">
        <f t="shared" si="73"/>
        <v>1091.7583333333334</v>
      </c>
      <c r="AA85" s="518">
        <f t="shared" si="74"/>
        <v>1269.9591666666668</v>
      </c>
      <c r="AB85" s="518">
        <f t="shared" si="75"/>
        <v>606.67849999999999</v>
      </c>
      <c r="AC85" s="518">
        <f t="shared" si="76"/>
        <v>476.46666666666664</v>
      </c>
      <c r="AD85" s="518">
        <f t="shared" si="78"/>
        <v>1657.7180833333332</v>
      </c>
      <c r="AE85" s="518">
        <f t="shared" si="79"/>
        <v>3516.1947500000001</v>
      </c>
      <c r="AF85" s="518">
        <f t="shared" si="80"/>
        <v>1564.4</v>
      </c>
      <c r="AG85" s="518">
        <f t="shared" ref="AG85:AG139" si="81">$J$20/120</f>
        <v>2587.7750000000001</v>
      </c>
      <c r="AH85" s="518">
        <f t="shared" si="25"/>
        <v>2302.7285000000002</v>
      </c>
      <c r="AI85" s="518">
        <f t="shared" si="26"/>
        <v>1957.7</v>
      </c>
      <c r="AJ85" s="518">
        <f t="shared" si="27"/>
        <v>1067.125</v>
      </c>
      <c r="AK85" s="518">
        <f t="shared" si="28"/>
        <v>1806.075</v>
      </c>
      <c r="AL85" s="518">
        <f t="shared" si="29"/>
        <v>1723.2054166666667</v>
      </c>
      <c r="AM85" s="518">
        <f t="shared" si="30"/>
        <v>3010.375</v>
      </c>
      <c r="AN85" s="518">
        <f t="shared" si="31"/>
        <v>920.83333333333337</v>
      </c>
      <c r="AO85" s="518">
        <f t="shared" si="32"/>
        <v>1423.5416666666667</v>
      </c>
      <c r="AP85" s="518">
        <f t="shared" si="33"/>
        <v>1452.5480833333336</v>
      </c>
      <c r="AQ85" s="518">
        <f t="shared" si="34"/>
        <v>783.11666666666667</v>
      </c>
      <c r="AR85" s="518">
        <f t="shared" si="35"/>
        <v>2080.4166666666665</v>
      </c>
      <c r="AS85" s="518">
        <f t="shared" si="36"/>
        <v>688.7</v>
      </c>
      <c r="AT85" s="518">
        <f t="shared" si="37"/>
        <v>1607.9597499999998</v>
      </c>
      <c r="AU85" s="518">
        <f t="shared" si="38"/>
        <v>690.61666666666667</v>
      </c>
      <c r="AV85" s="518">
        <f t="shared" si="39"/>
        <v>1347.6258333333333</v>
      </c>
      <c r="AW85" s="518">
        <f t="shared" si="41"/>
        <v>1038.7249999999999</v>
      </c>
      <c r="AX85" s="518">
        <f t="shared" si="42"/>
        <v>1395.9028333333333</v>
      </c>
      <c r="AY85" s="518">
        <f t="shared" si="43"/>
        <v>1365.0055</v>
      </c>
      <c r="AZ85" s="518">
        <f t="shared" si="44"/>
        <v>1159.0916666666667</v>
      </c>
      <c r="BA85" s="518">
        <f t="shared" si="45"/>
        <v>2655.8122499999999</v>
      </c>
      <c r="BB85" s="518">
        <f t="shared" si="46"/>
        <v>468.33333333333331</v>
      </c>
      <c r="BC85" s="518">
        <f t="shared" si="47"/>
        <v>1748.4833333333333</v>
      </c>
      <c r="BD85" s="518">
        <f t="shared" si="48"/>
        <v>1459.5083333333334</v>
      </c>
      <c r="BE85" s="518">
        <f t="shared" si="49"/>
        <v>1540.15</v>
      </c>
      <c r="BF85" s="518">
        <f t="shared" si="50"/>
        <v>1080.8333333333333</v>
      </c>
      <c r="BG85" s="619">
        <f t="shared" si="51"/>
        <v>1650.4333333333334</v>
      </c>
      <c r="BH85" s="619">
        <f t="shared" si="52"/>
        <v>811.25</v>
      </c>
      <c r="BI85" s="619">
        <f t="shared" si="53"/>
        <v>2408.09375</v>
      </c>
      <c r="BJ85" s="619">
        <f t="shared" si="54"/>
        <v>0</v>
      </c>
      <c r="BK85" s="619">
        <f t="shared" si="55"/>
        <v>102.93333333333334</v>
      </c>
      <c r="BL85" s="619"/>
      <c r="BM85" s="619">
        <f t="shared" si="56"/>
        <v>1336.6676666666667</v>
      </c>
      <c r="BN85" s="619">
        <f t="shared" si="57"/>
        <v>477.23883333333339</v>
      </c>
      <c r="BO85" s="619">
        <f t="shared" si="58"/>
        <v>0</v>
      </c>
      <c r="BP85" s="619">
        <f t="shared" si="59"/>
        <v>97.898666666666671</v>
      </c>
      <c r="BQ85" s="518">
        <f t="shared" si="66"/>
        <v>80134.938833333305</v>
      </c>
    </row>
    <row r="86" spans="1:69" s="585" customFormat="1" ht="12.75" customHeight="1" outlineLevel="1">
      <c r="A86" s="308" t="s">
        <v>57</v>
      </c>
      <c r="B86" s="308">
        <f t="shared" si="77"/>
        <v>2022</v>
      </c>
      <c r="C86" s="308" t="s">
        <v>47</v>
      </c>
      <c r="D86" s="518"/>
      <c r="E86" s="518"/>
      <c r="F86" s="518"/>
      <c r="G86" s="518"/>
      <c r="H86" s="518"/>
      <c r="I86" s="518"/>
      <c r="J86" s="518">
        <f t="shared" si="60"/>
        <v>0</v>
      </c>
      <c r="K86" s="518">
        <f t="shared" si="63"/>
        <v>9616192.6599999983</v>
      </c>
      <c r="L86" s="518"/>
      <c r="M86" s="620">
        <v>61312.61</v>
      </c>
      <c r="N86" s="518">
        <f t="shared" si="64"/>
        <v>5274558.22</v>
      </c>
      <c r="O86" s="518"/>
      <c r="P86" s="518">
        <f t="shared" si="61"/>
        <v>4341634.4399999985</v>
      </c>
      <c r="R86" s="518">
        <f t="shared" si="62"/>
        <v>0</v>
      </c>
      <c r="S86" s="518">
        <f t="shared" si="65"/>
        <v>415.79166666666669</v>
      </c>
      <c r="T86" s="518">
        <f t="shared" si="67"/>
        <v>878.85</v>
      </c>
      <c r="U86" s="518">
        <f t="shared" si="68"/>
        <v>4172.1833333333334</v>
      </c>
      <c r="V86" s="518">
        <f t="shared" si="69"/>
        <v>6601.6416666666664</v>
      </c>
      <c r="W86" s="518">
        <f t="shared" si="70"/>
        <v>5314.0657499999998</v>
      </c>
      <c r="X86" s="518">
        <f t="shared" si="71"/>
        <v>4037.2521666666667</v>
      </c>
      <c r="Y86" s="518">
        <f t="shared" si="72"/>
        <v>2285.2750000000001</v>
      </c>
      <c r="Z86" s="518">
        <f t="shared" si="73"/>
        <v>1091.7583333333334</v>
      </c>
      <c r="AA86" s="518">
        <f t="shared" si="74"/>
        <v>1269.9591666666668</v>
      </c>
      <c r="AB86" s="518">
        <f t="shared" si="75"/>
        <v>606.67849999999999</v>
      </c>
      <c r="AC86" s="518">
        <f t="shared" si="76"/>
        <v>476.46666666666664</v>
      </c>
      <c r="AD86" s="518">
        <f t="shared" si="78"/>
        <v>1657.7180833333332</v>
      </c>
      <c r="AE86" s="518">
        <f t="shared" si="79"/>
        <v>3516.1947500000001</v>
      </c>
      <c r="AF86" s="518">
        <f t="shared" si="80"/>
        <v>1564.4</v>
      </c>
      <c r="AG86" s="518">
        <f t="shared" si="81"/>
        <v>2587.7750000000001</v>
      </c>
      <c r="AH86" s="518">
        <f t="shared" ref="AH86:AH140" si="82">$J$21/120</f>
        <v>2302.7285000000002</v>
      </c>
      <c r="AI86" s="518">
        <f t="shared" si="26"/>
        <v>1957.7</v>
      </c>
      <c r="AJ86" s="518">
        <f t="shared" si="27"/>
        <v>1067.125</v>
      </c>
      <c r="AK86" s="518">
        <f t="shared" si="28"/>
        <v>1806.075</v>
      </c>
      <c r="AL86" s="518">
        <f t="shared" si="29"/>
        <v>1723.2054166666667</v>
      </c>
      <c r="AM86" s="518">
        <f t="shared" si="30"/>
        <v>3010.375</v>
      </c>
      <c r="AN86" s="518">
        <f t="shared" si="31"/>
        <v>920.83333333333337</v>
      </c>
      <c r="AO86" s="518">
        <f t="shared" si="32"/>
        <v>1423.5416666666667</v>
      </c>
      <c r="AP86" s="518">
        <f t="shared" si="33"/>
        <v>1452.5480833333336</v>
      </c>
      <c r="AQ86" s="518">
        <f t="shared" si="34"/>
        <v>783.11666666666667</v>
      </c>
      <c r="AR86" s="518">
        <f t="shared" si="35"/>
        <v>2080.4166666666665</v>
      </c>
      <c r="AS86" s="518">
        <f t="shared" si="36"/>
        <v>688.7</v>
      </c>
      <c r="AT86" s="518">
        <f t="shared" si="37"/>
        <v>1607.9597499999998</v>
      </c>
      <c r="AU86" s="518">
        <f t="shared" si="38"/>
        <v>690.61666666666667</v>
      </c>
      <c r="AV86" s="518">
        <f t="shared" si="39"/>
        <v>1347.6258333333333</v>
      </c>
      <c r="AW86" s="518">
        <f t="shared" si="41"/>
        <v>1038.7249999999999</v>
      </c>
      <c r="AX86" s="518">
        <f t="shared" si="42"/>
        <v>1395.9028333333333</v>
      </c>
      <c r="AY86" s="518">
        <f t="shared" si="43"/>
        <v>1365.0055</v>
      </c>
      <c r="AZ86" s="518">
        <f t="shared" si="44"/>
        <v>1159.0916666666667</v>
      </c>
      <c r="BA86" s="518">
        <f t="shared" si="45"/>
        <v>2655.8122499999999</v>
      </c>
      <c r="BB86" s="518">
        <f t="shared" si="46"/>
        <v>468.33333333333331</v>
      </c>
      <c r="BC86" s="518">
        <f t="shared" si="47"/>
        <v>1748.4833333333333</v>
      </c>
      <c r="BD86" s="518">
        <f t="shared" si="48"/>
        <v>1459.5083333333334</v>
      </c>
      <c r="BE86" s="518">
        <f t="shared" si="49"/>
        <v>1540.15</v>
      </c>
      <c r="BF86" s="518">
        <f t="shared" si="50"/>
        <v>1080.8333333333333</v>
      </c>
      <c r="BG86" s="619">
        <f t="shared" si="51"/>
        <v>1650.4333333333334</v>
      </c>
      <c r="BH86" s="619">
        <f t="shared" si="52"/>
        <v>811.25</v>
      </c>
      <c r="BI86" s="619">
        <f t="shared" si="53"/>
        <v>2408.09375</v>
      </c>
      <c r="BJ86" s="619">
        <f t="shared" si="54"/>
        <v>0</v>
      </c>
      <c r="BK86" s="619">
        <f t="shared" si="55"/>
        <v>102.93333333333334</v>
      </c>
      <c r="BL86" s="619"/>
      <c r="BM86" s="619">
        <f t="shared" si="56"/>
        <v>1336.6676666666667</v>
      </c>
      <c r="BN86" s="619">
        <f t="shared" si="57"/>
        <v>477.23883333333339</v>
      </c>
      <c r="BO86" s="619">
        <f t="shared" si="58"/>
        <v>0</v>
      </c>
      <c r="BP86" s="619">
        <f t="shared" si="59"/>
        <v>97.898666666666671</v>
      </c>
      <c r="BQ86" s="518">
        <f t="shared" si="66"/>
        <v>80134.938833333305</v>
      </c>
    </row>
    <row r="87" spans="1:69" s="585" customFormat="1" ht="12.75" customHeight="1" outlineLevel="1">
      <c r="A87" s="308" t="s">
        <v>58</v>
      </c>
      <c r="B87" s="308">
        <f t="shared" si="77"/>
        <v>2022</v>
      </c>
      <c r="C87" s="308" t="s">
        <v>47</v>
      </c>
      <c r="D87" s="518"/>
      <c r="E87" s="518"/>
      <c r="F87" s="518"/>
      <c r="G87" s="518"/>
      <c r="H87" s="518"/>
      <c r="I87" s="518"/>
      <c r="J87" s="518">
        <f t="shared" si="60"/>
        <v>0</v>
      </c>
      <c r="K87" s="518">
        <f t="shared" si="63"/>
        <v>9616192.6599999983</v>
      </c>
      <c r="L87" s="518"/>
      <c r="M87" s="620">
        <v>83009.69</v>
      </c>
      <c r="N87" s="518">
        <f t="shared" si="64"/>
        <v>5357567.91</v>
      </c>
      <c r="O87" s="518"/>
      <c r="P87" s="518">
        <f t="shared" si="61"/>
        <v>4258624.7499999981</v>
      </c>
      <c r="R87" s="518">
        <f t="shared" si="62"/>
        <v>0</v>
      </c>
      <c r="S87" s="518">
        <f t="shared" si="65"/>
        <v>415.79166666666669</v>
      </c>
      <c r="T87" s="518">
        <f t="shared" si="67"/>
        <v>878.85</v>
      </c>
      <c r="U87" s="518">
        <f t="shared" si="68"/>
        <v>4172.1833333333334</v>
      </c>
      <c r="V87" s="518">
        <f t="shared" si="69"/>
        <v>6601.6416666666664</v>
      </c>
      <c r="W87" s="518">
        <f t="shared" si="70"/>
        <v>5314.0657499999998</v>
      </c>
      <c r="X87" s="518">
        <f t="shared" si="71"/>
        <v>4037.2521666666667</v>
      </c>
      <c r="Y87" s="518">
        <f t="shared" si="72"/>
        <v>2285.2750000000001</v>
      </c>
      <c r="Z87" s="518">
        <f t="shared" si="73"/>
        <v>1091.7583333333334</v>
      </c>
      <c r="AA87" s="518">
        <f t="shared" si="74"/>
        <v>1269.9591666666668</v>
      </c>
      <c r="AB87" s="518">
        <f t="shared" si="75"/>
        <v>606.67849999999999</v>
      </c>
      <c r="AC87" s="518">
        <f t="shared" si="76"/>
        <v>476.46666666666664</v>
      </c>
      <c r="AD87" s="518">
        <f t="shared" si="78"/>
        <v>1657.7180833333332</v>
      </c>
      <c r="AE87" s="518">
        <f t="shared" si="79"/>
        <v>3516.1947500000001</v>
      </c>
      <c r="AF87" s="518">
        <f t="shared" si="80"/>
        <v>1564.4</v>
      </c>
      <c r="AG87" s="518">
        <f t="shared" si="81"/>
        <v>2587.7750000000001</v>
      </c>
      <c r="AH87" s="518">
        <f t="shared" si="82"/>
        <v>2302.7285000000002</v>
      </c>
      <c r="AI87" s="518">
        <f t="shared" ref="AI87:AI141" si="83">$J$22/120</f>
        <v>1957.7</v>
      </c>
      <c r="AJ87" s="518">
        <f t="shared" si="27"/>
        <v>1067.125</v>
      </c>
      <c r="AK87" s="518">
        <f t="shared" si="28"/>
        <v>1806.075</v>
      </c>
      <c r="AL87" s="518">
        <f t="shared" si="29"/>
        <v>1723.2054166666667</v>
      </c>
      <c r="AM87" s="518">
        <f t="shared" si="30"/>
        <v>3010.375</v>
      </c>
      <c r="AN87" s="518">
        <f t="shared" si="31"/>
        <v>920.83333333333337</v>
      </c>
      <c r="AO87" s="518">
        <f t="shared" si="32"/>
        <v>1423.5416666666667</v>
      </c>
      <c r="AP87" s="518">
        <f t="shared" si="33"/>
        <v>1452.5480833333336</v>
      </c>
      <c r="AQ87" s="518">
        <f t="shared" si="34"/>
        <v>783.11666666666667</v>
      </c>
      <c r="AR87" s="518">
        <f t="shared" si="35"/>
        <v>2080.4166666666665</v>
      </c>
      <c r="AS87" s="518">
        <f t="shared" si="36"/>
        <v>688.7</v>
      </c>
      <c r="AT87" s="518">
        <f t="shared" si="37"/>
        <v>1607.9597499999998</v>
      </c>
      <c r="AU87" s="518">
        <f t="shared" si="38"/>
        <v>690.61666666666667</v>
      </c>
      <c r="AV87" s="518">
        <f t="shared" si="39"/>
        <v>1347.6258333333333</v>
      </c>
      <c r="AW87" s="518">
        <f t="shared" si="41"/>
        <v>1038.7249999999999</v>
      </c>
      <c r="AX87" s="518">
        <f t="shared" si="42"/>
        <v>1395.9028333333333</v>
      </c>
      <c r="AY87" s="518">
        <f t="shared" si="43"/>
        <v>1365.0055</v>
      </c>
      <c r="AZ87" s="518">
        <f t="shared" si="44"/>
        <v>1159.0916666666667</v>
      </c>
      <c r="BA87" s="518">
        <f t="shared" si="45"/>
        <v>2655.8122499999999</v>
      </c>
      <c r="BB87" s="518">
        <f t="shared" si="46"/>
        <v>468.33333333333331</v>
      </c>
      <c r="BC87" s="518">
        <f t="shared" si="47"/>
        <v>1748.4833333333333</v>
      </c>
      <c r="BD87" s="518">
        <f t="shared" si="48"/>
        <v>1459.5083333333334</v>
      </c>
      <c r="BE87" s="518">
        <f t="shared" si="49"/>
        <v>1540.15</v>
      </c>
      <c r="BF87" s="518">
        <f t="shared" si="50"/>
        <v>1080.8333333333333</v>
      </c>
      <c r="BG87" s="619">
        <f t="shared" si="51"/>
        <v>1650.4333333333334</v>
      </c>
      <c r="BH87" s="619">
        <f t="shared" si="52"/>
        <v>811.25</v>
      </c>
      <c r="BI87" s="619">
        <f t="shared" si="53"/>
        <v>2408.09375</v>
      </c>
      <c r="BJ87" s="619">
        <f t="shared" si="54"/>
        <v>0</v>
      </c>
      <c r="BK87" s="619">
        <f t="shared" si="55"/>
        <v>102.93333333333334</v>
      </c>
      <c r="BL87" s="619"/>
      <c r="BM87" s="619">
        <f t="shared" si="56"/>
        <v>1336.6676666666667</v>
      </c>
      <c r="BN87" s="619">
        <f t="shared" si="57"/>
        <v>477.23883333333339</v>
      </c>
      <c r="BO87" s="619">
        <f t="shared" si="58"/>
        <v>0</v>
      </c>
      <c r="BP87" s="619">
        <f t="shared" si="59"/>
        <v>97.898666666666671</v>
      </c>
      <c r="BQ87" s="518">
        <f t="shared" si="66"/>
        <v>80134.938833333305</v>
      </c>
    </row>
    <row r="88" spans="1:69" s="585" customFormat="1" ht="12.75" customHeight="1" outlineLevel="1">
      <c r="A88" s="308" t="s">
        <v>59</v>
      </c>
      <c r="B88" s="308">
        <f t="shared" si="77"/>
        <v>2022</v>
      </c>
      <c r="C88" s="308" t="s">
        <v>47</v>
      </c>
      <c r="D88" s="518"/>
      <c r="E88" s="518"/>
      <c r="F88" s="518"/>
      <c r="G88" s="518"/>
      <c r="H88" s="518"/>
      <c r="I88" s="518"/>
      <c r="J88" s="518">
        <f t="shared" si="60"/>
        <v>0</v>
      </c>
      <c r="K88" s="518">
        <f t="shared" si="63"/>
        <v>9616192.6599999983</v>
      </c>
      <c r="L88" s="518"/>
      <c r="M88" s="623">
        <v>73924.260000000009</v>
      </c>
      <c r="N88" s="518">
        <f t="shared" si="64"/>
        <v>5431492.1699999999</v>
      </c>
      <c r="O88" s="518"/>
      <c r="P88" s="518">
        <f t="shared" si="61"/>
        <v>4184700.4899999984</v>
      </c>
      <c r="R88" s="518">
        <f t="shared" si="62"/>
        <v>0</v>
      </c>
      <c r="S88" s="518">
        <f t="shared" si="65"/>
        <v>415.79166666666669</v>
      </c>
      <c r="T88" s="518">
        <f t="shared" si="67"/>
        <v>878.85</v>
      </c>
      <c r="U88" s="518">
        <f t="shared" si="68"/>
        <v>4172.1833333333334</v>
      </c>
      <c r="V88" s="518">
        <f t="shared" si="69"/>
        <v>6601.6416666666664</v>
      </c>
      <c r="W88" s="518">
        <f t="shared" si="70"/>
        <v>5314.0657499999998</v>
      </c>
      <c r="X88" s="518">
        <f t="shared" si="71"/>
        <v>4037.2521666666667</v>
      </c>
      <c r="Y88" s="518">
        <f t="shared" si="72"/>
        <v>2285.2750000000001</v>
      </c>
      <c r="Z88" s="518">
        <f t="shared" si="73"/>
        <v>1091.7583333333334</v>
      </c>
      <c r="AA88" s="518">
        <f t="shared" si="74"/>
        <v>1269.9591666666668</v>
      </c>
      <c r="AB88" s="518">
        <f t="shared" si="75"/>
        <v>606.67849999999999</v>
      </c>
      <c r="AC88" s="518">
        <f t="shared" si="76"/>
        <v>476.46666666666664</v>
      </c>
      <c r="AD88" s="518">
        <f t="shared" si="78"/>
        <v>1657.7180833333332</v>
      </c>
      <c r="AE88" s="518">
        <f t="shared" si="79"/>
        <v>3516.1947500000001</v>
      </c>
      <c r="AF88" s="518">
        <f t="shared" si="80"/>
        <v>1564.4</v>
      </c>
      <c r="AG88" s="518">
        <f t="shared" si="81"/>
        <v>2587.7750000000001</v>
      </c>
      <c r="AH88" s="518">
        <f t="shared" si="82"/>
        <v>2302.7285000000002</v>
      </c>
      <c r="AI88" s="518">
        <f t="shared" si="83"/>
        <v>1957.7</v>
      </c>
      <c r="AJ88" s="518">
        <f t="shared" ref="AJ88:AJ142" si="84">$J$23/120</f>
        <v>1067.125</v>
      </c>
      <c r="AK88" s="518">
        <f t="shared" si="28"/>
        <v>1806.075</v>
      </c>
      <c r="AL88" s="518">
        <f t="shared" si="29"/>
        <v>1723.2054166666667</v>
      </c>
      <c r="AM88" s="518">
        <f t="shared" si="30"/>
        <v>3010.375</v>
      </c>
      <c r="AN88" s="518">
        <f t="shared" si="31"/>
        <v>920.83333333333337</v>
      </c>
      <c r="AO88" s="518">
        <f t="shared" si="32"/>
        <v>1423.5416666666667</v>
      </c>
      <c r="AP88" s="518">
        <f t="shared" si="33"/>
        <v>1452.5480833333336</v>
      </c>
      <c r="AQ88" s="518">
        <f t="shared" si="34"/>
        <v>783.11666666666667</v>
      </c>
      <c r="AR88" s="518">
        <f t="shared" si="35"/>
        <v>2080.4166666666665</v>
      </c>
      <c r="AS88" s="518">
        <f t="shared" si="36"/>
        <v>688.7</v>
      </c>
      <c r="AT88" s="518">
        <f t="shared" si="37"/>
        <v>1607.9597499999998</v>
      </c>
      <c r="AU88" s="518">
        <f t="shared" si="38"/>
        <v>690.61666666666667</v>
      </c>
      <c r="AV88" s="518">
        <f t="shared" si="39"/>
        <v>1347.6258333333333</v>
      </c>
      <c r="AW88" s="518">
        <f t="shared" si="41"/>
        <v>1038.7249999999999</v>
      </c>
      <c r="AX88" s="518">
        <f t="shared" si="42"/>
        <v>1395.9028333333333</v>
      </c>
      <c r="AY88" s="518">
        <f t="shared" si="43"/>
        <v>1365.0055</v>
      </c>
      <c r="AZ88" s="518">
        <f t="shared" si="44"/>
        <v>1159.0916666666667</v>
      </c>
      <c r="BA88" s="518">
        <f t="shared" si="45"/>
        <v>2655.8122499999999</v>
      </c>
      <c r="BB88" s="518">
        <f t="shared" si="46"/>
        <v>468.33333333333331</v>
      </c>
      <c r="BC88" s="518">
        <f t="shared" si="47"/>
        <v>1748.4833333333333</v>
      </c>
      <c r="BD88" s="518">
        <f t="shared" si="48"/>
        <v>1459.5083333333334</v>
      </c>
      <c r="BE88" s="518">
        <f t="shared" si="49"/>
        <v>1540.15</v>
      </c>
      <c r="BF88" s="518">
        <f t="shared" si="50"/>
        <v>1080.8333333333333</v>
      </c>
      <c r="BG88" s="619">
        <f t="shared" si="51"/>
        <v>1650.4333333333334</v>
      </c>
      <c r="BH88" s="619">
        <f t="shared" si="52"/>
        <v>811.25</v>
      </c>
      <c r="BI88" s="619">
        <f t="shared" si="53"/>
        <v>2408.09375</v>
      </c>
      <c r="BJ88" s="619">
        <f t="shared" si="54"/>
        <v>0</v>
      </c>
      <c r="BK88" s="619">
        <f t="shared" si="55"/>
        <v>102.93333333333334</v>
      </c>
      <c r="BL88" s="619"/>
      <c r="BM88" s="619">
        <f t="shared" si="56"/>
        <v>1336.6676666666667</v>
      </c>
      <c r="BN88" s="619">
        <f t="shared" si="57"/>
        <v>477.23883333333339</v>
      </c>
      <c r="BO88" s="619">
        <f t="shared" si="58"/>
        <v>0</v>
      </c>
      <c r="BP88" s="619">
        <f t="shared" si="59"/>
        <v>97.898666666666671</v>
      </c>
      <c r="BQ88" s="518">
        <f t="shared" si="66"/>
        <v>80134.938833333305</v>
      </c>
    </row>
    <row r="89" spans="1:69" s="585" customFormat="1" ht="12.75" customHeight="1" outlineLevel="1">
      <c r="A89" s="308" t="s">
        <v>46</v>
      </c>
      <c r="B89" s="308">
        <f t="shared" si="77"/>
        <v>2022</v>
      </c>
      <c r="C89" s="308" t="s">
        <v>47</v>
      </c>
      <c r="D89" s="518"/>
      <c r="E89" s="518"/>
      <c r="F89" s="518"/>
      <c r="G89" s="518"/>
      <c r="H89" s="518"/>
      <c r="I89" s="518"/>
      <c r="J89" s="518">
        <f t="shared" si="60"/>
        <v>0</v>
      </c>
      <c r="K89" s="518">
        <f t="shared" si="63"/>
        <v>9616192.6599999983</v>
      </c>
      <c r="L89" s="518"/>
      <c r="M89" s="623">
        <v>72035.31</v>
      </c>
      <c r="N89" s="518">
        <f t="shared" si="64"/>
        <v>5503527.4799999995</v>
      </c>
      <c r="O89" s="518"/>
      <c r="P89" s="518">
        <f t="shared" si="61"/>
        <v>4112665.1799999988</v>
      </c>
      <c r="R89" s="518">
        <f t="shared" si="62"/>
        <v>0</v>
      </c>
      <c r="S89" s="518">
        <f t="shared" si="65"/>
        <v>415.79166666666669</v>
      </c>
      <c r="T89" s="518">
        <f t="shared" si="67"/>
        <v>878.85</v>
      </c>
      <c r="U89" s="518">
        <f t="shared" si="68"/>
        <v>4172.1833333333334</v>
      </c>
      <c r="V89" s="518">
        <f t="shared" si="69"/>
        <v>6601.6416666666664</v>
      </c>
      <c r="W89" s="518">
        <f t="shared" si="70"/>
        <v>5314.0657499999998</v>
      </c>
      <c r="X89" s="518">
        <f t="shared" si="71"/>
        <v>4037.2521666666667</v>
      </c>
      <c r="Y89" s="518">
        <f t="shared" si="72"/>
        <v>2285.2750000000001</v>
      </c>
      <c r="Z89" s="518">
        <f t="shared" si="73"/>
        <v>1091.7583333333334</v>
      </c>
      <c r="AA89" s="518">
        <f t="shared" si="74"/>
        <v>1269.9591666666668</v>
      </c>
      <c r="AB89" s="518">
        <f t="shared" si="75"/>
        <v>606.67849999999999</v>
      </c>
      <c r="AC89" s="518">
        <f t="shared" si="76"/>
        <v>476.46666666666664</v>
      </c>
      <c r="AD89" s="518">
        <f t="shared" si="78"/>
        <v>1657.7180833333332</v>
      </c>
      <c r="AE89" s="518">
        <f t="shared" si="79"/>
        <v>3516.1947500000001</v>
      </c>
      <c r="AF89" s="518">
        <f t="shared" si="80"/>
        <v>1564.4</v>
      </c>
      <c r="AG89" s="518">
        <f t="shared" si="81"/>
        <v>2587.7750000000001</v>
      </c>
      <c r="AH89" s="518">
        <f t="shared" si="82"/>
        <v>2302.7285000000002</v>
      </c>
      <c r="AI89" s="518">
        <f t="shared" si="83"/>
        <v>1957.7</v>
      </c>
      <c r="AJ89" s="518">
        <f t="shared" si="84"/>
        <v>1067.125</v>
      </c>
      <c r="AK89" s="518">
        <f t="shared" ref="AK89:AK143" si="85">$J$24/120</f>
        <v>1806.075</v>
      </c>
      <c r="AL89" s="518">
        <f t="shared" si="29"/>
        <v>1723.2054166666667</v>
      </c>
      <c r="AM89" s="518">
        <f t="shared" si="30"/>
        <v>3010.375</v>
      </c>
      <c r="AN89" s="518">
        <f t="shared" si="31"/>
        <v>920.83333333333337</v>
      </c>
      <c r="AO89" s="518">
        <f t="shared" si="32"/>
        <v>1423.5416666666667</v>
      </c>
      <c r="AP89" s="518">
        <f t="shared" si="33"/>
        <v>1452.5480833333336</v>
      </c>
      <c r="AQ89" s="518">
        <f t="shared" si="34"/>
        <v>783.11666666666667</v>
      </c>
      <c r="AR89" s="518">
        <f t="shared" si="35"/>
        <v>2080.4166666666665</v>
      </c>
      <c r="AS89" s="518">
        <f t="shared" si="36"/>
        <v>688.7</v>
      </c>
      <c r="AT89" s="518">
        <f t="shared" si="37"/>
        <v>1607.9597499999998</v>
      </c>
      <c r="AU89" s="518">
        <f t="shared" si="38"/>
        <v>690.61666666666667</v>
      </c>
      <c r="AV89" s="518">
        <f t="shared" si="39"/>
        <v>1347.6258333333333</v>
      </c>
      <c r="AW89" s="518">
        <f t="shared" si="41"/>
        <v>1038.7249999999999</v>
      </c>
      <c r="AX89" s="518">
        <f t="shared" si="42"/>
        <v>1395.9028333333333</v>
      </c>
      <c r="AY89" s="518">
        <f t="shared" si="43"/>
        <v>1365.0055</v>
      </c>
      <c r="AZ89" s="518">
        <f t="shared" si="44"/>
        <v>1159.0916666666667</v>
      </c>
      <c r="BA89" s="518">
        <f t="shared" si="45"/>
        <v>2655.8122499999999</v>
      </c>
      <c r="BB89" s="518">
        <f t="shared" si="46"/>
        <v>468.33333333333331</v>
      </c>
      <c r="BC89" s="518">
        <f t="shared" si="47"/>
        <v>1748.4833333333333</v>
      </c>
      <c r="BD89" s="518">
        <f t="shared" si="48"/>
        <v>1459.5083333333334</v>
      </c>
      <c r="BE89" s="518">
        <f t="shared" si="49"/>
        <v>1540.15</v>
      </c>
      <c r="BF89" s="518">
        <f t="shared" si="50"/>
        <v>1080.8333333333333</v>
      </c>
      <c r="BG89" s="619">
        <f t="shared" si="51"/>
        <v>1650.4333333333334</v>
      </c>
      <c r="BH89" s="619">
        <f t="shared" si="52"/>
        <v>811.25</v>
      </c>
      <c r="BI89" s="619">
        <f t="shared" si="53"/>
        <v>2408.09375</v>
      </c>
      <c r="BJ89" s="619">
        <f t="shared" si="54"/>
        <v>0</v>
      </c>
      <c r="BK89" s="619">
        <f t="shared" si="55"/>
        <v>102.93333333333334</v>
      </c>
      <c r="BL89" s="619"/>
      <c r="BM89" s="619">
        <f t="shared" si="56"/>
        <v>1336.6676666666667</v>
      </c>
      <c r="BN89" s="619">
        <f t="shared" si="57"/>
        <v>477.23883333333339</v>
      </c>
      <c r="BO89" s="619">
        <f t="shared" si="58"/>
        <v>0</v>
      </c>
      <c r="BP89" s="619">
        <f t="shared" si="59"/>
        <v>97.898666666666671</v>
      </c>
      <c r="BQ89" s="518">
        <f t="shared" si="66"/>
        <v>80134.938833333305</v>
      </c>
    </row>
    <row r="90" spans="1:69" s="585" customFormat="1" ht="12.75" customHeight="1" outlineLevel="1">
      <c r="A90" s="308" t="s">
        <v>48</v>
      </c>
      <c r="B90" s="308">
        <f t="shared" si="77"/>
        <v>2022</v>
      </c>
      <c r="C90" s="308" t="s">
        <v>47</v>
      </c>
      <c r="D90" s="518"/>
      <c r="E90" s="518"/>
      <c r="F90" s="518"/>
      <c r="G90" s="518"/>
      <c r="H90" s="518"/>
      <c r="I90" s="518"/>
      <c r="J90" s="518">
        <f t="shared" si="60"/>
        <v>0</v>
      </c>
      <c r="K90" s="518">
        <f t="shared" si="63"/>
        <v>9616192.6599999983</v>
      </c>
      <c r="L90" s="518"/>
      <c r="M90" s="620">
        <v>81700.329999999987</v>
      </c>
      <c r="N90" s="518">
        <f t="shared" si="64"/>
        <v>5585227.8099999996</v>
      </c>
      <c r="O90" s="518"/>
      <c r="P90" s="518">
        <f t="shared" si="61"/>
        <v>4030964.8499999987</v>
      </c>
      <c r="R90" s="518">
        <f t="shared" si="62"/>
        <v>0</v>
      </c>
      <c r="S90" s="518">
        <f t="shared" si="65"/>
        <v>415.79166666666669</v>
      </c>
      <c r="T90" s="518">
        <f t="shared" si="67"/>
        <v>878.85</v>
      </c>
      <c r="U90" s="518">
        <f t="shared" si="68"/>
        <v>4172.1833333333334</v>
      </c>
      <c r="V90" s="518">
        <f t="shared" si="69"/>
        <v>6601.6416666666664</v>
      </c>
      <c r="W90" s="518">
        <f t="shared" si="70"/>
        <v>5314.0657499999998</v>
      </c>
      <c r="X90" s="518">
        <f t="shared" si="71"/>
        <v>4037.2521666666667</v>
      </c>
      <c r="Y90" s="518">
        <f t="shared" si="72"/>
        <v>2285.2750000000001</v>
      </c>
      <c r="Z90" s="518">
        <f t="shared" si="73"/>
        <v>1091.7583333333334</v>
      </c>
      <c r="AA90" s="518">
        <f t="shared" si="74"/>
        <v>1269.9591666666668</v>
      </c>
      <c r="AB90" s="518">
        <f t="shared" si="75"/>
        <v>606.67849999999999</v>
      </c>
      <c r="AC90" s="518">
        <f t="shared" si="76"/>
        <v>476.46666666666664</v>
      </c>
      <c r="AD90" s="518">
        <f t="shared" si="78"/>
        <v>1657.7180833333332</v>
      </c>
      <c r="AE90" s="518">
        <f t="shared" si="79"/>
        <v>3516.1947500000001</v>
      </c>
      <c r="AF90" s="518">
        <f t="shared" si="80"/>
        <v>1564.4</v>
      </c>
      <c r="AG90" s="518">
        <f t="shared" si="81"/>
        <v>2587.7750000000001</v>
      </c>
      <c r="AH90" s="518">
        <f t="shared" si="82"/>
        <v>2302.7285000000002</v>
      </c>
      <c r="AI90" s="518">
        <f t="shared" si="83"/>
        <v>1957.7</v>
      </c>
      <c r="AJ90" s="518">
        <f t="shared" si="84"/>
        <v>1067.125</v>
      </c>
      <c r="AK90" s="518">
        <f t="shared" si="85"/>
        <v>1806.075</v>
      </c>
      <c r="AL90" s="518">
        <f t="shared" ref="AL90:AL144" si="86">$J$25/120</f>
        <v>1723.2054166666667</v>
      </c>
      <c r="AM90" s="518">
        <f t="shared" si="30"/>
        <v>3010.375</v>
      </c>
      <c r="AN90" s="518">
        <f t="shared" si="31"/>
        <v>920.83333333333337</v>
      </c>
      <c r="AO90" s="518">
        <f t="shared" si="32"/>
        <v>1423.5416666666667</v>
      </c>
      <c r="AP90" s="518">
        <f t="shared" si="33"/>
        <v>1452.5480833333336</v>
      </c>
      <c r="AQ90" s="518">
        <f t="shared" si="34"/>
        <v>783.11666666666667</v>
      </c>
      <c r="AR90" s="518">
        <f t="shared" si="35"/>
        <v>2080.4166666666665</v>
      </c>
      <c r="AS90" s="518">
        <f t="shared" si="36"/>
        <v>688.7</v>
      </c>
      <c r="AT90" s="518">
        <f t="shared" si="37"/>
        <v>1607.9597499999998</v>
      </c>
      <c r="AU90" s="518">
        <f t="shared" si="38"/>
        <v>690.61666666666667</v>
      </c>
      <c r="AV90" s="518">
        <f t="shared" si="39"/>
        <v>1347.6258333333333</v>
      </c>
      <c r="AW90" s="518">
        <f t="shared" si="41"/>
        <v>1038.7249999999999</v>
      </c>
      <c r="AX90" s="518">
        <f t="shared" si="42"/>
        <v>1395.9028333333333</v>
      </c>
      <c r="AY90" s="518">
        <f t="shared" si="43"/>
        <v>1365.0055</v>
      </c>
      <c r="AZ90" s="518">
        <f t="shared" si="44"/>
        <v>1159.0916666666667</v>
      </c>
      <c r="BA90" s="518">
        <f t="shared" si="45"/>
        <v>2655.8122499999999</v>
      </c>
      <c r="BB90" s="518">
        <f t="shared" si="46"/>
        <v>468.33333333333331</v>
      </c>
      <c r="BC90" s="518">
        <f t="shared" si="47"/>
        <v>1748.4833333333333</v>
      </c>
      <c r="BD90" s="518">
        <f t="shared" si="48"/>
        <v>1459.5083333333334</v>
      </c>
      <c r="BE90" s="518">
        <f t="shared" si="49"/>
        <v>1540.15</v>
      </c>
      <c r="BF90" s="518">
        <f t="shared" si="50"/>
        <v>1080.8333333333333</v>
      </c>
      <c r="BG90" s="619">
        <f t="shared" si="51"/>
        <v>1650.4333333333334</v>
      </c>
      <c r="BH90" s="619">
        <f t="shared" si="52"/>
        <v>811.25</v>
      </c>
      <c r="BI90" s="619">
        <f t="shared" si="53"/>
        <v>2408.09375</v>
      </c>
      <c r="BJ90" s="619">
        <f t="shared" si="54"/>
        <v>0</v>
      </c>
      <c r="BK90" s="619">
        <f t="shared" si="55"/>
        <v>102.93333333333334</v>
      </c>
      <c r="BL90" s="619"/>
      <c r="BM90" s="619">
        <f t="shared" si="56"/>
        <v>1336.6676666666667</v>
      </c>
      <c r="BN90" s="619">
        <f t="shared" si="57"/>
        <v>477.23883333333339</v>
      </c>
      <c r="BO90" s="619">
        <f t="shared" si="58"/>
        <v>0</v>
      </c>
      <c r="BP90" s="619">
        <f t="shared" si="59"/>
        <v>97.898666666666671</v>
      </c>
      <c r="BQ90" s="518">
        <f t="shared" si="66"/>
        <v>80134.938833333305</v>
      </c>
    </row>
    <row r="91" spans="1:69" s="585" customFormat="1" ht="12.75" customHeight="1" outlineLevel="1">
      <c r="A91" s="308" t="s">
        <v>50</v>
      </c>
      <c r="B91" s="308">
        <f t="shared" si="77"/>
        <v>2022</v>
      </c>
      <c r="C91" s="308" t="s">
        <v>47</v>
      </c>
      <c r="D91" s="518"/>
      <c r="E91" s="518"/>
      <c r="F91" s="518"/>
      <c r="G91" s="518"/>
      <c r="H91" s="518"/>
      <c r="I91" s="518"/>
      <c r="J91" s="518">
        <f t="shared" si="60"/>
        <v>0</v>
      </c>
      <c r="K91" s="518">
        <f t="shared" si="63"/>
        <v>9616192.6599999983</v>
      </c>
      <c r="L91" s="518"/>
      <c r="M91" s="620">
        <v>64504.169999999984</v>
      </c>
      <c r="N91" s="518">
        <f t="shared" si="64"/>
        <v>5649731.9799999995</v>
      </c>
      <c r="O91" s="518"/>
      <c r="P91" s="518">
        <f t="shared" si="61"/>
        <v>3966460.6799999988</v>
      </c>
      <c r="R91" s="518">
        <f t="shared" si="62"/>
        <v>0</v>
      </c>
      <c r="S91" s="518">
        <f t="shared" si="65"/>
        <v>415.79166666666669</v>
      </c>
      <c r="T91" s="518">
        <f t="shared" si="67"/>
        <v>878.85</v>
      </c>
      <c r="U91" s="518">
        <f t="shared" si="68"/>
        <v>4172.1833333333334</v>
      </c>
      <c r="V91" s="518">
        <f t="shared" si="69"/>
        <v>6601.6416666666664</v>
      </c>
      <c r="W91" s="518">
        <f t="shared" si="70"/>
        <v>5314.0657499999998</v>
      </c>
      <c r="X91" s="518">
        <f t="shared" si="71"/>
        <v>4037.2521666666667</v>
      </c>
      <c r="Y91" s="518">
        <f t="shared" si="72"/>
        <v>2285.2750000000001</v>
      </c>
      <c r="Z91" s="518">
        <f t="shared" si="73"/>
        <v>1091.7583333333334</v>
      </c>
      <c r="AA91" s="518">
        <f t="shared" si="74"/>
        <v>1269.9591666666668</v>
      </c>
      <c r="AB91" s="518">
        <f t="shared" si="75"/>
        <v>606.67849999999999</v>
      </c>
      <c r="AC91" s="518">
        <f t="shared" si="76"/>
        <v>476.46666666666664</v>
      </c>
      <c r="AD91" s="518">
        <f t="shared" si="78"/>
        <v>1657.7180833333332</v>
      </c>
      <c r="AE91" s="518">
        <f t="shared" si="79"/>
        <v>3516.1947500000001</v>
      </c>
      <c r="AF91" s="518">
        <f t="shared" si="80"/>
        <v>1564.4</v>
      </c>
      <c r="AG91" s="518">
        <f t="shared" si="81"/>
        <v>2587.7750000000001</v>
      </c>
      <c r="AH91" s="518">
        <f t="shared" si="82"/>
        <v>2302.7285000000002</v>
      </c>
      <c r="AI91" s="518">
        <f t="shared" si="83"/>
        <v>1957.7</v>
      </c>
      <c r="AJ91" s="518">
        <f t="shared" si="84"/>
        <v>1067.125</v>
      </c>
      <c r="AK91" s="518">
        <f t="shared" si="85"/>
        <v>1806.075</v>
      </c>
      <c r="AL91" s="518">
        <f t="shared" si="86"/>
        <v>1723.2054166666667</v>
      </c>
      <c r="AM91" s="518">
        <f t="shared" ref="AM91:AM145" si="87">$J$26/120</f>
        <v>3010.375</v>
      </c>
      <c r="AN91" s="518">
        <f t="shared" si="31"/>
        <v>920.83333333333337</v>
      </c>
      <c r="AO91" s="518">
        <f t="shared" si="32"/>
        <v>1423.5416666666667</v>
      </c>
      <c r="AP91" s="518">
        <f t="shared" si="33"/>
        <v>1452.5480833333336</v>
      </c>
      <c r="AQ91" s="518">
        <f t="shared" si="34"/>
        <v>783.11666666666667</v>
      </c>
      <c r="AR91" s="518">
        <f t="shared" si="35"/>
        <v>2080.4166666666665</v>
      </c>
      <c r="AS91" s="518">
        <f t="shared" si="36"/>
        <v>688.7</v>
      </c>
      <c r="AT91" s="518">
        <f t="shared" si="37"/>
        <v>1607.9597499999998</v>
      </c>
      <c r="AU91" s="518">
        <f t="shared" si="38"/>
        <v>690.61666666666667</v>
      </c>
      <c r="AV91" s="518">
        <f t="shared" si="39"/>
        <v>1347.6258333333333</v>
      </c>
      <c r="AW91" s="518">
        <f t="shared" si="41"/>
        <v>1038.7249999999999</v>
      </c>
      <c r="AX91" s="518">
        <f t="shared" si="42"/>
        <v>1395.9028333333333</v>
      </c>
      <c r="AY91" s="518">
        <f t="shared" si="43"/>
        <v>1365.0055</v>
      </c>
      <c r="AZ91" s="518">
        <f t="shared" si="44"/>
        <v>1159.0916666666667</v>
      </c>
      <c r="BA91" s="518">
        <f t="shared" si="45"/>
        <v>2655.8122499999999</v>
      </c>
      <c r="BB91" s="518">
        <f t="shared" si="46"/>
        <v>468.33333333333331</v>
      </c>
      <c r="BC91" s="518">
        <f t="shared" si="47"/>
        <v>1748.4833333333333</v>
      </c>
      <c r="BD91" s="518">
        <f t="shared" si="48"/>
        <v>1459.5083333333334</v>
      </c>
      <c r="BE91" s="518">
        <f t="shared" si="49"/>
        <v>1540.15</v>
      </c>
      <c r="BF91" s="518">
        <f t="shared" si="50"/>
        <v>1080.8333333333333</v>
      </c>
      <c r="BG91" s="619">
        <f t="shared" si="51"/>
        <v>1650.4333333333334</v>
      </c>
      <c r="BH91" s="619">
        <f t="shared" si="52"/>
        <v>811.25</v>
      </c>
      <c r="BI91" s="619">
        <f t="shared" si="53"/>
        <v>2408.09375</v>
      </c>
      <c r="BJ91" s="619">
        <f t="shared" si="54"/>
        <v>0</v>
      </c>
      <c r="BK91" s="619">
        <f t="shared" si="55"/>
        <v>102.93333333333334</v>
      </c>
      <c r="BL91" s="619"/>
      <c r="BM91" s="619">
        <f t="shared" si="56"/>
        <v>1336.6676666666667</v>
      </c>
      <c r="BN91" s="619">
        <f t="shared" si="57"/>
        <v>477.23883333333339</v>
      </c>
      <c r="BO91" s="619">
        <f t="shared" si="58"/>
        <v>0</v>
      </c>
      <c r="BP91" s="619">
        <f t="shared" si="59"/>
        <v>97.898666666666671</v>
      </c>
      <c r="BQ91" s="518">
        <f t="shared" si="66"/>
        <v>80134.938833333305</v>
      </c>
    </row>
    <row r="92" spans="1:69" s="585" customFormat="1" ht="12.75" customHeight="1" outlineLevel="1">
      <c r="A92" s="308" t="s">
        <v>51</v>
      </c>
      <c r="B92" s="308">
        <f t="shared" si="77"/>
        <v>2022</v>
      </c>
      <c r="C92" s="308" t="s">
        <v>47</v>
      </c>
      <c r="D92" s="518"/>
      <c r="E92" s="518"/>
      <c r="F92" s="518"/>
      <c r="G92" s="518"/>
      <c r="H92" s="518"/>
      <c r="I92" s="518"/>
      <c r="J92" s="518">
        <f t="shared" si="60"/>
        <v>0</v>
      </c>
      <c r="K92" s="518">
        <f t="shared" si="63"/>
        <v>9616192.6599999983</v>
      </c>
      <c r="L92" s="518"/>
      <c r="M92" s="620">
        <v>71856.680000000037</v>
      </c>
      <c r="N92" s="518">
        <f t="shared" si="64"/>
        <v>5721588.6599999992</v>
      </c>
      <c r="O92" s="518"/>
      <c r="P92" s="518">
        <f t="shared" si="61"/>
        <v>3894603.9999999991</v>
      </c>
      <c r="R92" s="518">
        <f t="shared" si="62"/>
        <v>0</v>
      </c>
      <c r="S92" s="518">
        <f t="shared" si="65"/>
        <v>415.79166666666669</v>
      </c>
      <c r="T92" s="518">
        <f t="shared" si="67"/>
        <v>878.85</v>
      </c>
      <c r="U92" s="518">
        <f t="shared" si="68"/>
        <v>4172.1833333333334</v>
      </c>
      <c r="V92" s="518">
        <f t="shared" si="69"/>
        <v>6601.6416666666664</v>
      </c>
      <c r="W92" s="518">
        <f t="shared" si="70"/>
        <v>5314.0657499999998</v>
      </c>
      <c r="X92" s="518">
        <f t="shared" si="71"/>
        <v>4037.2521666666667</v>
      </c>
      <c r="Y92" s="518">
        <f t="shared" si="72"/>
        <v>2285.2750000000001</v>
      </c>
      <c r="Z92" s="518">
        <f t="shared" si="73"/>
        <v>1091.7583333333334</v>
      </c>
      <c r="AA92" s="518">
        <f t="shared" si="74"/>
        <v>1269.9591666666668</v>
      </c>
      <c r="AB92" s="518">
        <f t="shared" si="75"/>
        <v>606.67849999999999</v>
      </c>
      <c r="AC92" s="518">
        <f t="shared" si="76"/>
        <v>476.46666666666664</v>
      </c>
      <c r="AD92" s="518">
        <f t="shared" si="78"/>
        <v>1657.7180833333332</v>
      </c>
      <c r="AE92" s="518">
        <f t="shared" si="79"/>
        <v>3516.1947500000001</v>
      </c>
      <c r="AF92" s="518">
        <f t="shared" si="80"/>
        <v>1564.4</v>
      </c>
      <c r="AG92" s="518">
        <f t="shared" si="81"/>
        <v>2587.7750000000001</v>
      </c>
      <c r="AH92" s="518">
        <f t="shared" si="82"/>
        <v>2302.7285000000002</v>
      </c>
      <c r="AI92" s="518">
        <f t="shared" si="83"/>
        <v>1957.7</v>
      </c>
      <c r="AJ92" s="518">
        <f t="shared" si="84"/>
        <v>1067.125</v>
      </c>
      <c r="AK92" s="518">
        <f t="shared" si="85"/>
        <v>1806.075</v>
      </c>
      <c r="AL92" s="518">
        <f t="shared" si="86"/>
        <v>1723.2054166666667</v>
      </c>
      <c r="AM92" s="518">
        <f t="shared" si="87"/>
        <v>3010.375</v>
      </c>
      <c r="AN92" s="518">
        <f t="shared" ref="AN92:AN146" si="88">$J$27/120</f>
        <v>920.83333333333337</v>
      </c>
      <c r="AO92" s="518">
        <f t="shared" si="32"/>
        <v>1423.5416666666667</v>
      </c>
      <c r="AP92" s="518">
        <f t="shared" si="33"/>
        <v>1452.5480833333336</v>
      </c>
      <c r="AQ92" s="518">
        <f t="shared" si="34"/>
        <v>783.11666666666667</v>
      </c>
      <c r="AR92" s="518">
        <f t="shared" si="35"/>
        <v>2080.4166666666665</v>
      </c>
      <c r="AS92" s="518">
        <f t="shared" si="36"/>
        <v>688.7</v>
      </c>
      <c r="AT92" s="518">
        <f t="shared" si="37"/>
        <v>1607.9597499999998</v>
      </c>
      <c r="AU92" s="518">
        <f t="shared" si="38"/>
        <v>690.61666666666667</v>
      </c>
      <c r="AV92" s="518">
        <f t="shared" si="39"/>
        <v>1347.6258333333333</v>
      </c>
      <c r="AW92" s="518">
        <f t="shared" si="41"/>
        <v>1038.7249999999999</v>
      </c>
      <c r="AX92" s="518">
        <f t="shared" si="42"/>
        <v>1395.9028333333333</v>
      </c>
      <c r="AY92" s="518">
        <f t="shared" si="43"/>
        <v>1365.0055</v>
      </c>
      <c r="AZ92" s="518">
        <f t="shared" si="44"/>
        <v>1159.0916666666667</v>
      </c>
      <c r="BA92" s="518">
        <f t="shared" si="45"/>
        <v>2655.8122499999999</v>
      </c>
      <c r="BB92" s="518">
        <f t="shared" si="46"/>
        <v>468.33333333333331</v>
      </c>
      <c r="BC92" s="518">
        <f t="shared" si="47"/>
        <v>1748.4833333333333</v>
      </c>
      <c r="BD92" s="518">
        <f t="shared" si="48"/>
        <v>1459.5083333333334</v>
      </c>
      <c r="BE92" s="518">
        <f t="shared" si="49"/>
        <v>1540.15</v>
      </c>
      <c r="BF92" s="518">
        <f t="shared" si="50"/>
        <v>1080.8333333333333</v>
      </c>
      <c r="BG92" s="619">
        <f t="shared" si="51"/>
        <v>1650.4333333333334</v>
      </c>
      <c r="BH92" s="619">
        <f t="shared" si="52"/>
        <v>811.25</v>
      </c>
      <c r="BI92" s="619">
        <f t="shared" si="53"/>
        <v>2408.09375</v>
      </c>
      <c r="BJ92" s="619">
        <f t="shared" si="54"/>
        <v>0</v>
      </c>
      <c r="BK92" s="619">
        <f t="shared" si="55"/>
        <v>102.93333333333334</v>
      </c>
      <c r="BL92" s="619"/>
      <c r="BM92" s="619">
        <f t="shared" si="56"/>
        <v>1336.6676666666667</v>
      </c>
      <c r="BN92" s="619">
        <f t="shared" si="57"/>
        <v>477.23883333333339</v>
      </c>
      <c r="BO92" s="619">
        <f t="shared" si="58"/>
        <v>0</v>
      </c>
      <c r="BP92" s="619">
        <f t="shared" si="59"/>
        <v>97.898666666666671</v>
      </c>
      <c r="BQ92" s="518">
        <f t="shared" si="66"/>
        <v>80134.938833333305</v>
      </c>
    </row>
    <row r="93" spans="1:69" s="585" customFormat="1" ht="12.75" customHeight="1" outlineLevel="1">
      <c r="A93" s="308" t="s">
        <v>52</v>
      </c>
      <c r="B93" s="308">
        <f t="shared" si="77"/>
        <v>2022</v>
      </c>
      <c r="C93" s="308" t="s">
        <v>47</v>
      </c>
      <c r="D93" s="518"/>
      <c r="E93" s="518"/>
      <c r="F93" s="518"/>
      <c r="G93" s="518"/>
      <c r="H93" s="518"/>
      <c r="I93" s="518"/>
      <c r="J93" s="518">
        <f t="shared" si="60"/>
        <v>0</v>
      </c>
      <c r="K93" s="518">
        <f t="shared" si="63"/>
        <v>9616192.6599999983</v>
      </c>
      <c r="L93" s="518"/>
      <c r="M93" s="623">
        <v>58756.360000000015</v>
      </c>
      <c r="N93" s="518">
        <f t="shared" si="64"/>
        <v>5780345.0199999996</v>
      </c>
      <c r="O93" s="518"/>
      <c r="P93" s="518">
        <f t="shared" si="61"/>
        <v>3835847.6399999987</v>
      </c>
      <c r="R93" s="518">
        <f t="shared" si="62"/>
        <v>0</v>
      </c>
      <c r="S93" s="518">
        <f t="shared" si="65"/>
        <v>415.79166666666669</v>
      </c>
      <c r="T93" s="518">
        <f t="shared" si="67"/>
        <v>878.85</v>
      </c>
      <c r="U93" s="518">
        <f t="shared" si="68"/>
        <v>4172.1833333333334</v>
      </c>
      <c r="V93" s="518">
        <f t="shared" si="69"/>
        <v>6601.6416666666664</v>
      </c>
      <c r="W93" s="518">
        <f t="shared" si="70"/>
        <v>5314.0657499999998</v>
      </c>
      <c r="X93" s="518">
        <f t="shared" si="71"/>
        <v>4037.2521666666667</v>
      </c>
      <c r="Y93" s="518">
        <f t="shared" si="72"/>
        <v>2285.2750000000001</v>
      </c>
      <c r="Z93" s="518">
        <f t="shared" si="73"/>
        <v>1091.7583333333334</v>
      </c>
      <c r="AA93" s="518">
        <f t="shared" si="74"/>
        <v>1269.9591666666668</v>
      </c>
      <c r="AB93" s="518">
        <f t="shared" si="75"/>
        <v>606.67849999999999</v>
      </c>
      <c r="AC93" s="518">
        <f t="shared" si="76"/>
        <v>476.46666666666664</v>
      </c>
      <c r="AD93" s="518">
        <f t="shared" si="78"/>
        <v>1657.7180833333332</v>
      </c>
      <c r="AE93" s="518">
        <f t="shared" si="79"/>
        <v>3516.1947500000001</v>
      </c>
      <c r="AF93" s="518">
        <f t="shared" si="80"/>
        <v>1564.4</v>
      </c>
      <c r="AG93" s="518">
        <f t="shared" si="81"/>
        <v>2587.7750000000001</v>
      </c>
      <c r="AH93" s="518">
        <f t="shared" si="82"/>
        <v>2302.7285000000002</v>
      </c>
      <c r="AI93" s="518">
        <f t="shared" si="83"/>
        <v>1957.7</v>
      </c>
      <c r="AJ93" s="518">
        <f t="shared" si="84"/>
        <v>1067.125</v>
      </c>
      <c r="AK93" s="518">
        <f t="shared" si="85"/>
        <v>1806.075</v>
      </c>
      <c r="AL93" s="518">
        <f t="shared" si="86"/>
        <v>1723.2054166666667</v>
      </c>
      <c r="AM93" s="518">
        <f t="shared" si="87"/>
        <v>3010.375</v>
      </c>
      <c r="AN93" s="518">
        <f t="shared" si="88"/>
        <v>920.83333333333337</v>
      </c>
      <c r="AO93" s="518">
        <f t="shared" ref="AO93:AO147" si="89">$J$28/120</f>
        <v>1423.5416666666667</v>
      </c>
      <c r="AP93" s="518">
        <f t="shared" si="33"/>
        <v>1452.5480833333336</v>
      </c>
      <c r="AQ93" s="518">
        <f t="shared" si="34"/>
        <v>783.11666666666667</v>
      </c>
      <c r="AR93" s="518">
        <f t="shared" si="35"/>
        <v>2080.4166666666665</v>
      </c>
      <c r="AS93" s="518">
        <f t="shared" si="36"/>
        <v>688.7</v>
      </c>
      <c r="AT93" s="518">
        <f t="shared" si="37"/>
        <v>1607.9597499999998</v>
      </c>
      <c r="AU93" s="518">
        <f t="shared" si="38"/>
        <v>690.61666666666667</v>
      </c>
      <c r="AV93" s="518">
        <f t="shared" si="39"/>
        <v>1347.6258333333333</v>
      </c>
      <c r="AW93" s="518">
        <f t="shared" si="41"/>
        <v>1038.7249999999999</v>
      </c>
      <c r="AX93" s="518">
        <f t="shared" si="42"/>
        <v>1395.9028333333333</v>
      </c>
      <c r="AY93" s="518">
        <f t="shared" si="43"/>
        <v>1365.0055</v>
      </c>
      <c r="AZ93" s="518">
        <f t="shared" si="44"/>
        <v>1159.0916666666667</v>
      </c>
      <c r="BA93" s="518">
        <f t="shared" si="45"/>
        <v>2655.8122499999999</v>
      </c>
      <c r="BB93" s="518">
        <f t="shared" si="46"/>
        <v>468.33333333333331</v>
      </c>
      <c r="BC93" s="518">
        <f t="shared" si="47"/>
        <v>1748.4833333333333</v>
      </c>
      <c r="BD93" s="518">
        <f t="shared" si="48"/>
        <v>1459.5083333333334</v>
      </c>
      <c r="BE93" s="518">
        <f t="shared" si="49"/>
        <v>1540.15</v>
      </c>
      <c r="BF93" s="518">
        <f t="shared" si="50"/>
        <v>1080.8333333333333</v>
      </c>
      <c r="BG93" s="619">
        <f t="shared" si="51"/>
        <v>1650.4333333333334</v>
      </c>
      <c r="BH93" s="619">
        <f t="shared" si="52"/>
        <v>811.25</v>
      </c>
      <c r="BI93" s="619">
        <f t="shared" si="53"/>
        <v>2408.09375</v>
      </c>
      <c r="BJ93" s="619">
        <f t="shared" si="54"/>
        <v>0</v>
      </c>
      <c r="BK93" s="619">
        <f t="shared" si="55"/>
        <v>102.93333333333334</v>
      </c>
      <c r="BL93" s="619"/>
      <c r="BM93" s="619">
        <f t="shared" si="56"/>
        <v>1336.6676666666667</v>
      </c>
      <c r="BN93" s="619">
        <f t="shared" si="57"/>
        <v>477.23883333333339</v>
      </c>
      <c r="BO93" s="619">
        <f t="shared" si="58"/>
        <v>0</v>
      </c>
      <c r="BP93" s="619">
        <f t="shared" si="59"/>
        <v>97.898666666666671</v>
      </c>
      <c r="BQ93" s="518">
        <f t="shared" si="66"/>
        <v>80134.938833333305</v>
      </c>
    </row>
    <row r="94" spans="1:69" s="585" customFormat="1" ht="12.75" customHeight="1" outlineLevel="1">
      <c r="A94" s="308" t="s">
        <v>53</v>
      </c>
      <c r="B94" s="308">
        <f t="shared" si="77"/>
        <v>2023</v>
      </c>
      <c r="C94" s="308" t="s">
        <v>47</v>
      </c>
      <c r="D94" s="518"/>
      <c r="E94" s="518"/>
      <c r="F94" s="518"/>
      <c r="G94" s="518"/>
      <c r="H94" s="518"/>
      <c r="I94" s="518"/>
      <c r="J94" s="518">
        <f t="shared" si="60"/>
        <v>0</v>
      </c>
      <c r="K94" s="518">
        <f t="shared" si="63"/>
        <v>9616192.6599999983</v>
      </c>
      <c r="L94" s="518"/>
      <c r="M94" s="620">
        <v>59312.059999999969</v>
      </c>
      <c r="N94" s="518">
        <f t="shared" si="64"/>
        <v>5839657.0799999991</v>
      </c>
      <c r="O94" s="518"/>
      <c r="P94" s="518">
        <f t="shared" si="61"/>
        <v>3776535.5799999991</v>
      </c>
      <c r="R94" s="518">
        <f t="shared" si="62"/>
        <v>0</v>
      </c>
      <c r="S94" s="518">
        <f t="shared" si="65"/>
        <v>415.79166666666669</v>
      </c>
      <c r="T94" s="518">
        <f t="shared" si="67"/>
        <v>878.85</v>
      </c>
      <c r="U94" s="518">
        <f t="shared" si="68"/>
        <v>4172.1833333333334</v>
      </c>
      <c r="V94" s="518">
        <f t="shared" si="69"/>
        <v>6601.6416666666664</v>
      </c>
      <c r="W94" s="518">
        <f t="shared" si="70"/>
        <v>5314.0657499999998</v>
      </c>
      <c r="X94" s="518">
        <f t="shared" si="71"/>
        <v>4037.2521666666667</v>
      </c>
      <c r="Y94" s="518">
        <f t="shared" si="72"/>
        <v>2285.2750000000001</v>
      </c>
      <c r="Z94" s="518">
        <f t="shared" si="73"/>
        <v>1091.7583333333334</v>
      </c>
      <c r="AA94" s="518">
        <f t="shared" si="74"/>
        <v>1269.9591666666668</v>
      </c>
      <c r="AB94" s="518">
        <f t="shared" si="75"/>
        <v>606.67849999999999</v>
      </c>
      <c r="AC94" s="518">
        <f t="shared" si="76"/>
        <v>476.46666666666664</v>
      </c>
      <c r="AD94" s="518">
        <f t="shared" si="78"/>
        <v>1657.7180833333332</v>
      </c>
      <c r="AE94" s="518">
        <f t="shared" si="79"/>
        <v>3516.1947500000001</v>
      </c>
      <c r="AF94" s="518">
        <f t="shared" si="80"/>
        <v>1564.4</v>
      </c>
      <c r="AG94" s="518">
        <f t="shared" si="81"/>
        <v>2587.7750000000001</v>
      </c>
      <c r="AH94" s="518">
        <f t="shared" si="82"/>
        <v>2302.7285000000002</v>
      </c>
      <c r="AI94" s="518">
        <f t="shared" si="83"/>
        <v>1957.7</v>
      </c>
      <c r="AJ94" s="518">
        <f t="shared" si="84"/>
        <v>1067.125</v>
      </c>
      <c r="AK94" s="518">
        <f t="shared" si="85"/>
        <v>1806.075</v>
      </c>
      <c r="AL94" s="518">
        <f t="shared" si="86"/>
        <v>1723.2054166666667</v>
      </c>
      <c r="AM94" s="518">
        <f t="shared" si="87"/>
        <v>3010.375</v>
      </c>
      <c r="AN94" s="518">
        <f t="shared" si="88"/>
        <v>920.83333333333337</v>
      </c>
      <c r="AO94" s="518">
        <f t="shared" si="89"/>
        <v>1423.5416666666667</v>
      </c>
      <c r="AP94" s="518">
        <f t="shared" ref="AP94:AP148" si="90">$J$29/120</f>
        <v>1452.5480833333336</v>
      </c>
      <c r="AQ94" s="518">
        <f t="shared" si="34"/>
        <v>783.11666666666667</v>
      </c>
      <c r="AR94" s="518">
        <f t="shared" si="35"/>
        <v>2080.4166666666665</v>
      </c>
      <c r="AS94" s="518">
        <f t="shared" si="36"/>
        <v>688.7</v>
      </c>
      <c r="AT94" s="518">
        <f t="shared" si="37"/>
        <v>1607.9597499999998</v>
      </c>
      <c r="AU94" s="518">
        <f t="shared" si="38"/>
        <v>690.61666666666667</v>
      </c>
      <c r="AV94" s="518">
        <f t="shared" si="39"/>
        <v>1347.6258333333333</v>
      </c>
      <c r="AW94" s="518">
        <f t="shared" si="41"/>
        <v>1038.7249999999999</v>
      </c>
      <c r="AX94" s="518">
        <f t="shared" si="42"/>
        <v>1395.9028333333333</v>
      </c>
      <c r="AY94" s="518">
        <f t="shared" si="43"/>
        <v>1365.0055</v>
      </c>
      <c r="AZ94" s="518">
        <f t="shared" si="44"/>
        <v>1159.0916666666667</v>
      </c>
      <c r="BA94" s="518">
        <f t="shared" si="45"/>
        <v>2655.8122499999999</v>
      </c>
      <c r="BB94" s="518">
        <f t="shared" si="46"/>
        <v>468.33333333333331</v>
      </c>
      <c r="BC94" s="518">
        <f t="shared" si="47"/>
        <v>1748.4833333333333</v>
      </c>
      <c r="BD94" s="518">
        <f t="shared" si="48"/>
        <v>1459.5083333333334</v>
      </c>
      <c r="BE94" s="518">
        <f t="shared" si="49"/>
        <v>1540.15</v>
      </c>
      <c r="BF94" s="518">
        <f t="shared" si="50"/>
        <v>1080.8333333333333</v>
      </c>
      <c r="BG94" s="619">
        <f t="shared" si="51"/>
        <v>1650.4333333333334</v>
      </c>
      <c r="BH94" s="619">
        <f t="shared" si="52"/>
        <v>811.25</v>
      </c>
      <c r="BI94" s="619">
        <f t="shared" si="53"/>
        <v>2408.09375</v>
      </c>
      <c r="BJ94" s="619">
        <f t="shared" si="54"/>
        <v>0</v>
      </c>
      <c r="BK94" s="619">
        <f t="shared" si="55"/>
        <v>102.93333333333334</v>
      </c>
      <c r="BL94" s="619"/>
      <c r="BM94" s="619">
        <f t="shared" si="56"/>
        <v>1336.6676666666667</v>
      </c>
      <c r="BN94" s="619">
        <f t="shared" si="57"/>
        <v>477.23883333333339</v>
      </c>
      <c r="BO94" s="619">
        <f t="shared" si="58"/>
        <v>0</v>
      </c>
      <c r="BP94" s="619">
        <f t="shared" si="59"/>
        <v>97.898666666666671</v>
      </c>
      <c r="BQ94" s="518">
        <f t="shared" si="66"/>
        <v>80134.938833333305</v>
      </c>
    </row>
    <row r="95" spans="1:69" s="585" customFormat="1" ht="12.75" customHeight="1" outlineLevel="1">
      <c r="A95" s="308" t="s">
        <v>54</v>
      </c>
      <c r="B95" s="308">
        <f t="shared" si="77"/>
        <v>2023</v>
      </c>
      <c r="C95" s="308" t="s">
        <v>47</v>
      </c>
      <c r="D95" s="518"/>
      <c r="E95" s="518"/>
      <c r="F95" s="518"/>
      <c r="G95" s="518"/>
      <c r="H95" s="518"/>
      <c r="I95" s="518"/>
      <c r="J95" s="518">
        <f t="shared" si="60"/>
        <v>0</v>
      </c>
      <c r="K95" s="518">
        <f t="shared" si="63"/>
        <v>9616192.6599999983</v>
      </c>
      <c r="L95" s="518"/>
      <c r="M95" s="620">
        <v>59046.349999999977</v>
      </c>
      <c r="N95" s="518">
        <f t="shared" si="64"/>
        <v>5898703.4299999988</v>
      </c>
      <c r="O95" s="518"/>
      <c r="P95" s="518">
        <f t="shared" si="61"/>
        <v>3717489.2299999995</v>
      </c>
      <c r="R95" s="518">
        <f t="shared" si="62"/>
        <v>0</v>
      </c>
      <c r="S95" s="518">
        <f t="shared" si="65"/>
        <v>415.79166666666669</v>
      </c>
      <c r="T95" s="518">
        <f t="shared" si="67"/>
        <v>878.85</v>
      </c>
      <c r="U95" s="518">
        <f t="shared" si="68"/>
        <v>4172.1833333333334</v>
      </c>
      <c r="V95" s="518">
        <f t="shared" si="69"/>
        <v>6601.6416666666664</v>
      </c>
      <c r="W95" s="518">
        <f t="shared" si="70"/>
        <v>5314.0657499999998</v>
      </c>
      <c r="X95" s="518">
        <f t="shared" si="71"/>
        <v>4037.2521666666667</v>
      </c>
      <c r="Y95" s="518">
        <f t="shared" si="72"/>
        <v>2285.2750000000001</v>
      </c>
      <c r="Z95" s="518">
        <f t="shared" si="73"/>
        <v>1091.7583333333334</v>
      </c>
      <c r="AA95" s="518">
        <f t="shared" si="74"/>
        <v>1269.9591666666668</v>
      </c>
      <c r="AB95" s="518">
        <f t="shared" si="75"/>
        <v>606.67849999999999</v>
      </c>
      <c r="AC95" s="518">
        <f t="shared" si="76"/>
        <v>476.46666666666664</v>
      </c>
      <c r="AD95" s="518">
        <f t="shared" si="78"/>
        <v>1657.7180833333332</v>
      </c>
      <c r="AE95" s="518">
        <f t="shared" si="79"/>
        <v>3516.1947500000001</v>
      </c>
      <c r="AF95" s="518">
        <f t="shared" si="80"/>
        <v>1564.4</v>
      </c>
      <c r="AG95" s="518">
        <f t="shared" si="81"/>
        <v>2587.7750000000001</v>
      </c>
      <c r="AH95" s="518">
        <f t="shared" si="82"/>
        <v>2302.7285000000002</v>
      </c>
      <c r="AI95" s="518">
        <f t="shared" si="83"/>
        <v>1957.7</v>
      </c>
      <c r="AJ95" s="518">
        <f t="shared" si="84"/>
        <v>1067.125</v>
      </c>
      <c r="AK95" s="518">
        <f t="shared" si="85"/>
        <v>1806.075</v>
      </c>
      <c r="AL95" s="518">
        <f t="shared" si="86"/>
        <v>1723.2054166666667</v>
      </c>
      <c r="AM95" s="518">
        <f t="shared" si="87"/>
        <v>3010.375</v>
      </c>
      <c r="AN95" s="518">
        <f t="shared" si="88"/>
        <v>920.83333333333337</v>
      </c>
      <c r="AO95" s="518">
        <f t="shared" si="89"/>
        <v>1423.5416666666667</v>
      </c>
      <c r="AP95" s="518">
        <f t="shared" si="90"/>
        <v>1452.5480833333336</v>
      </c>
      <c r="AQ95" s="518">
        <f t="shared" ref="AQ95:AQ149" si="91">$J$30/120</f>
        <v>783.11666666666667</v>
      </c>
      <c r="AR95" s="518">
        <f t="shared" si="35"/>
        <v>2080.4166666666665</v>
      </c>
      <c r="AS95" s="518">
        <f t="shared" si="36"/>
        <v>688.7</v>
      </c>
      <c r="AT95" s="518">
        <f t="shared" si="37"/>
        <v>1607.9597499999998</v>
      </c>
      <c r="AU95" s="518">
        <f t="shared" si="38"/>
        <v>690.61666666666667</v>
      </c>
      <c r="AV95" s="518">
        <f t="shared" si="39"/>
        <v>1347.6258333333333</v>
      </c>
      <c r="AW95" s="518">
        <f t="shared" si="41"/>
        <v>1038.7249999999999</v>
      </c>
      <c r="AX95" s="518">
        <f t="shared" si="42"/>
        <v>1395.9028333333333</v>
      </c>
      <c r="AY95" s="518">
        <f t="shared" si="43"/>
        <v>1365.0055</v>
      </c>
      <c r="AZ95" s="518">
        <f t="shared" si="44"/>
        <v>1159.0916666666667</v>
      </c>
      <c r="BA95" s="518">
        <f t="shared" si="45"/>
        <v>2655.8122499999999</v>
      </c>
      <c r="BB95" s="518">
        <f t="shared" si="46"/>
        <v>468.33333333333331</v>
      </c>
      <c r="BC95" s="518">
        <f t="shared" si="47"/>
        <v>1748.4833333333333</v>
      </c>
      <c r="BD95" s="518">
        <f t="shared" si="48"/>
        <v>1459.5083333333334</v>
      </c>
      <c r="BE95" s="518">
        <f t="shared" si="49"/>
        <v>1540.15</v>
      </c>
      <c r="BF95" s="518">
        <f t="shared" si="50"/>
        <v>1080.8333333333333</v>
      </c>
      <c r="BG95" s="619">
        <f t="shared" si="51"/>
        <v>1650.4333333333334</v>
      </c>
      <c r="BH95" s="619">
        <f t="shared" si="52"/>
        <v>811.25</v>
      </c>
      <c r="BI95" s="619">
        <f t="shared" si="53"/>
        <v>2408.09375</v>
      </c>
      <c r="BJ95" s="619">
        <f t="shared" si="54"/>
        <v>0</v>
      </c>
      <c r="BK95" s="619">
        <f t="shared" si="55"/>
        <v>102.93333333333334</v>
      </c>
      <c r="BL95" s="619"/>
      <c r="BM95" s="619">
        <f t="shared" si="56"/>
        <v>1336.6676666666667</v>
      </c>
      <c r="BN95" s="619">
        <f t="shared" si="57"/>
        <v>477.23883333333339</v>
      </c>
      <c r="BO95" s="619">
        <f t="shared" si="58"/>
        <v>0</v>
      </c>
      <c r="BP95" s="619">
        <f t="shared" si="59"/>
        <v>97.898666666666671</v>
      </c>
      <c r="BQ95" s="518">
        <f t="shared" si="66"/>
        <v>80134.938833333305</v>
      </c>
    </row>
    <row r="96" spans="1:69" s="585" customFormat="1" ht="12.75" customHeight="1" outlineLevel="1">
      <c r="A96" s="308" t="s">
        <v>55</v>
      </c>
      <c r="B96" s="308">
        <f t="shared" si="77"/>
        <v>2023</v>
      </c>
      <c r="C96" s="308" t="s">
        <v>47</v>
      </c>
      <c r="D96" s="518"/>
      <c r="E96" s="518"/>
      <c r="F96" s="518"/>
      <c r="G96" s="518"/>
      <c r="H96" s="518"/>
      <c r="I96" s="518"/>
      <c r="J96" s="518">
        <f t="shared" si="60"/>
        <v>0</v>
      </c>
      <c r="K96" s="518">
        <f t="shared" si="63"/>
        <v>9616192.6599999983</v>
      </c>
      <c r="L96" s="518"/>
      <c r="M96" s="620">
        <v>62867.510000000024</v>
      </c>
      <c r="N96" s="518">
        <f t="shared" si="64"/>
        <v>5961570.9399999985</v>
      </c>
      <c r="O96" s="518"/>
      <c r="P96" s="518">
        <f t="shared" si="61"/>
        <v>3654621.7199999997</v>
      </c>
      <c r="R96" s="518">
        <f t="shared" si="62"/>
        <v>0</v>
      </c>
      <c r="S96" s="518">
        <f t="shared" si="65"/>
        <v>415.79166666666669</v>
      </c>
      <c r="T96" s="518">
        <f t="shared" si="67"/>
        <v>878.85</v>
      </c>
      <c r="U96" s="518">
        <f t="shared" si="68"/>
        <v>4172.1833333333334</v>
      </c>
      <c r="V96" s="518">
        <f t="shared" si="69"/>
        <v>6601.6416666666664</v>
      </c>
      <c r="W96" s="518">
        <f t="shared" si="70"/>
        <v>5314.0657499999998</v>
      </c>
      <c r="X96" s="518">
        <f t="shared" si="71"/>
        <v>4037.2521666666667</v>
      </c>
      <c r="Y96" s="518">
        <f t="shared" si="72"/>
        <v>2285.2750000000001</v>
      </c>
      <c r="Z96" s="518">
        <f t="shared" si="73"/>
        <v>1091.7583333333334</v>
      </c>
      <c r="AA96" s="518">
        <f t="shared" si="74"/>
        <v>1269.9591666666668</v>
      </c>
      <c r="AB96" s="518">
        <f t="shared" si="75"/>
        <v>606.67849999999999</v>
      </c>
      <c r="AC96" s="518">
        <f t="shared" si="76"/>
        <v>476.46666666666664</v>
      </c>
      <c r="AD96" s="518">
        <f t="shared" si="78"/>
        <v>1657.7180833333332</v>
      </c>
      <c r="AE96" s="518">
        <f t="shared" si="79"/>
        <v>3516.1947500000001</v>
      </c>
      <c r="AF96" s="518">
        <f t="shared" si="80"/>
        <v>1564.4</v>
      </c>
      <c r="AG96" s="518">
        <f t="shared" si="81"/>
        <v>2587.7750000000001</v>
      </c>
      <c r="AH96" s="518">
        <f t="shared" si="82"/>
        <v>2302.7285000000002</v>
      </c>
      <c r="AI96" s="518">
        <f t="shared" si="83"/>
        <v>1957.7</v>
      </c>
      <c r="AJ96" s="518">
        <f t="shared" si="84"/>
        <v>1067.125</v>
      </c>
      <c r="AK96" s="518">
        <f t="shared" si="85"/>
        <v>1806.075</v>
      </c>
      <c r="AL96" s="518">
        <f t="shared" si="86"/>
        <v>1723.2054166666667</v>
      </c>
      <c r="AM96" s="518">
        <f t="shared" si="87"/>
        <v>3010.375</v>
      </c>
      <c r="AN96" s="518">
        <f t="shared" si="88"/>
        <v>920.83333333333337</v>
      </c>
      <c r="AO96" s="518">
        <f t="shared" si="89"/>
        <v>1423.5416666666667</v>
      </c>
      <c r="AP96" s="518">
        <f t="shared" si="90"/>
        <v>1452.5480833333336</v>
      </c>
      <c r="AQ96" s="518">
        <f t="shared" si="91"/>
        <v>783.11666666666667</v>
      </c>
      <c r="AR96" s="518">
        <f t="shared" ref="AR96:AR150" si="92">$J$31/120</f>
        <v>2080.4166666666665</v>
      </c>
      <c r="AS96" s="518">
        <f t="shared" si="36"/>
        <v>688.7</v>
      </c>
      <c r="AT96" s="518">
        <f t="shared" si="37"/>
        <v>1607.9597499999998</v>
      </c>
      <c r="AU96" s="518">
        <f t="shared" si="38"/>
        <v>690.61666666666667</v>
      </c>
      <c r="AV96" s="518">
        <f t="shared" si="39"/>
        <v>1347.6258333333333</v>
      </c>
      <c r="AW96" s="518">
        <f t="shared" si="41"/>
        <v>1038.7249999999999</v>
      </c>
      <c r="AX96" s="518">
        <f t="shared" si="42"/>
        <v>1395.9028333333333</v>
      </c>
      <c r="AY96" s="518">
        <f t="shared" si="43"/>
        <v>1365.0055</v>
      </c>
      <c r="AZ96" s="518">
        <f t="shared" si="44"/>
        <v>1159.0916666666667</v>
      </c>
      <c r="BA96" s="518">
        <f t="shared" si="45"/>
        <v>2655.8122499999999</v>
      </c>
      <c r="BB96" s="518">
        <f t="shared" si="46"/>
        <v>468.33333333333331</v>
      </c>
      <c r="BC96" s="518">
        <f t="shared" si="47"/>
        <v>1748.4833333333333</v>
      </c>
      <c r="BD96" s="518">
        <f t="shared" si="48"/>
        <v>1459.5083333333334</v>
      </c>
      <c r="BE96" s="518">
        <f t="shared" si="49"/>
        <v>1540.15</v>
      </c>
      <c r="BF96" s="518">
        <f t="shared" si="50"/>
        <v>1080.8333333333333</v>
      </c>
      <c r="BG96" s="619">
        <f t="shared" si="51"/>
        <v>1650.4333333333334</v>
      </c>
      <c r="BH96" s="619">
        <f t="shared" si="52"/>
        <v>811.25</v>
      </c>
      <c r="BI96" s="619">
        <f t="shared" si="53"/>
        <v>2408.09375</v>
      </c>
      <c r="BJ96" s="619">
        <f t="shared" si="54"/>
        <v>0</v>
      </c>
      <c r="BK96" s="619">
        <f t="shared" si="55"/>
        <v>102.93333333333334</v>
      </c>
      <c r="BL96" s="619"/>
      <c r="BM96" s="619">
        <f t="shared" si="56"/>
        <v>1336.6676666666667</v>
      </c>
      <c r="BN96" s="619">
        <f t="shared" si="57"/>
        <v>477.23883333333339</v>
      </c>
      <c r="BO96" s="619">
        <f t="shared" si="58"/>
        <v>0</v>
      </c>
      <c r="BP96" s="619">
        <f t="shared" si="59"/>
        <v>97.898666666666671</v>
      </c>
      <c r="BQ96" s="518">
        <f t="shared" si="66"/>
        <v>80134.938833333305</v>
      </c>
    </row>
    <row r="97" spans="1:69" s="585" customFormat="1" ht="12.75" customHeight="1" outlineLevel="1">
      <c r="A97" s="308" t="s">
        <v>56</v>
      </c>
      <c r="B97" s="308">
        <f t="shared" si="77"/>
        <v>2023</v>
      </c>
      <c r="C97" s="308" t="s">
        <v>102</v>
      </c>
      <c r="D97" s="518"/>
      <c r="E97" s="518"/>
      <c r="F97" s="518"/>
      <c r="G97" s="518"/>
      <c r="H97" s="518"/>
      <c r="I97" s="518"/>
      <c r="J97" s="518">
        <f t="shared" si="60"/>
        <v>0</v>
      </c>
      <c r="K97" s="518">
        <f t="shared" si="63"/>
        <v>9616192.6599999983</v>
      </c>
      <c r="L97" s="518"/>
      <c r="M97" s="518">
        <f t="shared" ref="M97:M120" si="93">M96</f>
        <v>62867.510000000024</v>
      </c>
      <c r="N97" s="518">
        <f t="shared" si="64"/>
        <v>6024438.4499999983</v>
      </c>
      <c r="O97" s="518"/>
      <c r="P97" s="518">
        <f t="shared" si="61"/>
        <v>3591754.21</v>
      </c>
      <c r="R97" s="518">
        <f t="shared" si="62"/>
        <v>0</v>
      </c>
      <c r="S97" s="518">
        <f t="shared" si="65"/>
        <v>415.79166666666669</v>
      </c>
      <c r="T97" s="518">
        <f t="shared" si="67"/>
        <v>878.85</v>
      </c>
      <c r="U97" s="518">
        <f t="shared" si="68"/>
        <v>4172.1833333333334</v>
      </c>
      <c r="V97" s="518">
        <f t="shared" si="69"/>
        <v>6601.6416666666664</v>
      </c>
      <c r="W97" s="518">
        <f t="shared" si="70"/>
        <v>5314.0657499999998</v>
      </c>
      <c r="X97" s="518">
        <f t="shared" si="71"/>
        <v>4037.2521666666667</v>
      </c>
      <c r="Y97" s="518">
        <f t="shared" si="72"/>
        <v>2285.2750000000001</v>
      </c>
      <c r="Z97" s="518">
        <f t="shared" si="73"/>
        <v>1091.7583333333334</v>
      </c>
      <c r="AA97" s="518">
        <f t="shared" si="74"/>
        <v>1269.9591666666668</v>
      </c>
      <c r="AB97" s="518">
        <f t="shared" si="75"/>
        <v>606.67849999999999</v>
      </c>
      <c r="AC97" s="518">
        <f t="shared" si="76"/>
        <v>476.46666666666664</v>
      </c>
      <c r="AD97" s="518">
        <f t="shared" si="78"/>
        <v>1657.7180833333332</v>
      </c>
      <c r="AE97" s="518">
        <f t="shared" si="79"/>
        <v>3516.1947500000001</v>
      </c>
      <c r="AF97" s="518">
        <f t="shared" si="80"/>
        <v>1564.4</v>
      </c>
      <c r="AG97" s="518">
        <f t="shared" si="81"/>
        <v>2587.7750000000001</v>
      </c>
      <c r="AH97" s="518">
        <f t="shared" si="82"/>
        <v>2302.7285000000002</v>
      </c>
      <c r="AI97" s="518">
        <f t="shared" si="83"/>
        <v>1957.7</v>
      </c>
      <c r="AJ97" s="518">
        <f t="shared" si="84"/>
        <v>1067.125</v>
      </c>
      <c r="AK97" s="518">
        <f t="shared" si="85"/>
        <v>1806.075</v>
      </c>
      <c r="AL97" s="518">
        <f t="shared" si="86"/>
        <v>1723.2054166666667</v>
      </c>
      <c r="AM97" s="518">
        <f t="shared" si="87"/>
        <v>3010.375</v>
      </c>
      <c r="AN97" s="518">
        <f t="shared" si="88"/>
        <v>920.83333333333337</v>
      </c>
      <c r="AO97" s="518">
        <f t="shared" si="89"/>
        <v>1423.5416666666667</v>
      </c>
      <c r="AP97" s="518">
        <f t="shared" si="90"/>
        <v>1452.5480833333336</v>
      </c>
      <c r="AQ97" s="518">
        <f t="shared" si="91"/>
        <v>783.11666666666667</v>
      </c>
      <c r="AR97" s="518">
        <f t="shared" si="92"/>
        <v>2080.4166666666665</v>
      </c>
      <c r="AS97" s="518">
        <f t="shared" ref="AS97:AS151" si="94">$J$32/120</f>
        <v>688.7</v>
      </c>
      <c r="AT97" s="518">
        <f t="shared" si="37"/>
        <v>1607.9597499999998</v>
      </c>
      <c r="AU97" s="518">
        <f t="shared" si="38"/>
        <v>690.61666666666667</v>
      </c>
      <c r="AV97" s="518">
        <f t="shared" si="39"/>
        <v>1347.6258333333333</v>
      </c>
      <c r="AW97" s="518">
        <f t="shared" si="41"/>
        <v>1038.7249999999999</v>
      </c>
      <c r="AX97" s="518">
        <f t="shared" si="42"/>
        <v>1395.9028333333333</v>
      </c>
      <c r="AY97" s="518">
        <f t="shared" si="43"/>
        <v>1365.0055</v>
      </c>
      <c r="AZ97" s="518">
        <f t="shared" si="44"/>
        <v>1159.0916666666667</v>
      </c>
      <c r="BA97" s="518">
        <f t="shared" si="45"/>
        <v>2655.8122499999999</v>
      </c>
      <c r="BB97" s="518">
        <f t="shared" si="46"/>
        <v>468.33333333333331</v>
      </c>
      <c r="BC97" s="518">
        <f t="shared" si="47"/>
        <v>1748.4833333333333</v>
      </c>
      <c r="BD97" s="518">
        <f t="shared" si="48"/>
        <v>1459.5083333333334</v>
      </c>
      <c r="BE97" s="518">
        <f t="shared" si="49"/>
        <v>1540.15</v>
      </c>
      <c r="BF97" s="518">
        <f t="shared" si="50"/>
        <v>1080.8333333333333</v>
      </c>
      <c r="BG97" s="619">
        <f t="shared" si="51"/>
        <v>1650.4333333333334</v>
      </c>
      <c r="BH97" s="619">
        <f t="shared" si="52"/>
        <v>811.25</v>
      </c>
      <c r="BI97" s="619">
        <f t="shared" si="53"/>
        <v>2408.09375</v>
      </c>
      <c r="BJ97" s="619">
        <f t="shared" si="54"/>
        <v>0</v>
      </c>
      <c r="BK97" s="619">
        <f t="shared" si="55"/>
        <v>102.93333333333334</v>
      </c>
      <c r="BL97" s="619"/>
      <c r="BM97" s="619">
        <f t="shared" si="56"/>
        <v>1336.6676666666667</v>
      </c>
      <c r="BN97" s="619">
        <f t="shared" si="57"/>
        <v>477.23883333333339</v>
      </c>
      <c r="BO97" s="619">
        <f t="shared" si="58"/>
        <v>0</v>
      </c>
      <c r="BP97" s="619">
        <f t="shared" si="59"/>
        <v>97.898666666666671</v>
      </c>
      <c r="BQ97" s="518">
        <f t="shared" si="66"/>
        <v>80134.938833333305</v>
      </c>
    </row>
    <row r="98" spans="1:69" s="585" customFormat="1" ht="12.75" customHeight="1" outlineLevel="1">
      <c r="A98" s="308" t="s">
        <v>57</v>
      </c>
      <c r="B98" s="308">
        <f t="shared" si="77"/>
        <v>2023</v>
      </c>
      <c r="C98" s="308" t="s">
        <v>102</v>
      </c>
      <c r="D98" s="518"/>
      <c r="E98" s="518"/>
      <c r="F98" s="518"/>
      <c r="G98" s="518"/>
      <c r="H98" s="518"/>
      <c r="I98" s="518"/>
      <c r="J98" s="518">
        <f t="shared" si="60"/>
        <v>0</v>
      </c>
      <c r="K98" s="518">
        <f t="shared" si="63"/>
        <v>9616192.6599999983</v>
      </c>
      <c r="L98" s="518"/>
      <c r="M98" s="518">
        <f t="shared" si="93"/>
        <v>62867.510000000024</v>
      </c>
      <c r="N98" s="518">
        <f t="shared" si="64"/>
        <v>6087305.9599999981</v>
      </c>
      <c r="O98" s="518"/>
      <c r="P98" s="518">
        <f t="shared" si="61"/>
        <v>3528886.7</v>
      </c>
      <c r="R98" s="518">
        <f t="shared" si="62"/>
        <v>0</v>
      </c>
      <c r="S98" s="518">
        <f t="shared" si="65"/>
        <v>415.79166666666669</v>
      </c>
      <c r="T98" s="518">
        <f t="shared" si="67"/>
        <v>878.85</v>
      </c>
      <c r="U98" s="518">
        <f t="shared" si="68"/>
        <v>4172.1833333333334</v>
      </c>
      <c r="V98" s="518">
        <f t="shared" si="69"/>
        <v>6601.6416666666664</v>
      </c>
      <c r="W98" s="518">
        <f t="shared" si="70"/>
        <v>5314.0657499999998</v>
      </c>
      <c r="X98" s="518">
        <f t="shared" si="71"/>
        <v>4037.2521666666667</v>
      </c>
      <c r="Y98" s="518">
        <f t="shared" si="72"/>
        <v>2285.2750000000001</v>
      </c>
      <c r="Z98" s="518">
        <f t="shared" si="73"/>
        <v>1091.7583333333334</v>
      </c>
      <c r="AA98" s="518">
        <f t="shared" si="74"/>
        <v>1269.9591666666668</v>
      </c>
      <c r="AB98" s="518">
        <f t="shared" si="75"/>
        <v>606.67849999999999</v>
      </c>
      <c r="AC98" s="518">
        <f t="shared" si="76"/>
        <v>476.46666666666664</v>
      </c>
      <c r="AD98" s="518">
        <f t="shared" si="78"/>
        <v>1657.7180833333332</v>
      </c>
      <c r="AE98" s="518">
        <f t="shared" si="79"/>
        <v>3516.1947500000001</v>
      </c>
      <c r="AF98" s="518">
        <f t="shared" si="80"/>
        <v>1564.4</v>
      </c>
      <c r="AG98" s="518">
        <f t="shared" si="81"/>
        <v>2587.7750000000001</v>
      </c>
      <c r="AH98" s="518">
        <f t="shared" si="82"/>
        <v>2302.7285000000002</v>
      </c>
      <c r="AI98" s="518">
        <f t="shared" si="83"/>
        <v>1957.7</v>
      </c>
      <c r="AJ98" s="518">
        <f t="shared" si="84"/>
        <v>1067.125</v>
      </c>
      <c r="AK98" s="518">
        <f t="shared" si="85"/>
        <v>1806.075</v>
      </c>
      <c r="AL98" s="518">
        <f t="shared" si="86"/>
        <v>1723.2054166666667</v>
      </c>
      <c r="AM98" s="518">
        <f t="shared" si="87"/>
        <v>3010.375</v>
      </c>
      <c r="AN98" s="518">
        <f t="shared" si="88"/>
        <v>920.83333333333337</v>
      </c>
      <c r="AO98" s="518">
        <f t="shared" si="89"/>
        <v>1423.5416666666667</v>
      </c>
      <c r="AP98" s="518">
        <f t="shared" si="90"/>
        <v>1452.5480833333336</v>
      </c>
      <c r="AQ98" s="518">
        <f t="shared" si="91"/>
        <v>783.11666666666667</v>
      </c>
      <c r="AR98" s="518">
        <f t="shared" si="92"/>
        <v>2080.4166666666665</v>
      </c>
      <c r="AS98" s="518">
        <f t="shared" si="94"/>
        <v>688.7</v>
      </c>
      <c r="AT98" s="518">
        <f t="shared" ref="AT98:AT152" si="95">$J$33/120</f>
        <v>1607.9597499999998</v>
      </c>
      <c r="AU98" s="518">
        <f t="shared" si="38"/>
        <v>690.61666666666667</v>
      </c>
      <c r="AV98" s="518">
        <f t="shared" si="39"/>
        <v>1347.6258333333333</v>
      </c>
      <c r="AW98" s="518">
        <f t="shared" si="41"/>
        <v>1038.7249999999999</v>
      </c>
      <c r="AX98" s="518">
        <f t="shared" si="42"/>
        <v>1395.9028333333333</v>
      </c>
      <c r="AY98" s="518">
        <f t="shared" si="43"/>
        <v>1365.0055</v>
      </c>
      <c r="AZ98" s="518">
        <f t="shared" si="44"/>
        <v>1159.0916666666667</v>
      </c>
      <c r="BA98" s="518">
        <f t="shared" si="45"/>
        <v>2655.8122499999999</v>
      </c>
      <c r="BB98" s="518">
        <f t="shared" si="46"/>
        <v>468.33333333333331</v>
      </c>
      <c r="BC98" s="518">
        <f t="shared" si="47"/>
        <v>1748.4833333333333</v>
      </c>
      <c r="BD98" s="518">
        <f t="shared" si="48"/>
        <v>1459.5083333333334</v>
      </c>
      <c r="BE98" s="518">
        <f t="shared" si="49"/>
        <v>1540.15</v>
      </c>
      <c r="BF98" s="518">
        <f t="shared" si="50"/>
        <v>1080.8333333333333</v>
      </c>
      <c r="BG98" s="619">
        <f t="shared" si="51"/>
        <v>1650.4333333333334</v>
      </c>
      <c r="BH98" s="619">
        <f t="shared" si="52"/>
        <v>811.25</v>
      </c>
      <c r="BI98" s="619">
        <f t="shared" si="53"/>
        <v>2408.09375</v>
      </c>
      <c r="BJ98" s="619">
        <f t="shared" si="54"/>
        <v>0</v>
      </c>
      <c r="BK98" s="619">
        <f t="shared" si="55"/>
        <v>102.93333333333334</v>
      </c>
      <c r="BL98" s="619"/>
      <c r="BM98" s="619">
        <f t="shared" si="56"/>
        <v>1336.6676666666667</v>
      </c>
      <c r="BN98" s="619">
        <f t="shared" si="57"/>
        <v>477.23883333333339</v>
      </c>
      <c r="BO98" s="619">
        <f t="shared" si="58"/>
        <v>0</v>
      </c>
      <c r="BP98" s="619">
        <f t="shared" si="59"/>
        <v>97.898666666666671</v>
      </c>
      <c r="BQ98" s="518">
        <f t="shared" si="66"/>
        <v>80134.938833333305</v>
      </c>
    </row>
    <row r="99" spans="1:69" s="585" customFormat="1" ht="12.75" customHeight="1" outlineLevel="1">
      <c r="A99" s="308" t="s">
        <v>58</v>
      </c>
      <c r="B99" s="308">
        <f t="shared" si="77"/>
        <v>2023</v>
      </c>
      <c r="C99" s="308" t="s">
        <v>102</v>
      </c>
      <c r="D99" s="518"/>
      <c r="E99" s="518"/>
      <c r="F99" s="518"/>
      <c r="G99" s="518"/>
      <c r="H99" s="518"/>
      <c r="I99" s="518"/>
      <c r="J99" s="518">
        <f t="shared" si="60"/>
        <v>0</v>
      </c>
      <c r="K99" s="518">
        <f t="shared" si="63"/>
        <v>9616192.6599999983</v>
      </c>
      <c r="L99" s="518"/>
      <c r="M99" s="518">
        <f t="shared" si="93"/>
        <v>62867.510000000024</v>
      </c>
      <c r="N99" s="518">
        <f t="shared" si="64"/>
        <v>6150173.4699999979</v>
      </c>
      <c r="O99" s="518"/>
      <c r="P99" s="518">
        <f t="shared" si="61"/>
        <v>3466019.1900000004</v>
      </c>
      <c r="R99" s="518">
        <f t="shared" si="62"/>
        <v>0</v>
      </c>
      <c r="S99" s="518">
        <f t="shared" si="65"/>
        <v>415.79166666666669</v>
      </c>
      <c r="T99" s="518">
        <f t="shared" si="67"/>
        <v>878.85</v>
      </c>
      <c r="U99" s="518">
        <f t="shared" si="68"/>
        <v>4172.1833333333334</v>
      </c>
      <c r="V99" s="518">
        <f t="shared" si="69"/>
        <v>6601.6416666666664</v>
      </c>
      <c r="W99" s="518">
        <f t="shared" si="70"/>
        <v>5314.0657499999998</v>
      </c>
      <c r="X99" s="518">
        <f t="shared" si="71"/>
        <v>4037.2521666666667</v>
      </c>
      <c r="Y99" s="518">
        <f t="shared" si="72"/>
        <v>2285.2750000000001</v>
      </c>
      <c r="Z99" s="518">
        <f t="shared" si="73"/>
        <v>1091.7583333333334</v>
      </c>
      <c r="AA99" s="518">
        <f t="shared" si="74"/>
        <v>1269.9591666666668</v>
      </c>
      <c r="AB99" s="518">
        <f t="shared" si="75"/>
        <v>606.67849999999999</v>
      </c>
      <c r="AC99" s="518">
        <f t="shared" si="76"/>
        <v>476.46666666666664</v>
      </c>
      <c r="AD99" s="518">
        <f t="shared" si="78"/>
        <v>1657.7180833333332</v>
      </c>
      <c r="AE99" s="518">
        <f t="shared" si="79"/>
        <v>3516.1947500000001</v>
      </c>
      <c r="AF99" s="518">
        <f t="shared" si="80"/>
        <v>1564.4</v>
      </c>
      <c r="AG99" s="518">
        <f t="shared" si="81"/>
        <v>2587.7750000000001</v>
      </c>
      <c r="AH99" s="518">
        <f t="shared" si="82"/>
        <v>2302.7285000000002</v>
      </c>
      <c r="AI99" s="518">
        <f t="shared" si="83"/>
        <v>1957.7</v>
      </c>
      <c r="AJ99" s="518">
        <f t="shared" si="84"/>
        <v>1067.125</v>
      </c>
      <c r="AK99" s="518">
        <f t="shared" si="85"/>
        <v>1806.075</v>
      </c>
      <c r="AL99" s="518">
        <f t="shared" si="86"/>
        <v>1723.2054166666667</v>
      </c>
      <c r="AM99" s="518">
        <f t="shared" si="87"/>
        <v>3010.375</v>
      </c>
      <c r="AN99" s="518">
        <f t="shared" si="88"/>
        <v>920.83333333333337</v>
      </c>
      <c r="AO99" s="518">
        <f t="shared" si="89"/>
        <v>1423.5416666666667</v>
      </c>
      <c r="AP99" s="518">
        <f t="shared" si="90"/>
        <v>1452.5480833333336</v>
      </c>
      <c r="AQ99" s="518">
        <f t="shared" si="91"/>
        <v>783.11666666666667</v>
      </c>
      <c r="AR99" s="518">
        <f t="shared" si="92"/>
        <v>2080.4166666666665</v>
      </c>
      <c r="AS99" s="518">
        <f t="shared" si="94"/>
        <v>688.7</v>
      </c>
      <c r="AT99" s="518">
        <f t="shared" si="95"/>
        <v>1607.9597499999998</v>
      </c>
      <c r="AU99" s="518">
        <f t="shared" ref="AU99:AU153" si="96">$J$34/120</f>
        <v>690.61666666666667</v>
      </c>
      <c r="AV99" s="518">
        <f t="shared" si="39"/>
        <v>1347.6258333333333</v>
      </c>
      <c r="AW99" s="518">
        <f t="shared" si="41"/>
        <v>1038.7249999999999</v>
      </c>
      <c r="AX99" s="518">
        <f t="shared" si="42"/>
        <v>1395.9028333333333</v>
      </c>
      <c r="AY99" s="518">
        <f t="shared" si="43"/>
        <v>1365.0055</v>
      </c>
      <c r="AZ99" s="518">
        <f t="shared" si="44"/>
        <v>1159.0916666666667</v>
      </c>
      <c r="BA99" s="518">
        <f t="shared" si="45"/>
        <v>2655.8122499999999</v>
      </c>
      <c r="BB99" s="518">
        <f t="shared" si="46"/>
        <v>468.33333333333331</v>
      </c>
      <c r="BC99" s="518">
        <f t="shared" si="47"/>
        <v>1748.4833333333333</v>
      </c>
      <c r="BD99" s="518">
        <f t="shared" si="48"/>
        <v>1459.5083333333334</v>
      </c>
      <c r="BE99" s="518">
        <f t="shared" si="49"/>
        <v>1540.15</v>
      </c>
      <c r="BF99" s="518">
        <f t="shared" si="50"/>
        <v>1080.8333333333333</v>
      </c>
      <c r="BG99" s="619">
        <f t="shared" si="51"/>
        <v>1650.4333333333334</v>
      </c>
      <c r="BH99" s="619">
        <f t="shared" si="52"/>
        <v>811.25</v>
      </c>
      <c r="BI99" s="619">
        <f t="shared" si="53"/>
        <v>2408.09375</v>
      </c>
      <c r="BJ99" s="619">
        <f t="shared" si="54"/>
        <v>0</v>
      </c>
      <c r="BK99" s="619">
        <f t="shared" si="55"/>
        <v>102.93333333333334</v>
      </c>
      <c r="BL99" s="619"/>
      <c r="BM99" s="619">
        <f t="shared" si="56"/>
        <v>1336.6676666666667</v>
      </c>
      <c r="BN99" s="619">
        <f t="shared" si="57"/>
        <v>477.23883333333339</v>
      </c>
      <c r="BO99" s="619">
        <f t="shared" si="58"/>
        <v>0</v>
      </c>
      <c r="BP99" s="619">
        <f t="shared" si="59"/>
        <v>97.898666666666671</v>
      </c>
      <c r="BQ99" s="518">
        <f t="shared" si="66"/>
        <v>80134.938833333305</v>
      </c>
    </row>
    <row r="100" spans="1:69" s="585" customFormat="1" ht="12.75" customHeight="1" outlineLevel="1">
      <c r="A100" s="308" t="s">
        <v>59</v>
      </c>
      <c r="B100" s="308">
        <f t="shared" si="77"/>
        <v>2023</v>
      </c>
      <c r="C100" s="308" t="s">
        <v>102</v>
      </c>
      <c r="D100" s="518"/>
      <c r="E100" s="518"/>
      <c r="F100" s="518"/>
      <c r="G100" s="518"/>
      <c r="H100" s="518"/>
      <c r="I100" s="518"/>
      <c r="J100" s="518">
        <f t="shared" si="60"/>
        <v>0</v>
      </c>
      <c r="K100" s="518">
        <f t="shared" si="63"/>
        <v>9616192.6599999983</v>
      </c>
      <c r="L100" s="518"/>
      <c r="M100" s="518">
        <f t="shared" si="93"/>
        <v>62867.510000000024</v>
      </c>
      <c r="N100" s="518">
        <f t="shared" si="64"/>
        <v>6213040.9799999977</v>
      </c>
      <c r="O100" s="518"/>
      <c r="P100" s="518">
        <f t="shared" si="61"/>
        <v>3403151.6800000006</v>
      </c>
      <c r="R100" s="518">
        <f t="shared" si="62"/>
        <v>0</v>
      </c>
      <c r="S100" s="518">
        <f t="shared" si="65"/>
        <v>415.79166666666669</v>
      </c>
      <c r="T100" s="518">
        <f t="shared" si="67"/>
        <v>878.85</v>
      </c>
      <c r="U100" s="518">
        <f t="shared" si="68"/>
        <v>4172.1833333333334</v>
      </c>
      <c r="V100" s="518">
        <f t="shared" si="69"/>
        <v>6601.6416666666664</v>
      </c>
      <c r="W100" s="518">
        <f t="shared" si="70"/>
        <v>5314.0657499999998</v>
      </c>
      <c r="X100" s="518">
        <f t="shared" si="71"/>
        <v>4037.2521666666667</v>
      </c>
      <c r="Y100" s="518">
        <f t="shared" si="72"/>
        <v>2285.2750000000001</v>
      </c>
      <c r="Z100" s="518">
        <f t="shared" si="73"/>
        <v>1091.7583333333334</v>
      </c>
      <c r="AA100" s="518">
        <f t="shared" si="74"/>
        <v>1269.9591666666668</v>
      </c>
      <c r="AB100" s="518">
        <f t="shared" si="75"/>
        <v>606.67849999999999</v>
      </c>
      <c r="AC100" s="518">
        <f t="shared" si="76"/>
        <v>476.46666666666664</v>
      </c>
      <c r="AD100" s="518">
        <f t="shared" si="78"/>
        <v>1657.7180833333332</v>
      </c>
      <c r="AE100" s="518">
        <f t="shared" si="79"/>
        <v>3516.1947500000001</v>
      </c>
      <c r="AF100" s="518">
        <f t="shared" si="80"/>
        <v>1564.4</v>
      </c>
      <c r="AG100" s="518">
        <f t="shared" si="81"/>
        <v>2587.7750000000001</v>
      </c>
      <c r="AH100" s="518">
        <f t="shared" si="82"/>
        <v>2302.7285000000002</v>
      </c>
      <c r="AI100" s="518">
        <f t="shared" si="83"/>
        <v>1957.7</v>
      </c>
      <c r="AJ100" s="518">
        <f t="shared" si="84"/>
        <v>1067.125</v>
      </c>
      <c r="AK100" s="518">
        <f t="shared" si="85"/>
        <v>1806.075</v>
      </c>
      <c r="AL100" s="518">
        <f t="shared" si="86"/>
        <v>1723.2054166666667</v>
      </c>
      <c r="AM100" s="518">
        <f t="shared" si="87"/>
        <v>3010.375</v>
      </c>
      <c r="AN100" s="518">
        <f t="shared" si="88"/>
        <v>920.83333333333337</v>
      </c>
      <c r="AO100" s="518">
        <f t="shared" si="89"/>
        <v>1423.5416666666667</v>
      </c>
      <c r="AP100" s="518">
        <f t="shared" si="90"/>
        <v>1452.5480833333336</v>
      </c>
      <c r="AQ100" s="518">
        <f t="shared" si="91"/>
        <v>783.11666666666667</v>
      </c>
      <c r="AR100" s="518">
        <f t="shared" si="92"/>
        <v>2080.4166666666665</v>
      </c>
      <c r="AS100" s="518">
        <f t="shared" si="94"/>
        <v>688.7</v>
      </c>
      <c r="AT100" s="518">
        <f t="shared" si="95"/>
        <v>1607.9597499999998</v>
      </c>
      <c r="AU100" s="518">
        <f t="shared" si="96"/>
        <v>690.61666666666667</v>
      </c>
      <c r="AV100" s="518">
        <f t="shared" ref="AV100:AV154" si="97">$J$35/120</f>
        <v>1347.6258333333333</v>
      </c>
      <c r="AW100" s="518">
        <f t="shared" si="41"/>
        <v>1038.7249999999999</v>
      </c>
      <c r="AX100" s="518">
        <f t="shared" si="42"/>
        <v>1395.9028333333333</v>
      </c>
      <c r="AY100" s="518">
        <f t="shared" si="43"/>
        <v>1365.0055</v>
      </c>
      <c r="AZ100" s="518">
        <f t="shared" si="44"/>
        <v>1159.0916666666667</v>
      </c>
      <c r="BA100" s="518">
        <f t="shared" si="45"/>
        <v>2655.8122499999999</v>
      </c>
      <c r="BB100" s="518">
        <f t="shared" si="46"/>
        <v>468.33333333333331</v>
      </c>
      <c r="BC100" s="518">
        <f t="shared" si="47"/>
        <v>1748.4833333333333</v>
      </c>
      <c r="BD100" s="518">
        <f t="shared" si="48"/>
        <v>1459.5083333333334</v>
      </c>
      <c r="BE100" s="518">
        <f t="shared" si="49"/>
        <v>1540.15</v>
      </c>
      <c r="BF100" s="518">
        <f t="shared" si="50"/>
        <v>1080.8333333333333</v>
      </c>
      <c r="BG100" s="619">
        <f t="shared" si="51"/>
        <v>1650.4333333333334</v>
      </c>
      <c r="BH100" s="619">
        <f t="shared" si="52"/>
        <v>811.25</v>
      </c>
      <c r="BI100" s="619">
        <f t="shared" si="53"/>
        <v>2408.09375</v>
      </c>
      <c r="BJ100" s="619">
        <f t="shared" si="54"/>
        <v>0</v>
      </c>
      <c r="BK100" s="619">
        <f t="shared" si="55"/>
        <v>102.93333333333334</v>
      </c>
      <c r="BL100" s="619"/>
      <c r="BM100" s="619">
        <f t="shared" si="56"/>
        <v>1336.6676666666667</v>
      </c>
      <c r="BN100" s="619">
        <f t="shared" si="57"/>
        <v>477.23883333333339</v>
      </c>
      <c r="BO100" s="619">
        <f t="shared" si="58"/>
        <v>0</v>
      </c>
      <c r="BP100" s="619">
        <f t="shared" si="59"/>
        <v>97.898666666666671</v>
      </c>
      <c r="BQ100" s="518">
        <f t="shared" si="66"/>
        <v>80134.938833333305</v>
      </c>
    </row>
    <row r="101" spans="1:69" s="585" customFormat="1" ht="12.75" customHeight="1" outlineLevel="1">
      <c r="A101" s="308" t="s">
        <v>46</v>
      </c>
      <c r="B101" s="308">
        <f t="shared" si="77"/>
        <v>2023</v>
      </c>
      <c r="C101" s="308" t="s">
        <v>102</v>
      </c>
      <c r="D101" s="518"/>
      <c r="E101" s="518"/>
      <c r="F101" s="518"/>
      <c r="G101" s="518"/>
      <c r="H101" s="518"/>
      <c r="I101" s="518"/>
      <c r="J101" s="518">
        <f t="shared" ref="J101:J132" si="98">SUM(D101:H101)</f>
        <v>0</v>
      </c>
      <c r="K101" s="518">
        <f t="shared" si="63"/>
        <v>9616192.6599999983</v>
      </c>
      <c r="L101" s="518"/>
      <c r="M101" s="518">
        <f t="shared" si="93"/>
        <v>62867.510000000024</v>
      </c>
      <c r="N101" s="518">
        <f t="shared" si="64"/>
        <v>6275908.4899999974</v>
      </c>
      <c r="O101" s="518"/>
      <c r="P101" s="518">
        <f t="shared" si="61"/>
        <v>3340284.1700000009</v>
      </c>
      <c r="R101" s="518">
        <f t="shared" si="62"/>
        <v>0</v>
      </c>
      <c r="S101" s="518">
        <f t="shared" si="65"/>
        <v>415.79166666666669</v>
      </c>
      <c r="T101" s="518">
        <f t="shared" si="67"/>
        <v>878.85</v>
      </c>
      <c r="U101" s="518">
        <f t="shared" si="68"/>
        <v>4172.1833333333334</v>
      </c>
      <c r="V101" s="518">
        <f t="shared" si="69"/>
        <v>6601.6416666666664</v>
      </c>
      <c r="W101" s="518">
        <f t="shared" si="70"/>
        <v>5314.0657499999998</v>
      </c>
      <c r="X101" s="518">
        <f t="shared" si="71"/>
        <v>4037.2521666666667</v>
      </c>
      <c r="Y101" s="518">
        <f t="shared" si="72"/>
        <v>2285.2750000000001</v>
      </c>
      <c r="Z101" s="518">
        <f t="shared" si="73"/>
        <v>1091.7583333333334</v>
      </c>
      <c r="AA101" s="518">
        <f t="shared" si="74"/>
        <v>1269.9591666666668</v>
      </c>
      <c r="AB101" s="518">
        <f t="shared" si="75"/>
        <v>606.67849999999999</v>
      </c>
      <c r="AC101" s="518">
        <f t="shared" si="76"/>
        <v>476.46666666666664</v>
      </c>
      <c r="AD101" s="518">
        <f t="shared" si="78"/>
        <v>1657.7180833333332</v>
      </c>
      <c r="AE101" s="518">
        <f t="shared" si="79"/>
        <v>3516.1947500000001</v>
      </c>
      <c r="AF101" s="518">
        <f t="shared" si="80"/>
        <v>1564.4</v>
      </c>
      <c r="AG101" s="518">
        <f t="shared" si="81"/>
        <v>2587.7750000000001</v>
      </c>
      <c r="AH101" s="518">
        <f t="shared" si="82"/>
        <v>2302.7285000000002</v>
      </c>
      <c r="AI101" s="518">
        <f t="shared" si="83"/>
        <v>1957.7</v>
      </c>
      <c r="AJ101" s="518">
        <f t="shared" si="84"/>
        <v>1067.125</v>
      </c>
      <c r="AK101" s="518">
        <f t="shared" si="85"/>
        <v>1806.075</v>
      </c>
      <c r="AL101" s="518">
        <f t="shared" si="86"/>
        <v>1723.2054166666667</v>
      </c>
      <c r="AM101" s="518">
        <f t="shared" si="87"/>
        <v>3010.375</v>
      </c>
      <c r="AN101" s="518">
        <f t="shared" si="88"/>
        <v>920.83333333333337</v>
      </c>
      <c r="AO101" s="518">
        <f t="shared" si="89"/>
        <v>1423.5416666666667</v>
      </c>
      <c r="AP101" s="518">
        <f t="shared" si="90"/>
        <v>1452.5480833333336</v>
      </c>
      <c r="AQ101" s="518">
        <f t="shared" si="91"/>
        <v>783.11666666666667</v>
      </c>
      <c r="AR101" s="518">
        <f t="shared" si="92"/>
        <v>2080.4166666666665</v>
      </c>
      <c r="AS101" s="518">
        <f t="shared" si="94"/>
        <v>688.7</v>
      </c>
      <c r="AT101" s="518">
        <f t="shared" si="95"/>
        <v>1607.9597499999998</v>
      </c>
      <c r="AU101" s="518">
        <f t="shared" si="96"/>
        <v>690.61666666666667</v>
      </c>
      <c r="AV101" s="518">
        <f t="shared" si="97"/>
        <v>1347.6258333333333</v>
      </c>
      <c r="AW101" s="518">
        <f t="shared" ref="AW101:AW155" si="99">$J$36/120</f>
        <v>1038.7249999999999</v>
      </c>
      <c r="AX101" s="518">
        <f t="shared" si="42"/>
        <v>1395.9028333333333</v>
      </c>
      <c r="AY101" s="518">
        <f t="shared" si="43"/>
        <v>1365.0055</v>
      </c>
      <c r="AZ101" s="518">
        <f t="shared" si="44"/>
        <v>1159.0916666666667</v>
      </c>
      <c r="BA101" s="518">
        <f t="shared" si="45"/>
        <v>2655.8122499999999</v>
      </c>
      <c r="BB101" s="518">
        <f t="shared" si="46"/>
        <v>468.33333333333331</v>
      </c>
      <c r="BC101" s="518">
        <f t="shared" si="47"/>
        <v>1748.4833333333333</v>
      </c>
      <c r="BD101" s="518">
        <f t="shared" si="48"/>
        <v>1459.5083333333334</v>
      </c>
      <c r="BE101" s="518">
        <f t="shared" si="49"/>
        <v>1540.15</v>
      </c>
      <c r="BF101" s="518">
        <f t="shared" si="50"/>
        <v>1080.8333333333333</v>
      </c>
      <c r="BG101" s="619">
        <f t="shared" si="51"/>
        <v>1650.4333333333334</v>
      </c>
      <c r="BH101" s="619">
        <f t="shared" si="52"/>
        <v>811.25</v>
      </c>
      <c r="BI101" s="619">
        <f t="shared" si="53"/>
        <v>2408.09375</v>
      </c>
      <c r="BJ101" s="619">
        <f t="shared" si="54"/>
        <v>0</v>
      </c>
      <c r="BK101" s="619">
        <f t="shared" si="55"/>
        <v>102.93333333333334</v>
      </c>
      <c r="BL101" s="619"/>
      <c r="BM101" s="619">
        <f t="shared" si="56"/>
        <v>1336.6676666666667</v>
      </c>
      <c r="BN101" s="619">
        <f t="shared" si="57"/>
        <v>477.23883333333339</v>
      </c>
      <c r="BO101" s="619">
        <f t="shared" si="58"/>
        <v>0</v>
      </c>
      <c r="BP101" s="619">
        <f t="shared" si="59"/>
        <v>97.898666666666671</v>
      </c>
      <c r="BQ101" s="518">
        <f t="shared" si="66"/>
        <v>80134.938833333305</v>
      </c>
    </row>
    <row r="102" spans="1:69" s="585" customFormat="1" ht="12.75" customHeight="1" outlineLevel="1">
      <c r="A102" s="308" t="s">
        <v>48</v>
      </c>
      <c r="B102" s="308">
        <f t="shared" si="77"/>
        <v>2023</v>
      </c>
      <c r="C102" s="308" t="s">
        <v>102</v>
      </c>
      <c r="D102" s="518"/>
      <c r="E102" s="518"/>
      <c r="F102" s="518"/>
      <c r="G102" s="518"/>
      <c r="H102" s="518"/>
      <c r="I102" s="518"/>
      <c r="J102" s="518">
        <f t="shared" si="98"/>
        <v>0</v>
      </c>
      <c r="K102" s="518">
        <f t="shared" si="63"/>
        <v>9616192.6599999983</v>
      </c>
      <c r="L102" s="518"/>
      <c r="M102" s="518">
        <f t="shared" si="93"/>
        <v>62867.510000000024</v>
      </c>
      <c r="N102" s="518">
        <f t="shared" si="64"/>
        <v>6338775.9999999972</v>
      </c>
      <c r="O102" s="518"/>
      <c r="P102" s="518">
        <f t="shared" si="61"/>
        <v>3277416.6600000011</v>
      </c>
      <c r="R102" s="518">
        <f t="shared" si="62"/>
        <v>0</v>
      </c>
      <c r="S102" s="518">
        <f t="shared" si="65"/>
        <v>415.79166666666669</v>
      </c>
      <c r="T102" s="518">
        <f t="shared" si="67"/>
        <v>878.85</v>
      </c>
      <c r="U102" s="518">
        <f t="shared" si="68"/>
        <v>4172.1833333333334</v>
      </c>
      <c r="V102" s="518">
        <f t="shared" si="69"/>
        <v>6601.6416666666664</v>
      </c>
      <c r="W102" s="518">
        <f t="shared" si="70"/>
        <v>5314.0657499999998</v>
      </c>
      <c r="X102" s="518">
        <f t="shared" si="71"/>
        <v>4037.2521666666667</v>
      </c>
      <c r="Y102" s="518">
        <f t="shared" si="72"/>
        <v>2285.2750000000001</v>
      </c>
      <c r="Z102" s="518">
        <f t="shared" si="73"/>
        <v>1091.7583333333334</v>
      </c>
      <c r="AA102" s="518">
        <f t="shared" si="74"/>
        <v>1269.9591666666668</v>
      </c>
      <c r="AB102" s="518">
        <f t="shared" si="75"/>
        <v>606.67849999999999</v>
      </c>
      <c r="AC102" s="518">
        <f t="shared" si="76"/>
        <v>476.46666666666664</v>
      </c>
      <c r="AD102" s="518">
        <f t="shared" si="78"/>
        <v>1657.7180833333332</v>
      </c>
      <c r="AE102" s="518">
        <f t="shared" si="79"/>
        <v>3516.1947500000001</v>
      </c>
      <c r="AF102" s="518">
        <f t="shared" si="80"/>
        <v>1564.4</v>
      </c>
      <c r="AG102" s="518">
        <f t="shared" si="81"/>
        <v>2587.7750000000001</v>
      </c>
      <c r="AH102" s="518">
        <f t="shared" si="82"/>
        <v>2302.7285000000002</v>
      </c>
      <c r="AI102" s="518">
        <f t="shared" si="83"/>
        <v>1957.7</v>
      </c>
      <c r="AJ102" s="518">
        <f t="shared" si="84"/>
        <v>1067.125</v>
      </c>
      <c r="AK102" s="518">
        <f t="shared" si="85"/>
        <v>1806.075</v>
      </c>
      <c r="AL102" s="518">
        <f t="shared" si="86"/>
        <v>1723.2054166666667</v>
      </c>
      <c r="AM102" s="518">
        <f t="shared" si="87"/>
        <v>3010.375</v>
      </c>
      <c r="AN102" s="518">
        <f t="shared" si="88"/>
        <v>920.83333333333337</v>
      </c>
      <c r="AO102" s="518">
        <f t="shared" si="89"/>
        <v>1423.5416666666667</v>
      </c>
      <c r="AP102" s="518">
        <f t="shared" si="90"/>
        <v>1452.5480833333336</v>
      </c>
      <c r="AQ102" s="518">
        <f t="shared" si="91"/>
        <v>783.11666666666667</v>
      </c>
      <c r="AR102" s="518">
        <f t="shared" si="92"/>
        <v>2080.4166666666665</v>
      </c>
      <c r="AS102" s="518">
        <f t="shared" si="94"/>
        <v>688.7</v>
      </c>
      <c r="AT102" s="518">
        <f t="shared" si="95"/>
        <v>1607.9597499999998</v>
      </c>
      <c r="AU102" s="518">
        <f t="shared" si="96"/>
        <v>690.61666666666667</v>
      </c>
      <c r="AV102" s="518">
        <f t="shared" si="97"/>
        <v>1347.6258333333333</v>
      </c>
      <c r="AW102" s="518">
        <f t="shared" si="99"/>
        <v>1038.7249999999999</v>
      </c>
      <c r="AX102" s="518">
        <f t="shared" ref="AX102:AX156" si="100">$J$37/120</f>
        <v>1395.9028333333333</v>
      </c>
      <c r="AY102" s="518">
        <f t="shared" si="43"/>
        <v>1365.0055</v>
      </c>
      <c r="AZ102" s="518">
        <f t="shared" si="44"/>
        <v>1159.0916666666667</v>
      </c>
      <c r="BA102" s="518">
        <f t="shared" si="45"/>
        <v>2655.8122499999999</v>
      </c>
      <c r="BB102" s="518">
        <f t="shared" si="46"/>
        <v>468.33333333333331</v>
      </c>
      <c r="BC102" s="518">
        <f t="shared" si="47"/>
        <v>1748.4833333333333</v>
      </c>
      <c r="BD102" s="518">
        <f t="shared" si="48"/>
        <v>1459.5083333333334</v>
      </c>
      <c r="BE102" s="518">
        <f t="shared" si="49"/>
        <v>1540.15</v>
      </c>
      <c r="BF102" s="518">
        <f t="shared" si="50"/>
        <v>1080.8333333333333</v>
      </c>
      <c r="BG102" s="619">
        <f t="shared" si="51"/>
        <v>1650.4333333333334</v>
      </c>
      <c r="BH102" s="619">
        <f t="shared" si="52"/>
        <v>811.25</v>
      </c>
      <c r="BI102" s="619">
        <f t="shared" si="53"/>
        <v>2408.09375</v>
      </c>
      <c r="BJ102" s="619">
        <f t="shared" si="54"/>
        <v>0</v>
      </c>
      <c r="BK102" s="619">
        <f t="shared" si="55"/>
        <v>102.93333333333334</v>
      </c>
      <c r="BL102" s="619"/>
      <c r="BM102" s="619">
        <f t="shared" si="56"/>
        <v>1336.6676666666667</v>
      </c>
      <c r="BN102" s="619">
        <f t="shared" si="57"/>
        <v>477.23883333333339</v>
      </c>
      <c r="BO102" s="619">
        <f t="shared" si="58"/>
        <v>0</v>
      </c>
      <c r="BP102" s="619">
        <f t="shared" si="59"/>
        <v>97.898666666666671</v>
      </c>
      <c r="BQ102" s="518">
        <f t="shared" si="66"/>
        <v>80134.938833333305</v>
      </c>
    </row>
    <row r="103" spans="1:69" s="585" customFormat="1" ht="12.75" customHeight="1" outlineLevel="1">
      <c r="A103" s="308" t="s">
        <v>50</v>
      </c>
      <c r="B103" s="308">
        <f t="shared" si="77"/>
        <v>2023</v>
      </c>
      <c r="C103" s="308" t="s">
        <v>102</v>
      </c>
      <c r="D103" s="518"/>
      <c r="E103" s="518"/>
      <c r="F103" s="518"/>
      <c r="G103" s="518"/>
      <c r="H103" s="518"/>
      <c r="I103" s="518"/>
      <c r="J103" s="518">
        <f t="shared" si="98"/>
        <v>0</v>
      </c>
      <c r="K103" s="518">
        <f t="shared" si="63"/>
        <v>9616192.6599999983</v>
      </c>
      <c r="L103" s="518"/>
      <c r="M103" s="518">
        <f t="shared" si="93"/>
        <v>62867.510000000024</v>
      </c>
      <c r="N103" s="518">
        <f t="shared" si="64"/>
        <v>6401643.509999997</v>
      </c>
      <c r="O103" s="518"/>
      <c r="P103" s="518">
        <f t="shared" si="61"/>
        <v>3214549.1500000013</v>
      </c>
      <c r="R103" s="518">
        <f t="shared" si="62"/>
        <v>0</v>
      </c>
      <c r="S103" s="518">
        <f t="shared" si="65"/>
        <v>415.79166666666669</v>
      </c>
      <c r="T103" s="518">
        <f t="shared" si="67"/>
        <v>878.85</v>
      </c>
      <c r="U103" s="518">
        <f t="shared" si="68"/>
        <v>4172.1833333333334</v>
      </c>
      <c r="V103" s="518">
        <f t="shared" si="69"/>
        <v>6601.6416666666664</v>
      </c>
      <c r="W103" s="518">
        <f t="shared" si="70"/>
        <v>5314.0657499999998</v>
      </c>
      <c r="X103" s="518">
        <f t="shared" si="71"/>
        <v>4037.2521666666667</v>
      </c>
      <c r="Y103" s="518">
        <f t="shared" si="72"/>
        <v>2285.2750000000001</v>
      </c>
      <c r="Z103" s="518">
        <f t="shared" si="73"/>
        <v>1091.7583333333334</v>
      </c>
      <c r="AA103" s="518">
        <f t="shared" si="74"/>
        <v>1269.9591666666668</v>
      </c>
      <c r="AB103" s="518">
        <f t="shared" si="75"/>
        <v>606.67849999999999</v>
      </c>
      <c r="AC103" s="518">
        <f t="shared" si="76"/>
        <v>476.46666666666664</v>
      </c>
      <c r="AD103" s="518">
        <f t="shared" si="78"/>
        <v>1657.7180833333332</v>
      </c>
      <c r="AE103" s="518">
        <f t="shared" si="79"/>
        <v>3516.1947500000001</v>
      </c>
      <c r="AF103" s="518">
        <f t="shared" si="80"/>
        <v>1564.4</v>
      </c>
      <c r="AG103" s="518">
        <f t="shared" si="81"/>
        <v>2587.7750000000001</v>
      </c>
      <c r="AH103" s="518">
        <f t="shared" si="82"/>
        <v>2302.7285000000002</v>
      </c>
      <c r="AI103" s="518">
        <f t="shared" si="83"/>
        <v>1957.7</v>
      </c>
      <c r="AJ103" s="518">
        <f t="shared" si="84"/>
        <v>1067.125</v>
      </c>
      <c r="AK103" s="518">
        <f t="shared" si="85"/>
        <v>1806.075</v>
      </c>
      <c r="AL103" s="518">
        <f t="shared" si="86"/>
        <v>1723.2054166666667</v>
      </c>
      <c r="AM103" s="518">
        <f t="shared" si="87"/>
        <v>3010.375</v>
      </c>
      <c r="AN103" s="518">
        <f t="shared" si="88"/>
        <v>920.83333333333337</v>
      </c>
      <c r="AO103" s="518">
        <f t="shared" si="89"/>
        <v>1423.5416666666667</v>
      </c>
      <c r="AP103" s="518">
        <f t="shared" si="90"/>
        <v>1452.5480833333336</v>
      </c>
      <c r="AQ103" s="518">
        <f t="shared" si="91"/>
        <v>783.11666666666667</v>
      </c>
      <c r="AR103" s="518">
        <f t="shared" si="92"/>
        <v>2080.4166666666665</v>
      </c>
      <c r="AS103" s="518">
        <f t="shared" si="94"/>
        <v>688.7</v>
      </c>
      <c r="AT103" s="518">
        <f t="shared" si="95"/>
        <v>1607.9597499999998</v>
      </c>
      <c r="AU103" s="518">
        <f t="shared" si="96"/>
        <v>690.61666666666667</v>
      </c>
      <c r="AV103" s="518">
        <f t="shared" si="97"/>
        <v>1347.6258333333333</v>
      </c>
      <c r="AW103" s="518">
        <f t="shared" si="99"/>
        <v>1038.7249999999999</v>
      </c>
      <c r="AX103" s="518">
        <f t="shared" si="100"/>
        <v>1395.9028333333333</v>
      </c>
      <c r="AY103" s="518">
        <f t="shared" ref="AY103:AY157" si="101">$J$38/120</f>
        <v>1365.0055</v>
      </c>
      <c r="AZ103" s="518">
        <f t="shared" si="44"/>
        <v>1159.0916666666667</v>
      </c>
      <c r="BA103" s="518">
        <f t="shared" si="45"/>
        <v>2655.8122499999999</v>
      </c>
      <c r="BB103" s="518">
        <f t="shared" si="46"/>
        <v>468.33333333333331</v>
      </c>
      <c r="BC103" s="518">
        <f t="shared" si="47"/>
        <v>1748.4833333333333</v>
      </c>
      <c r="BD103" s="518">
        <f t="shared" si="48"/>
        <v>1459.5083333333334</v>
      </c>
      <c r="BE103" s="518">
        <f t="shared" si="49"/>
        <v>1540.15</v>
      </c>
      <c r="BF103" s="518">
        <f t="shared" si="50"/>
        <v>1080.8333333333333</v>
      </c>
      <c r="BG103" s="619">
        <f t="shared" si="51"/>
        <v>1650.4333333333334</v>
      </c>
      <c r="BH103" s="619">
        <f t="shared" si="52"/>
        <v>811.25</v>
      </c>
      <c r="BI103" s="619">
        <f t="shared" si="53"/>
        <v>2408.09375</v>
      </c>
      <c r="BJ103" s="619">
        <f t="shared" si="54"/>
        <v>0</v>
      </c>
      <c r="BK103" s="619">
        <f t="shared" si="55"/>
        <v>102.93333333333334</v>
      </c>
      <c r="BL103" s="619"/>
      <c r="BM103" s="619">
        <f t="shared" si="56"/>
        <v>1336.6676666666667</v>
      </c>
      <c r="BN103" s="619">
        <f t="shared" si="57"/>
        <v>477.23883333333339</v>
      </c>
      <c r="BO103" s="619">
        <f t="shared" si="58"/>
        <v>0</v>
      </c>
      <c r="BP103" s="619">
        <f t="shared" si="59"/>
        <v>97.898666666666671</v>
      </c>
      <c r="BQ103" s="518">
        <f t="shared" si="66"/>
        <v>80134.938833333305</v>
      </c>
    </row>
    <row r="104" spans="1:69" s="585" customFormat="1" ht="12.75" customHeight="1" outlineLevel="1">
      <c r="A104" s="308" t="s">
        <v>51</v>
      </c>
      <c r="B104" s="308">
        <f t="shared" si="77"/>
        <v>2023</v>
      </c>
      <c r="C104" s="308" t="s">
        <v>102</v>
      </c>
      <c r="D104" s="518"/>
      <c r="E104" s="518"/>
      <c r="F104" s="518"/>
      <c r="G104" s="518"/>
      <c r="H104" s="518"/>
      <c r="I104" s="518"/>
      <c r="J104" s="518">
        <f t="shared" si="98"/>
        <v>0</v>
      </c>
      <c r="K104" s="518">
        <f t="shared" si="63"/>
        <v>9616192.6599999983</v>
      </c>
      <c r="L104" s="518"/>
      <c r="M104" s="518">
        <f t="shared" si="93"/>
        <v>62867.510000000024</v>
      </c>
      <c r="N104" s="518">
        <f t="shared" si="64"/>
        <v>6464511.0199999968</v>
      </c>
      <c r="O104" s="518"/>
      <c r="P104" s="518">
        <f t="shared" si="61"/>
        <v>3151681.6400000015</v>
      </c>
      <c r="R104" s="518">
        <f t="shared" si="62"/>
        <v>0</v>
      </c>
      <c r="S104" s="518">
        <f t="shared" si="65"/>
        <v>415.79166666666669</v>
      </c>
      <c r="T104" s="518">
        <f t="shared" si="67"/>
        <v>878.85</v>
      </c>
      <c r="U104" s="518">
        <f t="shared" si="68"/>
        <v>4172.1833333333334</v>
      </c>
      <c r="V104" s="518">
        <f t="shared" si="69"/>
        <v>6601.6416666666664</v>
      </c>
      <c r="W104" s="518">
        <f t="shared" si="70"/>
        <v>5314.0657499999998</v>
      </c>
      <c r="X104" s="518">
        <f t="shared" si="71"/>
        <v>4037.2521666666667</v>
      </c>
      <c r="Y104" s="518">
        <f t="shared" si="72"/>
        <v>2285.2750000000001</v>
      </c>
      <c r="Z104" s="518">
        <f t="shared" si="73"/>
        <v>1091.7583333333334</v>
      </c>
      <c r="AA104" s="518">
        <f t="shared" si="74"/>
        <v>1269.9591666666668</v>
      </c>
      <c r="AB104" s="518">
        <f t="shared" si="75"/>
        <v>606.67849999999999</v>
      </c>
      <c r="AC104" s="518">
        <f t="shared" si="76"/>
        <v>476.46666666666664</v>
      </c>
      <c r="AD104" s="518">
        <f t="shared" si="78"/>
        <v>1657.7180833333332</v>
      </c>
      <c r="AE104" s="518">
        <f t="shared" si="79"/>
        <v>3516.1947500000001</v>
      </c>
      <c r="AF104" s="518">
        <f t="shared" si="80"/>
        <v>1564.4</v>
      </c>
      <c r="AG104" s="518">
        <f t="shared" si="81"/>
        <v>2587.7750000000001</v>
      </c>
      <c r="AH104" s="518">
        <f t="shared" si="82"/>
        <v>2302.7285000000002</v>
      </c>
      <c r="AI104" s="518">
        <f t="shared" si="83"/>
        <v>1957.7</v>
      </c>
      <c r="AJ104" s="518">
        <f t="shared" si="84"/>
        <v>1067.125</v>
      </c>
      <c r="AK104" s="518">
        <f t="shared" si="85"/>
        <v>1806.075</v>
      </c>
      <c r="AL104" s="518">
        <f t="shared" si="86"/>
        <v>1723.2054166666667</v>
      </c>
      <c r="AM104" s="518">
        <f t="shared" si="87"/>
        <v>3010.375</v>
      </c>
      <c r="AN104" s="518">
        <f t="shared" si="88"/>
        <v>920.83333333333337</v>
      </c>
      <c r="AO104" s="518">
        <f t="shared" si="89"/>
        <v>1423.5416666666667</v>
      </c>
      <c r="AP104" s="518">
        <f t="shared" si="90"/>
        <v>1452.5480833333336</v>
      </c>
      <c r="AQ104" s="518">
        <f t="shared" si="91"/>
        <v>783.11666666666667</v>
      </c>
      <c r="AR104" s="518">
        <f t="shared" si="92"/>
        <v>2080.4166666666665</v>
      </c>
      <c r="AS104" s="518">
        <f t="shared" si="94"/>
        <v>688.7</v>
      </c>
      <c r="AT104" s="518">
        <f t="shared" si="95"/>
        <v>1607.9597499999998</v>
      </c>
      <c r="AU104" s="518">
        <f t="shared" si="96"/>
        <v>690.61666666666667</v>
      </c>
      <c r="AV104" s="518">
        <f t="shared" si="97"/>
        <v>1347.6258333333333</v>
      </c>
      <c r="AW104" s="518">
        <f t="shared" si="99"/>
        <v>1038.7249999999999</v>
      </c>
      <c r="AX104" s="518">
        <f t="shared" si="100"/>
        <v>1395.9028333333333</v>
      </c>
      <c r="AY104" s="518">
        <f t="shared" si="101"/>
        <v>1365.0055</v>
      </c>
      <c r="AZ104" s="518">
        <f t="shared" ref="AZ104:AZ158" si="102">$J$39/120</f>
        <v>1159.0916666666667</v>
      </c>
      <c r="BA104" s="518">
        <f t="shared" si="45"/>
        <v>2655.8122499999999</v>
      </c>
      <c r="BB104" s="518">
        <f t="shared" si="46"/>
        <v>468.33333333333331</v>
      </c>
      <c r="BC104" s="518">
        <f t="shared" si="47"/>
        <v>1748.4833333333333</v>
      </c>
      <c r="BD104" s="518">
        <f t="shared" si="48"/>
        <v>1459.5083333333334</v>
      </c>
      <c r="BE104" s="518">
        <f t="shared" si="49"/>
        <v>1540.15</v>
      </c>
      <c r="BF104" s="518">
        <f t="shared" si="50"/>
        <v>1080.8333333333333</v>
      </c>
      <c r="BG104" s="619">
        <f t="shared" si="51"/>
        <v>1650.4333333333334</v>
      </c>
      <c r="BH104" s="619">
        <f t="shared" si="52"/>
        <v>811.25</v>
      </c>
      <c r="BI104" s="619">
        <f t="shared" si="53"/>
        <v>2408.09375</v>
      </c>
      <c r="BJ104" s="619">
        <f t="shared" si="54"/>
        <v>0</v>
      </c>
      <c r="BK104" s="619">
        <f t="shared" si="55"/>
        <v>102.93333333333334</v>
      </c>
      <c r="BL104" s="619"/>
      <c r="BM104" s="619">
        <f t="shared" si="56"/>
        <v>1336.6676666666667</v>
      </c>
      <c r="BN104" s="619">
        <f t="shared" si="57"/>
        <v>477.23883333333339</v>
      </c>
      <c r="BO104" s="619">
        <f t="shared" si="58"/>
        <v>0</v>
      </c>
      <c r="BP104" s="619">
        <f t="shared" si="59"/>
        <v>97.898666666666671</v>
      </c>
      <c r="BQ104" s="518">
        <f t="shared" si="66"/>
        <v>80134.938833333305</v>
      </c>
    </row>
    <row r="105" spans="1:69" s="585" customFormat="1" ht="12.75" customHeight="1" outlineLevel="1">
      <c r="A105" s="308" t="s">
        <v>52</v>
      </c>
      <c r="B105" s="308">
        <f t="shared" si="77"/>
        <v>2023</v>
      </c>
      <c r="C105" s="308" t="s">
        <v>102</v>
      </c>
      <c r="D105" s="518"/>
      <c r="E105" s="518"/>
      <c r="F105" s="518"/>
      <c r="G105" s="518"/>
      <c r="H105" s="518"/>
      <c r="I105" s="518"/>
      <c r="J105" s="518">
        <f t="shared" si="98"/>
        <v>0</v>
      </c>
      <c r="K105" s="518">
        <f t="shared" si="63"/>
        <v>9616192.6599999983</v>
      </c>
      <c r="L105" s="518"/>
      <c r="M105" s="518">
        <f t="shared" si="93"/>
        <v>62867.510000000024</v>
      </c>
      <c r="N105" s="518">
        <f t="shared" si="64"/>
        <v>6527378.5299999965</v>
      </c>
      <c r="O105" s="518"/>
      <c r="P105" s="518">
        <f t="shared" si="61"/>
        <v>3088814.1300000018</v>
      </c>
      <c r="R105" s="518">
        <f t="shared" si="62"/>
        <v>0</v>
      </c>
      <c r="S105" s="518">
        <f t="shared" si="65"/>
        <v>415.79166666666669</v>
      </c>
      <c r="T105" s="518">
        <f t="shared" si="67"/>
        <v>878.85</v>
      </c>
      <c r="U105" s="518">
        <f t="shared" si="68"/>
        <v>4172.1833333333334</v>
      </c>
      <c r="V105" s="518">
        <f t="shared" si="69"/>
        <v>6601.6416666666664</v>
      </c>
      <c r="W105" s="518">
        <f t="shared" si="70"/>
        <v>5314.0657499999998</v>
      </c>
      <c r="X105" s="518">
        <f t="shared" si="71"/>
        <v>4037.2521666666667</v>
      </c>
      <c r="Y105" s="518">
        <f t="shared" si="72"/>
        <v>2285.2750000000001</v>
      </c>
      <c r="Z105" s="518">
        <f t="shared" si="73"/>
        <v>1091.7583333333334</v>
      </c>
      <c r="AA105" s="518">
        <f t="shared" si="74"/>
        <v>1269.9591666666668</v>
      </c>
      <c r="AB105" s="518">
        <f t="shared" si="75"/>
        <v>606.67849999999999</v>
      </c>
      <c r="AC105" s="518">
        <f t="shared" si="76"/>
        <v>476.46666666666664</v>
      </c>
      <c r="AD105" s="518">
        <f t="shared" si="78"/>
        <v>1657.7180833333332</v>
      </c>
      <c r="AE105" s="518">
        <f t="shared" si="79"/>
        <v>3516.1947500000001</v>
      </c>
      <c r="AF105" s="518">
        <f t="shared" si="80"/>
        <v>1564.4</v>
      </c>
      <c r="AG105" s="518">
        <f t="shared" si="81"/>
        <v>2587.7750000000001</v>
      </c>
      <c r="AH105" s="518">
        <f t="shared" si="82"/>
        <v>2302.7285000000002</v>
      </c>
      <c r="AI105" s="518">
        <f t="shared" si="83"/>
        <v>1957.7</v>
      </c>
      <c r="AJ105" s="518">
        <f t="shared" si="84"/>
        <v>1067.125</v>
      </c>
      <c r="AK105" s="518">
        <f t="shared" si="85"/>
        <v>1806.075</v>
      </c>
      <c r="AL105" s="518">
        <f t="shared" si="86"/>
        <v>1723.2054166666667</v>
      </c>
      <c r="AM105" s="518">
        <f t="shared" si="87"/>
        <v>3010.375</v>
      </c>
      <c r="AN105" s="518">
        <f t="shared" si="88"/>
        <v>920.83333333333337</v>
      </c>
      <c r="AO105" s="518">
        <f t="shared" si="89"/>
        <v>1423.5416666666667</v>
      </c>
      <c r="AP105" s="518">
        <f t="shared" si="90"/>
        <v>1452.5480833333336</v>
      </c>
      <c r="AQ105" s="518">
        <f t="shared" si="91"/>
        <v>783.11666666666667</v>
      </c>
      <c r="AR105" s="518">
        <f t="shared" si="92"/>
        <v>2080.4166666666665</v>
      </c>
      <c r="AS105" s="518">
        <f t="shared" si="94"/>
        <v>688.7</v>
      </c>
      <c r="AT105" s="518">
        <f t="shared" si="95"/>
        <v>1607.9597499999998</v>
      </c>
      <c r="AU105" s="518">
        <f t="shared" si="96"/>
        <v>690.61666666666667</v>
      </c>
      <c r="AV105" s="518">
        <f t="shared" si="97"/>
        <v>1347.6258333333333</v>
      </c>
      <c r="AW105" s="518">
        <f t="shared" si="99"/>
        <v>1038.7249999999999</v>
      </c>
      <c r="AX105" s="518">
        <f t="shared" si="100"/>
        <v>1395.9028333333333</v>
      </c>
      <c r="AY105" s="518">
        <f t="shared" si="101"/>
        <v>1365.0055</v>
      </c>
      <c r="AZ105" s="518">
        <f t="shared" si="102"/>
        <v>1159.0916666666667</v>
      </c>
      <c r="BA105" s="518">
        <f t="shared" ref="BA105:BA159" si="103">$J$40/120</f>
        <v>2655.8122499999999</v>
      </c>
      <c r="BB105" s="518">
        <f t="shared" si="46"/>
        <v>468.33333333333331</v>
      </c>
      <c r="BC105" s="518">
        <f t="shared" si="47"/>
        <v>1748.4833333333333</v>
      </c>
      <c r="BD105" s="518">
        <f t="shared" si="48"/>
        <v>1459.5083333333334</v>
      </c>
      <c r="BE105" s="518">
        <f t="shared" si="49"/>
        <v>1540.15</v>
      </c>
      <c r="BF105" s="518">
        <f t="shared" si="50"/>
        <v>1080.8333333333333</v>
      </c>
      <c r="BG105" s="619">
        <f t="shared" si="51"/>
        <v>1650.4333333333334</v>
      </c>
      <c r="BH105" s="619">
        <f t="shared" si="52"/>
        <v>811.25</v>
      </c>
      <c r="BI105" s="619">
        <f t="shared" si="53"/>
        <v>2408.09375</v>
      </c>
      <c r="BJ105" s="619">
        <f t="shared" si="54"/>
        <v>0</v>
      </c>
      <c r="BK105" s="619">
        <f t="shared" si="55"/>
        <v>102.93333333333334</v>
      </c>
      <c r="BL105" s="619"/>
      <c r="BM105" s="619">
        <f t="shared" si="56"/>
        <v>1336.6676666666667</v>
      </c>
      <c r="BN105" s="619">
        <f t="shared" si="57"/>
        <v>477.23883333333339</v>
      </c>
      <c r="BO105" s="619">
        <f t="shared" si="58"/>
        <v>0</v>
      </c>
      <c r="BP105" s="619">
        <f t="shared" si="59"/>
        <v>97.898666666666671</v>
      </c>
      <c r="BQ105" s="518">
        <f t="shared" si="66"/>
        <v>80134.938833333305</v>
      </c>
    </row>
    <row r="106" spans="1:69" s="585" customFormat="1" ht="12.75" customHeight="1" outlineLevel="1">
      <c r="A106" s="308" t="s">
        <v>53</v>
      </c>
      <c r="B106" s="308">
        <f t="shared" si="77"/>
        <v>2024</v>
      </c>
      <c r="C106" s="308" t="s">
        <v>102</v>
      </c>
      <c r="D106" s="518"/>
      <c r="E106" s="518"/>
      <c r="F106" s="518"/>
      <c r="G106" s="518"/>
      <c r="H106" s="518"/>
      <c r="I106" s="518"/>
      <c r="J106" s="518">
        <f t="shared" si="98"/>
        <v>0</v>
      </c>
      <c r="K106" s="518">
        <f t="shared" si="63"/>
        <v>9616192.6599999983</v>
      </c>
      <c r="L106" s="518"/>
      <c r="M106" s="518">
        <f t="shared" si="93"/>
        <v>62867.510000000024</v>
      </c>
      <c r="N106" s="518">
        <f t="shared" si="64"/>
        <v>6590246.0399999963</v>
      </c>
      <c r="O106" s="518"/>
      <c r="P106" s="518">
        <f t="shared" si="61"/>
        <v>3025946.620000002</v>
      </c>
      <c r="R106" s="518">
        <f t="shared" si="62"/>
        <v>0</v>
      </c>
      <c r="S106" s="518">
        <f t="shared" si="65"/>
        <v>415.79166666666669</v>
      </c>
      <c r="T106" s="518">
        <f t="shared" si="67"/>
        <v>878.85</v>
      </c>
      <c r="U106" s="518">
        <f t="shared" si="68"/>
        <v>4172.1833333333334</v>
      </c>
      <c r="V106" s="518">
        <f t="shared" si="69"/>
        <v>6601.6416666666664</v>
      </c>
      <c r="W106" s="518">
        <f t="shared" si="70"/>
        <v>5314.0657499999998</v>
      </c>
      <c r="X106" s="518">
        <f t="shared" si="71"/>
        <v>4037.2521666666667</v>
      </c>
      <c r="Y106" s="518">
        <f t="shared" si="72"/>
        <v>2285.2750000000001</v>
      </c>
      <c r="Z106" s="518">
        <f t="shared" si="73"/>
        <v>1091.7583333333334</v>
      </c>
      <c r="AA106" s="518">
        <f t="shared" si="74"/>
        <v>1269.9591666666668</v>
      </c>
      <c r="AB106" s="518">
        <f t="shared" si="75"/>
        <v>606.67849999999999</v>
      </c>
      <c r="AC106" s="518">
        <f t="shared" si="76"/>
        <v>476.46666666666664</v>
      </c>
      <c r="AD106" s="518">
        <f t="shared" si="78"/>
        <v>1657.7180833333332</v>
      </c>
      <c r="AE106" s="518">
        <f t="shared" si="79"/>
        <v>3516.1947500000001</v>
      </c>
      <c r="AF106" s="518">
        <f t="shared" si="80"/>
        <v>1564.4</v>
      </c>
      <c r="AG106" s="518">
        <f t="shared" si="81"/>
        <v>2587.7750000000001</v>
      </c>
      <c r="AH106" s="518">
        <f t="shared" si="82"/>
        <v>2302.7285000000002</v>
      </c>
      <c r="AI106" s="518">
        <f t="shared" si="83"/>
        <v>1957.7</v>
      </c>
      <c r="AJ106" s="518">
        <f t="shared" si="84"/>
        <v>1067.125</v>
      </c>
      <c r="AK106" s="518">
        <f t="shared" si="85"/>
        <v>1806.075</v>
      </c>
      <c r="AL106" s="518">
        <f t="shared" si="86"/>
        <v>1723.2054166666667</v>
      </c>
      <c r="AM106" s="518">
        <f t="shared" si="87"/>
        <v>3010.375</v>
      </c>
      <c r="AN106" s="518">
        <f t="shared" si="88"/>
        <v>920.83333333333337</v>
      </c>
      <c r="AO106" s="518">
        <f t="shared" si="89"/>
        <v>1423.5416666666667</v>
      </c>
      <c r="AP106" s="518">
        <f t="shared" si="90"/>
        <v>1452.5480833333336</v>
      </c>
      <c r="AQ106" s="518">
        <f t="shared" si="91"/>
        <v>783.11666666666667</v>
      </c>
      <c r="AR106" s="518">
        <f t="shared" si="92"/>
        <v>2080.4166666666665</v>
      </c>
      <c r="AS106" s="518">
        <f t="shared" si="94"/>
        <v>688.7</v>
      </c>
      <c r="AT106" s="518">
        <f t="shared" si="95"/>
        <v>1607.9597499999998</v>
      </c>
      <c r="AU106" s="518">
        <f t="shared" si="96"/>
        <v>690.61666666666667</v>
      </c>
      <c r="AV106" s="518">
        <f t="shared" si="97"/>
        <v>1347.6258333333333</v>
      </c>
      <c r="AW106" s="518">
        <f t="shared" si="99"/>
        <v>1038.7249999999999</v>
      </c>
      <c r="AX106" s="518">
        <f t="shared" si="100"/>
        <v>1395.9028333333333</v>
      </c>
      <c r="AY106" s="518">
        <f t="shared" si="101"/>
        <v>1365.0055</v>
      </c>
      <c r="AZ106" s="518">
        <f t="shared" si="102"/>
        <v>1159.0916666666667</v>
      </c>
      <c r="BA106" s="518">
        <f t="shared" si="103"/>
        <v>2655.8122499999999</v>
      </c>
      <c r="BB106" s="518">
        <f t="shared" ref="BB106:BB160" si="104">$J$41/120</f>
        <v>468.33333333333331</v>
      </c>
      <c r="BC106" s="518">
        <f t="shared" si="47"/>
        <v>1748.4833333333333</v>
      </c>
      <c r="BD106" s="518">
        <f t="shared" si="48"/>
        <v>1459.5083333333334</v>
      </c>
      <c r="BE106" s="518">
        <f t="shared" si="49"/>
        <v>1540.15</v>
      </c>
      <c r="BF106" s="518">
        <f t="shared" si="50"/>
        <v>1080.8333333333333</v>
      </c>
      <c r="BG106" s="619">
        <f t="shared" si="51"/>
        <v>1650.4333333333334</v>
      </c>
      <c r="BH106" s="619">
        <f t="shared" si="52"/>
        <v>811.25</v>
      </c>
      <c r="BI106" s="619">
        <f t="shared" si="53"/>
        <v>2408.09375</v>
      </c>
      <c r="BJ106" s="619">
        <f t="shared" si="54"/>
        <v>0</v>
      </c>
      <c r="BK106" s="619">
        <f t="shared" si="55"/>
        <v>102.93333333333334</v>
      </c>
      <c r="BL106" s="619"/>
      <c r="BM106" s="619">
        <f t="shared" si="56"/>
        <v>1336.6676666666667</v>
      </c>
      <c r="BN106" s="619">
        <f t="shared" si="57"/>
        <v>477.23883333333339</v>
      </c>
      <c r="BO106" s="619">
        <f t="shared" si="58"/>
        <v>0</v>
      </c>
      <c r="BP106" s="619">
        <f t="shared" si="59"/>
        <v>97.898666666666671</v>
      </c>
      <c r="BQ106" s="518">
        <f t="shared" si="66"/>
        <v>80134.938833333305</v>
      </c>
    </row>
    <row r="107" spans="1:69" s="585" customFormat="1" ht="12.75" customHeight="1" outlineLevel="1">
      <c r="A107" s="308" t="s">
        <v>54</v>
      </c>
      <c r="B107" s="308">
        <f t="shared" si="77"/>
        <v>2024</v>
      </c>
      <c r="C107" s="308" t="s">
        <v>102</v>
      </c>
      <c r="D107" s="518"/>
      <c r="E107" s="518"/>
      <c r="F107" s="518"/>
      <c r="G107" s="518"/>
      <c r="H107" s="518"/>
      <c r="I107" s="518"/>
      <c r="J107" s="518">
        <f t="shared" si="98"/>
        <v>0</v>
      </c>
      <c r="K107" s="518">
        <f t="shared" si="63"/>
        <v>9616192.6599999983</v>
      </c>
      <c r="L107" s="518"/>
      <c r="M107" s="518">
        <f t="shared" si="93"/>
        <v>62867.510000000024</v>
      </c>
      <c r="N107" s="518">
        <f t="shared" si="64"/>
        <v>6653113.5499999961</v>
      </c>
      <c r="O107" s="518"/>
      <c r="P107" s="518">
        <f t="shared" si="61"/>
        <v>2963079.1100000022</v>
      </c>
      <c r="R107" s="518">
        <f t="shared" si="62"/>
        <v>0</v>
      </c>
      <c r="S107" s="518">
        <f t="shared" si="65"/>
        <v>415.79166666666669</v>
      </c>
      <c r="T107" s="518">
        <f t="shared" si="67"/>
        <v>878.85</v>
      </c>
      <c r="U107" s="518">
        <f t="shared" si="68"/>
        <v>4172.1833333333334</v>
      </c>
      <c r="V107" s="518">
        <f t="shared" si="69"/>
        <v>6601.6416666666664</v>
      </c>
      <c r="W107" s="518">
        <f t="shared" si="70"/>
        <v>5314.0657499999998</v>
      </c>
      <c r="X107" s="518">
        <f t="shared" si="71"/>
        <v>4037.2521666666667</v>
      </c>
      <c r="Y107" s="518">
        <f t="shared" si="72"/>
        <v>2285.2750000000001</v>
      </c>
      <c r="Z107" s="518">
        <f t="shared" si="73"/>
        <v>1091.7583333333334</v>
      </c>
      <c r="AA107" s="518">
        <f t="shared" si="74"/>
        <v>1269.9591666666668</v>
      </c>
      <c r="AB107" s="518">
        <f t="shared" si="75"/>
        <v>606.67849999999999</v>
      </c>
      <c r="AC107" s="518">
        <f t="shared" si="76"/>
        <v>476.46666666666664</v>
      </c>
      <c r="AD107" s="518">
        <f t="shared" si="78"/>
        <v>1657.7180833333332</v>
      </c>
      <c r="AE107" s="518">
        <f t="shared" si="79"/>
        <v>3516.1947500000001</v>
      </c>
      <c r="AF107" s="518">
        <f t="shared" si="80"/>
        <v>1564.4</v>
      </c>
      <c r="AG107" s="518">
        <f t="shared" si="81"/>
        <v>2587.7750000000001</v>
      </c>
      <c r="AH107" s="518">
        <f t="shared" si="82"/>
        <v>2302.7285000000002</v>
      </c>
      <c r="AI107" s="518">
        <f t="shared" si="83"/>
        <v>1957.7</v>
      </c>
      <c r="AJ107" s="518">
        <f t="shared" si="84"/>
        <v>1067.125</v>
      </c>
      <c r="AK107" s="518">
        <f t="shared" si="85"/>
        <v>1806.075</v>
      </c>
      <c r="AL107" s="518">
        <f t="shared" si="86"/>
        <v>1723.2054166666667</v>
      </c>
      <c r="AM107" s="518">
        <f t="shared" si="87"/>
        <v>3010.375</v>
      </c>
      <c r="AN107" s="518">
        <f t="shared" si="88"/>
        <v>920.83333333333337</v>
      </c>
      <c r="AO107" s="518">
        <f t="shared" si="89"/>
        <v>1423.5416666666667</v>
      </c>
      <c r="AP107" s="518">
        <f t="shared" si="90"/>
        <v>1452.5480833333336</v>
      </c>
      <c r="AQ107" s="518">
        <f t="shared" si="91"/>
        <v>783.11666666666667</v>
      </c>
      <c r="AR107" s="518">
        <f t="shared" si="92"/>
        <v>2080.4166666666665</v>
      </c>
      <c r="AS107" s="518">
        <f t="shared" si="94"/>
        <v>688.7</v>
      </c>
      <c r="AT107" s="518">
        <f t="shared" si="95"/>
        <v>1607.9597499999998</v>
      </c>
      <c r="AU107" s="518">
        <f t="shared" si="96"/>
        <v>690.61666666666667</v>
      </c>
      <c r="AV107" s="518">
        <f t="shared" si="97"/>
        <v>1347.6258333333333</v>
      </c>
      <c r="AW107" s="518">
        <f t="shared" si="99"/>
        <v>1038.7249999999999</v>
      </c>
      <c r="AX107" s="518">
        <f t="shared" si="100"/>
        <v>1395.9028333333333</v>
      </c>
      <c r="AY107" s="518">
        <f t="shared" si="101"/>
        <v>1365.0055</v>
      </c>
      <c r="AZ107" s="518">
        <f t="shared" si="102"/>
        <v>1159.0916666666667</v>
      </c>
      <c r="BA107" s="518">
        <f t="shared" si="103"/>
        <v>2655.8122499999999</v>
      </c>
      <c r="BB107" s="518">
        <f t="shared" si="104"/>
        <v>468.33333333333331</v>
      </c>
      <c r="BC107" s="518">
        <f t="shared" ref="BC107:BC161" si="105">$J$42/120</f>
        <v>1748.4833333333333</v>
      </c>
      <c r="BD107" s="518">
        <f t="shared" si="48"/>
        <v>1459.5083333333334</v>
      </c>
      <c r="BE107" s="518">
        <f t="shared" si="49"/>
        <v>1540.15</v>
      </c>
      <c r="BF107" s="518">
        <f t="shared" si="50"/>
        <v>1080.8333333333333</v>
      </c>
      <c r="BG107" s="619">
        <f t="shared" si="51"/>
        <v>1650.4333333333334</v>
      </c>
      <c r="BH107" s="619">
        <f t="shared" si="52"/>
        <v>811.25</v>
      </c>
      <c r="BI107" s="619">
        <f t="shared" si="53"/>
        <v>2408.09375</v>
      </c>
      <c r="BJ107" s="619">
        <f t="shared" si="54"/>
        <v>0</v>
      </c>
      <c r="BK107" s="619">
        <f t="shared" si="55"/>
        <v>102.93333333333334</v>
      </c>
      <c r="BL107" s="619"/>
      <c r="BM107" s="619">
        <f t="shared" si="56"/>
        <v>1336.6676666666667</v>
      </c>
      <c r="BN107" s="619">
        <f t="shared" si="57"/>
        <v>477.23883333333339</v>
      </c>
      <c r="BO107" s="619">
        <f t="shared" si="58"/>
        <v>0</v>
      </c>
      <c r="BP107" s="619">
        <f t="shared" si="59"/>
        <v>97.898666666666671</v>
      </c>
      <c r="BQ107" s="518">
        <f t="shared" si="66"/>
        <v>80134.938833333305</v>
      </c>
    </row>
    <row r="108" spans="1:69" s="585" customFormat="1" ht="12.75" customHeight="1" outlineLevel="1">
      <c r="A108" s="308" t="s">
        <v>55</v>
      </c>
      <c r="B108" s="308">
        <f t="shared" si="77"/>
        <v>2024</v>
      </c>
      <c r="C108" s="308" t="s">
        <v>102</v>
      </c>
      <c r="D108" s="518"/>
      <c r="E108" s="518"/>
      <c r="F108" s="518"/>
      <c r="G108" s="518"/>
      <c r="H108" s="518"/>
      <c r="I108" s="518"/>
      <c r="J108" s="518">
        <f t="shared" si="98"/>
        <v>0</v>
      </c>
      <c r="K108" s="518">
        <f t="shared" si="63"/>
        <v>9616192.6599999983</v>
      </c>
      <c r="L108" s="518"/>
      <c r="M108" s="518">
        <f t="shared" si="93"/>
        <v>62867.510000000024</v>
      </c>
      <c r="N108" s="518">
        <f t="shared" si="64"/>
        <v>6715981.0599999959</v>
      </c>
      <c r="O108" s="518"/>
      <c r="P108" s="518">
        <f t="shared" si="61"/>
        <v>2900211.6000000024</v>
      </c>
      <c r="R108" s="518">
        <f t="shared" si="62"/>
        <v>0</v>
      </c>
      <c r="S108" s="518">
        <f t="shared" si="65"/>
        <v>415.79166666666669</v>
      </c>
      <c r="T108" s="518">
        <f t="shared" si="67"/>
        <v>878.85</v>
      </c>
      <c r="U108" s="518">
        <f t="shared" si="68"/>
        <v>4172.1833333333334</v>
      </c>
      <c r="V108" s="518">
        <f t="shared" si="69"/>
        <v>6601.6416666666664</v>
      </c>
      <c r="W108" s="518">
        <f t="shared" si="70"/>
        <v>5314.0657499999998</v>
      </c>
      <c r="X108" s="518">
        <f t="shared" si="71"/>
        <v>4037.2521666666667</v>
      </c>
      <c r="Y108" s="518">
        <f t="shared" si="72"/>
        <v>2285.2750000000001</v>
      </c>
      <c r="Z108" s="518">
        <f t="shared" si="73"/>
        <v>1091.7583333333334</v>
      </c>
      <c r="AA108" s="518">
        <f t="shared" si="74"/>
        <v>1269.9591666666668</v>
      </c>
      <c r="AB108" s="518">
        <f t="shared" si="75"/>
        <v>606.67849999999999</v>
      </c>
      <c r="AC108" s="518">
        <f t="shared" si="76"/>
        <v>476.46666666666664</v>
      </c>
      <c r="AD108" s="518">
        <f t="shared" si="78"/>
        <v>1657.7180833333332</v>
      </c>
      <c r="AE108" s="518">
        <f t="shared" si="79"/>
        <v>3516.1947500000001</v>
      </c>
      <c r="AF108" s="518">
        <f t="shared" si="80"/>
        <v>1564.4</v>
      </c>
      <c r="AG108" s="518">
        <f t="shared" si="81"/>
        <v>2587.7750000000001</v>
      </c>
      <c r="AH108" s="518">
        <f t="shared" si="82"/>
        <v>2302.7285000000002</v>
      </c>
      <c r="AI108" s="518">
        <f t="shared" si="83"/>
        <v>1957.7</v>
      </c>
      <c r="AJ108" s="518">
        <f t="shared" si="84"/>
        <v>1067.125</v>
      </c>
      <c r="AK108" s="518">
        <f t="shared" si="85"/>
        <v>1806.075</v>
      </c>
      <c r="AL108" s="518">
        <f t="shared" si="86"/>
        <v>1723.2054166666667</v>
      </c>
      <c r="AM108" s="518">
        <f t="shared" si="87"/>
        <v>3010.375</v>
      </c>
      <c r="AN108" s="518">
        <f t="shared" si="88"/>
        <v>920.83333333333337</v>
      </c>
      <c r="AO108" s="518">
        <f t="shared" si="89"/>
        <v>1423.5416666666667</v>
      </c>
      <c r="AP108" s="518">
        <f t="shared" si="90"/>
        <v>1452.5480833333336</v>
      </c>
      <c r="AQ108" s="518">
        <f t="shared" si="91"/>
        <v>783.11666666666667</v>
      </c>
      <c r="AR108" s="518">
        <f t="shared" si="92"/>
        <v>2080.4166666666665</v>
      </c>
      <c r="AS108" s="518">
        <f t="shared" si="94"/>
        <v>688.7</v>
      </c>
      <c r="AT108" s="518">
        <f t="shared" si="95"/>
        <v>1607.9597499999998</v>
      </c>
      <c r="AU108" s="518">
        <f t="shared" si="96"/>
        <v>690.61666666666667</v>
      </c>
      <c r="AV108" s="518">
        <f t="shared" si="97"/>
        <v>1347.6258333333333</v>
      </c>
      <c r="AW108" s="518">
        <f t="shared" si="99"/>
        <v>1038.7249999999999</v>
      </c>
      <c r="AX108" s="518">
        <f t="shared" si="100"/>
        <v>1395.9028333333333</v>
      </c>
      <c r="AY108" s="518">
        <f t="shared" si="101"/>
        <v>1365.0055</v>
      </c>
      <c r="AZ108" s="518">
        <f t="shared" si="102"/>
        <v>1159.0916666666667</v>
      </c>
      <c r="BA108" s="518">
        <f t="shared" si="103"/>
        <v>2655.8122499999999</v>
      </c>
      <c r="BB108" s="518">
        <f t="shared" si="104"/>
        <v>468.33333333333331</v>
      </c>
      <c r="BC108" s="518">
        <f t="shared" si="105"/>
        <v>1748.4833333333333</v>
      </c>
      <c r="BD108" s="518">
        <f t="shared" ref="BD108:BD162" si="106">$J$43/120</f>
        <v>1459.5083333333334</v>
      </c>
      <c r="BE108" s="518">
        <f t="shared" si="49"/>
        <v>1540.15</v>
      </c>
      <c r="BF108" s="518">
        <f t="shared" si="50"/>
        <v>1080.8333333333333</v>
      </c>
      <c r="BG108" s="619">
        <f t="shared" si="51"/>
        <v>1650.4333333333334</v>
      </c>
      <c r="BH108" s="619">
        <f t="shared" si="52"/>
        <v>811.25</v>
      </c>
      <c r="BI108" s="619">
        <f t="shared" si="53"/>
        <v>2408.09375</v>
      </c>
      <c r="BJ108" s="619">
        <f t="shared" si="54"/>
        <v>0</v>
      </c>
      <c r="BK108" s="619">
        <f t="shared" si="55"/>
        <v>102.93333333333334</v>
      </c>
      <c r="BL108" s="619"/>
      <c r="BM108" s="619">
        <f t="shared" si="56"/>
        <v>1336.6676666666667</v>
      </c>
      <c r="BN108" s="619">
        <f t="shared" si="57"/>
        <v>477.23883333333339</v>
      </c>
      <c r="BO108" s="619">
        <f t="shared" si="58"/>
        <v>0</v>
      </c>
      <c r="BP108" s="619">
        <f t="shared" si="59"/>
        <v>97.898666666666671</v>
      </c>
      <c r="BQ108" s="518">
        <f t="shared" si="66"/>
        <v>80134.938833333305</v>
      </c>
    </row>
    <row r="109" spans="1:69" s="585" customFormat="1" ht="12.75" customHeight="1" outlineLevel="1">
      <c r="A109" s="308" t="s">
        <v>56</v>
      </c>
      <c r="B109" s="308">
        <f t="shared" si="77"/>
        <v>2024</v>
      </c>
      <c r="C109" s="308" t="s">
        <v>102</v>
      </c>
      <c r="D109" s="518"/>
      <c r="E109" s="518"/>
      <c r="F109" s="518"/>
      <c r="G109" s="518"/>
      <c r="H109" s="518"/>
      <c r="I109" s="518"/>
      <c r="J109" s="518">
        <f t="shared" si="98"/>
        <v>0</v>
      </c>
      <c r="K109" s="518">
        <f t="shared" si="63"/>
        <v>9616192.6599999983</v>
      </c>
      <c r="L109" s="518"/>
      <c r="M109" s="518">
        <f t="shared" si="93"/>
        <v>62867.510000000024</v>
      </c>
      <c r="N109" s="518">
        <f t="shared" si="64"/>
        <v>6778848.5699999956</v>
      </c>
      <c r="O109" s="518"/>
      <c r="P109" s="518">
        <f t="shared" si="61"/>
        <v>2837344.0900000026</v>
      </c>
      <c r="R109" s="518">
        <f t="shared" si="62"/>
        <v>0</v>
      </c>
      <c r="S109" s="518">
        <f t="shared" si="65"/>
        <v>415.79166666666669</v>
      </c>
      <c r="T109" s="518">
        <f t="shared" si="67"/>
        <v>878.85</v>
      </c>
      <c r="U109" s="518">
        <f t="shared" si="68"/>
        <v>4172.1833333333334</v>
      </c>
      <c r="V109" s="518">
        <f t="shared" si="69"/>
        <v>6601.6416666666664</v>
      </c>
      <c r="W109" s="518">
        <f t="shared" si="70"/>
        <v>5314.0657499999998</v>
      </c>
      <c r="X109" s="518">
        <f t="shared" si="71"/>
        <v>4037.2521666666667</v>
      </c>
      <c r="Y109" s="518">
        <f t="shared" si="72"/>
        <v>2285.2750000000001</v>
      </c>
      <c r="Z109" s="518">
        <f t="shared" si="73"/>
        <v>1091.7583333333334</v>
      </c>
      <c r="AA109" s="518">
        <f t="shared" si="74"/>
        <v>1269.9591666666668</v>
      </c>
      <c r="AB109" s="518">
        <f t="shared" si="75"/>
        <v>606.67849999999999</v>
      </c>
      <c r="AC109" s="518">
        <f t="shared" si="76"/>
        <v>476.46666666666664</v>
      </c>
      <c r="AD109" s="518">
        <f t="shared" si="78"/>
        <v>1657.7180833333332</v>
      </c>
      <c r="AE109" s="518">
        <f t="shared" si="79"/>
        <v>3516.1947500000001</v>
      </c>
      <c r="AF109" s="518">
        <f t="shared" si="80"/>
        <v>1564.4</v>
      </c>
      <c r="AG109" s="518">
        <f t="shared" si="81"/>
        <v>2587.7750000000001</v>
      </c>
      <c r="AH109" s="518">
        <f t="shared" si="82"/>
        <v>2302.7285000000002</v>
      </c>
      <c r="AI109" s="518">
        <f t="shared" si="83"/>
        <v>1957.7</v>
      </c>
      <c r="AJ109" s="518">
        <f t="shared" si="84"/>
        <v>1067.125</v>
      </c>
      <c r="AK109" s="518">
        <f t="shared" si="85"/>
        <v>1806.075</v>
      </c>
      <c r="AL109" s="518">
        <f t="shared" si="86"/>
        <v>1723.2054166666667</v>
      </c>
      <c r="AM109" s="518">
        <f t="shared" si="87"/>
        <v>3010.375</v>
      </c>
      <c r="AN109" s="518">
        <f t="shared" si="88"/>
        <v>920.83333333333337</v>
      </c>
      <c r="AO109" s="518">
        <f t="shared" si="89"/>
        <v>1423.5416666666667</v>
      </c>
      <c r="AP109" s="518">
        <f t="shared" si="90"/>
        <v>1452.5480833333336</v>
      </c>
      <c r="AQ109" s="518">
        <f t="shared" si="91"/>
        <v>783.11666666666667</v>
      </c>
      <c r="AR109" s="518">
        <f t="shared" si="92"/>
        <v>2080.4166666666665</v>
      </c>
      <c r="AS109" s="518">
        <f t="shared" si="94"/>
        <v>688.7</v>
      </c>
      <c r="AT109" s="518">
        <f t="shared" si="95"/>
        <v>1607.9597499999998</v>
      </c>
      <c r="AU109" s="518">
        <f t="shared" si="96"/>
        <v>690.61666666666667</v>
      </c>
      <c r="AV109" s="518">
        <f t="shared" si="97"/>
        <v>1347.6258333333333</v>
      </c>
      <c r="AW109" s="518">
        <f t="shared" si="99"/>
        <v>1038.7249999999999</v>
      </c>
      <c r="AX109" s="518">
        <f t="shared" si="100"/>
        <v>1395.9028333333333</v>
      </c>
      <c r="AY109" s="518">
        <f t="shared" si="101"/>
        <v>1365.0055</v>
      </c>
      <c r="AZ109" s="518">
        <f t="shared" si="102"/>
        <v>1159.0916666666667</v>
      </c>
      <c r="BA109" s="518">
        <f t="shared" si="103"/>
        <v>2655.8122499999999</v>
      </c>
      <c r="BB109" s="518">
        <f t="shared" si="104"/>
        <v>468.33333333333331</v>
      </c>
      <c r="BC109" s="518">
        <f t="shared" si="105"/>
        <v>1748.4833333333333</v>
      </c>
      <c r="BD109" s="518">
        <f t="shared" si="106"/>
        <v>1459.5083333333334</v>
      </c>
      <c r="BE109" s="518">
        <f t="shared" ref="BE109:BE163" si="107">$J$44/120</f>
        <v>1540.15</v>
      </c>
      <c r="BF109" s="518">
        <f t="shared" si="50"/>
        <v>1080.8333333333333</v>
      </c>
      <c r="BG109" s="619">
        <f t="shared" si="51"/>
        <v>1650.4333333333334</v>
      </c>
      <c r="BH109" s="619">
        <f t="shared" si="52"/>
        <v>811.25</v>
      </c>
      <c r="BI109" s="619">
        <f t="shared" si="53"/>
        <v>2408.09375</v>
      </c>
      <c r="BJ109" s="619">
        <f t="shared" si="54"/>
        <v>0</v>
      </c>
      <c r="BK109" s="619">
        <f t="shared" si="55"/>
        <v>102.93333333333334</v>
      </c>
      <c r="BL109" s="619"/>
      <c r="BM109" s="619">
        <f t="shared" si="56"/>
        <v>1336.6676666666667</v>
      </c>
      <c r="BN109" s="619">
        <f t="shared" si="57"/>
        <v>477.23883333333339</v>
      </c>
      <c r="BO109" s="619">
        <f t="shared" si="58"/>
        <v>0</v>
      </c>
      <c r="BP109" s="619">
        <f t="shared" si="59"/>
        <v>97.898666666666671</v>
      </c>
      <c r="BQ109" s="518">
        <f t="shared" si="66"/>
        <v>80134.938833333305</v>
      </c>
    </row>
    <row r="110" spans="1:69" s="585" customFormat="1" ht="12.75" customHeight="1" outlineLevel="1">
      <c r="A110" s="308" t="s">
        <v>57</v>
      </c>
      <c r="B110" s="308">
        <f t="shared" si="77"/>
        <v>2024</v>
      </c>
      <c r="C110" s="308" t="s">
        <v>102</v>
      </c>
      <c r="D110" s="518"/>
      <c r="E110" s="518"/>
      <c r="F110" s="518"/>
      <c r="G110" s="518"/>
      <c r="H110" s="518"/>
      <c r="I110" s="518"/>
      <c r="J110" s="518">
        <f t="shared" si="98"/>
        <v>0</v>
      </c>
      <c r="K110" s="518">
        <f t="shared" si="63"/>
        <v>9616192.6599999983</v>
      </c>
      <c r="L110" s="518"/>
      <c r="M110" s="518">
        <f t="shared" si="93"/>
        <v>62867.510000000024</v>
      </c>
      <c r="N110" s="518">
        <f t="shared" si="64"/>
        <v>6841716.0799999954</v>
      </c>
      <c r="O110" s="518"/>
      <c r="P110" s="518">
        <f t="shared" si="61"/>
        <v>2774476.5800000029</v>
      </c>
      <c r="R110" s="518">
        <f t="shared" si="62"/>
        <v>0</v>
      </c>
      <c r="S110" s="518">
        <f t="shared" si="65"/>
        <v>415.79166666666669</v>
      </c>
      <c r="T110" s="518">
        <f t="shared" si="67"/>
        <v>878.85</v>
      </c>
      <c r="U110" s="518">
        <f t="shared" si="68"/>
        <v>4172.1833333333334</v>
      </c>
      <c r="V110" s="518">
        <f t="shared" si="69"/>
        <v>6601.6416666666664</v>
      </c>
      <c r="W110" s="518">
        <f t="shared" si="70"/>
        <v>5314.0657499999998</v>
      </c>
      <c r="X110" s="518">
        <f t="shared" si="71"/>
        <v>4037.2521666666667</v>
      </c>
      <c r="Y110" s="518">
        <f t="shared" si="72"/>
        <v>2285.2750000000001</v>
      </c>
      <c r="Z110" s="518">
        <f t="shared" si="73"/>
        <v>1091.7583333333334</v>
      </c>
      <c r="AA110" s="518">
        <f t="shared" si="74"/>
        <v>1269.9591666666668</v>
      </c>
      <c r="AB110" s="518">
        <f t="shared" si="75"/>
        <v>606.67849999999999</v>
      </c>
      <c r="AC110" s="518">
        <f t="shared" si="76"/>
        <v>476.46666666666664</v>
      </c>
      <c r="AD110" s="518">
        <f t="shared" si="78"/>
        <v>1657.7180833333332</v>
      </c>
      <c r="AE110" s="518">
        <f t="shared" si="79"/>
        <v>3516.1947500000001</v>
      </c>
      <c r="AF110" s="518">
        <f t="shared" si="80"/>
        <v>1564.4</v>
      </c>
      <c r="AG110" s="518">
        <f t="shared" si="81"/>
        <v>2587.7750000000001</v>
      </c>
      <c r="AH110" s="518">
        <f t="shared" si="82"/>
        <v>2302.7285000000002</v>
      </c>
      <c r="AI110" s="518">
        <f t="shared" si="83"/>
        <v>1957.7</v>
      </c>
      <c r="AJ110" s="518">
        <f t="shared" si="84"/>
        <v>1067.125</v>
      </c>
      <c r="AK110" s="518">
        <f t="shared" si="85"/>
        <v>1806.075</v>
      </c>
      <c r="AL110" s="518">
        <f t="shared" si="86"/>
        <v>1723.2054166666667</v>
      </c>
      <c r="AM110" s="518">
        <f t="shared" si="87"/>
        <v>3010.375</v>
      </c>
      <c r="AN110" s="518">
        <f t="shared" si="88"/>
        <v>920.83333333333337</v>
      </c>
      <c r="AO110" s="518">
        <f t="shared" si="89"/>
        <v>1423.5416666666667</v>
      </c>
      <c r="AP110" s="518">
        <f t="shared" si="90"/>
        <v>1452.5480833333336</v>
      </c>
      <c r="AQ110" s="518">
        <f t="shared" si="91"/>
        <v>783.11666666666667</v>
      </c>
      <c r="AR110" s="518">
        <f t="shared" si="92"/>
        <v>2080.4166666666665</v>
      </c>
      <c r="AS110" s="518">
        <f t="shared" si="94"/>
        <v>688.7</v>
      </c>
      <c r="AT110" s="518">
        <f t="shared" si="95"/>
        <v>1607.9597499999998</v>
      </c>
      <c r="AU110" s="518">
        <f t="shared" si="96"/>
        <v>690.61666666666667</v>
      </c>
      <c r="AV110" s="518">
        <f t="shared" si="97"/>
        <v>1347.6258333333333</v>
      </c>
      <c r="AW110" s="518">
        <f t="shared" si="99"/>
        <v>1038.7249999999999</v>
      </c>
      <c r="AX110" s="518">
        <f t="shared" si="100"/>
        <v>1395.9028333333333</v>
      </c>
      <c r="AY110" s="518">
        <f t="shared" si="101"/>
        <v>1365.0055</v>
      </c>
      <c r="AZ110" s="518">
        <f t="shared" si="102"/>
        <v>1159.0916666666667</v>
      </c>
      <c r="BA110" s="518">
        <f t="shared" si="103"/>
        <v>2655.8122499999999</v>
      </c>
      <c r="BB110" s="518">
        <f t="shared" si="104"/>
        <v>468.33333333333331</v>
      </c>
      <c r="BC110" s="518">
        <f t="shared" si="105"/>
        <v>1748.4833333333333</v>
      </c>
      <c r="BD110" s="518">
        <f t="shared" si="106"/>
        <v>1459.5083333333334</v>
      </c>
      <c r="BE110" s="518">
        <f t="shared" si="107"/>
        <v>1540.15</v>
      </c>
      <c r="BF110" s="518">
        <f t="shared" ref="BF110:BF164" si="108">$J$45/120</f>
        <v>1080.8333333333333</v>
      </c>
      <c r="BG110" s="619">
        <f t="shared" si="51"/>
        <v>1650.4333333333334</v>
      </c>
      <c r="BH110" s="619">
        <f t="shared" si="52"/>
        <v>811.25</v>
      </c>
      <c r="BI110" s="619">
        <f t="shared" si="53"/>
        <v>2408.09375</v>
      </c>
      <c r="BJ110" s="619">
        <f t="shared" si="54"/>
        <v>0</v>
      </c>
      <c r="BK110" s="619">
        <f t="shared" si="55"/>
        <v>102.93333333333334</v>
      </c>
      <c r="BL110" s="619"/>
      <c r="BM110" s="619">
        <f t="shared" si="56"/>
        <v>1336.6676666666667</v>
      </c>
      <c r="BN110" s="619">
        <f t="shared" si="57"/>
        <v>477.23883333333339</v>
      </c>
      <c r="BO110" s="619">
        <f t="shared" si="58"/>
        <v>0</v>
      </c>
      <c r="BP110" s="619">
        <f t="shared" si="59"/>
        <v>97.898666666666671</v>
      </c>
      <c r="BQ110" s="518">
        <f t="shared" si="66"/>
        <v>80134.938833333305</v>
      </c>
    </row>
    <row r="111" spans="1:69" s="585" customFormat="1" ht="12.75" customHeight="1" outlineLevel="1">
      <c r="A111" s="308" t="s">
        <v>58</v>
      </c>
      <c r="B111" s="308">
        <f t="shared" si="77"/>
        <v>2024</v>
      </c>
      <c r="C111" s="308" t="s">
        <v>102</v>
      </c>
      <c r="D111" s="518"/>
      <c r="E111" s="518"/>
      <c r="F111" s="518"/>
      <c r="G111" s="518"/>
      <c r="H111" s="518"/>
      <c r="I111" s="518"/>
      <c r="J111" s="518">
        <f t="shared" si="98"/>
        <v>0</v>
      </c>
      <c r="K111" s="518">
        <f t="shared" si="63"/>
        <v>9616192.6599999983</v>
      </c>
      <c r="L111" s="518"/>
      <c r="M111" s="518">
        <f t="shared" si="93"/>
        <v>62867.510000000024</v>
      </c>
      <c r="N111" s="518">
        <f t="shared" si="64"/>
        <v>6904583.5899999952</v>
      </c>
      <c r="O111" s="518"/>
      <c r="P111" s="518">
        <f t="shared" si="61"/>
        <v>2711609.0700000031</v>
      </c>
      <c r="R111" s="518">
        <f t="shared" si="62"/>
        <v>0</v>
      </c>
      <c r="S111" s="518">
        <f t="shared" si="65"/>
        <v>415.79166666666669</v>
      </c>
      <c r="T111" s="518">
        <f t="shared" si="67"/>
        <v>878.85</v>
      </c>
      <c r="U111" s="518">
        <f t="shared" si="68"/>
        <v>4172.1833333333334</v>
      </c>
      <c r="V111" s="518">
        <f t="shared" si="69"/>
        <v>6601.6416666666664</v>
      </c>
      <c r="W111" s="518">
        <f t="shared" si="70"/>
        <v>5314.0657499999998</v>
      </c>
      <c r="X111" s="518">
        <f t="shared" si="71"/>
        <v>4037.2521666666667</v>
      </c>
      <c r="Y111" s="518">
        <f t="shared" si="72"/>
        <v>2285.2750000000001</v>
      </c>
      <c r="Z111" s="518">
        <f t="shared" si="73"/>
        <v>1091.7583333333334</v>
      </c>
      <c r="AA111" s="518">
        <f t="shared" si="74"/>
        <v>1269.9591666666668</v>
      </c>
      <c r="AB111" s="518">
        <f t="shared" si="75"/>
        <v>606.67849999999999</v>
      </c>
      <c r="AC111" s="518">
        <f t="shared" si="76"/>
        <v>476.46666666666664</v>
      </c>
      <c r="AD111" s="518">
        <f t="shared" si="78"/>
        <v>1657.7180833333332</v>
      </c>
      <c r="AE111" s="518">
        <f t="shared" si="79"/>
        <v>3516.1947500000001</v>
      </c>
      <c r="AF111" s="518">
        <f t="shared" si="80"/>
        <v>1564.4</v>
      </c>
      <c r="AG111" s="518">
        <f t="shared" si="81"/>
        <v>2587.7750000000001</v>
      </c>
      <c r="AH111" s="518">
        <f t="shared" si="82"/>
        <v>2302.7285000000002</v>
      </c>
      <c r="AI111" s="518">
        <f t="shared" si="83"/>
        <v>1957.7</v>
      </c>
      <c r="AJ111" s="518">
        <f t="shared" si="84"/>
        <v>1067.125</v>
      </c>
      <c r="AK111" s="518">
        <f t="shared" si="85"/>
        <v>1806.075</v>
      </c>
      <c r="AL111" s="518">
        <f t="shared" si="86"/>
        <v>1723.2054166666667</v>
      </c>
      <c r="AM111" s="518">
        <f t="shared" si="87"/>
        <v>3010.375</v>
      </c>
      <c r="AN111" s="518">
        <f t="shared" si="88"/>
        <v>920.83333333333337</v>
      </c>
      <c r="AO111" s="518">
        <f t="shared" si="89"/>
        <v>1423.5416666666667</v>
      </c>
      <c r="AP111" s="518">
        <f t="shared" si="90"/>
        <v>1452.5480833333336</v>
      </c>
      <c r="AQ111" s="518">
        <f t="shared" si="91"/>
        <v>783.11666666666667</v>
      </c>
      <c r="AR111" s="518">
        <f t="shared" si="92"/>
        <v>2080.4166666666665</v>
      </c>
      <c r="AS111" s="518">
        <f t="shared" si="94"/>
        <v>688.7</v>
      </c>
      <c r="AT111" s="518">
        <f t="shared" si="95"/>
        <v>1607.9597499999998</v>
      </c>
      <c r="AU111" s="518">
        <f t="shared" si="96"/>
        <v>690.61666666666667</v>
      </c>
      <c r="AV111" s="518">
        <f t="shared" si="97"/>
        <v>1347.6258333333333</v>
      </c>
      <c r="AW111" s="518">
        <f t="shared" si="99"/>
        <v>1038.7249999999999</v>
      </c>
      <c r="AX111" s="518">
        <f t="shared" si="100"/>
        <v>1395.9028333333333</v>
      </c>
      <c r="AY111" s="518">
        <f t="shared" si="101"/>
        <v>1365.0055</v>
      </c>
      <c r="AZ111" s="518">
        <f t="shared" si="102"/>
        <v>1159.0916666666667</v>
      </c>
      <c r="BA111" s="518">
        <f t="shared" si="103"/>
        <v>2655.8122499999999</v>
      </c>
      <c r="BB111" s="518">
        <f t="shared" si="104"/>
        <v>468.33333333333331</v>
      </c>
      <c r="BC111" s="518">
        <f t="shared" si="105"/>
        <v>1748.4833333333333</v>
      </c>
      <c r="BD111" s="518">
        <f t="shared" si="106"/>
        <v>1459.5083333333334</v>
      </c>
      <c r="BE111" s="518">
        <f t="shared" si="107"/>
        <v>1540.15</v>
      </c>
      <c r="BF111" s="518">
        <f t="shared" si="108"/>
        <v>1080.8333333333333</v>
      </c>
      <c r="BG111" s="619">
        <f t="shared" ref="BG111:BG165" si="109">$J$46/120</f>
        <v>1650.4333333333334</v>
      </c>
      <c r="BH111" s="619">
        <f t="shared" si="52"/>
        <v>811.25</v>
      </c>
      <c r="BI111" s="619">
        <f t="shared" si="53"/>
        <v>2408.09375</v>
      </c>
      <c r="BJ111" s="619">
        <f t="shared" si="54"/>
        <v>0</v>
      </c>
      <c r="BK111" s="619">
        <f t="shared" si="55"/>
        <v>102.93333333333334</v>
      </c>
      <c r="BL111" s="619"/>
      <c r="BM111" s="619">
        <f t="shared" si="56"/>
        <v>1336.6676666666667</v>
      </c>
      <c r="BN111" s="619">
        <f t="shared" si="57"/>
        <v>477.23883333333339</v>
      </c>
      <c r="BO111" s="619">
        <f t="shared" si="58"/>
        <v>0</v>
      </c>
      <c r="BP111" s="619">
        <f t="shared" si="59"/>
        <v>97.898666666666671</v>
      </c>
      <c r="BQ111" s="518">
        <f t="shared" si="66"/>
        <v>80134.938833333305</v>
      </c>
    </row>
    <row r="112" spans="1:69" s="585" customFormat="1" ht="12.75" customHeight="1" outlineLevel="1">
      <c r="A112" s="308" t="s">
        <v>59</v>
      </c>
      <c r="B112" s="308">
        <f t="shared" si="77"/>
        <v>2024</v>
      </c>
      <c r="C112" s="308" t="s">
        <v>102</v>
      </c>
      <c r="D112" s="518"/>
      <c r="E112" s="518"/>
      <c r="F112" s="518"/>
      <c r="G112" s="518"/>
      <c r="H112" s="518"/>
      <c r="I112" s="518"/>
      <c r="J112" s="518">
        <f t="shared" si="98"/>
        <v>0</v>
      </c>
      <c r="K112" s="518">
        <f t="shared" si="63"/>
        <v>9616192.6599999983</v>
      </c>
      <c r="L112" s="518"/>
      <c r="M112" s="518">
        <f t="shared" si="93"/>
        <v>62867.510000000024</v>
      </c>
      <c r="N112" s="518">
        <f t="shared" si="64"/>
        <v>6967451.099999995</v>
      </c>
      <c r="O112" s="518"/>
      <c r="P112" s="518">
        <f t="shared" si="61"/>
        <v>2648741.5600000033</v>
      </c>
      <c r="R112" s="518">
        <f t="shared" si="62"/>
        <v>0</v>
      </c>
      <c r="S112" s="518">
        <f t="shared" si="65"/>
        <v>415.79166666666669</v>
      </c>
      <c r="T112" s="518">
        <f t="shared" si="67"/>
        <v>878.85</v>
      </c>
      <c r="U112" s="518">
        <f t="shared" si="68"/>
        <v>4172.1833333333334</v>
      </c>
      <c r="V112" s="518">
        <f t="shared" si="69"/>
        <v>6601.6416666666664</v>
      </c>
      <c r="W112" s="518">
        <f t="shared" si="70"/>
        <v>5314.0657499999998</v>
      </c>
      <c r="X112" s="518">
        <f t="shared" si="71"/>
        <v>4037.2521666666667</v>
      </c>
      <c r="Y112" s="518">
        <f t="shared" si="72"/>
        <v>2285.2750000000001</v>
      </c>
      <c r="Z112" s="518">
        <f t="shared" si="73"/>
        <v>1091.7583333333334</v>
      </c>
      <c r="AA112" s="518">
        <f t="shared" si="74"/>
        <v>1269.9591666666668</v>
      </c>
      <c r="AB112" s="518">
        <f t="shared" si="75"/>
        <v>606.67849999999999</v>
      </c>
      <c r="AC112" s="518">
        <f t="shared" si="76"/>
        <v>476.46666666666664</v>
      </c>
      <c r="AD112" s="518">
        <f t="shared" si="78"/>
        <v>1657.7180833333332</v>
      </c>
      <c r="AE112" s="518">
        <f t="shared" si="79"/>
        <v>3516.1947500000001</v>
      </c>
      <c r="AF112" s="518">
        <f t="shared" si="80"/>
        <v>1564.4</v>
      </c>
      <c r="AG112" s="518">
        <f t="shared" si="81"/>
        <v>2587.7750000000001</v>
      </c>
      <c r="AH112" s="518">
        <f t="shared" si="82"/>
        <v>2302.7285000000002</v>
      </c>
      <c r="AI112" s="518">
        <f t="shared" si="83"/>
        <v>1957.7</v>
      </c>
      <c r="AJ112" s="518">
        <f t="shared" si="84"/>
        <v>1067.125</v>
      </c>
      <c r="AK112" s="518">
        <f t="shared" si="85"/>
        <v>1806.075</v>
      </c>
      <c r="AL112" s="518">
        <f t="shared" si="86"/>
        <v>1723.2054166666667</v>
      </c>
      <c r="AM112" s="518">
        <f t="shared" si="87"/>
        <v>3010.375</v>
      </c>
      <c r="AN112" s="518">
        <f t="shared" si="88"/>
        <v>920.83333333333337</v>
      </c>
      <c r="AO112" s="518">
        <f t="shared" si="89"/>
        <v>1423.5416666666667</v>
      </c>
      <c r="AP112" s="518">
        <f t="shared" si="90"/>
        <v>1452.5480833333336</v>
      </c>
      <c r="AQ112" s="518">
        <f t="shared" si="91"/>
        <v>783.11666666666667</v>
      </c>
      <c r="AR112" s="518">
        <f t="shared" si="92"/>
        <v>2080.4166666666665</v>
      </c>
      <c r="AS112" s="518">
        <f t="shared" si="94"/>
        <v>688.7</v>
      </c>
      <c r="AT112" s="518">
        <f t="shared" si="95"/>
        <v>1607.9597499999998</v>
      </c>
      <c r="AU112" s="518">
        <f t="shared" si="96"/>
        <v>690.61666666666667</v>
      </c>
      <c r="AV112" s="518">
        <f t="shared" si="97"/>
        <v>1347.6258333333333</v>
      </c>
      <c r="AW112" s="518">
        <f t="shared" si="99"/>
        <v>1038.7249999999999</v>
      </c>
      <c r="AX112" s="518">
        <f t="shared" si="100"/>
        <v>1395.9028333333333</v>
      </c>
      <c r="AY112" s="518">
        <f t="shared" si="101"/>
        <v>1365.0055</v>
      </c>
      <c r="AZ112" s="518">
        <f t="shared" si="102"/>
        <v>1159.0916666666667</v>
      </c>
      <c r="BA112" s="518">
        <f t="shared" si="103"/>
        <v>2655.8122499999999</v>
      </c>
      <c r="BB112" s="518">
        <f t="shared" si="104"/>
        <v>468.33333333333331</v>
      </c>
      <c r="BC112" s="518">
        <f t="shared" si="105"/>
        <v>1748.4833333333333</v>
      </c>
      <c r="BD112" s="518">
        <f t="shared" si="106"/>
        <v>1459.5083333333334</v>
      </c>
      <c r="BE112" s="518">
        <f t="shared" si="107"/>
        <v>1540.15</v>
      </c>
      <c r="BF112" s="518">
        <f t="shared" si="108"/>
        <v>1080.8333333333333</v>
      </c>
      <c r="BG112" s="619">
        <f t="shared" si="109"/>
        <v>1650.4333333333334</v>
      </c>
      <c r="BH112" s="619">
        <f t="shared" ref="BH112:BH166" si="110">$J$47/120</f>
        <v>811.25</v>
      </c>
      <c r="BI112" s="619">
        <f t="shared" si="53"/>
        <v>2408.09375</v>
      </c>
      <c r="BJ112" s="619">
        <f t="shared" si="54"/>
        <v>0</v>
      </c>
      <c r="BK112" s="619">
        <f t="shared" si="55"/>
        <v>102.93333333333334</v>
      </c>
      <c r="BL112" s="619"/>
      <c r="BM112" s="619">
        <f t="shared" si="56"/>
        <v>1336.6676666666667</v>
      </c>
      <c r="BN112" s="619">
        <f t="shared" si="57"/>
        <v>477.23883333333339</v>
      </c>
      <c r="BO112" s="619">
        <f t="shared" si="58"/>
        <v>0</v>
      </c>
      <c r="BP112" s="619">
        <f t="shared" si="59"/>
        <v>97.898666666666671</v>
      </c>
      <c r="BQ112" s="518">
        <f t="shared" si="66"/>
        <v>80134.938833333305</v>
      </c>
    </row>
    <row r="113" spans="1:69" s="585" customFormat="1" ht="12.75" customHeight="1" outlineLevel="1">
      <c r="A113" s="308" t="s">
        <v>46</v>
      </c>
      <c r="B113" s="308">
        <f t="shared" si="77"/>
        <v>2024</v>
      </c>
      <c r="C113" s="308" t="s">
        <v>102</v>
      </c>
      <c r="D113" s="518"/>
      <c r="E113" s="518"/>
      <c r="F113" s="518"/>
      <c r="G113" s="518"/>
      <c r="H113" s="518"/>
      <c r="I113" s="518"/>
      <c r="J113" s="518">
        <f t="shared" si="98"/>
        <v>0</v>
      </c>
      <c r="K113" s="518">
        <f t="shared" si="63"/>
        <v>9616192.6599999983</v>
      </c>
      <c r="L113" s="518"/>
      <c r="M113" s="518">
        <f t="shared" si="93"/>
        <v>62867.510000000024</v>
      </c>
      <c r="N113" s="518">
        <f t="shared" si="64"/>
        <v>7030318.6099999947</v>
      </c>
      <c r="O113" s="518"/>
      <c r="P113" s="518">
        <f t="shared" si="61"/>
        <v>2585874.0500000035</v>
      </c>
      <c r="R113" s="518">
        <f t="shared" si="62"/>
        <v>0</v>
      </c>
      <c r="S113" s="518">
        <f t="shared" si="65"/>
        <v>415.79166666666669</v>
      </c>
      <c r="T113" s="518">
        <f t="shared" si="67"/>
        <v>878.85</v>
      </c>
      <c r="U113" s="518">
        <f t="shared" si="68"/>
        <v>4172.1833333333334</v>
      </c>
      <c r="V113" s="518">
        <f t="shared" si="69"/>
        <v>6601.6416666666664</v>
      </c>
      <c r="W113" s="518">
        <f t="shared" si="70"/>
        <v>5314.0657499999998</v>
      </c>
      <c r="X113" s="518">
        <f t="shared" si="71"/>
        <v>4037.2521666666667</v>
      </c>
      <c r="Y113" s="518">
        <f t="shared" si="72"/>
        <v>2285.2750000000001</v>
      </c>
      <c r="Z113" s="518">
        <f t="shared" si="73"/>
        <v>1091.7583333333334</v>
      </c>
      <c r="AA113" s="518">
        <f t="shared" si="74"/>
        <v>1269.9591666666668</v>
      </c>
      <c r="AB113" s="518">
        <f t="shared" si="75"/>
        <v>606.67849999999999</v>
      </c>
      <c r="AC113" s="518">
        <f t="shared" si="76"/>
        <v>476.46666666666664</v>
      </c>
      <c r="AD113" s="518">
        <f t="shared" si="78"/>
        <v>1657.7180833333332</v>
      </c>
      <c r="AE113" s="518">
        <f t="shared" si="79"/>
        <v>3516.1947500000001</v>
      </c>
      <c r="AF113" s="518">
        <f t="shared" si="80"/>
        <v>1564.4</v>
      </c>
      <c r="AG113" s="518">
        <f t="shared" si="81"/>
        <v>2587.7750000000001</v>
      </c>
      <c r="AH113" s="518">
        <f t="shared" si="82"/>
        <v>2302.7285000000002</v>
      </c>
      <c r="AI113" s="518">
        <f t="shared" si="83"/>
        <v>1957.7</v>
      </c>
      <c r="AJ113" s="518">
        <f t="shared" si="84"/>
        <v>1067.125</v>
      </c>
      <c r="AK113" s="518">
        <f t="shared" si="85"/>
        <v>1806.075</v>
      </c>
      <c r="AL113" s="518">
        <f t="shared" si="86"/>
        <v>1723.2054166666667</v>
      </c>
      <c r="AM113" s="518">
        <f t="shared" si="87"/>
        <v>3010.375</v>
      </c>
      <c r="AN113" s="518">
        <f t="shared" si="88"/>
        <v>920.83333333333337</v>
      </c>
      <c r="AO113" s="518">
        <f t="shared" si="89"/>
        <v>1423.5416666666667</v>
      </c>
      <c r="AP113" s="518">
        <f t="shared" si="90"/>
        <v>1452.5480833333336</v>
      </c>
      <c r="AQ113" s="518">
        <f t="shared" si="91"/>
        <v>783.11666666666667</v>
      </c>
      <c r="AR113" s="518">
        <f t="shared" si="92"/>
        <v>2080.4166666666665</v>
      </c>
      <c r="AS113" s="518">
        <f t="shared" si="94"/>
        <v>688.7</v>
      </c>
      <c r="AT113" s="518">
        <f t="shared" si="95"/>
        <v>1607.9597499999998</v>
      </c>
      <c r="AU113" s="518">
        <f t="shared" si="96"/>
        <v>690.61666666666667</v>
      </c>
      <c r="AV113" s="518">
        <f t="shared" si="97"/>
        <v>1347.6258333333333</v>
      </c>
      <c r="AW113" s="518">
        <f t="shared" si="99"/>
        <v>1038.7249999999999</v>
      </c>
      <c r="AX113" s="518">
        <f t="shared" si="100"/>
        <v>1395.9028333333333</v>
      </c>
      <c r="AY113" s="518">
        <f t="shared" si="101"/>
        <v>1365.0055</v>
      </c>
      <c r="AZ113" s="518">
        <f t="shared" si="102"/>
        <v>1159.0916666666667</v>
      </c>
      <c r="BA113" s="518">
        <f t="shared" si="103"/>
        <v>2655.8122499999999</v>
      </c>
      <c r="BB113" s="518">
        <f t="shared" si="104"/>
        <v>468.33333333333331</v>
      </c>
      <c r="BC113" s="518">
        <f t="shared" si="105"/>
        <v>1748.4833333333333</v>
      </c>
      <c r="BD113" s="518">
        <f t="shared" si="106"/>
        <v>1459.5083333333334</v>
      </c>
      <c r="BE113" s="518">
        <f t="shared" si="107"/>
        <v>1540.15</v>
      </c>
      <c r="BF113" s="518">
        <f t="shared" si="108"/>
        <v>1080.8333333333333</v>
      </c>
      <c r="BG113" s="619">
        <f t="shared" si="109"/>
        <v>1650.4333333333334</v>
      </c>
      <c r="BH113" s="619">
        <f t="shared" si="110"/>
        <v>811.25</v>
      </c>
      <c r="BI113" s="619">
        <f t="shared" ref="BI113:BI167" si="111">$J$48/120</f>
        <v>2408.09375</v>
      </c>
      <c r="BJ113" s="619">
        <f t="shared" si="54"/>
        <v>0</v>
      </c>
      <c r="BK113" s="619">
        <f t="shared" si="55"/>
        <v>102.93333333333334</v>
      </c>
      <c r="BL113" s="619"/>
      <c r="BM113" s="619">
        <f t="shared" si="56"/>
        <v>1336.6676666666667</v>
      </c>
      <c r="BN113" s="619">
        <f t="shared" si="57"/>
        <v>477.23883333333339</v>
      </c>
      <c r="BO113" s="619">
        <f t="shared" si="58"/>
        <v>0</v>
      </c>
      <c r="BP113" s="619">
        <f t="shared" si="59"/>
        <v>97.898666666666671</v>
      </c>
      <c r="BQ113" s="518">
        <f t="shared" si="66"/>
        <v>80134.938833333305</v>
      </c>
    </row>
    <row r="114" spans="1:69" s="585" customFormat="1" ht="12.75" customHeight="1" outlineLevel="1">
      <c r="A114" s="308" t="s">
        <v>48</v>
      </c>
      <c r="B114" s="308">
        <f t="shared" si="77"/>
        <v>2024</v>
      </c>
      <c r="C114" s="308" t="s">
        <v>102</v>
      </c>
      <c r="D114" s="518"/>
      <c r="E114" s="518"/>
      <c r="F114" s="518"/>
      <c r="G114" s="518"/>
      <c r="H114" s="518"/>
      <c r="I114" s="518"/>
      <c r="J114" s="518">
        <f t="shared" si="98"/>
        <v>0</v>
      </c>
      <c r="K114" s="518">
        <f t="shared" si="63"/>
        <v>9616192.6599999983</v>
      </c>
      <c r="L114" s="518"/>
      <c r="M114" s="518">
        <f t="shared" si="93"/>
        <v>62867.510000000024</v>
      </c>
      <c r="N114" s="518">
        <f t="shared" si="64"/>
        <v>7093186.1199999945</v>
      </c>
      <c r="O114" s="518"/>
      <c r="P114" s="518">
        <f t="shared" si="61"/>
        <v>2523006.5400000038</v>
      </c>
      <c r="R114" s="518">
        <f t="shared" si="62"/>
        <v>0</v>
      </c>
      <c r="S114" s="518">
        <f t="shared" si="65"/>
        <v>415.79166666666669</v>
      </c>
      <c r="T114" s="518">
        <f t="shared" si="67"/>
        <v>878.85</v>
      </c>
      <c r="U114" s="518">
        <f t="shared" si="68"/>
        <v>4172.1833333333334</v>
      </c>
      <c r="V114" s="518">
        <f t="shared" si="69"/>
        <v>6601.6416666666664</v>
      </c>
      <c r="W114" s="518">
        <f t="shared" si="70"/>
        <v>5314.0657499999998</v>
      </c>
      <c r="X114" s="518">
        <f t="shared" si="71"/>
        <v>4037.2521666666667</v>
      </c>
      <c r="Y114" s="518">
        <f t="shared" si="72"/>
        <v>2285.2750000000001</v>
      </c>
      <c r="Z114" s="518">
        <f t="shared" si="73"/>
        <v>1091.7583333333334</v>
      </c>
      <c r="AA114" s="518">
        <f t="shared" si="74"/>
        <v>1269.9591666666668</v>
      </c>
      <c r="AB114" s="518">
        <f t="shared" si="75"/>
        <v>606.67849999999999</v>
      </c>
      <c r="AC114" s="518">
        <f t="shared" si="76"/>
        <v>476.46666666666664</v>
      </c>
      <c r="AD114" s="518">
        <f t="shared" si="78"/>
        <v>1657.7180833333332</v>
      </c>
      <c r="AE114" s="518">
        <f t="shared" si="79"/>
        <v>3516.1947500000001</v>
      </c>
      <c r="AF114" s="518">
        <f t="shared" si="80"/>
        <v>1564.4</v>
      </c>
      <c r="AG114" s="518">
        <f t="shared" si="81"/>
        <v>2587.7750000000001</v>
      </c>
      <c r="AH114" s="518">
        <f t="shared" si="82"/>
        <v>2302.7285000000002</v>
      </c>
      <c r="AI114" s="518">
        <f t="shared" si="83"/>
        <v>1957.7</v>
      </c>
      <c r="AJ114" s="518">
        <f t="shared" si="84"/>
        <v>1067.125</v>
      </c>
      <c r="AK114" s="518">
        <f t="shared" si="85"/>
        <v>1806.075</v>
      </c>
      <c r="AL114" s="518">
        <f t="shared" si="86"/>
        <v>1723.2054166666667</v>
      </c>
      <c r="AM114" s="518">
        <f t="shared" si="87"/>
        <v>3010.375</v>
      </c>
      <c r="AN114" s="518">
        <f t="shared" si="88"/>
        <v>920.83333333333337</v>
      </c>
      <c r="AO114" s="518">
        <f t="shared" si="89"/>
        <v>1423.5416666666667</v>
      </c>
      <c r="AP114" s="518">
        <f t="shared" si="90"/>
        <v>1452.5480833333336</v>
      </c>
      <c r="AQ114" s="518">
        <f t="shared" si="91"/>
        <v>783.11666666666667</v>
      </c>
      <c r="AR114" s="518">
        <f t="shared" si="92"/>
        <v>2080.4166666666665</v>
      </c>
      <c r="AS114" s="518">
        <f t="shared" si="94"/>
        <v>688.7</v>
      </c>
      <c r="AT114" s="518">
        <f t="shared" si="95"/>
        <v>1607.9597499999998</v>
      </c>
      <c r="AU114" s="518">
        <f t="shared" si="96"/>
        <v>690.61666666666667</v>
      </c>
      <c r="AV114" s="518">
        <f t="shared" si="97"/>
        <v>1347.6258333333333</v>
      </c>
      <c r="AW114" s="518">
        <f t="shared" si="99"/>
        <v>1038.7249999999999</v>
      </c>
      <c r="AX114" s="518">
        <f t="shared" si="100"/>
        <v>1395.9028333333333</v>
      </c>
      <c r="AY114" s="518">
        <f t="shared" si="101"/>
        <v>1365.0055</v>
      </c>
      <c r="AZ114" s="518">
        <f t="shared" si="102"/>
        <v>1159.0916666666667</v>
      </c>
      <c r="BA114" s="518">
        <f t="shared" si="103"/>
        <v>2655.8122499999999</v>
      </c>
      <c r="BB114" s="518">
        <f t="shared" si="104"/>
        <v>468.33333333333331</v>
      </c>
      <c r="BC114" s="518">
        <f t="shared" si="105"/>
        <v>1748.4833333333333</v>
      </c>
      <c r="BD114" s="518">
        <f t="shared" si="106"/>
        <v>1459.5083333333334</v>
      </c>
      <c r="BE114" s="518">
        <f t="shared" si="107"/>
        <v>1540.15</v>
      </c>
      <c r="BF114" s="518">
        <f t="shared" si="108"/>
        <v>1080.8333333333333</v>
      </c>
      <c r="BG114" s="619">
        <f t="shared" si="109"/>
        <v>1650.4333333333334</v>
      </c>
      <c r="BH114" s="619">
        <f t="shared" si="110"/>
        <v>811.25</v>
      </c>
      <c r="BI114" s="619">
        <f t="shared" si="111"/>
        <v>2408.09375</v>
      </c>
      <c r="BJ114" s="619">
        <f t="shared" ref="BJ114:BJ168" si="112">$J$49/120</f>
        <v>0</v>
      </c>
      <c r="BK114" s="619">
        <f t="shared" si="55"/>
        <v>102.93333333333334</v>
      </c>
      <c r="BL114" s="619"/>
      <c r="BM114" s="619">
        <f t="shared" si="56"/>
        <v>1336.6676666666667</v>
      </c>
      <c r="BN114" s="619">
        <f t="shared" si="57"/>
        <v>477.23883333333339</v>
      </c>
      <c r="BO114" s="619">
        <f t="shared" si="58"/>
        <v>0</v>
      </c>
      <c r="BP114" s="619">
        <f t="shared" si="59"/>
        <v>97.898666666666671</v>
      </c>
      <c r="BQ114" s="518">
        <f t="shared" si="66"/>
        <v>80134.938833333305</v>
      </c>
    </row>
    <row r="115" spans="1:69" s="585" customFormat="1" ht="12.75" customHeight="1" outlineLevel="1">
      <c r="A115" s="308" t="s">
        <v>50</v>
      </c>
      <c r="B115" s="308">
        <f t="shared" si="77"/>
        <v>2024</v>
      </c>
      <c r="C115" s="308" t="s">
        <v>102</v>
      </c>
      <c r="D115" s="518"/>
      <c r="E115" s="518"/>
      <c r="F115" s="518"/>
      <c r="G115" s="518"/>
      <c r="H115" s="518"/>
      <c r="I115" s="518"/>
      <c r="J115" s="518">
        <f t="shared" si="98"/>
        <v>0</v>
      </c>
      <c r="K115" s="518">
        <f t="shared" si="63"/>
        <v>9616192.6599999983</v>
      </c>
      <c r="L115" s="518"/>
      <c r="M115" s="518">
        <f t="shared" si="93"/>
        <v>62867.510000000024</v>
      </c>
      <c r="N115" s="518">
        <f t="shared" si="64"/>
        <v>7156053.6299999943</v>
      </c>
      <c r="O115" s="518"/>
      <c r="P115" s="518">
        <f t="shared" si="61"/>
        <v>2460139.030000004</v>
      </c>
      <c r="R115" s="518">
        <f t="shared" si="62"/>
        <v>0</v>
      </c>
      <c r="S115" s="518">
        <f t="shared" si="65"/>
        <v>415.79166666666669</v>
      </c>
      <c r="T115" s="518">
        <f t="shared" si="67"/>
        <v>878.85</v>
      </c>
      <c r="U115" s="518">
        <f t="shared" si="68"/>
        <v>4172.1833333333334</v>
      </c>
      <c r="V115" s="518">
        <f t="shared" si="69"/>
        <v>6601.6416666666664</v>
      </c>
      <c r="W115" s="518">
        <f t="shared" si="70"/>
        <v>5314.0657499999998</v>
      </c>
      <c r="X115" s="518">
        <f t="shared" si="71"/>
        <v>4037.2521666666667</v>
      </c>
      <c r="Y115" s="518">
        <f t="shared" si="72"/>
        <v>2285.2750000000001</v>
      </c>
      <c r="Z115" s="518">
        <f t="shared" si="73"/>
        <v>1091.7583333333334</v>
      </c>
      <c r="AA115" s="518">
        <f t="shared" si="74"/>
        <v>1269.9591666666668</v>
      </c>
      <c r="AB115" s="518">
        <f t="shared" si="75"/>
        <v>606.67849999999999</v>
      </c>
      <c r="AC115" s="518">
        <f t="shared" si="76"/>
        <v>476.46666666666664</v>
      </c>
      <c r="AD115" s="518">
        <f t="shared" si="78"/>
        <v>1657.7180833333332</v>
      </c>
      <c r="AE115" s="518">
        <f t="shared" si="79"/>
        <v>3516.1947500000001</v>
      </c>
      <c r="AF115" s="518">
        <f t="shared" si="80"/>
        <v>1564.4</v>
      </c>
      <c r="AG115" s="518">
        <f t="shared" si="81"/>
        <v>2587.7750000000001</v>
      </c>
      <c r="AH115" s="518">
        <f t="shared" si="82"/>
        <v>2302.7285000000002</v>
      </c>
      <c r="AI115" s="518">
        <f t="shared" si="83"/>
        <v>1957.7</v>
      </c>
      <c r="AJ115" s="518">
        <f t="shared" si="84"/>
        <v>1067.125</v>
      </c>
      <c r="AK115" s="518">
        <f t="shared" si="85"/>
        <v>1806.075</v>
      </c>
      <c r="AL115" s="518">
        <f t="shared" si="86"/>
        <v>1723.2054166666667</v>
      </c>
      <c r="AM115" s="518">
        <f t="shared" si="87"/>
        <v>3010.375</v>
      </c>
      <c r="AN115" s="518">
        <f t="shared" si="88"/>
        <v>920.83333333333337</v>
      </c>
      <c r="AO115" s="518">
        <f t="shared" si="89"/>
        <v>1423.5416666666667</v>
      </c>
      <c r="AP115" s="518">
        <f t="shared" si="90"/>
        <v>1452.5480833333336</v>
      </c>
      <c r="AQ115" s="518">
        <f t="shared" si="91"/>
        <v>783.11666666666667</v>
      </c>
      <c r="AR115" s="518">
        <f t="shared" si="92"/>
        <v>2080.4166666666665</v>
      </c>
      <c r="AS115" s="518">
        <f t="shared" si="94"/>
        <v>688.7</v>
      </c>
      <c r="AT115" s="518">
        <f t="shared" si="95"/>
        <v>1607.9597499999998</v>
      </c>
      <c r="AU115" s="518">
        <f t="shared" si="96"/>
        <v>690.61666666666667</v>
      </c>
      <c r="AV115" s="518">
        <f t="shared" si="97"/>
        <v>1347.6258333333333</v>
      </c>
      <c r="AW115" s="518">
        <f t="shared" si="99"/>
        <v>1038.7249999999999</v>
      </c>
      <c r="AX115" s="518">
        <f t="shared" si="100"/>
        <v>1395.9028333333333</v>
      </c>
      <c r="AY115" s="518">
        <f t="shared" si="101"/>
        <v>1365.0055</v>
      </c>
      <c r="AZ115" s="518">
        <f t="shared" si="102"/>
        <v>1159.0916666666667</v>
      </c>
      <c r="BA115" s="518">
        <f t="shared" si="103"/>
        <v>2655.8122499999999</v>
      </c>
      <c r="BB115" s="518">
        <f t="shared" si="104"/>
        <v>468.33333333333331</v>
      </c>
      <c r="BC115" s="518">
        <f t="shared" si="105"/>
        <v>1748.4833333333333</v>
      </c>
      <c r="BD115" s="518">
        <f t="shared" si="106"/>
        <v>1459.5083333333334</v>
      </c>
      <c r="BE115" s="518">
        <f t="shared" si="107"/>
        <v>1540.15</v>
      </c>
      <c r="BF115" s="518">
        <f t="shared" si="108"/>
        <v>1080.8333333333333</v>
      </c>
      <c r="BG115" s="619">
        <f t="shared" si="109"/>
        <v>1650.4333333333334</v>
      </c>
      <c r="BH115" s="619">
        <f t="shared" si="110"/>
        <v>811.25</v>
      </c>
      <c r="BI115" s="619">
        <f t="shared" si="111"/>
        <v>2408.09375</v>
      </c>
      <c r="BJ115" s="619">
        <f t="shared" si="112"/>
        <v>0</v>
      </c>
      <c r="BK115" s="619">
        <f t="shared" ref="BK115:BK169" si="113">$J$50/120</f>
        <v>102.93333333333334</v>
      </c>
      <c r="BL115" s="619"/>
      <c r="BM115" s="619">
        <f t="shared" si="56"/>
        <v>1336.6676666666667</v>
      </c>
      <c r="BN115" s="619">
        <f t="shared" si="57"/>
        <v>477.23883333333339</v>
      </c>
      <c r="BO115" s="619">
        <f t="shared" si="58"/>
        <v>0</v>
      </c>
      <c r="BP115" s="619">
        <f t="shared" si="59"/>
        <v>97.898666666666671</v>
      </c>
      <c r="BQ115" s="518">
        <f t="shared" si="66"/>
        <v>80134.938833333305</v>
      </c>
    </row>
    <row r="116" spans="1:69" s="585" customFormat="1" ht="12.75" customHeight="1" outlineLevel="1">
      <c r="A116" s="308" t="s">
        <v>51</v>
      </c>
      <c r="B116" s="308">
        <f t="shared" si="77"/>
        <v>2024</v>
      </c>
      <c r="C116" s="308" t="s">
        <v>102</v>
      </c>
      <c r="D116" s="518"/>
      <c r="E116" s="518"/>
      <c r="F116" s="518"/>
      <c r="G116" s="518"/>
      <c r="H116" s="518"/>
      <c r="I116" s="518"/>
      <c r="J116" s="518">
        <f t="shared" si="98"/>
        <v>0</v>
      </c>
      <c r="K116" s="518">
        <f t="shared" si="63"/>
        <v>9616192.6599999983</v>
      </c>
      <c r="L116" s="518"/>
      <c r="M116" s="518">
        <f t="shared" si="93"/>
        <v>62867.510000000024</v>
      </c>
      <c r="N116" s="518">
        <f t="shared" si="64"/>
        <v>7218921.1399999941</v>
      </c>
      <c r="O116" s="518"/>
      <c r="P116" s="518">
        <f t="shared" si="61"/>
        <v>2397271.5200000042</v>
      </c>
      <c r="R116" s="518">
        <f t="shared" si="62"/>
        <v>0</v>
      </c>
      <c r="S116" s="518">
        <f t="shared" si="65"/>
        <v>415.79166666666669</v>
      </c>
      <c r="T116" s="518">
        <f t="shared" si="67"/>
        <v>878.85</v>
      </c>
      <c r="U116" s="518">
        <f t="shared" si="68"/>
        <v>4172.1833333333334</v>
      </c>
      <c r="V116" s="518">
        <f t="shared" si="69"/>
        <v>6601.6416666666664</v>
      </c>
      <c r="W116" s="518">
        <f t="shared" si="70"/>
        <v>5314.0657499999998</v>
      </c>
      <c r="X116" s="518">
        <f t="shared" si="71"/>
        <v>4037.2521666666667</v>
      </c>
      <c r="Y116" s="518">
        <f t="shared" si="72"/>
        <v>2285.2750000000001</v>
      </c>
      <c r="Z116" s="518">
        <f t="shared" si="73"/>
        <v>1091.7583333333334</v>
      </c>
      <c r="AA116" s="518">
        <f t="shared" si="74"/>
        <v>1269.9591666666668</v>
      </c>
      <c r="AB116" s="518">
        <f t="shared" si="75"/>
        <v>606.67849999999999</v>
      </c>
      <c r="AC116" s="518">
        <f t="shared" si="76"/>
        <v>476.46666666666664</v>
      </c>
      <c r="AD116" s="518">
        <f t="shared" si="78"/>
        <v>1657.7180833333332</v>
      </c>
      <c r="AE116" s="518">
        <f t="shared" si="79"/>
        <v>3516.1947500000001</v>
      </c>
      <c r="AF116" s="518">
        <f t="shared" si="80"/>
        <v>1564.4</v>
      </c>
      <c r="AG116" s="518">
        <f t="shared" si="81"/>
        <v>2587.7750000000001</v>
      </c>
      <c r="AH116" s="518">
        <f t="shared" si="82"/>
        <v>2302.7285000000002</v>
      </c>
      <c r="AI116" s="518">
        <f t="shared" si="83"/>
        <v>1957.7</v>
      </c>
      <c r="AJ116" s="518">
        <f t="shared" si="84"/>
        <v>1067.125</v>
      </c>
      <c r="AK116" s="518">
        <f t="shared" si="85"/>
        <v>1806.075</v>
      </c>
      <c r="AL116" s="518">
        <f t="shared" si="86"/>
        <v>1723.2054166666667</v>
      </c>
      <c r="AM116" s="518">
        <f t="shared" si="87"/>
        <v>3010.375</v>
      </c>
      <c r="AN116" s="518">
        <f t="shared" si="88"/>
        <v>920.83333333333337</v>
      </c>
      <c r="AO116" s="518">
        <f t="shared" si="89"/>
        <v>1423.5416666666667</v>
      </c>
      <c r="AP116" s="518">
        <f t="shared" si="90"/>
        <v>1452.5480833333336</v>
      </c>
      <c r="AQ116" s="518">
        <f t="shared" si="91"/>
        <v>783.11666666666667</v>
      </c>
      <c r="AR116" s="518">
        <f t="shared" si="92"/>
        <v>2080.4166666666665</v>
      </c>
      <c r="AS116" s="518">
        <f t="shared" si="94"/>
        <v>688.7</v>
      </c>
      <c r="AT116" s="518">
        <f t="shared" si="95"/>
        <v>1607.9597499999998</v>
      </c>
      <c r="AU116" s="518">
        <f t="shared" si="96"/>
        <v>690.61666666666667</v>
      </c>
      <c r="AV116" s="518">
        <f t="shared" si="97"/>
        <v>1347.6258333333333</v>
      </c>
      <c r="AW116" s="518">
        <f t="shared" si="99"/>
        <v>1038.7249999999999</v>
      </c>
      <c r="AX116" s="518">
        <f t="shared" si="100"/>
        <v>1395.9028333333333</v>
      </c>
      <c r="AY116" s="518">
        <f t="shared" si="101"/>
        <v>1365.0055</v>
      </c>
      <c r="AZ116" s="518">
        <f t="shared" si="102"/>
        <v>1159.0916666666667</v>
      </c>
      <c r="BA116" s="518">
        <f t="shared" si="103"/>
        <v>2655.8122499999999</v>
      </c>
      <c r="BB116" s="518">
        <f t="shared" si="104"/>
        <v>468.33333333333331</v>
      </c>
      <c r="BC116" s="518">
        <f t="shared" si="105"/>
        <v>1748.4833333333333</v>
      </c>
      <c r="BD116" s="518">
        <f t="shared" si="106"/>
        <v>1459.5083333333334</v>
      </c>
      <c r="BE116" s="518">
        <f t="shared" si="107"/>
        <v>1540.15</v>
      </c>
      <c r="BF116" s="518">
        <f t="shared" si="108"/>
        <v>1080.8333333333333</v>
      </c>
      <c r="BG116" s="619">
        <f t="shared" si="109"/>
        <v>1650.4333333333334</v>
      </c>
      <c r="BH116" s="619">
        <f t="shared" si="110"/>
        <v>811.25</v>
      </c>
      <c r="BI116" s="619">
        <f t="shared" si="111"/>
        <v>2408.09375</v>
      </c>
      <c r="BJ116" s="619">
        <f t="shared" si="112"/>
        <v>0</v>
      </c>
      <c r="BK116" s="619">
        <f t="shared" si="113"/>
        <v>102.93333333333334</v>
      </c>
      <c r="BL116" s="619"/>
      <c r="BM116" s="619">
        <f t="shared" si="56"/>
        <v>1336.6676666666667</v>
      </c>
      <c r="BN116" s="619">
        <f t="shared" si="57"/>
        <v>477.23883333333339</v>
      </c>
      <c r="BO116" s="619">
        <f t="shared" si="58"/>
        <v>0</v>
      </c>
      <c r="BP116" s="619">
        <f t="shared" si="59"/>
        <v>97.898666666666671</v>
      </c>
      <c r="BQ116" s="518">
        <f t="shared" si="66"/>
        <v>80134.938833333305</v>
      </c>
    </row>
    <row r="117" spans="1:69" s="585" customFormat="1" ht="12.75" customHeight="1" outlineLevel="1">
      <c r="A117" s="308" t="s">
        <v>52</v>
      </c>
      <c r="B117" s="308">
        <f t="shared" si="77"/>
        <v>2024</v>
      </c>
      <c r="C117" s="308" t="s">
        <v>102</v>
      </c>
      <c r="D117" s="518"/>
      <c r="E117" s="518"/>
      <c r="F117" s="518"/>
      <c r="G117" s="518"/>
      <c r="H117" s="518"/>
      <c r="I117" s="518"/>
      <c r="J117" s="518">
        <f t="shared" si="98"/>
        <v>0</v>
      </c>
      <c r="K117" s="518">
        <f t="shared" si="63"/>
        <v>9616192.6599999983</v>
      </c>
      <c r="L117" s="518"/>
      <c r="M117" s="518">
        <f t="shared" si="93"/>
        <v>62867.510000000024</v>
      </c>
      <c r="N117" s="518">
        <f t="shared" si="64"/>
        <v>7281788.6499999939</v>
      </c>
      <c r="O117" s="518"/>
      <c r="P117" s="518">
        <f t="shared" si="61"/>
        <v>2334404.0100000044</v>
      </c>
      <c r="R117" s="518">
        <f t="shared" si="62"/>
        <v>0</v>
      </c>
      <c r="S117" s="518">
        <f t="shared" si="65"/>
        <v>415.79166666666669</v>
      </c>
      <c r="T117" s="518">
        <f t="shared" si="67"/>
        <v>878.85</v>
      </c>
      <c r="U117" s="518">
        <f t="shared" si="68"/>
        <v>4172.1833333333334</v>
      </c>
      <c r="V117" s="518">
        <f t="shared" si="69"/>
        <v>6601.6416666666664</v>
      </c>
      <c r="W117" s="518">
        <f t="shared" si="70"/>
        <v>5314.0657499999998</v>
      </c>
      <c r="X117" s="518">
        <f t="shared" si="71"/>
        <v>4037.2521666666667</v>
      </c>
      <c r="Y117" s="518">
        <f t="shared" si="72"/>
        <v>2285.2750000000001</v>
      </c>
      <c r="Z117" s="518">
        <f t="shared" si="73"/>
        <v>1091.7583333333334</v>
      </c>
      <c r="AA117" s="518">
        <f t="shared" si="74"/>
        <v>1269.9591666666668</v>
      </c>
      <c r="AB117" s="518">
        <f t="shared" si="75"/>
        <v>606.67849999999999</v>
      </c>
      <c r="AC117" s="518">
        <f t="shared" si="76"/>
        <v>476.46666666666664</v>
      </c>
      <c r="AD117" s="518">
        <f t="shared" si="78"/>
        <v>1657.7180833333332</v>
      </c>
      <c r="AE117" s="518">
        <f t="shared" si="79"/>
        <v>3516.1947500000001</v>
      </c>
      <c r="AF117" s="518">
        <f t="shared" si="80"/>
        <v>1564.4</v>
      </c>
      <c r="AG117" s="518">
        <f t="shared" si="81"/>
        <v>2587.7750000000001</v>
      </c>
      <c r="AH117" s="518">
        <f t="shared" si="82"/>
        <v>2302.7285000000002</v>
      </c>
      <c r="AI117" s="518">
        <f t="shared" si="83"/>
        <v>1957.7</v>
      </c>
      <c r="AJ117" s="518">
        <f t="shared" si="84"/>
        <v>1067.125</v>
      </c>
      <c r="AK117" s="518">
        <f t="shared" si="85"/>
        <v>1806.075</v>
      </c>
      <c r="AL117" s="518">
        <f t="shared" si="86"/>
        <v>1723.2054166666667</v>
      </c>
      <c r="AM117" s="518">
        <f t="shared" si="87"/>
        <v>3010.375</v>
      </c>
      <c r="AN117" s="518">
        <f t="shared" si="88"/>
        <v>920.83333333333337</v>
      </c>
      <c r="AO117" s="518">
        <f t="shared" si="89"/>
        <v>1423.5416666666667</v>
      </c>
      <c r="AP117" s="518">
        <f t="shared" si="90"/>
        <v>1452.5480833333336</v>
      </c>
      <c r="AQ117" s="518">
        <f t="shared" si="91"/>
        <v>783.11666666666667</v>
      </c>
      <c r="AR117" s="518">
        <f t="shared" si="92"/>
        <v>2080.4166666666665</v>
      </c>
      <c r="AS117" s="518">
        <f t="shared" si="94"/>
        <v>688.7</v>
      </c>
      <c r="AT117" s="518">
        <f t="shared" si="95"/>
        <v>1607.9597499999998</v>
      </c>
      <c r="AU117" s="518">
        <f t="shared" si="96"/>
        <v>690.61666666666667</v>
      </c>
      <c r="AV117" s="518">
        <f t="shared" si="97"/>
        <v>1347.6258333333333</v>
      </c>
      <c r="AW117" s="518">
        <f t="shared" si="99"/>
        <v>1038.7249999999999</v>
      </c>
      <c r="AX117" s="518">
        <f t="shared" si="100"/>
        <v>1395.9028333333333</v>
      </c>
      <c r="AY117" s="518">
        <f t="shared" si="101"/>
        <v>1365.0055</v>
      </c>
      <c r="AZ117" s="518">
        <f t="shared" si="102"/>
        <v>1159.0916666666667</v>
      </c>
      <c r="BA117" s="518">
        <f t="shared" si="103"/>
        <v>2655.8122499999999</v>
      </c>
      <c r="BB117" s="518">
        <f t="shared" si="104"/>
        <v>468.33333333333331</v>
      </c>
      <c r="BC117" s="518">
        <f t="shared" si="105"/>
        <v>1748.4833333333333</v>
      </c>
      <c r="BD117" s="518">
        <f t="shared" si="106"/>
        <v>1459.5083333333334</v>
      </c>
      <c r="BE117" s="518">
        <f t="shared" si="107"/>
        <v>1540.15</v>
      </c>
      <c r="BF117" s="518">
        <f t="shared" si="108"/>
        <v>1080.8333333333333</v>
      </c>
      <c r="BG117" s="619">
        <f t="shared" si="109"/>
        <v>1650.4333333333334</v>
      </c>
      <c r="BH117" s="619">
        <f t="shared" si="110"/>
        <v>811.25</v>
      </c>
      <c r="BI117" s="619">
        <f t="shared" si="111"/>
        <v>2408.09375</v>
      </c>
      <c r="BJ117" s="619">
        <f t="shared" si="112"/>
        <v>0</v>
      </c>
      <c r="BK117" s="619">
        <f t="shared" si="113"/>
        <v>102.93333333333334</v>
      </c>
      <c r="BL117" s="619"/>
      <c r="BM117" s="619">
        <f t="shared" ref="BM117:BM171" si="114">$J$52/120</f>
        <v>1336.6676666666667</v>
      </c>
      <c r="BN117" s="619">
        <f t="shared" si="57"/>
        <v>477.23883333333339</v>
      </c>
      <c r="BO117" s="619">
        <f t="shared" si="58"/>
        <v>0</v>
      </c>
      <c r="BP117" s="619">
        <f t="shared" si="59"/>
        <v>97.898666666666671</v>
      </c>
      <c r="BQ117" s="518">
        <f t="shared" si="66"/>
        <v>80134.938833333305</v>
      </c>
    </row>
    <row r="118" spans="1:69" s="585" customFormat="1" ht="12.75" customHeight="1" outlineLevel="1">
      <c r="A118" s="308" t="s">
        <v>53</v>
      </c>
      <c r="B118" s="308">
        <f t="shared" si="77"/>
        <v>2025</v>
      </c>
      <c r="C118" s="308" t="s">
        <v>102</v>
      </c>
      <c r="D118" s="518"/>
      <c r="E118" s="518"/>
      <c r="F118" s="518"/>
      <c r="G118" s="518"/>
      <c r="H118" s="518"/>
      <c r="I118" s="518"/>
      <c r="J118" s="518">
        <f t="shared" si="98"/>
        <v>0</v>
      </c>
      <c r="K118" s="518">
        <f t="shared" si="63"/>
        <v>9616192.6599999983</v>
      </c>
      <c r="L118" s="518"/>
      <c r="M118" s="518">
        <f t="shared" si="93"/>
        <v>62867.510000000024</v>
      </c>
      <c r="N118" s="518">
        <f t="shared" si="64"/>
        <v>7344656.1599999936</v>
      </c>
      <c r="O118" s="518"/>
      <c r="P118" s="518">
        <f t="shared" si="61"/>
        <v>2271536.5000000047</v>
      </c>
      <c r="R118" s="518">
        <f t="shared" si="62"/>
        <v>0</v>
      </c>
      <c r="S118" s="518">
        <f t="shared" si="65"/>
        <v>415.79166666666669</v>
      </c>
      <c r="T118" s="518">
        <f t="shared" si="67"/>
        <v>878.85</v>
      </c>
      <c r="U118" s="518">
        <f t="shared" si="68"/>
        <v>4172.1833333333334</v>
      </c>
      <c r="V118" s="518">
        <f t="shared" si="69"/>
        <v>6601.6416666666664</v>
      </c>
      <c r="W118" s="518">
        <f t="shared" si="70"/>
        <v>5314.0657499999998</v>
      </c>
      <c r="X118" s="518">
        <f t="shared" si="71"/>
        <v>4037.2521666666667</v>
      </c>
      <c r="Y118" s="518">
        <f t="shared" si="72"/>
        <v>2285.2750000000001</v>
      </c>
      <c r="Z118" s="518">
        <f t="shared" si="73"/>
        <v>1091.7583333333334</v>
      </c>
      <c r="AA118" s="518">
        <f t="shared" si="74"/>
        <v>1269.9591666666668</v>
      </c>
      <c r="AB118" s="518">
        <f t="shared" si="75"/>
        <v>606.67849999999999</v>
      </c>
      <c r="AC118" s="518">
        <f t="shared" si="76"/>
        <v>476.46666666666664</v>
      </c>
      <c r="AD118" s="518">
        <f t="shared" si="78"/>
        <v>1657.7180833333332</v>
      </c>
      <c r="AE118" s="518">
        <f t="shared" si="79"/>
        <v>3516.1947500000001</v>
      </c>
      <c r="AF118" s="518">
        <f t="shared" si="80"/>
        <v>1564.4</v>
      </c>
      <c r="AG118" s="518">
        <f t="shared" si="81"/>
        <v>2587.7750000000001</v>
      </c>
      <c r="AH118" s="518">
        <f t="shared" si="82"/>
        <v>2302.7285000000002</v>
      </c>
      <c r="AI118" s="518">
        <f t="shared" si="83"/>
        <v>1957.7</v>
      </c>
      <c r="AJ118" s="518">
        <f t="shared" si="84"/>
        <v>1067.125</v>
      </c>
      <c r="AK118" s="518">
        <f t="shared" si="85"/>
        <v>1806.075</v>
      </c>
      <c r="AL118" s="518">
        <f t="shared" si="86"/>
        <v>1723.2054166666667</v>
      </c>
      <c r="AM118" s="518">
        <f t="shared" si="87"/>
        <v>3010.375</v>
      </c>
      <c r="AN118" s="518">
        <f t="shared" si="88"/>
        <v>920.83333333333337</v>
      </c>
      <c r="AO118" s="518">
        <f t="shared" si="89"/>
        <v>1423.5416666666667</v>
      </c>
      <c r="AP118" s="518">
        <f t="shared" si="90"/>
        <v>1452.5480833333336</v>
      </c>
      <c r="AQ118" s="518">
        <f t="shared" si="91"/>
        <v>783.11666666666667</v>
      </c>
      <c r="AR118" s="518">
        <f t="shared" si="92"/>
        <v>2080.4166666666665</v>
      </c>
      <c r="AS118" s="518">
        <f t="shared" si="94"/>
        <v>688.7</v>
      </c>
      <c r="AT118" s="518">
        <f t="shared" si="95"/>
        <v>1607.9597499999998</v>
      </c>
      <c r="AU118" s="518">
        <f t="shared" si="96"/>
        <v>690.61666666666667</v>
      </c>
      <c r="AV118" s="518">
        <f t="shared" si="97"/>
        <v>1347.6258333333333</v>
      </c>
      <c r="AW118" s="518">
        <f t="shared" si="99"/>
        <v>1038.7249999999999</v>
      </c>
      <c r="AX118" s="518">
        <f t="shared" si="100"/>
        <v>1395.9028333333333</v>
      </c>
      <c r="AY118" s="518">
        <f t="shared" si="101"/>
        <v>1365.0055</v>
      </c>
      <c r="AZ118" s="518">
        <f t="shared" si="102"/>
        <v>1159.0916666666667</v>
      </c>
      <c r="BA118" s="518">
        <f t="shared" si="103"/>
        <v>2655.8122499999999</v>
      </c>
      <c r="BB118" s="518">
        <f t="shared" si="104"/>
        <v>468.33333333333331</v>
      </c>
      <c r="BC118" s="518">
        <f t="shared" si="105"/>
        <v>1748.4833333333333</v>
      </c>
      <c r="BD118" s="518">
        <f t="shared" si="106"/>
        <v>1459.5083333333334</v>
      </c>
      <c r="BE118" s="518">
        <f t="shared" si="107"/>
        <v>1540.15</v>
      </c>
      <c r="BF118" s="518">
        <f t="shared" si="108"/>
        <v>1080.8333333333333</v>
      </c>
      <c r="BG118" s="619">
        <f t="shared" si="109"/>
        <v>1650.4333333333334</v>
      </c>
      <c r="BH118" s="619">
        <f t="shared" si="110"/>
        <v>811.25</v>
      </c>
      <c r="BI118" s="619">
        <f t="shared" si="111"/>
        <v>2408.09375</v>
      </c>
      <c r="BJ118" s="619">
        <f t="shared" si="112"/>
        <v>0</v>
      </c>
      <c r="BK118" s="619">
        <f t="shared" si="113"/>
        <v>102.93333333333334</v>
      </c>
      <c r="BL118" s="619"/>
      <c r="BM118" s="619">
        <f t="shared" si="114"/>
        <v>1336.6676666666667</v>
      </c>
      <c r="BN118" s="619">
        <f t="shared" ref="BN118:BN172" si="115">$J$53/120</f>
        <v>477.23883333333339</v>
      </c>
      <c r="BO118" s="619">
        <f t="shared" si="58"/>
        <v>0</v>
      </c>
      <c r="BP118" s="619">
        <f t="shared" si="59"/>
        <v>97.898666666666671</v>
      </c>
      <c r="BQ118" s="518">
        <f t="shared" si="66"/>
        <v>80134.938833333305</v>
      </c>
    </row>
    <row r="119" spans="1:69" s="585" customFormat="1" ht="12.75" customHeight="1" outlineLevel="1">
      <c r="A119" s="308" t="s">
        <v>54</v>
      </c>
      <c r="B119" s="308">
        <f t="shared" si="77"/>
        <v>2025</v>
      </c>
      <c r="C119" s="308" t="s">
        <v>102</v>
      </c>
      <c r="D119" s="518"/>
      <c r="E119" s="518"/>
      <c r="F119" s="518"/>
      <c r="G119" s="518"/>
      <c r="H119" s="518"/>
      <c r="I119" s="518"/>
      <c r="J119" s="518">
        <f t="shared" si="98"/>
        <v>0</v>
      </c>
      <c r="K119" s="518">
        <f t="shared" si="63"/>
        <v>9616192.6599999983</v>
      </c>
      <c r="L119" s="518"/>
      <c r="M119" s="518">
        <f t="shared" si="93"/>
        <v>62867.510000000024</v>
      </c>
      <c r="N119" s="518">
        <f t="shared" si="64"/>
        <v>7407523.6699999934</v>
      </c>
      <c r="O119" s="518"/>
      <c r="P119" s="518">
        <f t="shared" si="61"/>
        <v>2208668.9900000049</v>
      </c>
      <c r="R119" s="518">
        <f t="shared" si="62"/>
        <v>0</v>
      </c>
      <c r="S119" s="518">
        <f t="shared" si="65"/>
        <v>415.79166666666669</v>
      </c>
      <c r="T119" s="518">
        <f t="shared" si="67"/>
        <v>878.85</v>
      </c>
      <c r="U119" s="518">
        <f t="shared" si="68"/>
        <v>4172.1833333333334</v>
      </c>
      <c r="V119" s="518">
        <f t="shared" si="69"/>
        <v>6601.6416666666664</v>
      </c>
      <c r="W119" s="518">
        <f t="shared" si="70"/>
        <v>5314.0657499999998</v>
      </c>
      <c r="X119" s="518">
        <f t="shared" si="71"/>
        <v>4037.2521666666667</v>
      </c>
      <c r="Y119" s="518">
        <f t="shared" si="72"/>
        <v>2285.2750000000001</v>
      </c>
      <c r="Z119" s="518">
        <f t="shared" si="73"/>
        <v>1091.7583333333334</v>
      </c>
      <c r="AA119" s="518">
        <f t="shared" si="74"/>
        <v>1269.9591666666668</v>
      </c>
      <c r="AB119" s="518">
        <f t="shared" si="75"/>
        <v>606.67849999999999</v>
      </c>
      <c r="AC119" s="518">
        <f t="shared" si="76"/>
        <v>476.46666666666664</v>
      </c>
      <c r="AD119" s="518">
        <f t="shared" si="78"/>
        <v>1657.7180833333332</v>
      </c>
      <c r="AE119" s="518">
        <f t="shared" si="79"/>
        <v>3516.1947500000001</v>
      </c>
      <c r="AF119" s="518">
        <f t="shared" si="80"/>
        <v>1564.4</v>
      </c>
      <c r="AG119" s="518">
        <f t="shared" si="81"/>
        <v>2587.7750000000001</v>
      </c>
      <c r="AH119" s="518">
        <f t="shared" si="82"/>
        <v>2302.7285000000002</v>
      </c>
      <c r="AI119" s="518">
        <f t="shared" si="83"/>
        <v>1957.7</v>
      </c>
      <c r="AJ119" s="518">
        <f t="shared" si="84"/>
        <v>1067.125</v>
      </c>
      <c r="AK119" s="518">
        <f t="shared" si="85"/>
        <v>1806.075</v>
      </c>
      <c r="AL119" s="518">
        <f t="shared" si="86"/>
        <v>1723.2054166666667</v>
      </c>
      <c r="AM119" s="518">
        <f t="shared" si="87"/>
        <v>3010.375</v>
      </c>
      <c r="AN119" s="518">
        <f t="shared" si="88"/>
        <v>920.83333333333337</v>
      </c>
      <c r="AO119" s="518">
        <f t="shared" si="89"/>
        <v>1423.5416666666667</v>
      </c>
      <c r="AP119" s="518">
        <f t="shared" si="90"/>
        <v>1452.5480833333336</v>
      </c>
      <c r="AQ119" s="518">
        <f t="shared" si="91"/>
        <v>783.11666666666667</v>
      </c>
      <c r="AR119" s="518">
        <f t="shared" si="92"/>
        <v>2080.4166666666665</v>
      </c>
      <c r="AS119" s="518">
        <f t="shared" si="94"/>
        <v>688.7</v>
      </c>
      <c r="AT119" s="518">
        <f t="shared" si="95"/>
        <v>1607.9597499999998</v>
      </c>
      <c r="AU119" s="518">
        <f t="shared" si="96"/>
        <v>690.61666666666667</v>
      </c>
      <c r="AV119" s="518">
        <f t="shared" si="97"/>
        <v>1347.6258333333333</v>
      </c>
      <c r="AW119" s="518">
        <f t="shared" si="99"/>
        <v>1038.7249999999999</v>
      </c>
      <c r="AX119" s="518">
        <f t="shared" si="100"/>
        <v>1395.9028333333333</v>
      </c>
      <c r="AY119" s="518">
        <f t="shared" si="101"/>
        <v>1365.0055</v>
      </c>
      <c r="AZ119" s="518">
        <f t="shared" si="102"/>
        <v>1159.0916666666667</v>
      </c>
      <c r="BA119" s="518">
        <f t="shared" si="103"/>
        <v>2655.8122499999999</v>
      </c>
      <c r="BB119" s="518">
        <f t="shared" si="104"/>
        <v>468.33333333333331</v>
      </c>
      <c r="BC119" s="518">
        <f t="shared" si="105"/>
        <v>1748.4833333333333</v>
      </c>
      <c r="BD119" s="518">
        <f t="shared" si="106"/>
        <v>1459.5083333333334</v>
      </c>
      <c r="BE119" s="518">
        <f t="shared" si="107"/>
        <v>1540.15</v>
      </c>
      <c r="BF119" s="518">
        <f t="shared" si="108"/>
        <v>1080.8333333333333</v>
      </c>
      <c r="BG119" s="619">
        <f t="shared" si="109"/>
        <v>1650.4333333333334</v>
      </c>
      <c r="BH119" s="619">
        <f t="shared" si="110"/>
        <v>811.25</v>
      </c>
      <c r="BI119" s="619">
        <f t="shared" si="111"/>
        <v>2408.09375</v>
      </c>
      <c r="BJ119" s="619">
        <f t="shared" si="112"/>
        <v>0</v>
      </c>
      <c r="BK119" s="619">
        <f t="shared" si="113"/>
        <v>102.93333333333334</v>
      </c>
      <c r="BL119" s="619"/>
      <c r="BM119" s="619">
        <f t="shared" si="114"/>
        <v>1336.6676666666667</v>
      </c>
      <c r="BN119" s="619">
        <f t="shared" si="115"/>
        <v>477.23883333333339</v>
      </c>
      <c r="BO119" s="619">
        <f t="shared" ref="BO119:BO173" si="116">$J$54/120</f>
        <v>0</v>
      </c>
      <c r="BP119" s="619">
        <f t="shared" si="59"/>
        <v>97.898666666666671</v>
      </c>
      <c r="BQ119" s="518">
        <f t="shared" si="66"/>
        <v>80134.938833333305</v>
      </c>
    </row>
    <row r="120" spans="1:69" s="585" customFormat="1" ht="12.75" customHeight="1" outlineLevel="1">
      <c r="A120" s="308" t="s">
        <v>55</v>
      </c>
      <c r="B120" s="308">
        <f t="shared" si="77"/>
        <v>2025</v>
      </c>
      <c r="C120" s="308" t="s">
        <v>102</v>
      </c>
      <c r="D120" s="518"/>
      <c r="E120" s="518"/>
      <c r="F120" s="518"/>
      <c r="G120" s="518"/>
      <c r="H120" s="518"/>
      <c r="I120" s="518"/>
      <c r="J120" s="518">
        <f t="shared" si="98"/>
        <v>0</v>
      </c>
      <c r="K120" s="518">
        <f t="shared" si="63"/>
        <v>9616192.6599999983</v>
      </c>
      <c r="L120" s="518"/>
      <c r="M120" s="518">
        <f t="shared" si="93"/>
        <v>62867.510000000024</v>
      </c>
      <c r="N120" s="518">
        <f t="shared" si="64"/>
        <v>7470391.1799999932</v>
      </c>
      <c r="O120" s="518"/>
      <c r="P120" s="518">
        <f t="shared" si="61"/>
        <v>2145801.4800000051</v>
      </c>
      <c r="R120" s="518">
        <f t="shared" si="62"/>
        <v>0</v>
      </c>
      <c r="S120" s="518">
        <f t="shared" si="65"/>
        <v>415.79166666666669</v>
      </c>
      <c r="T120" s="518">
        <f t="shared" si="67"/>
        <v>878.85</v>
      </c>
      <c r="U120" s="518">
        <f t="shared" si="68"/>
        <v>4172.1833333333334</v>
      </c>
      <c r="V120" s="518">
        <f t="shared" si="69"/>
        <v>6601.6416666666664</v>
      </c>
      <c r="W120" s="518">
        <f t="shared" si="70"/>
        <v>5314.0657499999998</v>
      </c>
      <c r="X120" s="518">
        <f t="shared" si="71"/>
        <v>4037.2521666666667</v>
      </c>
      <c r="Y120" s="518">
        <f t="shared" si="72"/>
        <v>2285.2750000000001</v>
      </c>
      <c r="Z120" s="518">
        <f t="shared" si="73"/>
        <v>1091.7583333333334</v>
      </c>
      <c r="AA120" s="518">
        <f t="shared" si="74"/>
        <v>1269.9591666666668</v>
      </c>
      <c r="AB120" s="518">
        <f t="shared" si="75"/>
        <v>606.67849999999999</v>
      </c>
      <c r="AC120" s="518">
        <f t="shared" si="76"/>
        <v>476.46666666666664</v>
      </c>
      <c r="AD120" s="518">
        <f t="shared" si="78"/>
        <v>1657.7180833333332</v>
      </c>
      <c r="AE120" s="518">
        <f t="shared" si="79"/>
        <v>3516.1947500000001</v>
      </c>
      <c r="AF120" s="518">
        <f t="shared" si="80"/>
        <v>1564.4</v>
      </c>
      <c r="AG120" s="518">
        <f t="shared" si="81"/>
        <v>2587.7750000000001</v>
      </c>
      <c r="AH120" s="518">
        <f t="shared" si="82"/>
        <v>2302.7285000000002</v>
      </c>
      <c r="AI120" s="518">
        <f t="shared" si="83"/>
        <v>1957.7</v>
      </c>
      <c r="AJ120" s="518">
        <f t="shared" si="84"/>
        <v>1067.125</v>
      </c>
      <c r="AK120" s="518">
        <f t="shared" si="85"/>
        <v>1806.075</v>
      </c>
      <c r="AL120" s="518">
        <f t="shared" si="86"/>
        <v>1723.2054166666667</v>
      </c>
      <c r="AM120" s="518">
        <f t="shared" si="87"/>
        <v>3010.375</v>
      </c>
      <c r="AN120" s="518">
        <f t="shared" si="88"/>
        <v>920.83333333333337</v>
      </c>
      <c r="AO120" s="518">
        <f t="shared" si="89"/>
        <v>1423.5416666666667</v>
      </c>
      <c r="AP120" s="518">
        <f t="shared" si="90"/>
        <v>1452.5480833333336</v>
      </c>
      <c r="AQ120" s="518">
        <f t="shared" si="91"/>
        <v>783.11666666666667</v>
      </c>
      <c r="AR120" s="518">
        <f t="shared" si="92"/>
        <v>2080.4166666666665</v>
      </c>
      <c r="AS120" s="518">
        <f t="shared" si="94"/>
        <v>688.7</v>
      </c>
      <c r="AT120" s="518">
        <f t="shared" si="95"/>
        <v>1607.9597499999998</v>
      </c>
      <c r="AU120" s="518">
        <f t="shared" si="96"/>
        <v>690.61666666666667</v>
      </c>
      <c r="AV120" s="518">
        <f t="shared" si="97"/>
        <v>1347.6258333333333</v>
      </c>
      <c r="AW120" s="518">
        <f t="shared" si="99"/>
        <v>1038.7249999999999</v>
      </c>
      <c r="AX120" s="518">
        <f t="shared" si="100"/>
        <v>1395.9028333333333</v>
      </c>
      <c r="AY120" s="518">
        <f t="shared" si="101"/>
        <v>1365.0055</v>
      </c>
      <c r="AZ120" s="518">
        <f t="shared" si="102"/>
        <v>1159.0916666666667</v>
      </c>
      <c r="BA120" s="518">
        <f t="shared" si="103"/>
        <v>2655.8122499999999</v>
      </c>
      <c r="BB120" s="518">
        <f t="shared" si="104"/>
        <v>468.33333333333331</v>
      </c>
      <c r="BC120" s="518">
        <f t="shared" si="105"/>
        <v>1748.4833333333333</v>
      </c>
      <c r="BD120" s="518">
        <f t="shared" si="106"/>
        <v>1459.5083333333334</v>
      </c>
      <c r="BE120" s="518">
        <f t="shared" si="107"/>
        <v>1540.15</v>
      </c>
      <c r="BF120" s="518">
        <f t="shared" si="108"/>
        <v>1080.8333333333333</v>
      </c>
      <c r="BG120" s="619">
        <f t="shared" si="109"/>
        <v>1650.4333333333334</v>
      </c>
      <c r="BH120" s="619">
        <f t="shared" si="110"/>
        <v>811.25</v>
      </c>
      <c r="BI120" s="619">
        <f t="shared" si="111"/>
        <v>2408.09375</v>
      </c>
      <c r="BJ120" s="619">
        <f t="shared" si="112"/>
        <v>0</v>
      </c>
      <c r="BK120" s="619">
        <f t="shared" si="113"/>
        <v>102.93333333333334</v>
      </c>
      <c r="BL120" s="619"/>
      <c r="BM120" s="619">
        <f t="shared" si="114"/>
        <v>1336.6676666666667</v>
      </c>
      <c r="BN120" s="619">
        <f t="shared" si="115"/>
        <v>477.23883333333339</v>
      </c>
      <c r="BO120" s="619">
        <f t="shared" si="116"/>
        <v>0</v>
      </c>
      <c r="BP120" s="619">
        <f t="shared" ref="BP120:BP174" si="117">$J$55/120</f>
        <v>97.898666666666671</v>
      </c>
      <c r="BQ120" s="518">
        <f t="shared" si="66"/>
        <v>80134.938833333305</v>
      </c>
    </row>
    <row r="121" spans="1:69" s="585" customFormat="1" ht="12.75" customHeight="1" outlineLevel="1">
      <c r="A121" s="308" t="s">
        <v>56</v>
      </c>
      <c r="B121" s="308">
        <f t="shared" si="77"/>
        <v>2025</v>
      </c>
      <c r="C121" s="308" t="s">
        <v>102</v>
      </c>
      <c r="D121" s="518"/>
      <c r="E121" s="518"/>
      <c r="F121" s="518"/>
      <c r="G121" s="518"/>
      <c r="H121" s="518"/>
      <c r="I121" s="518"/>
      <c r="J121" s="518">
        <f t="shared" si="98"/>
        <v>0</v>
      </c>
      <c r="K121" s="518">
        <f t="shared" si="63"/>
        <v>9616192.6599999983</v>
      </c>
      <c r="L121" s="518"/>
      <c r="M121" s="518">
        <f>P120</f>
        <v>2145801.4800000051</v>
      </c>
      <c r="N121" s="518">
        <f t="shared" si="64"/>
        <v>9616192.6599999983</v>
      </c>
      <c r="O121" s="518"/>
      <c r="P121" s="518">
        <f t="shared" si="61"/>
        <v>0</v>
      </c>
      <c r="R121" s="518">
        <f t="shared" si="62"/>
        <v>0</v>
      </c>
      <c r="S121" s="518">
        <f t="shared" si="65"/>
        <v>415.79166666666669</v>
      </c>
      <c r="T121" s="518">
        <f t="shared" si="67"/>
        <v>878.85</v>
      </c>
      <c r="U121" s="518">
        <f t="shared" si="68"/>
        <v>4172.1833333333334</v>
      </c>
      <c r="V121" s="518">
        <f t="shared" si="69"/>
        <v>6601.6416666666664</v>
      </c>
      <c r="W121" s="518">
        <f t="shared" si="70"/>
        <v>5314.0657499999998</v>
      </c>
      <c r="X121" s="518">
        <f t="shared" si="71"/>
        <v>4037.2521666666667</v>
      </c>
      <c r="Y121" s="518">
        <f t="shared" si="72"/>
        <v>2285.2750000000001</v>
      </c>
      <c r="Z121" s="518">
        <f t="shared" si="73"/>
        <v>1091.7583333333334</v>
      </c>
      <c r="AA121" s="518">
        <f t="shared" si="74"/>
        <v>1269.9591666666668</v>
      </c>
      <c r="AB121" s="518">
        <f t="shared" si="75"/>
        <v>606.67849999999999</v>
      </c>
      <c r="AC121" s="518">
        <f t="shared" si="76"/>
        <v>476.46666666666664</v>
      </c>
      <c r="AD121" s="518">
        <f t="shared" si="78"/>
        <v>1657.7180833333332</v>
      </c>
      <c r="AE121" s="518">
        <f t="shared" si="79"/>
        <v>3516.1947500000001</v>
      </c>
      <c r="AF121" s="518">
        <f t="shared" si="80"/>
        <v>1564.4</v>
      </c>
      <c r="AG121" s="518">
        <f t="shared" si="81"/>
        <v>2587.7750000000001</v>
      </c>
      <c r="AH121" s="518">
        <f t="shared" si="82"/>
        <v>2302.7285000000002</v>
      </c>
      <c r="AI121" s="518">
        <f t="shared" si="83"/>
        <v>1957.7</v>
      </c>
      <c r="AJ121" s="518">
        <f t="shared" si="84"/>
        <v>1067.125</v>
      </c>
      <c r="AK121" s="518">
        <f t="shared" si="85"/>
        <v>1806.075</v>
      </c>
      <c r="AL121" s="518">
        <f t="shared" si="86"/>
        <v>1723.2054166666667</v>
      </c>
      <c r="AM121" s="518">
        <f t="shared" si="87"/>
        <v>3010.375</v>
      </c>
      <c r="AN121" s="518">
        <f t="shared" si="88"/>
        <v>920.83333333333337</v>
      </c>
      <c r="AO121" s="518">
        <f t="shared" si="89"/>
        <v>1423.5416666666667</v>
      </c>
      <c r="AP121" s="518">
        <f t="shared" si="90"/>
        <v>1452.5480833333336</v>
      </c>
      <c r="AQ121" s="518">
        <f t="shared" si="91"/>
        <v>783.11666666666667</v>
      </c>
      <c r="AR121" s="518">
        <f t="shared" si="92"/>
        <v>2080.4166666666665</v>
      </c>
      <c r="AS121" s="518">
        <f t="shared" si="94"/>
        <v>688.7</v>
      </c>
      <c r="AT121" s="518">
        <f t="shared" si="95"/>
        <v>1607.9597499999998</v>
      </c>
      <c r="AU121" s="518">
        <f t="shared" si="96"/>
        <v>690.61666666666667</v>
      </c>
      <c r="AV121" s="518">
        <f t="shared" si="97"/>
        <v>1347.6258333333333</v>
      </c>
      <c r="AW121" s="518">
        <f t="shared" si="99"/>
        <v>1038.7249999999999</v>
      </c>
      <c r="AX121" s="518">
        <f t="shared" si="100"/>
        <v>1395.9028333333333</v>
      </c>
      <c r="AY121" s="518">
        <f t="shared" si="101"/>
        <v>1365.0055</v>
      </c>
      <c r="AZ121" s="518">
        <f t="shared" si="102"/>
        <v>1159.0916666666667</v>
      </c>
      <c r="BA121" s="518">
        <f t="shared" si="103"/>
        <v>2655.8122499999999</v>
      </c>
      <c r="BB121" s="518">
        <f t="shared" si="104"/>
        <v>468.33333333333331</v>
      </c>
      <c r="BC121" s="518">
        <f t="shared" si="105"/>
        <v>1748.4833333333333</v>
      </c>
      <c r="BD121" s="518">
        <f t="shared" si="106"/>
        <v>1459.5083333333334</v>
      </c>
      <c r="BE121" s="518">
        <f t="shared" si="107"/>
        <v>1540.15</v>
      </c>
      <c r="BF121" s="518">
        <f t="shared" si="108"/>
        <v>1080.8333333333333</v>
      </c>
      <c r="BG121" s="619">
        <f t="shared" si="109"/>
        <v>1650.4333333333334</v>
      </c>
      <c r="BH121" s="619">
        <f t="shared" si="110"/>
        <v>811.25</v>
      </c>
      <c r="BI121" s="619">
        <f t="shared" si="111"/>
        <v>2408.09375</v>
      </c>
      <c r="BJ121" s="619">
        <f t="shared" si="112"/>
        <v>0</v>
      </c>
      <c r="BK121" s="619">
        <f t="shared" si="113"/>
        <v>102.93333333333334</v>
      </c>
      <c r="BL121" s="619"/>
      <c r="BM121" s="619">
        <f t="shared" si="114"/>
        <v>1336.6676666666667</v>
      </c>
      <c r="BN121" s="619">
        <f t="shared" si="115"/>
        <v>477.23883333333339</v>
      </c>
      <c r="BO121" s="619">
        <f t="shared" si="116"/>
        <v>0</v>
      </c>
      <c r="BP121" s="619">
        <f t="shared" si="117"/>
        <v>97.898666666666671</v>
      </c>
      <c r="BQ121" s="518">
        <f t="shared" si="66"/>
        <v>80134.938833333305</v>
      </c>
    </row>
    <row r="122" spans="1:69" s="585" customFormat="1" ht="12.75" customHeight="1" outlineLevel="1">
      <c r="A122" s="308" t="s">
        <v>57</v>
      </c>
      <c r="B122" s="308">
        <f t="shared" si="77"/>
        <v>2025</v>
      </c>
      <c r="C122" s="308" t="s">
        <v>102</v>
      </c>
      <c r="D122" s="518"/>
      <c r="E122" s="518"/>
      <c r="F122" s="518"/>
      <c r="G122" s="518"/>
      <c r="H122" s="518"/>
      <c r="I122" s="518"/>
      <c r="J122" s="518">
        <f t="shared" si="98"/>
        <v>0</v>
      </c>
      <c r="K122" s="518">
        <f t="shared" si="63"/>
        <v>9616192.6599999983</v>
      </c>
      <c r="L122" s="518"/>
      <c r="M122" s="518"/>
      <c r="N122" s="518">
        <f t="shared" si="64"/>
        <v>9616192.6599999983</v>
      </c>
      <c r="O122" s="518"/>
      <c r="P122" s="518">
        <f t="shared" si="61"/>
        <v>0</v>
      </c>
      <c r="R122" s="518">
        <f t="shared" si="62"/>
        <v>0</v>
      </c>
      <c r="S122" s="518">
        <f t="shared" si="65"/>
        <v>415.79166666666669</v>
      </c>
      <c r="T122" s="518">
        <f t="shared" si="67"/>
        <v>878.85</v>
      </c>
      <c r="U122" s="518">
        <f t="shared" si="68"/>
        <v>4172.1833333333334</v>
      </c>
      <c r="V122" s="518">
        <f t="shared" si="69"/>
        <v>6601.6416666666664</v>
      </c>
      <c r="W122" s="518">
        <f t="shared" si="70"/>
        <v>5314.0657499999998</v>
      </c>
      <c r="X122" s="518">
        <f t="shared" si="71"/>
        <v>4037.2521666666667</v>
      </c>
      <c r="Y122" s="518">
        <f t="shared" si="72"/>
        <v>2285.2750000000001</v>
      </c>
      <c r="Z122" s="518">
        <f t="shared" si="73"/>
        <v>1091.7583333333334</v>
      </c>
      <c r="AA122" s="518">
        <f t="shared" si="74"/>
        <v>1269.9591666666668</v>
      </c>
      <c r="AB122" s="518">
        <f t="shared" si="75"/>
        <v>606.67849999999999</v>
      </c>
      <c r="AC122" s="518">
        <f t="shared" si="76"/>
        <v>476.46666666666664</v>
      </c>
      <c r="AD122" s="518">
        <f t="shared" si="78"/>
        <v>1657.7180833333332</v>
      </c>
      <c r="AE122" s="518">
        <f t="shared" si="79"/>
        <v>3516.1947500000001</v>
      </c>
      <c r="AF122" s="518">
        <f t="shared" si="80"/>
        <v>1564.4</v>
      </c>
      <c r="AG122" s="518">
        <f t="shared" si="81"/>
        <v>2587.7750000000001</v>
      </c>
      <c r="AH122" s="518">
        <f t="shared" si="82"/>
        <v>2302.7285000000002</v>
      </c>
      <c r="AI122" s="518">
        <f t="shared" si="83"/>
        <v>1957.7</v>
      </c>
      <c r="AJ122" s="518">
        <f t="shared" si="84"/>
        <v>1067.125</v>
      </c>
      <c r="AK122" s="518">
        <f t="shared" si="85"/>
        <v>1806.075</v>
      </c>
      <c r="AL122" s="518">
        <f t="shared" si="86"/>
        <v>1723.2054166666667</v>
      </c>
      <c r="AM122" s="518">
        <f t="shared" si="87"/>
        <v>3010.375</v>
      </c>
      <c r="AN122" s="518">
        <f t="shared" si="88"/>
        <v>920.83333333333337</v>
      </c>
      <c r="AO122" s="518">
        <f t="shared" si="89"/>
        <v>1423.5416666666667</v>
      </c>
      <c r="AP122" s="518">
        <f t="shared" si="90"/>
        <v>1452.5480833333336</v>
      </c>
      <c r="AQ122" s="518">
        <f t="shared" si="91"/>
        <v>783.11666666666667</v>
      </c>
      <c r="AR122" s="518">
        <f t="shared" si="92"/>
        <v>2080.4166666666665</v>
      </c>
      <c r="AS122" s="518">
        <f t="shared" si="94"/>
        <v>688.7</v>
      </c>
      <c r="AT122" s="518">
        <f t="shared" si="95"/>
        <v>1607.9597499999998</v>
      </c>
      <c r="AU122" s="518">
        <f t="shared" si="96"/>
        <v>690.61666666666667</v>
      </c>
      <c r="AV122" s="518">
        <f t="shared" si="97"/>
        <v>1347.6258333333333</v>
      </c>
      <c r="AW122" s="518">
        <f t="shared" si="99"/>
        <v>1038.7249999999999</v>
      </c>
      <c r="AX122" s="518">
        <f t="shared" si="100"/>
        <v>1395.9028333333333</v>
      </c>
      <c r="AY122" s="518">
        <f t="shared" si="101"/>
        <v>1365.0055</v>
      </c>
      <c r="AZ122" s="518">
        <f t="shared" si="102"/>
        <v>1159.0916666666667</v>
      </c>
      <c r="BA122" s="518">
        <f t="shared" si="103"/>
        <v>2655.8122499999999</v>
      </c>
      <c r="BB122" s="518">
        <f t="shared" si="104"/>
        <v>468.33333333333331</v>
      </c>
      <c r="BC122" s="518">
        <f t="shared" si="105"/>
        <v>1748.4833333333333</v>
      </c>
      <c r="BD122" s="518">
        <f t="shared" si="106"/>
        <v>1459.5083333333334</v>
      </c>
      <c r="BE122" s="518">
        <f t="shared" si="107"/>
        <v>1540.15</v>
      </c>
      <c r="BF122" s="518">
        <f t="shared" si="108"/>
        <v>1080.8333333333333</v>
      </c>
      <c r="BG122" s="619">
        <f t="shared" si="109"/>
        <v>1650.4333333333334</v>
      </c>
      <c r="BH122" s="619">
        <f t="shared" si="110"/>
        <v>811.25</v>
      </c>
      <c r="BI122" s="619">
        <f t="shared" si="111"/>
        <v>2408.09375</v>
      </c>
      <c r="BJ122" s="619">
        <f t="shared" si="112"/>
        <v>0</v>
      </c>
      <c r="BK122" s="619">
        <f t="shared" si="113"/>
        <v>102.93333333333334</v>
      </c>
      <c r="BL122" s="619"/>
      <c r="BM122" s="619">
        <f t="shared" si="114"/>
        <v>1336.6676666666667</v>
      </c>
      <c r="BN122" s="619">
        <f t="shared" si="115"/>
        <v>477.23883333333339</v>
      </c>
      <c r="BO122" s="619">
        <f t="shared" si="116"/>
        <v>0</v>
      </c>
      <c r="BP122" s="619">
        <f t="shared" si="117"/>
        <v>97.898666666666671</v>
      </c>
      <c r="BQ122" s="518">
        <f t="shared" si="66"/>
        <v>80134.938833333305</v>
      </c>
    </row>
    <row r="123" spans="1:69" s="585" customFormat="1" ht="12.75" customHeight="1" outlineLevel="1">
      <c r="A123" s="308" t="s">
        <v>58</v>
      </c>
      <c r="B123" s="308">
        <f t="shared" si="77"/>
        <v>2025</v>
      </c>
      <c r="C123" s="308" t="s">
        <v>102</v>
      </c>
      <c r="D123" s="518"/>
      <c r="E123" s="518"/>
      <c r="F123" s="518"/>
      <c r="G123" s="518"/>
      <c r="H123" s="518"/>
      <c r="I123" s="518"/>
      <c r="J123" s="518">
        <f t="shared" si="98"/>
        <v>0</v>
      </c>
      <c r="K123" s="518">
        <f t="shared" si="63"/>
        <v>9616192.6599999983</v>
      </c>
      <c r="L123" s="518"/>
      <c r="M123" s="518"/>
      <c r="N123" s="518">
        <f t="shared" si="64"/>
        <v>9616192.6599999983</v>
      </c>
      <c r="O123" s="518"/>
      <c r="P123" s="518">
        <f t="shared" si="61"/>
        <v>0</v>
      </c>
      <c r="R123" s="518">
        <f t="shared" si="62"/>
        <v>0</v>
      </c>
      <c r="S123" s="518">
        <f t="shared" si="65"/>
        <v>415.79166666666669</v>
      </c>
      <c r="T123" s="518">
        <f t="shared" si="67"/>
        <v>878.85</v>
      </c>
      <c r="U123" s="518">
        <f t="shared" si="68"/>
        <v>4172.1833333333334</v>
      </c>
      <c r="V123" s="518">
        <f t="shared" si="69"/>
        <v>6601.6416666666664</v>
      </c>
      <c r="W123" s="518">
        <f t="shared" si="70"/>
        <v>5314.0657499999998</v>
      </c>
      <c r="X123" s="518">
        <f t="shared" si="71"/>
        <v>4037.2521666666667</v>
      </c>
      <c r="Y123" s="518">
        <f t="shared" si="72"/>
        <v>2285.2750000000001</v>
      </c>
      <c r="Z123" s="518">
        <f t="shared" si="73"/>
        <v>1091.7583333333334</v>
      </c>
      <c r="AA123" s="518">
        <f t="shared" si="74"/>
        <v>1269.9591666666668</v>
      </c>
      <c r="AB123" s="518">
        <f t="shared" si="75"/>
        <v>606.67849999999999</v>
      </c>
      <c r="AC123" s="518">
        <f t="shared" si="76"/>
        <v>476.46666666666664</v>
      </c>
      <c r="AD123" s="518">
        <f t="shared" si="78"/>
        <v>1657.7180833333332</v>
      </c>
      <c r="AE123" s="518">
        <f t="shared" si="79"/>
        <v>3516.1947500000001</v>
      </c>
      <c r="AF123" s="518">
        <f t="shared" si="80"/>
        <v>1564.4</v>
      </c>
      <c r="AG123" s="518">
        <f t="shared" si="81"/>
        <v>2587.7750000000001</v>
      </c>
      <c r="AH123" s="518">
        <f t="shared" si="82"/>
        <v>2302.7285000000002</v>
      </c>
      <c r="AI123" s="518">
        <f t="shared" si="83"/>
        <v>1957.7</v>
      </c>
      <c r="AJ123" s="518">
        <f t="shared" si="84"/>
        <v>1067.125</v>
      </c>
      <c r="AK123" s="518">
        <f t="shared" si="85"/>
        <v>1806.075</v>
      </c>
      <c r="AL123" s="518">
        <f t="shared" si="86"/>
        <v>1723.2054166666667</v>
      </c>
      <c r="AM123" s="518">
        <f t="shared" si="87"/>
        <v>3010.375</v>
      </c>
      <c r="AN123" s="518">
        <f t="shared" si="88"/>
        <v>920.83333333333337</v>
      </c>
      <c r="AO123" s="518">
        <f t="shared" si="89"/>
        <v>1423.5416666666667</v>
      </c>
      <c r="AP123" s="518">
        <f t="shared" si="90"/>
        <v>1452.5480833333336</v>
      </c>
      <c r="AQ123" s="518">
        <f t="shared" si="91"/>
        <v>783.11666666666667</v>
      </c>
      <c r="AR123" s="518">
        <f t="shared" si="92"/>
        <v>2080.4166666666665</v>
      </c>
      <c r="AS123" s="518">
        <f t="shared" si="94"/>
        <v>688.7</v>
      </c>
      <c r="AT123" s="518">
        <f t="shared" si="95"/>
        <v>1607.9597499999998</v>
      </c>
      <c r="AU123" s="518">
        <f t="shared" si="96"/>
        <v>690.61666666666667</v>
      </c>
      <c r="AV123" s="518">
        <f t="shared" si="97"/>
        <v>1347.6258333333333</v>
      </c>
      <c r="AW123" s="518">
        <f t="shared" si="99"/>
        <v>1038.7249999999999</v>
      </c>
      <c r="AX123" s="518">
        <f t="shared" si="100"/>
        <v>1395.9028333333333</v>
      </c>
      <c r="AY123" s="518">
        <f t="shared" si="101"/>
        <v>1365.0055</v>
      </c>
      <c r="AZ123" s="518">
        <f t="shared" si="102"/>
        <v>1159.0916666666667</v>
      </c>
      <c r="BA123" s="518">
        <f t="shared" si="103"/>
        <v>2655.8122499999999</v>
      </c>
      <c r="BB123" s="518">
        <f t="shared" si="104"/>
        <v>468.33333333333331</v>
      </c>
      <c r="BC123" s="518">
        <f t="shared" si="105"/>
        <v>1748.4833333333333</v>
      </c>
      <c r="BD123" s="518">
        <f t="shared" si="106"/>
        <v>1459.5083333333334</v>
      </c>
      <c r="BE123" s="518">
        <f t="shared" si="107"/>
        <v>1540.15</v>
      </c>
      <c r="BF123" s="518">
        <f t="shared" si="108"/>
        <v>1080.8333333333333</v>
      </c>
      <c r="BG123" s="619">
        <f t="shared" si="109"/>
        <v>1650.4333333333334</v>
      </c>
      <c r="BH123" s="619">
        <f t="shared" si="110"/>
        <v>811.25</v>
      </c>
      <c r="BI123" s="619">
        <f t="shared" si="111"/>
        <v>2408.09375</v>
      </c>
      <c r="BJ123" s="619">
        <f t="shared" si="112"/>
        <v>0</v>
      </c>
      <c r="BK123" s="619">
        <f t="shared" si="113"/>
        <v>102.93333333333334</v>
      </c>
      <c r="BL123" s="619"/>
      <c r="BM123" s="619">
        <f t="shared" si="114"/>
        <v>1336.6676666666667</v>
      </c>
      <c r="BN123" s="619">
        <f t="shared" si="115"/>
        <v>477.23883333333339</v>
      </c>
      <c r="BO123" s="619">
        <f t="shared" si="116"/>
        <v>0</v>
      </c>
      <c r="BP123" s="619">
        <f t="shared" si="117"/>
        <v>97.898666666666671</v>
      </c>
      <c r="BQ123" s="518">
        <f t="shared" si="66"/>
        <v>80134.938833333305</v>
      </c>
    </row>
    <row r="124" spans="1:69" s="585" customFormat="1" ht="12.75" customHeight="1" outlineLevel="1">
      <c r="A124" s="308" t="s">
        <v>59</v>
      </c>
      <c r="B124" s="308">
        <f t="shared" si="77"/>
        <v>2025</v>
      </c>
      <c r="C124" s="308" t="s">
        <v>102</v>
      </c>
      <c r="D124" s="518"/>
      <c r="E124" s="518"/>
      <c r="F124" s="518"/>
      <c r="G124" s="518"/>
      <c r="H124" s="518"/>
      <c r="I124" s="518"/>
      <c r="J124" s="518">
        <f t="shared" si="98"/>
        <v>0</v>
      </c>
      <c r="K124" s="518">
        <f t="shared" si="63"/>
        <v>9616192.6599999983</v>
      </c>
      <c r="L124" s="518"/>
      <c r="M124" s="518"/>
      <c r="N124" s="518">
        <f t="shared" si="64"/>
        <v>9616192.6599999983</v>
      </c>
      <c r="O124" s="518"/>
      <c r="P124" s="518">
        <f t="shared" si="61"/>
        <v>0</v>
      </c>
      <c r="R124" s="518">
        <f t="shared" si="62"/>
        <v>0</v>
      </c>
      <c r="S124" s="518">
        <f t="shared" si="65"/>
        <v>415.79166666666669</v>
      </c>
      <c r="T124" s="518">
        <f t="shared" si="67"/>
        <v>878.85</v>
      </c>
      <c r="U124" s="518">
        <f t="shared" si="68"/>
        <v>4172.1833333333334</v>
      </c>
      <c r="V124" s="518">
        <f t="shared" si="69"/>
        <v>6601.6416666666664</v>
      </c>
      <c r="W124" s="518">
        <f t="shared" si="70"/>
        <v>5314.0657499999998</v>
      </c>
      <c r="X124" s="518">
        <f t="shared" si="71"/>
        <v>4037.2521666666667</v>
      </c>
      <c r="Y124" s="518">
        <f t="shared" si="72"/>
        <v>2285.2750000000001</v>
      </c>
      <c r="Z124" s="518">
        <f t="shared" si="73"/>
        <v>1091.7583333333334</v>
      </c>
      <c r="AA124" s="518">
        <f t="shared" si="74"/>
        <v>1269.9591666666668</v>
      </c>
      <c r="AB124" s="518">
        <f t="shared" si="75"/>
        <v>606.67849999999999</v>
      </c>
      <c r="AC124" s="518">
        <f t="shared" si="76"/>
        <v>476.46666666666664</v>
      </c>
      <c r="AD124" s="518">
        <f t="shared" si="78"/>
        <v>1657.7180833333332</v>
      </c>
      <c r="AE124" s="518">
        <f t="shared" si="79"/>
        <v>3516.1947500000001</v>
      </c>
      <c r="AF124" s="518">
        <f t="shared" si="80"/>
        <v>1564.4</v>
      </c>
      <c r="AG124" s="518">
        <f t="shared" si="81"/>
        <v>2587.7750000000001</v>
      </c>
      <c r="AH124" s="518">
        <f t="shared" si="82"/>
        <v>2302.7285000000002</v>
      </c>
      <c r="AI124" s="518">
        <f t="shared" si="83"/>
        <v>1957.7</v>
      </c>
      <c r="AJ124" s="518">
        <f t="shared" si="84"/>
        <v>1067.125</v>
      </c>
      <c r="AK124" s="518">
        <f t="shared" si="85"/>
        <v>1806.075</v>
      </c>
      <c r="AL124" s="518">
        <f t="shared" si="86"/>
        <v>1723.2054166666667</v>
      </c>
      <c r="AM124" s="518">
        <f t="shared" si="87"/>
        <v>3010.375</v>
      </c>
      <c r="AN124" s="518">
        <f t="shared" si="88"/>
        <v>920.83333333333337</v>
      </c>
      <c r="AO124" s="518">
        <f t="shared" si="89"/>
        <v>1423.5416666666667</v>
      </c>
      <c r="AP124" s="518">
        <f t="shared" si="90"/>
        <v>1452.5480833333336</v>
      </c>
      <c r="AQ124" s="518">
        <f t="shared" si="91"/>
        <v>783.11666666666667</v>
      </c>
      <c r="AR124" s="518">
        <f t="shared" si="92"/>
        <v>2080.4166666666665</v>
      </c>
      <c r="AS124" s="518">
        <f t="shared" si="94"/>
        <v>688.7</v>
      </c>
      <c r="AT124" s="518">
        <f t="shared" si="95"/>
        <v>1607.9597499999998</v>
      </c>
      <c r="AU124" s="518">
        <f t="shared" si="96"/>
        <v>690.61666666666667</v>
      </c>
      <c r="AV124" s="518">
        <f t="shared" si="97"/>
        <v>1347.6258333333333</v>
      </c>
      <c r="AW124" s="518">
        <f t="shared" si="99"/>
        <v>1038.7249999999999</v>
      </c>
      <c r="AX124" s="518">
        <f t="shared" si="100"/>
        <v>1395.9028333333333</v>
      </c>
      <c r="AY124" s="518">
        <f t="shared" si="101"/>
        <v>1365.0055</v>
      </c>
      <c r="AZ124" s="518">
        <f t="shared" si="102"/>
        <v>1159.0916666666667</v>
      </c>
      <c r="BA124" s="518">
        <f t="shared" si="103"/>
        <v>2655.8122499999999</v>
      </c>
      <c r="BB124" s="518">
        <f t="shared" si="104"/>
        <v>468.33333333333331</v>
      </c>
      <c r="BC124" s="518">
        <f t="shared" si="105"/>
        <v>1748.4833333333333</v>
      </c>
      <c r="BD124" s="518">
        <f t="shared" si="106"/>
        <v>1459.5083333333334</v>
      </c>
      <c r="BE124" s="518">
        <f t="shared" si="107"/>
        <v>1540.15</v>
      </c>
      <c r="BF124" s="518">
        <f t="shared" si="108"/>
        <v>1080.8333333333333</v>
      </c>
      <c r="BG124" s="619">
        <f t="shared" si="109"/>
        <v>1650.4333333333334</v>
      </c>
      <c r="BH124" s="619">
        <f t="shared" si="110"/>
        <v>811.25</v>
      </c>
      <c r="BI124" s="619">
        <f t="shared" si="111"/>
        <v>2408.09375</v>
      </c>
      <c r="BJ124" s="619">
        <f t="shared" si="112"/>
        <v>0</v>
      </c>
      <c r="BK124" s="619">
        <f t="shared" si="113"/>
        <v>102.93333333333334</v>
      </c>
      <c r="BL124" s="619"/>
      <c r="BM124" s="619">
        <f t="shared" si="114"/>
        <v>1336.6676666666667</v>
      </c>
      <c r="BN124" s="619">
        <f t="shared" si="115"/>
        <v>477.23883333333339</v>
      </c>
      <c r="BO124" s="619">
        <f t="shared" si="116"/>
        <v>0</v>
      </c>
      <c r="BP124" s="619">
        <f t="shared" si="117"/>
        <v>97.898666666666671</v>
      </c>
      <c r="BQ124" s="518">
        <f t="shared" si="66"/>
        <v>80134.938833333305</v>
      </c>
    </row>
    <row r="125" spans="1:69" s="585" customFormat="1" ht="12.75" customHeight="1" outlineLevel="1">
      <c r="A125" s="308" t="s">
        <v>46</v>
      </c>
      <c r="B125" s="308">
        <f t="shared" si="77"/>
        <v>2025</v>
      </c>
      <c r="C125" s="308" t="s">
        <v>102</v>
      </c>
      <c r="D125" s="518"/>
      <c r="E125" s="518"/>
      <c r="F125" s="518"/>
      <c r="G125" s="518"/>
      <c r="H125" s="518"/>
      <c r="I125" s="518"/>
      <c r="J125" s="518">
        <f t="shared" si="98"/>
        <v>0</v>
      </c>
      <c r="K125" s="518">
        <f t="shared" si="63"/>
        <v>9616192.6599999983</v>
      </c>
      <c r="L125" s="518"/>
      <c r="M125" s="518"/>
      <c r="N125" s="518">
        <f t="shared" si="64"/>
        <v>9616192.6599999983</v>
      </c>
      <c r="O125" s="518"/>
      <c r="P125" s="518">
        <f t="shared" si="61"/>
        <v>0</v>
      </c>
      <c r="S125" s="518">
        <f t="shared" si="65"/>
        <v>415.79166666666669</v>
      </c>
      <c r="T125" s="518">
        <f t="shared" si="67"/>
        <v>878.85</v>
      </c>
      <c r="U125" s="518">
        <f t="shared" si="68"/>
        <v>4172.1833333333334</v>
      </c>
      <c r="V125" s="518">
        <f t="shared" si="69"/>
        <v>6601.6416666666664</v>
      </c>
      <c r="W125" s="518">
        <f t="shared" si="70"/>
        <v>5314.0657499999998</v>
      </c>
      <c r="X125" s="518">
        <f t="shared" si="71"/>
        <v>4037.2521666666667</v>
      </c>
      <c r="Y125" s="518">
        <f t="shared" si="72"/>
        <v>2285.2750000000001</v>
      </c>
      <c r="Z125" s="518">
        <f t="shared" si="73"/>
        <v>1091.7583333333334</v>
      </c>
      <c r="AA125" s="518">
        <f t="shared" si="74"/>
        <v>1269.9591666666668</v>
      </c>
      <c r="AB125" s="518">
        <f t="shared" si="75"/>
        <v>606.67849999999999</v>
      </c>
      <c r="AC125" s="518">
        <f t="shared" si="76"/>
        <v>476.46666666666664</v>
      </c>
      <c r="AD125" s="518">
        <f t="shared" si="78"/>
        <v>1657.7180833333332</v>
      </c>
      <c r="AE125" s="518">
        <f t="shared" si="79"/>
        <v>3516.1947500000001</v>
      </c>
      <c r="AF125" s="518">
        <f t="shared" si="80"/>
        <v>1564.4</v>
      </c>
      <c r="AG125" s="518">
        <f t="shared" si="81"/>
        <v>2587.7750000000001</v>
      </c>
      <c r="AH125" s="518">
        <f t="shared" si="82"/>
        <v>2302.7285000000002</v>
      </c>
      <c r="AI125" s="518">
        <f t="shared" si="83"/>
        <v>1957.7</v>
      </c>
      <c r="AJ125" s="518">
        <f t="shared" si="84"/>
        <v>1067.125</v>
      </c>
      <c r="AK125" s="518">
        <f t="shared" si="85"/>
        <v>1806.075</v>
      </c>
      <c r="AL125" s="518">
        <f t="shared" si="86"/>
        <v>1723.2054166666667</v>
      </c>
      <c r="AM125" s="518">
        <f t="shared" si="87"/>
        <v>3010.375</v>
      </c>
      <c r="AN125" s="518">
        <f t="shared" si="88"/>
        <v>920.83333333333337</v>
      </c>
      <c r="AO125" s="518">
        <f t="shared" si="89"/>
        <v>1423.5416666666667</v>
      </c>
      <c r="AP125" s="518">
        <f t="shared" si="90"/>
        <v>1452.5480833333336</v>
      </c>
      <c r="AQ125" s="518">
        <f t="shared" si="91"/>
        <v>783.11666666666667</v>
      </c>
      <c r="AR125" s="518">
        <f t="shared" si="92"/>
        <v>2080.4166666666665</v>
      </c>
      <c r="AS125" s="518">
        <f t="shared" si="94"/>
        <v>688.7</v>
      </c>
      <c r="AT125" s="518">
        <f t="shared" si="95"/>
        <v>1607.9597499999998</v>
      </c>
      <c r="AU125" s="518">
        <f t="shared" si="96"/>
        <v>690.61666666666667</v>
      </c>
      <c r="AV125" s="518">
        <f t="shared" si="97"/>
        <v>1347.6258333333333</v>
      </c>
      <c r="AW125" s="518">
        <f t="shared" si="99"/>
        <v>1038.7249999999999</v>
      </c>
      <c r="AX125" s="518">
        <f t="shared" si="100"/>
        <v>1395.9028333333333</v>
      </c>
      <c r="AY125" s="518">
        <f t="shared" si="101"/>
        <v>1365.0055</v>
      </c>
      <c r="AZ125" s="518">
        <f t="shared" si="102"/>
        <v>1159.0916666666667</v>
      </c>
      <c r="BA125" s="518">
        <f t="shared" si="103"/>
        <v>2655.8122499999999</v>
      </c>
      <c r="BB125" s="518">
        <f t="shared" si="104"/>
        <v>468.33333333333331</v>
      </c>
      <c r="BC125" s="518">
        <f t="shared" si="105"/>
        <v>1748.4833333333333</v>
      </c>
      <c r="BD125" s="518">
        <f t="shared" si="106"/>
        <v>1459.5083333333334</v>
      </c>
      <c r="BE125" s="518">
        <f t="shared" si="107"/>
        <v>1540.15</v>
      </c>
      <c r="BF125" s="518">
        <f t="shared" si="108"/>
        <v>1080.8333333333333</v>
      </c>
      <c r="BG125" s="619">
        <f t="shared" si="109"/>
        <v>1650.4333333333334</v>
      </c>
      <c r="BH125" s="619">
        <f t="shared" si="110"/>
        <v>811.25</v>
      </c>
      <c r="BI125" s="619">
        <f t="shared" si="111"/>
        <v>2408.09375</v>
      </c>
      <c r="BJ125" s="619">
        <f t="shared" si="112"/>
        <v>0</v>
      </c>
      <c r="BK125" s="619">
        <f t="shared" si="113"/>
        <v>102.93333333333334</v>
      </c>
      <c r="BL125" s="619"/>
      <c r="BM125" s="619">
        <f t="shared" si="114"/>
        <v>1336.6676666666667</v>
      </c>
      <c r="BN125" s="619">
        <f t="shared" si="115"/>
        <v>477.23883333333339</v>
      </c>
      <c r="BO125" s="619">
        <f t="shared" si="116"/>
        <v>0</v>
      </c>
      <c r="BP125" s="619">
        <f t="shared" si="117"/>
        <v>97.898666666666671</v>
      </c>
      <c r="BQ125" s="518">
        <f t="shared" si="66"/>
        <v>80134.938833333305</v>
      </c>
    </row>
    <row r="126" spans="1:69" s="585" customFormat="1" ht="12.75" customHeight="1" outlineLevel="1">
      <c r="A126" s="308" t="s">
        <v>48</v>
      </c>
      <c r="B126" s="308">
        <f t="shared" si="77"/>
        <v>2025</v>
      </c>
      <c r="C126" s="308" t="s">
        <v>102</v>
      </c>
      <c r="D126" s="518"/>
      <c r="E126" s="518"/>
      <c r="F126" s="518"/>
      <c r="G126" s="518"/>
      <c r="H126" s="518"/>
      <c r="I126" s="518"/>
      <c r="J126" s="518">
        <f t="shared" si="98"/>
        <v>0</v>
      </c>
      <c r="K126" s="518">
        <f t="shared" si="63"/>
        <v>9616192.6599999983</v>
      </c>
      <c r="L126" s="518"/>
      <c r="M126" s="518"/>
      <c r="N126" s="518">
        <f t="shared" si="64"/>
        <v>9616192.6599999983</v>
      </c>
      <c r="O126" s="518"/>
      <c r="P126" s="518">
        <f t="shared" si="61"/>
        <v>0</v>
      </c>
      <c r="T126" s="518">
        <f t="shared" si="67"/>
        <v>878.85</v>
      </c>
      <c r="U126" s="518">
        <f t="shared" si="68"/>
        <v>4172.1833333333334</v>
      </c>
      <c r="V126" s="518">
        <f t="shared" si="69"/>
        <v>6601.6416666666664</v>
      </c>
      <c r="W126" s="518">
        <f t="shared" si="70"/>
        <v>5314.0657499999998</v>
      </c>
      <c r="X126" s="518">
        <f t="shared" si="71"/>
        <v>4037.2521666666667</v>
      </c>
      <c r="Y126" s="518">
        <f t="shared" si="72"/>
        <v>2285.2750000000001</v>
      </c>
      <c r="Z126" s="518">
        <f t="shared" si="73"/>
        <v>1091.7583333333334</v>
      </c>
      <c r="AA126" s="518">
        <f t="shared" si="74"/>
        <v>1269.9591666666668</v>
      </c>
      <c r="AB126" s="518">
        <f t="shared" si="75"/>
        <v>606.67849999999999</v>
      </c>
      <c r="AC126" s="518">
        <f t="shared" si="76"/>
        <v>476.46666666666664</v>
      </c>
      <c r="AD126" s="518">
        <f t="shared" si="78"/>
        <v>1657.7180833333332</v>
      </c>
      <c r="AE126" s="518">
        <f t="shared" si="79"/>
        <v>3516.1947500000001</v>
      </c>
      <c r="AF126" s="518">
        <f t="shared" si="80"/>
        <v>1564.4</v>
      </c>
      <c r="AG126" s="518">
        <f t="shared" si="81"/>
        <v>2587.7750000000001</v>
      </c>
      <c r="AH126" s="518">
        <f t="shared" si="82"/>
        <v>2302.7285000000002</v>
      </c>
      <c r="AI126" s="518">
        <f t="shared" si="83"/>
        <v>1957.7</v>
      </c>
      <c r="AJ126" s="518">
        <f t="shared" si="84"/>
        <v>1067.125</v>
      </c>
      <c r="AK126" s="518">
        <f t="shared" si="85"/>
        <v>1806.075</v>
      </c>
      <c r="AL126" s="518">
        <f t="shared" si="86"/>
        <v>1723.2054166666667</v>
      </c>
      <c r="AM126" s="518">
        <f t="shared" si="87"/>
        <v>3010.375</v>
      </c>
      <c r="AN126" s="518">
        <f t="shared" si="88"/>
        <v>920.83333333333337</v>
      </c>
      <c r="AO126" s="518">
        <f t="shared" si="89"/>
        <v>1423.5416666666667</v>
      </c>
      <c r="AP126" s="518">
        <f t="shared" si="90"/>
        <v>1452.5480833333336</v>
      </c>
      <c r="AQ126" s="518">
        <f t="shared" si="91"/>
        <v>783.11666666666667</v>
      </c>
      <c r="AR126" s="518">
        <f t="shared" si="92"/>
        <v>2080.4166666666665</v>
      </c>
      <c r="AS126" s="518">
        <f t="shared" si="94"/>
        <v>688.7</v>
      </c>
      <c r="AT126" s="518">
        <f t="shared" si="95"/>
        <v>1607.9597499999998</v>
      </c>
      <c r="AU126" s="518">
        <f t="shared" si="96"/>
        <v>690.61666666666667</v>
      </c>
      <c r="AV126" s="518">
        <f t="shared" si="97"/>
        <v>1347.6258333333333</v>
      </c>
      <c r="AW126" s="518">
        <f t="shared" si="99"/>
        <v>1038.7249999999999</v>
      </c>
      <c r="AX126" s="518">
        <f t="shared" si="100"/>
        <v>1395.9028333333333</v>
      </c>
      <c r="AY126" s="518">
        <f t="shared" si="101"/>
        <v>1365.0055</v>
      </c>
      <c r="AZ126" s="518">
        <f t="shared" si="102"/>
        <v>1159.0916666666667</v>
      </c>
      <c r="BA126" s="518">
        <f t="shared" si="103"/>
        <v>2655.8122499999999</v>
      </c>
      <c r="BB126" s="518">
        <f t="shared" si="104"/>
        <v>468.33333333333331</v>
      </c>
      <c r="BC126" s="518">
        <f t="shared" si="105"/>
        <v>1748.4833333333333</v>
      </c>
      <c r="BD126" s="518">
        <f t="shared" si="106"/>
        <v>1459.5083333333334</v>
      </c>
      <c r="BE126" s="518">
        <f t="shared" si="107"/>
        <v>1540.15</v>
      </c>
      <c r="BF126" s="518">
        <f t="shared" si="108"/>
        <v>1080.8333333333333</v>
      </c>
      <c r="BG126" s="619">
        <f t="shared" si="109"/>
        <v>1650.4333333333334</v>
      </c>
      <c r="BH126" s="619">
        <f t="shared" si="110"/>
        <v>811.25</v>
      </c>
      <c r="BI126" s="619">
        <f t="shared" si="111"/>
        <v>2408.09375</v>
      </c>
      <c r="BJ126" s="619">
        <f t="shared" si="112"/>
        <v>0</v>
      </c>
      <c r="BK126" s="619">
        <f t="shared" si="113"/>
        <v>102.93333333333334</v>
      </c>
      <c r="BL126" s="619"/>
      <c r="BM126" s="619">
        <f t="shared" si="114"/>
        <v>1336.6676666666667</v>
      </c>
      <c r="BN126" s="619">
        <f t="shared" si="115"/>
        <v>477.23883333333339</v>
      </c>
      <c r="BO126" s="619">
        <f t="shared" si="116"/>
        <v>0</v>
      </c>
      <c r="BP126" s="619">
        <f t="shared" si="117"/>
        <v>97.898666666666671</v>
      </c>
      <c r="BQ126" s="518">
        <f t="shared" si="66"/>
        <v>79719.147166666633</v>
      </c>
    </row>
    <row r="127" spans="1:69" s="585" customFormat="1" ht="12.75" customHeight="1" outlineLevel="1">
      <c r="A127" s="308" t="s">
        <v>50</v>
      </c>
      <c r="B127" s="308">
        <f t="shared" si="77"/>
        <v>2025</v>
      </c>
      <c r="C127" s="308" t="s">
        <v>102</v>
      </c>
      <c r="D127" s="518"/>
      <c r="E127" s="518"/>
      <c r="F127" s="518"/>
      <c r="G127" s="518"/>
      <c r="H127" s="518"/>
      <c r="I127" s="518"/>
      <c r="J127" s="518">
        <f t="shared" si="98"/>
        <v>0</v>
      </c>
      <c r="K127" s="518">
        <f t="shared" si="63"/>
        <v>9616192.6599999983</v>
      </c>
      <c r="L127" s="518"/>
      <c r="M127" s="518"/>
      <c r="N127" s="518">
        <f t="shared" si="64"/>
        <v>9616192.6599999983</v>
      </c>
      <c r="O127" s="518"/>
      <c r="P127" s="518">
        <f t="shared" si="61"/>
        <v>0</v>
      </c>
      <c r="U127" s="518">
        <f t="shared" si="68"/>
        <v>4172.1833333333334</v>
      </c>
      <c r="V127" s="518">
        <f t="shared" si="69"/>
        <v>6601.6416666666664</v>
      </c>
      <c r="W127" s="518">
        <f t="shared" si="70"/>
        <v>5314.0657499999998</v>
      </c>
      <c r="X127" s="518">
        <f t="shared" si="71"/>
        <v>4037.2521666666667</v>
      </c>
      <c r="Y127" s="518">
        <f t="shared" si="72"/>
        <v>2285.2750000000001</v>
      </c>
      <c r="Z127" s="518">
        <f t="shared" si="73"/>
        <v>1091.7583333333334</v>
      </c>
      <c r="AA127" s="518">
        <f t="shared" si="74"/>
        <v>1269.9591666666668</v>
      </c>
      <c r="AB127" s="518">
        <f t="shared" si="75"/>
        <v>606.67849999999999</v>
      </c>
      <c r="AC127" s="518">
        <f t="shared" si="76"/>
        <v>476.46666666666664</v>
      </c>
      <c r="AD127" s="518">
        <f t="shared" si="78"/>
        <v>1657.7180833333332</v>
      </c>
      <c r="AE127" s="518">
        <f t="shared" si="79"/>
        <v>3516.1947500000001</v>
      </c>
      <c r="AF127" s="518">
        <f t="shared" si="80"/>
        <v>1564.4</v>
      </c>
      <c r="AG127" s="518">
        <f t="shared" si="81"/>
        <v>2587.7750000000001</v>
      </c>
      <c r="AH127" s="518">
        <f t="shared" si="82"/>
        <v>2302.7285000000002</v>
      </c>
      <c r="AI127" s="518">
        <f t="shared" si="83"/>
        <v>1957.7</v>
      </c>
      <c r="AJ127" s="518">
        <f t="shared" si="84"/>
        <v>1067.125</v>
      </c>
      <c r="AK127" s="518">
        <f t="shared" si="85"/>
        <v>1806.075</v>
      </c>
      <c r="AL127" s="518">
        <f t="shared" si="86"/>
        <v>1723.2054166666667</v>
      </c>
      <c r="AM127" s="518">
        <f t="shared" si="87"/>
        <v>3010.375</v>
      </c>
      <c r="AN127" s="518">
        <f t="shared" si="88"/>
        <v>920.83333333333337</v>
      </c>
      <c r="AO127" s="518">
        <f t="shared" si="89"/>
        <v>1423.5416666666667</v>
      </c>
      <c r="AP127" s="518">
        <f t="shared" si="90"/>
        <v>1452.5480833333336</v>
      </c>
      <c r="AQ127" s="518">
        <f t="shared" si="91"/>
        <v>783.11666666666667</v>
      </c>
      <c r="AR127" s="518">
        <f t="shared" si="92"/>
        <v>2080.4166666666665</v>
      </c>
      <c r="AS127" s="518">
        <f t="shared" si="94"/>
        <v>688.7</v>
      </c>
      <c r="AT127" s="518">
        <f t="shared" si="95"/>
        <v>1607.9597499999998</v>
      </c>
      <c r="AU127" s="518">
        <f t="shared" si="96"/>
        <v>690.61666666666667</v>
      </c>
      <c r="AV127" s="518">
        <f t="shared" si="97"/>
        <v>1347.6258333333333</v>
      </c>
      <c r="AW127" s="518">
        <f t="shared" si="99"/>
        <v>1038.7249999999999</v>
      </c>
      <c r="AX127" s="518">
        <f t="shared" si="100"/>
        <v>1395.9028333333333</v>
      </c>
      <c r="AY127" s="518">
        <f t="shared" si="101"/>
        <v>1365.0055</v>
      </c>
      <c r="AZ127" s="518">
        <f t="shared" si="102"/>
        <v>1159.0916666666667</v>
      </c>
      <c r="BA127" s="518">
        <f t="shared" si="103"/>
        <v>2655.8122499999999</v>
      </c>
      <c r="BB127" s="518">
        <f t="shared" si="104"/>
        <v>468.33333333333331</v>
      </c>
      <c r="BC127" s="518">
        <f t="shared" si="105"/>
        <v>1748.4833333333333</v>
      </c>
      <c r="BD127" s="518">
        <f t="shared" si="106"/>
        <v>1459.5083333333334</v>
      </c>
      <c r="BE127" s="518">
        <f t="shared" si="107"/>
        <v>1540.15</v>
      </c>
      <c r="BF127" s="518">
        <f t="shared" si="108"/>
        <v>1080.8333333333333</v>
      </c>
      <c r="BG127" s="619">
        <f t="shared" si="109"/>
        <v>1650.4333333333334</v>
      </c>
      <c r="BH127" s="619">
        <f t="shared" si="110"/>
        <v>811.25</v>
      </c>
      <c r="BI127" s="619">
        <f t="shared" si="111"/>
        <v>2408.09375</v>
      </c>
      <c r="BJ127" s="619">
        <f t="shared" si="112"/>
        <v>0</v>
      </c>
      <c r="BK127" s="619">
        <f t="shared" si="113"/>
        <v>102.93333333333334</v>
      </c>
      <c r="BL127" s="619"/>
      <c r="BM127" s="619">
        <f t="shared" si="114"/>
        <v>1336.6676666666667</v>
      </c>
      <c r="BN127" s="619">
        <f t="shared" si="115"/>
        <v>477.23883333333339</v>
      </c>
      <c r="BO127" s="619">
        <f t="shared" si="116"/>
        <v>0</v>
      </c>
      <c r="BP127" s="619">
        <f t="shared" si="117"/>
        <v>97.898666666666671</v>
      </c>
      <c r="BQ127" s="518">
        <f t="shared" si="66"/>
        <v>78840.297166666642</v>
      </c>
    </row>
    <row r="128" spans="1:69" s="585" customFormat="1" ht="12.75" customHeight="1" outlineLevel="1">
      <c r="A128" s="308" t="s">
        <v>51</v>
      </c>
      <c r="B128" s="308">
        <f t="shared" si="77"/>
        <v>2025</v>
      </c>
      <c r="C128" s="308" t="s">
        <v>102</v>
      </c>
      <c r="D128" s="518"/>
      <c r="E128" s="518"/>
      <c r="F128" s="518"/>
      <c r="G128" s="518"/>
      <c r="H128" s="518"/>
      <c r="I128" s="518"/>
      <c r="J128" s="518">
        <f t="shared" si="98"/>
        <v>0</v>
      </c>
      <c r="K128" s="518">
        <f t="shared" si="63"/>
        <v>9616192.6599999983</v>
      </c>
      <c r="L128" s="518"/>
      <c r="M128" s="518"/>
      <c r="N128" s="518">
        <f t="shared" si="64"/>
        <v>9616192.6599999983</v>
      </c>
      <c r="O128" s="518"/>
      <c r="P128" s="518">
        <f t="shared" si="61"/>
        <v>0</v>
      </c>
      <c r="V128" s="518">
        <f t="shared" si="69"/>
        <v>6601.6416666666664</v>
      </c>
      <c r="W128" s="518">
        <f t="shared" si="70"/>
        <v>5314.0657499999998</v>
      </c>
      <c r="X128" s="518">
        <f t="shared" si="71"/>
        <v>4037.2521666666667</v>
      </c>
      <c r="Y128" s="518">
        <f t="shared" si="72"/>
        <v>2285.2750000000001</v>
      </c>
      <c r="Z128" s="518">
        <f t="shared" si="73"/>
        <v>1091.7583333333334</v>
      </c>
      <c r="AA128" s="518">
        <f t="shared" si="74"/>
        <v>1269.9591666666668</v>
      </c>
      <c r="AB128" s="518">
        <f t="shared" si="75"/>
        <v>606.67849999999999</v>
      </c>
      <c r="AC128" s="518">
        <f t="shared" si="76"/>
        <v>476.46666666666664</v>
      </c>
      <c r="AD128" s="518">
        <f t="shared" si="78"/>
        <v>1657.7180833333332</v>
      </c>
      <c r="AE128" s="518">
        <f t="shared" si="79"/>
        <v>3516.1947500000001</v>
      </c>
      <c r="AF128" s="518">
        <f t="shared" si="80"/>
        <v>1564.4</v>
      </c>
      <c r="AG128" s="518">
        <f t="shared" si="81"/>
        <v>2587.7750000000001</v>
      </c>
      <c r="AH128" s="518">
        <f t="shared" si="82"/>
        <v>2302.7285000000002</v>
      </c>
      <c r="AI128" s="518">
        <f t="shared" si="83"/>
        <v>1957.7</v>
      </c>
      <c r="AJ128" s="518">
        <f t="shared" si="84"/>
        <v>1067.125</v>
      </c>
      <c r="AK128" s="518">
        <f t="shared" si="85"/>
        <v>1806.075</v>
      </c>
      <c r="AL128" s="518">
        <f t="shared" si="86"/>
        <v>1723.2054166666667</v>
      </c>
      <c r="AM128" s="518">
        <f t="shared" si="87"/>
        <v>3010.375</v>
      </c>
      <c r="AN128" s="518">
        <f t="shared" si="88"/>
        <v>920.83333333333337</v>
      </c>
      <c r="AO128" s="518">
        <f t="shared" si="89"/>
        <v>1423.5416666666667</v>
      </c>
      <c r="AP128" s="518">
        <f t="shared" si="90"/>
        <v>1452.5480833333336</v>
      </c>
      <c r="AQ128" s="518">
        <f t="shared" si="91"/>
        <v>783.11666666666667</v>
      </c>
      <c r="AR128" s="518">
        <f t="shared" si="92"/>
        <v>2080.4166666666665</v>
      </c>
      <c r="AS128" s="518">
        <f t="shared" si="94"/>
        <v>688.7</v>
      </c>
      <c r="AT128" s="518">
        <f t="shared" si="95"/>
        <v>1607.9597499999998</v>
      </c>
      <c r="AU128" s="518">
        <f t="shared" si="96"/>
        <v>690.61666666666667</v>
      </c>
      <c r="AV128" s="518">
        <f t="shared" si="97"/>
        <v>1347.6258333333333</v>
      </c>
      <c r="AW128" s="518">
        <f t="shared" si="99"/>
        <v>1038.7249999999999</v>
      </c>
      <c r="AX128" s="518">
        <f t="shared" si="100"/>
        <v>1395.9028333333333</v>
      </c>
      <c r="AY128" s="518">
        <f t="shared" si="101"/>
        <v>1365.0055</v>
      </c>
      <c r="AZ128" s="518">
        <f t="shared" si="102"/>
        <v>1159.0916666666667</v>
      </c>
      <c r="BA128" s="518">
        <f t="shared" si="103"/>
        <v>2655.8122499999999</v>
      </c>
      <c r="BB128" s="518">
        <f t="shared" si="104"/>
        <v>468.33333333333331</v>
      </c>
      <c r="BC128" s="518">
        <f t="shared" si="105"/>
        <v>1748.4833333333333</v>
      </c>
      <c r="BD128" s="518">
        <f t="shared" si="106"/>
        <v>1459.5083333333334</v>
      </c>
      <c r="BE128" s="518">
        <f t="shared" si="107"/>
        <v>1540.15</v>
      </c>
      <c r="BF128" s="518">
        <f t="shared" si="108"/>
        <v>1080.8333333333333</v>
      </c>
      <c r="BG128" s="619">
        <f t="shared" si="109"/>
        <v>1650.4333333333334</v>
      </c>
      <c r="BH128" s="619">
        <f t="shared" si="110"/>
        <v>811.25</v>
      </c>
      <c r="BI128" s="619">
        <f t="shared" si="111"/>
        <v>2408.09375</v>
      </c>
      <c r="BJ128" s="619">
        <f t="shared" si="112"/>
        <v>0</v>
      </c>
      <c r="BK128" s="619">
        <f t="shared" si="113"/>
        <v>102.93333333333334</v>
      </c>
      <c r="BL128" s="619"/>
      <c r="BM128" s="619">
        <f t="shared" si="114"/>
        <v>1336.6676666666667</v>
      </c>
      <c r="BN128" s="619">
        <f t="shared" si="115"/>
        <v>477.23883333333339</v>
      </c>
      <c r="BO128" s="619">
        <f t="shared" si="116"/>
        <v>0</v>
      </c>
      <c r="BP128" s="619">
        <f t="shared" si="117"/>
        <v>97.898666666666671</v>
      </c>
      <c r="BQ128" s="518">
        <f t="shared" si="66"/>
        <v>74668.113833333322</v>
      </c>
    </row>
    <row r="129" spans="1:69" s="585" customFormat="1" ht="12.75" customHeight="1" outlineLevel="1">
      <c r="A129" s="308" t="s">
        <v>52</v>
      </c>
      <c r="B129" s="308">
        <f t="shared" si="77"/>
        <v>2025</v>
      </c>
      <c r="C129" s="308" t="s">
        <v>102</v>
      </c>
      <c r="D129" s="518"/>
      <c r="E129" s="518"/>
      <c r="F129" s="518"/>
      <c r="G129" s="518"/>
      <c r="H129" s="518"/>
      <c r="I129" s="518"/>
      <c r="J129" s="518">
        <f t="shared" si="98"/>
        <v>0</v>
      </c>
      <c r="K129" s="518">
        <f t="shared" si="63"/>
        <v>9616192.6599999983</v>
      </c>
      <c r="L129" s="518"/>
      <c r="M129" s="518"/>
      <c r="N129" s="518">
        <f t="shared" si="64"/>
        <v>9616192.6599999983</v>
      </c>
      <c r="O129" s="518"/>
      <c r="P129" s="518">
        <f t="shared" si="61"/>
        <v>0</v>
      </c>
      <c r="R129" s="518"/>
      <c r="S129" s="518"/>
      <c r="T129" s="518"/>
      <c r="U129" s="518"/>
      <c r="V129" s="518"/>
      <c r="W129" s="518">
        <f t="shared" si="70"/>
        <v>5314.0657499999998</v>
      </c>
      <c r="X129" s="518">
        <f t="shared" si="71"/>
        <v>4037.2521666666667</v>
      </c>
      <c r="Y129" s="518">
        <f t="shared" si="72"/>
        <v>2285.2750000000001</v>
      </c>
      <c r="Z129" s="518">
        <f t="shared" si="73"/>
        <v>1091.7583333333334</v>
      </c>
      <c r="AA129" s="518">
        <f t="shared" si="74"/>
        <v>1269.9591666666668</v>
      </c>
      <c r="AB129" s="518">
        <f t="shared" si="75"/>
        <v>606.67849999999999</v>
      </c>
      <c r="AC129" s="518">
        <f t="shared" si="76"/>
        <v>476.46666666666664</v>
      </c>
      <c r="AD129" s="518">
        <f t="shared" si="78"/>
        <v>1657.7180833333332</v>
      </c>
      <c r="AE129" s="518">
        <f t="shared" si="79"/>
        <v>3516.1947500000001</v>
      </c>
      <c r="AF129" s="518">
        <f t="shared" si="80"/>
        <v>1564.4</v>
      </c>
      <c r="AG129" s="518">
        <f t="shared" si="81"/>
        <v>2587.7750000000001</v>
      </c>
      <c r="AH129" s="518">
        <f t="shared" si="82"/>
        <v>2302.7285000000002</v>
      </c>
      <c r="AI129" s="518">
        <f t="shared" si="83"/>
        <v>1957.7</v>
      </c>
      <c r="AJ129" s="518">
        <f t="shared" si="84"/>
        <v>1067.125</v>
      </c>
      <c r="AK129" s="518">
        <f t="shared" si="85"/>
        <v>1806.075</v>
      </c>
      <c r="AL129" s="518">
        <f t="shared" si="86"/>
        <v>1723.2054166666667</v>
      </c>
      <c r="AM129" s="518">
        <f t="shared" si="87"/>
        <v>3010.375</v>
      </c>
      <c r="AN129" s="518">
        <f t="shared" si="88"/>
        <v>920.83333333333337</v>
      </c>
      <c r="AO129" s="518">
        <f t="shared" si="89"/>
        <v>1423.5416666666667</v>
      </c>
      <c r="AP129" s="518">
        <f t="shared" si="90"/>
        <v>1452.5480833333336</v>
      </c>
      <c r="AQ129" s="518">
        <f t="shared" si="91"/>
        <v>783.11666666666667</v>
      </c>
      <c r="AR129" s="518">
        <f t="shared" si="92"/>
        <v>2080.4166666666665</v>
      </c>
      <c r="AS129" s="518">
        <f t="shared" si="94"/>
        <v>688.7</v>
      </c>
      <c r="AT129" s="518">
        <f t="shared" si="95"/>
        <v>1607.9597499999998</v>
      </c>
      <c r="AU129" s="518">
        <f t="shared" si="96"/>
        <v>690.61666666666667</v>
      </c>
      <c r="AV129" s="518">
        <f t="shared" si="97"/>
        <v>1347.6258333333333</v>
      </c>
      <c r="AW129" s="518">
        <f t="shared" si="99"/>
        <v>1038.7249999999999</v>
      </c>
      <c r="AX129" s="518">
        <f t="shared" si="100"/>
        <v>1395.9028333333333</v>
      </c>
      <c r="AY129" s="518">
        <f t="shared" si="101"/>
        <v>1365.0055</v>
      </c>
      <c r="AZ129" s="518">
        <f t="shared" si="102"/>
        <v>1159.0916666666667</v>
      </c>
      <c r="BA129" s="518">
        <f t="shared" si="103"/>
        <v>2655.8122499999999</v>
      </c>
      <c r="BB129" s="518">
        <f t="shared" si="104"/>
        <v>468.33333333333331</v>
      </c>
      <c r="BC129" s="518">
        <f t="shared" si="105"/>
        <v>1748.4833333333333</v>
      </c>
      <c r="BD129" s="518">
        <f t="shared" si="106"/>
        <v>1459.5083333333334</v>
      </c>
      <c r="BE129" s="518">
        <f t="shared" si="107"/>
        <v>1540.15</v>
      </c>
      <c r="BF129" s="518">
        <f t="shared" si="108"/>
        <v>1080.8333333333333</v>
      </c>
      <c r="BG129" s="619">
        <f t="shared" si="109"/>
        <v>1650.4333333333334</v>
      </c>
      <c r="BH129" s="619">
        <f t="shared" si="110"/>
        <v>811.25</v>
      </c>
      <c r="BI129" s="619">
        <f t="shared" si="111"/>
        <v>2408.09375</v>
      </c>
      <c r="BJ129" s="619">
        <f t="shared" si="112"/>
        <v>0</v>
      </c>
      <c r="BK129" s="619">
        <f t="shared" si="113"/>
        <v>102.93333333333334</v>
      </c>
      <c r="BL129" s="619"/>
      <c r="BM129" s="619">
        <f t="shared" si="114"/>
        <v>1336.6676666666667</v>
      </c>
      <c r="BN129" s="619">
        <f t="shared" si="115"/>
        <v>477.23883333333339</v>
      </c>
      <c r="BO129" s="619">
        <f t="shared" si="116"/>
        <v>0</v>
      </c>
      <c r="BP129" s="619">
        <f t="shared" si="117"/>
        <v>97.898666666666671</v>
      </c>
      <c r="BQ129" s="518">
        <f t="shared" si="66"/>
        <v>68066.472166666659</v>
      </c>
    </row>
    <row r="130" spans="1:69" s="585" customFormat="1" ht="12.75" customHeight="1" outlineLevel="1">
      <c r="A130" s="308" t="s">
        <v>53</v>
      </c>
      <c r="B130" s="308">
        <f t="shared" si="77"/>
        <v>2026</v>
      </c>
      <c r="C130" s="308" t="s">
        <v>102</v>
      </c>
      <c r="D130" s="518"/>
      <c r="E130" s="518"/>
      <c r="F130" s="518"/>
      <c r="G130" s="518"/>
      <c r="H130" s="518"/>
      <c r="I130" s="518"/>
      <c r="J130" s="518">
        <f t="shared" si="98"/>
        <v>0</v>
      </c>
      <c r="K130" s="518">
        <f t="shared" ref="K130:K163" si="118">K129+J130</f>
        <v>9616192.6599999983</v>
      </c>
      <c r="L130" s="518"/>
      <c r="M130" s="518"/>
      <c r="N130" s="518">
        <f t="shared" ref="N130:N163" si="119">N129+M130</f>
        <v>9616192.6599999983</v>
      </c>
      <c r="O130" s="518"/>
      <c r="P130" s="518">
        <f t="shared" ref="P130:P163" si="120">+K130-N130</f>
        <v>0</v>
      </c>
      <c r="X130" s="518">
        <f t="shared" si="71"/>
        <v>4037.2521666666667</v>
      </c>
      <c r="Y130" s="518">
        <f t="shared" si="72"/>
        <v>2285.2750000000001</v>
      </c>
      <c r="Z130" s="518">
        <f t="shared" si="73"/>
        <v>1091.7583333333334</v>
      </c>
      <c r="AA130" s="518">
        <f t="shared" si="74"/>
        <v>1269.9591666666668</v>
      </c>
      <c r="AB130" s="518">
        <f t="shared" si="75"/>
        <v>606.67849999999999</v>
      </c>
      <c r="AC130" s="518">
        <f t="shared" si="76"/>
        <v>476.46666666666664</v>
      </c>
      <c r="AD130" s="518">
        <f t="shared" si="78"/>
        <v>1657.7180833333332</v>
      </c>
      <c r="AE130" s="518">
        <f t="shared" si="79"/>
        <v>3516.1947500000001</v>
      </c>
      <c r="AF130" s="518">
        <f t="shared" si="80"/>
        <v>1564.4</v>
      </c>
      <c r="AG130" s="518">
        <f t="shared" si="81"/>
        <v>2587.7750000000001</v>
      </c>
      <c r="AH130" s="518">
        <f t="shared" si="82"/>
        <v>2302.7285000000002</v>
      </c>
      <c r="AI130" s="518">
        <f t="shared" si="83"/>
        <v>1957.7</v>
      </c>
      <c r="AJ130" s="518">
        <f t="shared" si="84"/>
        <v>1067.125</v>
      </c>
      <c r="AK130" s="518">
        <f t="shared" si="85"/>
        <v>1806.075</v>
      </c>
      <c r="AL130" s="518">
        <f t="shared" si="86"/>
        <v>1723.2054166666667</v>
      </c>
      <c r="AM130" s="518">
        <f t="shared" si="87"/>
        <v>3010.375</v>
      </c>
      <c r="AN130" s="518">
        <f t="shared" si="88"/>
        <v>920.83333333333337</v>
      </c>
      <c r="AO130" s="518">
        <f t="shared" si="89"/>
        <v>1423.5416666666667</v>
      </c>
      <c r="AP130" s="518">
        <f t="shared" si="90"/>
        <v>1452.5480833333336</v>
      </c>
      <c r="AQ130" s="518">
        <f t="shared" si="91"/>
        <v>783.11666666666667</v>
      </c>
      <c r="AR130" s="518">
        <f t="shared" si="92"/>
        <v>2080.4166666666665</v>
      </c>
      <c r="AS130" s="518">
        <f t="shared" si="94"/>
        <v>688.7</v>
      </c>
      <c r="AT130" s="518">
        <f t="shared" si="95"/>
        <v>1607.9597499999998</v>
      </c>
      <c r="AU130" s="518">
        <f t="shared" si="96"/>
        <v>690.61666666666667</v>
      </c>
      <c r="AV130" s="518">
        <f t="shared" si="97"/>
        <v>1347.6258333333333</v>
      </c>
      <c r="AW130" s="518">
        <f t="shared" si="99"/>
        <v>1038.7249999999999</v>
      </c>
      <c r="AX130" s="518">
        <f t="shared" si="100"/>
        <v>1395.9028333333333</v>
      </c>
      <c r="AY130" s="518">
        <f t="shared" si="101"/>
        <v>1365.0055</v>
      </c>
      <c r="AZ130" s="518">
        <f t="shared" si="102"/>
        <v>1159.0916666666667</v>
      </c>
      <c r="BA130" s="518">
        <f t="shared" si="103"/>
        <v>2655.8122499999999</v>
      </c>
      <c r="BB130" s="518">
        <f t="shared" si="104"/>
        <v>468.33333333333331</v>
      </c>
      <c r="BC130" s="518">
        <f t="shared" si="105"/>
        <v>1748.4833333333333</v>
      </c>
      <c r="BD130" s="518">
        <f t="shared" si="106"/>
        <v>1459.5083333333334</v>
      </c>
      <c r="BE130" s="518">
        <f t="shared" si="107"/>
        <v>1540.15</v>
      </c>
      <c r="BF130" s="518">
        <f t="shared" si="108"/>
        <v>1080.8333333333333</v>
      </c>
      <c r="BG130" s="619">
        <f t="shared" si="109"/>
        <v>1650.4333333333334</v>
      </c>
      <c r="BH130" s="619">
        <f t="shared" si="110"/>
        <v>811.25</v>
      </c>
      <c r="BI130" s="619">
        <f t="shared" si="111"/>
        <v>2408.09375</v>
      </c>
      <c r="BJ130" s="619">
        <f t="shared" si="112"/>
        <v>0</v>
      </c>
      <c r="BK130" s="619">
        <f t="shared" si="113"/>
        <v>102.93333333333334</v>
      </c>
      <c r="BL130" s="619"/>
      <c r="BM130" s="619">
        <f t="shared" si="114"/>
        <v>1336.6676666666667</v>
      </c>
      <c r="BN130" s="619">
        <f t="shared" si="115"/>
        <v>477.23883333333339</v>
      </c>
      <c r="BO130" s="619">
        <f t="shared" si="116"/>
        <v>0</v>
      </c>
      <c r="BP130" s="619">
        <f t="shared" si="117"/>
        <v>97.898666666666671</v>
      </c>
      <c r="BQ130" s="518">
        <f t="shared" si="66"/>
        <v>62752.406416666679</v>
      </c>
    </row>
    <row r="131" spans="1:69" s="585" customFormat="1" ht="12.75" customHeight="1" outlineLevel="1">
      <c r="A131" s="308" t="s">
        <v>54</v>
      </c>
      <c r="B131" s="308">
        <f t="shared" si="77"/>
        <v>2026</v>
      </c>
      <c r="C131" s="308" t="s">
        <v>102</v>
      </c>
      <c r="D131" s="518"/>
      <c r="E131" s="518"/>
      <c r="F131" s="518"/>
      <c r="G131" s="518"/>
      <c r="H131" s="518"/>
      <c r="I131" s="518"/>
      <c r="J131" s="518">
        <f t="shared" si="98"/>
        <v>0</v>
      </c>
      <c r="K131" s="518">
        <f t="shared" si="118"/>
        <v>9616192.6599999983</v>
      </c>
      <c r="L131" s="518"/>
      <c r="M131" s="518"/>
      <c r="N131" s="518">
        <f t="shared" si="119"/>
        <v>9616192.6599999983</v>
      </c>
      <c r="O131" s="518"/>
      <c r="P131" s="518">
        <f t="shared" si="120"/>
        <v>0</v>
      </c>
      <c r="Y131" s="518">
        <f t="shared" si="72"/>
        <v>2285.2750000000001</v>
      </c>
      <c r="Z131" s="518">
        <f t="shared" si="73"/>
        <v>1091.7583333333334</v>
      </c>
      <c r="AA131" s="518">
        <f t="shared" si="74"/>
        <v>1269.9591666666668</v>
      </c>
      <c r="AB131" s="518">
        <f t="shared" si="75"/>
        <v>606.67849999999999</v>
      </c>
      <c r="AC131" s="518">
        <f t="shared" si="76"/>
        <v>476.46666666666664</v>
      </c>
      <c r="AD131" s="518">
        <f t="shared" si="78"/>
        <v>1657.7180833333332</v>
      </c>
      <c r="AE131" s="518">
        <f t="shared" si="79"/>
        <v>3516.1947500000001</v>
      </c>
      <c r="AF131" s="518">
        <f t="shared" si="80"/>
        <v>1564.4</v>
      </c>
      <c r="AG131" s="518">
        <f t="shared" si="81"/>
        <v>2587.7750000000001</v>
      </c>
      <c r="AH131" s="518">
        <f t="shared" si="82"/>
        <v>2302.7285000000002</v>
      </c>
      <c r="AI131" s="518">
        <f t="shared" si="83"/>
        <v>1957.7</v>
      </c>
      <c r="AJ131" s="518">
        <f t="shared" si="84"/>
        <v>1067.125</v>
      </c>
      <c r="AK131" s="518">
        <f t="shared" si="85"/>
        <v>1806.075</v>
      </c>
      <c r="AL131" s="518">
        <f t="shared" si="86"/>
        <v>1723.2054166666667</v>
      </c>
      <c r="AM131" s="518">
        <f t="shared" si="87"/>
        <v>3010.375</v>
      </c>
      <c r="AN131" s="518">
        <f t="shared" si="88"/>
        <v>920.83333333333337</v>
      </c>
      <c r="AO131" s="518">
        <f t="shared" si="89"/>
        <v>1423.5416666666667</v>
      </c>
      <c r="AP131" s="518">
        <f t="shared" si="90"/>
        <v>1452.5480833333336</v>
      </c>
      <c r="AQ131" s="518">
        <f t="shared" si="91"/>
        <v>783.11666666666667</v>
      </c>
      <c r="AR131" s="518">
        <f t="shared" si="92"/>
        <v>2080.4166666666665</v>
      </c>
      <c r="AS131" s="518">
        <f t="shared" si="94"/>
        <v>688.7</v>
      </c>
      <c r="AT131" s="518">
        <f t="shared" si="95"/>
        <v>1607.9597499999998</v>
      </c>
      <c r="AU131" s="518">
        <f t="shared" si="96"/>
        <v>690.61666666666667</v>
      </c>
      <c r="AV131" s="518">
        <f t="shared" si="97"/>
        <v>1347.6258333333333</v>
      </c>
      <c r="AW131" s="518">
        <f t="shared" si="99"/>
        <v>1038.7249999999999</v>
      </c>
      <c r="AX131" s="518">
        <f t="shared" si="100"/>
        <v>1395.9028333333333</v>
      </c>
      <c r="AY131" s="518">
        <f t="shared" si="101"/>
        <v>1365.0055</v>
      </c>
      <c r="AZ131" s="518">
        <f t="shared" si="102"/>
        <v>1159.0916666666667</v>
      </c>
      <c r="BA131" s="518">
        <f t="shared" si="103"/>
        <v>2655.8122499999999</v>
      </c>
      <c r="BB131" s="518">
        <f t="shared" si="104"/>
        <v>468.33333333333331</v>
      </c>
      <c r="BC131" s="518">
        <f t="shared" si="105"/>
        <v>1748.4833333333333</v>
      </c>
      <c r="BD131" s="518">
        <f t="shared" si="106"/>
        <v>1459.5083333333334</v>
      </c>
      <c r="BE131" s="518">
        <f t="shared" si="107"/>
        <v>1540.15</v>
      </c>
      <c r="BF131" s="518">
        <f t="shared" si="108"/>
        <v>1080.8333333333333</v>
      </c>
      <c r="BG131" s="619">
        <f t="shared" si="109"/>
        <v>1650.4333333333334</v>
      </c>
      <c r="BH131" s="619">
        <f t="shared" si="110"/>
        <v>811.25</v>
      </c>
      <c r="BI131" s="619">
        <f t="shared" si="111"/>
        <v>2408.09375</v>
      </c>
      <c r="BJ131" s="619">
        <f t="shared" si="112"/>
        <v>0</v>
      </c>
      <c r="BK131" s="619">
        <f t="shared" si="113"/>
        <v>102.93333333333334</v>
      </c>
      <c r="BL131" s="619"/>
      <c r="BM131" s="619">
        <f t="shared" si="114"/>
        <v>1336.6676666666667</v>
      </c>
      <c r="BN131" s="619">
        <f t="shared" si="115"/>
        <v>477.23883333333339</v>
      </c>
      <c r="BO131" s="619">
        <f t="shared" si="116"/>
        <v>0</v>
      </c>
      <c r="BP131" s="619">
        <f t="shared" si="117"/>
        <v>97.898666666666671</v>
      </c>
      <c r="BQ131" s="518">
        <f t="shared" si="66"/>
        <v>58715.154250000007</v>
      </c>
    </row>
    <row r="132" spans="1:69" s="585" customFormat="1" ht="12.75" customHeight="1" outlineLevel="1">
      <c r="A132" s="308" t="s">
        <v>55</v>
      </c>
      <c r="B132" s="308">
        <f t="shared" si="77"/>
        <v>2026</v>
      </c>
      <c r="C132" s="308" t="s">
        <v>102</v>
      </c>
      <c r="D132" s="518"/>
      <c r="E132" s="518"/>
      <c r="F132" s="518"/>
      <c r="G132" s="518"/>
      <c r="H132" s="518"/>
      <c r="I132" s="518"/>
      <c r="J132" s="518">
        <f t="shared" si="98"/>
        <v>0</v>
      </c>
      <c r="K132" s="518">
        <f t="shared" si="118"/>
        <v>9616192.6599999983</v>
      </c>
      <c r="L132" s="518"/>
      <c r="M132" s="518"/>
      <c r="N132" s="518">
        <f t="shared" si="119"/>
        <v>9616192.6599999983</v>
      </c>
      <c r="O132" s="518"/>
      <c r="P132" s="518">
        <f t="shared" si="120"/>
        <v>0</v>
      </c>
      <c r="Z132" s="518">
        <f t="shared" si="73"/>
        <v>1091.7583333333334</v>
      </c>
      <c r="AA132" s="518">
        <f t="shared" si="74"/>
        <v>1269.9591666666668</v>
      </c>
      <c r="AB132" s="518">
        <f t="shared" si="75"/>
        <v>606.67849999999999</v>
      </c>
      <c r="AC132" s="518">
        <f t="shared" si="76"/>
        <v>476.46666666666664</v>
      </c>
      <c r="AD132" s="518">
        <f t="shared" si="78"/>
        <v>1657.7180833333332</v>
      </c>
      <c r="AE132" s="518">
        <f t="shared" si="79"/>
        <v>3516.1947500000001</v>
      </c>
      <c r="AF132" s="518">
        <f t="shared" si="80"/>
        <v>1564.4</v>
      </c>
      <c r="AG132" s="518">
        <f t="shared" si="81"/>
        <v>2587.7750000000001</v>
      </c>
      <c r="AH132" s="518">
        <f t="shared" si="82"/>
        <v>2302.7285000000002</v>
      </c>
      <c r="AI132" s="518">
        <f t="shared" si="83"/>
        <v>1957.7</v>
      </c>
      <c r="AJ132" s="518">
        <f t="shared" si="84"/>
        <v>1067.125</v>
      </c>
      <c r="AK132" s="518">
        <f t="shared" si="85"/>
        <v>1806.075</v>
      </c>
      <c r="AL132" s="518">
        <f t="shared" si="86"/>
        <v>1723.2054166666667</v>
      </c>
      <c r="AM132" s="518">
        <f t="shared" si="87"/>
        <v>3010.375</v>
      </c>
      <c r="AN132" s="518">
        <f t="shared" si="88"/>
        <v>920.83333333333337</v>
      </c>
      <c r="AO132" s="518">
        <f t="shared" si="89"/>
        <v>1423.5416666666667</v>
      </c>
      <c r="AP132" s="518">
        <f t="shared" si="90"/>
        <v>1452.5480833333336</v>
      </c>
      <c r="AQ132" s="518">
        <f t="shared" si="91"/>
        <v>783.11666666666667</v>
      </c>
      <c r="AR132" s="518">
        <f t="shared" si="92"/>
        <v>2080.4166666666665</v>
      </c>
      <c r="AS132" s="518">
        <f t="shared" si="94"/>
        <v>688.7</v>
      </c>
      <c r="AT132" s="518">
        <f t="shared" si="95"/>
        <v>1607.9597499999998</v>
      </c>
      <c r="AU132" s="518">
        <f t="shared" si="96"/>
        <v>690.61666666666667</v>
      </c>
      <c r="AV132" s="518">
        <f t="shared" si="97"/>
        <v>1347.6258333333333</v>
      </c>
      <c r="AW132" s="518">
        <f t="shared" si="99"/>
        <v>1038.7249999999999</v>
      </c>
      <c r="AX132" s="518">
        <f t="shared" si="100"/>
        <v>1395.9028333333333</v>
      </c>
      <c r="AY132" s="518">
        <f t="shared" si="101"/>
        <v>1365.0055</v>
      </c>
      <c r="AZ132" s="518">
        <f t="shared" si="102"/>
        <v>1159.0916666666667</v>
      </c>
      <c r="BA132" s="518">
        <f t="shared" si="103"/>
        <v>2655.8122499999999</v>
      </c>
      <c r="BB132" s="518">
        <f t="shared" si="104"/>
        <v>468.33333333333331</v>
      </c>
      <c r="BC132" s="518">
        <f t="shared" si="105"/>
        <v>1748.4833333333333</v>
      </c>
      <c r="BD132" s="518">
        <f t="shared" si="106"/>
        <v>1459.5083333333334</v>
      </c>
      <c r="BE132" s="518">
        <f t="shared" si="107"/>
        <v>1540.15</v>
      </c>
      <c r="BF132" s="518">
        <f t="shared" si="108"/>
        <v>1080.8333333333333</v>
      </c>
      <c r="BG132" s="619">
        <f t="shared" si="109"/>
        <v>1650.4333333333334</v>
      </c>
      <c r="BH132" s="619">
        <f t="shared" si="110"/>
        <v>811.25</v>
      </c>
      <c r="BI132" s="619">
        <f t="shared" si="111"/>
        <v>2408.09375</v>
      </c>
      <c r="BJ132" s="619">
        <f t="shared" si="112"/>
        <v>0</v>
      </c>
      <c r="BK132" s="619">
        <f t="shared" si="113"/>
        <v>102.93333333333334</v>
      </c>
      <c r="BL132" s="619"/>
      <c r="BM132" s="619">
        <f t="shared" si="114"/>
        <v>1336.6676666666667</v>
      </c>
      <c r="BN132" s="619">
        <f t="shared" si="115"/>
        <v>477.23883333333339</v>
      </c>
      <c r="BO132" s="619">
        <f t="shared" si="116"/>
        <v>0</v>
      </c>
      <c r="BP132" s="619">
        <f t="shared" si="117"/>
        <v>97.898666666666671</v>
      </c>
      <c r="BQ132" s="518">
        <f t="shared" si="66"/>
        <v>56429.879250000013</v>
      </c>
    </row>
    <row r="133" spans="1:69" s="585" customFormat="1" ht="12.75" customHeight="1" outlineLevel="1">
      <c r="A133" s="308" t="s">
        <v>56</v>
      </c>
      <c r="B133" s="308">
        <f t="shared" si="77"/>
        <v>2026</v>
      </c>
      <c r="C133" s="308" t="s">
        <v>102</v>
      </c>
      <c r="D133" s="518"/>
      <c r="E133" s="518"/>
      <c r="F133" s="518"/>
      <c r="G133" s="518"/>
      <c r="H133" s="518"/>
      <c r="I133" s="518"/>
      <c r="J133" s="518">
        <f t="shared" ref="J133:J164" si="121">SUM(D133:H133)</f>
        <v>0</v>
      </c>
      <c r="K133" s="518">
        <f t="shared" si="118"/>
        <v>9616192.6599999983</v>
      </c>
      <c r="L133" s="518"/>
      <c r="M133" s="518"/>
      <c r="N133" s="518">
        <f t="shared" si="119"/>
        <v>9616192.6599999983</v>
      </c>
      <c r="O133" s="518"/>
      <c r="P133" s="518">
        <f t="shared" si="120"/>
        <v>0</v>
      </c>
      <c r="AA133" s="518">
        <f t="shared" si="74"/>
        <v>1269.9591666666668</v>
      </c>
      <c r="AB133" s="518">
        <f t="shared" si="75"/>
        <v>606.67849999999999</v>
      </c>
      <c r="AC133" s="518">
        <f t="shared" si="76"/>
        <v>476.46666666666664</v>
      </c>
      <c r="AD133" s="518">
        <f t="shared" si="78"/>
        <v>1657.7180833333332</v>
      </c>
      <c r="AE133" s="518">
        <f t="shared" si="79"/>
        <v>3516.1947500000001</v>
      </c>
      <c r="AF133" s="518">
        <f t="shared" si="80"/>
        <v>1564.4</v>
      </c>
      <c r="AG133" s="518">
        <f t="shared" si="81"/>
        <v>2587.7750000000001</v>
      </c>
      <c r="AH133" s="518">
        <f t="shared" si="82"/>
        <v>2302.7285000000002</v>
      </c>
      <c r="AI133" s="518">
        <f t="shared" si="83"/>
        <v>1957.7</v>
      </c>
      <c r="AJ133" s="518">
        <f t="shared" si="84"/>
        <v>1067.125</v>
      </c>
      <c r="AK133" s="518">
        <f t="shared" si="85"/>
        <v>1806.075</v>
      </c>
      <c r="AL133" s="518">
        <f t="shared" si="86"/>
        <v>1723.2054166666667</v>
      </c>
      <c r="AM133" s="518">
        <f t="shared" si="87"/>
        <v>3010.375</v>
      </c>
      <c r="AN133" s="518">
        <f t="shared" si="88"/>
        <v>920.83333333333337</v>
      </c>
      <c r="AO133" s="518">
        <f t="shared" si="89"/>
        <v>1423.5416666666667</v>
      </c>
      <c r="AP133" s="518">
        <f t="shared" si="90"/>
        <v>1452.5480833333336</v>
      </c>
      <c r="AQ133" s="518">
        <f t="shared" si="91"/>
        <v>783.11666666666667</v>
      </c>
      <c r="AR133" s="518">
        <f t="shared" si="92"/>
        <v>2080.4166666666665</v>
      </c>
      <c r="AS133" s="518">
        <f t="shared" si="94"/>
        <v>688.7</v>
      </c>
      <c r="AT133" s="518">
        <f t="shared" si="95"/>
        <v>1607.9597499999998</v>
      </c>
      <c r="AU133" s="518">
        <f t="shared" si="96"/>
        <v>690.61666666666667</v>
      </c>
      <c r="AV133" s="518">
        <f t="shared" si="97"/>
        <v>1347.6258333333333</v>
      </c>
      <c r="AW133" s="518">
        <f t="shared" si="99"/>
        <v>1038.7249999999999</v>
      </c>
      <c r="AX133" s="518">
        <f t="shared" si="100"/>
        <v>1395.9028333333333</v>
      </c>
      <c r="AY133" s="518">
        <f t="shared" si="101"/>
        <v>1365.0055</v>
      </c>
      <c r="AZ133" s="518">
        <f t="shared" si="102"/>
        <v>1159.0916666666667</v>
      </c>
      <c r="BA133" s="518">
        <f t="shared" si="103"/>
        <v>2655.8122499999999</v>
      </c>
      <c r="BB133" s="518">
        <f t="shared" si="104"/>
        <v>468.33333333333331</v>
      </c>
      <c r="BC133" s="518">
        <f t="shared" si="105"/>
        <v>1748.4833333333333</v>
      </c>
      <c r="BD133" s="518">
        <f t="shared" si="106"/>
        <v>1459.5083333333334</v>
      </c>
      <c r="BE133" s="518">
        <f t="shared" si="107"/>
        <v>1540.15</v>
      </c>
      <c r="BF133" s="518">
        <f t="shared" si="108"/>
        <v>1080.8333333333333</v>
      </c>
      <c r="BG133" s="619">
        <f t="shared" si="109"/>
        <v>1650.4333333333334</v>
      </c>
      <c r="BH133" s="619">
        <f t="shared" si="110"/>
        <v>811.25</v>
      </c>
      <c r="BI133" s="619">
        <f t="shared" si="111"/>
        <v>2408.09375</v>
      </c>
      <c r="BJ133" s="619">
        <f t="shared" si="112"/>
        <v>0</v>
      </c>
      <c r="BK133" s="619">
        <f t="shared" si="113"/>
        <v>102.93333333333334</v>
      </c>
      <c r="BL133" s="619"/>
      <c r="BM133" s="619">
        <f t="shared" si="114"/>
        <v>1336.6676666666667</v>
      </c>
      <c r="BN133" s="619">
        <f t="shared" si="115"/>
        <v>477.23883333333339</v>
      </c>
      <c r="BO133" s="619">
        <f t="shared" si="116"/>
        <v>0</v>
      </c>
      <c r="BP133" s="619">
        <f t="shared" si="117"/>
        <v>97.898666666666671</v>
      </c>
      <c r="BQ133" s="518">
        <f t="shared" si="66"/>
        <v>55338.120916666674</v>
      </c>
    </row>
    <row r="134" spans="1:69" s="585" customFormat="1" ht="12.75" customHeight="1" outlineLevel="1">
      <c r="A134" s="308" t="s">
        <v>57</v>
      </c>
      <c r="B134" s="308">
        <f t="shared" si="77"/>
        <v>2026</v>
      </c>
      <c r="C134" s="308" t="s">
        <v>102</v>
      </c>
      <c r="D134" s="518"/>
      <c r="E134" s="518"/>
      <c r="F134" s="518"/>
      <c r="G134" s="518"/>
      <c r="H134" s="518"/>
      <c r="I134" s="518"/>
      <c r="J134" s="518">
        <f t="shared" si="121"/>
        <v>0</v>
      </c>
      <c r="K134" s="518">
        <f t="shared" si="118"/>
        <v>9616192.6599999983</v>
      </c>
      <c r="L134" s="518"/>
      <c r="M134" s="518"/>
      <c r="N134" s="518">
        <f t="shared" si="119"/>
        <v>9616192.6599999983</v>
      </c>
      <c r="O134" s="518"/>
      <c r="P134" s="518">
        <f t="shared" si="120"/>
        <v>0</v>
      </c>
      <c r="AB134" s="518">
        <f t="shared" si="75"/>
        <v>606.67849999999999</v>
      </c>
      <c r="AC134" s="518">
        <f t="shared" si="76"/>
        <v>476.46666666666664</v>
      </c>
      <c r="AD134" s="518">
        <f t="shared" si="78"/>
        <v>1657.7180833333332</v>
      </c>
      <c r="AE134" s="518">
        <f t="shared" si="79"/>
        <v>3516.1947500000001</v>
      </c>
      <c r="AF134" s="518">
        <f t="shared" si="80"/>
        <v>1564.4</v>
      </c>
      <c r="AG134" s="518">
        <f t="shared" si="81"/>
        <v>2587.7750000000001</v>
      </c>
      <c r="AH134" s="518">
        <f t="shared" si="82"/>
        <v>2302.7285000000002</v>
      </c>
      <c r="AI134" s="518">
        <f t="shared" si="83"/>
        <v>1957.7</v>
      </c>
      <c r="AJ134" s="518">
        <f t="shared" si="84"/>
        <v>1067.125</v>
      </c>
      <c r="AK134" s="518">
        <f t="shared" si="85"/>
        <v>1806.075</v>
      </c>
      <c r="AL134" s="518">
        <f t="shared" si="86"/>
        <v>1723.2054166666667</v>
      </c>
      <c r="AM134" s="518">
        <f t="shared" si="87"/>
        <v>3010.375</v>
      </c>
      <c r="AN134" s="518">
        <f t="shared" si="88"/>
        <v>920.83333333333337</v>
      </c>
      <c r="AO134" s="518">
        <f t="shared" si="89"/>
        <v>1423.5416666666667</v>
      </c>
      <c r="AP134" s="518">
        <f t="shared" si="90"/>
        <v>1452.5480833333336</v>
      </c>
      <c r="AQ134" s="518">
        <f t="shared" si="91"/>
        <v>783.11666666666667</v>
      </c>
      <c r="AR134" s="518">
        <f t="shared" si="92"/>
        <v>2080.4166666666665</v>
      </c>
      <c r="AS134" s="518">
        <f t="shared" si="94"/>
        <v>688.7</v>
      </c>
      <c r="AT134" s="518">
        <f t="shared" si="95"/>
        <v>1607.9597499999998</v>
      </c>
      <c r="AU134" s="518">
        <f t="shared" si="96"/>
        <v>690.61666666666667</v>
      </c>
      <c r="AV134" s="518">
        <f t="shared" si="97"/>
        <v>1347.6258333333333</v>
      </c>
      <c r="AW134" s="518">
        <f t="shared" si="99"/>
        <v>1038.7249999999999</v>
      </c>
      <c r="AX134" s="518">
        <f t="shared" si="100"/>
        <v>1395.9028333333333</v>
      </c>
      <c r="AY134" s="518">
        <f t="shared" si="101"/>
        <v>1365.0055</v>
      </c>
      <c r="AZ134" s="518">
        <f t="shared" si="102"/>
        <v>1159.0916666666667</v>
      </c>
      <c r="BA134" s="518">
        <f t="shared" si="103"/>
        <v>2655.8122499999999</v>
      </c>
      <c r="BB134" s="518">
        <f t="shared" si="104"/>
        <v>468.33333333333331</v>
      </c>
      <c r="BC134" s="518">
        <f t="shared" si="105"/>
        <v>1748.4833333333333</v>
      </c>
      <c r="BD134" s="518">
        <f t="shared" si="106"/>
        <v>1459.5083333333334</v>
      </c>
      <c r="BE134" s="518">
        <f t="shared" si="107"/>
        <v>1540.15</v>
      </c>
      <c r="BF134" s="518">
        <f t="shared" si="108"/>
        <v>1080.8333333333333</v>
      </c>
      <c r="BG134" s="619">
        <f t="shared" si="109"/>
        <v>1650.4333333333334</v>
      </c>
      <c r="BH134" s="619">
        <f t="shared" si="110"/>
        <v>811.25</v>
      </c>
      <c r="BI134" s="619">
        <f t="shared" si="111"/>
        <v>2408.09375</v>
      </c>
      <c r="BJ134" s="619">
        <f t="shared" si="112"/>
        <v>0</v>
      </c>
      <c r="BK134" s="619">
        <f t="shared" si="113"/>
        <v>102.93333333333334</v>
      </c>
      <c r="BL134" s="619"/>
      <c r="BM134" s="619">
        <f t="shared" si="114"/>
        <v>1336.6676666666667</v>
      </c>
      <c r="BN134" s="619">
        <f t="shared" si="115"/>
        <v>477.23883333333339</v>
      </c>
      <c r="BO134" s="619">
        <f t="shared" si="116"/>
        <v>0</v>
      </c>
      <c r="BP134" s="619">
        <f t="shared" si="117"/>
        <v>97.898666666666671</v>
      </c>
      <c r="BQ134" s="518">
        <f t="shared" si="66"/>
        <v>54068.161750000014</v>
      </c>
    </row>
    <row r="135" spans="1:69" s="585" customFormat="1" ht="12.75" customHeight="1" outlineLevel="1">
      <c r="A135" s="308" t="s">
        <v>58</v>
      </c>
      <c r="B135" s="308">
        <f t="shared" si="77"/>
        <v>2026</v>
      </c>
      <c r="C135" s="308" t="s">
        <v>102</v>
      </c>
      <c r="D135" s="518"/>
      <c r="E135" s="518"/>
      <c r="F135" s="518"/>
      <c r="G135" s="518"/>
      <c r="H135" s="518"/>
      <c r="I135" s="518"/>
      <c r="J135" s="518">
        <f t="shared" si="121"/>
        <v>0</v>
      </c>
      <c r="K135" s="518">
        <f t="shared" si="118"/>
        <v>9616192.6599999983</v>
      </c>
      <c r="L135" s="518"/>
      <c r="M135" s="518"/>
      <c r="N135" s="518">
        <f t="shared" si="119"/>
        <v>9616192.6599999983</v>
      </c>
      <c r="O135" s="518"/>
      <c r="P135" s="518">
        <f t="shared" si="120"/>
        <v>0</v>
      </c>
      <c r="AC135" s="518">
        <f t="shared" si="76"/>
        <v>476.46666666666664</v>
      </c>
      <c r="AD135" s="518">
        <f t="shared" si="78"/>
        <v>1657.7180833333332</v>
      </c>
      <c r="AE135" s="518">
        <f t="shared" si="79"/>
        <v>3516.1947500000001</v>
      </c>
      <c r="AF135" s="518">
        <f t="shared" si="80"/>
        <v>1564.4</v>
      </c>
      <c r="AG135" s="518">
        <f t="shared" si="81"/>
        <v>2587.7750000000001</v>
      </c>
      <c r="AH135" s="518">
        <f t="shared" si="82"/>
        <v>2302.7285000000002</v>
      </c>
      <c r="AI135" s="518">
        <f t="shared" si="83"/>
        <v>1957.7</v>
      </c>
      <c r="AJ135" s="518">
        <f t="shared" si="84"/>
        <v>1067.125</v>
      </c>
      <c r="AK135" s="518">
        <f t="shared" si="85"/>
        <v>1806.075</v>
      </c>
      <c r="AL135" s="518">
        <f t="shared" si="86"/>
        <v>1723.2054166666667</v>
      </c>
      <c r="AM135" s="518">
        <f t="shared" si="87"/>
        <v>3010.375</v>
      </c>
      <c r="AN135" s="518">
        <f t="shared" si="88"/>
        <v>920.83333333333337</v>
      </c>
      <c r="AO135" s="518">
        <f t="shared" si="89"/>
        <v>1423.5416666666667</v>
      </c>
      <c r="AP135" s="518">
        <f t="shared" si="90"/>
        <v>1452.5480833333336</v>
      </c>
      <c r="AQ135" s="518">
        <f t="shared" si="91"/>
        <v>783.11666666666667</v>
      </c>
      <c r="AR135" s="518">
        <f t="shared" si="92"/>
        <v>2080.4166666666665</v>
      </c>
      <c r="AS135" s="518">
        <f t="shared" si="94"/>
        <v>688.7</v>
      </c>
      <c r="AT135" s="518">
        <f t="shared" si="95"/>
        <v>1607.9597499999998</v>
      </c>
      <c r="AU135" s="518">
        <f t="shared" si="96"/>
        <v>690.61666666666667</v>
      </c>
      <c r="AV135" s="518">
        <f t="shared" si="97"/>
        <v>1347.6258333333333</v>
      </c>
      <c r="AW135" s="518">
        <f t="shared" si="99"/>
        <v>1038.7249999999999</v>
      </c>
      <c r="AX135" s="518">
        <f t="shared" si="100"/>
        <v>1395.9028333333333</v>
      </c>
      <c r="AY135" s="518">
        <f t="shared" si="101"/>
        <v>1365.0055</v>
      </c>
      <c r="AZ135" s="518">
        <f t="shared" si="102"/>
        <v>1159.0916666666667</v>
      </c>
      <c r="BA135" s="518">
        <f t="shared" si="103"/>
        <v>2655.8122499999999</v>
      </c>
      <c r="BB135" s="518">
        <f t="shared" si="104"/>
        <v>468.33333333333331</v>
      </c>
      <c r="BC135" s="518">
        <f t="shared" si="105"/>
        <v>1748.4833333333333</v>
      </c>
      <c r="BD135" s="518">
        <f t="shared" si="106"/>
        <v>1459.5083333333334</v>
      </c>
      <c r="BE135" s="518">
        <f t="shared" si="107"/>
        <v>1540.15</v>
      </c>
      <c r="BF135" s="518">
        <f t="shared" si="108"/>
        <v>1080.8333333333333</v>
      </c>
      <c r="BG135" s="619">
        <f t="shared" si="109"/>
        <v>1650.4333333333334</v>
      </c>
      <c r="BH135" s="619">
        <f t="shared" si="110"/>
        <v>811.25</v>
      </c>
      <c r="BI135" s="619">
        <f t="shared" si="111"/>
        <v>2408.09375</v>
      </c>
      <c r="BJ135" s="619">
        <f t="shared" si="112"/>
        <v>0</v>
      </c>
      <c r="BK135" s="619">
        <f t="shared" si="113"/>
        <v>102.93333333333334</v>
      </c>
      <c r="BL135" s="619"/>
      <c r="BM135" s="619">
        <f t="shared" si="114"/>
        <v>1336.6676666666667</v>
      </c>
      <c r="BN135" s="619">
        <f t="shared" si="115"/>
        <v>477.23883333333339</v>
      </c>
      <c r="BO135" s="619">
        <f t="shared" si="116"/>
        <v>0</v>
      </c>
      <c r="BP135" s="619">
        <f t="shared" si="117"/>
        <v>97.898666666666671</v>
      </c>
      <c r="BQ135" s="518">
        <f t="shared" ref="BQ135:BQ174" si="122">SUM(R135:BP135)</f>
        <v>53461.483250000012</v>
      </c>
    </row>
    <row r="136" spans="1:69" s="585" customFormat="1" ht="12.75" customHeight="1" outlineLevel="1">
      <c r="A136" s="308" t="s">
        <v>59</v>
      </c>
      <c r="B136" s="308">
        <f t="shared" si="77"/>
        <v>2026</v>
      </c>
      <c r="C136" s="308" t="s">
        <v>102</v>
      </c>
      <c r="D136" s="518"/>
      <c r="E136" s="518"/>
      <c r="F136" s="518"/>
      <c r="G136" s="518"/>
      <c r="H136" s="518"/>
      <c r="I136" s="518"/>
      <c r="J136" s="518">
        <f t="shared" si="121"/>
        <v>0</v>
      </c>
      <c r="K136" s="518">
        <f t="shared" si="118"/>
        <v>9616192.6599999983</v>
      </c>
      <c r="L136" s="518"/>
      <c r="M136" s="518"/>
      <c r="N136" s="518">
        <f t="shared" si="119"/>
        <v>9616192.6599999983</v>
      </c>
      <c r="O136" s="518"/>
      <c r="P136" s="518">
        <f t="shared" si="120"/>
        <v>0</v>
      </c>
      <c r="AD136" s="518">
        <f t="shared" si="78"/>
        <v>1657.7180833333332</v>
      </c>
      <c r="AE136" s="518">
        <f t="shared" si="79"/>
        <v>3516.1947500000001</v>
      </c>
      <c r="AF136" s="518">
        <f t="shared" si="80"/>
        <v>1564.4</v>
      </c>
      <c r="AG136" s="518">
        <f t="shared" si="81"/>
        <v>2587.7750000000001</v>
      </c>
      <c r="AH136" s="518">
        <f t="shared" si="82"/>
        <v>2302.7285000000002</v>
      </c>
      <c r="AI136" s="518">
        <f t="shared" si="83"/>
        <v>1957.7</v>
      </c>
      <c r="AJ136" s="518">
        <f t="shared" si="84"/>
        <v>1067.125</v>
      </c>
      <c r="AK136" s="518">
        <f t="shared" si="85"/>
        <v>1806.075</v>
      </c>
      <c r="AL136" s="518">
        <f t="shared" si="86"/>
        <v>1723.2054166666667</v>
      </c>
      <c r="AM136" s="518">
        <f t="shared" si="87"/>
        <v>3010.375</v>
      </c>
      <c r="AN136" s="518">
        <f t="shared" si="88"/>
        <v>920.83333333333337</v>
      </c>
      <c r="AO136" s="518">
        <f t="shared" si="89"/>
        <v>1423.5416666666667</v>
      </c>
      <c r="AP136" s="518">
        <f t="shared" si="90"/>
        <v>1452.5480833333336</v>
      </c>
      <c r="AQ136" s="518">
        <f t="shared" si="91"/>
        <v>783.11666666666667</v>
      </c>
      <c r="AR136" s="518">
        <f t="shared" si="92"/>
        <v>2080.4166666666665</v>
      </c>
      <c r="AS136" s="518">
        <f t="shared" si="94"/>
        <v>688.7</v>
      </c>
      <c r="AT136" s="518">
        <f t="shared" si="95"/>
        <v>1607.9597499999998</v>
      </c>
      <c r="AU136" s="518">
        <f t="shared" si="96"/>
        <v>690.61666666666667</v>
      </c>
      <c r="AV136" s="518">
        <f t="shared" si="97"/>
        <v>1347.6258333333333</v>
      </c>
      <c r="AW136" s="518">
        <f t="shared" si="99"/>
        <v>1038.7249999999999</v>
      </c>
      <c r="AX136" s="518">
        <f t="shared" si="100"/>
        <v>1395.9028333333333</v>
      </c>
      <c r="AY136" s="518">
        <f t="shared" si="101"/>
        <v>1365.0055</v>
      </c>
      <c r="AZ136" s="518">
        <f t="shared" si="102"/>
        <v>1159.0916666666667</v>
      </c>
      <c r="BA136" s="518">
        <f t="shared" si="103"/>
        <v>2655.8122499999999</v>
      </c>
      <c r="BB136" s="518">
        <f t="shared" si="104"/>
        <v>468.33333333333331</v>
      </c>
      <c r="BC136" s="518">
        <f t="shared" si="105"/>
        <v>1748.4833333333333</v>
      </c>
      <c r="BD136" s="518">
        <f t="shared" si="106"/>
        <v>1459.5083333333334</v>
      </c>
      <c r="BE136" s="518">
        <f t="shared" si="107"/>
        <v>1540.15</v>
      </c>
      <c r="BF136" s="518">
        <f t="shared" si="108"/>
        <v>1080.8333333333333</v>
      </c>
      <c r="BG136" s="619">
        <f t="shared" si="109"/>
        <v>1650.4333333333334</v>
      </c>
      <c r="BH136" s="619">
        <f t="shared" si="110"/>
        <v>811.25</v>
      </c>
      <c r="BI136" s="619">
        <f t="shared" si="111"/>
        <v>2408.09375</v>
      </c>
      <c r="BJ136" s="619">
        <f t="shared" si="112"/>
        <v>0</v>
      </c>
      <c r="BK136" s="619">
        <f t="shared" si="113"/>
        <v>102.93333333333334</v>
      </c>
      <c r="BL136" s="619"/>
      <c r="BM136" s="619">
        <f t="shared" si="114"/>
        <v>1336.6676666666667</v>
      </c>
      <c r="BN136" s="619">
        <f t="shared" si="115"/>
        <v>477.23883333333339</v>
      </c>
      <c r="BO136" s="619">
        <f t="shared" si="116"/>
        <v>0</v>
      </c>
      <c r="BP136" s="619">
        <f t="shared" si="117"/>
        <v>97.898666666666671</v>
      </c>
      <c r="BQ136" s="518">
        <f t="shared" si="122"/>
        <v>52985.016583333345</v>
      </c>
    </row>
    <row r="137" spans="1:69" s="585" customFormat="1" ht="12.75" customHeight="1" outlineLevel="1">
      <c r="A137" s="308" t="s">
        <v>46</v>
      </c>
      <c r="B137" s="308">
        <f t="shared" si="77"/>
        <v>2026</v>
      </c>
      <c r="C137" s="308" t="s">
        <v>102</v>
      </c>
      <c r="D137" s="518"/>
      <c r="E137" s="518"/>
      <c r="F137" s="518"/>
      <c r="G137" s="518"/>
      <c r="H137" s="518"/>
      <c r="I137" s="518"/>
      <c r="J137" s="518">
        <f t="shared" si="121"/>
        <v>0</v>
      </c>
      <c r="K137" s="518">
        <f t="shared" si="118"/>
        <v>9616192.6599999983</v>
      </c>
      <c r="L137" s="518"/>
      <c r="M137" s="518"/>
      <c r="N137" s="518">
        <f t="shared" si="119"/>
        <v>9616192.6599999983</v>
      </c>
      <c r="O137" s="518"/>
      <c r="P137" s="518">
        <f t="shared" si="120"/>
        <v>0</v>
      </c>
      <c r="AE137" s="518">
        <f t="shared" si="79"/>
        <v>3516.1947500000001</v>
      </c>
      <c r="AF137" s="518">
        <f t="shared" si="80"/>
        <v>1564.4</v>
      </c>
      <c r="AG137" s="518">
        <f t="shared" si="81"/>
        <v>2587.7750000000001</v>
      </c>
      <c r="AH137" s="518">
        <f t="shared" si="82"/>
        <v>2302.7285000000002</v>
      </c>
      <c r="AI137" s="518">
        <f t="shared" si="83"/>
        <v>1957.7</v>
      </c>
      <c r="AJ137" s="518">
        <f t="shared" si="84"/>
        <v>1067.125</v>
      </c>
      <c r="AK137" s="518">
        <f t="shared" si="85"/>
        <v>1806.075</v>
      </c>
      <c r="AL137" s="518">
        <f t="shared" si="86"/>
        <v>1723.2054166666667</v>
      </c>
      <c r="AM137" s="518">
        <f t="shared" si="87"/>
        <v>3010.375</v>
      </c>
      <c r="AN137" s="518">
        <f t="shared" si="88"/>
        <v>920.83333333333337</v>
      </c>
      <c r="AO137" s="518">
        <f t="shared" si="89"/>
        <v>1423.5416666666667</v>
      </c>
      <c r="AP137" s="518">
        <f t="shared" si="90"/>
        <v>1452.5480833333336</v>
      </c>
      <c r="AQ137" s="518">
        <f t="shared" si="91"/>
        <v>783.11666666666667</v>
      </c>
      <c r="AR137" s="518">
        <f t="shared" si="92"/>
        <v>2080.4166666666665</v>
      </c>
      <c r="AS137" s="518">
        <f t="shared" si="94"/>
        <v>688.7</v>
      </c>
      <c r="AT137" s="518">
        <f t="shared" si="95"/>
        <v>1607.9597499999998</v>
      </c>
      <c r="AU137" s="518">
        <f t="shared" si="96"/>
        <v>690.61666666666667</v>
      </c>
      <c r="AV137" s="518">
        <f t="shared" si="97"/>
        <v>1347.6258333333333</v>
      </c>
      <c r="AW137" s="518">
        <f t="shared" si="99"/>
        <v>1038.7249999999999</v>
      </c>
      <c r="AX137" s="518">
        <f t="shared" si="100"/>
        <v>1395.9028333333333</v>
      </c>
      <c r="AY137" s="518">
        <f t="shared" si="101"/>
        <v>1365.0055</v>
      </c>
      <c r="AZ137" s="518">
        <f t="shared" si="102"/>
        <v>1159.0916666666667</v>
      </c>
      <c r="BA137" s="518">
        <f t="shared" si="103"/>
        <v>2655.8122499999999</v>
      </c>
      <c r="BB137" s="518">
        <f t="shared" si="104"/>
        <v>468.33333333333331</v>
      </c>
      <c r="BC137" s="518">
        <f t="shared" si="105"/>
        <v>1748.4833333333333</v>
      </c>
      <c r="BD137" s="518">
        <f t="shared" si="106"/>
        <v>1459.5083333333334</v>
      </c>
      <c r="BE137" s="518">
        <f t="shared" si="107"/>
        <v>1540.15</v>
      </c>
      <c r="BF137" s="518">
        <f t="shared" si="108"/>
        <v>1080.8333333333333</v>
      </c>
      <c r="BG137" s="619">
        <f t="shared" si="109"/>
        <v>1650.4333333333334</v>
      </c>
      <c r="BH137" s="619">
        <f t="shared" si="110"/>
        <v>811.25</v>
      </c>
      <c r="BI137" s="619">
        <f t="shared" si="111"/>
        <v>2408.09375</v>
      </c>
      <c r="BJ137" s="619">
        <f t="shared" si="112"/>
        <v>0</v>
      </c>
      <c r="BK137" s="619">
        <f t="shared" si="113"/>
        <v>102.93333333333334</v>
      </c>
      <c r="BL137" s="619"/>
      <c r="BM137" s="619">
        <f t="shared" si="114"/>
        <v>1336.6676666666667</v>
      </c>
      <c r="BN137" s="619">
        <f t="shared" si="115"/>
        <v>477.23883333333339</v>
      </c>
      <c r="BO137" s="619">
        <f t="shared" si="116"/>
        <v>0</v>
      </c>
      <c r="BP137" s="619">
        <f t="shared" si="117"/>
        <v>97.898666666666671</v>
      </c>
      <c r="BQ137" s="518">
        <f t="shared" si="122"/>
        <v>51327.298500000004</v>
      </c>
    </row>
    <row r="138" spans="1:69" s="585" customFormat="1" ht="12.75" customHeight="1" outlineLevel="1">
      <c r="A138" s="308" t="s">
        <v>48</v>
      </c>
      <c r="B138" s="308">
        <f t="shared" si="77"/>
        <v>2026</v>
      </c>
      <c r="C138" s="308" t="s">
        <v>102</v>
      </c>
      <c r="D138" s="518"/>
      <c r="E138" s="518"/>
      <c r="F138" s="518"/>
      <c r="G138" s="518"/>
      <c r="H138" s="518"/>
      <c r="I138" s="518"/>
      <c r="J138" s="518">
        <f t="shared" si="121"/>
        <v>0</v>
      </c>
      <c r="K138" s="518">
        <f t="shared" si="118"/>
        <v>9616192.6599999983</v>
      </c>
      <c r="L138" s="518"/>
      <c r="M138" s="518"/>
      <c r="N138" s="518">
        <f t="shared" si="119"/>
        <v>9616192.6599999983</v>
      </c>
      <c r="O138" s="518"/>
      <c r="P138" s="518">
        <f t="shared" si="120"/>
        <v>0</v>
      </c>
      <c r="AF138" s="518">
        <f t="shared" si="80"/>
        <v>1564.4</v>
      </c>
      <c r="AG138" s="518">
        <f t="shared" si="81"/>
        <v>2587.7750000000001</v>
      </c>
      <c r="AH138" s="518">
        <f t="shared" si="82"/>
        <v>2302.7285000000002</v>
      </c>
      <c r="AI138" s="518">
        <f t="shared" si="83"/>
        <v>1957.7</v>
      </c>
      <c r="AJ138" s="518">
        <f t="shared" si="84"/>
        <v>1067.125</v>
      </c>
      <c r="AK138" s="518">
        <f t="shared" si="85"/>
        <v>1806.075</v>
      </c>
      <c r="AL138" s="518">
        <f t="shared" si="86"/>
        <v>1723.2054166666667</v>
      </c>
      <c r="AM138" s="518">
        <f t="shared" si="87"/>
        <v>3010.375</v>
      </c>
      <c r="AN138" s="518">
        <f t="shared" si="88"/>
        <v>920.83333333333337</v>
      </c>
      <c r="AO138" s="518">
        <f t="shared" si="89"/>
        <v>1423.5416666666667</v>
      </c>
      <c r="AP138" s="518">
        <f t="shared" si="90"/>
        <v>1452.5480833333336</v>
      </c>
      <c r="AQ138" s="518">
        <f t="shared" si="91"/>
        <v>783.11666666666667</v>
      </c>
      <c r="AR138" s="518">
        <f t="shared" si="92"/>
        <v>2080.4166666666665</v>
      </c>
      <c r="AS138" s="518">
        <f t="shared" si="94"/>
        <v>688.7</v>
      </c>
      <c r="AT138" s="518">
        <f t="shared" si="95"/>
        <v>1607.9597499999998</v>
      </c>
      <c r="AU138" s="518">
        <f t="shared" si="96"/>
        <v>690.61666666666667</v>
      </c>
      <c r="AV138" s="518">
        <f t="shared" si="97"/>
        <v>1347.6258333333333</v>
      </c>
      <c r="AW138" s="518">
        <f t="shared" si="99"/>
        <v>1038.7249999999999</v>
      </c>
      <c r="AX138" s="518">
        <f t="shared" si="100"/>
        <v>1395.9028333333333</v>
      </c>
      <c r="AY138" s="518">
        <f t="shared" si="101"/>
        <v>1365.0055</v>
      </c>
      <c r="AZ138" s="518">
        <f t="shared" si="102"/>
        <v>1159.0916666666667</v>
      </c>
      <c r="BA138" s="518">
        <f t="shared" si="103"/>
        <v>2655.8122499999999</v>
      </c>
      <c r="BB138" s="518">
        <f t="shared" si="104"/>
        <v>468.33333333333331</v>
      </c>
      <c r="BC138" s="518">
        <f t="shared" si="105"/>
        <v>1748.4833333333333</v>
      </c>
      <c r="BD138" s="518">
        <f t="shared" si="106"/>
        <v>1459.5083333333334</v>
      </c>
      <c r="BE138" s="518">
        <f t="shared" si="107"/>
        <v>1540.15</v>
      </c>
      <c r="BF138" s="518">
        <f t="shared" si="108"/>
        <v>1080.8333333333333</v>
      </c>
      <c r="BG138" s="619">
        <f t="shared" si="109"/>
        <v>1650.4333333333334</v>
      </c>
      <c r="BH138" s="619">
        <f t="shared" si="110"/>
        <v>811.25</v>
      </c>
      <c r="BI138" s="619">
        <f t="shared" si="111"/>
        <v>2408.09375</v>
      </c>
      <c r="BJ138" s="619">
        <f t="shared" si="112"/>
        <v>0</v>
      </c>
      <c r="BK138" s="619">
        <f t="shared" si="113"/>
        <v>102.93333333333334</v>
      </c>
      <c r="BL138" s="619"/>
      <c r="BM138" s="619">
        <f t="shared" si="114"/>
        <v>1336.6676666666667</v>
      </c>
      <c r="BN138" s="619">
        <f t="shared" si="115"/>
        <v>477.23883333333339</v>
      </c>
      <c r="BO138" s="619">
        <f t="shared" si="116"/>
        <v>0</v>
      </c>
      <c r="BP138" s="619">
        <f t="shared" si="117"/>
        <v>97.898666666666671</v>
      </c>
      <c r="BQ138" s="518">
        <f t="shared" si="122"/>
        <v>47811.103750000009</v>
      </c>
    </row>
    <row r="139" spans="1:69" s="585" customFormat="1" ht="12.75" customHeight="1" outlineLevel="1">
      <c r="A139" s="308" t="s">
        <v>50</v>
      </c>
      <c r="B139" s="308">
        <f t="shared" si="77"/>
        <v>2026</v>
      </c>
      <c r="C139" s="308" t="s">
        <v>102</v>
      </c>
      <c r="D139" s="518"/>
      <c r="E139" s="518"/>
      <c r="F139" s="518"/>
      <c r="G139" s="518"/>
      <c r="H139" s="518"/>
      <c r="I139" s="518"/>
      <c r="J139" s="518">
        <f t="shared" si="121"/>
        <v>0</v>
      </c>
      <c r="K139" s="518">
        <f t="shared" si="118"/>
        <v>9616192.6599999983</v>
      </c>
      <c r="L139" s="518"/>
      <c r="M139" s="518"/>
      <c r="N139" s="518">
        <f t="shared" si="119"/>
        <v>9616192.6599999983</v>
      </c>
      <c r="O139" s="518"/>
      <c r="P139" s="518">
        <f t="shared" si="120"/>
        <v>0</v>
      </c>
      <c r="AG139" s="518">
        <f t="shared" si="81"/>
        <v>2587.7750000000001</v>
      </c>
      <c r="AH139" s="518">
        <f t="shared" si="82"/>
        <v>2302.7285000000002</v>
      </c>
      <c r="AI139" s="518">
        <f t="shared" si="83"/>
        <v>1957.7</v>
      </c>
      <c r="AJ139" s="518">
        <f t="shared" si="84"/>
        <v>1067.125</v>
      </c>
      <c r="AK139" s="518">
        <f t="shared" si="85"/>
        <v>1806.075</v>
      </c>
      <c r="AL139" s="518">
        <f t="shared" si="86"/>
        <v>1723.2054166666667</v>
      </c>
      <c r="AM139" s="518">
        <f t="shared" si="87"/>
        <v>3010.375</v>
      </c>
      <c r="AN139" s="518">
        <f t="shared" si="88"/>
        <v>920.83333333333337</v>
      </c>
      <c r="AO139" s="518">
        <f t="shared" si="89"/>
        <v>1423.5416666666667</v>
      </c>
      <c r="AP139" s="518">
        <f t="shared" si="90"/>
        <v>1452.5480833333336</v>
      </c>
      <c r="AQ139" s="518">
        <f t="shared" si="91"/>
        <v>783.11666666666667</v>
      </c>
      <c r="AR139" s="518">
        <f t="shared" si="92"/>
        <v>2080.4166666666665</v>
      </c>
      <c r="AS139" s="518">
        <f t="shared" si="94"/>
        <v>688.7</v>
      </c>
      <c r="AT139" s="518">
        <f t="shared" si="95"/>
        <v>1607.9597499999998</v>
      </c>
      <c r="AU139" s="518">
        <f t="shared" si="96"/>
        <v>690.61666666666667</v>
      </c>
      <c r="AV139" s="518">
        <f t="shared" si="97"/>
        <v>1347.6258333333333</v>
      </c>
      <c r="AW139" s="518">
        <f t="shared" si="99"/>
        <v>1038.7249999999999</v>
      </c>
      <c r="AX139" s="518">
        <f t="shared" si="100"/>
        <v>1395.9028333333333</v>
      </c>
      <c r="AY139" s="518">
        <f t="shared" si="101"/>
        <v>1365.0055</v>
      </c>
      <c r="AZ139" s="518">
        <f t="shared" si="102"/>
        <v>1159.0916666666667</v>
      </c>
      <c r="BA139" s="518">
        <f t="shared" si="103"/>
        <v>2655.8122499999999</v>
      </c>
      <c r="BB139" s="518">
        <f t="shared" si="104"/>
        <v>468.33333333333331</v>
      </c>
      <c r="BC139" s="518">
        <f t="shared" si="105"/>
        <v>1748.4833333333333</v>
      </c>
      <c r="BD139" s="518">
        <f t="shared" si="106"/>
        <v>1459.5083333333334</v>
      </c>
      <c r="BE139" s="518">
        <f t="shared" si="107"/>
        <v>1540.15</v>
      </c>
      <c r="BF139" s="518">
        <f t="shared" si="108"/>
        <v>1080.8333333333333</v>
      </c>
      <c r="BG139" s="619">
        <f t="shared" si="109"/>
        <v>1650.4333333333334</v>
      </c>
      <c r="BH139" s="619">
        <f t="shared" si="110"/>
        <v>811.25</v>
      </c>
      <c r="BI139" s="619">
        <f t="shared" si="111"/>
        <v>2408.09375</v>
      </c>
      <c r="BJ139" s="619">
        <f t="shared" si="112"/>
        <v>0</v>
      </c>
      <c r="BK139" s="619">
        <f t="shared" si="113"/>
        <v>102.93333333333334</v>
      </c>
      <c r="BL139" s="619"/>
      <c r="BM139" s="619">
        <f t="shared" si="114"/>
        <v>1336.6676666666667</v>
      </c>
      <c r="BN139" s="619">
        <f t="shared" si="115"/>
        <v>477.23883333333339</v>
      </c>
      <c r="BO139" s="619">
        <f t="shared" si="116"/>
        <v>0</v>
      </c>
      <c r="BP139" s="619">
        <f t="shared" si="117"/>
        <v>97.898666666666671</v>
      </c>
      <c r="BQ139" s="518">
        <f t="shared" si="122"/>
        <v>46246.703750000008</v>
      </c>
    </row>
    <row r="140" spans="1:69" s="585" customFormat="1" ht="12.75" customHeight="1" outlineLevel="1">
      <c r="A140" s="308" t="s">
        <v>51</v>
      </c>
      <c r="B140" s="308">
        <f t="shared" si="77"/>
        <v>2026</v>
      </c>
      <c r="C140" s="308" t="s">
        <v>102</v>
      </c>
      <c r="D140" s="518"/>
      <c r="E140" s="518"/>
      <c r="F140" s="518"/>
      <c r="G140" s="518"/>
      <c r="H140" s="518"/>
      <c r="I140" s="518"/>
      <c r="J140" s="518">
        <f t="shared" si="121"/>
        <v>0</v>
      </c>
      <c r="K140" s="518">
        <f t="shared" si="118"/>
        <v>9616192.6599999983</v>
      </c>
      <c r="L140" s="518"/>
      <c r="M140" s="518"/>
      <c r="N140" s="518">
        <f t="shared" si="119"/>
        <v>9616192.6599999983</v>
      </c>
      <c r="O140" s="518"/>
      <c r="P140" s="518">
        <f t="shared" si="120"/>
        <v>0</v>
      </c>
      <c r="AH140" s="518">
        <f t="shared" si="82"/>
        <v>2302.7285000000002</v>
      </c>
      <c r="AI140" s="518">
        <f t="shared" si="83"/>
        <v>1957.7</v>
      </c>
      <c r="AJ140" s="518">
        <f t="shared" si="84"/>
        <v>1067.125</v>
      </c>
      <c r="AK140" s="518">
        <f t="shared" si="85"/>
        <v>1806.075</v>
      </c>
      <c r="AL140" s="518">
        <f t="shared" si="86"/>
        <v>1723.2054166666667</v>
      </c>
      <c r="AM140" s="518">
        <f t="shared" si="87"/>
        <v>3010.375</v>
      </c>
      <c r="AN140" s="518">
        <f t="shared" si="88"/>
        <v>920.83333333333337</v>
      </c>
      <c r="AO140" s="518">
        <f t="shared" si="89"/>
        <v>1423.5416666666667</v>
      </c>
      <c r="AP140" s="518">
        <f t="shared" si="90"/>
        <v>1452.5480833333336</v>
      </c>
      <c r="AQ140" s="518">
        <f t="shared" si="91"/>
        <v>783.11666666666667</v>
      </c>
      <c r="AR140" s="518">
        <f t="shared" si="92"/>
        <v>2080.4166666666665</v>
      </c>
      <c r="AS140" s="518">
        <f t="shared" si="94"/>
        <v>688.7</v>
      </c>
      <c r="AT140" s="518">
        <f t="shared" si="95"/>
        <v>1607.9597499999998</v>
      </c>
      <c r="AU140" s="518">
        <f t="shared" si="96"/>
        <v>690.61666666666667</v>
      </c>
      <c r="AV140" s="518">
        <f t="shared" si="97"/>
        <v>1347.6258333333333</v>
      </c>
      <c r="AW140" s="518">
        <f t="shared" si="99"/>
        <v>1038.7249999999999</v>
      </c>
      <c r="AX140" s="518">
        <f t="shared" si="100"/>
        <v>1395.9028333333333</v>
      </c>
      <c r="AY140" s="518">
        <f t="shared" si="101"/>
        <v>1365.0055</v>
      </c>
      <c r="AZ140" s="518">
        <f t="shared" si="102"/>
        <v>1159.0916666666667</v>
      </c>
      <c r="BA140" s="518">
        <f t="shared" si="103"/>
        <v>2655.8122499999999</v>
      </c>
      <c r="BB140" s="518">
        <f t="shared" si="104"/>
        <v>468.33333333333331</v>
      </c>
      <c r="BC140" s="518">
        <f t="shared" si="105"/>
        <v>1748.4833333333333</v>
      </c>
      <c r="BD140" s="518">
        <f t="shared" si="106"/>
        <v>1459.5083333333334</v>
      </c>
      <c r="BE140" s="518">
        <f t="shared" si="107"/>
        <v>1540.15</v>
      </c>
      <c r="BF140" s="518">
        <f t="shared" si="108"/>
        <v>1080.8333333333333</v>
      </c>
      <c r="BG140" s="619">
        <f t="shared" si="109"/>
        <v>1650.4333333333334</v>
      </c>
      <c r="BH140" s="619">
        <f t="shared" si="110"/>
        <v>811.25</v>
      </c>
      <c r="BI140" s="619">
        <f t="shared" si="111"/>
        <v>2408.09375</v>
      </c>
      <c r="BJ140" s="619">
        <f t="shared" si="112"/>
        <v>0</v>
      </c>
      <c r="BK140" s="619">
        <f t="shared" si="113"/>
        <v>102.93333333333334</v>
      </c>
      <c r="BL140" s="619"/>
      <c r="BM140" s="619">
        <f t="shared" si="114"/>
        <v>1336.6676666666667</v>
      </c>
      <c r="BN140" s="619">
        <f t="shared" si="115"/>
        <v>477.23883333333339</v>
      </c>
      <c r="BO140" s="619">
        <f t="shared" si="116"/>
        <v>0</v>
      </c>
      <c r="BP140" s="619">
        <f t="shared" si="117"/>
        <v>97.898666666666671</v>
      </c>
      <c r="BQ140" s="518">
        <f t="shared" si="122"/>
        <v>43658.928750000006</v>
      </c>
    </row>
    <row r="141" spans="1:69" s="585" customFormat="1" ht="12.75" customHeight="1" outlineLevel="1">
      <c r="A141" s="308" t="s">
        <v>52</v>
      </c>
      <c r="B141" s="308">
        <f t="shared" si="77"/>
        <v>2026</v>
      </c>
      <c r="C141" s="308" t="s">
        <v>102</v>
      </c>
      <c r="D141" s="518"/>
      <c r="E141" s="518"/>
      <c r="F141" s="518"/>
      <c r="G141" s="518"/>
      <c r="H141" s="518"/>
      <c r="I141" s="518"/>
      <c r="J141" s="518">
        <f t="shared" si="121"/>
        <v>0</v>
      </c>
      <c r="K141" s="518">
        <f t="shared" si="118"/>
        <v>9616192.6599999983</v>
      </c>
      <c r="L141" s="518"/>
      <c r="M141" s="518"/>
      <c r="N141" s="518">
        <f t="shared" si="119"/>
        <v>9616192.6599999983</v>
      </c>
      <c r="O141" s="518"/>
      <c r="P141" s="518">
        <f t="shared" si="120"/>
        <v>0</v>
      </c>
      <c r="R141" s="518"/>
      <c r="S141" s="518"/>
      <c r="T141" s="518"/>
      <c r="U141" s="518"/>
      <c r="V141" s="518"/>
      <c r="W141" s="518"/>
      <c r="X141" s="518"/>
      <c r="Y141" s="518"/>
      <c r="Z141" s="518"/>
      <c r="AA141" s="518"/>
      <c r="AB141" s="518"/>
      <c r="AC141" s="518"/>
      <c r="AD141" s="518"/>
      <c r="AE141" s="518"/>
      <c r="AF141" s="518"/>
      <c r="AG141" s="518"/>
      <c r="AH141" s="518"/>
      <c r="AI141" s="518">
        <f t="shared" si="83"/>
        <v>1957.7</v>
      </c>
      <c r="AJ141" s="518">
        <f t="shared" si="84"/>
        <v>1067.125</v>
      </c>
      <c r="AK141" s="518">
        <f t="shared" si="85"/>
        <v>1806.075</v>
      </c>
      <c r="AL141" s="518">
        <f t="shared" si="86"/>
        <v>1723.2054166666667</v>
      </c>
      <c r="AM141" s="518">
        <f t="shared" si="87"/>
        <v>3010.375</v>
      </c>
      <c r="AN141" s="518">
        <f t="shared" si="88"/>
        <v>920.83333333333337</v>
      </c>
      <c r="AO141" s="518">
        <f t="shared" si="89"/>
        <v>1423.5416666666667</v>
      </c>
      <c r="AP141" s="518">
        <f t="shared" si="90"/>
        <v>1452.5480833333336</v>
      </c>
      <c r="AQ141" s="518">
        <f t="shared" si="91"/>
        <v>783.11666666666667</v>
      </c>
      <c r="AR141" s="518">
        <f t="shared" si="92"/>
        <v>2080.4166666666665</v>
      </c>
      <c r="AS141" s="518">
        <f t="shared" si="94"/>
        <v>688.7</v>
      </c>
      <c r="AT141" s="518">
        <f t="shared" si="95"/>
        <v>1607.9597499999998</v>
      </c>
      <c r="AU141" s="518">
        <f t="shared" si="96"/>
        <v>690.61666666666667</v>
      </c>
      <c r="AV141" s="518">
        <f t="shared" si="97"/>
        <v>1347.6258333333333</v>
      </c>
      <c r="AW141" s="518">
        <f t="shared" si="99"/>
        <v>1038.7249999999999</v>
      </c>
      <c r="AX141" s="518">
        <f t="shared" si="100"/>
        <v>1395.9028333333333</v>
      </c>
      <c r="AY141" s="518">
        <f t="shared" si="101"/>
        <v>1365.0055</v>
      </c>
      <c r="AZ141" s="518">
        <f t="shared" si="102"/>
        <v>1159.0916666666667</v>
      </c>
      <c r="BA141" s="518">
        <f t="shared" si="103"/>
        <v>2655.8122499999999</v>
      </c>
      <c r="BB141" s="518">
        <f t="shared" si="104"/>
        <v>468.33333333333331</v>
      </c>
      <c r="BC141" s="518">
        <f t="shared" si="105"/>
        <v>1748.4833333333333</v>
      </c>
      <c r="BD141" s="518">
        <f t="shared" si="106"/>
        <v>1459.5083333333334</v>
      </c>
      <c r="BE141" s="518">
        <f t="shared" si="107"/>
        <v>1540.15</v>
      </c>
      <c r="BF141" s="518">
        <f t="shared" si="108"/>
        <v>1080.8333333333333</v>
      </c>
      <c r="BG141" s="619">
        <f t="shared" si="109"/>
        <v>1650.4333333333334</v>
      </c>
      <c r="BH141" s="619">
        <f t="shared" si="110"/>
        <v>811.25</v>
      </c>
      <c r="BI141" s="619">
        <f t="shared" si="111"/>
        <v>2408.09375</v>
      </c>
      <c r="BJ141" s="619">
        <f t="shared" si="112"/>
        <v>0</v>
      </c>
      <c r="BK141" s="619">
        <f t="shared" si="113"/>
        <v>102.93333333333334</v>
      </c>
      <c r="BL141" s="619"/>
      <c r="BM141" s="619">
        <f t="shared" si="114"/>
        <v>1336.6676666666667</v>
      </c>
      <c r="BN141" s="619">
        <f t="shared" si="115"/>
        <v>477.23883333333339</v>
      </c>
      <c r="BO141" s="619">
        <f t="shared" si="116"/>
        <v>0</v>
      </c>
      <c r="BP141" s="619">
        <f t="shared" si="117"/>
        <v>97.898666666666671</v>
      </c>
      <c r="BQ141" s="518">
        <f t="shared" si="122"/>
        <v>41356.200250000002</v>
      </c>
    </row>
    <row r="142" spans="1:69" s="585" customFormat="1" ht="12.75" customHeight="1" outlineLevel="1">
      <c r="A142" s="308" t="s">
        <v>53</v>
      </c>
      <c r="B142" s="308">
        <f t="shared" si="77"/>
        <v>2027</v>
      </c>
      <c r="C142" s="308" t="s">
        <v>102</v>
      </c>
      <c r="D142" s="518"/>
      <c r="E142" s="518"/>
      <c r="F142" s="518"/>
      <c r="G142" s="518"/>
      <c r="H142" s="518"/>
      <c r="I142" s="518"/>
      <c r="J142" s="518">
        <f t="shared" si="121"/>
        <v>0</v>
      </c>
      <c r="K142" s="518">
        <f t="shared" si="118"/>
        <v>9616192.6599999983</v>
      </c>
      <c r="L142" s="518"/>
      <c r="M142" s="518"/>
      <c r="N142" s="518">
        <f t="shared" si="119"/>
        <v>9616192.6599999983</v>
      </c>
      <c r="O142" s="518"/>
      <c r="P142" s="518">
        <f t="shared" si="120"/>
        <v>0</v>
      </c>
      <c r="AJ142" s="518">
        <f t="shared" si="84"/>
        <v>1067.125</v>
      </c>
      <c r="AK142" s="518">
        <f t="shared" si="85"/>
        <v>1806.075</v>
      </c>
      <c r="AL142" s="518">
        <f t="shared" si="86"/>
        <v>1723.2054166666667</v>
      </c>
      <c r="AM142" s="518">
        <f t="shared" si="87"/>
        <v>3010.375</v>
      </c>
      <c r="AN142" s="518">
        <f t="shared" si="88"/>
        <v>920.83333333333337</v>
      </c>
      <c r="AO142" s="518">
        <f t="shared" si="89"/>
        <v>1423.5416666666667</v>
      </c>
      <c r="AP142" s="518">
        <f t="shared" si="90"/>
        <v>1452.5480833333336</v>
      </c>
      <c r="AQ142" s="518">
        <f t="shared" si="91"/>
        <v>783.11666666666667</v>
      </c>
      <c r="AR142" s="518">
        <f t="shared" si="92"/>
        <v>2080.4166666666665</v>
      </c>
      <c r="AS142" s="518">
        <f t="shared" si="94"/>
        <v>688.7</v>
      </c>
      <c r="AT142" s="518">
        <f t="shared" si="95"/>
        <v>1607.9597499999998</v>
      </c>
      <c r="AU142" s="518">
        <f t="shared" si="96"/>
        <v>690.61666666666667</v>
      </c>
      <c r="AV142" s="518">
        <f t="shared" si="97"/>
        <v>1347.6258333333333</v>
      </c>
      <c r="AW142" s="518">
        <f t="shared" si="99"/>
        <v>1038.7249999999999</v>
      </c>
      <c r="AX142" s="518">
        <f t="shared" si="100"/>
        <v>1395.9028333333333</v>
      </c>
      <c r="AY142" s="518">
        <f t="shared" si="101"/>
        <v>1365.0055</v>
      </c>
      <c r="AZ142" s="518">
        <f t="shared" si="102"/>
        <v>1159.0916666666667</v>
      </c>
      <c r="BA142" s="518">
        <f t="shared" si="103"/>
        <v>2655.8122499999999</v>
      </c>
      <c r="BB142" s="518">
        <f t="shared" si="104"/>
        <v>468.33333333333331</v>
      </c>
      <c r="BC142" s="518">
        <f t="shared" si="105"/>
        <v>1748.4833333333333</v>
      </c>
      <c r="BD142" s="518">
        <f t="shared" si="106"/>
        <v>1459.5083333333334</v>
      </c>
      <c r="BE142" s="518">
        <f t="shared" si="107"/>
        <v>1540.15</v>
      </c>
      <c r="BF142" s="518">
        <f t="shared" si="108"/>
        <v>1080.8333333333333</v>
      </c>
      <c r="BG142" s="619">
        <f t="shared" si="109"/>
        <v>1650.4333333333334</v>
      </c>
      <c r="BH142" s="619">
        <f t="shared" si="110"/>
        <v>811.25</v>
      </c>
      <c r="BI142" s="619">
        <f t="shared" si="111"/>
        <v>2408.09375</v>
      </c>
      <c r="BJ142" s="619">
        <f t="shared" si="112"/>
        <v>0</v>
      </c>
      <c r="BK142" s="619">
        <f t="shared" si="113"/>
        <v>102.93333333333334</v>
      </c>
      <c r="BL142" s="619"/>
      <c r="BM142" s="619">
        <f t="shared" si="114"/>
        <v>1336.6676666666667</v>
      </c>
      <c r="BN142" s="619">
        <f t="shared" si="115"/>
        <v>477.23883333333339</v>
      </c>
      <c r="BO142" s="619">
        <f t="shared" si="116"/>
        <v>0</v>
      </c>
      <c r="BP142" s="619">
        <f t="shared" si="117"/>
        <v>97.898666666666671</v>
      </c>
      <c r="BQ142" s="518">
        <f t="shared" si="122"/>
        <v>39398.500249999997</v>
      </c>
    </row>
    <row r="143" spans="1:69" s="585" customFormat="1" ht="12.75" customHeight="1" outlineLevel="1">
      <c r="A143" s="308" t="s">
        <v>54</v>
      </c>
      <c r="B143" s="308">
        <f t="shared" si="77"/>
        <v>2027</v>
      </c>
      <c r="C143" s="308" t="s">
        <v>102</v>
      </c>
      <c r="D143" s="518"/>
      <c r="E143" s="518"/>
      <c r="F143" s="518"/>
      <c r="G143" s="518"/>
      <c r="H143" s="518"/>
      <c r="I143" s="518"/>
      <c r="J143" s="518">
        <f t="shared" si="121"/>
        <v>0</v>
      </c>
      <c r="K143" s="518">
        <f t="shared" si="118"/>
        <v>9616192.6599999983</v>
      </c>
      <c r="L143" s="518"/>
      <c r="M143" s="518"/>
      <c r="N143" s="518">
        <f t="shared" si="119"/>
        <v>9616192.6599999983</v>
      </c>
      <c r="O143" s="518"/>
      <c r="P143" s="518">
        <f t="shared" si="120"/>
        <v>0</v>
      </c>
      <c r="AK143" s="518">
        <f t="shared" si="85"/>
        <v>1806.075</v>
      </c>
      <c r="AL143" s="518">
        <f t="shared" si="86"/>
        <v>1723.2054166666667</v>
      </c>
      <c r="AM143" s="518">
        <f t="shared" si="87"/>
        <v>3010.375</v>
      </c>
      <c r="AN143" s="518">
        <f t="shared" si="88"/>
        <v>920.83333333333337</v>
      </c>
      <c r="AO143" s="518">
        <f t="shared" si="89"/>
        <v>1423.5416666666667</v>
      </c>
      <c r="AP143" s="518">
        <f t="shared" si="90"/>
        <v>1452.5480833333336</v>
      </c>
      <c r="AQ143" s="518">
        <f t="shared" si="91"/>
        <v>783.11666666666667</v>
      </c>
      <c r="AR143" s="518">
        <f t="shared" si="92"/>
        <v>2080.4166666666665</v>
      </c>
      <c r="AS143" s="518">
        <f t="shared" si="94"/>
        <v>688.7</v>
      </c>
      <c r="AT143" s="518">
        <f t="shared" si="95"/>
        <v>1607.9597499999998</v>
      </c>
      <c r="AU143" s="518">
        <f t="shared" si="96"/>
        <v>690.61666666666667</v>
      </c>
      <c r="AV143" s="518">
        <f t="shared" si="97"/>
        <v>1347.6258333333333</v>
      </c>
      <c r="AW143" s="518">
        <f t="shared" si="99"/>
        <v>1038.7249999999999</v>
      </c>
      <c r="AX143" s="518">
        <f t="shared" si="100"/>
        <v>1395.9028333333333</v>
      </c>
      <c r="AY143" s="518">
        <f t="shared" si="101"/>
        <v>1365.0055</v>
      </c>
      <c r="AZ143" s="518">
        <f t="shared" si="102"/>
        <v>1159.0916666666667</v>
      </c>
      <c r="BA143" s="518">
        <f t="shared" si="103"/>
        <v>2655.8122499999999</v>
      </c>
      <c r="BB143" s="518">
        <f t="shared" si="104"/>
        <v>468.33333333333331</v>
      </c>
      <c r="BC143" s="518">
        <f t="shared" si="105"/>
        <v>1748.4833333333333</v>
      </c>
      <c r="BD143" s="518">
        <f t="shared" si="106"/>
        <v>1459.5083333333334</v>
      </c>
      <c r="BE143" s="518">
        <f t="shared" si="107"/>
        <v>1540.15</v>
      </c>
      <c r="BF143" s="518">
        <f t="shared" si="108"/>
        <v>1080.8333333333333</v>
      </c>
      <c r="BG143" s="619">
        <f t="shared" si="109"/>
        <v>1650.4333333333334</v>
      </c>
      <c r="BH143" s="619">
        <f t="shared" si="110"/>
        <v>811.25</v>
      </c>
      <c r="BI143" s="619">
        <f t="shared" si="111"/>
        <v>2408.09375</v>
      </c>
      <c r="BJ143" s="619">
        <f t="shared" si="112"/>
        <v>0</v>
      </c>
      <c r="BK143" s="619">
        <f t="shared" si="113"/>
        <v>102.93333333333334</v>
      </c>
      <c r="BL143" s="619"/>
      <c r="BM143" s="619">
        <f t="shared" si="114"/>
        <v>1336.6676666666667</v>
      </c>
      <c r="BN143" s="619">
        <f t="shared" si="115"/>
        <v>477.23883333333339</v>
      </c>
      <c r="BO143" s="619">
        <f t="shared" si="116"/>
        <v>0</v>
      </c>
      <c r="BP143" s="619">
        <f t="shared" si="117"/>
        <v>97.898666666666671</v>
      </c>
      <c r="BQ143" s="518">
        <f t="shared" si="122"/>
        <v>38331.375250000005</v>
      </c>
    </row>
    <row r="144" spans="1:69" s="585" customFormat="1" ht="12.75" customHeight="1" outlineLevel="1">
      <c r="A144" s="308" t="s">
        <v>55</v>
      </c>
      <c r="B144" s="308">
        <f t="shared" si="77"/>
        <v>2027</v>
      </c>
      <c r="C144" s="308" t="s">
        <v>102</v>
      </c>
      <c r="D144" s="518"/>
      <c r="E144" s="518"/>
      <c r="F144" s="518"/>
      <c r="G144" s="518"/>
      <c r="H144" s="518"/>
      <c r="I144" s="518"/>
      <c r="J144" s="518">
        <f t="shared" si="121"/>
        <v>0</v>
      </c>
      <c r="K144" s="518">
        <f t="shared" si="118"/>
        <v>9616192.6599999983</v>
      </c>
      <c r="L144" s="518"/>
      <c r="M144" s="518"/>
      <c r="N144" s="518">
        <f t="shared" si="119"/>
        <v>9616192.6599999983</v>
      </c>
      <c r="O144" s="518"/>
      <c r="P144" s="518">
        <f t="shared" si="120"/>
        <v>0</v>
      </c>
      <c r="AL144" s="518">
        <f t="shared" si="86"/>
        <v>1723.2054166666667</v>
      </c>
      <c r="AM144" s="518">
        <f t="shared" si="87"/>
        <v>3010.375</v>
      </c>
      <c r="AN144" s="518">
        <f t="shared" si="88"/>
        <v>920.83333333333337</v>
      </c>
      <c r="AO144" s="518">
        <f t="shared" si="89"/>
        <v>1423.5416666666667</v>
      </c>
      <c r="AP144" s="518">
        <f t="shared" si="90"/>
        <v>1452.5480833333336</v>
      </c>
      <c r="AQ144" s="518">
        <f t="shared" si="91"/>
        <v>783.11666666666667</v>
      </c>
      <c r="AR144" s="518">
        <f t="shared" si="92"/>
        <v>2080.4166666666665</v>
      </c>
      <c r="AS144" s="518">
        <f t="shared" si="94"/>
        <v>688.7</v>
      </c>
      <c r="AT144" s="518">
        <f t="shared" si="95"/>
        <v>1607.9597499999998</v>
      </c>
      <c r="AU144" s="518">
        <f t="shared" si="96"/>
        <v>690.61666666666667</v>
      </c>
      <c r="AV144" s="518">
        <f t="shared" si="97"/>
        <v>1347.6258333333333</v>
      </c>
      <c r="AW144" s="518">
        <f t="shared" si="99"/>
        <v>1038.7249999999999</v>
      </c>
      <c r="AX144" s="518">
        <f t="shared" si="100"/>
        <v>1395.9028333333333</v>
      </c>
      <c r="AY144" s="518">
        <f t="shared" si="101"/>
        <v>1365.0055</v>
      </c>
      <c r="AZ144" s="518">
        <f t="shared" si="102"/>
        <v>1159.0916666666667</v>
      </c>
      <c r="BA144" s="518">
        <f t="shared" si="103"/>
        <v>2655.8122499999999</v>
      </c>
      <c r="BB144" s="518">
        <f t="shared" si="104"/>
        <v>468.33333333333331</v>
      </c>
      <c r="BC144" s="518">
        <f t="shared" si="105"/>
        <v>1748.4833333333333</v>
      </c>
      <c r="BD144" s="518">
        <f t="shared" si="106"/>
        <v>1459.5083333333334</v>
      </c>
      <c r="BE144" s="518">
        <f t="shared" si="107"/>
        <v>1540.15</v>
      </c>
      <c r="BF144" s="518">
        <f t="shared" si="108"/>
        <v>1080.8333333333333</v>
      </c>
      <c r="BG144" s="619">
        <f t="shared" si="109"/>
        <v>1650.4333333333334</v>
      </c>
      <c r="BH144" s="619">
        <f t="shared" si="110"/>
        <v>811.25</v>
      </c>
      <c r="BI144" s="619">
        <f t="shared" si="111"/>
        <v>2408.09375</v>
      </c>
      <c r="BJ144" s="619">
        <f t="shared" si="112"/>
        <v>0</v>
      </c>
      <c r="BK144" s="619">
        <f t="shared" si="113"/>
        <v>102.93333333333334</v>
      </c>
      <c r="BL144" s="619"/>
      <c r="BM144" s="619">
        <f t="shared" si="114"/>
        <v>1336.6676666666667</v>
      </c>
      <c r="BN144" s="619">
        <f t="shared" si="115"/>
        <v>477.23883333333339</v>
      </c>
      <c r="BO144" s="619">
        <f t="shared" si="116"/>
        <v>0</v>
      </c>
      <c r="BP144" s="619">
        <f t="shared" si="117"/>
        <v>97.898666666666671</v>
      </c>
      <c r="BQ144" s="518">
        <f t="shared" si="122"/>
        <v>36525.300250000008</v>
      </c>
    </row>
    <row r="145" spans="1:69" s="585" customFormat="1" ht="12.75" customHeight="1" outlineLevel="1">
      <c r="A145" s="308" t="s">
        <v>56</v>
      </c>
      <c r="B145" s="308">
        <f t="shared" si="77"/>
        <v>2027</v>
      </c>
      <c r="C145" s="308" t="s">
        <v>102</v>
      </c>
      <c r="D145" s="518"/>
      <c r="E145" s="518"/>
      <c r="F145" s="518"/>
      <c r="G145" s="518"/>
      <c r="H145" s="518"/>
      <c r="I145" s="518"/>
      <c r="J145" s="518">
        <f t="shared" si="121"/>
        <v>0</v>
      </c>
      <c r="K145" s="518">
        <f t="shared" si="118"/>
        <v>9616192.6599999983</v>
      </c>
      <c r="L145" s="518"/>
      <c r="M145" s="518"/>
      <c r="N145" s="518">
        <f t="shared" si="119"/>
        <v>9616192.6599999983</v>
      </c>
      <c r="O145" s="518"/>
      <c r="P145" s="518">
        <f t="shared" si="120"/>
        <v>0</v>
      </c>
      <c r="AM145" s="518">
        <f t="shared" si="87"/>
        <v>3010.375</v>
      </c>
      <c r="AN145" s="518">
        <f t="shared" si="88"/>
        <v>920.83333333333337</v>
      </c>
      <c r="AO145" s="518">
        <f t="shared" si="89"/>
        <v>1423.5416666666667</v>
      </c>
      <c r="AP145" s="518">
        <f t="shared" si="90"/>
        <v>1452.5480833333336</v>
      </c>
      <c r="AQ145" s="518">
        <f t="shared" si="91"/>
        <v>783.11666666666667</v>
      </c>
      <c r="AR145" s="518">
        <f t="shared" si="92"/>
        <v>2080.4166666666665</v>
      </c>
      <c r="AS145" s="518">
        <f t="shared" si="94"/>
        <v>688.7</v>
      </c>
      <c r="AT145" s="518">
        <f t="shared" si="95"/>
        <v>1607.9597499999998</v>
      </c>
      <c r="AU145" s="518">
        <f t="shared" si="96"/>
        <v>690.61666666666667</v>
      </c>
      <c r="AV145" s="518">
        <f t="shared" si="97"/>
        <v>1347.6258333333333</v>
      </c>
      <c r="AW145" s="518">
        <f t="shared" si="99"/>
        <v>1038.7249999999999</v>
      </c>
      <c r="AX145" s="518">
        <f t="shared" si="100"/>
        <v>1395.9028333333333</v>
      </c>
      <c r="AY145" s="518">
        <f t="shared" si="101"/>
        <v>1365.0055</v>
      </c>
      <c r="AZ145" s="518">
        <f t="shared" si="102"/>
        <v>1159.0916666666667</v>
      </c>
      <c r="BA145" s="518">
        <f t="shared" si="103"/>
        <v>2655.8122499999999</v>
      </c>
      <c r="BB145" s="518">
        <f t="shared" si="104"/>
        <v>468.33333333333331</v>
      </c>
      <c r="BC145" s="518">
        <f t="shared" si="105"/>
        <v>1748.4833333333333</v>
      </c>
      <c r="BD145" s="518">
        <f t="shared" si="106"/>
        <v>1459.5083333333334</v>
      </c>
      <c r="BE145" s="518">
        <f t="shared" si="107"/>
        <v>1540.15</v>
      </c>
      <c r="BF145" s="518">
        <f t="shared" si="108"/>
        <v>1080.8333333333333</v>
      </c>
      <c r="BG145" s="619">
        <f t="shared" si="109"/>
        <v>1650.4333333333334</v>
      </c>
      <c r="BH145" s="619">
        <f t="shared" si="110"/>
        <v>811.25</v>
      </c>
      <c r="BI145" s="619">
        <f t="shared" si="111"/>
        <v>2408.09375</v>
      </c>
      <c r="BJ145" s="619">
        <f t="shared" si="112"/>
        <v>0</v>
      </c>
      <c r="BK145" s="619">
        <f t="shared" si="113"/>
        <v>102.93333333333334</v>
      </c>
      <c r="BL145" s="619"/>
      <c r="BM145" s="619">
        <f t="shared" si="114"/>
        <v>1336.6676666666667</v>
      </c>
      <c r="BN145" s="619">
        <f t="shared" si="115"/>
        <v>477.23883333333339</v>
      </c>
      <c r="BO145" s="619">
        <f t="shared" si="116"/>
        <v>0</v>
      </c>
      <c r="BP145" s="619">
        <f t="shared" si="117"/>
        <v>97.898666666666671</v>
      </c>
      <c r="BQ145" s="518">
        <f t="shared" si="122"/>
        <v>34802.094833333336</v>
      </c>
    </row>
    <row r="146" spans="1:69" s="585" customFormat="1" ht="12.75" customHeight="1" outlineLevel="1">
      <c r="A146" s="308" t="s">
        <v>57</v>
      </c>
      <c r="B146" s="308">
        <f>+B134+1</f>
        <v>2027</v>
      </c>
      <c r="C146" s="308" t="s">
        <v>102</v>
      </c>
      <c r="D146" s="518"/>
      <c r="E146" s="518"/>
      <c r="F146" s="518"/>
      <c r="G146" s="518"/>
      <c r="H146" s="518"/>
      <c r="I146" s="518"/>
      <c r="J146" s="518">
        <f t="shared" si="121"/>
        <v>0</v>
      </c>
      <c r="K146" s="518">
        <f t="shared" si="118"/>
        <v>9616192.6599999983</v>
      </c>
      <c r="L146" s="518"/>
      <c r="M146" s="518"/>
      <c r="N146" s="518">
        <f t="shared" si="119"/>
        <v>9616192.6599999983</v>
      </c>
      <c r="O146" s="518"/>
      <c r="P146" s="518">
        <f t="shared" si="120"/>
        <v>0</v>
      </c>
      <c r="AN146" s="518">
        <f t="shared" si="88"/>
        <v>920.83333333333337</v>
      </c>
      <c r="AO146" s="518">
        <f t="shared" si="89"/>
        <v>1423.5416666666667</v>
      </c>
      <c r="AP146" s="518">
        <f t="shared" si="90"/>
        <v>1452.5480833333336</v>
      </c>
      <c r="AQ146" s="518">
        <f t="shared" si="91"/>
        <v>783.11666666666667</v>
      </c>
      <c r="AR146" s="518">
        <f t="shared" si="92"/>
        <v>2080.4166666666665</v>
      </c>
      <c r="AS146" s="518">
        <f t="shared" si="94"/>
        <v>688.7</v>
      </c>
      <c r="AT146" s="518">
        <f t="shared" si="95"/>
        <v>1607.9597499999998</v>
      </c>
      <c r="AU146" s="518">
        <f t="shared" si="96"/>
        <v>690.61666666666667</v>
      </c>
      <c r="AV146" s="518">
        <f t="shared" si="97"/>
        <v>1347.6258333333333</v>
      </c>
      <c r="AW146" s="518">
        <f t="shared" si="99"/>
        <v>1038.7249999999999</v>
      </c>
      <c r="AX146" s="518">
        <f t="shared" si="100"/>
        <v>1395.9028333333333</v>
      </c>
      <c r="AY146" s="518">
        <f t="shared" si="101"/>
        <v>1365.0055</v>
      </c>
      <c r="AZ146" s="518">
        <f t="shared" si="102"/>
        <v>1159.0916666666667</v>
      </c>
      <c r="BA146" s="518">
        <f t="shared" si="103"/>
        <v>2655.8122499999999</v>
      </c>
      <c r="BB146" s="518">
        <f t="shared" si="104"/>
        <v>468.33333333333331</v>
      </c>
      <c r="BC146" s="518">
        <f t="shared" si="105"/>
        <v>1748.4833333333333</v>
      </c>
      <c r="BD146" s="518">
        <f t="shared" si="106"/>
        <v>1459.5083333333334</v>
      </c>
      <c r="BE146" s="518">
        <f t="shared" si="107"/>
        <v>1540.15</v>
      </c>
      <c r="BF146" s="518">
        <f t="shared" si="108"/>
        <v>1080.8333333333333</v>
      </c>
      <c r="BG146" s="619">
        <f t="shared" si="109"/>
        <v>1650.4333333333334</v>
      </c>
      <c r="BH146" s="619">
        <f t="shared" si="110"/>
        <v>811.25</v>
      </c>
      <c r="BI146" s="619">
        <f t="shared" si="111"/>
        <v>2408.09375</v>
      </c>
      <c r="BJ146" s="619">
        <f t="shared" si="112"/>
        <v>0</v>
      </c>
      <c r="BK146" s="619">
        <f t="shared" si="113"/>
        <v>102.93333333333334</v>
      </c>
      <c r="BL146" s="619"/>
      <c r="BM146" s="619">
        <f t="shared" si="114"/>
        <v>1336.6676666666667</v>
      </c>
      <c r="BN146" s="619">
        <f t="shared" si="115"/>
        <v>477.23883333333339</v>
      </c>
      <c r="BO146" s="619">
        <f t="shared" si="116"/>
        <v>0</v>
      </c>
      <c r="BP146" s="619">
        <f t="shared" si="117"/>
        <v>97.898666666666671</v>
      </c>
      <c r="BQ146" s="518">
        <f t="shared" si="122"/>
        <v>31791.719833333336</v>
      </c>
    </row>
    <row r="147" spans="1:69" s="585" customFormat="1" ht="12.75" customHeight="1" outlineLevel="1">
      <c r="A147" s="308" t="s">
        <v>58</v>
      </c>
      <c r="B147" s="308">
        <f>+B135+1</f>
        <v>2027</v>
      </c>
      <c r="C147" s="308" t="s">
        <v>102</v>
      </c>
      <c r="D147" s="518"/>
      <c r="E147" s="518"/>
      <c r="F147" s="518"/>
      <c r="G147" s="518"/>
      <c r="H147" s="518"/>
      <c r="I147" s="518"/>
      <c r="J147" s="518">
        <f t="shared" si="121"/>
        <v>0</v>
      </c>
      <c r="K147" s="518">
        <f t="shared" si="118"/>
        <v>9616192.6599999983</v>
      </c>
      <c r="L147" s="518"/>
      <c r="M147" s="518"/>
      <c r="N147" s="518">
        <f t="shared" si="119"/>
        <v>9616192.6599999983</v>
      </c>
      <c r="O147" s="518"/>
      <c r="P147" s="518">
        <f t="shared" si="120"/>
        <v>0</v>
      </c>
      <c r="AO147" s="518">
        <f t="shared" si="89"/>
        <v>1423.5416666666667</v>
      </c>
      <c r="AP147" s="518">
        <f t="shared" si="90"/>
        <v>1452.5480833333336</v>
      </c>
      <c r="AQ147" s="518">
        <f t="shared" si="91"/>
        <v>783.11666666666667</v>
      </c>
      <c r="AR147" s="518">
        <f t="shared" si="92"/>
        <v>2080.4166666666665</v>
      </c>
      <c r="AS147" s="518">
        <f t="shared" si="94"/>
        <v>688.7</v>
      </c>
      <c r="AT147" s="518">
        <f t="shared" si="95"/>
        <v>1607.9597499999998</v>
      </c>
      <c r="AU147" s="518">
        <f t="shared" si="96"/>
        <v>690.61666666666667</v>
      </c>
      <c r="AV147" s="518">
        <f t="shared" si="97"/>
        <v>1347.6258333333333</v>
      </c>
      <c r="AW147" s="518">
        <f t="shared" si="99"/>
        <v>1038.7249999999999</v>
      </c>
      <c r="AX147" s="518">
        <f t="shared" si="100"/>
        <v>1395.9028333333333</v>
      </c>
      <c r="AY147" s="518">
        <f t="shared" si="101"/>
        <v>1365.0055</v>
      </c>
      <c r="AZ147" s="518">
        <f t="shared" si="102"/>
        <v>1159.0916666666667</v>
      </c>
      <c r="BA147" s="518">
        <f t="shared" si="103"/>
        <v>2655.8122499999999</v>
      </c>
      <c r="BB147" s="518">
        <f t="shared" si="104"/>
        <v>468.33333333333331</v>
      </c>
      <c r="BC147" s="518">
        <f t="shared" si="105"/>
        <v>1748.4833333333333</v>
      </c>
      <c r="BD147" s="518">
        <f t="shared" si="106"/>
        <v>1459.5083333333334</v>
      </c>
      <c r="BE147" s="518">
        <f t="shared" si="107"/>
        <v>1540.15</v>
      </c>
      <c r="BF147" s="518">
        <f t="shared" si="108"/>
        <v>1080.8333333333333</v>
      </c>
      <c r="BG147" s="619">
        <f t="shared" si="109"/>
        <v>1650.4333333333334</v>
      </c>
      <c r="BH147" s="619">
        <f t="shared" si="110"/>
        <v>811.25</v>
      </c>
      <c r="BI147" s="619">
        <f t="shared" si="111"/>
        <v>2408.09375</v>
      </c>
      <c r="BJ147" s="619">
        <f t="shared" si="112"/>
        <v>0</v>
      </c>
      <c r="BK147" s="619">
        <f t="shared" si="113"/>
        <v>102.93333333333334</v>
      </c>
      <c r="BL147" s="619"/>
      <c r="BM147" s="619">
        <f t="shared" si="114"/>
        <v>1336.6676666666667</v>
      </c>
      <c r="BN147" s="619">
        <f t="shared" si="115"/>
        <v>477.23883333333339</v>
      </c>
      <c r="BO147" s="619">
        <f t="shared" si="116"/>
        <v>0</v>
      </c>
      <c r="BP147" s="619">
        <f t="shared" si="117"/>
        <v>97.898666666666671</v>
      </c>
      <c r="BQ147" s="518">
        <f t="shared" si="122"/>
        <v>30870.886500000004</v>
      </c>
    </row>
    <row r="148" spans="1:69" s="585" customFormat="1" ht="12.75" customHeight="1" outlineLevel="1">
      <c r="A148" s="308" t="s">
        <v>59</v>
      </c>
      <c r="B148" s="308">
        <f>+B136+1</f>
        <v>2027</v>
      </c>
      <c r="C148" s="308" t="s">
        <v>102</v>
      </c>
      <c r="D148" s="518"/>
      <c r="E148" s="518"/>
      <c r="F148" s="518"/>
      <c r="G148" s="518"/>
      <c r="H148" s="518"/>
      <c r="I148" s="518"/>
      <c r="J148" s="518">
        <f t="shared" si="121"/>
        <v>0</v>
      </c>
      <c r="K148" s="518">
        <f t="shared" si="118"/>
        <v>9616192.6599999983</v>
      </c>
      <c r="L148" s="518"/>
      <c r="M148" s="518"/>
      <c r="N148" s="518">
        <f t="shared" si="119"/>
        <v>9616192.6599999983</v>
      </c>
      <c r="O148" s="518"/>
      <c r="P148" s="518">
        <f t="shared" si="120"/>
        <v>0</v>
      </c>
      <c r="AO148" s="518"/>
      <c r="AP148" s="518">
        <f t="shared" si="90"/>
        <v>1452.5480833333336</v>
      </c>
      <c r="AQ148" s="518">
        <f t="shared" si="91"/>
        <v>783.11666666666667</v>
      </c>
      <c r="AR148" s="518">
        <f t="shared" si="92"/>
        <v>2080.4166666666665</v>
      </c>
      <c r="AS148" s="518">
        <f t="shared" si="94"/>
        <v>688.7</v>
      </c>
      <c r="AT148" s="518">
        <f t="shared" si="95"/>
        <v>1607.9597499999998</v>
      </c>
      <c r="AU148" s="518">
        <f t="shared" si="96"/>
        <v>690.61666666666667</v>
      </c>
      <c r="AV148" s="518">
        <f t="shared" si="97"/>
        <v>1347.6258333333333</v>
      </c>
      <c r="AW148" s="518">
        <f t="shared" si="99"/>
        <v>1038.7249999999999</v>
      </c>
      <c r="AX148" s="518">
        <f t="shared" si="100"/>
        <v>1395.9028333333333</v>
      </c>
      <c r="AY148" s="518">
        <f t="shared" si="101"/>
        <v>1365.0055</v>
      </c>
      <c r="AZ148" s="518">
        <f t="shared" si="102"/>
        <v>1159.0916666666667</v>
      </c>
      <c r="BA148" s="518">
        <f t="shared" si="103"/>
        <v>2655.8122499999999</v>
      </c>
      <c r="BB148" s="518">
        <f t="shared" si="104"/>
        <v>468.33333333333331</v>
      </c>
      <c r="BC148" s="518">
        <f t="shared" si="105"/>
        <v>1748.4833333333333</v>
      </c>
      <c r="BD148" s="518">
        <f t="shared" si="106"/>
        <v>1459.5083333333334</v>
      </c>
      <c r="BE148" s="518">
        <f t="shared" si="107"/>
        <v>1540.15</v>
      </c>
      <c r="BF148" s="518">
        <f t="shared" si="108"/>
        <v>1080.8333333333333</v>
      </c>
      <c r="BG148" s="619">
        <f t="shared" si="109"/>
        <v>1650.4333333333334</v>
      </c>
      <c r="BH148" s="619">
        <f t="shared" si="110"/>
        <v>811.25</v>
      </c>
      <c r="BI148" s="619">
        <f t="shared" si="111"/>
        <v>2408.09375</v>
      </c>
      <c r="BJ148" s="619">
        <f t="shared" si="112"/>
        <v>0</v>
      </c>
      <c r="BK148" s="619">
        <f t="shared" si="113"/>
        <v>102.93333333333334</v>
      </c>
      <c r="BL148" s="619"/>
      <c r="BM148" s="619">
        <f t="shared" si="114"/>
        <v>1336.6676666666667</v>
      </c>
      <c r="BN148" s="619">
        <f t="shared" si="115"/>
        <v>477.23883333333339</v>
      </c>
      <c r="BO148" s="619">
        <f t="shared" si="116"/>
        <v>0</v>
      </c>
      <c r="BP148" s="619">
        <f t="shared" si="117"/>
        <v>97.898666666666671</v>
      </c>
      <c r="BQ148" s="518">
        <f t="shared" si="122"/>
        <v>29447.34483333334</v>
      </c>
    </row>
    <row r="149" spans="1:69" s="585" customFormat="1" ht="12.75" customHeight="1" outlineLevel="1">
      <c r="A149" s="308" t="s">
        <v>46</v>
      </c>
      <c r="B149" s="308">
        <f t="shared" ref="B149:B172" si="123">+B137+1</f>
        <v>2027</v>
      </c>
      <c r="C149" s="308" t="s">
        <v>102</v>
      </c>
      <c r="D149" s="518"/>
      <c r="E149" s="518"/>
      <c r="F149" s="518"/>
      <c r="G149" s="518"/>
      <c r="H149" s="518"/>
      <c r="I149" s="518"/>
      <c r="J149" s="518">
        <f t="shared" si="121"/>
        <v>0</v>
      </c>
      <c r="K149" s="518">
        <f t="shared" si="118"/>
        <v>9616192.6599999983</v>
      </c>
      <c r="L149" s="518"/>
      <c r="M149" s="518"/>
      <c r="N149" s="518">
        <f t="shared" si="119"/>
        <v>9616192.6599999983</v>
      </c>
      <c r="O149" s="518"/>
      <c r="P149" s="518">
        <f t="shared" si="120"/>
        <v>0</v>
      </c>
      <c r="AO149" s="518"/>
      <c r="AQ149" s="518">
        <f t="shared" si="91"/>
        <v>783.11666666666667</v>
      </c>
      <c r="AR149" s="518">
        <f t="shared" si="92"/>
        <v>2080.4166666666665</v>
      </c>
      <c r="AS149" s="518">
        <f t="shared" si="94"/>
        <v>688.7</v>
      </c>
      <c r="AT149" s="518">
        <f t="shared" si="95"/>
        <v>1607.9597499999998</v>
      </c>
      <c r="AU149" s="518">
        <f t="shared" si="96"/>
        <v>690.61666666666667</v>
      </c>
      <c r="AV149" s="518">
        <f t="shared" si="97"/>
        <v>1347.6258333333333</v>
      </c>
      <c r="AW149" s="518">
        <f t="shared" si="99"/>
        <v>1038.7249999999999</v>
      </c>
      <c r="AX149" s="518">
        <f t="shared" si="100"/>
        <v>1395.9028333333333</v>
      </c>
      <c r="AY149" s="518">
        <f t="shared" si="101"/>
        <v>1365.0055</v>
      </c>
      <c r="AZ149" s="518">
        <f t="shared" si="102"/>
        <v>1159.0916666666667</v>
      </c>
      <c r="BA149" s="518">
        <f t="shared" si="103"/>
        <v>2655.8122499999999</v>
      </c>
      <c r="BB149" s="518">
        <f t="shared" si="104"/>
        <v>468.33333333333331</v>
      </c>
      <c r="BC149" s="518">
        <f t="shared" si="105"/>
        <v>1748.4833333333333</v>
      </c>
      <c r="BD149" s="518">
        <f t="shared" si="106"/>
        <v>1459.5083333333334</v>
      </c>
      <c r="BE149" s="518">
        <f t="shared" si="107"/>
        <v>1540.15</v>
      </c>
      <c r="BF149" s="518">
        <f t="shared" si="108"/>
        <v>1080.8333333333333</v>
      </c>
      <c r="BG149" s="619">
        <f t="shared" si="109"/>
        <v>1650.4333333333334</v>
      </c>
      <c r="BH149" s="619">
        <f t="shared" si="110"/>
        <v>811.25</v>
      </c>
      <c r="BI149" s="619">
        <f t="shared" si="111"/>
        <v>2408.09375</v>
      </c>
      <c r="BJ149" s="619">
        <f t="shared" si="112"/>
        <v>0</v>
      </c>
      <c r="BK149" s="619">
        <f t="shared" si="113"/>
        <v>102.93333333333334</v>
      </c>
      <c r="BL149" s="619"/>
      <c r="BM149" s="619">
        <f t="shared" si="114"/>
        <v>1336.6676666666667</v>
      </c>
      <c r="BN149" s="619">
        <f t="shared" si="115"/>
        <v>477.23883333333339</v>
      </c>
      <c r="BO149" s="619">
        <f t="shared" si="116"/>
        <v>0</v>
      </c>
      <c r="BP149" s="619">
        <f t="shared" si="117"/>
        <v>97.898666666666671</v>
      </c>
      <c r="BQ149" s="518">
        <f t="shared" si="122"/>
        <v>27994.796750000005</v>
      </c>
    </row>
    <row r="150" spans="1:69" s="585" customFormat="1" ht="12.75" customHeight="1" outlineLevel="1">
      <c r="A150" s="308" t="s">
        <v>48</v>
      </c>
      <c r="B150" s="308">
        <f t="shared" si="123"/>
        <v>2027</v>
      </c>
      <c r="C150" s="308" t="s">
        <v>102</v>
      </c>
      <c r="D150" s="518"/>
      <c r="E150" s="518"/>
      <c r="F150" s="518"/>
      <c r="G150" s="518"/>
      <c r="H150" s="518"/>
      <c r="I150" s="518"/>
      <c r="J150" s="518">
        <f t="shared" si="121"/>
        <v>0</v>
      </c>
      <c r="K150" s="518">
        <f t="shared" si="118"/>
        <v>9616192.6599999983</v>
      </c>
      <c r="L150" s="518"/>
      <c r="M150" s="518"/>
      <c r="N150" s="518">
        <f t="shared" si="119"/>
        <v>9616192.6599999983</v>
      </c>
      <c r="O150" s="518"/>
      <c r="P150" s="518">
        <f t="shared" si="120"/>
        <v>0</v>
      </c>
      <c r="AO150" s="518"/>
      <c r="AR150" s="518">
        <f t="shared" si="92"/>
        <v>2080.4166666666665</v>
      </c>
      <c r="AS150" s="518">
        <f t="shared" si="94"/>
        <v>688.7</v>
      </c>
      <c r="AT150" s="518">
        <f t="shared" si="95"/>
        <v>1607.9597499999998</v>
      </c>
      <c r="AU150" s="518">
        <f t="shared" si="96"/>
        <v>690.61666666666667</v>
      </c>
      <c r="AV150" s="518">
        <f t="shared" si="97"/>
        <v>1347.6258333333333</v>
      </c>
      <c r="AW150" s="518">
        <f t="shared" si="99"/>
        <v>1038.7249999999999</v>
      </c>
      <c r="AX150" s="518">
        <f t="shared" si="100"/>
        <v>1395.9028333333333</v>
      </c>
      <c r="AY150" s="518">
        <f t="shared" si="101"/>
        <v>1365.0055</v>
      </c>
      <c r="AZ150" s="518">
        <f t="shared" si="102"/>
        <v>1159.0916666666667</v>
      </c>
      <c r="BA150" s="518">
        <f t="shared" si="103"/>
        <v>2655.8122499999999</v>
      </c>
      <c r="BB150" s="518">
        <f t="shared" si="104"/>
        <v>468.33333333333331</v>
      </c>
      <c r="BC150" s="518">
        <f t="shared" si="105"/>
        <v>1748.4833333333333</v>
      </c>
      <c r="BD150" s="518">
        <f t="shared" si="106"/>
        <v>1459.5083333333334</v>
      </c>
      <c r="BE150" s="518">
        <f t="shared" si="107"/>
        <v>1540.15</v>
      </c>
      <c r="BF150" s="518">
        <f t="shared" si="108"/>
        <v>1080.8333333333333</v>
      </c>
      <c r="BG150" s="619">
        <f t="shared" si="109"/>
        <v>1650.4333333333334</v>
      </c>
      <c r="BH150" s="619">
        <f t="shared" si="110"/>
        <v>811.25</v>
      </c>
      <c r="BI150" s="619">
        <f t="shared" si="111"/>
        <v>2408.09375</v>
      </c>
      <c r="BJ150" s="619">
        <f t="shared" si="112"/>
        <v>0</v>
      </c>
      <c r="BK150" s="619">
        <f t="shared" si="113"/>
        <v>102.93333333333334</v>
      </c>
      <c r="BL150" s="619"/>
      <c r="BM150" s="619">
        <f t="shared" si="114"/>
        <v>1336.6676666666667</v>
      </c>
      <c r="BN150" s="619">
        <f t="shared" si="115"/>
        <v>477.23883333333339</v>
      </c>
      <c r="BO150" s="619">
        <f t="shared" si="116"/>
        <v>0</v>
      </c>
      <c r="BP150" s="619">
        <f t="shared" si="117"/>
        <v>97.898666666666671</v>
      </c>
      <c r="BQ150" s="518">
        <f t="shared" si="122"/>
        <v>27211.68008333334</v>
      </c>
    </row>
    <row r="151" spans="1:69" s="585" customFormat="1">
      <c r="A151" s="308" t="s">
        <v>50</v>
      </c>
      <c r="B151" s="308">
        <f t="shared" si="123"/>
        <v>2027</v>
      </c>
      <c r="C151" s="308" t="s">
        <v>102</v>
      </c>
      <c r="D151" s="518"/>
      <c r="E151" s="518"/>
      <c r="F151" s="518"/>
      <c r="G151" s="518"/>
      <c r="H151" s="518"/>
      <c r="I151" s="518"/>
      <c r="J151" s="518">
        <f t="shared" si="121"/>
        <v>0</v>
      </c>
      <c r="K151" s="518">
        <f t="shared" si="118"/>
        <v>9616192.6599999983</v>
      </c>
      <c r="L151" s="518"/>
      <c r="M151" s="518"/>
      <c r="N151" s="518">
        <f t="shared" si="119"/>
        <v>9616192.6599999983</v>
      </c>
      <c r="O151" s="518"/>
      <c r="P151" s="518">
        <f t="shared" si="120"/>
        <v>0</v>
      </c>
      <c r="AO151" s="518"/>
      <c r="AP151" s="518"/>
      <c r="AQ151" s="518"/>
      <c r="AR151" s="518"/>
      <c r="AS151" s="518">
        <f t="shared" si="94"/>
        <v>688.7</v>
      </c>
      <c r="AT151" s="518">
        <f t="shared" si="95"/>
        <v>1607.9597499999998</v>
      </c>
      <c r="AU151" s="518">
        <f t="shared" si="96"/>
        <v>690.61666666666667</v>
      </c>
      <c r="AV151" s="518">
        <f t="shared" si="97"/>
        <v>1347.6258333333333</v>
      </c>
      <c r="AW151" s="518">
        <f t="shared" si="99"/>
        <v>1038.7249999999999</v>
      </c>
      <c r="AX151" s="518">
        <f t="shared" si="100"/>
        <v>1395.9028333333333</v>
      </c>
      <c r="AY151" s="518">
        <f t="shared" si="101"/>
        <v>1365.0055</v>
      </c>
      <c r="AZ151" s="518">
        <f t="shared" si="102"/>
        <v>1159.0916666666667</v>
      </c>
      <c r="BA151" s="518">
        <f t="shared" si="103"/>
        <v>2655.8122499999999</v>
      </c>
      <c r="BB151" s="518">
        <f t="shared" si="104"/>
        <v>468.33333333333331</v>
      </c>
      <c r="BC151" s="518">
        <f t="shared" si="105"/>
        <v>1748.4833333333333</v>
      </c>
      <c r="BD151" s="518">
        <f t="shared" si="106"/>
        <v>1459.5083333333334</v>
      </c>
      <c r="BE151" s="518">
        <f t="shared" si="107"/>
        <v>1540.15</v>
      </c>
      <c r="BF151" s="518">
        <f t="shared" si="108"/>
        <v>1080.8333333333333</v>
      </c>
      <c r="BG151" s="619">
        <f t="shared" si="109"/>
        <v>1650.4333333333334</v>
      </c>
      <c r="BH151" s="619">
        <f t="shared" si="110"/>
        <v>811.25</v>
      </c>
      <c r="BI151" s="619">
        <f t="shared" si="111"/>
        <v>2408.09375</v>
      </c>
      <c r="BJ151" s="619">
        <f t="shared" si="112"/>
        <v>0</v>
      </c>
      <c r="BK151" s="619">
        <f t="shared" si="113"/>
        <v>102.93333333333334</v>
      </c>
      <c r="BL151" s="619"/>
      <c r="BM151" s="619">
        <f t="shared" si="114"/>
        <v>1336.6676666666667</v>
      </c>
      <c r="BN151" s="619">
        <f t="shared" si="115"/>
        <v>477.23883333333339</v>
      </c>
      <c r="BO151" s="619">
        <f t="shared" si="116"/>
        <v>0</v>
      </c>
      <c r="BP151" s="619">
        <f t="shared" si="117"/>
        <v>97.898666666666671</v>
      </c>
      <c r="BQ151" s="518">
        <f t="shared" si="122"/>
        <v>25131.263416666672</v>
      </c>
    </row>
    <row r="152" spans="1:69" s="585" customFormat="1">
      <c r="A152" s="308" t="s">
        <v>51</v>
      </c>
      <c r="B152" s="308">
        <f t="shared" si="123"/>
        <v>2027</v>
      </c>
      <c r="C152" s="308" t="s">
        <v>102</v>
      </c>
      <c r="D152" s="518"/>
      <c r="E152" s="518"/>
      <c r="F152" s="518"/>
      <c r="G152" s="518"/>
      <c r="H152" s="518"/>
      <c r="I152" s="518"/>
      <c r="J152" s="518">
        <f t="shared" si="121"/>
        <v>0</v>
      </c>
      <c r="K152" s="518">
        <f t="shared" si="118"/>
        <v>9616192.6599999983</v>
      </c>
      <c r="L152" s="518"/>
      <c r="M152" s="518"/>
      <c r="N152" s="518">
        <f t="shared" si="119"/>
        <v>9616192.6599999983</v>
      </c>
      <c r="O152" s="518"/>
      <c r="P152" s="518">
        <f t="shared" si="120"/>
        <v>0</v>
      </c>
      <c r="R152" s="519"/>
      <c r="S152" s="519"/>
      <c r="T152" s="519"/>
      <c r="U152" s="519"/>
      <c r="V152" s="519"/>
      <c r="W152" s="519"/>
      <c r="X152" s="519"/>
      <c r="Y152" s="519"/>
      <c r="Z152" s="519"/>
      <c r="AA152" s="519"/>
      <c r="AB152" s="519"/>
      <c r="AC152" s="519"/>
      <c r="AD152" s="519"/>
      <c r="AE152" s="519"/>
      <c r="AF152" s="519"/>
      <c r="AG152" s="519"/>
      <c r="AH152" s="519"/>
      <c r="AI152" s="519"/>
      <c r="AJ152" s="519"/>
      <c r="AK152" s="519"/>
      <c r="AL152" s="519"/>
      <c r="AM152" s="519"/>
      <c r="AN152" s="519"/>
      <c r="AO152" s="519"/>
      <c r="AP152" s="519"/>
      <c r="AQ152" s="519"/>
      <c r="AR152" s="519"/>
      <c r="AS152" s="519"/>
      <c r="AT152" s="518">
        <f t="shared" si="95"/>
        <v>1607.9597499999998</v>
      </c>
      <c r="AU152" s="518">
        <f t="shared" si="96"/>
        <v>690.61666666666667</v>
      </c>
      <c r="AV152" s="518">
        <f t="shared" si="97"/>
        <v>1347.6258333333333</v>
      </c>
      <c r="AW152" s="518">
        <f t="shared" si="99"/>
        <v>1038.7249999999999</v>
      </c>
      <c r="AX152" s="518">
        <f t="shared" si="100"/>
        <v>1395.9028333333333</v>
      </c>
      <c r="AY152" s="518">
        <f t="shared" si="101"/>
        <v>1365.0055</v>
      </c>
      <c r="AZ152" s="518">
        <f t="shared" si="102"/>
        <v>1159.0916666666667</v>
      </c>
      <c r="BA152" s="518">
        <f t="shared" si="103"/>
        <v>2655.8122499999999</v>
      </c>
      <c r="BB152" s="518">
        <f t="shared" si="104"/>
        <v>468.33333333333331</v>
      </c>
      <c r="BC152" s="518">
        <f t="shared" si="105"/>
        <v>1748.4833333333333</v>
      </c>
      <c r="BD152" s="518">
        <f t="shared" si="106"/>
        <v>1459.5083333333334</v>
      </c>
      <c r="BE152" s="518">
        <f t="shared" si="107"/>
        <v>1540.15</v>
      </c>
      <c r="BF152" s="518">
        <f t="shared" si="108"/>
        <v>1080.8333333333333</v>
      </c>
      <c r="BG152" s="619">
        <f t="shared" si="109"/>
        <v>1650.4333333333334</v>
      </c>
      <c r="BH152" s="619">
        <f t="shared" si="110"/>
        <v>811.25</v>
      </c>
      <c r="BI152" s="619">
        <f t="shared" si="111"/>
        <v>2408.09375</v>
      </c>
      <c r="BJ152" s="619">
        <f t="shared" si="112"/>
        <v>0</v>
      </c>
      <c r="BK152" s="619">
        <f t="shared" si="113"/>
        <v>102.93333333333334</v>
      </c>
      <c r="BL152" s="619"/>
      <c r="BM152" s="619">
        <f t="shared" si="114"/>
        <v>1336.6676666666667</v>
      </c>
      <c r="BN152" s="619">
        <f t="shared" si="115"/>
        <v>477.23883333333339</v>
      </c>
      <c r="BO152" s="619">
        <f t="shared" si="116"/>
        <v>0</v>
      </c>
      <c r="BP152" s="619">
        <f t="shared" si="117"/>
        <v>97.898666666666671</v>
      </c>
      <c r="BQ152" s="518">
        <f t="shared" si="122"/>
        <v>24442.563416666671</v>
      </c>
    </row>
    <row r="153" spans="1:69" s="585" customFormat="1">
      <c r="A153" s="308" t="s">
        <v>52</v>
      </c>
      <c r="B153" s="308">
        <f t="shared" si="123"/>
        <v>2027</v>
      </c>
      <c r="C153" s="308" t="s">
        <v>102</v>
      </c>
      <c r="D153" s="518"/>
      <c r="E153" s="518"/>
      <c r="F153" s="518"/>
      <c r="G153" s="518"/>
      <c r="H153" s="518"/>
      <c r="I153" s="518"/>
      <c r="J153" s="518">
        <f t="shared" si="121"/>
        <v>0</v>
      </c>
      <c r="K153" s="518">
        <f t="shared" si="118"/>
        <v>9616192.6599999983</v>
      </c>
      <c r="L153" s="518"/>
      <c r="M153" s="518"/>
      <c r="N153" s="518">
        <f t="shared" si="119"/>
        <v>9616192.6599999983</v>
      </c>
      <c r="O153" s="518"/>
      <c r="P153" s="518">
        <f t="shared" si="120"/>
        <v>0</v>
      </c>
      <c r="R153" s="519"/>
      <c r="S153" s="519"/>
      <c r="T153" s="519"/>
      <c r="U153" s="519"/>
      <c r="V153" s="519"/>
      <c r="W153" s="519"/>
      <c r="X153" s="519"/>
      <c r="Y153" s="519"/>
      <c r="Z153" s="519"/>
      <c r="AA153" s="519"/>
      <c r="AB153" s="519"/>
      <c r="AC153" s="519"/>
      <c r="AD153" s="519"/>
      <c r="AE153" s="519"/>
      <c r="AF153" s="519"/>
      <c r="AG153" s="519"/>
      <c r="AH153" s="519"/>
      <c r="AI153" s="519"/>
      <c r="AJ153" s="519"/>
      <c r="AK153" s="519"/>
      <c r="AL153" s="519"/>
      <c r="AM153" s="519"/>
      <c r="AN153" s="519"/>
      <c r="AO153" s="519"/>
      <c r="AP153" s="519"/>
      <c r="AQ153" s="519"/>
      <c r="AR153" s="519"/>
      <c r="AS153" s="519"/>
      <c r="AT153" s="519"/>
      <c r="AU153" s="518">
        <f t="shared" si="96"/>
        <v>690.61666666666667</v>
      </c>
      <c r="AV153" s="518">
        <f t="shared" si="97"/>
        <v>1347.6258333333333</v>
      </c>
      <c r="AW153" s="518">
        <f t="shared" si="99"/>
        <v>1038.7249999999999</v>
      </c>
      <c r="AX153" s="518">
        <f t="shared" si="100"/>
        <v>1395.9028333333333</v>
      </c>
      <c r="AY153" s="518">
        <f t="shared" si="101"/>
        <v>1365.0055</v>
      </c>
      <c r="AZ153" s="518">
        <f t="shared" si="102"/>
        <v>1159.0916666666667</v>
      </c>
      <c r="BA153" s="518">
        <f t="shared" si="103"/>
        <v>2655.8122499999999</v>
      </c>
      <c r="BB153" s="518">
        <f t="shared" si="104"/>
        <v>468.33333333333331</v>
      </c>
      <c r="BC153" s="518">
        <f t="shared" si="105"/>
        <v>1748.4833333333333</v>
      </c>
      <c r="BD153" s="518">
        <f t="shared" si="106"/>
        <v>1459.5083333333334</v>
      </c>
      <c r="BE153" s="518">
        <f t="shared" si="107"/>
        <v>1540.15</v>
      </c>
      <c r="BF153" s="518">
        <f t="shared" si="108"/>
        <v>1080.8333333333333</v>
      </c>
      <c r="BG153" s="619">
        <f t="shared" si="109"/>
        <v>1650.4333333333334</v>
      </c>
      <c r="BH153" s="619">
        <f t="shared" si="110"/>
        <v>811.25</v>
      </c>
      <c r="BI153" s="619">
        <f t="shared" si="111"/>
        <v>2408.09375</v>
      </c>
      <c r="BJ153" s="619">
        <f t="shared" si="112"/>
        <v>0</v>
      </c>
      <c r="BK153" s="619">
        <f t="shared" si="113"/>
        <v>102.93333333333334</v>
      </c>
      <c r="BL153" s="619"/>
      <c r="BM153" s="619">
        <f t="shared" si="114"/>
        <v>1336.6676666666667</v>
      </c>
      <c r="BN153" s="619">
        <f t="shared" si="115"/>
        <v>477.23883333333339</v>
      </c>
      <c r="BO153" s="619">
        <f t="shared" si="116"/>
        <v>0</v>
      </c>
      <c r="BP153" s="619">
        <f t="shared" si="117"/>
        <v>97.898666666666671</v>
      </c>
      <c r="BQ153" s="518">
        <f t="shared" si="122"/>
        <v>22834.603666666673</v>
      </c>
    </row>
    <row r="154" spans="1:69" s="585" customFormat="1">
      <c r="A154" s="308" t="s">
        <v>53</v>
      </c>
      <c r="B154" s="308">
        <f t="shared" si="123"/>
        <v>2028</v>
      </c>
      <c r="C154" s="308" t="s">
        <v>102</v>
      </c>
      <c r="D154" s="518"/>
      <c r="E154" s="518"/>
      <c r="F154" s="308"/>
      <c r="H154" s="518"/>
      <c r="I154" s="518"/>
      <c r="J154" s="518">
        <f t="shared" si="121"/>
        <v>0</v>
      </c>
      <c r="K154" s="518">
        <f t="shared" si="118"/>
        <v>9616192.6599999983</v>
      </c>
      <c r="L154" s="518"/>
      <c r="M154" s="518"/>
      <c r="N154" s="518">
        <f t="shared" si="119"/>
        <v>9616192.6599999983</v>
      </c>
      <c r="O154" s="518"/>
      <c r="P154" s="518">
        <f t="shared" si="120"/>
        <v>0</v>
      </c>
      <c r="R154" s="519"/>
      <c r="S154" s="519"/>
      <c r="T154" s="519"/>
      <c r="U154" s="519"/>
      <c r="V154" s="519"/>
      <c r="W154" s="519"/>
      <c r="X154" s="519"/>
      <c r="Y154" s="519"/>
      <c r="Z154" s="519"/>
      <c r="AA154" s="519"/>
      <c r="AB154" s="519"/>
      <c r="AC154" s="519"/>
      <c r="AD154" s="519"/>
      <c r="AE154" s="519"/>
      <c r="AF154" s="519"/>
      <c r="AG154" s="519"/>
      <c r="AH154" s="519"/>
      <c r="AI154" s="519"/>
      <c r="AJ154" s="519"/>
      <c r="AK154" s="519"/>
      <c r="AL154" s="519"/>
      <c r="AM154" s="519"/>
      <c r="AN154" s="519"/>
      <c r="AO154" s="519"/>
      <c r="AP154" s="519"/>
      <c r="AQ154" s="519"/>
      <c r="AR154" s="519"/>
      <c r="AS154" s="519"/>
      <c r="AT154" s="519"/>
      <c r="AU154" s="519"/>
      <c r="AV154" s="518">
        <f t="shared" si="97"/>
        <v>1347.6258333333333</v>
      </c>
      <c r="AW154" s="518">
        <f t="shared" si="99"/>
        <v>1038.7249999999999</v>
      </c>
      <c r="AX154" s="518">
        <f t="shared" si="100"/>
        <v>1395.9028333333333</v>
      </c>
      <c r="AY154" s="518">
        <f t="shared" si="101"/>
        <v>1365.0055</v>
      </c>
      <c r="AZ154" s="518">
        <f t="shared" si="102"/>
        <v>1159.0916666666667</v>
      </c>
      <c r="BA154" s="518">
        <f t="shared" si="103"/>
        <v>2655.8122499999999</v>
      </c>
      <c r="BB154" s="518">
        <f t="shared" si="104"/>
        <v>468.33333333333331</v>
      </c>
      <c r="BC154" s="518">
        <f t="shared" si="105"/>
        <v>1748.4833333333333</v>
      </c>
      <c r="BD154" s="518">
        <f t="shared" si="106"/>
        <v>1459.5083333333334</v>
      </c>
      <c r="BE154" s="518">
        <f t="shared" si="107"/>
        <v>1540.15</v>
      </c>
      <c r="BF154" s="518">
        <f t="shared" si="108"/>
        <v>1080.8333333333333</v>
      </c>
      <c r="BG154" s="619">
        <f t="shared" si="109"/>
        <v>1650.4333333333334</v>
      </c>
      <c r="BH154" s="619">
        <f t="shared" si="110"/>
        <v>811.25</v>
      </c>
      <c r="BI154" s="619">
        <f t="shared" si="111"/>
        <v>2408.09375</v>
      </c>
      <c r="BJ154" s="619">
        <f t="shared" si="112"/>
        <v>0</v>
      </c>
      <c r="BK154" s="619">
        <f t="shared" si="113"/>
        <v>102.93333333333334</v>
      </c>
      <c r="BL154" s="619"/>
      <c r="BM154" s="619">
        <f t="shared" si="114"/>
        <v>1336.6676666666667</v>
      </c>
      <c r="BN154" s="619">
        <f t="shared" si="115"/>
        <v>477.23883333333339</v>
      </c>
      <c r="BO154" s="619">
        <f t="shared" si="116"/>
        <v>0</v>
      </c>
      <c r="BP154" s="619">
        <f t="shared" si="117"/>
        <v>97.898666666666671</v>
      </c>
      <c r="BQ154" s="518">
        <f t="shared" si="122"/>
        <v>22143.987000000005</v>
      </c>
    </row>
    <row r="155" spans="1:69" s="585" customFormat="1">
      <c r="A155" s="308" t="s">
        <v>54</v>
      </c>
      <c r="B155" s="308">
        <f t="shared" si="123"/>
        <v>2028</v>
      </c>
      <c r="C155" s="308" t="s">
        <v>102</v>
      </c>
      <c r="D155" s="518"/>
      <c r="E155" s="518"/>
      <c r="F155" s="308"/>
      <c r="H155" s="518"/>
      <c r="I155" s="518"/>
      <c r="J155" s="518">
        <f t="shared" si="121"/>
        <v>0</v>
      </c>
      <c r="K155" s="518">
        <f t="shared" si="118"/>
        <v>9616192.6599999983</v>
      </c>
      <c r="L155" s="518"/>
      <c r="M155" s="518"/>
      <c r="N155" s="518">
        <f t="shared" si="119"/>
        <v>9616192.6599999983</v>
      </c>
      <c r="O155" s="518"/>
      <c r="P155" s="518">
        <f t="shared" si="120"/>
        <v>0</v>
      </c>
      <c r="R155" s="519"/>
      <c r="S155" s="519"/>
      <c r="T155" s="519"/>
      <c r="U155" s="519"/>
      <c r="V155" s="519"/>
      <c r="W155" s="519"/>
      <c r="X155" s="519"/>
      <c r="Y155" s="519"/>
      <c r="Z155" s="519"/>
      <c r="AA155" s="519"/>
      <c r="AB155" s="519"/>
      <c r="AC155" s="519"/>
      <c r="AD155" s="519"/>
      <c r="AE155" s="519"/>
      <c r="AF155" s="519"/>
      <c r="AG155" s="519"/>
      <c r="AH155" s="519"/>
      <c r="AI155" s="519"/>
      <c r="AJ155" s="519"/>
      <c r="AK155" s="519"/>
      <c r="AL155" s="519"/>
      <c r="AM155" s="519"/>
      <c r="AN155" s="519"/>
      <c r="AO155" s="519"/>
      <c r="AP155" s="519"/>
      <c r="AQ155" s="519"/>
      <c r="AR155" s="519"/>
      <c r="AS155" s="519"/>
      <c r="AT155" s="519"/>
      <c r="AU155" s="519"/>
      <c r="AV155" s="519"/>
      <c r="AW155" s="518">
        <f t="shared" si="99"/>
        <v>1038.7249999999999</v>
      </c>
      <c r="AX155" s="518">
        <f t="shared" si="100"/>
        <v>1395.9028333333333</v>
      </c>
      <c r="AY155" s="518">
        <f t="shared" si="101"/>
        <v>1365.0055</v>
      </c>
      <c r="AZ155" s="518">
        <f t="shared" si="102"/>
        <v>1159.0916666666667</v>
      </c>
      <c r="BA155" s="518">
        <f t="shared" si="103"/>
        <v>2655.8122499999999</v>
      </c>
      <c r="BB155" s="518">
        <f t="shared" si="104"/>
        <v>468.33333333333331</v>
      </c>
      <c r="BC155" s="518">
        <f t="shared" si="105"/>
        <v>1748.4833333333333</v>
      </c>
      <c r="BD155" s="518">
        <f t="shared" si="106"/>
        <v>1459.5083333333334</v>
      </c>
      <c r="BE155" s="518">
        <f t="shared" si="107"/>
        <v>1540.15</v>
      </c>
      <c r="BF155" s="518">
        <f t="shared" si="108"/>
        <v>1080.8333333333333</v>
      </c>
      <c r="BG155" s="619">
        <f t="shared" si="109"/>
        <v>1650.4333333333334</v>
      </c>
      <c r="BH155" s="619">
        <f t="shared" si="110"/>
        <v>811.25</v>
      </c>
      <c r="BI155" s="619">
        <f t="shared" si="111"/>
        <v>2408.09375</v>
      </c>
      <c r="BJ155" s="619">
        <f t="shared" si="112"/>
        <v>0</v>
      </c>
      <c r="BK155" s="619">
        <f t="shared" si="113"/>
        <v>102.93333333333334</v>
      </c>
      <c r="BL155" s="619"/>
      <c r="BM155" s="619">
        <f t="shared" si="114"/>
        <v>1336.6676666666667</v>
      </c>
      <c r="BN155" s="619">
        <f t="shared" si="115"/>
        <v>477.23883333333339</v>
      </c>
      <c r="BO155" s="619">
        <f t="shared" si="116"/>
        <v>0</v>
      </c>
      <c r="BP155" s="619">
        <f t="shared" si="117"/>
        <v>97.898666666666671</v>
      </c>
      <c r="BQ155" s="518">
        <f t="shared" si="122"/>
        <v>20796.361166666669</v>
      </c>
    </row>
    <row r="156" spans="1:69" s="585" customFormat="1">
      <c r="A156" s="308" t="s">
        <v>55</v>
      </c>
      <c r="B156" s="308">
        <f t="shared" si="123"/>
        <v>2028</v>
      </c>
      <c r="C156" s="308" t="s">
        <v>102</v>
      </c>
      <c r="D156" s="518"/>
      <c r="E156" s="518"/>
      <c r="F156" s="308"/>
      <c r="H156" s="518"/>
      <c r="I156" s="518"/>
      <c r="J156" s="518">
        <f t="shared" si="121"/>
        <v>0</v>
      </c>
      <c r="K156" s="518">
        <f t="shared" si="118"/>
        <v>9616192.6599999983</v>
      </c>
      <c r="L156" s="518"/>
      <c r="M156" s="518"/>
      <c r="N156" s="518">
        <f t="shared" si="119"/>
        <v>9616192.6599999983</v>
      </c>
      <c r="O156" s="518"/>
      <c r="P156" s="518">
        <f t="shared" si="120"/>
        <v>0</v>
      </c>
      <c r="R156" s="519"/>
      <c r="S156" s="519"/>
      <c r="T156" s="519"/>
      <c r="U156" s="519"/>
      <c r="V156" s="519"/>
      <c r="W156" s="519"/>
      <c r="X156" s="519"/>
      <c r="Y156" s="519"/>
      <c r="Z156" s="519"/>
      <c r="AA156" s="519"/>
      <c r="AB156" s="519"/>
      <c r="AC156" s="519"/>
      <c r="AD156" s="519"/>
      <c r="AE156" s="519"/>
      <c r="AF156" s="519"/>
      <c r="AG156" s="519"/>
      <c r="AH156" s="519"/>
      <c r="AI156" s="519"/>
      <c r="AJ156" s="519"/>
      <c r="AK156" s="519"/>
      <c r="AL156" s="519"/>
      <c r="AM156" s="519"/>
      <c r="AN156" s="519"/>
      <c r="AO156" s="519"/>
      <c r="AP156" s="519"/>
      <c r="AQ156" s="519"/>
      <c r="AR156" s="519"/>
      <c r="AS156" s="519"/>
      <c r="AT156" s="519"/>
      <c r="AU156" s="519"/>
      <c r="AV156" s="519"/>
      <c r="AW156" s="519"/>
      <c r="AX156" s="518">
        <f t="shared" si="100"/>
        <v>1395.9028333333333</v>
      </c>
      <c r="AY156" s="518">
        <f t="shared" si="101"/>
        <v>1365.0055</v>
      </c>
      <c r="AZ156" s="518">
        <f t="shared" si="102"/>
        <v>1159.0916666666667</v>
      </c>
      <c r="BA156" s="518">
        <f t="shared" si="103"/>
        <v>2655.8122499999999</v>
      </c>
      <c r="BB156" s="518">
        <f t="shared" si="104"/>
        <v>468.33333333333331</v>
      </c>
      <c r="BC156" s="518">
        <f t="shared" si="105"/>
        <v>1748.4833333333333</v>
      </c>
      <c r="BD156" s="518">
        <f t="shared" si="106"/>
        <v>1459.5083333333334</v>
      </c>
      <c r="BE156" s="518">
        <f t="shared" si="107"/>
        <v>1540.15</v>
      </c>
      <c r="BF156" s="518">
        <f t="shared" si="108"/>
        <v>1080.8333333333333</v>
      </c>
      <c r="BG156" s="619">
        <f t="shared" si="109"/>
        <v>1650.4333333333334</v>
      </c>
      <c r="BH156" s="619">
        <f t="shared" si="110"/>
        <v>811.25</v>
      </c>
      <c r="BI156" s="619">
        <f t="shared" si="111"/>
        <v>2408.09375</v>
      </c>
      <c r="BJ156" s="619">
        <f t="shared" si="112"/>
        <v>0</v>
      </c>
      <c r="BK156" s="619">
        <f t="shared" si="113"/>
        <v>102.93333333333334</v>
      </c>
      <c r="BL156" s="619"/>
      <c r="BM156" s="619">
        <f t="shared" si="114"/>
        <v>1336.6676666666667</v>
      </c>
      <c r="BN156" s="619">
        <f t="shared" si="115"/>
        <v>477.23883333333339</v>
      </c>
      <c r="BO156" s="619">
        <f t="shared" si="116"/>
        <v>0</v>
      </c>
      <c r="BP156" s="619">
        <f t="shared" si="117"/>
        <v>97.898666666666671</v>
      </c>
      <c r="BQ156" s="518">
        <f t="shared" si="122"/>
        <v>19757.636166666671</v>
      </c>
    </row>
    <row r="157" spans="1:69" s="585" customFormat="1">
      <c r="A157" s="308" t="s">
        <v>56</v>
      </c>
      <c r="B157" s="308">
        <f t="shared" si="123"/>
        <v>2028</v>
      </c>
      <c r="C157" s="308" t="s">
        <v>102</v>
      </c>
      <c r="D157" s="206"/>
      <c r="E157" s="206"/>
      <c r="F157" s="308"/>
      <c r="H157" s="206"/>
      <c r="I157" s="206"/>
      <c r="J157" s="518">
        <f t="shared" si="121"/>
        <v>0</v>
      </c>
      <c r="K157" s="518">
        <f t="shared" si="118"/>
        <v>9616192.6599999983</v>
      </c>
      <c r="L157" s="518"/>
      <c r="M157" s="518"/>
      <c r="N157" s="518">
        <f t="shared" si="119"/>
        <v>9616192.6599999983</v>
      </c>
      <c r="O157" s="518"/>
      <c r="P157" s="518">
        <f t="shared" si="120"/>
        <v>0</v>
      </c>
      <c r="R157" s="519"/>
      <c r="S157" s="519"/>
      <c r="T157" s="519"/>
      <c r="U157" s="519"/>
      <c r="V157" s="519"/>
      <c r="W157" s="519"/>
      <c r="X157" s="519"/>
      <c r="Y157" s="519"/>
      <c r="Z157" s="519"/>
      <c r="AA157" s="519"/>
      <c r="AB157" s="519"/>
      <c r="AC157" s="519"/>
      <c r="AD157" s="519"/>
      <c r="AE157" s="519"/>
      <c r="AF157" s="519"/>
      <c r="AG157" s="519"/>
      <c r="AH157" s="519"/>
      <c r="AI157" s="519"/>
      <c r="AJ157" s="519"/>
      <c r="AK157" s="519"/>
      <c r="AL157" s="519"/>
      <c r="AM157" s="519"/>
      <c r="AN157" s="519"/>
      <c r="AO157" s="519"/>
      <c r="AP157" s="519"/>
      <c r="AQ157" s="519"/>
      <c r="AR157" s="519"/>
      <c r="AS157" s="519"/>
      <c r="AT157" s="519"/>
      <c r="AU157" s="519"/>
      <c r="AV157" s="519"/>
      <c r="AW157" s="519"/>
      <c r="AX157" s="519"/>
      <c r="AY157" s="518">
        <f t="shared" si="101"/>
        <v>1365.0055</v>
      </c>
      <c r="AZ157" s="518">
        <f t="shared" si="102"/>
        <v>1159.0916666666667</v>
      </c>
      <c r="BA157" s="518">
        <f t="shared" si="103"/>
        <v>2655.8122499999999</v>
      </c>
      <c r="BB157" s="518">
        <f t="shared" si="104"/>
        <v>468.33333333333331</v>
      </c>
      <c r="BC157" s="518">
        <f t="shared" si="105"/>
        <v>1748.4833333333333</v>
      </c>
      <c r="BD157" s="518">
        <f t="shared" si="106"/>
        <v>1459.5083333333334</v>
      </c>
      <c r="BE157" s="518">
        <f t="shared" si="107"/>
        <v>1540.15</v>
      </c>
      <c r="BF157" s="518">
        <f t="shared" si="108"/>
        <v>1080.8333333333333</v>
      </c>
      <c r="BG157" s="619">
        <f t="shared" si="109"/>
        <v>1650.4333333333334</v>
      </c>
      <c r="BH157" s="619">
        <f t="shared" si="110"/>
        <v>811.25</v>
      </c>
      <c r="BI157" s="619">
        <f t="shared" si="111"/>
        <v>2408.09375</v>
      </c>
      <c r="BJ157" s="619">
        <f t="shared" si="112"/>
        <v>0</v>
      </c>
      <c r="BK157" s="619">
        <f t="shared" si="113"/>
        <v>102.93333333333334</v>
      </c>
      <c r="BL157" s="619"/>
      <c r="BM157" s="619">
        <f t="shared" si="114"/>
        <v>1336.6676666666667</v>
      </c>
      <c r="BN157" s="619">
        <f t="shared" si="115"/>
        <v>477.23883333333339</v>
      </c>
      <c r="BO157" s="619">
        <f t="shared" si="116"/>
        <v>0</v>
      </c>
      <c r="BP157" s="619">
        <f t="shared" si="117"/>
        <v>97.898666666666671</v>
      </c>
      <c r="BQ157" s="518">
        <f t="shared" si="122"/>
        <v>18361.733333333337</v>
      </c>
    </row>
    <row r="158" spans="1:69" s="585" customFormat="1">
      <c r="A158" s="308" t="s">
        <v>57</v>
      </c>
      <c r="B158" s="308">
        <f t="shared" si="123"/>
        <v>2028</v>
      </c>
      <c r="C158" s="308" t="s">
        <v>102</v>
      </c>
      <c r="D158" s="627"/>
      <c r="E158" s="627"/>
      <c r="F158" s="308"/>
      <c r="H158" s="627"/>
      <c r="I158" s="627"/>
      <c r="J158" s="518">
        <f t="shared" si="121"/>
        <v>0</v>
      </c>
      <c r="K158" s="518">
        <f t="shared" si="118"/>
        <v>9616192.6599999983</v>
      </c>
      <c r="L158" s="518"/>
      <c r="M158" s="518"/>
      <c r="N158" s="518">
        <f t="shared" si="119"/>
        <v>9616192.6599999983</v>
      </c>
      <c r="O158" s="518"/>
      <c r="P158" s="518">
        <f t="shared" si="120"/>
        <v>0</v>
      </c>
      <c r="R158" s="519"/>
      <c r="S158" s="519"/>
      <c r="T158" s="519"/>
      <c r="U158" s="519"/>
      <c r="V158" s="519"/>
      <c r="W158" s="519"/>
      <c r="X158" s="519"/>
      <c r="Y158" s="519"/>
      <c r="Z158" s="519"/>
      <c r="AA158" s="519"/>
      <c r="AB158" s="519"/>
      <c r="AC158" s="519"/>
      <c r="AD158" s="519"/>
      <c r="AE158" s="519"/>
      <c r="AF158" s="519"/>
      <c r="AG158" s="519"/>
      <c r="AH158" s="519"/>
      <c r="AI158" s="519"/>
      <c r="AJ158" s="519"/>
      <c r="AK158" s="519"/>
      <c r="AL158" s="519"/>
      <c r="AM158" s="519"/>
      <c r="AN158" s="519"/>
      <c r="AO158" s="519"/>
      <c r="AP158" s="519"/>
      <c r="AQ158" s="519"/>
      <c r="AR158" s="519"/>
      <c r="AS158" s="519"/>
      <c r="AT158" s="519"/>
      <c r="AU158" s="519"/>
      <c r="AV158" s="519"/>
      <c r="AW158" s="519"/>
      <c r="AX158" s="519"/>
      <c r="AY158" s="519"/>
      <c r="AZ158" s="518">
        <f t="shared" si="102"/>
        <v>1159.0916666666667</v>
      </c>
      <c r="BA158" s="518">
        <f t="shared" si="103"/>
        <v>2655.8122499999999</v>
      </c>
      <c r="BB158" s="518">
        <f t="shared" si="104"/>
        <v>468.33333333333331</v>
      </c>
      <c r="BC158" s="518">
        <f t="shared" si="105"/>
        <v>1748.4833333333333</v>
      </c>
      <c r="BD158" s="518">
        <f t="shared" si="106"/>
        <v>1459.5083333333334</v>
      </c>
      <c r="BE158" s="518">
        <f t="shared" si="107"/>
        <v>1540.15</v>
      </c>
      <c r="BF158" s="518">
        <f t="shared" si="108"/>
        <v>1080.8333333333333</v>
      </c>
      <c r="BG158" s="619">
        <f t="shared" si="109"/>
        <v>1650.4333333333334</v>
      </c>
      <c r="BH158" s="619">
        <f t="shared" si="110"/>
        <v>811.25</v>
      </c>
      <c r="BI158" s="619">
        <f t="shared" si="111"/>
        <v>2408.09375</v>
      </c>
      <c r="BJ158" s="619">
        <f t="shared" si="112"/>
        <v>0</v>
      </c>
      <c r="BK158" s="619">
        <f t="shared" si="113"/>
        <v>102.93333333333334</v>
      </c>
      <c r="BL158" s="619"/>
      <c r="BM158" s="619">
        <f t="shared" si="114"/>
        <v>1336.6676666666667</v>
      </c>
      <c r="BN158" s="619">
        <f t="shared" si="115"/>
        <v>477.23883333333339</v>
      </c>
      <c r="BO158" s="619">
        <f t="shared" si="116"/>
        <v>0</v>
      </c>
      <c r="BP158" s="619">
        <f t="shared" si="117"/>
        <v>97.898666666666671</v>
      </c>
      <c r="BQ158" s="518">
        <f t="shared" si="122"/>
        <v>16996.727833333334</v>
      </c>
    </row>
    <row r="159" spans="1:69" s="585" customFormat="1">
      <c r="A159" s="308" t="s">
        <v>58</v>
      </c>
      <c r="B159" s="308">
        <f t="shared" si="123"/>
        <v>2028</v>
      </c>
      <c r="C159" s="308" t="s">
        <v>102</v>
      </c>
      <c r="D159" s="518"/>
      <c r="E159" s="518"/>
      <c r="F159" s="308"/>
      <c r="H159" s="518"/>
      <c r="I159" s="518"/>
      <c r="J159" s="518">
        <f t="shared" si="121"/>
        <v>0</v>
      </c>
      <c r="K159" s="518">
        <f t="shared" si="118"/>
        <v>9616192.6599999983</v>
      </c>
      <c r="L159" s="518"/>
      <c r="M159" s="518"/>
      <c r="N159" s="518">
        <f t="shared" si="119"/>
        <v>9616192.6599999983</v>
      </c>
      <c r="O159" s="518"/>
      <c r="P159" s="518">
        <f t="shared" si="120"/>
        <v>0</v>
      </c>
      <c r="R159" s="519"/>
      <c r="S159" s="519"/>
      <c r="T159" s="519"/>
      <c r="U159" s="519"/>
      <c r="V159" s="519"/>
      <c r="W159" s="519"/>
      <c r="X159" s="519"/>
      <c r="Y159" s="519"/>
      <c r="Z159" s="519"/>
      <c r="AA159" s="519"/>
      <c r="AB159" s="519"/>
      <c r="AC159" s="519"/>
      <c r="AD159" s="519"/>
      <c r="AE159" s="519"/>
      <c r="AF159" s="519"/>
      <c r="AG159" s="519"/>
      <c r="AH159" s="519"/>
      <c r="AI159" s="519"/>
      <c r="AJ159" s="519"/>
      <c r="AK159" s="519"/>
      <c r="AL159" s="519"/>
      <c r="AM159" s="519"/>
      <c r="AN159" s="519"/>
      <c r="AO159" s="519"/>
      <c r="AP159" s="519"/>
      <c r="AQ159" s="519"/>
      <c r="AR159" s="519"/>
      <c r="AS159" s="519"/>
      <c r="AT159" s="519"/>
      <c r="AU159" s="519"/>
      <c r="AV159" s="519"/>
      <c r="AW159" s="519"/>
      <c r="AX159" s="519"/>
      <c r="AY159" s="519"/>
      <c r="AZ159" s="519"/>
      <c r="BA159" s="518">
        <f t="shared" si="103"/>
        <v>2655.8122499999999</v>
      </c>
      <c r="BB159" s="518">
        <f t="shared" si="104"/>
        <v>468.33333333333331</v>
      </c>
      <c r="BC159" s="518">
        <f t="shared" si="105"/>
        <v>1748.4833333333333</v>
      </c>
      <c r="BD159" s="518">
        <f t="shared" si="106"/>
        <v>1459.5083333333334</v>
      </c>
      <c r="BE159" s="518">
        <f t="shared" si="107"/>
        <v>1540.15</v>
      </c>
      <c r="BF159" s="518">
        <f t="shared" si="108"/>
        <v>1080.8333333333333</v>
      </c>
      <c r="BG159" s="619">
        <f t="shared" si="109"/>
        <v>1650.4333333333334</v>
      </c>
      <c r="BH159" s="619">
        <f t="shared" si="110"/>
        <v>811.25</v>
      </c>
      <c r="BI159" s="619">
        <f t="shared" si="111"/>
        <v>2408.09375</v>
      </c>
      <c r="BJ159" s="619">
        <f t="shared" si="112"/>
        <v>0</v>
      </c>
      <c r="BK159" s="619">
        <f t="shared" si="113"/>
        <v>102.93333333333334</v>
      </c>
      <c r="BL159" s="619"/>
      <c r="BM159" s="619">
        <f t="shared" si="114"/>
        <v>1336.6676666666667</v>
      </c>
      <c r="BN159" s="619">
        <f t="shared" si="115"/>
        <v>477.23883333333339</v>
      </c>
      <c r="BO159" s="619">
        <f t="shared" si="116"/>
        <v>0</v>
      </c>
      <c r="BP159" s="619">
        <f t="shared" si="117"/>
        <v>97.898666666666671</v>
      </c>
      <c r="BQ159" s="518">
        <f t="shared" si="122"/>
        <v>15837.636166666665</v>
      </c>
    </row>
    <row r="160" spans="1:69" s="585" customFormat="1">
      <c r="A160" s="308" t="s">
        <v>59</v>
      </c>
      <c r="B160" s="308">
        <f t="shared" si="123"/>
        <v>2028</v>
      </c>
      <c r="C160" s="308" t="s">
        <v>102</v>
      </c>
      <c r="D160" s="518"/>
      <c r="E160" s="518"/>
      <c r="F160" s="308"/>
      <c r="H160" s="518"/>
      <c r="I160" s="518"/>
      <c r="J160" s="518">
        <f t="shared" si="121"/>
        <v>0</v>
      </c>
      <c r="K160" s="518">
        <f t="shared" si="118"/>
        <v>9616192.6599999983</v>
      </c>
      <c r="L160" s="518"/>
      <c r="M160" s="518"/>
      <c r="N160" s="518">
        <f t="shared" si="119"/>
        <v>9616192.6599999983</v>
      </c>
      <c r="O160" s="518"/>
      <c r="P160" s="518">
        <f t="shared" si="120"/>
        <v>0</v>
      </c>
      <c r="R160" s="519"/>
      <c r="S160" s="519"/>
      <c r="T160" s="519"/>
      <c r="U160" s="519"/>
      <c r="V160" s="519"/>
      <c r="W160" s="519"/>
      <c r="X160" s="519"/>
      <c r="Y160" s="519"/>
      <c r="Z160" s="519"/>
      <c r="AA160" s="519"/>
      <c r="AB160" s="519"/>
      <c r="AC160" s="519"/>
      <c r="AD160" s="519"/>
      <c r="AE160" s="519"/>
      <c r="AF160" s="519"/>
      <c r="AG160" s="519"/>
      <c r="AH160" s="519"/>
      <c r="AI160" s="519"/>
      <c r="AJ160" s="519"/>
      <c r="AK160" s="519"/>
      <c r="AL160" s="519"/>
      <c r="AM160" s="519"/>
      <c r="AN160" s="519"/>
      <c r="AO160" s="519"/>
      <c r="AP160" s="519"/>
      <c r="AQ160" s="519"/>
      <c r="AR160" s="519"/>
      <c r="AS160" s="519"/>
      <c r="AT160" s="519"/>
      <c r="AU160" s="519"/>
      <c r="AV160" s="519"/>
      <c r="AW160" s="519"/>
      <c r="AX160" s="519"/>
      <c r="AY160" s="519"/>
      <c r="AZ160" s="519"/>
      <c r="BA160" s="519"/>
      <c r="BB160" s="518">
        <f t="shared" si="104"/>
        <v>468.33333333333331</v>
      </c>
      <c r="BC160" s="518">
        <f t="shared" si="105"/>
        <v>1748.4833333333333</v>
      </c>
      <c r="BD160" s="518">
        <f t="shared" si="106"/>
        <v>1459.5083333333334</v>
      </c>
      <c r="BE160" s="518">
        <f t="shared" si="107"/>
        <v>1540.15</v>
      </c>
      <c r="BF160" s="518">
        <f t="shared" si="108"/>
        <v>1080.8333333333333</v>
      </c>
      <c r="BG160" s="619">
        <f t="shared" si="109"/>
        <v>1650.4333333333334</v>
      </c>
      <c r="BH160" s="619">
        <f t="shared" si="110"/>
        <v>811.25</v>
      </c>
      <c r="BI160" s="619">
        <f t="shared" si="111"/>
        <v>2408.09375</v>
      </c>
      <c r="BJ160" s="619">
        <f t="shared" si="112"/>
        <v>0</v>
      </c>
      <c r="BK160" s="619">
        <f t="shared" si="113"/>
        <v>102.93333333333334</v>
      </c>
      <c r="BL160" s="619"/>
      <c r="BM160" s="619">
        <f t="shared" si="114"/>
        <v>1336.6676666666667</v>
      </c>
      <c r="BN160" s="619">
        <f t="shared" si="115"/>
        <v>477.23883333333339</v>
      </c>
      <c r="BO160" s="619">
        <f t="shared" si="116"/>
        <v>0</v>
      </c>
      <c r="BP160" s="619">
        <f t="shared" si="117"/>
        <v>97.898666666666671</v>
      </c>
      <c r="BQ160" s="518">
        <f t="shared" si="122"/>
        <v>13181.823916666664</v>
      </c>
    </row>
    <row r="161" spans="1:69" s="585" customFormat="1">
      <c r="A161" s="308" t="s">
        <v>46</v>
      </c>
      <c r="B161" s="308">
        <f t="shared" si="123"/>
        <v>2028</v>
      </c>
      <c r="C161" s="308" t="s">
        <v>102</v>
      </c>
      <c r="D161" s="518"/>
      <c r="E161" s="518"/>
      <c r="F161" s="308"/>
      <c r="H161" s="518"/>
      <c r="I161" s="518"/>
      <c r="J161" s="518">
        <f t="shared" si="121"/>
        <v>0</v>
      </c>
      <c r="K161" s="518">
        <f t="shared" si="118"/>
        <v>9616192.6599999983</v>
      </c>
      <c r="L161" s="518"/>
      <c r="M161" s="518"/>
      <c r="N161" s="518">
        <f t="shared" si="119"/>
        <v>9616192.6599999983</v>
      </c>
      <c r="O161" s="518"/>
      <c r="P161" s="518">
        <f t="shared" si="120"/>
        <v>0</v>
      </c>
      <c r="R161" s="519"/>
      <c r="S161" s="519"/>
      <c r="T161" s="519"/>
      <c r="U161" s="519"/>
      <c r="V161" s="519"/>
      <c r="W161" s="519"/>
      <c r="X161" s="519"/>
      <c r="Y161" s="519"/>
      <c r="Z161" s="519"/>
      <c r="AA161" s="519"/>
      <c r="AB161" s="519"/>
      <c r="AC161" s="519"/>
      <c r="AD161" s="519"/>
      <c r="AE161" s="519"/>
      <c r="AF161" s="519"/>
      <c r="AG161" s="519"/>
      <c r="AH161" s="519"/>
      <c r="AI161" s="519"/>
      <c r="AJ161" s="519"/>
      <c r="AK161" s="519"/>
      <c r="AL161" s="519"/>
      <c r="AM161" s="519"/>
      <c r="AN161" s="519"/>
      <c r="AO161" s="519"/>
      <c r="AP161" s="519"/>
      <c r="AQ161" s="519"/>
      <c r="AR161" s="519"/>
      <c r="AS161" s="519"/>
      <c r="AT161" s="519"/>
      <c r="AU161" s="519"/>
      <c r="AV161" s="519"/>
      <c r="AW161" s="519"/>
      <c r="AX161" s="519"/>
      <c r="AY161" s="519"/>
      <c r="AZ161" s="519"/>
      <c r="BA161" s="519"/>
      <c r="BB161" s="519"/>
      <c r="BC161" s="518">
        <f t="shared" si="105"/>
        <v>1748.4833333333333</v>
      </c>
      <c r="BD161" s="518">
        <f t="shared" si="106"/>
        <v>1459.5083333333334</v>
      </c>
      <c r="BE161" s="518">
        <f t="shared" si="107"/>
        <v>1540.15</v>
      </c>
      <c r="BF161" s="518">
        <f t="shared" si="108"/>
        <v>1080.8333333333333</v>
      </c>
      <c r="BG161" s="619">
        <f t="shared" si="109"/>
        <v>1650.4333333333334</v>
      </c>
      <c r="BH161" s="619">
        <f t="shared" si="110"/>
        <v>811.25</v>
      </c>
      <c r="BI161" s="619">
        <f t="shared" si="111"/>
        <v>2408.09375</v>
      </c>
      <c r="BJ161" s="619">
        <f t="shared" si="112"/>
        <v>0</v>
      </c>
      <c r="BK161" s="619">
        <f t="shared" si="113"/>
        <v>102.93333333333334</v>
      </c>
      <c r="BL161" s="619"/>
      <c r="BM161" s="619">
        <f t="shared" si="114"/>
        <v>1336.6676666666667</v>
      </c>
      <c r="BN161" s="619">
        <f t="shared" si="115"/>
        <v>477.23883333333339</v>
      </c>
      <c r="BO161" s="619">
        <f t="shared" si="116"/>
        <v>0</v>
      </c>
      <c r="BP161" s="619">
        <f t="shared" si="117"/>
        <v>97.898666666666671</v>
      </c>
      <c r="BQ161" s="518">
        <f t="shared" si="122"/>
        <v>12713.490583333331</v>
      </c>
    </row>
    <row r="162" spans="1:69" s="585" customFormat="1">
      <c r="A162" s="308" t="s">
        <v>48</v>
      </c>
      <c r="B162" s="308">
        <f t="shared" si="123"/>
        <v>2028</v>
      </c>
      <c r="C162" s="308" t="s">
        <v>102</v>
      </c>
      <c r="D162" s="518"/>
      <c r="E162" s="518"/>
      <c r="F162" s="308"/>
      <c r="H162" s="518"/>
      <c r="I162" s="518"/>
      <c r="J162" s="518">
        <f t="shared" si="121"/>
        <v>0</v>
      </c>
      <c r="K162" s="518">
        <f t="shared" si="118"/>
        <v>9616192.6599999983</v>
      </c>
      <c r="L162" s="518"/>
      <c r="M162" s="518"/>
      <c r="N162" s="518">
        <f t="shared" si="119"/>
        <v>9616192.6599999983</v>
      </c>
      <c r="O162" s="518"/>
      <c r="P162" s="518">
        <f t="shared" si="120"/>
        <v>0</v>
      </c>
      <c r="R162" s="519"/>
      <c r="S162" s="519"/>
      <c r="T162" s="519"/>
      <c r="U162" s="519"/>
      <c r="V162" s="519"/>
      <c r="W162" s="519"/>
      <c r="X162" s="519"/>
      <c r="Y162" s="519"/>
      <c r="Z162" s="519"/>
      <c r="AA162" s="519"/>
      <c r="AB162" s="519"/>
      <c r="AC162" s="519"/>
      <c r="AD162" s="519"/>
      <c r="AE162" s="519"/>
      <c r="AF162" s="519"/>
      <c r="AG162" s="519"/>
      <c r="AH162" s="519"/>
      <c r="AI162" s="519"/>
      <c r="AJ162" s="519"/>
      <c r="AK162" s="519"/>
      <c r="AL162" s="519"/>
      <c r="AM162" s="519"/>
      <c r="AN162" s="519"/>
      <c r="AO162" s="519"/>
      <c r="AP162" s="519"/>
      <c r="AQ162" s="519"/>
      <c r="AR162" s="519"/>
      <c r="AS162" s="519"/>
      <c r="AT162" s="519"/>
      <c r="AU162" s="519"/>
      <c r="AV162" s="519"/>
      <c r="AW162" s="519"/>
      <c r="AX162" s="519"/>
      <c r="AY162" s="519"/>
      <c r="AZ162" s="519"/>
      <c r="BA162" s="519"/>
      <c r="BB162" s="519"/>
      <c r="BC162" s="519"/>
      <c r="BD162" s="518">
        <f t="shared" si="106"/>
        <v>1459.5083333333334</v>
      </c>
      <c r="BE162" s="518">
        <f t="shared" si="107"/>
        <v>1540.15</v>
      </c>
      <c r="BF162" s="518">
        <f t="shared" si="108"/>
        <v>1080.8333333333333</v>
      </c>
      <c r="BG162" s="619">
        <f t="shared" si="109"/>
        <v>1650.4333333333334</v>
      </c>
      <c r="BH162" s="619">
        <f t="shared" si="110"/>
        <v>811.25</v>
      </c>
      <c r="BI162" s="619">
        <f t="shared" si="111"/>
        <v>2408.09375</v>
      </c>
      <c r="BJ162" s="619">
        <f t="shared" si="112"/>
        <v>0</v>
      </c>
      <c r="BK162" s="619">
        <f t="shared" si="113"/>
        <v>102.93333333333334</v>
      </c>
      <c r="BL162" s="619"/>
      <c r="BM162" s="619">
        <f t="shared" si="114"/>
        <v>1336.6676666666667</v>
      </c>
      <c r="BN162" s="619">
        <f t="shared" si="115"/>
        <v>477.23883333333339</v>
      </c>
      <c r="BO162" s="619">
        <f t="shared" si="116"/>
        <v>0</v>
      </c>
      <c r="BP162" s="619">
        <f t="shared" si="117"/>
        <v>97.898666666666671</v>
      </c>
      <c r="BQ162" s="518">
        <f t="shared" si="122"/>
        <v>10965.007249999997</v>
      </c>
    </row>
    <row r="163" spans="1:69" s="585" customFormat="1">
      <c r="A163" s="308" t="s">
        <v>50</v>
      </c>
      <c r="B163" s="308">
        <f t="shared" si="123"/>
        <v>2028</v>
      </c>
      <c r="C163" s="308" t="s">
        <v>102</v>
      </c>
      <c r="D163" s="518"/>
      <c r="E163" s="518"/>
      <c r="F163" s="308"/>
      <c r="H163" s="518"/>
      <c r="I163" s="518"/>
      <c r="J163" s="518">
        <f t="shared" si="121"/>
        <v>0</v>
      </c>
      <c r="K163" s="518">
        <f t="shared" si="118"/>
        <v>9616192.6599999983</v>
      </c>
      <c r="L163" s="518"/>
      <c r="M163" s="518"/>
      <c r="N163" s="518">
        <f t="shared" si="119"/>
        <v>9616192.6599999983</v>
      </c>
      <c r="O163" s="518"/>
      <c r="P163" s="518">
        <f t="shared" si="120"/>
        <v>0</v>
      </c>
      <c r="R163" s="519"/>
      <c r="S163" s="519"/>
      <c r="T163" s="519"/>
      <c r="U163" s="519"/>
      <c r="V163" s="519"/>
      <c r="W163" s="519"/>
      <c r="X163" s="519"/>
      <c r="Y163" s="519"/>
      <c r="Z163" s="519"/>
      <c r="AA163" s="519"/>
      <c r="AB163" s="519"/>
      <c r="AC163" s="519"/>
      <c r="AD163" s="519"/>
      <c r="AE163" s="519"/>
      <c r="AF163" s="519"/>
      <c r="AG163" s="519"/>
      <c r="AH163" s="519"/>
      <c r="AI163" s="519"/>
      <c r="AJ163" s="519"/>
      <c r="AK163" s="519"/>
      <c r="AL163" s="519"/>
      <c r="AM163" s="519"/>
      <c r="AN163" s="519"/>
      <c r="AO163" s="519"/>
      <c r="AP163" s="519"/>
      <c r="AQ163" s="519"/>
      <c r="AR163" s="519"/>
      <c r="AS163" s="519"/>
      <c r="AT163" s="519"/>
      <c r="AU163" s="519"/>
      <c r="AV163" s="519"/>
      <c r="AW163" s="519"/>
      <c r="AX163" s="519"/>
      <c r="AY163" s="519"/>
      <c r="AZ163" s="519"/>
      <c r="BA163" s="519"/>
      <c r="BB163" s="519"/>
      <c r="BC163" s="519"/>
      <c r="BD163" s="519"/>
      <c r="BE163" s="518">
        <f t="shared" si="107"/>
        <v>1540.15</v>
      </c>
      <c r="BF163" s="518">
        <f t="shared" si="108"/>
        <v>1080.8333333333333</v>
      </c>
      <c r="BG163" s="619">
        <f t="shared" si="109"/>
        <v>1650.4333333333334</v>
      </c>
      <c r="BH163" s="619">
        <f t="shared" si="110"/>
        <v>811.25</v>
      </c>
      <c r="BI163" s="619">
        <f t="shared" si="111"/>
        <v>2408.09375</v>
      </c>
      <c r="BJ163" s="619">
        <f t="shared" si="112"/>
        <v>0</v>
      </c>
      <c r="BK163" s="619">
        <f t="shared" si="113"/>
        <v>102.93333333333334</v>
      </c>
      <c r="BL163" s="619"/>
      <c r="BM163" s="619">
        <f t="shared" si="114"/>
        <v>1336.6676666666667</v>
      </c>
      <c r="BN163" s="619">
        <f t="shared" si="115"/>
        <v>477.23883333333339</v>
      </c>
      <c r="BO163" s="619">
        <f t="shared" si="116"/>
        <v>0</v>
      </c>
      <c r="BP163" s="619">
        <f t="shared" si="117"/>
        <v>97.898666666666671</v>
      </c>
      <c r="BQ163" s="518">
        <f t="shared" si="122"/>
        <v>9505.4989166666655</v>
      </c>
    </row>
    <row r="164" spans="1:69" s="585" customFormat="1">
      <c r="A164" s="308" t="s">
        <v>51</v>
      </c>
      <c r="B164" s="308">
        <f t="shared" si="123"/>
        <v>2028</v>
      </c>
      <c r="C164" s="308" t="s">
        <v>102</v>
      </c>
      <c r="D164" s="518"/>
      <c r="E164" s="518"/>
      <c r="F164" s="308"/>
      <c r="H164" s="518"/>
      <c r="I164" s="518"/>
      <c r="J164" s="518">
        <f t="shared" si="121"/>
        <v>0</v>
      </c>
      <c r="K164" s="518"/>
      <c r="L164" s="518"/>
      <c r="M164" s="518"/>
      <c r="N164" s="518"/>
      <c r="O164" s="518"/>
      <c r="P164" s="518"/>
      <c r="R164" s="519"/>
      <c r="S164" s="519"/>
      <c r="T164" s="519"/>
      <c r="U164" s="519"/>
      <c r="V164" s="519"/>
      <c r="W164" s="519"/>
      <c r="X164" s="519"/>
      <c r="Y164" s="519"/>
      <c r="Z164" s="519"/>
      <c r="AA164" s="519"/>
      <c r="AB164" s="519"/>
      <c r="AC164" s="519"/>
      <c r="AD164" s="519"/>
      <c r="AE164" s="519"/>
      <c r="AF164" s="519"/>
      <c r="AG164" s="519"/>
      <c r="AH164" s="519"/>
      <c r="AI164" s="519"/>
      <c r="AJ164" s="519"/>
      <c r="AK164" s="519"/>
      <c r="AL164" s="519"/>
      <c r="AM164" s="519"/>
      <c r="AN164" s="519"/>
      <c r="AO164" s="519"/>
      <c r="AP164" s="519"/>
      <c r="AQ164" s="519"/>
      <c r="AR164" s="519"/>
      <c r="AS164" s="519"/>
      <c r="AT164" s="519"/>
      <c r="AU164" s="519"/>
      <c r="AV164" s="519"/>
      <c r="AW164" s="519"/>
      <c r="AX164" s="519"/>
      <c r="AY164" s="519"/>
      <c r="AZ164" s="519"/>
      <c r="BA164" s="519"/>
      <c r="BB164" s="519"/>
      <c r="BC164" s="519"/>
      <c r="BD164" s="519"/>
      <c r="BE164" s="519"/>
      <c r="BF164" s="518">
        <f t="shared" si="108"/>
        <v>1080.8333333333333</v>
      </c>
      <c r="BG164" s="619">
        <f t="shared" si="109"/>
        <v>1650.4333333333334</v>
      </c>
      <c r="BH164" s="619">
        <f t="shared" si="110"/>
        <v>811.25</v>
      </c>
      <c r="BI164" s="619">
        <f t="shared" si="111"/>
        <v>2408.09375</v>
      </c>
      <c r="BJ164" s="619">
        <f t="shared" si="112"/>
        <v>0</v>
      </c>
      <c r="BK164" s="619">
        <f t="shared" si="113"/>
        <v>102.93333333333334</v>
      </c>
      <c r="BL164" s="619"/>
      <c r="BM164" s="619">
        <f t="shared" si="114"/>
        <v>1336.6676666666667</v>
      </c>
      <c r="BN164" s="619">
        <f t="shared" si="115"/>
        <v>477.23883333333339</v>
      </c>
      <c r="BO164" s="619">
        <f t="shared" si="116"/>
        <v>0</v>
      </c>
      <c r="BP164" s="619">
        <f t="shared" si="117"/>
        <v>97.898666666666671</v>
      </c>
      <c r="BQ164" s="518">
        <f t="shared" si="122"/>
        <v>7965.3489166666677</v>
      </c>
    </row>
    <row r="165" spans="1:69" s="585" customFormat="1">
      <c r="A165" s="308" t="s">
        <v>52</v>
      </c>
      <c r="B165" s="308">
        <f t="shared" si="123"/>
        <v>2028</v>
      </c>
      <c r="C165" s="308" t="s">
        <v>102</v>
      </c>
      <c r="D165" s="518"/>
      <c r="E165" s="518"/>
      <c r="F165" s="518"/>
      <c r="G165" s="518"/>
      <c r="H165" s="518"/>
      <c r="I165" s="518"/>
      <c r="J165" s="518">
        <f t="shared" ref="J165:J172" si="124">SUM(D165:H165)</f>
        <v>0</v>
      </c>
      <c r="K165" s="518"/>
      <c r="L165" s="518"/>
      <c r="M165" s="518"/>
      <c r="N165" s="518"/>
      <c r="O165" s="518"/>
      <c r="P165" s="518"/>
      <c r="R165" s="519"/>
      <c r="S165" s="519"/>
      <c r="T165" s="519"/>
      <c r="U165" s="519"/>
      <c r="V165" s="519"/>
      <c r="W165" s="519"/>
      <c r="X165" s="519"/>
      <c r="Y165" s="519"/>
      <c r="Z165" s="519"/>
      <c r="AA165" s="519"/>
      <c r="AB165" s="519"/>
      <c r="AC165" s="519"/>
      <c r="AD165" s="519"/>
      <c r="AE165" s="519"/>
      <c r="AF165" s="519"/>
      <c r="AG165" s="519"/>
      <c r="AH165" s="519"/>
      <c r="AI165" s="519"/>
      <c r="AJ165" s="519"/>
      <c r="AK165" s="519"/>
      <c r="AL165" s="519"/>
      <c r="AM165" s="519"/>
      <c r="AN165" s="519"/>
      <c r="AO165" s="519"/>
      <c r="AP165" s="519"/>
      <c r="AQ165" s="519"/>
      <c r="AR165" s="519"/>
      <c r="AS165" s="519"/>
      <c r="AT165" s="519"/>
      <c r="AU165" s="519"/>
      <c r="AV165" s="519"/>
      <c r="AW165" s="519"/>
      <c r="AX165" s="519"/>
      <c r="AY165" s="519"/>
      <c r="AZ165" s="519"/>
      <c r="BA165" s="519"/>
      <c r="BB165" s="519"/>
      <c r="BC165" s="519"/>
      <c r="BD165" s="519"/>
      <c r="BE165" s="519"/>
      <c r="BF165" s="519"/>
      <c r="BG165" s="619">
        <f t="shared" si="109"/>
        <v>1650.4333333333334</v>
      </c>
      <c r="BH165" s="619">
        <f t="shared" si="110"/>
        <v>811.25</v>
      </c>
      <c r="BI165" s="619">
        <f t="shared" si="111"/>
        <v>2408.09375</v>
      </c>
      <c r="BJ165" s="619">
        <f t="shared" si="112"/>
        <v>0</v>
      </c>
      <c r="BK165" s="619">
        <f t="shared" si="113"/>
        <v>102.93333333333334</v>
      </c>
      <c r="BL165" s="619"/>
      <c r="BM165" s="619">
        <f t="shared" si="114"/>
        <v>1336.6676666666667</v>
      </c>
      <c r="BN165" s="619">
        <f t="shared" si="115"/>
        <v>477.23883333333339</v>
      </c>
      <c r="BO165" s="619">
        <f t="shared" si="116"/>
        <v>0</v>
      </c>
      <c r="BP165" s="619">
        <f t="shared" si="117"/>
        <v>97.898666666666671</v>
      </c>
      <c r="BQ165" s="518">
        <f t="shared" si="122"/>
        <v>6884.5155833333338</v>
      </c>
    </row>
    <row r="166" spans="1:69" s="585" customFormat="1">
      <c r="A166" s="308" t="s">
        <v>53</v>
      </c>
      <c r="B166" s="308">
        <f t="shared" si="123"/>
        <v>2029</v>
      </c>
      <c r="C166" s="308" t="s">
        <v>102</v>
      </c>
      <c r="D166" s="518"/>
      <c r="E166" s="518"/>
      <c r="F166" s="518"/>
      <c r="G166" s="518"/>
      <c r="H166" s="518"/>
      <c r="I166" s="518"/>
      <c r="J166" s="518">
        <f t="shared" si="124"/>
        <v>0</v>
      </c>
      <c r="K166" s="518"/>
      <c r="L166" s="518"/>
      <c r="M166" s="518"/>
      <c r="N166" s="518"/>
      <c r="O166" s="518"/>
      <c r="P166" s="518"/>
      <c r="R166" s="519"/>
      <c r="S166" s="519"/>
      <c r="T166" s="519"/>
      <c r="U166" s="519"/>
      <c r="V166" s="519"/>
      <c r="W166" s="519"/>
      <c r="X166" s="519"/>
      <c r="Y166" s="519"/>
      <c r="Z166" s="519"/>
      <c r="AA166" s="519"/>
      <c r="AB166" s="519"/>
      <c r="AC166" s="519"/>
      <c r="AD166" s="519"/>
      <c r="AE166" s="519"/>
      <c r="AF166" s="519"/>
      <c r="AG166" s="519"/>
      <c r="AH166" s="519"/>
      <c r="AI166" s="519"/>
      <c r="AJ166" s="519"/>
      <c r="AK166" s="519"/>
      <c r="AL166" s="519"/>
      <c r="AM166" s="519"/>
      <c r="AN166" s="519"/>
      <c r="AO166" s="519"/>
      <c r="AP166" s="519"/>
      <c r="AQ166" s="519"/>
      <c r="AR166" s="519"/>
      <c r="AS166" s="519"/>
      <c r="AT166" s="519"/>
      <c r="AU166" s="519"/>
      <c r="AV166" s="519"/>
      <c r="AW166" s="519"/>
      <c r="AX166" s="519"/>
      <c r="AY166" s="519"/>
      <c r="AZ166" s="519"/>
      <c r="BA166" s="519"/>
      <c r="BB166" s="519"/>
      <c r="BC166" s="519"/>
      <c r="BD166" s="519"/>
      <c r="BE166" s="519"/>
      <c r="BF166" s="519"/>
      <c r="BG166" s="519"/>
      <c r="BH166" s="619">
        <f t="shared" si="110"/>
        <v>811.25</v>
      </c>
      <c r="BI166" s="619">
        <f t="shared" si="111"/>
        <v>2408.09375</v>
      </c>
      <c r="BJ166" s="619">
        <f t="shared" si="112"/>
        <v>0</v>
      </c>
      <c r="BK166" s="619">
        <f t="shared" si="113"/>
        <v>102.93333333333334</v>
      </c>
      <c r="BL166" s="619"/>
      <c r="BM166" s="619">
        <f t="shared" si="114"/>
        <v>1336.6676666666667</v>
      </c>
      <c r="BN166" s="619">
        <f t="shared" si="115"/>
        <v>477.23883333333339</v>
      </c>
      <c r="BO166" s="619">
        <f t="shared" si="116"/>
        <v>0</v>
      </c>
      <c r="BP166" s="619">
        <f t="shared" si="117"/>
        <v>97.898666666666671</v>
      </c>
      <c r="BQ166" s="518">
        <f t="shared" si="122"/>
        <v>5234.0822500000013</v>
      </c>
    </row>
    <row r="167" spans="1:69" s="585" customFormat="1">
      <c r="A167" s="308" t="s">
        <v>54</v>
      </c>
      <c r="B167" s="308">
        <f t="shared" si="123"/>
        <v>2029</v>
      </c>
      <c r="C167" s="308" t="s">
        <v>102</v>
      </c>
      <c r="D167" s="518"/>
      <c r="E167" s="518"/>
      <c r="F167" s="518"/>
      <c r="G167" s="518"/>
      <c r="H167" s="518"/>
      <c r="I167" s="518"/>
      <c r="J167" s="518">
        <f t="shared" si="124"/>
        <v>0</v>
      </c>
      <c r="K167" s="518"/>
      <c r="L167" s="518"/>
      <c r="M167" s="518"/>
      <c r="N167" s="518"/>
      <c r="O167" s="518"/>
      <c r="P167" s="518"/>
      <c r="R167" s="519"/>
      <c r="S167" s="519"/>
      <c r="T167" s="519"/>
      <c r="U167" s="519"/>
      <c r="V167" s="519"/>
      <c r="W167" s="519"/>
      <c r="X167" s="519"/>
      <c r="Y167" s="519"/>
      <c r="Z167" s="519"/>
      <c r="AA167" s="519"/>
      <c r="AB167" s="519"/>
      <c r="AC167" s="519"/>
      <c r="AD167" s="519"/>
      <c r="AE167" s="519"/>
      <c r="AF167" s="519"/>
      <c r="AG167" s="519"/>
      <c r="AH167" s="519"/>
      <c r="AI167" s="519"/>
      <c r="AJ167" s="519"/>
      <c r="AK167" s="519"/>
      <c r="AL167" s="519"/>
      <c r="AM167" s="519"/>
      <c r="AN167" s="519"/>
      <c r="AO167" s="519"/>
      <c r="AP167" s="519"/>
      <c r="AQ167" s="519"/>
      <c r="AR167" s="519"/>
      <c r="AS167" s="519"/>
      <c r="AT167" s="519"/>
      <c r="AU167" s="519"/>
      <c r="AV167" s="519"/>
      <c r="AW167" s="519"/>
      <c r="AX167" s="519"/>
      <c r="AY167" s="519"/>
      <c r="AZ167" s="519"/>
      <c r="BA167" s="519"/>
      <c r="BB167" s="519"/>
      <c r="BC167" s="519"/>
      <c r="BD167" s="519"/>
      <c r="BE167" s="519"/>
      <c r="BF167" s="519"/>
      <c r="BG167" s="519"/>
      <c r="BH167" s="519"/>
      <c r="BI167" s="619">
        <f t="shared" si="111"/>
        <v>2408.09375</v>
      </c>
      <c r="BJ167" s="619">
        <f t="shared" si="112"/>
        <v>0</v>
      </c>
      <c r="BK167" s="619">
        <f t="shared" si="113"/>
        <v>102.93333333333334</v>
      </c>
      <c r="BL167" s="619"/>
      <c r="BM167" s="619">
        <f t="shared" si="114"/>
        <v>1336.6676666666667</v>
      </c>
      <c r="BN167" s="619">
        <f t="shared" si="115"/>
        <v>477.23883333333339</v>
      </c>
      <c r="BO167" s="619">
        <f t="shared" si="116"/>
        <v>0</v>
      </c>
      <c r="BP167" s="619">
        <f t="shared" si="117"/>
        <v>97.898666666666671</v>
      </c>
      <c r="BQ167" s="518">
        <f t="shared" si="122"/>
        <v>4422.8322500000004</v>
      </c>
    </row>
    <row r="168" spans="1:69" s="585" customFormat="1">
      <c r="A168" s="308" t="s">
        <v>55</v>
      </c>
      <c r="B168" s="308">
        <f t="shared" si="123"/>
        <v>2029</v>
      </c>
      <c r="C168" s="308" t="s">
        <v>102</v>
      </c>
      <c r="D168" s="518"/>
      <c r="E168" s="518"/>
      <c r="F168" s="518"/>
      <c r="G168" s="518"/>
      <c r="H168" s="518"/>
      <c r="I168" s="518"/>
      <c r="J168" s="518">
        <f t="shared" si="124"/>
        <v>0</v>
      </c>
      <c r="K168" s="518"/>
      <c r="L168" s="518"/>
      <c r="M168" s="518"/>
      <c r="N168" s="518"/>
      <c r="O168" s="518"/>
      <c r="P168" s="518"/>
      <c r="R168" s="519"/>
      <c r="S168" s="519"/>
      <c r="T168" s="519"/>
      <c r="U168" s="519"/>
      <c r="V168" s="519"/>
      <c r="W168" s="519"/>
      <c r="X168" s="519"/>
      <c r="Y168" s="519"/>
      <c r="Z168" s="519"/>
      <c r="AA168" s="519"/>
      <c r="AB168" s="519"/>
      <c r="AC168" s="519"/>
      <c r="AD168" s="519"/>
      <c r="AE168" s="519"/>
      <c r="AF168" s="519"/>
      <c r="AG168" s="519"/>
      <c r="AH168" s="519"/>
      <c r="AI168" s="519"/>
      <c r="AJ168" s="519"/>
      <c r="AK168" s="519"/>
      <c r="AL168" s="519"/>
      <c r="AM168" s="519"/>
      <c r="AN168" s="519"/>
      <c r="AO168" s="519"/>
      <c r="AP168" s="519"/>
      <c r="AQ168" s="519"/>
      <c r="AR168" s="519"/>
      <c r="AS168" s="519"/>
      <c r="AT168" s="519"/>
      <c r="AU168" s="519"/>
      <c r="AV168" s="519"/>
      <c r="AW168" s="519"/>
      <c r="AX168" s="519"/>
      <c r="AY168" s="519"/>
      <c r="AZ168" s="519"/>
      <c r="BA168" s="519"/>
      <c r="BB168" s="519"/>
      <c r="BC168" s="519"/>
      <c r="BD168" s="519"/>
      <c r="BE168" s="519"/>
      <c r="BF168" s="519"/>
      <c r="BG168" s="519"/>
      <c r="BH168" s="519"/>
      <c r="BI168" s="519"/>
      <c r="BJ168" s="619">
        <f t="shared" si="112"/>
        <v>0</v>
      </c>
      <c r="BK168" s="619">
        <f t="shared" si="113"/>
        <v>102.93333333333334</v>
      </c>
      <c r="BL168" s="619"/>
      <c r="BM168" s="619">
        <f t="shared" si="114"/>
        <v>1336.6676666666667</v>
      </c>
      <c r="BN168" s="619">
        <f t="shared" si="115"/>
        <v>477.23883333333339</v>
      </c>
      <c r="BO168" s="619">
        <f t="shared" si="116"/>
        <v>0</v>
      </c>
      <c r="BP168" s="619">
        <f t="shared" si="117"/>
        <v>97.898666666666671</v>
      </c>
      <c r="BQ168" s="518">
        <f t="shared" si="122"/>
        <v>2014.7385000000002</v>
      </c>
    </row>
    <row r="169" spans="1:69" s="585" customFormat="1">
      <c r="A169" s="308" t="s">
        <v>56</v>
      </c>
      <c r="B169" s="308">
        <f t="shared" si="123"/>
        <v>2029</v>
      </c>
      <c r="C169" s="308" t="s">
        <v>102</v>
      </c>
      <c r="D169" s="518"/>
      <c r="E169" s="518"/>
      <c r="F169" s="518"/>
      <c r="G169" s="518"/>
      <c r="H169" s="518"/>
      <c r="I169" s="518"/>
      <c r="J169" s="518">
        <f t="shared" si="124"/>
        <v>0</v>
      </c>
      <c r="K169" s="518"/>
      <c r="L169" s="518"/>
      <c r="M169" s="518"/>
      <c r="N169" s="518"/>
      <c r="O169" s="518"/>
      <c r="P169" s="518"/>
      <c r="R169" s="519"/>
      <c r="S169" s="519"/>
      <c r="T169" s="519"/>
      <c r="U169" s="519"/>
      <c r="V169" s="519"/>
      <c r="W169" s="519"/>
      <c r="X169" s="519"/>
      <c r="Y169" s="519"/>
      <c r="Z169" s="519"/>
      <c r="AA169" s="519"/>
      <c r="AB169" s="519"/>
      <c r="AC169" s="519"/>
      <c r="AD169" s="519"/>
      <c r="AE169" s="519"/>
      <c r="AF169" s="519"/>
      <c r="AG169" s="519"/>
      <c r="AH169" s="519"/>
      <c r="AI169" s="519"/>
      <c r="AJ169" s="519"/>
      <c r="AK169" s="519"/>
      <c r="AL169" s="519"/>
      <c r="AM169" s="519"/>
      <c r="AN169" s="519"/>
      <c r="AO169" s="519"/>
      <c r="AP169" s="519"/>
      <c r="AQ169" s="519"/>
      <c r="AR169" s="519"/>
      <c r="AS169" s="519"/>
      <c r="AT169" s="519"/>
      <c r="AU169" s="519"/>
      <c r="AV169" s="519"/>
      <c r="AW169" s="519"/>
      <c r="AX169" s="519"/>
      <c r="AY169" s="519"/>
      <c r="AZ169" s="519"/>
      <c r="BA169" s="519"/>
      <c r="BB169" s="519"/>
      <c r="BC169" s="519"/>
      <c r="BD169" s="519"/>
      <c r="BE169" s="519"/>
      <c r="BF169" s="519"/>
      <c r="BG169" s="519"/>
      <c r="BH169" s="519"/>
      <c r="BI169" s="519"/>
      <c r="BJ169" s="519"/>
      <c r="BK169" s="619">
        <f t="shared" si="113"/>
        <v>102.93333333333334</v>
      </c>
      <c r="BL169" s="619"/>
      <c r="BM169" s="619">
        <f t="shared" si="114"/>
        <v>1336.6676666666667</v>
      </c>
      <c r="BN169" s="619">
        <f t="shared" si="115"/>
        <v>477.23883333333339</v>
      </c>
      <c r="BO169" s="619">
        <f t="shared" si="116"/>
        <v>0</v>
      </c>
      <c r="BP169" s="619">
        <f t="shared" si="117"/>
        <v>97.898666666666671</v>
      </c>
      <c r="BQ169" s="518">
        <f t="shared" si="122"/>
        <v>2014.7385000000002</v>
      </c>
    </row>
    <row r="170" spans="1:69" s="585" customFormat="1">
      <c r="A170" s="308" t="s">
        <v>57</v>
      </c>
      <c r="B170" s="308">
        <f t="shared" si="123"/>
        <v>2029</v>
      </c>
      <c r="C170" s="308" t="s">
        <v>102</v>
      </c>
      <c r="D170" s="518"/>
      <c r="E170" s="518"/>
      <c r="F170" s="518"/>
      <c r="G170" s="518"/>
      <c r="H170" s="518"/>
      <c r="I170" s="518"/>
      <c r="J170" s="518">
        <f t="shared" si="124"/>
        <v>0</v>
      </c>
      <c r="K170" s="518"/>
      <c r="L170" s="518"/>
      <c r="M170" s="518"/>
      <c r="N170" s="518"/>
      <c r="O170" s="518"/>
      <c r="P170" s="518"/>
      <c r="R170" s="519"/>
      <c r="S170" s="519"/>
      <c r="T170" s="519"/>
      <c r="U170" s="519"/>
      <c r="V170" s="519"/>
      <c r="W170" s="519"/>
      <c r="X170" s="519"/>
      <c r="Y170" s="519"/>
      <c r="Z170" s="519"/>
      <c r="AA170" s="519"/>
      <c r="AB170" s="519"/>
      <c r="AC170" s="519"/>
      <c r="AD170" s="519"/>
      <c r="AE170" s="519"/>
      <c r="AF170" s="519"/>
      <c r="AG170" s="519"/>
      <c r="AH170" s="519"/>
      <c r="AI170" s="519"/>
      <c r="AJ170" s="519"/>
      <c r="AK170" s="519"/>
      <c r="AL170" s="519"/>
      <c r="AM170" s="519"/>
      <c r="AN170" s="519"/>
      <c r="AO170" s="519"/>
      <c r="AP170" s="519"/>
      <c r="AQ170" s="519"/>
      <c r="AR170" s="519"/>
      <c r="AS170" s="519"/>
      <c r="AT170" s="519"/>
      <c r="AU170" s="519"/>
      <c r="AV170" s="519"/>
      <c r="AW170" s="519"/>
      <c r="AX170" s="519"/>
      <c r="AY170" s="519"/>
      <c r="AZ170" s="519"/>
      <c r="BA170" s="519"/>
      <c r="BB170" s="519"/>
      <c r="BC170" s="519"/>
      <c r="BD170" s="519"/>
      <c r="BE170" s="519"/>
      <c r="BF170" s="519"/>
      <c r="BG170" s="519"/>
      <c r="BH170" s="519"/>
      <c r="BI170" s="519"/>
      <c r="BJ170" s="519"/>
      <c r="BK170" s="519"/>
      <c r="BL170" s="519"/>
      <c r="BM170" s="619">
        <f t="shared" si="114"/>
        <v>1336.6676666666667</v>
      </c>
      <c r="BN170" s="619">
        <f t="shared" si="115"/>
        <v>477.23883333333339</v>
      </c>
      <c r="BO170" s="619">
        <f t="shared" si="116"/>
        <v>0</v>
      </c>
      <c r="BP170" s="619">
        <f t="shared" si="117"/>
        <v>97.898666666666671</v>
      </c>
      <c r="BQ170" s="518">
        <f t="shared" si="122"/>
        <v>1911.8051666666668</v>
      </c>
    </row>
    <row r="171" spans="1:69" s="585" customFormat="1">
      <c r="A171" s="308" t="s">
        <v>58</v>
      </c>
      <c r="B171" s="308">
        <f t="shared" si="123"/>
        <v>2029</v>
      </c>
      <c r="C171" s="308" t="s">
        <v>102</v>
      </c>
      <c r="D171" s="518"/>
      <c r="E171" s="518"/>
      <c r="F171" s="518"/>
      <c r="G171" s="518"/>
      <c r="H171" s="518"/>
      <c r="I171" s="518"/>
      <c r="J171" s="518">
        <f t="shared" si="124"/>
        <v>0</v>
      </c>
      <c r="K171" s="518"/>
      <c r="L171" s="518"/>
      <c r="M171" s="518"/>
      <c r="N171" s="518"/>
      <c r="O171" s="518"/>
      <c r="P171" s="518"/>
      <c r="R171" s="519"/>
      <c r="S171" s="519"/>
      <c r="T171" s="519"/>
      <c r="U171" s="519"/>
      <c r="V171" s="519"/>
      <c r="W171" s="519"/>
      <c r="X171" s="519"/>
      <c r="Y171" s="519"/>
      <c r="Z171" s="519"/>
      <c r="AA171" s="519"/>
      <c r="AB171" s="519"/>
      <c r="AC171" s="519"/>
      <c r="AD171" s="519"/>
      <c r="AE171" s="519"/>
      <c r="AF171" s="519"/>
      <c r="AG171" s="519"/>
      <c r="AH171" s="519"/>
      <c r="AI171" s="519"/>
      <c r="AJ171" s="519"/>
      <c r="AK171" s="519"/>
      <c r="AL171" s="519"/>
      <c r="AM171" s="519"/>
      <c r="AN171" s="519"/>
      <c r="AO171" s="519"/>
      <c r="AP171" s="519"/>
      <c r="AQ171" s="519"/>
      <c r="AR171" s="519"/>
      <c r="AS171" s="519"/>
      <c r="AT171" s="519"/>
      <c r="AU171" s="519"/>
      <c r="AV171" s="519"/>
      <c r="AW171" s="519"/>
      <c r="AX171" s="519"/>
      <c r="AY171" s="519"/>
      <c r="AZ171" s="519"/>
      <c r="BA171" s="519"/>
      <c r="BB171" s="519"/>
      <c r="BC171" s="519"/>
      <c r="BD171" s="519"/>
      <c r="BE171" s="519"/>
      <c r="BF171" s="519"/>
      <c r="BG171" s="519"/>
      <c r="BH171" s="519"/>
      <c r="BI171" s="519"/>
      <c r="BJ171" s="519"/>
      <c r="BK171" s="519"/>
      <c r="BL171" s="519"/>
      <c r="BM171" s="619">
        <f t="shared" si="114"/>
        <v>1336.6676666666667</v>
      </c>
      <c r="BN171" s="619">
        <f t="shared" si="115"/>
        <v>477.23883333333339</v>
      </c>
      <c r="BO171" s="619">
        <f t="shared" si="116"/>
        <v>0</v>
      </c>
      <c r="BP171" s="619">
        <f t="shared" si="117"/>
        <v>97.898666666666671</v>
      </c>
      <c r="BQ171" s="518">
        <f t="shared" si="122"/>
        <v>1911.8051666666668</v>
      </c>
    </row>
    <row r="172" spans="1:69" s="585" customFormat="1">
      <c r="A172" s="308" t="s">
        <v>59</v>
      </c>
      <c r="B172" s="308">
        <f t="shared" si="123"/>
        <v>2029</v>
      </c>
      <c r="C172" s="308" t="s">
        <v>102</v>
      </c>
      <c r="D172" s="518"/>
      <c r="E172" s="518"/>
      <c r="F172" s="518"/>
      <c r="G172" s="518"/>
      <c r="H172" s="518"/>
      <c r="I172" s="518"/>
      <c r="J172" s="518">
        <f t="shared" si="124"/>
        <v>0</v>
      </c>
      <c r="K172" s="518"/>
      <c r="L172" s="518"/>
      <c r="M172" s="518"/>
      <c r="N172" s="518"/>
      <c r="O172" s="518"/>
      <c r="P172" s="518"/>
      <c r="R172" s="519"/>
      <c r="S172" s="519"/>
      <c r="T172" s="519"/>
      <c r="U172" s="519"/>
      <c r="V172" s="519"/>
      <c r="W172" s="519"/>
      <c r="X172" s="519"/>
      <c r="Y172" s="519"/>
      <c r="Z172" s="519"/>
      <c r="AA172" s="519"/>
      <c r="AB172" s="519"/>
      <c r="AC172" s="519"/>
      <c r="AD172" s="519"/>
      <c r="AE172" s="519"/>
      <c r="AF172" s="519"/>
      <c r="AG172" s="519"/>
      <c r="AH172" s="519"/>
      <c r="AI172" s="519"/>
      <c r="AJ172" s="519"/>
      <c r="AK172" s="519"/>
      <c r="AL172" s="519"/>
      <c r="AM172" s="519"/>
      <c r="AN172" s="519"/>
      <c r="AO172" s="519"/>
      <c r="AP172" s="519"/>
      <c r="AQ172" s="519"/>
      <c r="AR172" s="519"/>
      <c r="AS172" s="519"/>
      <c r="AT172" s="519"/>
      <c r="AU172" s="519"/>
      <c r="AV172" s="519"/>
      <c r="AW172" s="519"/>
      <c r="AX172" s="519"/>
      <c r="AY172" s="519"/>
      <c r="AZ172" s="519"/>
      <c r="BA172" s="519"/>
      <c r="BB172" s="519"/>
      <c r="BC172" s="519"/>
      <c r="BD172" s="519"/>
      <c r="BE172" s="519"/>
      <c r="BF172" s="519"/>
      <c r="BG172" s="519"/>
      <c r="BH172" s="519"/>
      <c r="BI172" s="519"/>
      <c r="BJ172" s="519"/>
      <c r="BK172" s="519"/>
      <c r="BL172" s="519"/>
      <c r="BM172" s="519"/>
      <c r="BN172" s="619">
        <f t="shared" si="115"/>
        <v>477.23883333333339</v>
      </c>
      <c r="BO172" s="619">
        <f t="shared" si="116"/>
        <v>0</v>
      </c>
      <c r="BP172" s="619">
        <f t="shared" si="117"/>
        <v>97.898666666666671</v>
      </c>
      <c r="BQ172" s="518">
        <f t="shared" si="122"/>
        <v>575.13750000000005</v>
      </c>
    </row>
    <row r="173" spans="1:69" s="585" customFormat="1">
      <c r="A173" s="308" t="s">
        <v>328</v>
      </c>
      <c r="B173" s="308">
        <v>2029</v>
      </c>
      <c r="C173" s="308" t="s">
        <v>102</v>
      </c>
      <c r="D173" s="518"/>
      <c r="E173" s="518"/>
      <c r="F173" s="518"/>
      <c r="G173" s="518"/>
      <c r="H173" s="518"/>
      <c r="I173" s="518"/>
      <c r="J173" s="518">
        <f t="shared" ref="J173:J174" si="125">SUM(D173:H173)</f>
        <v>0</v>
      </c>
      <c r="K173" s="518"/>
      <c r="L173" s="518"/>
      <c r="M173" s="518"/>
      <c r="N173" s="518"/>
      <c r="O173" s="518"/>
      <c r="P173" s="518"/>
      <c r="R173" s="519"/>
      <c r="S173" s="519"/>
      <c r="T173" s="519"/>
      <c r="U173" s="519"/>
      <c r="V173" s="519"/>
      <c r="W173" s="519"/>
      <c r="X173" s="519"/>
      <c r="Y173" s="519"/>
      <c r="Z173" s="519"/>
      <c r="AA173" s="519"/>
      <c r="AB173" s="519"/>
      <c r="AC173" s="519"/>
      <c r="AD173" s="519"/>
      <c r="AE173" s="519"/>
      <c r="AF173" s="519"/>
      <c r="AG173" s="519"/>
      <c r="AH173" s="519"/>
      <c r="AI173" s="519"/>
      <c r="AJ173" s="519"/>
      <c r="AK173" s="519"/>
      <c r="AL173" s="519"/>
      <c r="AM173" s="519"/>
      <c r="AN173" s="519"/>
      <c r="AO173" s="519"/>
      <c r="AP173" s="519"/>
      <c r="AQ173" s="519"/>
      <c r="AR173" s="519"/>
      <c r="AS173" s="519"/>
      <c r="AT173" s="519"/>
      <c r="AU173" s="519"/>
      <c r="AV173" s="519"/>
      <c r="AW173" s="519"/>
      <c r="AX173" s="519"/>
      <c r="AY173" s="519"/>
      <c r="AZ173" s="519"/>
      <c r="BA173" s="519"/>
      <c r="BB173" s="519"/>
      <c r="BC173" s="519"/>
      <c r="BD173" s="519"/>
      <c r="BE173" s="519"/>
      <c r="BF173" s="519"/>
      <c r="BG173" s="519"/>
      <c r="BH173" s="519"/>
      <c r="BI173" s="519"/>
      <c r="BJ173" s="519"/>
      <c r="BK173" s="519"/>
      <c r="BL173" s="519"/>
      <c r="BM173" s="519"/>
      <c r="BN173" s="519"/>
      <c r="BO173" s="619">
        <f t="shared" si="116"/>
        <v>0</v>
      </c>
      <c r="BP173" s="619">
        <f t="shared" si="117"/>
        <v>97.898666666666671</v>
      </c>
      <c r="BQ173" s="518">
        <f t="shared" si="122"/>
        <v>97.898666666666671</v>
      </c>
    </row>
    <row r="174" spans="1:69" s="585" customFormat="1">
      <c r="A174" s="628">
        <v>47362</v>
      </c>
      <c r="B174" s="308">
        <v>2029</v>
      </c>
      <c r="C174" s="308" t="s">
        <v>102</v>
      </c>
      <c r="D174" s="518"/>
      <c r="E174" s="518"/>
      <c r="F174" s="518"/>
      <c r="G174" s="518"/>
      <c r="H174" s="518"/>
      <c r="I174" s="518"/>
      <c r="J174" s="518">
        <f t="shared" si="125"/>
        <v>0</v>
      </c>
      <c r="K174" s="518"/>
      <c r="L174" s="518"/>
      <c r="M174" s="518"/>
      <c r="N174" s="518"/>
      <c r="O174" s="518"/>
      <c r="P174" s="518"/>
      <c r="R174" s="519"/>
      <c r="S174" s="519"/>
      <c r="T174" s="519"/>
      <c r="U174" s="519"/>
      <c r="V174" s="519"/>
      <c r="W174" s="519"/>
      <c r="X174" s="519"/>
      <c r="Y174" s="519"/>
      <c r="Z174" s="519"/>
      <c r="AA174" s="519"/>
      <c r="AB174" s="519"/>
      <c r="AC174" s="519"/>
      <c r="AD174" s="519"/>
      <c r="AE174" s="519"/>
      <c r="AF174" s="519"/>
      <c r="AG174" s="519"/>
      <c r="AH174" s="519"/>
      <c r="AI174" s="519"/>
      <c r="AJ174" s="519"/>
      <c r="AK174" s="519"/>
      <c r="AL174" s="519"/>
      <c r="AM174" s="519"/>
      <c r="AN174" s="519"/>
      <c r="AO174" s="519"/>
      <c r="AP174" s="519"/>
      <c r="AQ174" s="519"/>
      <c r="AR174" s="519"/>
      <c r="AS174" s="519"/>
      <c r="AT174" s="519"/>
      <c r="AU174" s="519"/>
      <c r="AV174" s="519"/>
      <c r="AW174" s="519"/>
      <c r="AX174" s="519"/>
      <c r="AY174" s="519"/>
      <c r="AZ174" s="519"/>
      <c r="BA174" s="519"/>
      <c r="BB174" s="519"/>
      <c r="BC174" s="519"/>
      <c r="BD174" s="519"/>
      <c r="BE174" s="519"/>
      <c r="BF174" s="519"/>
      <c r="BG174" s="519"/>
      <c r="BH174" s="519"/>
      <c r="BI174" s="519"/>
      <c r="BJ174" s="519"/>
      <c r="BK174" s="519"/>
      <c r="BL174" s="519"/>
      <c r="BM174" s="519"/>
      <c r="BN174" s="519"/>
      <c r="BO174" s="519"/>
      <c r="BP174" s="619">
        <f t="shared" si="117"/>
        <v>97.898666666666671</v>
      </c>
      <c r="BQ174" s="518">
        <f t="shared" si="122"/>
        <v>97.898666666666671</v>
      </c>
    </row>
    <row r="175" spans="1:69" s="585" customFormat="1">
      <c r="A175" s="308"/>
      <c r="B175" s="308"/>
      <c r="C175" s="308"/>
      <c r="D175" s="518"/>
      <c r="E175" s="518"/>
      <c r="F175" s="518"/>
      <c r="G175" s="518"/>
      <c r="H175" s="518"/>
      <c r="I175" s="518"/>
      <c r="J175" s="518"/>
      <c r="K175" s="518"/>
      <c r="L175" s="518"/>
      <c r="M175" s="518"/>
      <c r="N175" s="518"/>
      <c r="O175" s="518"/>
      <c r="P175" s="518"/>
      <c r="R175" s="519"/>
      <c r="S175" s="519"/>
      <c r="T175" s="519"/>
      <c r="U175" s="519"/>
      <c r="V175" s="519"/>
      <c r="W175" s="519"/>
      <c r="X175" s="519"/>
      <c r="Y175" s="519"/>
      <c r="Z175" s="519"/>
      <c r="AA175" s="519"/>
      <c r="AB175" s="519"/>
      <c r="AC175" s="519"/>
      <c r="AD175" s="519"/>
      <c r="AE175" s="519"/>
      <c r="AF175" s="519"/>
      <c r="AG175" s="519"/>
      <c r="AH175" s="519"/>
      <c r="AI175" s="519"/>
      <c r="AJ175" s="519"/>
      <c r="AK175" s="519"/>
      <c r="AL175" s="519"/>
      <c r="AM175" s="519"/>
      <c r="AN175" s="519"/>
      <c r="AO175" s="519"/>
      <c r="AP175" s="519"/>
      <c r="AQ175" s="519"/>
      <c r="AR175" s="519"/>
      <c r="AS175" s="519"/>
      <c r="AT175" s="519"/>
      <c r="AU175" s="519"/>
      <c r="AV175" s="519"/>
      <c r="AW175" s="519"/>
      <c r="AX175" s="519"/>
      <c r="AY175" s="519"/>
      <c r="AZ175" s="519"/>
      <c r="BA175" s="519"/>
      <c r="BB175" s="519"/>
      <c r="BC175" s="519"/>
      <c r="BD175" s="519"/>
      <c r="BE175" s="519"/>
      <c r="BF175" s="519"/>
      <c r="BG175" s="519"/>
      <c r="BH175" s="519"/>
      <c r="BI175" s="519"/>
      <c r="BJ175" s="519"/>
      <c r="BK175" s="519"/>
      <c r="BL175" s="519"/>
      <c r="BM175" s="519"/>
      <c r="BN175" s="519"/>
      <c r="BO175" s="519"/>
      <c r="BP175" s="519"/>
      <c r="BQ175" s="519"/>
    </row>
    <row r="176" spans="1:69" s="585" customFormat="1">
      <c r="A176" s="308"/>
      <c r="B176" s="308"/>
      <c r="C176" s="308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R176" s="519"/>
      <c r="S176" s="519"/>
      <c r="T176" s="519"/>
      <c r="U176" s="519"/>
      <c r="V176" s="519"/>
      <c r="W176" s="519"/>
      <c r="X176" s="519"/>
      <c r="Y176" s="519"/>
      <c r="Z176" s="519"/>
      <c r="AA176" s="519"/>
      <c r="AB176" s="519"/>
      <c r="AC176" s="519"/>
      <c r="AD176" s="519"/>
      <c r="AE176" s="519"/>
      <c r="AF176" s="519"/>
      <c r="AG176" s="519"/>
      <c r="AH176" s="519"/>
      <c r="AI176" s="519"/>
      <c r="AJ176" s="519"/>
      <c r="AK176" s="519"/>
      <c r="AL176" s="519"/>
      <c r="AM176" s="519"/>
      <c r="AN176" s="519"/>
      <c r="AO176" s="519"/>
      <c r="AP176" s="519"/>
      <c r="AQ176" s="519"/>
      <c r="AR176" s="519"/>
      <c r="AS176" s="519"/>
      <c r="AT176" s="519"/>
      <c r="AU176" s="519"/>
      <c r="AV176" s="519"/>
      <c r="AW176" s="519"/>
      <c r="AX176" s="519"/>
      <c r="AY176" s="519"/>
      <c r="AZ176" s="519"/>
      <c r="BA176" s="519"/>
      <c r="BB176" s="519"/>
      <c r="BC176" s="519"/>
      <c r="BD176" s="519"/>
      <c r="BE176" s="519"/>
      <c r="BF176" s="519"/>
      <c r="BG176" s="519"/>
      <c r="BH176" s="519"/>
      <c r="BI176" s="519"/>
      <c r="BJ176" s="519"/>
      <c r="BK176" s="519"/>
      <c r="BL176" s="519"/>
      <c r="BM176" s="519"/>
      <c r="BN176" s="519"/>
      <c r="BO176" s="519"/>
      <c r="BP176" s="519"/>
      <c r="BQ176" s="519"/>
    </row>
    <row r="177" spans="1:69" s="585" customFormat="1">
      <c r="A177" s="308"/>
      <c r="B177" s="308"/>
      <c r="C177" s="308"/>
      <c r="D177" s="518"/>
      <c r="E177" s="518"/>
      <c r="F177" s="518"/>
      <c r="G177" s="518"/>
      <c r="H177" s="518"/>
      <c r="I177" s="518"/>
      <c r="J177" s="518"/>
      <c r="K177" s="518"/>
      <c r="L177" s="518"/>
      <c r="M177" s="518"/>
      <c r="N177" s="518"/>
      <c r="O177" s="518"/>
      <c r="P177" s="518"/>
      <c r="R177" s="519"/>
      <c r="S177" s="519"/>
      <c r="T177" s="519"/>
      <c r="U177" s="519"/>
      <c r="V177" s="519"/>
      <c r="W177" s="519"/>
      <c r="X177" s="519"/>
      <c r="Y177" s="519"/>
      <c r="Z177" s="519"/>
      <c r="AA177" s="519"/>
      <c r="AB177" s="519"/>
      <c r="AC177" s="519"/>
      <c r="AD177" s="519"/>
      <c r="AE177" s="519"/>
      <c r="AF177" s="519"/>
      <c r="AG177" s="519"/>
      <c r="AH177" s="519"/>
      <c r="AI177" s="519"/>
      <c r="AJ177" s="519"/>
      <c r="AK177" s="519"/>
      <c r="AL177" s="519"/>
      <c r="AM177" s="519"/>
      <c r="AN177" s="519"/>
      <c r="AO177" s="519"/>
      <c r="AP177" s="519"/>
      <c r="AQ177" s="519"/>
      <c r="AR177" s="519"/>
      <c r="AS177" s="519"/>
      <c r="AT177" s="519"/>
      <c r="AU177" s="519"/>
      <c r="AV177" s="519"/>
      <c r="AW177" s="519"/>
      <c r="AX177" s="519"/>
      <c r="AY177" s="519"/>
      <c r="AZ177" s="519"/>
      <c r="BA177" s="519"/>
      <c r="BB177" s="519"/>
      <c r="BC177" s="519"/>
      <c r="BD177" s="519"/>
      <c r="BE177" s="519"/>
      <c r="BF177" s="519"/>
      <c r="BG177" s="519"/>
      <c r="BH177" s="519"/>
      <c r="BI177" s="519"/>
      <c r="BJ177" s="519"/>
      <c r="BK177" s="519"/>
      <c r="BL177" s="519"/>
      <c r="BM177" s="519"/>
      <c r="BN177" s="519"/>
      <c r="BO177" s="519"/>
      <c r="BP177" s="519"/>
      <c r="BQ177" s="519"/>
    </row>
    <row r="178" spans="1:69" s="585" customFormat="1">
      <c r="A178" s="308"/>
      <c r="B178" s="308"/>
      <c r="C178" s="308"/>
      <c r="D178" s="518"/>
      <c r="E178" s="518"/>
      <c r="F178" s="518"/>
      <c r="G178" s="518"/>
      <c r="H178" s="518"/>
      <c r="I178" s="518"/>
      <c r="J178" s="518"/>
      <c r="K178" s="518"/>
      <c r="L178" s="518"/>
      <c r="M178" s="518"/>
      <c r="N178" s="518"/>
      <c r="O178" s="518"/>
      <c r="P178" s="518"/>
      <c r="R178" s="519"/>
      <c r="S178" s="519"/>
      <c r="T178" s="519"/>
      <c r="U178" s="519"/>
      <c r="V178" s="519"/>
      <c r="W178" s="519"/>
      <c r="X178" s="519"/>
      <c r="Y178" s="519"/>
      <c r="Z178" s="519"/>
      <c r="AA178" s="519"/>
      <c r="AB178" s="519"/>
      <c r="AC178" s="519"/>
      <c r="AD178" s="519"/>
      <c r="AE178" s="519"/>
      <c r="AF178" s="519"/>
      <c r="AG178" s="519"/>
      <c r="AH178" s="519"/>
      <c r="AI178" s="519"/>
      <c r="AJ178" s="519"/>
      <c r="AK178" s="519"/>
      <c r="AL178" s="519"/>
      <c r="AM178" s="519"/>
      <c r="AN178" s="519"/>
      <c r="AO178" s="519"/>
      <c r="AP178" s="519"/>
      <c r="AQ178" s="519"/>
      <c r="AR178" s="519"/>
      <c r="AS178" s="519"/>
      <c r="AT178" s="519"/>
      <c r="AU178" s="519"/>
      <c r="AV178" s="519"/>
      <c r="AW178" s="519"/>
      <c r="AX178" s="519"/>
      <c r="AY178" s="519"/>
      <c r="AZ178" s="519"/>
      <c r="BA178" s="519"/>
      <c r="BB178" s="519"/>
      <c r="BC178" s="519"/>
      <c r="BD178" s="519"/>
      <c r="BE178" s="519"/>
      <c r="BF178" s="519"/>
      <c r="BG178" s="519"/>
      <c r="BH178" s="519"/>
      <c r="BI178" s="519"/>
      <c r="BJ178" s="519"/>
      <c r="BK178" s="519"/>
      <c r="BL178" s="519"/>
      <c r="BM178" s="519"/>
      <c r="BN178" s="519"/>
      <c r="BO178" s="519"/>
      <c r="BP178" s="519"/>
      <c r="BQ178" s="519"/>
    </row>
    <row r="179" spans="1:69" s="585" customFormat="1">
      <c r="A179" s="308"/>
      <c r="B179" s="308"/>
      <c r="C179" s="308"/>
      <c r="D179" s="518"/>
      <c r="E179" s="518"/>
      <c r="F179" s="518"/>
      <c r="G179" s="518"/>
      <c r="H179" s="518"/>
      <c r="I179" s="518"/>
      <c r="J179" s="518"/>
      <c r="K179" s="518"/>
      <c r="L179" s="518"/>
      <c r="M179" s="518"/>
      <c r="N179" s="518"/>
      <c r="O179" s="518"/>
      <c r="P179" s="518"/>
      <c r="R179" s="519"/>
      <c r="S179" s="519"/>
      <c r="T179" s="519"/>
      <c r="U179" s="519"/>
      <c r="V179" s="519"/>
      <c r="W179" s="519"/>
      <c r="X179" s="519"/>
      <c r="Y179" s="519"/>
      <c r="Z179" s="519"/>
      <c r="AA179" s="519"/>
      <c r="AB179" s="519"/>
      <c r="AC179" s="519"/>
      <c r="AD179" s="519"/>
      <c r="AE179" s="519"/>
      <c r="AF179" s="519"/>
      <c r="AG179" s="519"/>
      <c r="AH179" s="519"/>
      <c r="AI179" s="519"/>
      <c r="AJ179" s="519"/>
      <c r="AK179" s="519"/>
      <c r="AL179" s="519"/>
      <c r="AM179" s="519"/>
      <c r="AN179" s="519"/>
      <c r="AO179" s="519"/>
      <c r="AP179" s="519"/>
      <c r="AQ179" s="519"/>
      <c r="AR179" s="519"/>
      <c r="AS179" s="519"/>
      <c r="AT179" s="519"/>
      <c r="AU179" s="519"/>
      <c r="AV179" s="519"/>
      <c r="AW179" s="519"/>
      <c r="AX179" s="519"/>
      <c r="AY179" s="519"/>
      <c r="AZ179" s="519"/>
      <c r="BA179" s="519"/>
      <c r="BB179" s="519"/>
      <c r="BC179" s="519"/>
      <c r="BD179" s="519"/>
      <c r="BE179" s="519"/>
      <c r="BF179" s="519"/>
      <c r="BG179" s="519"/>
      <c r="BH179" s="519"/>
      <c r="BI179" s="519"/>
      <c r="BJ179" s="519"/>
      <c r="BK179" s="519"/>
      <c r="BL179" s="519"/>
      <c r="BM179" s="519"/>
      <c r="BN179" s="519"/>
      <c r="BO179" s="519"/>
      <c r="BP179" s="519"/>
      <c r="BQ179" s="519"/>
    </row>
    <row r="180" spans="1:69" s="585" customFormat="1">
      <c r="A180" s="308"/>
      <c r="B180" s="308"/>
      <c r="C180" s="308"/>
      <c r="D180" s="518"/>
      <c r="E180" s="518"/>
      <c r="F180" s="518"/>
      <c r="G180" s="518"/>
      <c r="H180" s="518"/>
      <c r="I180" s="518"/>
      <c r="J180" s="518"/>
      <c r="K180" s="518"/>
      <c r="L180" s="518"/>
      <c r="M180" s="518"/>
      <c r="N180" s="518"/>
      <c r="O180" s="518"/>
      <c r="P180" s="518"/>
    </row>
    <row r="181" spans="1:69" s="585" customFormat="1">
      <c r="A181" s="308"/>
      <c r="B181" s="308"/>
      <c r="C181" s="308"/>
      <c r="D181" s="518"/>
      <c r="E181" s="518"/>
      <c r="F181" s="518"/>
      <c r="G181" s="518"/>
      <c r="H181" s="518"/>
      <c r="I181" s="518"/>
      <c r="J181" s="518"/>
      <c r="K181" s="518"/>
      <c r="L181" s="518"/>
      <c r="M181" s="518"/>
      <c r="N181" s="518"/>
      <c r="O181" s="518"/>
      <c r="P181" s="518"/>
    </row>
    <row r="182" spans="1:69" s="585" customFormat="1">
      <c r="A182" s="308"/>
      <c r="B182" s="308"/>
      <c r="C182" s="308"/>
      <c r="D182" s="518"/>
      <c r="E182" s="518"/>
      <c r="F182" s="518"/>
      <c r="G182" s="518"/>
      <c r="H182" s="518"/>
      <c r="I182" s="518"/>
      <c r="J182" s="518"/>
      <c r="K182" s="518"/>
      <c r="L182" s="518"/>
      <c r="M182" s="518"/>
      <c r="N182" s="518"/>
      <c r="O182" s="518"/>
      <c r="P182" s="518"/>
    </row>
    <row r="183" spans="1:69" s="585" customFormat="1">
      <c r="A183" s="308"/>
      <c r="B183" s="308"/>
      <c r="C183" s="308"/>
      <c r="D183" s="518"/>
      <c r="E183" s="518"/>
      <c r="F183" s="518"/>
      <c r="G183" s="518"/>
      <c r="H183" s="518"/>
      <c r="I183" s="518"/>
      <c r="J183" s="518"/>
      <c r="K183" s="518"/>
      <c r="L183" s="518"/>
      <c r="M183" s="518"/>
      <c r="N183" s="518"/>
      <c r="O183" s="518"/>
      <c r="P183" s="518"/>
    </row>
    <row r="184" spans="1:69" s="585" customFormat="1">
      <c r="A184" s="308"/>
      <c r="B184" s="308"/>
      <c r="C184" s="308"/>
      <c r="D184" s="518"/>
      <c r="E184" s="518"/>
      <c r="F184" s="518"/>
      <c r="G184" s="518"/>
      <c r="H184" s="518"/>
      <c r="I184" s="518"/>
      <c r="J184" s="518"/>
      <c r="K184" s="518"/>
      <c r="L184" s="518"/>
      <c r="M184" s="518"/>
      <c r="N184" s="518"/>
      <c r="O184" s="518"/>
      <c r="P184" s="518"/>
    </row>
    <row r="185" spans="1:69" s="585" customFormat="1">
      <c r="D185" s="518"/>
      <c r="E185" s="518"/>
      <c r="F185" s="518"/>
      <c r="G185" s="518"/>
      <c r="H185" s="518"/>
      <c r="I185" s="518"/>
      <c r="J185" s="518"/>
      <c r="K185" s="518"/>
      <c r="L185" s="518"/>
      <c r="M185" s="518"/>
      <c r="N185" s="518"/>
      <c r="O185" s="518"/>
      <c r="P185" s="518"/>
    </row>
    <row r="186" spans="1:69" s="585" customFormat="1">
      <c r="D186" s="518"/>
      <c r="E186" s="518"/>
      <c r="F186" s="518"/>
      <c r="G186" s="518"/>
      <c r="H186" s="518"/>
      <c r="I186" s="518"/>
      <c r="J186" s="518"/>
      <c r="K186" s="518"/>
      <c r="L186" s="518"/>
      <c r="M186" s="518"/>
      <c r="N186" s="518"/>
      <c r="O186" s="518"/>
      <c r="P186" s="518"/>
    </row>
    <row r="187" spans="1:69" s="585" customFormat="1">
      <c r="D187" s="518"/>
      <c r="E187" s="518"/>
      <c r="F187" s="518"/>
      <c r="G187" s="518"/>
      <c r="H187" s="518"/>
      <c r="I187" s="518"/>
      <c r="J187" s="518"/>
      <c r="K187" s="518"/>
      <c r="L187" s="518"/>
      <c r="M187" s="518"/>
      <c r="N187" s="518"/>
      <c r="O187" s="518"/>
      <c r="P187" s="518"/>
    </row>
    <row r="188" spans="1:69" s="585" customFormat="1">
      <c r="D188" s="518"/>
      <c r="E188" s="518"/>
      <c r="F188" s="518"/>
      <c r="G188" s="518"/>
      <c r="H188" s="518"/>
      <c r="I188" s="518"/>
      <c r="J188" s="518"/>
      <c r="K188" s="518"/>
      <c r="L188" s="518"/>
      <c r="M188" s="518"/>
      <c r="N188" s="518"/>
      <c r="O188" s="518"/>
      <c r="P188" s="518"/>
    </row>
    <row r="189" spans="1:69" s="585" customFormat="1">
      <c r="D189" s="518"/>
      <c r="E189" s="518"/>
      <c r="F189" s="518"/>
      <c r="G189" s="518"/>
      <c r="H189" s="518"/>
      <c r="I189" s="518"/>
      <c r="J189" s="518"/>
      <c r="K189" s="518"/>
      <c r="L189" s="518"/>
      <c r="M189" s="518"/>
      <c r="N189" s="518"/>
      <c r="O189" s="518"/>
      <c r="P189" s="518"/>
    </row>
    <row r="190" spans="1:69" s="585" customFormat="1">
      <c r="D190" s="518"/>
      <c r="E190" s="518"/>
      <c r="F190" s="518"/>
      <c r="G190" s="518"/>
      <c r="H190" s="518"/>
      <c r="I190" s="518"/>
      <c r="J190" s="518"/>
      <c r="K190" s="518"/>
      <c r="L190" s="518"/>
      <c r="M190" s="518"/>
      <c r="N190" s="518"/>
      <c r="O190" s="518"/>
      <c r="P190" s="518"/>
    </row>
    <row r="191" spans="1:69" s="585" customFormat="1">
      <c r="D191" s="518"/>
      <c r="E191" s="518"/>
      <c r="F191" s="518"/>
      <c r="G191" s="518"/>
      <c r="H191" s="518"/>
      <c r="I191" s="518"/>
      <c r="J191" s="518"/>
      <c r="K191" s="518"/>
      <c r="L191" s="518"/>
      <c r="M191" s="518"/>
      <c r="N191" s="518"/>
      <c r="O191" s="518"/>
      <c r="P191" s="518"/>
    </row>
    <row r="192" spans="1:69" s="585" customFormat="1">
      <c r="D192" s="518"/>
      <c r="E192" s="518"/>
      <c r="F192" s="518"/>
      <c r="G192" s="518"/>
      <c r="H192" s="518"/>
      <c r="I192" s="518"/>
      <c r="J192" s="518"/>
      <c r="K192" s="518"/>
      <c r="L192" s="518"/>
      <c r="M192" s="518"/>
      <c r="N192" s="518"/>
      <c r="O192" s="518"/>
      <c r="P192" s="518"/>
    </row>
    <row r="193" spans="4:16" s="585" customFormat="1">
      <c r="D193" s="518"/>
      <c r="E193" s="518"/>
      <c r="F193" s="518"/>
      <c r="G193" s="518"/>
      <c r="H193" s="518"/>
      <c r="I193" s="518"/>
      <c r="J193" s="518"/>
      <c r="K193" s="518"/>
      <c r="L193" s="518"/>
      <c r="M193" s="518"/>
      <c r="N193" s="518"/>
      <c r="O193" s="518"/>
      <c r="P193" s="518"/>
    </row>
    <row r="194" spans="4:16" s="585" customFormat="1">
      <c r="D194" s="518"/>
      <c r="E194" s="518"/>
      <c r="F194" s="518"/>
      <c r="G194" s="518"/>
      <c r="H194" s="518"/>
      <c r="I194" s="518"/>
      <c r="J194" s="518"/>
      <c r="K194" s="518"/>
      <c r="L194" s="518"/>
      <c r="M194" s="518"/>
      <c r="N194" s="518"/>
      <c r="O194" s="518"/>
      <c r="P194" s="518"/>
    </row>
    <row r="195" spans="4:16" s="585" customFormat="1">
      <c r="D195" s="518"/>
      <c r="E195" s="518"/>
      <c r="F195" s="518"/>
      <c r="G195" s="518"/>
      <c r="H195" s="518"/>
      <c r="I195" s="518"/>
      <c r="J195" s="518"/>
      <c r="K195" s="518"/>
      <c r="L195" s="518"/>
      <c r="M195" s="518"/>
      <c r="N195" s="518"/>
      <c r="O195" s="518"/>
      <c r="P195" s="518"/>
    </row>
    <row r="196" spans="4:16" s="585" customFormat="1">
      <c r="D196" s="518"/>
      <c r="E196" s="518"/>
      <c r="F196" s="518"/>
      <c r="G196" s="518"/>
      <c r="H196" s="518"/>
      <c r="I196" s="518"/>
      <c r="J196" s="518"/>
      <c r="K196" s="518"/>
      <c r="L196" s="518"/>
      <c r="M196" s="518"/>
      <c r="N196" s="518"/>
      <c r="O196" s="518"/>
      <c r="P196" s="518"/>
    </row>
    <row r="197" spans="4:16" s="585" customFormat="1">
      <c r="D197" s="518"/>
      <c r="E197" s="518"/>
      <c r="F197" s="518"/>
      <c r="G197" s="518"/>
      <c r="H197" s="518"/>
      <c r="I197" s="518"/>
      <c r="J197" s="518"/>
      <c r="K197" s="518"/>
      <c r="L197" s="518"/>
      <c r="M197" s="518"/>
      <c r="N197" s="518"/>
      <c r="O197" s="518"/>
      <c r="P197" s="518"/>
    </row>
    <row r="198" spans="4:16" s="585" customFormat="1">
      <c r="D198" s="518"/>
      <c r="E198" s="518"/>
      <c r="F198" s="518"/>
      <c r="G198" s="518"/>
      <c r="H198" s="518"/>
      <c r="I198" s="518"/>
      <c r="J198" s="518"/>
      <c r="K198" s="518"/>
      <c r="L198" s="518"/>
      <c r="M198" s="518"/>
      <c r="N198" s="518"/>
      <c r="O198" s="518"/>
      <c r="P198" s="518"/>
    </row>
    <row r="199" spans="4:16" s="585" customFormat="1"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</row>
    <row r="200" spans="4:16" s="585" customFormat="1">
      <c r="D200" s="518"/>
      <c r="E200" s="518"/>
      <c r="F200" s="518"/>
      <c r="G200" s="518"/>
      <c r="H200" s="518"/>
      <c r="I200" s="518"/>
      <c r="J200" s="518"/>
      <c r="K200" s="518"/>
      <c r="L200" s="518"/>
      <c r="M200" s="518"/>
      <c r="N200" s="518"/>
      <c r="O200" s="518"/>
      <c r="P200" s="518"/>
    </row>
    <row r="201" spans="4:16" s="585" customFormat="1">
      <c r="D201" s="518"/>
      <c r="E201" s="518"/>
      <c r="F201" s="518"/>
      <c r="G201" s="518"/>
      <c r="H201" s="518"/>
      <c r="I201" s="518"/>
      <c r="J201" s="518"/>
      <c r="K201" s="518"/>
      <c r="L201" s="518"/>
      <c r="M201" s="518"/>
      <c r="N201" s="518"/>
      <c r="O201" s="518"/>
      <c r="P201" s="518"/>
    </row>
    <row r="202" spans="4:16" s="585" customFormat="1">
      <c r="D202" s="518"/>
      <c r="E202" s="518"/>
      <c r="F202" s="518"/>
      <c r="G202" s="518"/>
      <c r="H202" s="518"/>
      <c r="I202" s="518"/>
      <c r="J202" s="518"/>
      <c r="K202" s="518"/>
      <c r="L202" s="518"/>
      <c r="M202" s="518"/>
      <c r="N202" s="518"/>
      <c r="O202" s="518"/>
      <c r="P202" s="518"/>
    </row>
    <row r="203" spans="4:16" s="585" customFormat="1">
      <c r="D203" s="518"/>
      <c r="E203" s="518"/>
      <c r="F203" s="518"/>
      <c r="G203" s="518"/>
      <c r="H203" s="518"/>
      <c r="I203" s="518"/>
      <c r="J203" s="518"/>
      <c r="K203" s="518"/>
      <c r="L203" s="518"/>
      <c r="M203" s="518"/>
      <c r="N203" s="518"/>
      <c r="O203" s="518"/>
      <c r="P203" s="518"/>
    </row>
    <row r="204" spans="4:16" s="585" customFormat="1">
      <c r="D204" s="518"/>
      <c r="E204" s="518"/>
      <c r="F204" s="518"/>
      <c r="G204" s="518"/>
      <c r="H204" s="518"/>
      <c r="I204" s="518"/>
      <c r="J204" s="518"/>
      <c r="K204" s="518"/>
      <c r="L204" s="518"/>
      <c r="M204" s="518"/>
      <c r="N204" s="518"/>
      <c r="O204" s="518"/>
      <c r="P204" s="518"/>
    </row>
    <row r="205" spans="4:16">
      <c r="D205" s="20"/>
      <c r="E205" s="20"/>
      <c r="F205" s="20"/>
      <c r="G205" s="20"/>
      <c r="H205" s="20"/>
      <c r="I205" s="20"/>
      <c r="J205" s="20"/>
      <c r="K205" s="114"/>
      <c r="L205" s="114"/>
      <c r="M205" s="114"/>
      <c r="N205" s="20"/>
      <c r="O205" s="114"/>
      <c r="P205" s="20"/>
    </row>
    <row r="206" spans="4:16">
      <c r="D206" s="20"/>
      <c r="E206" s="20"/>
      <c r="F206" s="20"/>
      <c r="G206" s="20"/>
      <c r="H206" s="20"/>
      <c r="I206" s="20"/>
      <c r="J206" s="20"/>
      <c r="K206" s="114"/>
      <c r="L206" s="114"/>
      <c r="M206" s="114"/>
      <c r="N206" s="20"/>
      <c r="O206" s="114"/>
      <c r="P206" s="20"/>
    </row>
    <row r="207" spans="4:16">
      <c r="D207" s="20"/>
      <c r="E207" s="20"/>
      <c r="F207" s="20"/>
      <c r="G207" s="20"/>
      <c r="H207" s="20"/>
      <c r="I207" s="20"/>
      <c r="J207" s="20"/>
      <c r="K207" s="114"/>
      <c r="L207" s="114"/>
      <c r="M207" s="114"/>
      <c r="N207" s="20"/>
      <c r="O207" s="114"/>
      <c r="P207" s="20"/>
    </row>
    <row r="208" spans="4:16">
      <c r="D208" s="20"/>
      <c r="E208" s="20"/>
      <c r="F208" s="20"/>
      <c r="G208" s="20"/>
      <c r="H208" s="20"/>
      <c r="I208" s="20"/>
      <c r="J208" s="20"/>
      <c r="K208" s="114"/>
      <c r="L208" s="114"/>
      <c r="M208" s="114"/>
      <c r="N208" s="20"/>
      <c r="O208" s="114"/>
      <c r="P208" s="20"/>
    </row>
    <row r="209" spans="4:16">
      <c r="D209" s="20"/>
      <c r="E209" s="20"/>
      <c r="F209" s="20"/>
      <c r="G209" s="20"/>
      <c r="H209" s="20"/>
      <c r="I209" s="20"/>
      <c r="J209" s="20"/>
      <c r="K209" s="114"/>
      <c r="L209" s="114"/>
      <c r="M209" s="114"/>
      <c r="N209" s="20"/>
      <c r="O209" s="114"/>
      <c r="P209" s="20"/>
    </row>
    <row r="210" spans="4:16">
      <c r="D210" s="20"/>
      <c r="E210" s="20"/>
      <c r="F210" s="20"/>
      <c r="G210" s="20"/>
      <c r="H210" s="20"/>
      <c r="I210" s="20"/>
      <c r="J210" s="20"/>
      <c r="K210" s="114"/>
      <c r="L210" s="114"/>
      <c r="M210" s="114"/>
      <c r="N210" s="20"/>
      <c r="O210" s="114"/>
      <c r="P210" s="20"/>
    </row>
  </sheetData>
  <mergeCells count="2">
    <mergeCell ref="R1:BQ1"/>
    <mergeCell ref="D1:P1"/>
  </mergeCells>
  <pageMargins left="0.7" right="0.7" top="0.75" bottom="0.75" header="0.3" footer="0.3"/>
  <pageSetup scale="2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FQ241"/>
  <sheetViews>
    <sheetView tabSelected="1" zoomScale="86" zoomScaleNormal="86" zoomScaleSheetLayoutView="100" workbookViewId="0">
      <pane xSplit="3" ySplit="7" topLeftCell="U8" activePane="bottomRight" state="frozen"/>
      <selection activeCell="H14" sqref="H14"/>
      <selection pane="topRight" activeCell="H14" sqref="H14"/>
      <selection pane="bottomLeft" activeCell="H14" sqref="H14"/>
      <selection pane="bottomRight" activeCell="U8" sqref="U8"/>
    </sheetView>
  </sheetViews>
  <sheetFormatPr defaultColWidth="9.140625" defaultRowHeight="15" outlineLevelRow="1" outlineLevelCol="1"/>
  <cols>
    <col min="1" max="1" width="6.7109375" style="348" customWidth="1"/>
    <col min="2" max="2" width="6.42578125" style="348" bestFit="1" customWidth="1"/>
    <col min="3" max="3" width="5.7109375" style="348" customWidth="1"/>
    <col min="4" max="4" width="25.7109375" style="348" hidden="1" customWidth="1" outlineLevel="1"/>
    <col min="5" max="5" width="14.85546875" style="348" hidden="1" customWidth="1" outlineLevel="1"/>
    <col min="6" max="6" width="14.7109375" style="349" hidden="1" customWidth="1" outlineLevel="1"/>
    <col min="7" max="7" width="3" style="350" hidden="1" customWidth="1" collapsed="1"/>
    <col min="8" max="8" width="20.28515625" style="350" hidden="1" customWidth="1" outlineLevel="1"/>
    <col min="9" max="9" width="13.5703125" style="350" hidden="1" customWidth="1" outlineLevel="1"/>
    <col min="10" max="10" width="14.7109375" style="350" hidden="1" customWidth="1" outlineLevel="1"/>
    <col min="11" max="11" width="3.42578125" style="350" hidden="1" customWidth="1" collapsed="1"/>
    <col min="12" max="12" width="20.28515625" style="350" hidden="1" customWidth="1" outlineLevel="1"/>
    <col min="13" max="13" width="14.85546875" style="350" hidden="1" customWidth="1" outlineLevel="1"/>
    <col min="14" max="14" width="14.7109375" style="350" hidden="1" customWidth="1" outlineLevel="1"/>
    <col min="15" max="15" width="3.42578125" style="350" hidden="1" customWidth="1" collapsed="1"/>
    <col min="16" max="16" width="16.7109375" style="350" hidden="1" customWidth="1"/>
    <col min="17" max="17" width="14.85546875" style="350" hidden="1" customWidth="1"/>
    <col min="18" max="18" width="14.7109375" style="350" hidden="1" customWidth="1"/>
    <col min="19" max="19" width="20.28515625" style="350" hidden="1" customWidth="1"/>
    <col min="20" max="20" width="6.28515625" style="350" hidden="1" customWidth="1"/>
    <col min="21" max="21" width="11.42578125" style="350" customWidth="1"/>
    <col min="22" max="22" width="12" style="350" customWidth="1"/>
    <col min="23" max="23" width="12.42578125" style="350" customWidth="1"/>
    <col min="24" max="24" width="16.7109375" style="350" customWidth="1"/>
    <col min="25" max="25" width="3.42578125" style="350" customWidth="1"/>
    <col min="26" max="26" width="16.28515625" style="350" customWidth="1"/>
    <col min="27" max="27" width="11.42578125" style="350" customWidth="1"/>
    <col min="28" max="28" width="16.28515625" style="348" customWidth="1"/>
    <col min="29" max="29" width="4.28515625" style="351" customWidth="1"/>
    <col min="30" max="30" width="14.85546875" style="348" hidden="1" customWidth="1" outlineLevel="1"/>
    <col min="31" max="31" width="6.28515625" style="348" hidden="1" customWidth="1" outlineLevel="1"/>
    <col min="32" max="34" width="11.42578125" style="348" hidden="1" customWidth="1" outlineLevel="1"/>
    <col min="35" max="35" width="14.85546875" style="348" hidden="1" customWidth="1" outlineLevel="1"/>
    <col min="36" max="36" width="6.28515625" style="348" hidden="1" customWidth="1" outlineLevel="1"/>
    <col min="37" max="37" width="17.5703125" style="348" hidden="1" customWidth="1" outlineLevel="1"/>
    <col min="38" max="38" width="16.28515625" style="348" hidden="1" customWidth="1" outlineLevel="1"/>
    <col min="39" max="39" width="13.5703125" style="348" hidden="1" customWidth="1" outlineLevel="1"/>
    <col min="40" max="40" width="3.140625" style="348" hidden="1" customWidth="1" collapsed="1"/>
    <col min="41" max="41" width="14.85546875" style="348" hidden="1" customWidth="1"/>
    <col min="42" max="42" width="7" style="348" hidden="1" customWidth="1"/>
    <col min="43" max="47" width="11.42578125" style="348" hidden="1" customWidth="1"/>
    <col min="48" max="48" width="14.85546875" style="348" hidden="1" customWidth="1"/>
    <col min="49" max="49" width="3.140625" style="348" hidden="1" customWidth="1"/>
    <col min="50" max="51" width="14.85546875" style="348" hidden="1" customWidth="1"/>
    <col min="52" max="52" width="6.28515625" style="351" hidden="1" customWidth="1"/>
    <col min="53" max="53" width="14.140625" style="348" bestFit="1" customWidth="1"/>
    <col min="54" max="54" width="2.7109375" style="348" customWidth="1"/>
    <col min="55" max="55" width="7.42578125" style="348" customWidth="1"/>
    <col min="56" max="57" width="8.28515625" style="348" customWidth="1"/>
    <col min="58" max="58" width="10.5703125" style="348" bestFit="1" customWidth="1"/>
    <col min="59" max="59" width="11.42578125" style="348" bestFit="1" customWidth="1"/>
    <col min="60" max="60" width="14.85546875" style="348" bestFit="1" customWidth="1"/>
    <col min="61" max="61" width="2.28515625" style="348" customWidth="1"/>
    <col min="62" max="62" width="9.28515625" style="348" customWidth="1"/>
    <col min="63" max="63" width="13.5703125" style="348" bestFit="1" customWidth="1"/>
    <col min="64" max="64" width="3.42578125" style="348" customWidth="1"/>
    <col min="65" max="65" width="13.42578125" style="348" customWidth="1"/>
    <col min="66" max="66" width="3.42578125" style="348" customWidth="1"/>
    <col min="67" max="67" width="8.140625" style="348" customWidth="1"/>
    <col min="68" max="69" width="8.28515625" style="348" customWidth="1"/>
    <col min="70" max="70" width="12" style="348" customWidth="1"/>
    <col min="71" max="71" width="12.140625" style="348" customWidth="1"/>
    <col min="72" max="72" width="13.28515625" style="348" customWidth="1"/>
    <col min="73" max="73" width="2.140625" style="348" customWidth="1"/>
    <col min="74" max="74" width="7.7109375" style="348" customWidth="1"/>
    <col min="75" max="75" width="13.7109375" style="348" customWidth="1"/>
    <col min="76" max="76" width="2.7109375" style="348" customWidth="1"/>
    <col min="77" max="77" width="11.28515625" style="348" customWidth="1"/>
    <col min="78" max="78" width="4" style="348" customWidth="1"/>
    <col min="79" max="79" width="8.7109375" style="348" customWidth="1"/>
    <col min="80" max="80" width="9.28515625" style="348" bestFit="1" customWidth="1"/>
    <col min="81" max="81" width="9.28515625" style="348" customWidth="1"/>
    <col min="82" max="82" width="11.42578125" style="348" bestFit="1" customWidth="1"/>
    <col min="83" max="83" width="12.7109375" style="348" customWidth="1"/>
    <col min="84" max="84" width="14.42578125" style="348" bestFit="1" customWidth="1"/>
    <col min="85" max="85" width="12.28515625" style="348" bestFit="1" customWidth="1"/>
    <col min="86" max="86" width="3.7109375" style="348" customWidth="1"/>
    <col min="87" max="87" width="6.5703125" style="348" customWidth="1"/>
    <col min="88" max="88" width="12.7109375" style="348" customWidth="1"/>
    <col min="89" max="89" width="3.42578125" style="351" hidden="1" customWidth="1"/>
    <col min="90" max="90" width="15.85546875" style="348" customWidth="1"/>
    <col min="91" max="91" width="0.7109375" style="348" customWidth="1"/>
    <col min="92" max="93" width="12.7109375" style="348" bestFit="1" customWidth="1"/>
    <col min="94" max="94" width="14.85546875" style="348" bestFit="1" customWidth="1"/>
    <col min="95" max="95" width="12.7109375" style="348" bestFit="1" customWidth="1"/>
    <col min="96" max="97" width="14.85546875" style="348" bestFit="1" customWidth="1"/>
    <col min="98" max="98" width="12.28515625" style="348" bestFit="1" customWidth="1"/>
    <col min="99" max="99" width="2.28515625" style="348" customWidth="1"/>
    <col min="100" max="100" width="12.7109375" style="348" bestFit="1" customWidth="1"/>
    <col min="101" max="101" width="16.28515625" style="348" bestFit="1" customWidth="1"/>
    <col min="102" max="102" width="6.5703125" style="348" customWidth="1"/>
    <col min="103" max="103" width="14.140625" style="351" customWidth="1"/>
    <col min="104" max="105" width="14.42578125" style="351" bestFit="1" customWidth="1"/>
    <col min="106" max="106" width="13.5703125" style="351" bestFit="1" customWidth="1"/>
    <col min="107" max="107" width="11" style="351" bestFit="1" customWidth="1"/>
    <col min="108" max="108" width="13.5703125" style="351" customWidth="1"/>
    <col min="109" max="109" width="7.7109375" style="352" bestFit="1" customWidth="1"/>
    <col min="110" max="110" width="11.28515625" style="352" bestFit="1" customWidth="1"/>
    <col min="111" max="111" width="7.7109375" style="352" bestFit="1" customWidth="1"/>
    <col min="112" max="112" width="11.28515625" style="352" bestFit="1" customWidth="1"/>
    <col min="113" max="114" width="13.5703125" style="352" bestFit="1" customWidth="1"/>
    <col min="115" max="173" width="9.140625" style="352"/>
    <col min="174" max="16384" width="9.140625" style="348"/>
  </cols>
  <sheetData>
    <row r="1" spans="1:173" ht="15.75">
      <c r="S1" s="260" t="s">
        <v>250</v>
      </c>
      <c r="T1" s="260"/>
      <c r="W1" s="656" t="s">
        <v>250</v>
      </c>
      <c r="X1" s="656"/>
      <c r="AA1" s="656" t="s">
        <v>250</v>
      </c>
      <c r="AB1" s="656"/>
      <c r="AX1" s="656" t="s">
        <v>250</v>
      </c>
      <c r="AY1" s="656"/>
      <c r="BJ1" s="656" t="s">
        <v>250</v>
      </c>
      <c r="BK1" s="656"/>
      <c r="BV1" s="656" t="s">
        <v>250</v>
      </c>
      <c r="BW1" s="656"/>
      <c r="CI1" s="656" t="s">
        <v>250</v>
      </c>
      <c r="CJ1" s="656"/>
      <c r="CK1" s="324"/>
      <c r="CL1" s="323"/>
      <c r="CM1" s="323"/>
      <c r="CN1" s="323"/>
      <c r="CO1" s="323"/>
      <c r="CP1" s="323"/>
      <c r="CQ1" s="323"/>
      <c r="CR1" s="323"/>
      <c r="CS1" s="323"/>
      <c r="CT1" s="323"/>
      <c r="CU1" s="323"/>
      <c r="CV1" s="656" t="s">
        <v>250</v>
      </c>
      <c r="CW1" s="656"/>
      <c r="DB1" s="679" t="s">
        <v>250</v>
      </c>
      <c r="DC1" s="679"/>
    </row>
    <row r="2" spans="1:173" ht="15.75">
      <c r="S2" s="323" t="s">
        <v>313</v>
      </c>
      <c r="T2" s="260"/>
      <c r="W2" s="656" t="s">
        <v>347</v>
      </c>
      <c r="X2" s="656"/>
      <c r="AA2" s="656" t="s">
        <v>348</v>
      </c>
      <c r="AB2" s="656"/>
      <c r="AX2" s="656" t="s">
        <v>314</v>
      </c>
      <c r="AY2" s="656"/>
      <c r="BJ2" s="656" t="s">
        <v>349</v>
      </c>
      <c r="BK2" s="656"/>
      <c r="BV2" s="656" t="s">
        <v>350</v>
      </c>
      <c r="BW2" s="656"/>
      <c r="CI2" s="656" t="s">
        <v>351</v>
      </c>
      <c r="CJ2" s="656"/>
      <c r="CK2" s="324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656" t="s">
        <v>352</v>
      </c>
      <c r="CW2" s="656"/>
      <c r="DB2" s="679" t="s">
        <v>353</v>
      </c>
      <c r="DC2" s="679"/>
    </row>
    <row r="3" spans="1:173" ht="15.75" thickBot="1">
      <c r="M3" s="680"/>
      <c r="N3" s="680"/>
    </row>
    <row r="4" spans="1:173" ht="16.5" thickBot="1">
      <c r="C4" s="351"/>
      <c r="D4" s="669" t="s">
        <v>2</v>
      </c>
      <c r="E4" s="670"/>
      <c r="F4" s="671"/>
      <c r="G4" s="353"/>
      <c r="H4" s="672" t="s">
        <v>3</v>
      </c>
      <c r="I4" s="673"/>
      <c r="J4" s="674"/>
      <c r="K4" s="354"/>
      <c r="L4" s="659" t="s">
        <v>4</v>
      </c>
      <c r="M4" s="660"/>
      <c r="N4" s="661"/>
      <c r="O4" s="353"/>
      <c r="P4" s="666" t="s">
        <v>5</v>
      </c>
      <c r="Q4" s="667"/>
      <c r="R4" s="667"/>
      <c r="S4" s="668"/>
      <c r="T4" s="353"/>
      <c r="U4" s="662" t="s">
        <v>188</v>
      </c>
      <c r="V4" s="663"/>
      <c r="W4" s="663"/>
      <c r="X4" s="664"/>
      <c r="Y4" s="353"/>
      <c r="Z4" s="352"/>
      <c r="AA4" s="352"/>
      <c r="BA4" s="355"/>
      <c r="BB4" s="355"/>
      <c r="BC4" s="355"/>
      <c r="BD4" s="355"/>
      <c r="BE4" s="355"/>
      <c r="BF4" s="355"/>
      <c r="BG4" s="355"/>
      <c r="BH4" s="355"/>
      <c r="BI4" s="355"/>
      <c r="BJ4" s="355"/>
      <c r="BK4" s="355"/>
      <c r="BL4" s="352"/>
      <c r="BM4" s="353"/>
      <c r="BN4" s="353"/>
      <c r="BO4" s="353"/>
      <c r="BP4" s="353"/>
      <c r="BQ4" s="353"/>
      <c r="BR4" s="353"/>
      <c r="BS4" s="353"/>
      <c r="BT4" s="353"/>
      <c r="BU4" s="353"/>
      <c r="BV4" s="353"/>
      <c r="BW4" s="353"/>
      <c r="BX4" s="353"/>
      <c r="BY4" s="353"/>
      <c r="BZ4" s="353"/>
      <c r="CA4" s="353"/>
      <c r="CB4" s="353"/>
      <c r="CC4" s="353"/>
      <c r="CD4" s="353"/>
      <c r="CE4" s="353"/>
      <c r="CF4" s="353"/>
      <c r="CG4" s="353"/>
      <c r="CH4" s="353"/>
      <c r="CI4" s="353"/>
      <c r="CJ4" s="353"/>
      <c r="CK4" s="353"/>
      <c r="CL4" s="353"/>
      <c r="CM4" s="353"/>
      <c r="CN4" s="353"/>
      <c r="CO4" s="353"/>
      <c r="CP4" s="353"/>
      <c r="CQ4" s="353"/>
      <c r="CR4" s="353"/>
      <c r="CS4" s="353"/>
      <c r="CT4" s="353"/>
      <c r="CU4" s="353"/>
      <c r="CV4" s="353"/>
      <c r="CW4" s="353"/>
      <c r="CX4" s="353"/>
      <c r="CY4" s="353"/>
      <c r="CZ4" s="353"/>
      <c r="DB4" s="356" t="s">
        <v>6</v>
      </c>
      <c r="DE4" s="357" t="s">
        <v>7</v>
      </c>
      <c r="DF4" s="358"/>
      <c r="DG4" s="357" t="s">
        <v>189</v>
      </c>
      <c r="DH4" s="358"/>
      <c r="DI4" s="348"/>
      <c r="DJ4" s="348"/>
      <c r="DK4" s="348"/>
      <c r="DL4" s="348"/>
      <c r="DM4" s="348"/>
      <c r="DN4" s="348"/>
      <c r="DO4" s="348"/>
      <c r="DP4" s="348"/>
      <c r="DQ4" s="348"/>
      <c r="DR4" s="348"/>
      <c r="DS4" s="348"/>
      <c r="DT4" s="348"/>
      <c r="DU4" s="348"/>
      <c r="DV4" s="348"/>
      <c r="DW4" s="348"/>
      <c r="DX4" s="348"/>
      <c r="DY4" s="348"/>
      <c r="DZ4" s="348"/>
      <c r="EA4" s="348"/>
      <c r="EB4" s="348"/>
      <c r="EC4" s="348"/>
      <c r="ED4" s="348"/>
      <c r="EE4" s="348"/>
      <c r="EF4" s="348"/>
      <c r="EG4" s="348"/>
      <c r="EH4" s="348"/>
      <c r="EI4" s="348"/>
      <c r="EJ4" s="348"/>
      <c r="EK4" s="348"/>
      <c r="EL4" s="348"/>
      <c r="EM4" s="348"/>
      <c r="EN4" s="348"/>
      <c r="EO4" s="348"/>
      <c r="EP4" s="348"/>
      <c r="EQ4" s="348"/>
      <c r="ER4" s="348"/>
      <c r="ES4" s="348"/>
      <c r="ET4" s="348"/>
      <c r="EU4" s="348"/>
      <c r="EV4" s="348"/>
      <c r="EW4" s="348"/>
      <c r="EX4" s="348"/>
      <c r="EY4" s="348"/>
      <c r="EZ4" s="348"/>
      <c r="FA4" s="348"/>
      <c r="FB4" s="348"/>
      <c r="FC4" s="348"/>
      <c r="FD4" s="348"/>
      <c r="FE4" s="348"/>
      <c r="FF4" s="348"/>
      <c r="FG4" s="348"/>
      <c r="FH4" s="348"/>
      <c r="FI4" s="348"/>
      <c r="FJ4" s="348"/>
      <c r="FK4" s="348"/>
      <c r="FL4" s="348"/>
      <c r="FM4" s="348"/>
      <c r="FN4" s="348"/>
      <c r="FO4" s="348"/>
      <c r="FP4" s="348"/>
      <c r="FQ4" s="348"/>
    </row>
    <row r="5" spans="1:173" ht="16.5" thickBot="1">
      <c r="C5" s="351"/>
      <c r="D5" s="356" t="s">
        <v>8</v>
      </c>
      <c r="E5" s="359"/>
      <c r="F5" s="360"/>
      <c r="G5" s="360"/>
      <c r="H5" s="356" t="s">
        <v>8</v>
      </c>
      <c r="I5" s="359"/>
      <c r="J5" s="360"/>
      <c r="K5" s="360"/>
      <c r="L5" s="356" t="s">
        <v>8</v>
      </c>
      <c r="M5" s="359"/>
      <c r="N5" s="360"/>
      <c r="O5" s="360"/>
      <c r="P5" s="356"/>
      <c r="Q5" s="359"/>
      <c r="R5" s="360"/>
      <c r="S5" s="356" t="s">
        <v>8</v>
      </c>
      <c r="T5" s="360"/>
      <c r="U5" s="356"/>
      <c r="V5" s="359"/>
      <c r="W5" s="360"/>
      <c r="X5" s="356" t="s">
        <v>8</v>
      </c>
      <c r="Y5" s="360"/>
      <c r="Z5" s="360"/>
      <c r="AA5" s="360"/>
      <c r="AB5" s="360"/>
      <c r="AC5" s="360"/>
      <c r="AD5" s="361" t="s">
        <v>9</v>
      </c>
      <c r="AE5" s="362"/>
      <c r="AF5" s="362"/>
      <c r="AG5" s="362"/>
      <c r="AH5" s="362"/>
      <c r="AI5" s="362"/>
      <c r="AJ5" s="362"/>
      <c r="AK5" s="362"/>
      <c r="AL5" s="362"/>
      <c r="AM5" s="363"/>
      <c r="AN5" s="360"/>
      <c r="AO5" s="676" t="s">
        <v>10</v>
      </c>
      <c r="AP5" s="677"/>
      <c r="AQ5" s="677"/>
      <c r="AR5" s="677"/>
      <c r="AS5" s="677"/>
      <c r="AT5" s="677"/>
      <c r="AU5" s="677"/>
      <c r="AV5" s="677"/>
      <c r="AW5" s="677"/>
      <c r="AX5" s="677"/>
      <c r="AY5" s="678"/>
      <c r="AZ5" s="364"/>
      <c r="BA5" s="659" t="s">
        <v>259</v>
      </c>
      <c r="BB5" s="660"/>
      <c r="BC5" s="660"/>
      <c r="BD5" s="660"/>
      <c r="BE5" s="660"/>
      <c r="BF5" s="660"/>
      <c r="BG5" s="660"/>
      <c r="BH5" s="660"/>
      <c r="BI5" s="660"/>
      <c r="BJ5" s="660"/>
      <c r="BK5" s="661"/>
      <c r="BL5" s="352"/>
      <c r="BM5" s="666" t="s">
        <v>5</v>
      </c>
      <c r="BN5" s="667"/>
      <c r="BO5" s="667"/>
      <c r="BP5" s="667"/>
      <c r="BQ5" s="667"/>
      <c r="BR5" s="667"/>
      <c r="BS5" s="667"/>
      <c r="BT5" s="667"/>
      <c r="BU5" s="667"/>
      <c r="BV5" s="667"/>
      <c r="BW5" s="668"/>
      <c r="BX5" s="353"/>
      <c r="BY5" s="662" t="s">
        <v>188</v>
      </c>
      <c r="BZ5" s="663"/>
      <c r="CA5" s="663"/>
      <c r="CB5" s="663"/>
      <c r="CC5" s="663"/>
      <c r="CD5" s="663"/>
      <c r="CE5" s="663"/>
      <c r="CF5" s="663"/>
      <c r="CG5" s="663"/>
      <c r="CH5" s="663"/>
      <c r="CI5" s="663"/>
      <c r="CJ5" s="664"/>
      <c r="CK5" s="354"/>
      <c r="CL5" s="659" t="s">
        <v>310</v>
      </c>
      <c r="CM5" s="660"/>
      <c r="CN5" s="660"/>
      <c r="CO5" s="660"/>
      <c r="CP5" s="660"/>
      <c r="CQ5" s="660"/>
      <c r="CR5" s="660"/>
      <c r="CS5" s="660"/>
      <c r="CT5" s="660"/>
      <c r="CU5" s="660"/>
      <c r="CV5" s="660"/>
      <c r="CW5" s="661"/>
      <c r="CX5" s="353"/>
      <c r="CY5" s="365" t="s">
        <v>11</v>
      </c>
      <c r="CZ5" s="360" t="s">
        <v>12</v>
      </c>
      <c r="DA5" s="360"/>
      <c r="DB5" s="365" t="s">
        <v>13</v>
      </c>
      <c r="DE5" s="366" t="s">
        <v>14</v>
      </c>
      <c r="DF5" s="366" t="s">
        <v>15</v>
      </c>
      <c r="DG5" s="366" t="s">
        <v>14</v>
      </c>
      <c r="DH5" s="366" t="s">
        <v>15</v>
      </c>
      <c r="DI5" s="348"/>
      <c r="DJ5" s="348"/>
      <c r="DK5" s="348"/>
      <c r="DL5" s="348"/>
      <c r="DM5" s="348"/>
      <c r="DN5" s="348"/>
      <c r="DO5" s="348"/>
      <c r="DP5" s="348"/>
      <c r="DQ5" s="348"/>
      <c r="DR5" s="348"/>
      <c r="DS5" s="348"/>
      <c r="DT5" s="348"/>
      <c r="DU5" s="348"/>
      <c r="DV5" s="348"/>
      <c r="DW5" s="348"/>
      <c r="DX5" s="348"/>
      <c r="DY5" s="348"/>
      <c r="DZ5" s="348"/>
      <c r="EA5" s="348"/>
      <c r="EB5" s="348"/>
      <c r="EC5" s="348"/>
      <c r="ED5" s="348"/>
      <c r="EE5" s="348"/>
      <c r="EF5" s="348"/>
      <c r="EG5" s="348"/>
      <c r="EH5" s="348"/>
      <c r="EI5" s="348"/>
      <c r="EJ5" s="348"/>
      <c r="EK5" s="348"/>
      <c r="EL5" s="348"/>
      <c r="EM5" s="348"/>
      <c r="EN5" s="348"/>
      <c r="EO5" s="348"/>
      <c r="EP5" s="348"/>
      <c r="EQ5" s="348"/>
      <c r="ER5" s="348"/>
      <c r="ES5" s="348"/>
      <c r="ET5" s="348"/>
      <c r="EU5" s="348"/>
      <c r="EV5" s="348"/>
      <c r="EW5" s="348"/>
      <c r="EX5" s="348"/>
      <c r="EY5" s="348"/>
      <c r="EZ5" s="348"/>
      <c r="FA5" s="348"/>
      <c r="FB5" s="348"/>
      <c r="FC5" s="348"/>
      <c r="FD5" s="348"/>
      <c r="FE5" s="348"/>
      <c r="FF5" s="348"/>
      <c r="FG5" s="348"/>
      <c r="FH5" s="348"/>
      <c r="FI5" s="348"/>
      <c r="FJ5" s="348"/>
      <c r="FK5" s="348"/>
      <c r="FL5" s="348"/>
      <c r="FM5" s="348"/>
      <c r="FN5" s="348"/>
      <c r="FO5" s="348"/>
      <c r="FP5" s="348"/>
      <c r="FQ5" s="348"/>
    </row>
    <row r="6" spans="1:173" ht="15.75">
      <c r="C6" s="356" t="s">
        <v>16</v>
      </c>
      <c r="D6" s="356" t="s">
        <v>17</v>
      </c>
      <c r="E6" s="365" t="s">
        <v>18</v>
      </c>
      <c r="F6" s="365" t="s">
        <v>19</v>
      </c>
      <c r="G6" s="360"/>
      <c r="H6" s="356" t="s">
        <v>228</v>
      </c>
      <c r="I6" s="365" t="s">
        <v>18</v>
      </c>
      <c r="J6" s="365" t="s">
        <v>19</v>
      </c>
      <c r="K6" s="365"/>
      <c r="L6" s="356" t="s">
        <v>228</v>
      </c>
      <c r="M6" s="365" t="s">
        <v>18</v>
      </c>
      <c r="N6" s="365" t="s">
        <v>19</v>
      </c>
      <c r="O6" s="360"/>
      <c r="P6" s="356"/>
      <c r="Q6" s="365" t="s">
        <v>18</v>
      </c>
      <c r="R6" s="365" t="s">
        <v>19</v>
      </c>
      <c r="S6" s="356" t="s">
        <v>228</v>
      </c>
      <c r="T6" s="360"/>
      <c r="U6" s="356"/>
      <c r="V6" s="365" t="s">
        <v>18</v>
      </c>
      <c r="W6" s="365" t="s">
        <v>19</v>
      </c>
      <c r="X6" s="356" t="s">
        <v>228</v>
      </c>
      <c r="Y6" s="360"/>
      <c r="Z6" s="354"/>
      <c r="AA6" s="367" t="s">
        <v>20</v>
      </c>
      <c r="AB6" s="360"/>
      <c r="AC6" s="360"/>
      <c r="AF6" s="348" t="s">
        <v>0</v>
      </c>
      <c r="AK6" s="356" t="s">
        <v>21</v>
      </c>
      <c r="AL6" s="365"/>
      <c r="AM6" s="351"/>
      <c r="AN6" s="360"/>
      <c r="AO6" s="351"/>
      <c r="AQ6" s="348" t="s">
        <v>0</v>
      </c>
      <c r="AT6" s="675" t="s">
        <v>22</v>
      </c>
      <c r="AU6" s="675"/>
      <c r="AX6" s="365"/>
      <c r="BC6" s="348" t="s">
        <v>0</v>
      </c>
      <c r="BF6" s="675" t="s">
        <v>22</v>
      </c>
      <c r="BG6" s="675"/>
      <c r="BJ6" s="365"/>
      <c r="BK6" s="365"/>
      <c r="BL6" s="365"/>
      <c r="BM6" s="351"/>
      <c r="BN6" s="351"/>
      <c r="BO6" s="351" t="s">
        <v>0</v>
      </c>
      <c r="BP6" s="351"/>
      <c r="BQ6" s="351"/>
      <c r="BR6" s="665" t="s">
        <v>22</v>
      </c>
      <c r="BS6" s="665"/>
      <c r="BT6" s="351"/>
      <c r="BU6" s="351"/>
      <c r="BV6" s="365"/>
      <c r="BW6" s="365"/>
      <c r="BX6" s="365"/>
      <c r="BY6" s="351"/>
      <c r="BZ6" s="351"/>
      <c r="CA6" s="351" t="s">
        <v>0</v>
      </c>
      <c r="CB6" s="351"/>
      <c r="CC6" s="351"/>
      <c r="CD6" s="665" t="s">
        <v>22</v>
      </c>
      <c r="CE6" s="665"/>
      <c r="CF6" s="351"/>
      <c r="CG6" s="351"/>
      <c r="CH6" s="351"/>
      <c r="CI6" s="365"/>
      <c r="CJ6" s="365"/>
      <c r="CK6" s="365"/>
      <c r="CL6" s="351"/>
      <c r="CM6" s="351"/>
      <c r="CN6" s="351" t="s">
        <v>0</v>
      </c>
      <c r="CO6" s="351"/>
      <c r="CP6" s="351"/>
      <c r="CQ6" s="665" t="s">
        <v>22</v>
      </c>
      <c r="CR6" s="665"/>
      <c r="CS6" s="351"/>
      <c r="CT6" s="351"/>
      <c r="CU6" s="351"/>
      <c r="CV6" s="351"/>
      <c r="CW6" s="365"/>
      <c r="CX6" s="365"/>
      <c r="CY6" s="365" t="s">
        <v>23</v>
      </c>
      <c r="CZ6" s="368" t="s">
        <v>11</v>
      </c>
      <c r="DA6" s="365" t="s">
        <v>24</v>
      </c>
      <c r="DB6" s="365" t="s">
        <v>25</v>
      </c>
      <c r="DE6" s="366" t="s">
        <v>26</v>
      </c>
      <c r="DF6" s="366" t="s">
        <v>26</v>
      </c>
      <c r="DG6" s="366" t="s">
        <v>26</v>
      </c>
      <c r="DH6" s="366" t="s">
        <v>26</v>
      </c>
      <c r="DI6" s="348"/>
      <c r="DJ6" s="348"/>
      <c r="DK6" s="348"/>
      <c r="DL6" s="348"/>
      <c r="DM6" s="348"/>
      <c r="DN6" s="348"/>
      <c r="DO6" s="348"/>
      <c r="DP6" s="348"/>
      <c r="DQ6" s="348"/>
      <c r="DR6" s="348"/>
      <c r="DS6" s="348"/>
      <c r="DT6" s="348"/>
      <c r="DU6" s="348"/>
      <c r="DV6" s="348"/>
      <c r="DW6" s="348"/>
      <c r="DX6" s="348"/>
      <c r="DY6" s="348"/>
      <c r="DZ6" s="348"/>
      <c r="EA6" s="348"/>
      <c r="EB6" s="348"/>
      <c r="EC6" s="348"/>
      <c r="ED6" s="348"/>
      <c r="EE6" s="348"/>
      <c r="EF6" s="348"/>
      <c r="EG6" s="348"/>
      <c r="EH6" s="348"/>
      <c r="EI6" s="348"/>
      <c r="EJ6" s="348"/>
      <c r="EK6" s="348"/>
      <c r="EL6" s="348"/>
      <c r="EM6" s="348"/>
      <c r="EN6" s="348"/>
      <c r="EO6" s="348"/>
      <c r="EP6" s="348"/>
      <c r="EQ6" s="348"/>
      <c r="ER6" s="348"/>
      <c r="ES6" s="348"/>
      <c r="ET6" s="348"/>
      <c r="EU6" s="348"/>
      <c r="EV6" s="348"/>
      <c r="EW6" s="348"/>
      <c r="EX6" s="348"/>
      <c r="EY6" s="348"/>
      <c r="EZ6" s="348"/>
      <c r="FA6" s="348"/>
      <c r="FB6" s="348"/>
      <c r="FC6" s="348"/>
      <c r="FD6" s="348"/>
      <c r="FE6" s="348"/>
      <c r="FF6" s="348"/>
      <c r="FG6" s="348"/>
      <c r="FH6" s="348"/>
      <c r="FI6" s="348"/>
      <c r="FJ6" s="348"/>
      <c r="FK6" s="348"/>
      <c r="FL6" s="348"/>
      <c r="FM6" s="348"/>
      <c r="FN6" s="348"/>
      <c r="FO6" s="348"/>
      <c r="FP6" s="348"/>
      <c r="FQ6" s="348"/>
    </row>
    <row r="7" spans="1:173" s="645" customFormat="1" ht="45.75">
      <c r="A7" s="645" t="s">
        <v>27</v>
      </c>
      <c r="C7" s="646" t="s">
        <v>28</v>
      </c>
      <c r="D7" s="646" t="s">
        <v>29</v>
      </c>
      <c r="E7" s="647" t="s">
        <v>30</v>
      </c>
      <c r="F7" s="647" t="s">
        <v>31</v>
      </c>
      <c r="G7" s="648"/>
      <c r="H7" s="646" t="s">
        <v>227</v>
      </c>
      <c r="I7" s="647" t="s">
        <v>30</v>
      </c>
      <c r="J7" s="647" t="s">
        <v>31</v>
      </c>
      <c r="K7" s="648"/>
      <c r="L7" s="646" t="s">
        <v>227</v>
      </c>
      <c r="M7" s="647" t="s">
        <v>30</v>
      </c>
      <c r="N7" s="647" t="s">
        <v>31</v>
      </c>
      <c r="O7" s="648"/>
      <c r="P7" s="646" t="s">
        <v>32</v>
      </c>
      <c r="Q7" s="647" t="s">
        <v>30</v>
      </c>
      <c r="R7" s="647" t="s">
        <v>31</v>
      </c>
      <c r="S7" s="646" t="s">
        <v>227</v>
      </c>
      <c r="T7" s="648"/>
      <c r="U7" s="646" t="s">
        <v>32</v>
      </c>
      <c r="V7" s="647" t="s">
        <v>30</v>
      </c>
      <c r="W7" s="647" t="s">
        <v>31</v>
      </c>
      <c r="X7" s="646" t="s">
        <v>227</v>
      </c>
      <c r="Y7" s="648"/>
      <c r="Z7" s="649" t="s">
        <v>33</v>
      </c>
      <c r="AA7" s="650" t="s">
        <v>34</v>
      </c>
      <c r="AB7" s="647" t="s">
        <v>35</v>
      </c>
      <c r="AC7" s="647"/>
      <c r="AD7" s="651" t="s">
        <v>36</v>
      </c>
      <c r="AE7" s="647"/>
      <c r="AF7" s="647" t="s">
        <v>37</v>
      </c>
      <c r="AG7" s="647" t="s">
        <v>38</v>
      </c>
      <c r="AH7" s="647" t="s">
        <v>26</v>
      </c>
      <c r="AI7" s="647" t="s">
        <v>39</v>
      </c>
      <c r="AJ7" s="647"/>
      <c r="AK7" s="647" t="s">
        <v>40</v>
      </c>
      <c r="AL7" s="647" t="s">
        <v>41</v>
      </c>
      <c r="AM7" s="647" t="s">
        <v>42</v>
      </c>
      <c r="AN7" s="648"/>
      <c r="AO7" s="647" t="s">
        <v>36</v>
      </c>
      <c r="AP7" s="647"/>
      <c r="AQ7" s="647" t="s">
        <v>37</v>
      </c>
      <c r="AR7" s="647" t="s">
        <v>38</v>
      </c>
      <c r="AS7" s="647" t="s">
        <v>26</v>
      </c>
      <c r="AT7" s="647" t="s">
        <v>38</v>
      </c>
      <c r="AU7" s="647" t="s">
        <v>43</v>
      </c>
      <c r="AV7" s="647" t="s">
        <v>39</v>
      </c>
      <c r="AW7" s="647"/>
      <c r="AX7" s="647" t="s">
        <v>41</v>
      </c>
      <c r="AY7" s="647" t="s">
        <v>42</v>
      </c>
      <c r="AZ7" s="648"/>
      <c r="BA7" s="647" t="s">
        <v>36</v>
      </c>
      <c r="BB7" s="647"/>
      <c r="BC7" s="647" t="s">
        <v>37</v>
      </c>
      <c r="BD7" s="647" t="s">
        <v>38</v>
      </c>
      <c r="BE7" s="647" t="s">
        <v>26</v>
      </c>
      <c r="BF7" s="647" t="s">
        <v>38</v>
      </c>
      <c r="BG7" s="647" t="s">
        <v>43</v>
      </c>
      <c r="BH7" s="647" t="s">
        <v>39</v>
      </c>
      <c r="BI7" s="647"/>
      <c r="BJ7" s="647" t="s">
        <v>41</v>
      </c>
      <c r="BK7" s="647" t="s">
        <v>42</v>
      </c>
      <c r="BL7" s="647"/>
      <c r="BM7" s="647" t="s">
        <v>36</v>
      </c>
      <c r="BN7" s="647"/>
      <c r="BO7" s="647" t="s">
        <v>37</v>
      </c>
      <c r="BP7" s="647" t="s">
        <v>38</v>
      </c>
      <c r="BQ7" s="647" t="s">
        <v>26</v>
      </c>
      <c r="BR7" s="647" t="s">
        <v>38</v>
      </c>
      <c r="BS7" s="647" t="s">
        <v>43</v>
      </c>
      <c r="BT7" s="647" t="s">
        <v>39</v>
      </c>
      <c r="BU7" s="647"/>
      <c r="BV7" s="647" t="s">
        <v>41</v>
      </c>
      <c r="BW7" s="647" t="s">
        <v>42</v>
      </c>
      <c r="BX7" s="647"/>
      <c r="BY7" s="647" t="s">
        <v>36</v>
      </c>
      <c r="BZ7" s="647"/>
      <c r="CA7" s="647" t="s">
        <v>37</v>
      </c>
      <c r="CB7" s="647" t="s">
        <v>38</v>
      </c>
      <c r="CC7" s="647" t="s">
        <v>26</v>
      </c>
      <c r="CD7" s="647" t="s">
        <v>38</v>
      </c>
      <c r="CE7" s="647" t="s">
        <v>43</v>
      </c>
      <c r="CF7" s="647" t="s">
        <v>39</v>
      </c>
      <c r="CG7" s="652">
        <v>4.99E-2</v>
      </c>
      <c r="CH7" s="647"/>
      <c r="CI7" s="647" t="s">
        <v>41</v>
      </c>
      <c r="CJ7" s="647" t="s">
        <v>42</v>
      </c>
      <c r="CK7" s="647"/>
      <c r="CL7" s="647" t="s">
        <v>36</v>
      </c>
      <c r="CM7" s="647"/>
      <c r="CN7" s="647" t="s">
        <v>37</v>
      </c>
      <c r="CO7" s="647" t="s">
        <v>38</v>
      </c>
      <c r="CP7" s="647" t="s">
        <v>26</v>
      </c>
      <c r="CQ7" s="647" t="s">
        <v>38</v>
      </c>
      <c r="CR7" s="647" t="s">
        <v>43</v>
      </c>
      <c r="CS7" s="647" t="s">
        <v>39</v>
      </c>
      <c r="CT7" s="652">
        <v>4.99E-2</v>
      </c>
      <c r="CU7" s="652"/>
      <c r="CV7" s="647" t="s">
        <v>41</v>
      </c>
      <c r="CW7" s="647" t="s">
        <v>42</v>
      </c>
      <c r="CY7" s="647" t="s">
        <v>44</v>
      </c>
      <c r="CZ7" s="647" t="s">
        <v>23</v>
      </c>
      <c r="DA7" s="647" t="s">
        <v>44</v>
      </c>
      <c r="DB7" s="647" t="s">
        <v>34</v>
      </c>
      <c r="DC7" s="647" t="s">
        <v>25</v>
      </c>
      <c r="DD7" s="653"/>
      <c r="DE7" s="648" t="s">
        <v>45</v>
      </c>
      <c r="DF7" s="648" t="s">
        <v>45</v>
      </c>
      <c r="DG7" s="648" t="s">
        <v>45</v>
      </c>
      <c r="DH7" s="648" t="s">
        <v>45</v>
      </c>
    </row>
    <row r="8" spans="1:173" s="351" customFormat="1">
      <c r="A8" s="356"/>
      <c r="B8" s="356"/>
      <c r="C8" s="356"/>
      <c r="D8" s="356"/>
      <c r="E8" s="369"/>
      <c r="F8" s="370"/>
      <c r="G8" s="435"/>
      <c r="H8" s="356"/>
      <c r="I8" s="369"/>
      <c r="J8" s="370"/>
      <c r="K8" s="370"/>
      <c r="L8" s="370"/>
      <c r="M8" s="370"/>
      <c r="N8" s="365"/>
      <c r="O8" s="435"/>
      <c r="P8" s="370"/>
      <c r="Q8" s="370"/>
      <c r="R8" s="365"/>
      <c r="S8" s="370"/>
      <c r="T8" s="435"/>
      <c r="U8" s="435"/>
      <c r="V8" s="435"/>
      <c r="W8" s="435"/>
      <c r="X8" s="435"/>
      <c r="Y8" s="435"/>
      <c r="Z8" s="435"/>
      <c r="AA8" s="435"/>
      <c r="AB8" s="360"/>
      <c r="AC8" s="360"/>
      <c r="AD8" s="360"/>
      <c r="AE8" s="371"/>
      <c r="AF8" s="360"/>
      <c r="AG8" s="360"/>
      <c r="AH8" s="360"/>
      <c r="AI8" s="360"/>
      <c r="AJ8" s="360"/>
      <c r="AK8" s="360"/>
      <c r="AL8" s="360"/>
      <c r="AM8" s="360"/>
      <c r="AN8" s="360"/>
      <c r="AO8" s="360"/>
      <c r="AP8" s="371"/>
      <c r="AQ8" s="360"/>
      <c r="AR8" s="360"/>
      <c r="AS8" s="360"/>
      <c r="AT8" s="360"/>
      <c r="AU8" s="360"/>
      <c r="AV8" s="360"/>
      <c r="AW8" s="360"/>
      <c r="AX8" s="360"/>
      <c r="AY8" s="360"/>
      <c r="AZ8" s="360"/>
      <c r="BA8" s="360"/>
      <c r="BB8" s="360"/>
      <c r="BC8" s="360"/>
      <c r="BD8" s="360"/>
      <c r="BE8" s="360"/>
      <c r="BF8" s="360"/>
      <c r="BG8" s="360"/>
      <c r="BH8" s="360"/>
      <c r="BI8" s="360"/>
      <c r="BJ8" s="360"/>
      <c r="BK8" s="360"/>
      <c r="BL8" s="360"/>
      <c r="BM8" s="360"/>
      <c r="BN8" s="360"/>
      <c r="BO8" s="360"/>
      <c r="BP8" s="360"/>
      <c r="BQ8" s="360"/>
      <c r="BR8" s="360"/>
      <c r="BS8" s="360"/>
      <c r="BT8" s="360"/>
      <c r="BU8" s="360"/>
      <c r="BV8" s="360"/>
      <c r="BW8" s="360"/>
      <c r="BX8" s="360"/>
      <c r="BY8" s="360"/>
      <c r="BZ8" s="360"/>
      <c r="CA8" s="360"/>
      <c r="CB8" s="360"/>
      <c r="CC8" s="360"/>
      <c r="CD8" s="360"/>
      <c r="CE8" s="360"/>
      <c r="CF8" s="360"/>
      <c r="CG8" s="360"/>
      <c r="CH8" s="360"/>
      <c r="CI8" s="360"/>
      <c r="CJ8" s="360"/>
      <c r="CK8" s="360"/>
      <c r="CL8" s="360"/>
      <c r="CM8" s="360"/>
      <c r="CN8" s="360"/>
      <c r="CO8" s="360"/>
      <c r="CP8" s="360"/>
      <c r="CQ8" s="360"/>
      <c r="CR8" s="360"/>
      <c r="CS8" s="360"/>
      <c r="CT8" s="360"/>
      <c r="CU8" s="360"/>
      <c r="CV8" s="360"/>
      <c r="CW8" s="360"/>
      <c r="CX8" s="360"/>
      <c r="CY8" s="360"/>
      <c r="CZ8" s="372">
        <v>0</v>
      </c>
      <c r="DA8" s="360"/>
      <c r="DB8" s="360"/>
      <c r="DC8" s="360"/>
      <c r="DE8" s="353"/>
      <c r="DF8" s="353"/>
      <c r="DG8" s="353"/>
      <c r="DH8" s="353"/>
    </row>
    <row r="9" spans="1:173" s="351" customFormat="1" hidden="1" outlineLevel="1">
      <c r="A9" s="356" t="s">
        <v>46</v>
      </c>
      <c r="B9" s="356">
        <v>2009</v>
      </c>
      <c r="C9" s="356" t="s">
        <v>47</v>
      </c>
      <c r="D9" s="373">
        <f>+'E3 - Invest Amort deferred tax'!AO5+'E3 - Financing upfront'!H5</f>
        <v>0</v>
      </c>
      <c r="E9" s="373">
        <f>+'E3 - Invest Amort deferred tax'!AN5</f>
        <v>0</v>
      </c>
      <c r="F9" s="393">
        <f>+'E3 - Invest Amort deferred tax'!BT5</f>
        <v>0</v>
      </c>
      <c r="G9" s="394"/>
      <c r="H9" s="373"/>
      <c r="I9" s="373"/>
      <c r="J9" s="393"/>
      <c r="K9" s="393"/>
      <c r="L9" s="393"/>
      <c r="M9" s="393"/>
      <c r="N9" s="370"/>
      <c r="O9" s="394"/>
      <c r="P9" s="374"/>
      <c r="Q9" s="374"/>
      <c r="R9" s="370"/>
      <c r="S9" s="374">
        <f>+P9+R9</f>
        <v>0</v>
      </c>
      <c r="T9" s="394"/>
      <c r="U9" s="394"/>
      <c r="V9" s="394"/>
      <c r="W9" s="394"/>
      <c r="X9" s="394"/>
      <c r="Y9" s="394"/>
      <c r="Z9" s="384">
        <f>14936674+1858199+199686+3392841</f>
        <v>20387400</v>
      </c>
      <c r="AA9" s="530">
        <v>1.1900000000000001E-2</v>
      </c>
      <c r="AB9" s="372">
        <f>+Z9*AA9</f>
        <v>242610.06000000003</v>
      </c>
      <c r="AC9" s="372"/>
      <c r="AD9" s="372">
        <f>+'E3 - Invest Amort deferred tax'!AL5</f>
        <v>0</v>
      </c>
      <c r="AE9" s="373"/>
      <c r="AF9" s="373">
        <f>(D9+F9)*'Capital Structure '!$F$21/12</f>
        <v>0</v>
      </c>
      <c r="AG9" s="373">
        <v>0</v>
      </c>
      <c r="AH9" s="373">
        <v>0</v>
      </c>
      <c r="AI9" s="372">
        <f>SUM(AF9:AH9)</f>
        <v>0</v>
      </c>
      <c r="AJ9" s="373"/>
      <c r="AK9" s="372">
        <f>-7872.94+11296.02+11296.02</f>
        <v>14719.100000000002</v>
      </c>
      <c r="AL9" s="372">
        <f>9611.32+3460.08+224130+45076.93+7809+270.48</f>
        <v>290357.81</v>
      </c>
      <c r="AM9" s="373">
        <f>+AL9+AI9+AD9+AK9</f>
        <v>305076.90999999997</v>
      </c>
      <c r="AO9" s="372"/>
      <c r="AP9" s="373"/>
      <c r="AQ9" s="373"/>
      <c r="AR9" s="373"/>
      <c r="AS9" s="373"/>
      <c r="AT9" s="373"/>
      <c r="AU9" s="373"/>
      <c r="AV9" s="372">
        <f>SUM(AQ9:AS9)</f>
        <v>0</v>
      </c>
      <c r="AW9" s="373"/>
      <c r="AX9" s="372"/>
      <c r="AY9" s="373">
        <f>+AX9+AV9+AO9</f>
        <v>0</v>
      </c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M9" s="373"/>
      <c r="BN9" s="373"/>
      <c r="BO9" s="373"/>
      <c r="BP9" s="373"/>
      <c r="BQ9" s="373"/>
      <c r="BR9" s="373"/>
      <c r="BS9" s="373"/>
      <c r="BT9" s="373"/>
      <c r="BU9" s="373"/>
      <c r="CY9" s="373">
        <f>+BW9+BK9+AY9+AM9-AB9</f>
        <v>62466.849999999948</v>
      </c>
      <c r="CZ9" s="373">
        <f>CZ8+CY9</f>
        <v>62466.849999999948</v>
      </c>
      <c r="DA9" s="373">
        <f>(CZ8+CZ9)/2*(1-0.4108)</f>
        <v>18402.734009999982</v>
      </c>
      <c r="DB9" s="375">
        <v>3.8999999999999998E-3</v>
      </c>
      <c r="DC9" s="372">
        <f>(DA9)*DB9/12</f>
        <v>5.9808885532499936</v>
      </c>
      <c r="DE9" s="353"/>
      <c r="DF9" s="353"/>
      <c r="DG9" s="353"/>
      <c r="DH9" s="353"/>
    </row>
    <row r="10" spans="1:173" s="353" customFormat="1" ht="17.25" hidden="1" outlineLevel="1">
      <c r="A10" s="392" t="s">
        <v>48</v>
      </c>
      <c r="B10" s="392">
        <f>+B9</f>
        <v>2009</v>
      </c>
      <c r="C10" s="392" t="s">
        <v>47</v>
      </c>
      <c r="D10" s="393">
        <f>+'E3 - Invest Amort deferred tax'!AO6+'E3 - Financing upfront'!H6</f>
        <v>1200000</v>
      </c>
      <c r="E10" s="373">
        <f>+'E3 - Invest Amort deferred tax'!AN6</f>
        <v>0</v>
      </c>
      <c r="F10" s="394">
        <f>+'E3 - Invest Amort deferred tax'!BT6</f>
        <v>0</v>
      </c>
      <c r="G10" s="394"/>
      <c r="H10" s="373"/>
      <c r="I10" s="373"/>
      <c r="J10" s="394"/>
      <c r="K10" s="394"/>
      <c r="L10" s="394"/>
      <c r="M10" s="394"/>
      <c r="N10" s="393"/>
      <c r="O10" s="394"/>
      <c r="P10" s="376"/>
      <c r="Q10" s="376"/>
      <c r="R10" s="374"/>
      <c r="S10" s="374"/>
      <c r="T10" s="394"/>
      <c r="U10" s="394"/>
      <c r="V10" s="394"/>
      <c r="W10" s="394"/>
      <c r="X10" s="394"/>
      <c r="Y10" s="394"/>
      <c r="Z10" s="531">
        <f>16148283+2565268+181021+94554</f>
        <v>18989126</v>
      </c>
      <c r="AA10" s="532">
        <f>+AA9</f>
        <v>1.1900000000000001E-2</v>
      </c>
      <c r="AB10" s="383">
        <f>+Z10*AA10</f>
        <v>225970.59940000001</v>
      </c>
      <c r="AC10" s="377"/>
      <c r="AD10" s="383">
        <f>+'E3 - Invest Amort deferred tax'!AL6</f>
        <v>0</v>
      </c>
      <c r="AE10" s="378"/>
      <c r="AF10" s="379">
        <f>(D10+F10)*'Capital Structure '!$F$21/12</f>
        <v>2479.8658567809875</v>
      </c>
      <c r="AG10" s="379">
        <v>3680.4511603899937</v>
      </c>
      <c r="AH10" s="379">
        <v>5277.9052810227067</v>
      </c>
      <c r="AI10" s="380">
        <f>SUM(AF10:AH10)</f>
        <v>11438.222298193687</v>
      </c>
      <c r="AJ10" s="378"/>
      <c r="AK10" s="381">
        <f>51859.35-11296.02-11296.02</f>
        <v>29267.31</v>
      </c>
      <c r="AL10" s="381">
        <f>24044.57+4203.89+15000+6230.78+200-45076.93+90595.72+268.8+1532.38</f>
        <v>96999.21</v>
      </c>
      <c r="AM10" s="379">
        <f>+AL10+AI10+AD10+AK10</f>
        <v>137704.74229819368</v>
      </c>
      <c r="AN10" s="382"/>
      <c r="AO10" s="372"/>
      <c r="AP10" s="378"/>
      <c r="AQ10" s="378"/>
      <c r="AR10" s="378"/>
      <c r="AS10" s="378"/>
      <c r="AT10" s="378"/>
      <c r="AU10" s="378"/>
      <c r="AV10" s="380">
        <f>SUM(AQ10:AS10)</f>
        <v>0</v>
      </c>
      <c r="AW10" s="378"/>
      <c r="AX10" s="381"/>
      <c r="AY10" s="379">
        <f t="shared" ref="AY10:AY71" si="0">+AX10+AV10+AO10</f>
        <v>0</v>
      </c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82"/>
      <c r="BK10" s="382"/>
      <c r="BL10" s="382"/>
      <c r="BM10" s="378"/>
      <c r="BN10" s="378"/>
      <c r="BO10" s="378"/>
      <c r="BP10" s="378"/>
      <c r="BQ10" s="378"/>
      <c r="BR10" s="378"/>
      <c r="BS10" s="378"/>
      <c r="BT10" s="378"/>
      <c r="BU10" s="378"/>
      <c r="BV10" s="382"/>
      <c r="BW10" s="382"/>
      <c r="BX10" s="382"/>
      <c r="BY10" s="382"/>
      <c r="BZ10" s="382"/>
      <c r="CA10" s="382"/>
      <c r="CB10" s="382"/>
      <c r="CC10" s="382"/>
      <c r="CD10" s="382"/>
      <c r="CE10" s="382"/>
      <c r="CF10" s="382"/>
      <c r="CG10" s="382"/>
      <c r="CH10" s="382"/>
      <c r="CI10" s="382"/>
      <c r="CJ10" s="382"/>
      <c r="CK10" s="382"/>
      <c r="CL10" s="382"/>
      <c r="CM10" s="382"/>
      <c r="CN10" s="382"/>
      <c r="CO10" s="382"/>
      <c r="CP10" s="382"/>
      <c r="CQ10" s="382"/>
      <c r="CR10" s="382"/>
      <c r="CS10" s="382"/>
      <c r="CT10" s="382"/>
      <c r="CU10" s="382"/>
      <c r="CV10" s="382"/>
      <c r="CW10" s="382"/>
      <c r="CX10" s="382"/>
      <c r="CY10" s="373">
        <f>+BW10+BK10+AY10+AM10-AB10</f>
        <v>-88265.857101806323</v>
      </c>
      <c r="CZ10" s="373">
        <f>CZ9+CY10</f>
        <v>-25799.007101806375</v>
      </c>
      <c r="DA10" s="373">
        <f>(CZ9+CZ10)/2*(1-0.4108)</f>
        <v>10802.346517807826</v>
      </c>
      <c r="DB10" s="375">
        <v>3.8999999999999998E-3</v>
      </c>
      <c r="DC10" s="383">
        <f>(DA10)*DB10/12</f>
        <v>3.5107626182875431</v>
      </c>
    </row>
    <row r="11" spans="1:173" s="351" customFormat="1" hidden="1" outlineLevel="1">
      <c r="D11" s="373"/>
      <c r="E11" s="373"/>
      <c r="F11" s="393"/>
      <c r="G11" s="394"/>
      <c r="H11" s="373"/>
      <c r="I11" s="373"/>
      <c r="J11" s="393"/>
      <c r="K11" s="393"/>
      <c r="L11" s="393"/>
      <c r="M11" s="393"/>
      <c r="N11" s="394"/>
      <c r="O11" s="394"/>
      <c r="P11" s="374"/>
      <c r="Q11" s="374"/>
      <c r="R11" s="376"/>
      <c r="S11" s="374"/>
      <c r="T11" s="394"/>
      <c r="U11" s="394"/>
      <c r="V11" s="394"/>
      <c r="W11" s="394"/>
      <c r="X11" s="394"/>
      <c r="Y11" s="394"/>
      <c r="Z11" s="384">
        <f>SUM(Z9:Z10)</f>
        <v>39376526</v>
      </c>
      <c r="AA11" s="394"/>
      <c r="AB11" s="372">
        <f>SUM(AB9:AB10)</f>
        <v>468580.6594</v>
      </c>
      <c r="AC11" s="372"/>
      <c r="AD11" s="372">
        <f>SUM(AD9:AD10)</f>
        <v>0</v>
      </c>
      <c r="AE11" s="373"/>
      <c r="AF11" s="373">
        <f>SUM(AF9:AF10)</f>
        <v>2479.8658567809875</v>
      </c>
      <c r="AG11" s="373">
        <f>SUM(AG9:AG10)</f>
        <v>3680.4511603899937</v>
      </c>
      <c r="AH11" s="384">
        <f>SUM(AH9:AH10)</f>
        <v>5277.9052810227067</v>
      </c>
      <c r="AI11" s="372">
        <f>SUM(AI9:AI10)</f>
        <v>11438.222298193687</v>
      </c>
      <c r="AK11" s="372">
        <f>SUM(AK9:AK10)</f>
        <v>43986.41</v>
      </c>
      <c r="AL11" s="372">
        <f>SUM(AL9:AL10)</f>
        <v>387357.02</v>
      </c>
      <c r="AM11" s="373">
        <f>SUM(AM9:AM10)</f>
        <v>442781.65229819366</v>
      </c>
      <c r="AN11" s="384"/>
      <c r="AO11" s="372"/>
      <c r="AP11" s="373"/>
      <c r="AQ11" s="373">
        <f>SUM(AQ9:AQ10)</f>
        <v>0</v>
      </c>
      <c r="AR11" s="373">
        <f>SUM(AR9:AR10)</f>
        <v>0</v>
      </c>
      <c r="AS11" s="384">
        <f>SUM(AS9:AS10)</f>
        <v>0</v>
      </c>
      <c r="AT11" s="384"/>
      <c r="AU11" s="384"/>
      <c r="AV11" s="372">
        <f>SUM(AV9:AV10)</f>
        <v>0</v>
      </c>
      <c r="AX11" s="372">
        <f>SUM(AX9:AX10)</f>
        <v>0</v>
      </c>
      <c r="AY11" s="372">
        <f>SUM(AY9:AY10)</f>
        <v>0</v>
      </c>
      <c r="AZ11" s="373"/>
      <c r="BA11" s="373"/>
      <c r="BB11" s="373"/>
      <c r="BC11" s="373"/>
      <c r="BD11" s="373"/>
      <c r="BE11" s="373"/>
      <c r="BF11" s="373"/>
      <c r="BG11" s="373"/>
      <c r="BH11" s="373"/>
      <c r="BI11" s="373"/>
      <c r="BJ11" s="384"/>
      <c r="BK11" s="384"/>
      <c r="BL11" s="384"/>
      <c r="BM11" s="373"/>
      <c r="BN11" s="373"/>
      <c r="BO11" s="373"/>
      <c r="BP11" s="373"/>
      <c r="BQ11" s="373"/>
      <c r="BR11" s="373"/>
      <c r="BS11" s="373"/>
      <c r="BT11" s="373"/>
      <c r="BU11" s="373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73"/>
      <c r="CZ11" s="373"/>
      <c r="DA11" s="373"/>
      <c r="DB11" s="375"/>
      <c r="DC11" s="372">
        <f>SUM(DC9:DC10)</f>
        <v>9.4916511715375371</v>
      </c>
      <c r="DE11" s="353"/>
      <c r="DF11" s="353"/>
      <c r="DG11" s="353"/>
      <c r="DH11" s="353"/>
    </row>
    <row r="12" spans="1:173" s="351" customFormat="1" hidden="1" outlineLevel="1">
      <c r="D12" s="373"/>
      <c r="E12" s="373"/>
      <c r="F12" s="393"/>
      <c r="G12" s="394"/>
      <c r="H12" s="373"/>
      <c r="I12" s="373"/>
      <c r="J12" s="393"/>
      <c r="K12" s="393"/>
      <c r="L12" s="393"/>
      <c r="M12" s="393"/>
      <c r="N12" s="393"/>
      <c r="O12" s="394"/>
      <c r="P12" s="374"/>
      <c r="Q12" s="374"/>
      <c r="R12" s="374"/>
      <c r="S12" s="374"/>
      <c r="T12" s="394"/>
      <c r="U12" s="394"/>
      <c r="V12" s="394"/>
      <c r="W12" s="394"/>
      <c r="X12" s="394"/>
      <c r="Y12" s="394"/>
      <c r="Z12" s="384"/>
      <c r="AA12" s="394"/>
      <c r="AB12" s="372"/>
      <c r="AC12" s="372"/>
      <c r="AD12" s="372"/>
      <c r="AE12" s="373"/>
      <c r="AF12" s="373"/>
      <c r="AG12" s="373"/>
      <c r="AH12" s="384"/>
      <c r="AI12" s="372"/>
      <c r="AK12" s="372"/>
      <c r="AL12" s="372"/>
      <c r="AM12" s="373"/>
      <c r="AN12" s="384"/>
      <c r="AO12" s="372"/>
      <c r="AP12" s="373"/>
      <c r="AQ12" s="373"/>
      <c r="AR12" s="373"/>
      <c r="AS12" s="384"/>
      <c r="AT12" s="384"/>
      <c r="AU12" s="384"/>
      <c r="AV12" s="372"/>
      <c r="AX12" s="372"/>
      <c r="AY12" s="373"/>
      <c r="AZ12" s="373"/>
      <c r="BA12" s="373"/>
      <c r="BB12" s="373"/>
      <c r="BC12" s="373"/>
      <c r="BD12" s="373"/>
      <c r="BE12" s="373"/>
      <c r="BF12" s="373"/>
      <c r="BG12" s="373"/>
      <c r="BH12" s="373"/>
      <c r="BI12" s="373"/>
      <c r="BJ12" s="384"/>
      <c r="BK12" s="384"/>
      <c r="BL12" s="384"/>
      <c r="BM12" s="373"/>
      <c r="BN12" s="373"/>
      <c r="BO12" s="373"/>
      <c r="BP12" s="373"/>
      <c r="BQ12" s="373"/>
      <c r="BR12" s="373"/>
      <c r="BS12" s="373"/>
      <c r="BT12" s="373"/>
      <c r="BU12" s="373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73"/>
      <c r="CZ12" s="373"/>
      <c r="DA12" s="373"/>
      <c r="DB12" s="375"/>
      <c r="DC12" s="372"/>
      <c r="DE12" s="353"/>
      <c r="DF12" s="353"/>
      <c r="DG12" s="353"/>
      <c r="DH12" s="353"/>
    </row>
    <row r="13" spans="1:173" s="351" customFormat="1" hidden="1" outlineLevel="1">
      <c r="A13" s="356"/>
      <c r="B13" s="356"/>
      <c r="C13" s="356"/>
      <c r="D13" s="393"/>
      <c r="E13" s="373"/>
      <c r="F13" s="385"/>
      <c r="G13" s="385"/>
      <c r="H13" s="373"/>
      <c r="I13" s="373"/>
      <c r="J13" s="385"/>
      <c r="K13" s="385"/>
      <c r="L13" s="385"/>
      <c r="M13" s="385"/>
      <c r="N13" s="393"/>
      <c r="O13" s="385"/>
      <c r="P13" s="385"/>
      <c r="Q13" s="385"/>
      <c r="R13" s="374"/>
      <c r="S13" s="385"/>
      <c r="T13" s="385"/>
      <c r="U13" s="385"/>
      <c r="V13" s="385"/>
      <c r="W13" s="385"/>
      <c r="X13" s="385"/>
      <c r="Y13" s="385"/>
      <c r="Z13" s="385"/>
      <c r="AA13" s="385"/>
      <c r="AB13" s="372"/>
      <c r="AC13" s="372"/>
      <c r="AD13" s="372"/>
      <c r="AE13" s="373"/>
      <c r="AF13" s="373"/>
      <c r="AG13" s="373"/>
      <c r="AH13" s="373"/>
      <c r="AI13" s="372"/>
      <c r="AJ13" s="373"/>
      <c r="AK13" s="372"/>
      <c r="AL13" s="372"/>
      <c r="AM13" s="373"/>
      <c r="AO13" s="372"/>
      <c r="AP13" s="373"/>
      <c r="AQ13" s="373"/>
      <c r="AR13" s="373"/>
      <c r="AS13" s="373"/>
      <c r="AT13" s="373"/>
      <c r="AU13" s="373"/>
      <c r="AV13" s="372"/>
      <c r="AW13" s="373"/>
      <c r="AX13" s="372"/>
      <c r="AY13" s="373"/>
      <c r="AZ13" s="373"/>
      <c r="BA13" s="373"/>
      <c r="BB13" s="373"/>
      <c r="BC13" s="373"/>
      <c r="BD13" s="373"/>
      <c r="BE13" s="373"/>
      <c r="BF13" s="373"/>
      <c r="BG13" s="373"/>
      <c r="BH13" s="373"/>
      <c r="BI13" s="373"/>
      <c r="BM13" s="373"/>
      <c r="BN13" s="373"/>
      <c r="BO13" s="373"/>
      <c r="BP13" s="373"/>
      <c r="BQ13" s="373"/>
      <c r="BR13" s="373"/>
      <c r="BS13" s="373"/>
      <c r="BT13" s="373"/>
      <c r="BU13" s="373"/>
      <c r="CY13" s="386" t="s">
        <v>49</v>
      </c>
      <c r="CZ13" s="373">
        <f>+CZ10+DC11</f>
        <v>-25789.515450634837</v>
      </c>
      <c r="DA13" s="373"/>
      <c r="DB13" s="375"/>
      <c r="DC13" s="372"/>
      <c r="DE13" s="353"/>
      <c r="DF13" s="353"/>
      <c r="DG13" s="353"/>
      <c r="DH13" s="353"/>
    </row>
    <row r="14" spans="1:173" s="351" customFormat="1" hidden="1" outlineLevel="1">
      <c r="A14" s="356" t="s">
        <v>50</v>
      </c>
      <c r="B14" s="356">
        <f>+B10</f>
        <v>2009</v>
      </c>
      <c r="C14" s="392" t="s">
        <v>47</v>
      </c>
      <c r="D14" s="393">
        <f>+'E3 - Invest Amort deferred tax'!AO7+'E3 - Financing upfront'!H7</f>
        <v>1259400</v>
      </c>
      <c r="E14" s="373">
        <f>+'E3 - Invest Amort deferred tax'!AN7</f>
        <v>58162.5</v>
      </c>
      <c r="F14" s="393">
        <f>+'E3 - Invest Amort deferred tax'!BT7</f>
        <v>-1516.5562499999999</v>
      </c>
      <c r="G14" s="394"/>
      <c r="H14" s="373"/>
      <c r="I14" s="373"/>
      <c r="J14" s="393"/>
      <c r="K14" s="393"/>
      <c r="L14" s="393"/>
      <c r="M14" s="393"/>
      <c r="N14" s="385"/>
      <c r="O14" s="394"/>
      <c r="P14" s="374"/>
      <c r="Q14" s="374"/>
      <c r="R14" s="385"/>
      <c r="S14" s="374"/>
      <c r="T14" s="394"/>
      <c r="U14" s="394"/>
      <c r="V14" s="394"/>
      <c r="W14" s="394"/>
      <c r="X14" s="394"/>
      <c r="Y14" s="394"/>
      <c r="Z14" s="397">
        <v>36248400.68</v>
      </c>
      <c r="AA14" s="530">
        <f>+AA10</f>
        <v>1.1900000000000001E-2</v>
      </c>
      <c r="AB14" s="372">
        <f t="shared" ref="AB14:AB25" si="1">+Z14*AA14</f>
        <v>431355.96809200005</v>
      </c>
      <c r="AC14" s="372"/>
      <c r="AD14" s="372">
        <f>+'E3 - Invest Amort deferred tax'!AL7</f>
        <v>1237.5</v>
      </c>
      <c r="AE14" s="373"/>
      <c r="AF14" s="373">
        <f>(D14+F14)*'Capital Structure '!$F$21/12</f>
        <v>2599.4851699714277</v>
      </c>
      <c r="AG14" s="373">
        <f>(D14+F14)*'Capital Structure '!$E$34/12</f>
        <v>3820.8330240524574</v>
      </c>
      <c r="AH14" s="373">
        <v>5532.4913922326277</v>
      </c>
      <c r="AI14" s="372">
        <f>SUM(AF14:AH14)</f>
        <v>11952.809586256513</v>
      </c>
      <c r="AJ14" s="373"/>
      <c r="AK14" s="387">
        <v>35676.9</v>
      </c>
      <c r="AL14" s="387">
        <f>41763.87+3663.65+400.51+18.41+49680+9923.09-2751.04-10531.93+137.68+1126.47+23430</f>
        <v>116860.70999999999</v>
      </c>
      <c r="AM14" s="373">
        <f>+AL14+AI14+AD14+AK14</f>
        <v>165727.9195862565</v>
      </c>
      <c r="AO14" s="372"/>
      <c r="AP14" s="373"/>
      <c r="AQ14" s="373"/>
      <c r="AR14" s="373"/>
      <c r="AS14" s="373"/>
      <c r="AT14" s="373"/>
      <c r="AU14" s="373"/>
      <c r="AV14" s="372">
        <f t="shared" ref="AV14:AV25" si="2">SUM(AQ14:AS14)</f>
        <v>0</v>
      </c>
      <c r="AW14" s="373"/>
      <c r="AX14" s="387"/>
      <c r="AY14" s="373">
        <f t="shared" si="0"/>
        <v>0</v>
      </c>
      <c r="AZ14" s="373"/>
      <c r="BA14" s="373"/>
      <c r="BB14" s="373"/>
      <c r="BC14" s="373"/>
      <c r="BD14" s="373"/>
      <c r="BE14" s="373"/>
      <c r="BF14" s="373"/>
      <c r="BG14" s="373"/>
      <c r="BH14" s="373"/>
      <c r="BI14" s="373"/>
      <c r="BM14" s="373"/>
      <c r="BN14" s="373"/>
      <c r="BO14" s="373"/>
      <c r="BP14" s="373"/>
      <c r="BQ14" s="373"/>
      <c r="BR14" s="373"/>
      <c r="BS14" s="373"/>
      <c r="BT14" s="373"/>
      <c r="BU14" s="373"/>
      <c r="CY14" s="373">
        <f t="shared" ref="CY14:CY25" si="3">+BW14+BK14+AY14+AM14-AB14</f>
        <v>-265628.04850574356</v>
      </c>
      <c r="CZ14" s="373">
        <f>+CZ13+CY14</f>
        <v>-291417.56395637838</v>
      </c>
      <c r="DA14" s="373">
        <f t="shared" ref="DA14:DA25" si="4">(CZ13+CZ14)/2*(1-0.4085)</f>
        <v>-93813.993734624164</v>
      </c>
      <c r="DB14" s="375">
        <v>4.0000000000000001E-3</v>
      </c>
      <c r="DC14" s="372">
        <f t="shared" ref="DC14:DC25" si="5">(DA14)*DB14/12</f>
        <v>-31.27133124487472</v>
      </c>
      <c r="DE14" s="353"/>
      <c r="DF14" s="353"/>
      <c r="DG14" s="353"/>
      <c r="DH14" s="353"/>
    </row>
    <row r="15" spans="1:173" s="351" customFormat="1" hidden="1" outlineLevel="1">
      <c r="A15" s="356" t="s">
        <v>51</v>
      </c>
      <c r="B15" s="356">
        <f>+B14</f>
        <v>2009</v>
      </c>
      <c r="C15" s="392" t="s">
        <v>47</v>
      </c>
      <c r="D15" s="393">
        <f>+'E3 - Invest Amort deferred tax'!AO8+'E3 - Financing upfront'!H8</f>
        <v>1434562.5</v>
      </c>
      <c r="E15" s="373">
        <f>+'E3 - Invest Amort deferred tax'!AN8</f>
        <v>229650</v>
      </c>
      <c r="F15" s="393">
        <f>+'E3 - Invest Amort deferred tax'!BT8</f>
        <v>-7536.8249999999989</v>
      </c>
      <c r="G15" s="394"/>
      <c r="H15" s="373"/>
      <c r="I15" s="373"/>
      <c r="J15" s="393"/>
      <c r="K15" s="393"/>
      <c r="L15" s="393"/>
      <c r="M15" s="393"/>
      <c r="N15" s="393"/>
      <c r="O15" s="394"/>
      <c r="P15" s="374"/>
      <c r="Q15" s="374"/>
      <c r="R15" s="374"/>
      <c r="S15" s="374"/>
      <c r="T15" s="394"/>
      <c r="U15" s="394"/>
      <c r="V15" s="394"/>
      <c r="W15" s="394"/>
      <c r="X15" s="394"/>
      <c r="Y15" s="394"/>
      <c r="Z15" s="384">
        <v>50916538.420000002</v>
      </c>
      <c r="AA15" s="530">
        <f t="shared" ref="AA15:AA23" si="6">+AA14</f>
        <v>1.1900000000000001E-2</v>
      </c>
      <c r="AB15" s="372">
        <f t="shared" si="1"/>
        <v>605906.80719800002</v>
      </c>
      <c r="AC15" s="372"/>
      <c r="AD15" s="372">
        <f>+'E3 - Invest Amort deferred tax'!AL8</f>
        <v>4912.5</v>
      </c>
      <c r="AE15" s="373"/>
      <c r="AF15" s="373">
        <f>(D15+F15)*'Capital Structure '!$F$21/12</f>
        <v>2949.0268734852853</v>
      </c>
      <c r="AG15" s="373">
        <f>(D15+F15)*'Capital Structure '!$E$34/12</f>
        <v>4334.6041736235775</v>
      </c>
      <c r="AH15" s="373">
        <v>6276.4219551979104</v>
      </c>
      <c r="AI15" s="372">
        <f>SUM(AF15:AH15)</f>
        <v>13560.053002306773</v>
      </c>
      <c r="AJ15" s="373"/>
      <c r="AK15" s="387">
        <v>37115.440000000002</v>
      </c>
      <c r="AL15" s="372">
        <f>1011.92+143.35+34933.03+4680.26+423.3+542.5+35000+67125.01+8376.92+465.39+465.39+52.77+628.09+262.52+3539.95+4374.72+104.41+1046.56+7873.67</f>
        <v>171049.76000000004</v>
      </c>
      <c r="AM15" s="373">
        <f t="shared" ref="AM15:AM25" si="7">+AL15+AI15+AD15+AK15</f>
        <v>226637.75300230682</v>
      </c>
      <c r="AO15" s="372"/>
      <c r="AP15" s="373"/>
      <c r="AQ15" s="373"/>
      <c r="AR15" s="373"/>
      <c r="AS15" s="373"/>
      <c r="AT15" s="373"/>
      <c r="AU15" s="373"/>
      <c r="AV15" s="372">
        <f t="shared" si="2"/>
        <v>0</v>
      </c>
      <c r="AW15" s="373"/>
      <c r="AX15" s="372"/>
      <c r="AY15" s="373">
        <f t="shared" si="0"/>
        <v>0</v>
      </c>
      <c r="AZ15" s="373"/>
      <c r="BA15" s="373"/>
      <c r="BB15" s="373"/>
      <c r="BC15" s="373"/>
      <c r="BD15" s="373"/>
      <c r="BE15" s="373"/>
      <c r="BF15" s="373"/>
      <c r="BG15" s="373"/>
      <c r="BH15" s="373"/>
      <c r="BI15" s="373"/>
      <c r="BM15" s="373"/>
      <c r="BN15" s="373"/>
      <c r="BO15" s="373"/>
      <c r="BP15" s="373"/>
      <c r="BQ15" s="373"/>
      <c r="BR15" s="373"/>
      <c r="BS15" s="373"/>
      <c r="BT15" s="373"/>
      <c r="BU15" s="373"/>
      <c r="CY15" s="373">
        <f t="shared" si="3"/>
        <v>-379269.05419569323</v>
      </c>
      <c r="CZ15" s="373">
        <f t="shared" ref="CZ15:CZ25" si="8">CZ14+CY15</f>
        <v>-670686.61815207161</v>
      </c>
      <c r="DA15" s="373">
        <f t="shared" si="4"/>
        <v>-284542.3118585741</v>
      </c>
      <c r="DB15" s="375">
        <v>2E-3</v>
      </c>
      <c r="DC15" s="372">
        <f t="shared" si="5"/>
        <v>-47.42371864309569</v>
      </c>
      <c r="DE15" s="353"/>
      <c r="DF15" s="353"/>
      <c r="DG15" s="353"/>
      <c r="DH15" s="353"/>
    </row>
    <row r="16" spans="1:173" s="351" customFormat="1" hidden="1" outlineLevel="1">
      <c r="A16" s="529" t="s">
        <v>52</v>
      </c>
      <c r="B16" s="529">
        <f>+B15</f>
        <v>2009</v>
      </c>
      <c r="C16" s="529" t="s">
        <v>47</v>
      </c>
      <c r="D16" s="481">
        <f>+'E3 - Invest Amort deferred tax'!AO9+'E3 - Financing upfront'!H9</f>
        <v>1655550</v>
      </c>
      <c r="E16" s="379">
        <f>+'E3 - Invest Amort deferred tax'!AN9</f>
        <v>451084.92729166662</v>
      </c>
      <c r="F16" s="481">
        <f>+'E3 - Invest Amort deferred tax'!BT9</f>
        <v>-19458.982519062498</v>
      </c>
      <c r="G16" s="481"/>
      <c r="H16" s="379"/>
      <c r="I16" s="379"/>
      <c r="J16" s="481"/>
      <c r="K16" s="481"/>
      <c r="L16" s="481"/>
      <c r="M16" s="481"/>
      <c r="N16" s="481"/>
      <c r="O16" s="394"/>
      <c r="P16" s="388"/>
      <c r="Q16" s="388"/>
      <c r="R16" s="388"/>
      <c r="S16" s="388"/>
      <c r="T16" s="394"/>
      <c r="U16" s="481"/>
      <c r="V16" s="481"/>
      <c r="W16" s="481"/>
      <c r="X16" s="481"/>
      <c r="Y16" s="481"/>
      <c r="Z16" s="531">
        <v>104193568.47999999</v>
      </c>
      <c r="AA16" s="533">
        <f t="shared" si="6"/>
        <v>1.1900000000000001E-2</v>
      </c>
      <c r="AB16" s="383">
        <f t="shared" si="1"/>
        <v>1239903.4649119999</v>
      </c>
      <c r="AC16" s="383"/>
      <c r="AD16" s="383">
        <f>+'E3 - Invest Amort deferred tax'!AL9</f>
        <v>9728.4027083333331</v>
      </c>
      <c r="AE16" s="373"/>
      <c r="AF16" s="379">
        <f>(D16+F16)*'Capital Structure '!$F$21/12</f>
        <v>3381.0718773642025</v>
      </c>
      <c r="AG16" s="379">
        <f>(D16+F16)*'Capital Structure '!$E$34/12</f>
        <v>4969.6421564390685</v>
      </c>
      <c r="AH16" s="379">
        <v>7195.9445178303786</v>
      </c>
      <c r="AI16" s="383">
        <f t="shared" ref="AI16:AI25" si="9">SUM(AF16:AH16)</f>
        <v>15546.658551633649</v>
      </c>
      <c r="AJ16" s="379"/>
      <c r="AK16" s="381">
        <f>31367.23+576.9+576.9</f>
        <v>32521.030000000002</v>
      </c>
      <c r="AL16" s="383">
        <f>22.55+39240.73+3724.38+27.33+160.65+500+3673.46+14780.78+148.08+148.08+1935+3478.35+1021.86+195.35+1206.48+200+7810</f>
        <v>78273.080000000016</v>
      </c>
      <c r="AM16" s="379">
        <f t="shared" si="7"/>
        <v>136069.171259967</v>
      </c>
      <c r="AN16" s="444"/>
      <c r="AO16" s="383"/>
      <c r="AP16" s="379"/>
      <c r="AQ16" s="379"/>
      <c r="AR16" s="379"/>
      <c r="AS16" s="379"/>
      <c r="AT16" s="379"/>
      <c r="AU16" s="379"/>
      <c r="AV16" s="383">
        <f t="shared" si="2"/>
        <v>0</v>
      </c>
      <c r="AW16" s="379"/>
      <c r="AX16" s="383"/>
      <c r="AY16" s="379">
        <f t="shared" si="0"/>
        <v>0</v>
      </c>
      <c r="AZ16" s="379"/>
      <c r="BA16" s="379"/>
      <c r="BB16" s="379"/>
      <c r="BC16" s="379"/>
      <c r="BD16" s="379"/>
      <c r="BE16" s="379"/>
      <c r="BF16" s="379"/>
      <c r="BG16" s="379"/>
      <c r="BH16" s="379"/>
      <c r="BI16" s="379"/>
      <c r="BJ16" s="444"/>
      <c r="BK16" s="444"/>
      <c r="BL16" s="444"/>
      <c r="BM16" s="373"/>
      <c r="BN16" s="373"/>
      <c r="BO16" s="373"/>
      <c r="BP16" s="373"/>
      <c r="BQ16" s="373"/>
      <c r="BR16" s="373"/>
      <c r="BS16" s="373"/>
      <c r="BT16" s="373"/>
      <c r="BU16" s="373"/>
      <c r="BV16" s="353"/>
      <c r="BW16" s="353"/>
      <c r="BX16" s="353"/>
      <c r="BY16" s="353"/>
      <c r="BZ16" s="353"/>
      <c r="CA16" s="353"/>
      <c r="CB16" s="353"/>
      <c r="CC16" s="353"/>
      <c r="CD16" s="353"/>
      <c r="CE16" s="353"/>
      <c r="CF16" s="353"/>
      <c r="CG16" s="353"/>
      <c r="CH16" s="353"/>
      <c r="CI16" s="353"/>
      <c r="CJ16" s="353"/>
      <c r="CK16" s="353"/>
      <c r="CL16" s="353"/>
      <c r="CM16" s="353"/>
      <c r="CN16" s="353"/>
      <c r="CO16" s="353"/>
      <c r="CP16" s="353"/>
      <c r="CQ16" s="353"/>
      <c r="CR16" s="353"/>
      <c r="CS16" s="353"/>
      <c r="CT16" s="353"/>
      <c r="CU16" s="353"/>
      <c r="CV16" s="353"/>
      <c r="CW16" s="353"/>
      <c r="CX16" s="353"/>
      <c r="CY16" s="373">
        <f t="shared" si="3"/>
        <v>-1103834.293652033</v>
      </c>
      <c r="CZ16" s="373">
        <f>CZ15+CY16</f>
        <v>-1774520.9118041047</v>
      </c>
      <c r="DA16" s="373">
        <f t="shared" si="4"/>
        <v>-723170.12698453921</v>
      </c>
      <c r="DB16" s="375">
        <v>2E-3</v>
      </c>
      <c r="DC16" s="372">
        <f t="shared" si="5"/>
        <v>-120.52835449742321</v>
      </c>
      <c r="DD16" s="353"/>
      <c r="DE16" s="353"/>
      <c r="DF16" s="353"/>
      <c r="DG16" s="353"/>
      <c r="DH16" s="353"/>
    </row>
    <row r="17" spans="1:173" s="351" customFormat="1" hidden="1" outlineLevel="1">
      <c r="A17" s="356" t="s">
        <v>53</v>
      </c>
      <c r="B17" s="356">
        <f>+B16+1</f>
        <v>2010</v>
      </c>
      <c r="C17" s="392" t="s">
        <v>47</v>
      </c>
      <c r="D17" s="393">
        <f>+'E3 - Invest Amort deferred tax'!AO10+'E3 - Financing upfront'!H10</f>
        <v>1908621.5972916665</v>
      </c>
      <c r="E17" s="373">
        <f>+'E3 - Invest Amort deferred tax'!AN10</f>
        <v>707148.24166666658</v>
      </c>
      <c r="F17" s="393">
        <f>+'E3 - Invest Amort deferred tax'!BT10</f>
        <v>-38311.517682499994</v>
      </c>
      <c r="G17" s="394"/>
      <c r="H17" s="373"/>
      <c r="I17" s="373"/>
      <c r="J17" s="393"/>
      <c r="K17" s="393"/>
      <c r="L17" s="393"/>
      <c r="M17" s="393"/>
      <c r="N17" s="394"/>
      <c r="O17" s="394"/>
      <c r="P17" s="376"/>
      <c r="Q17" s="376"/>
      <c r="R17" s="376"/>
      <c r="S17" s="376"/>
      <c r="T17" s="394"/>
      <c r="U17" s="394"/>
      <c r="V17" s="394"/>
      <c r="W17" s="394"/>
      <c r="X17" s="394"/>
      <c r="Y17" s="394"/>
      <c r="Z17" s="384">
        <v>122450841.34999999</v>
      </c>
      <c r="AA17" s="530">
        <f t="shared" si="6"/>
        <v>1.1900000000000001E-2</v>
      </c>
      <c r="AB17" s="372">
        <f t="shared" si="1"/>
        <v>1457165.0120650001</v>
      </c>
      <c r="AC17" s="372"/>
      <c r="AD17" s="372">
        <f>+'E3 - Invest Amort deferred tax'!AL10</f>
        <v>15383.545624999999</v>
      </c>
      <c r="AE17" s="373"/>
      <c r="AF17" s="373">
        <f>(D17+F17)*'Capital Structure '!$F$21/12</f>
        <v>3865.098423346753</v>
      </c>
      <c r="AG17" s="373">
        <f>(D17+F17)*'Capital Structure '!$E$34/12</f>
        <v>5681.0848039185694</v>
      </c>
      <c r="AH17" s="373">
        <v>8226.0995385993501</v>
      </c>
      <c r="AI17" s="372">
        <f t="shared" si="9"/>
        <v>17772.282765864671</v>
      </c>
      <c r="AJ17" s="373"/>
      <c r="AK17" s="387">
        <v>53423.16</v>
      </c>
      <c r="AL17" s="372">
        <f>115790.43+5186.05</f>
        <v>120976.48</v>
      </c>
      <c r="AM17" s="373">
        <f t="shared" si="7"/>
        <v>207555.46839086467</v>
      </c>
      <c r="AO17" s="372"/>
      <c r="AP17" s="373"/>
      <c r="AQ17" s="373"/>
      <c r="AR17" s="373"/>
      <c r="AS17" s="373"/>
      <c r="AT17" s="373"/>
      <c r="AU17" s="373"/>
      <c r="AV17" s="372">
        <f t="shared" si="2"/>
        <v>0</v>
      </c>
      <c r="AW17" s="373"/>
      <c r="AX17" s="372"/>
      <c r="AY17" s="373">
        <f t="shared" si="0"/>
        <v>0</v>
      </c>
      <c r="AZ17" s="373"/>
      <c r="BA17" s="373"/>
      <c r="BB17" s="373"/>
      <c r="BC17" s="373"/>
      <c r="BD17" s="373"/>
      <c r="BE17" s="373"/>
      <c r="BF17" s="373"/>
      <c r="BG17" s="373"/>
      <c r="BH17" s="373"/>
      <c r="BI17" s="373"/>
      <c r="BM17" s="373"/>
      <c r="BN17" s="373"/>
      <c r="BO17" s="373"/>
      <c r="BP17" s="373"/>
      <c r="BQ17" s="373"/>
      <c r="BR17" s="373"/>
      <c r="BS17" s="373"/>
      <c r="BT17" s="373"/>
      <c r="BU17" s="373"/>
      <c r="BV17" s="353"/>
      <c r="BW17" s="353"/>
      <c r="BX17" s="353"/>
      <c r="BY17" s="353"/>
      <c r="BZ17" s="353"/>
      <c r="CA17" s="353"/>
      <c r="CB17" s="353"/>
      <c r="CC17" s="353"/>
      <c r="CD17" s="353"/>
      <c r="CE17" s="353"/>
      <c r="CF17" s="353"/>
      <c r="CG17" s="353"/>
      <c r="CH17" s="353"/>
      <c r="CI17" s="353"/>
      <c r="CJ17" s="353"/>
      <c r="CK17" s="353"/>
      <c r="CL17" s="353"/>
      <c r="CM17" s="353"/>
      <c r="CN17" s="353"/>
      <c r="CO17" s="353"/>
      <c r="CP17" s="353"/>
      <c r="CQ17" s="353"/>
      <c r="CR17" s="353"/>
      <c r="CS17" s="353"/>
      <c r="CT17" s="353"/>
      <c r="CU17" s="353"/>
      <c r="CV17" s="353"/>
      <c r="CW17" s="353"/>
      <c r="CX17" s="353"/>
      <c r="CY17" s="373">
        <f t="shared" si="3"/>
        <v>-1249609.5436741356</v>
      </c>
      <c r="CZ17" s="373">
        <f t="shared" si="8"/>
        <v>-3024130.4554782403</v>
      </c>
      <c r="DA17" s="373">
        <f t="shared" si="4"/>
        <v>-1419201.1418737536</v>
      </c>
      <c r="DB17" s="375">
        <v>2E-3</v>
      </c>
      <c r="DC17" s="372">
        <f t="shared" si="5"/>
        <v>-236.53352364562559</v>
      </c>
      <c r="DE17" s="353"/>
      <c r="DF17" s="353"/>
      <c r="DG17" s="353"/>
      <c r="DH17" s="353"/>
    </row>
    <row r="18" spans="1:173" s="351" customFormat="1" hidden="1" outlineLevel="1">
      <c r="A18" s="356" t="s">
        <v>54</v>
      </c>
      <c r="B18" s="356">
        <f t="shared" ref="B18:B25" si="10">+B17</f>
        <v>2010</v>
      </c>
      <c r="C18" s="392" t="s">
        <v>47</v>
      </c>
      <c r="D18" s="393">
        <f>+'E3 - Invest Amort deferred tax'!AO11+'E3 - Financing upfront'!H11</f>
        <v>2157838.0516666663</v>
      </c>
      <c r="E18" s="373">
        <f>+'E3 - Invest Amort deferred tax'!AN11</f>
        <v>1008922.7033333334</v>
      </c>
      <c r="F18" s="393">
        <f>+'E3 - Invest Amort deferred tax'!BT11</f>
        <v>-65433.779184999992</v>
      </c>
      <c r="G18" s="394"/>
      <c r="H18" s="373"/>
      <c r="I18" s="373"/>
      <c r="J18" s="393"/>
      <c r="K18" s="393"/>
      <c r="L18" s="393"/>
      <c r="M18" s="393"/>
      <c r="N18" s="393"/>
      <c r="O18" s="394"/>
      <c r="P18" s="376"/>
      <c r="Q18" s="376"/>
      <c r="R18" s="376"/>
      <c r="S18" s="376"/>
      <c r="T18" s="394"/>
      <c r="U18" s="394"/>
      <c r="V18" s="394"/>
      <c r="W18" s="394"/>
      <c r="X18" s="394"/>
      <c r="Y18" s="394"/>
      <c r="Z18" s="384">
        <v>106772436.38</v>
      </c>
      <c r="AA18" s="530">
        <f t="shared" si="6"/>
        <v>1.1900000000000001E-2</v>
      </c>
      <c r="AB18" s="372">
        <f t="shared" si="1"/>
        <v>1270591.9929220001</v>
      </c>
      <c r="AC18" s="372"/>
      <c r="AD18" s="372">
        <f>+'E3 - Invest Amort deferred tax'!AL11</f>
        <v>22131.588333333333</v>
      </c>
      <c r="AE18" s="373"/>
      <c r="AF18" s="373">
        <f>(D18+F18)*'Capital Structure '!$F$21/12</f>
        <v>4324.0682615916221</v>
      </c>
      <c r="AG18" s="373">
        <f>(D18+F18)*'Capital Structure '!$E$34/12</f>
        <v>6355.6980447509022</v>
      </c>
      <c r="AH18" s="373">
        <v>9202.9262998045506</v>
      </c>
      <c r="AI18" s="372">
        <f t="shared" si="9"/>
        <v>19882.692606147073</v>
      </c>
      <c r="AJ18" s="373"/>
      <c r="AK18" s="387">
        <v>35615.440000000002</v>
      </c>
      <c r="AL18" s="372">
        <f>38.3+39562.81+3724.37+7.48+127.1+1584.7+18758.39+3125.72+3794.5+12996.13+888.48+888.48+33224.48+2666.75+3572.78+213.49+169.88+1179.93+7810</f>
        <v>134333.77000000002</v>
      </c>
      <c r="AM18" s="373">
        <f t="shared" si="7"/>
        <v>211963.49093948043</v>
      </c>
      <c r="AO18" s="372"/>
      <c r="AP18" s="373"/>
      <c r="AQ18" s="373"/>
      <c r="AR18" s="373"/>
      <c r="AS18" s="373"/>
      <c r="AT18" s="373"/>
      <c r="AU18" s="373"/>
      <c r="AV18" s="372">
        <f t="shared" si="2"/>
        <v>0</v>
      </c>
      <c r="AW18" s="373"/>
      <c r="AX18" s="372"/>
      <c r="AY18" s="373">
        <f t="shared" si="0"/>
        <v>0</v>
      </c>
      <c r="AZ18" s="373"/>
      <c r="BA18" s="373"/>
      <c r="BB18" s="373"/>
      <c r="BC18" s="373"/>
      <c r="BD18" s="373"/>
      <c r="BE18" s="373"/>
      <c r="BF18" s="373"/>
      <c r="BG18" s="373"/>
      <c r="BH18" s="373"/>
      <c r="BI18" s="373"/>
      <c r="BM18" s="373"/>
      <c r="BN18" s="373"/>
      <c r="BO18" s="373"/>
      <c r="BP18" s="373"/>
      <c r="BQ18" s="373"/>
      <c r="BR18" s="373"/>
      <c r="BS18" s="373"/>
      <c r="BT18" s="373"/>
      <c r="BU18" s="373"/>
      <c r="BV18" s="353"/>
      <c r="BW18" s="353"/>
      <c r="BX18" s="353"/>
      <c r="BY18" s="353"/>
      <c r="BZ18" s="353"/>
      <c r="CA18" s="353"/>
      <c r="CB18" s="353"/>
      <c r="CC18" s="353"/>
      <c r="CD18" s="353"/>
      <c r="CE18" s="353"/>
      <c r="CF18" s="353"/>
      <c r="CG18" s="353"/>
      <c r="CH18" s="353"/>
      <c r="CI18" s="353"/>
      <c r="CJ18" s="353"/>
      <c r="CK18" s="353"/>
      <c r="CL18" s="353"/>
      <c r="CM18" s="353"/>
      <c r="CN18" s="353"/>
      <c r="CO18" s="353"/>
      <c r="CP18" s="353"/>
      <c r="CQ18" s="353"/>
      <c r="CR18" s="353"/>
      <c r="CS18" s="353"/>
      <c r="CT18" s="353"/>
      <c r="CU18" s="353"/>
      <c r="CV18" s="353"/>
      <c r="CW18" s="353"/>
      <c r="CX18" s="353"/>
      <c r="CY18" s="373">
        <f t="shared" si="3"/>
        <v>-1058628.5019825196</v>
      </c>
      <c r="CZ18" s="373">
        <f>CZ17+CY18</f>
        <v>-4082758.9574607601</v>
      </c>
      <c r="DA18" s="373">
        <f t="shared" si="4"/>
        <v>-2101862.5438767094</v>
      </c>
      <c r="DB18" s="375">
        <v>2E-3</v>
      </c>
      <c r="DC18" s="372">
        <f>(DA18)*DB18/12</f>
        <v>-350.31042397945157</v>
      </c>
      <c r="DE18" s="353"/>
      <c r="DF18" s="353"/>
      <c r="DG18" s="353"/>
      <c r="DH18" s="353"/>
    </row>
    <row r="19" spans="1:173" s="351" customFormat="1" hidden="1" outlineLevel="1">
      <c r="A19" s="356" t="s">
        <v>55</v>
      </c>
      <c r="B19" s="356">
        <f t="shared" si="10"/>
        <v>2010</v>
      </c>
      <c r="C19" s="392" t="s">
        <v>47</v>
      </c>
      <c r="D19" s="393">
        <f>+'E3 - Invest Amort deferred tax'!AO12+'E3 - Financing upfront'!H12</f>
        <v>2514606.4633333329</v>
      </c>
      <c r="E19" s="373">
        <f>+'E3 - Invest Amort deferred tax'!AN12</f>
        <v>1427995.5858333334</v>
      </c>
      <c r="F19" s="393">
        <f>+'E3 - Invest Amort deferred tax'!BT12</f>
        <v>-104060.21258124999</v>
      </c>
      <c r="G19" s="394"/>
      <c r="H19" s="373"/>
      <c r="I19" s="373"/>
      <c r="J19" s="393"/>
      <c r="K19" s="393"/>
      <c r="L19" s="393"/>
      <c r="M19" s="393"/>
      <c r="N19" s="393"/>
      <c r="O19" s="394"/>
      <c r="P19" s="376"/>
      <c r="Q19" s="376"/>
      <c r="R19" s="376"/>
      <c r="S19" s="376"/>
      <c r="T19" s="394"/>
      <c r="U19" s="394"/>
      <c r="V19" s="394"/>
      <c r="W19" s="394"/>
      <c r="X19" s="394"/>
      <c r="Y19" s="394"/>
      <c r="Z19" s="384">
        <v>68495594.120000005</v>
      </c>
      <c r="AA19" s="530">
        <f t="shared" si="6"/>
        <v>1.1900000000000001E-2</v>
      </c>
      <c r="AB19" s="372">
        <f t="shared" si="1"/>
        <v>815097.57002800016</v>
      </c>
      <c r="AC19" s="372"/>
      <c r="AD19" s="372">
        <f>+'E3 - Invest Amort deferred tax'!AL12</f>
        <v>31518.9175</v>
      </c>
      <c r="AE19" s="373"/>
      <c r="AF19" s="373">
        <f>(D19+F19)*'Capital Structure '!$F$21/12</f>
        <v>4981.5261195262601</v>
      </c>
      <c r="AG19" s="373">
        <f>(D19+F19)*'Capital Structure '!$E$34/12</f>
        <v>7322.0573548703987</v>
      </c>
      <c r="AH19" s="373">
        <v>10602.195655828253</v>
      </c>
      <c r="AI19" s="372">
        <f t="shared" si="9"/>
        <v>22905.77913022491</v>
      </c>
      <c r="AJ19" s="373"/>
      <c r="AK19" s="387">
        <v>36703.08</v>
      </c>
      <c r="AL19" s="372">
        <v>91086.95</v>
      </c>
      <c r="AM19" s="373">
        <f t="shared" si="7"/>
        <v>182214.7266302249</v>
      </c>
      <c r="AO19" s="372"/>
      <c r="AP19" s="373"/>
      <c r="AQ19" s="373"/>
      <c r="AR19" s="373"/>
      <c r="AS19" s="373"/>
      <c r="AT19" s="373"/>
      <c r="AU19" s="373"/>
      <c r="AV19" s="372">
        <f t="shared" si="2"/>
        <v>0</v>
      </c>
      <c r="AW19" s="373"/>
      <c r="AX19" s="372"/>
      <c r="AY19" s="373">
        <f t="shared" si="0"/>
        <v>0</v>
      </c>
      <c r="AZ19" s="373"/>
      <c r="BA19" s="373"/>
      <c r="BB19" s="373"/>
      <c r="BC19" s="373"/>
      <c r="BD19" s="373"/>
      <c r="BE19" s="373"/>
      <c r="BF19" s="373"/>
      <c r="BG19" s="373"/>
      <c r="BH19" s="373"/>
      <c r="BI19" s="373"/>
      <c r="BM19" s="373"/>
      <c r="BN19" s="373"/>
      <c r="BO19" s="373"/>
      <c r="BP19" s="373"/>
      <c r="BQ19" s="373"/>
      <c r="BR19" s="373"/>
      <c r="BS19" s="373"/>
      <c r="BT19" s="373"/>
      <c r="BU19" s="373"/>
      <c r="BV19" s="353"/>
      <c r="BW19" s="353"/>
      <c r="BX19" s="353"/>
      <c r="BY19" s="353"/>
      <c r="BZ19" s="353"/>
      <c r="CA19" s="353"/>
      <c r="CB19" s="353"/>
      <c r="CC19" s="353"/>
      <c r="CD19" s="353"/>
      <c r="CE19" s="353"/>
      <c r="CF19" s="353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73">
        <f t="shared" si="3"/>
        <v>-632882.8433977752</v>
      </c>
      <c r="CZ19" s="373">
        <f t="shared" si="8"/>
        <v>-4715641.8008585349</v>
      </c>
      <c r="DA19" s="373">
        <f t="shared" si="4"/>
        <v>-2602127.0242729317</v>
      </c>
      <c r="DB19" s="375">
        <v>2E-3</v>
      </c>
      <c r="DC19" s="372">
        <f t="shared" si="5"/>
        <v>-433.687837378822</v>
      </c>
      <c r="DE19" s="353"/>
      <c r="DF19" s="353"/>
      <c r="DG19" s="353"/>
      <c r="DH19" s="353"/>
    </row>
    <row r="20" spans="1:173" s="351" customFormat="1" hidden="1" outlineLevel="1">
      <c r="A20" s="356" t="s">
        <v>56</v>
      </c>
      <c r="B20" s="356">
        <f t="shared" si="10"/>
        <v>2010</v>
      </c>
      <c r="C20" s="392" t="s">
        <v>47</v>
      </c>
      <c r="D20" s="393">
        <f>+'E3 - Invest Amort deferred tax'!AO13+'E3 - Financing upfront'!H13</f>
        <v>2783687.5458333334</v>
      </c>
      <c r="E20" s="373">
        <f>+'E3 - Invest Amort deferred tax'!AN13</f>
        <v>1786342.089375</v>
      </c>
      <c r="F20" s="393">
        <f>+'E3 - Invest Amort deferred tax'!BT13</f>
        <v>-152852.1794559375</v>
      </c>
      <c r="G20" s="394"/>
      <c r="H20" s="373"/>
      <c r="I20" s="373"/>
      <c r="J20" s="393"/>
      <c r="K20" s="393"/>
      <c r="L20" s="393"/>
      <c r="M20" s="393"/>
      <c r="N20" s="393"/>
      <c r="O20" s="394"/>
      <c r="P20" s="376"/>
      <c r="Q20" s="376"/>
      <c r="R20" s="376"/>
      <c r="S20" s="376"/>
      <c r="T20" s="394"/>
      <c r="U20" s="394"/>
      <c r="V20" s="394"/>
      <c r="W20" s="394"/>
      <c r="X20" s="394"/>
      <c r="Y20" s="394"/>
      <c r="Z20" s="384">
        <v>35048338.200000003</v>
      </c>
      <c r="AA20" s="530">
        <f t="shared" si="6"/>
        <v>1.1900000000000001E-2</v>
      </c>
      <c r="AB20" s="372">
        <f t="shared" si="1"/>
        <v>417075.22458000004</v>
      </c>
      <c r="AC20" s="372"/>
      <c r="AD20" s="372">
        <f>+'E3 - Invest Amort deferred tax'!AL13</f>
        <v>39813.926458333335</v>
      </c>
      <c r="AE20" s="373"/>
      <c r="AF20" s="373">
        <f>(D20+F20)*'Capital Structure '!$F$21/12</f>
        <v>5436.7656665760042</v>
      </c>
      <c r="AG20" s="373">
        <f>(D20+F20)*'Capital Structure '!$E$34/12</f>
        <v>7991.1876562529096</v>
      </c>
      <c r="AH20" s="373">
        <v>11571.083228087138</v>
      </c>
      <c r="AI20" s="372">
        <f t="shared" si="9"/>
        <v>24999.036550916055</v>
      </c>
      <c r="AJ20" s="373"/>
      <c r="AK20" s="387">
        <v>36097.449999999997</v>
      </c>
      <c r="AL20" s="372">
        <f>114874.13+509.49</f>
        <v>115383.62000000001</v>
      </c>
      <c r="AM20" s="373">
        <f>+AL20+AI20+AD20+AK20</f>
        <v>216294.03300924937</v>
      </c>
      <c r="AO20" s="372"/>
      <c r="AP20" s="373"/>
      <c r="AQ20" s="373"/>
      <c r="AR20" s="373"/>
      <c r="AS20" s="373"/>
      <c r="AT20" s="373"/>
      <c r="AU20" s="373"/>
      <c r="AV20" s="372">
        <f t="shared" si="2"/>
        <v>0</v>
      </c>
      <c r="AW20" s="373"/>
      <c r="AX20" s="372"/>
      <c r="AY20" s="373">
        <f t="shared" si="0"/>
        <v>0</v>
      </c>
      <c r="AZ20" s="373"/>
      <c r="BA20" s="373"/>
      <c r="BB20" s="373"/>
      <c r="BC20" s="373"/>
      <c r="BD20" s="373"/>
      <c r="BE20" s="373"/>
      <c r="BF20" s="373"/>
      <c r="BG20" s="373"/>
      <c r="BH20" s="373"/>
      <c r="BI20" s="373"/>
      <c r="BM20" s="373"/>
      <c r="BN20" s="373"/>
      <c r="BO20" s="373"/>
      <c r="BP20" s="373"/>
      <c r="BQ20" s="373"/>
      <c r="BR20" s="373"/>
      <c r="BS20" s="373"/>
      <c r="BT20" s="373"/>
      <c r="BU20" s="373"/>
      <c r="BV20" s="353"/>
      <c r="BW20" s="353"/>
      <c r="BX20" s="353"/>
      <c r="BY20" s="353"/>
      <c r="BZ20" s="353"/>
      <c r="CA20" s="353"/>
      <c r="CB20" s="353"/>
      <c r="CC20" s="353"/>
      <c r="CD20" s="353"/>
      <c r="CE20" s="353"/>
      <c r="CF20" s="353"/>
      <c r="CG20" s="353"/>
      <c r="CH20" s="353"/>
      <c r="CI20" s="353"/>
      <c r="CJ20" s="353"/>
      <c r="CK20" s="353"/>
      <c r="CL20" s="353"/>
      <c r="CM20" s="353"/>
      <c r="CN20" s="353"/>
      <c r="CO20" s="353"/>
      <c r="CP20" s="353"/>
      <c r="CQ20" s="353"/>
      <c r="CR20" s="353"/>
      <c r="CS20" s="353"/>
      <c r="CT20" s="353"/>
      <c r="CU20" s="353"/>
      <c r="CV20" s="353"/>
      <c r="CW20" s="353"/>
      <c r="CX20" s="353"/>
      <c r="CY20" s="373">
        <f t="shared" si="3"/>
        <v>-200781.19157075067</v>
      </c>
      <c r="CZ20" s="373">
        <f>CZ19+CY20</f>
        <v>-4916422.9924292853</v>
      </c>
      <c r="DA20" s="373">
        <f t="shared" si="4"/>
        <v>-2848683.1626148731</v>
      </c>
      <c r="DB20" s="375">
        <v>2E-3</v>
      </c>
      <c r="DC20" s="372">
        <f t="shared" si="5"/>
        <v>-474.78052710247886</v>
      </c>
      <c r="DE20" s="353"/>
      <c r="DF20" s="353"/>
      <c r="DG20" s="353"/>
      <c r="DH20" s="353"/>
      <c r="DI20" s="353"/>
      <c r="DJ20" s="353"/>
      <c r="DK20" s="353"/>
      <c r="DL20" s="353"/>
      <c r="DM20" s="353"/>
      <c r="DN20" s="353"/>
      <c r="DO20" s="353"/>
      <c r="DP20" s="353"/>
      <c r="DQ20" s="353"/>
      <c r="DR20" s="353"/>
      <c r="DS20" s="353"/>
      <c r="DT20" s="353"/>
      <c r="DU20" s="353"/>
      <c r="DV20" s="353"/>
      <c r="DW20" s="35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</row>
    <row r="21" spans="1:173" s="351" customFormat="1" hidden="1" outlineLevel="1">
      <c r="A21" s="356" t="s">
        <v>57</v>
      </c>
      <c r="B21" s="356">
        <f t="shared" si="10"/>
        <v>2010</v>
      </c>
      <c r="C21" s="392" t="s">
        <v>47</v>
      </c>
      <c r="D21" s="393">
        <f>+'E3 - Invest Amort deferred tax'!AO14+'E3 - Financing upfront'!H14</f>
        <v>3032773.6193749998</v>
      </c>
      <c r="E21" s="373">
        <f>+'E3 - Invest Amort deferred tax'!AN14</f>
        <v>2104811.4639583332</v>
      </c>
      <c r="F21" s="393">
        <f>+'E3 - Invest Amort deferred tax'!BT14</f>
        <v>-210986.19282906249</v>
      </c>
      <c r="G21" s="394"/>
      <c r="H21" s="373"/>
      <c r="I21" s="373"/>
      <c r="J21" s="393"/>
      <c r="K21" s="393"/>
      <c r="L21" s="393"/>
      <c r="M21" s="393"/>
      <c r="N21" s="393"/>
      <c r="O21" s="394"/>
      <c r="P21" s="376"/>
      <c r="Q21" s="376"/>
      <c r="R21" s="376"/>
      <c r="S21" s="376"/>
      <c r="T21" s="394"/>
      <c r="U21" s="394"/>
      <c r="V21" s="394"/>
      <c r="W21" s="394"/>
      <c r="X21" s="394"/>
      <c r="Y21" s="394"/>
      <c r="Z21" s="393">
        <v>27031188.120000005</v>
      </c>
      <c r="AA21" s="530">
        <f t="shared" si="6"/>
        <v>1.1900000000000001E-2</v>
      </c>
      <c r="AB21" s="372">
        <f t="shared" si="1"/>
        <v>321671.1386280001</v>
      </c>
      <c r="AC21" s="372"/>
      <c r="AD21" s="372">
        <f>+'E3 - Invest Amort deferred tax'!AL14</f>
        <v>47436.975416666668</v>
      </c>
      <c r="AE21" s="373"/>
      <c r="AF21" s="373">
        <f>(D21+F21)*'Capital Structure '!$F$21/12</f>
        <v>5831.3785784876318</v>
      </c>
      <c r="AG21" s="373">
        <f>(D21+F21)*'Capital Structure '!$E$34/12</f>
        <v>8571.206370330061</v>
      </c>
      <c r="AH21" s="373">
        <v>12410.938967075228</v>
      </c>
      <c r="AI21" s="372">
        <f>SUM(AF21:AH21)</f>
        <v>26813.523915892922</v>
      </c>
      <c r="AJ21" s="373"/>
      <c r="AK21" s="387">
        <v>39461.599999999999</v>
      </c>
      <c r="AL21" s="372">
        <f>322.3+31.23+16.15+3724.37+38.4+457.55+2040.46+32503+15076.94+149+1674.66+123.83+47.6+166.57+1286.66+7810+405+869.87+39832.04</f>
        <v>106575.63</v>
      </c>
      <c r="AM21" s="373">
        <f t="shared" si="7"/>
        <v>220287.7293325596</v>
      </c>
      <c r="AO21" s="372"/>
      <c r="AP21" s="373"/>
      <c r="AQ21" s="373"/>
      <c r="AR21" s="373"/>
      <c r="AS21" s="373"/>
      <c r="AT21" s="373"/>
      <c r="AU21" s="373"/>
      <c r="AV21" s="372">
        <f t="shared" si="2"/>
        <v>0</v>
      </c>
      <c r="AW21" s="373"/>
      <c r="AX21" s="372"/>
      <c r="AY21" s="373">
        <f t="shared" si="0"/>
        <v>0</v>
      </c>
      <c r="AZ21" s="373"/>
      <c r="BA21" s="373"/>
      <c r="BB21" s="373"/>
      <c r="BC21" s="373"/>
      <c r="BD21" s="373"/>
      <c r="BE21" s="373"/>
      <c r="BF21" s="373"/>
      <c r="BG21" s="373"/>
      <c r="BH21" s="373"/>
      <c r="BI21" s="373"/>
      <c r="BM21" s="373"/>
      <c r="BN21" s="373"/>
      <c r="BO21" s="373"/>
      <c r="BP21" s="373"/>
      <c r="BQ21" s="373"/>
      <c r="BR21" s="373"/>
      <c r="BS21" s="373"/>
      <c r="BT21" s="373"/>
      <c r="BU21" s="373"/>
      <c r="BV21" s="353"/>
      <c r="BW21" s="353"/>
      <c r="BX21" s="353"/>
      <c r="BY21" s="353"/>
      <c r="BZ21" s="353"/>
      <c r="CA21" s="353"/>
      <c r="CB21" s="353"/>
      <c r="CC21" s="353"/>
      <c r="CD21" s="353"/>
      <c r="CE21" s="353"/>
      <c r="CF21" s="353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73">
        <f t="shared" si="3"/>
        <v>-101383.40929544051</v>
      </c>
      <c r="CZ21" s="373">
        <f t="shared" si="8"/>
        <v>-5017806.401724726</v>
      </c>
      <c r="DA21" s="373">
        <f t="shared" si="4"/>
        <v>-2938048.3433210491</v>
      </c>
      <c r="DB21" s="375">
        <v>2E-3</v>
      </c>
      <c r="DC21" s="372">
        <f t="shared" si="5"/>
        <v>-489.67472388684155</v>
      </c>
      <c r="DE21" s="353"/>
      <c r="DF21" s="353"/>
      <c r="DG21" s="353"/>
      <c r="DH21" s="353"/>
      <c r="DI21" s="353"/>
      <c r="DJ21" s="353"/>
      <c r="DK21" s="353"/>
      <c r="DL21" s="353"/>
      <c r="DM21" s="353"/>
      <c r="DN21" s="353"/>
      <c r="DO21" s="353"/>
      <c r="DP21" s="353"/>
      <c r="DQ21" s="353"/>
      <c r="DR21" s="353"/>
      <c r="DS21" s="353"/>
      <c r="DT21" s="353"/>
      <c r="DU21" s="353"/>
      <c r="DV21" s="353"/>
      <c r="DW21" s="353"/>
      <c r="DX21" s="353"/>
      <c r="DY21" s="353"/>
      <c r="DZ21" s="353"/>
      <c r="EA21" s="353"/>
      <c r="EB21" s="353"/>
      <c r="EC21" s="353"/>
      <c r="ED21" s="353"/>
      <c r="EE21" s="353"/>
      <c r="EF21" s="353"/>
      <c r="EG21" s="353"/>
      <c r="EH21" s="353"/>
      <c r="EI21" s="353"/>
      <c r="EJ21" s="353"/>
      <c r="EK21" s="353"/>
      <c r="EL21" s="353"/>
      <c r="EM21" s="353"/>
      <c r="EN21" s="353"/>
      <c r="EO21" s="353"/>
      <c r="EP21" s="353"/>
      <c r="EQ21" s="353"/>
      <c r="ER21" s="353"/>
      <c r="ES21" s="353"/>
      <c r="ET21" s="353"/>
      <c r="EU21" s="353"/>
      <c r="EV21" s="353"/>
      <c r="EW21" s="353"/>
      <c r="EX21" s="353"/>
      <c r="EY21" s="353"/>
      <c r="EZ21" s="353"/>
      <c r="FA21" s="353"/>
      <c r="FB21" s="353"/>
      <c r="FC21" s="353"/>
      <c r="FD21" s="353"/>
      <c r="FE21" s="353"/>
      <c r="FF21" s="353"/>
      <c r="FG21" s="353"/>
      <c r="FH21" s="353"/>
      <c r="FI21" s="353"/>
      <c r="FJ21" s="353"/>
      <c r="FK21" s="353"/>
      <c r="FL21" s="353"/>
      <c r="FM21" s="353"/>
      <c r="FN21" s="353"/>
      <c r="FO21" s="353"/>
      <c r="FP21" s="353"/>
      <c r="FQ21" s="353"/>
    </row>
    <row r="22" spans="1:173" s="353" customFormat="1" hidden="1" outlineLevel="1">
      <c r="A22" s="392" t="s">
        <v>58</v>
      </c>
      <c r="B22" s="392">
        <f t="shared" si="10"/>
        <v>2010</v>
      </c>
      <c r="C22" s="392" t="s">
        <v>47</v>
      </c>
      <c r="D22" s="394">
        <f>+'E3 - Invest Amort deferred tax'!AO15+'E3 - Financing upfront'!H15+'E3 - Financing upfront'!Q15</f>
        <v>5356136.6439583329</v>
      </c>
      <c r="E22" s="373">
        <f>+'E3 - Invest Amort deferred tax'!AN15</f>
        <v>2489873.7956249998</v>
      </c>
      <c r="F22" s="394">
        <f>+'E3 - Invest Amort deferred tax'!BT15</f>
        <v>-280397.39558156248</v>
      </c>
      <c r="G22" s="394"/>
      <c r="H22" s="373"/>
      <c r="I22" s="373"/>
      <c r="J22" s="394"/>
      <c r="K22" s="394"/>
      <c r="L22" s="394"/>
      <c r="M22" s="394"/>
      <c r="N22" s="394"/>
      <c r="O22" s="394"/>
      <c r="P22" s="376"/>
      <c r="Q22" s="376"/>
      <c r="R22" s="376"/>
      <c r="S22" s="376"/>
      <c r="T22" s="394"/>
      <c r="U22" s="394"/>
      <c r="V22" s="394"/>
      <c r="W22" s="394"/>
      <c r="X22" s="394"/>
      <c r="Y22" s="394"/>
      <c r="Z22" s="397">
        <v>20769425.700000003</v>
      </c>
      <c r="AA22" s="532">
        <f t="shared" si="6"/>
        <v>1.1900000000000001E-2</v>
      </c>
      <c r="AB22" s="372">
        <f>+Z22*AA22</f>
        <v>247156.16583000004</v>
      </c>
      <c r="AC22" s="372"/>
      <c r="AD22" s="372">
        <f>+'E3 - Invest Amort deferred tax'!AL15</f>
        <v>56639.088333333333</v>
      </c>
      <c r="AE22" s="373"/>
      <c r="AF22" s="373">
        <f>(D22+F22)*'Capital Structure '!$F$21/12</f>
        <v>10489.293716643957</v>
      </c>
      <c r="AG22" s="373">
        <f>(D22+F22)*'Capital Structure '!$E$34/12</f>
        <v>15417.606645541926</v>
      </c>
      <c r="AH22" s="373">
        <f>(D22+F22)*'Capital Structure '!F18/12</f>
        <v>22324.392486751651</v>
      </c>
      <c r="AI22" s="372">
        <f>SUM(AF22:AH22)</f>
        <v>48231.292848937534</v>
      </c>
      <c r="AJ22" s="373"/>
      <c r="AK22" s="387">
        <v>31544.15</v>
      </c>
      <c r="AL22" s="372">
        <f>101486.41+15082.32</f>
        <v>116568.73000000001</v>
      </c>
      <c r="AM22" s="373">
        <f>+AL22+AI22+AD22+AK22</f>
        <v>252983.26118227086</v>
      </c>
      <c r="AO22" s="372"/>
      <c r="AP22" s="373"/>
      <c r="AQ22" s="373"/>
      <c r="AR22" s="373"/>
      <c r="AS22" s="373"/>
      <c r="AT22" s="373"/>
      <c r="AU22" s="373"/>
      <c r="AV22" s="372">
        <f t="shared" si="2"/>
        <v>0</v>
      </c>
      <c r="AW22" s="373"/>
      <c r="AX22" s="372"/>
      <c r="AY22" s="373">
        <f t="shared" si="0"/>
        <v>0</v>
      </c>
      <c r="AZ22" s="373"/>
      <c r="BA22" s="373"/>
      <c r="BB22" s="373"/>
      <c r="BC22" s="373"/>
      <c r="BD22" s="373"/>
      <c r="BE22" s="373"/>
      <c r="BF22" s="373"/>
      <c r="BG22" s="373"/>
      <c r="BH22" s="373"/>
      <c r="BI22" s="373"/>
      <c r="BM22" s="373"/>
      <c r="BN22" s="373"/>
      <c r="BO22" s="373"/>
      <c r="BP22" s="373"/>
      <c r="BQ22" s="373"/>
      <c r="BR22" s="373"/>
      <c r="BS22" s="373"/>
      <c r="BT22" s="373"/>
      <c r="BU22" s="373"/>
      <c r="CY22" s="373">
        <f t="shared" si="3"/>
        <v>5827.0953522708151</v>
      </c>
      <c r="CZ22" s="373">
        <f t="shared" si="8"/>
        <v>-5011979.3063724553</v>
      </c>
      <c r="DA22" s="373">
        <f t="shared" si="4"/>
        <v>-2966309.1231697416</v>
      </c>
      <c r="DB22" s="375">
        <v>2E-3</v>
      </c>
      <c r="DC22" s="372">
        <f t="shared" si="5"/>
        <v>-494.38485386162364</v>
      </c>
    </row>
    <row r="23" spans="1:173" s="351" customFormat="1" hidden="1" outlineLevel="1">
      <c r="A23" s="356" t="s">
        <v>59</v>
      </c>
      <c r="B23" s="356">
        <f t="shared" si="10"/>
        <v>2010</v>
      </c>
      <c r="C23" s="392" t="s">
        <v>47</v>
      </c>
      <c r="D23" s="393">
        <f>+'E3 - Invest Amort deferred tax'!AO16+'E3 - Financing upfront'!H16+'E3 - Financing upfront'!Q16+'E3 - Financing upfront'!Z16</f>
        <v>6150297.5556249991</v>
      </c>
      <c r="E23" s="373">
        <f>+'E3 - Invest Amort deferred tax'!AN16</f>
        <v>2893426.4927083333</v>
      </c>
      <c r="F23" s="393">
        <f>+'E3 - Invest Amort deferred tax'!BT16</f>
        <v>-361807.85435593745</v>
      </c>
      <c r="G23" s="394"/>
      <c r="H23" s="373"/>
      <c r="I23" s="373"/>
      <c r="J23" s="393"/>
      <c r="K23" s="393"/>
      <c r="L23" s="393"/>
      <c r="M23" s="393"/>
      <c r="N23" s="394"/>
      <c r="O23" s="394"/>
      <c r="P23" s="376"/>
      <c r="Q23" s="376"/>
      <c r="R23" s="376"/>
      <c r="S23" s="376"/>
      <c r="T23" s="394"/>
      <c r="U23" s="394"/>
      <c r="V23" s="394"/>
      <c r="W23" s="394"/>
      <c r="X23" s="394"/>
      <c r="Y23" s="394"/>
      <c r="Z23" s="384">
        <v>24755279.760000002</v>
      </c>
      <c r="AA23" s="530">
        <f t="shared" si="6"/>
        <v>1.1900000000000001E-2</v>
      </c>
      <c r="AB23" s="372">
        <f t="shared" si="1"/>
        <v>294587.82914400002</v>
      </c>
      <c r="AC23" s="372"/>
      <c r="AD23" s="372">
        <f>+'E3 - Invest Amort deferred tax'!AL16</f>
        <v>66430.402916666673</v>
      </c>
      <c r="AE23" s="373"/>
      <c r="AF23" s="373">
        <f>(D23+F23)*'Capital Structure '!$F$21/12</f>
        <v>11962.231643754603</v>
      </c>
      <c r="AG23" s="373">
        <f>(D23+F23)*'Capital Structure '!$E$34/12</f>
        <v>17582.592981796191</v>
      </c>
      <c r="AH23" s="373">
        <v>25459.250302894608</v>
      </c>
      <c r="AI23" s="372">
        <f t="shared" si="9"/>
        <v>55004.074928445407</v>
      </c>
      <c r="AJ23" s="373"/>
      <c r="AK23" s="387">
        <v>39461.599999999999</v>
      </c>
      <c r="AL23" s="372">
        <f>92467.81+41.35</f>
        <v>92509.16</v>
      </c>
      <c r="AM23" s="373">
        <f>+AL23+AI23+AD23+AK23</f>
        <v>253405.2378451121</v>
      </c>
      <c r="AO23" s="372"/>
      <c r="AP23" s="373"/>
      <c r="AQ23" s="373"/>
      <c r="AR23" s="373"/>
      <c r="AS23" s="373"/>
      <c r="AT23" s="373"/>
      <c r="AU23" s="373"/>
      <c r="AV23" s="372">
        <f t="shared" si="2"/>
        <v>0</v>
      </c>
      <c r="AW23" s="373"/>
      <c r="AX23" s="372"/>
      <c r="AY23" s="373">
        <f t="shared" si="0"/>
        <v>0</v>
      </c>
      <c r="AZ23" s="373"/>
      <c r="BA23" s="373"/>
      <c r="BB23" s="373"/>
      <c r="BC23" s="373"/>
      <c r="BD23" s="373"/>
      <c r="BE23" s="373"/>
      <c r="BF23" s="373"/>
      <c r="BG23" s="373"/>
      <c r="BH23" s="373"/>
      <c r="BI23" s="373"/>
      <c r="BM23" s="373"/>
      <c r="BN23" s="373"/>
      <c r="BO23" s="373"/>
      <c r="BP23" s="373"/>
      <c r="BQ23" s="373"/>
      <c r="BR23" s="373"/>
      <c r="BS23" s="373"/>
      <c r="BT23" s="373"/>
      <c r="BU23" s="373"/>
      <c r="BV23" s="353"/>
      <c r="BW23" s="353"/>
      <c r="BX23" s="353"/>
      <c r="BY23" s="353"/>
      <c r="BZ23" s="353"/>
      <c r="CA23" s="353"/>
      <c r="CB23" s="353"/>
      <c r="CC23" s="353"/>
      <c r="CD23" s="353"/>
      <c r="CE23" s="353"/>
      <c r="CF23" s="353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73">
        <f t="shared" si="3"/>
        <v>-41182.591298887914</v>
      </c>
      <c r="CZ23" s="373">
        <f t="shared" si="8"/>
        <v>-5053161.8976713428</v>
      </c>
      <c r="DA23" s="373">
        <f t="shared" si="4"/>
        <v>-2976765.5110959536</v>
      </c>
      <c r="DB23" s="375">
        <v>2E-3</v>
      </c>
      <c r="DC23" s="372">
        <f t="shared" si="5"/>
        <v>-496.12758518265895</v>
      </c>
      <c r="DE23" s="353"/>
      <c r="DF23" s="353"/>
      <c r="DG23" s="353"/>
      <c r="DH23" s="353"/>
      <c r="DI23" s="353"/>
      <c r="DJ23" s="353"/>
      <c r="DK23" s="353"/>
      <c r="DL23" s="353"/>
      <c r="DM23" s="353"/>
      <c r="DN23" s="353"/>
      <c r="DO23" s="353"/>
      <c r="DP23" s="353"/>
      <c r="DQ23" s="353"/>
      <c r="DR23" s="353"/>
      <c r="DS23" s="353"/>
      <c r="DT23" s="353"/>
      <c r="DU23" s="353"/>
      <c r="DV23" s="353"/>
      <c r="DW23" s="353"/>
      <c r="DX23" s="353"/>
      <c r="DY23" s="353"/>
      <c r="DZ23" s="353"/>
      <c r="EA23" s="353"/>
      <c r="EB23" s="353"/>
      <c r="EC23" s="353"/>
      <c r="ED23" s="353"/>
      <c r="EE23" s="353"/>
      <c r="EF23" s="353"/>
      <c r="EG23" s="353"/>
      <c r="EH23" s="353"/>
      <c r="EI23" s="353"/>
      <c r="EJ23" s="353"/>
      <c r="EK23" s="353"/>
      <c r="EL23" s="353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3"/>
      <c r="FA23" s="353"/>
      <c r="FB23" s="353"/>
      <c r="FC23" s="353"/>
      <c r="FD23" s="353"/>
      <c r="FE23" s="353"/>
      <c r="FF23" s="353"/>
      <c r="FG23" s="353"/>
      <c r="FH23" s="353"/>
      <c r="FI23" s="353"/>
      <c r="FJ23" s="353"/>
      <c r="FK23" s="353"/>
      <c r="FL23" s="353"/>
      <c r="FM23" s="353"/>
      <c r="FN23" s="353"/>
      <c r="FO23" s="353"/>
      <c r="FP23" s="353"/>
      <c r="FQ23" s="353"/>
    </row>
    <row r="24" spans="1:173" s="351" customFormat="1" hidden="1" outlineLevel="1">
      <c r="A24" s="356" t="s">
        <v>46</v>
      </c>
      <c r="B24" s="356">
        <f t="shared" si="10"/>
        <v>2010</v>
      </c>
      <c r="C24" s="392" t="s">
        <v>47</v>
      </c>
      <c r="D24" s="393">
        <f>+'E3 - Invest Amort deferred tax'!AO17+'E3 - Financing upfront'!H17+'E3 - Financing upfront'!Q17+'E3 - Financing upfront'!Z17</f>
        <v>8571667.152708333</v>
      </c>
      <c r="E24" s="373">
        <f>+'E3 - Invest Amort deferred tax'!AN17</f>
        <v>3912612.3024999993</v>
      </c>
      <c r="F24" s="393">
        <f>+'E3 - Invest Amort deferred tax'!BT17</f>
        <v>-471525.17842124996</v>
      </c>
      <c r="G24" s="394"/>
      <c r="H24" s="373"/>
      <c r="I24" s="373"/>
      <c r="J24" s="393"/>
      <c r="K24" s="393"/>
      <c r="L24" s="393"/>
      <c r="M24" s="393"/>
      <c r="N24" s="393"/>
      <c r="O24" s="394"/>
      <c r="P24" s="374"/>
      <c r="Q24" s="374"/>
      <c r="R24" s="374"/>
      <c r="S24" s="374"/>
      <c r="T24" s="394"/>
      <c r="U24" s="394"/>
      <c r="V24" s="394"/>
      <c r="W24" s="394"/>
      <c r="X24" s="394"/>
      <c r="Y24" s="394"/>
      <c r="Z24" s="384">
        <v>22331970</v>
      </c>
      <c r="AA24" s="530">
        <f>+AA23</f>
        <v>1.1900000000000001E-2</v>
      </c>
      <c r="AB24" s="372">
        <f t="shared" si="1"/>
        <v>265750.44300000003</v>
      </c>
      <c r="AC24" s="372"/>
      <c r="AD24" s="372">
        <f>+'E3 - Invest Amort deferred tax'!AL17</f>
        <v>89528.620208333348</v>
      </c>
      <c r="AE24" s="373"/>
      <c r="AF24" s="373">
        <f>(D24+F24)*'Capital Structure '!$F$21/12</f>
        <v>16739.387930927565</v>
      </c>
      <c r="AG24" s="373">
        <f>(D24+F24)*'Capital Structure '!$E$34/12</f>
        <v>24604.258930862135</v>
      </c>
      <c r="AH24" s="373">
        <v>35626.485085936241</v>
      </c>
      <c r="AI24" s="372">
        <f t="shared" si="9"/>
        <v>76970.131947725953</v>
      </c>
      <c r="AJ24" s="373"/>
      <c r="AK24" s="387">
        <f>56500.14+1346.13+1346.13</f>
        <v>59192.399999999994</v>
      </c>
      <c r="AL24" s="372">
        <f>123+15.4+59748.06+3724.37+191.69+457.55+1914.51+9749.97+48.06+17975.02+1332.72+1332.72+364.11+700.78+144.89+869.86+7810</f>
        <v>106502.71</v>
      </c>
      <c r="AM24" s="373">
        <f t="shared" si="7"/>
        <v>332193.86215605936</v>
      </c>
      <c r="AO24" s="372"/>
      <c r="AP24" s="373"/>
      <c r="AQ24" s="373"/>
      <c r="AR24" s="373"/>
      <c r="AS24" s="373"/>
      <c r="AT24" s="373"/>
      <c r="AU24" s="373"/>
      <c r="AV24" s="372">
        <f t="shared" si="2"/>
        <v>0</v>
      </c>
      <c r="AW24" s="373"/>
      <c r="AX24" s="372"/>
      <c r="AY24" s="373">
        <f t="shared" si="0"/>
        <v>0</v>
      </c>
      <c r="AZ24" s="373"/>
      <c r="BA24" s="373"/>
      <c r="BB24" s="373"/>
      <c r="BC24" s="373"/>
      <c r="BD24" s="373"/>
      <c r="BE24" s="373"/>
      <c r="BF24" s="373"/>
      <c r="BG24" s="373"/>
      <c r="BH24" s="373"/>
      <c r="BI24" s="373"/>
      <c r="BM24" s="373"/>
      <c r="BN24" s="373"/>
      <c r="BO24" s="373"/>
      <c r="BP24" s="373"/>
      <c r="BQ24" s="373"/>
      <c r="BR24" s="373"/>
      <c r="BS24" s="373"/>
      <c r="BT24" s="373"/>
      <c r="BU24" s="373"/>
      <c r="CY24" s="373">
        <f t="shared" si="3"/>
        <v>66443.419156059332</v>
      </c>
      <c r="CZ24" s="373">
        <f t="shared" si="8"/>
        <v>-4986718.4785152832</v>
      </c>
      <c r="DA24" s="373">
        <f t="shared" si="4"/>
        <v>-2969294.6212571948</v>
      </c>
      <c r="DB24" s="375">
        <v>2E-3</v>
      </c>
      <c r="DC24" s="372">
        <f t="shared" si="5"/>
        <v>-494.88243687619911</v>
      </c>
      <c r="DE24" s="353"/>
      <c r="DF24" s="353"/>
      <c r="DG24" s="353"/>
      <c r="DH24" s="353"/>
      <c r="DI24" s="353"/>
      <c r="DJ24" s="353"/>
      <c r="DK24" s="353"/>
      <c r="DL24" s="353"/>
      <c r="DM24" s="353"/>
      <c r="DN24" s="353"/>
      <c r="DO24" s="353"/>
      <c r="DP24" s="353"/>
      <c r="DQ24" s="353"/>
      <c r="DR24" s="353"/>
      <c r="DS24" s="353"/>
      <c r="DT24" s="353"/>
      <c r="DU24" s="353"/>
      <c r="DV24" s="353"/>
      <c r="DW24" s="353"/>
      <c r="DX24" s="353"/>
      <c r="DY24" s="353"/>
      <c r="DZ24" s="353"/>
      <c r="EA24" s="353"/>
      <c r="EB24" s="353"/>
      <c r="EC24" s="353"/>
      <c r="ED24" s="353"/>
      <c r="EE24" s="353"/>
      <c r="EF24" s="353"/>
      <c r="EG24" s="353"/>
      <c r="EH24" s="353"/>
      <c r="EI24" s="353"/>
      <c r="EJ24" s="353"/>
      <c r="EK24" s="353"/>
      <c r="EL24" s="353"/>
      <c r="EM24" s="353"/>
      <c r="EN24" s="353"/>
      <c r="EO24" s="353"/>
      <c r="EP24" s="353"/>
      <c r="EQ24" s="353"/>
      <c r="ER24" s="353"/>
      <c r="ES24" s="353"/>
      <c r="ET24" s="353"/>
      <c r="EU24" s="353"/>
      <c r="EV24" s="353"/>
      <c r="EW24" s="353"/>
      <c r="EX24" s="353"/>
      <c r="EY24" s="353"/>
      <c r="EZ24" s="353"/>
      <c r="FA24" s="353"/>
      <c r="FB24" s="353"/>
      <c r="FC24" s="353"/>
      <c r="FD24" s="353"/>
      <c r="FE24" s="353"/>
      <c r="FF24" s="353"/>
      <c r="FG24" s="353"/>
      <c r="FH24" s="353"/>
      <c r="FI24" s="353"/>
      <c r="FJ24" s="353"/>
      <c r="FK24" s="353"/>
      <c r="FL24" s="353"/>
      <c r="FM24" s="353"/>
      <c r="FN24" s="353"/>
      <c r="FO24" s="353"/>
      <c r="FP24" s="353"/>
      <c r="FQ24" s="353"/>
    </row>
    <row r="25" spans="1:173" s="351" customFormat="1" ht="17.25" hidden="1" outlineLevel="1">
      <c r="A25" s="356" t="s">
        <v>48</v>
      </c>
      <c r="B25" s="356">
        <f t="shared" si="10"/>
        <v>2010</v>
      </c>
      <c r="C25" s="392" t="s">
        <v>47</v>
      </c>
      <c r="D25" s="393">
        <f>+'E3 - Invest Amort deferred tax'!AO18+'E3 - Financing upfront'!H18+'E3 - Financing upfront'!Q18+'E3 - Financing upfront'!Z18</f>
        <v>8972638.5324999988</v>
      </c>
      <c r="E25" s="373">
        <f>+'E3 - Invest Amort deferred tax'!AN18</f>
        <v>5536176.3129166663</v>
      </c>
      <c r="F25" s="394">
        <f>+'E3 - Invest Amort deferred tax'!BT18</f>
        <v>-625910.48161062493</v>
      </c>
      <c r="G25" s="394"/>
      <c r="H25" s="373"/>
      <c r="I25" s="373"/>
      <c r="J25" s="393"/>
      <c r="K25" s="393"/>
      <c r="L25" s="393"/>
      <c r="M25" s="393"/>
      <c r="N25" s="393"/>
      <c r="O25" s="394"/>
      <c r="P25" s="374"/>
      <c r="Q25" s="374"/>
      <c r="R25" s="374"/>
      <c r="S25" s="374"/>
      <c r="T25" s="394"/>
      <c r="U25" s="394"/>
      <c r="V25" s="394"/>
      <c r="W25" s="394"/>
      <c r="X25" s="394"/>
      <c r="Y25" s="394"/>
      <c r="Z25" s="531">
        <v>18436168.100000001</v>
      </c>
      <c r="AA25" s="530">
        <f>+AA24</f>
        <v>1.1900000000000001E-2</v>
      </c>
      <c r="AB25" s="383">
        <f t="shared" si="1"/>
        <v>219390.40039000002</v>
      </c>
      <c r="AC25" s="377"/>
      <c r="AD25" s="383">
        <f>+'E3 - Invest Amort deferred tax'!AL18</f>
        <v>125977.39958333335</v>
      </c>
      <c r="AE25" s="378"/>
      <c r="AF25" s="379">
        <f>(D25+F25)*'Capital Structure '!$F$21/12</f>
        <v>17248.971591030568</v>
      </c>
      <c r="AG25" s="379">
        <f>(D25+F25)*'Capital Structure '!$E$34/12</f>
        <v>25353.266503411767</v>
      </c>
      <c r="AH25" s="379">
        <v>36711.033382541158</v>
      </c>
      <c r="AI25" s="383">
        <f t="shared" si="9"/>
        <v>79313.2714769835</v>
      </c>
      <c r="AJ25" s="378"/>
      <c r="AK25" s="381">
        <v>35616.82</v>
      </c>
      <c r="AL25" s="381">
        <f>180.51+68.74+421.09+39832.04+3724.37+34.99+1302.23+119.5+8402.3+1932.73+1000-1048.06+12000.02+542.49+3271.26+70.92+149.18+1772.76+7810+170.48</f>
        <v>81757.549999999988</v>
      </c>
      <c r="AM25" s="379">
        <f t="shared" si="7"/>
        <v>322665.04106031684</v>
      </c>
      <c r="AO25" s="377"/>
      <c r="AP25" s="378"/>
      <c r="AQ25" s="379"/>
      <c r="AR25" s="379"/>
      <c r="AS25" s="379"/>
      <c r="AT25" s="379"/>
      <c r="AU25" s="379"/>
      <c r="AV25" s="383">
        <f t="shared" si="2"/>
        <v>0</v>
      </c>
      <c r="AW25" s="378"/>
      <c r="AX25" s="381"/>
      <c r="AY25" s="379">
        <f t="shared" si="0"/>
        <v>0</v>
      </c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M25" s="378"/>
      <c r="BN25" s="378"/>
      <c r="BO25" s="378"/>
      <c r="BP25" s="378"/>
      <c r="BQ25" s="378"/>
      <c r="BR25" s="378"/>
      <c r="BS25" s="378"/>
      <c r="BT25" s="378"/>
      <c r="BU25" s="378"/>
      <c r="CY25" s="373">
        <f t="shared" si="3"/>
        <v>103274.64067031682</v>
      </c>
      <c r="CZ25" s="373">
        <f t="shared" si="8"/>
        <v>-4883443.837844966</v>
      </c>
      <c r="DA25" s="373">
        <f t="shared" si="4"/>
        <v>-2919100.505063544</v>
      </c>
      <c r="DB25" s="375">
        <v>2E-3</v>
      </c>
      <c r="DC25" s="383">
        <f t="shared" si="5"/>
        <v>-486.516750843924</v>
      </c>
      <c r="DE25" s="353"/>
      <c r="DF25" s="353"/>
      <c r="DG25" s="353"/>
      <c r="DH25" s="353"/>
      <c r="DI25" s="353"/>
      <c r="DJ25" s="353"/>
      <c r="DK25" s="353"/>
      <c r="DL25" s="353"/>
      <c r="DM25" s="353"/>
      <c r="DN25" s="353"/>
      <c r="DO25" s="353"/>
      <c r="DP25" s="353"/>
      <c r="DQ25" s="353"/>
      <c r="DR25" s="353"/>
      <c r="DS25" s="353"/>
      <c r="DT25" s="353"/>
      <c r="DU25" s="353"/>
      <c r="DV25" s="353"/>
      <c r="DW25" s="353"/>
      <c r="DX25" s="353"/>
      <c r="DY25" s="353"/>
      <c r="DZ25" s="353"/>
      <c r="EA25" s="353"/>
      <c r="EB25" s="353"/>
      <c r="EC25" s="353"/>
      <c r="ED25" s="353"/>
      <c r="EE25" s="353"/>
      <c r="EF25" s="353"/>
      <c r="EG25" s="353"/>
      <c r="EH25" s="353"/>
      <c r="EI25" s="353"/>
      <c r="EJ25" s="353"/>
      <c r="EK25" s="353"/>
      <c r="EL25" s="353"/>
      <c r="EM25" s="353"/>
      <c r="EN25" s="353"/>
      <c r="EO25" s="353"/>
      <c r="EP25" s="353"/>
      <c r="EQ25" s="353"/>
      <c r="ER25" s="353"/>
      <c r="ES25" s="353"/>
      <c r="ET25" s="353"/>
      <c r="EU25" s="353"/>
      <c r="EV25" s="353"/>
      <c r="EW25" s="353"/>
      <c r="EX25" s="353"/>
      <c r="EY25" s="353"/>
      <c r="EZ25" s="353"/>
      <c r="FA25" s="353"/>
      <c r="FB25" s="353"/>
      <c r="FC25" s="353"/>
      <c r="FD25" s="353"/>
      <c r="FE25" s="353"/>
      <c r="FF25" s="353"/>
      <c r="FG25" s="353"/>
      <c r="FH25" s="353"/>
      <c r="FI25" s="353"/>
      <c r="FJ25" s="353"/>
      <c r="FK25" s="353"/>
      <c r="FL25" s="353"/>
      <c r="FM25" s="353"/>
      <c r="FN25" s="353"/>
      <c r="FO25" s="353"/>
      <c r="FP25" s="353"/>
      <c r="FQ25" s="353"/>
    </row>
    <row r="26" spans="1:173" s="351" customFormat="1" hidden="1" outlineLevel="1">
      <c r="D26" s="373"/>
      <c r="E26" s="373"/>
      <c r="F26" s="393"/>
      <c r="G26" s="394"/>
      <c r="H26" s="373"/>
      <c r="I26" s="373"/>
      <c r="J26" s="393"/>
      <c r="K26" s="393"/>
      <c r="L26" s="393"/>
      <c r="M26" s="393"/>
      <c r="N26" s="393"/>
      <c r="O26" s="394"/>
      <c r="P26" s="374"/>
      <c r="Q26" s="374"/>
      <c r="R26" s="374"/>
      <c r="S26" s="374"/>
      <c r="T26" s="394"/>
      <c r="U26" s="394"/>
      <c r="V26" s="394"/>
      <c r="W26" s="394"/>
      <c r="X26" s="394"/>
      <c r="Y26" s="394"/>
      <c r="Z26" s="394">
        <f>SUM(Z14:Z25)</f>
        <v>637449749.31000006</v>
      </c>
      <c r="AA26" s="394"/>
      <c r="AB26" s="372">
        <f>SUM(AB14:AB25)</f>
        <v>7585652.0167890014</v>
      </c>
      <c r="AC26" s="372"/>
      <c r="AD26" s="372">
        <f>SUM(AD14:AD25)</f>
        <v>510738.86708333337</v>
      </c>
      <c r="AE26" s="373"/>
      <c r="AF26" s="373">
        <f>SUM(AF14:AF25)</f>
        <v>89808.305852705875</v>
      </c>
      <c r="AG26" s="373">
        <f>SUM(AG14:AG25)</f>
        <v>132004.03864584997</v>
      </c>
      <c r="AH26" s="384">
        <f>SUM(AH14:AH25)</f>
        <v>191139.26281277908</v>
      </c>
      <c r="AI26" s="372">
        <f>SUM(AI14:AI25)</f>
        <v>412951.60731133498</v>
      </c>
      <c r="AJ26" s="384"/>
      <c r="AK26" s="372">
        <f>SUM(AK14:AK25)</f>
        <v>472429.07</v>
      </c>
      <c r="AL26" s="372">
        <f>SUM(AL14:AL25)</f>
        <v>1331878.1499999999</v>
      </c>
      <c r="AM26" s="373">
        <f>SUM(AM14:AM25)</f>
        <v>2727997.6943946686</v>
      </c>
      <c r="AO26" s="372">
        <f>SUM(AO14:AO25)</f>
        <v>0</v>
      </c>
      <c r="AP26" s="373"/>
      <c r="AQ26" s="373">
        <f>SUM(AQ14:AQ25)</f>
        <v>0</v>
      </c>
      <c r="AR26" s="373">
        <f>SUM(AR14:AR25)</f>
        <v>0</v>
      </c>
      <c r="AS26" s="384">
        <f>SUM(AS14:AS25)</f>
        <v>0</v>
      </c>
      <c r="AT26" s="384"/>
      <c r="AU26" s="384"/>
      <c r="AV26" s="372">
        <f>SUM(AV14:AV25)</f>
        <v>0</v>
      </c>
      <c r="AW26" s="384"/>
      <c r="AX26" s="372">
        <f>SUM(AX14:AX25)</f>
        <v>0</v>
      </c>
      <c r="AY26" s="389">
        <f t="shared" si="0"/>
        <v>0</v>
      </c>
      <c r="AZ26" s="373"/>
      <c r="BA26" s="373"/>
      <c r="BB26" s="373"/>
      <c r="BC26" s="373"/>
      <c r="BD26" s="373"/>
      <c r="BE26" s="373"/>
      <c r="BF26" s="373"/>
      <c r="BG26" s="373"/>
      <c r="BH26" s="373"/>
      <c r="BI26" s="373"/>
      <c r="BM26" s="373"/>
      <c r="BN26" s="373"/>
      <c r="BO26" s="373"/>
      <c r="BP26" s="373"/>
      <c r="BQ26" s="373"/>
      <c r="BR26" s="373"/>
      <c r="BS26" s="373"/>
      <c r="BT26" s="373"/>
      <c r="BU26" s="373"/>
      <c r="CY26" s="373"/>
      <c r="CZ26" s="373"/>
      <c r="DA26" s="373"/>
      <c r="DB26" s="375"/>
      <c r="DC26" s="372">
        <f>SUM(DC14:DC25)</f>
        <v>-4156.1220671430183</v>
      </c>
      <c r="DE26" s="353"/>
      <c r="DF26" s="353"/>
      <c r="DG26" s="353"/>
      <c r="DH26" s="353"/>
      <c r="DI26" s="353"/>
      <c r="DJ26" s="353"/>
      <c r="DK26" s="353"/>
      <c r="DL26" s="353"/>
      <c r="DM26" s="353"/>
      <c r="DN26" s="353"/>
      <c r="DO26" s="353"/>
      <c r="DP26" s="353"/>
      <c r="DQ26" s="353"/>
      <c r="DR26" s="353"/>
      <c r="DS26" s="353"/>
      <c r="DT26" s="353"/>
      <c r="DU26" s="353"/>
      <c r="DV26" s="353"/>
      <c r="DW26" s="353"/>
      <c r="DX26" s="353"/>
      <c r="DY26" s="353"/>
      <c r="DZ26" s="353"/>
      <c r="EA26" s="353"/>
      <c r="EB26" s="353"/>
      <c r="EC26" s="353"/>
      <c r="ED26" s="353"/>
      <c r="EE26" s="353"/>
      <c r="EF26" s="353"/>
      <c r="EG26" s="353"/>
      <c r="EH26" s="353"/>
      <c r="EI26" s="353"/>
      <c r="EJ26" s="353"/>
      <c r="EK26" s="353"/>
      <c r="EL26" s="353"/>
      <c r="EM26" s="353"/>
      <c r="EN26" s="353"/>
      <c r="EO26" s="353"/>
      <c r="EP26" s="353"/>
      <c r="EQ26" s="353"/>
      <c r="ER26" s="353"/>
      <c r="ES26" s="353"/>
      <c r="ET26" s="353"/>
      <c r="EU26" s="353"/>
      <c r="EV26" s="353"/>
      <c r="EW26" s="353"/>
      <c r="EX26" s="353"/>
      <c r="EY26" s="353"/>
      <c r="EZ26" s="353"/>
      <c r="FA26" s="353"/>
      <c r="FB26" s="353"/>
      <c r="FC26" s="353"/>
      <c r="FD26" s="353"/>
      <c r="FE26" s="353"/>
      <c r="FF26" s="353"/>
      <c r="FG26" s="353"/>
      <c r="FH26" s="353"/>
      <c r="FI26" s="353"/>
      <c r="FJ26" s="353"/>
      <c r="FK26" s="353"/>
      <c r="FL26" s="353"/>
      <c r="FM26" s="353"/>
      <c r="FN26" s="353"/>
      <c r="FO26" s="353"/>
      <c r="FP26" s="353"/>
      <c r="FQ26" s="353"/>
    </row>
    <row r="27" spans="1:173" s="351" customFormat="1" hidden="1" outlineLevel="1">
      <c r="D27" s="373"/>
      <c r="E27" s="373"/>
      <c r="F27" s="393"/>
      <c r="G27" s="394"/>
      <c r="H27" s="373"/>
      <c r="I27" s="373"/>
      <c r="J27" s="393"/>
      <c r="K27" s="393"/>
      <c r="L27" s="393"/>
      <c r="M27" s="393"/>
      <c r="N27" s="393"/>
      <c r="O27" s="394"/>
      <c r="P27" s="374"/>
      <c r="Q27" s="374"/>
      <c r="R27" s="374"/>
      <c r="S27" s="374"/>
      <c r="T27" s="394"/>
      <c r="U27" s="394"/>
      <c r="V27" s="394"/>
      <c r="W27" s="394"/>
      <c r="X27" s="394"/>
      <c r="Y27" s="394"/>
      <c r="Z27" s="394"/>
      <c r="AA27" s="394"/>
      <c r="AB27" s="372"/>
      <c r="AC27" s="372"/>
      <c r="AD27" s="372"/>
      <c r="AE27" s="372"/>
      <c r="AF27" s="372"/>
      <c r="AG27" s="372"/>
      <c r="AH27" s="372"/>
      <c r="AI27" s="372"/>
      <c r="AJ27" s="372"/>
      <c r="AK27" s="372"/>
      <c r="AL27" s="372"/>
      <c r="AM27" s="373"/>
      <c r="AO27" s="372"/>
      <c r="AP27" s="373"/>
      <c r="AQ27" s="373"/>
      <c r="AR27" s="373"/>
      <c r="AS27" s="384"/>
      <c r="AT27" s="384"/>
      <c r="AU27" s="384"/>
      <c r="AV27" s="372"/>
      <c r="AW27" s="384"/>
      <c r="AX27" s="372"/>
      <c r="AY27" s="373"/>
      <c r="AZ27" s="373"/>
      <c r="BA27" s="373"/>
      <c r="BB27" s="373"/>
      <c r="BC27" s="373"/>
      <c r="BD27" s="373"/>
      <c r="BE27" s="373"/>
      <c r="BF27" s="373"/>
      <c r="BG27" s="373"/>
      <c r="BH27" s="373"/>
      <c r="BI27" s="373"/>
      <c r="BM27" s="373"/>
      <c r="BN27" s="373"/>
      <c r="BO27" s="373"/>
      <c r="BP27" s="373"/>
      <c r="BQ27" s="373"/>
      <c r="BR27" s="373"/>
      <c r="BS27" s="373"/>
      <c r="BT27" s="373"/>
      <c r="BU27" s="373"/>
      <c r="CY27" s="373"/>
      <c r="CZ27" s="373"/>
      <c r="DA27" s="373"/>
      <c r="DB27" s="375"/>
      <c r="DC27" s="372"/>
      <c r="DE27" s="353"/>
      <c r="DF27" s="353"/>
      <c r="DG27" s="353"/>
      <c r="DH27" s="353"/>
      <c r="DI27" s="353"/>
      <c r="DJ27" s="353"/>
      <c r="DK27" s="353"/>
      <c r="DL27" s="353"/>
      <c r="DM27" s="353"/>
      <c r="DN27" s="353"/>
      <c r="DO27" s="353"/>
      <c r="DP27" s="353"/>
      <c r="DQ27" s="353"/>
      <c r="DR27" s="353"/>
      <c r="DS27" s="353"/>
      <c r="DT27" s="353"/>
      <c r="DU27" s="353"/>
      <c r="DV27" s="353"/>
      <c r="DW27" s="353"/>
      <c r="DX27" s="353"/>
      <c r="DY27" s="353"/>
      <c r="DZ27" s="353"/>
      <c r="EA27" s="353"/>
      <c r="EB27" s="353"/>
      <c r="EC27" s="353"/>
      <c r="ED27" s="353"/>
      <c r="EE27" s="353"/>
      <c r="EF27" s="353"/>
      <c r="EG27" s="353"/>
      <c r="EH27" s="353"/>
      <c r="EI27" s="353"/>
      <c r="EJ27" s="353"/>
      <c r="EK27" s="353"/>
      <c r="EL27" s="353"/>
      <c r="EM27" s="353"/>
      <c r="EN27" s="353"/>
      <c r="EO27" s="353"/>
      <c r="EP27" s="353"/>
      <c r="EQ27" s="353"/>
      <c r="ER27" s="353"/>
      <c r="ES27" s="353"/>
      <c r="ET27" s="353"/>
      <c r="EU27" s="353"/>
      <c r="EV27" s="353"/>
      <c r="EW27" s="353"/>
      <c r="EX27" s="353"/>
      <c r="EY27" s="353"/>
      <c r="EZ27" s="353"/>
      <c r="FA27" s="353"/>
      <c r="FB27" s="353"/>
      <c r="FC27" s="353"/>
      <c r="FD27" s="353"/>
      <c r="FE27" s="353"/>
      <c r="FF27" s="353"/>
      <c r="FG27" s="353"/>
      <c r="FH27" s="353"/>
      <c r="FI27" s="353"/>
      <c r="FJ27" s="353"/>
      <c r="FK27" s="353"/>
      <c r="FL27" s="353"/>
      <c r="FM27" s="353"/>
      <c r="FN27" s="353"/>
      <c r="FO27" s="353"/>
      <c r="FP27" s="353"/>
      <c r="FQ27" s="353"/>
    </row>
    <row r="28" spans="1:173" s="351" customFormat="1" hidden="1" outlineLevel="1">
      <c r="A28" s="356"/>
      <c r="B28" s="356"/>
      <c r="C28" s="356"/>
      <c r="D28" s="373"/>
      <c r="E28" s="373"/>
      <c r="F28" s="385"/>
      <c r="G28" s="385"/>
      <c r="H28" s="373"/>
      <c r="I28" s="373"/>
      <c r="J28" s="385"/>
      <c r="K28" s="385"/>
      <c r="L28" s="385"/>
      <c r="M28" s="385"/>
      <c r="N28" s="393"/>
      <c r="O28" s="385"/>
      <c r="P28" s="385"/>
      <c r="Q28" s="385"/>
      <c r="R28" s="374"/>
      <c r="S28" s="385"/>
      <c r="T28" s="385"/>
      <c r="U28" s="385"/>
      <c r="V28" s="385"/>
      <c r="W28" s="385"/>
      <c r="X28" s="385"/>
      <c r="Y28" s="385"/>
      <c r="Z28" s="385"/>
      <c r="AA28" s="385"/>
      <c r="AB28" s="372"/>
      <c r="AC28" s="372"/>
      <c r="AD28" s="372"/>
      <c r="AE28" s="373"/>
      <c r="AF28" s="373"/>
      <c r="AG28" s="373"/>
      <c r="AH28" s="373"/>
      <c r="AI28" s="372"/>
      <c r="AJ28" s="373"/>
      <c r="AK28" s="372"/>
      <c r="AL28" s="372"/>
      <c r="AM28" s="373"/>
      <c r="AO28" s="372"/>
      <c r="AP28" s="373"/>
      <c r="AQ28" s="373"/>
      <c r="AR28" s="373"/>
      <c r="AS28" s="373"/>
      <c r="AT28" s="373"/>
      <c r="AU28" s="373"/>
      <c r="AV28" s="372"/>
      <c r="AW28" s="373"/>
      <c r="AX28" s="372"/>
      <c r="AY28" s="373"/>
      <c r="AZ28" s="373"/>
      <c r="BA28" s="373"/>
      <c r="BB28" s="373"/>
      <c r="BC28" s="373"/>
      <c r="BD28" s="373"/>
      <c r="BE28" s="373"/>
      <c r="BF28" s="373"/>
      <c r="BG28" s="373"/>
      <c r="BH28" s="373"/>
      <c r="BI28" s="373"/>
      <c r="BM28" s="373"/>
      <c r="BN28" s="373"/>
      <c r="BO28" s="373"/>
      <c r="BP28" s="373"/>
      <c r="BQ28" s="373"/>
      <c r="BR28" s="373"/>
      <c r="BS28" s="373"/>
      <c r="BT28" s="373"/>
      <c r="BU28" s="373"/>
      <c r="CY28" s="386" t="s">
        <v>49</v>
      </c>
      <c r="CZ28" s="373">
        <f>+CZ25+DC26</f>
        <v>-4887599.9599121092</v>
      </c>
      <c r="DA28" s="373"/>
      <c r="DB28" s="375"/>
      <c r="DC28" s="372"/>
      <c r="DE28" s="353"/>
      <c r="DF28" s="353"/>
      <c r="DG28" s="353"/>
      <c r="DH28" s="353"/>
      <c r="DI28" s="353"/>
      <c r="DJ28" s="353"/>
      <c r="DK28" s="353"/>
      <c r="DL28" s="353"/>
      <c r="DM28" s="353"/>
      <c r="DN28" s="353"/>
      <c r="DO28" s="353"/>
      <c r="DP28" s="353"/>
      <c r="DQ28" s="353"/>
      <c r="DR28" s="353"/>
      <c r="DS28" s="353"/>
      <c r="DT28" s="353"/>
      <c r="DU28" s="353"/>
      <c r="DV28" s="353"/>
      <c r="DW28" s="353"/>
      <c r="DX28" s="353"/>
      <c r="DY28" s="353"/>
      <c r="DZ28" s="353"/>
      <c r="EA28" s="353"/>
      <c r="EB28" s="353"/>
      <c r="EC28" s="353"/>
      <c r="ED28" s="353"/>
      <c r="EE28" s="353"/>
      <c r="EF28" s="353"/>
      <c r="EG28" s="353"/>
      <c r="EH28" s="353"/>
      <c r="EI28" s="353"/>
      <c r="EJ28" s="353"/>
      <c r="EK28" s="353"/>
      <c r="EL28" s="353"/>
      <c r="EM28" s="353"/>
      <c r="EN28" s="353"/>
      <c r="EO28" s="353"/>
      <c r="EP28" s="353"/>
      <c r="EQ28" s="353"/>
      <c r="ER28" s="353"/>
      <c r="ES28" s="353"/>
      <c r="ET28" s="353"/>
      <c r="EU28" s="353"/>
      <c r="EV28" s="353"/>
      <c r="EW28" s="353"/>
      <c r="EX28" s="353"/>
      <c r="EY28" s="353"/>
      <c r="EZ28" s="353"/>
      <c r="FA28" s="353"/>
      <c r="FB28" s="353"/>
      <c r="FC28" s="353"/>
      <c r="FD28" s="353"/>
      <c r="FE28" s="353"/>
      <c r="FF28" s="353"/>
      <c r="FG28" s="353"/>
      <c r="FH28" s="353"/>
      <c r="FI28" s="353"/>
      <c r="FJ28" s="353"/>
      <c r="FK28" s="353"/>
      <c r="FL28" s="353"/>
      <c r="FM28" s="353"/>
      <c r="FN28" s="353"/>
      <c r="FO28" s="353"/>
      <c r="FP28" s="353"/>
      <c r="FQ28" s="353"/>
    </row>
    <row r="29" spans="1:173" s="351" customFormat="1" hidden="1" outlineLevel="1">
      <c r="A29" s="356" t="s">
        <v>50</v>
      </c>
      <c r="B29" s="356">
        <f>+B25</f>
        <v>2010</v>
      </c>
      <c r="C29" s="392" t="s">
        <v>47</v>
      </c>
      <c r="D29" s="393">
        <f>+'E3 - Invest Amort deferred tax'!AO19+'E3 - Financing upfront'!H19+'E3 - Financing upfront'!Q19+'E3 - Financing upfront'!Z19</f>
        <v>9222861.1329166666</v>
      </c>
      <c r="E29" s="373">
        <f>+'E3 - Invest Amort deferred tax'!AN19</f>
        <v>5945854.1239583325</v>
      </c>
      <c r="F29" s="393">
        <f>+'E3 - Invest Amort deferred tax'!BT19</f>
        <v>-792240.6344940624</v>
      </c>
      <c r="G29" s="394"/>
      <c r="H29" s="373"/>
      <c r="I29" s="373"/>
      <c r="J29" s="393"/>
      <c r="K29" s="393"/>
      <c r="L29" s="393"/>
      <c r="M29" s="393"/>
      <c r="N29" s="385"/>
      <c r="O29" s="394"/>
      <c r="P29" s="374"/>
      <c r="Q29" s="374"/>
      <c r="R29" s="385"/>
      <c r="S29" s="374"/>
      <c r="T29" s="394"/>
      <c r="U29" s="394"/>
      <c r="V29" s="394"/>
      <c r="W29" s="394"/>
      <c r="X29" s="394"/>
      <c r="Y29" s="394"/>
      <c r="Z29" s="384">
        <v>30935672.680000007</v>
      </c>
      <c r="AA29" s="530">
        <f>AA25</f>
        <v>1.1900000000000001E-2</v>
      </c>
      <c r="AB29" s="372">
        <f>+Z29*AA29</f>
        <v>368134.50489200011</v>
      </c>
      <c r="AC29" s="372"/>
      <c r="AD29" s="372">
        <f>+'E3 - Invest Amort deferred tax'!AL19</f>
        <v>137374.31895833334</v>
      </c>
      <c r="AE29" s="373"/>
      <c r="AF29" s="373">
        <f>(D29+F29)*'Capital Structure '!$F$21/12</f>
        <v>17422.339937930108</v>
      </c>
      <c r="AG29" s="373">
        <f>(D29+F29)*'Capital Structure '!$E$34/12</f>
        <v>25608.090617359849</v>
      </c>
      <c r="AH29" s="373">
        <f>(D29+F29)*'Capital Structure '!$F$18/12</f>
        <v>37080.013709102452</v>
      </c>
      <c r="AI29" s="372">
        <f>SUM(AF29:AH29)</f>
        <v>80110.444264392412</v>
      </c>
      <c r="AJ29" s="373"/>
      <c r="AK29" s="372">
        <v>34175.050000000003</v>
      </c>
      <c r="AL29" s="372">
        <f>8.5+39832.04+5040.57+135.14+1336.2+8402.3+1784.96+5566.17+12000.02+1930.2+11.75+1228.52+154.45+1286.46+8142+33087.39+40059.39-20000</f>
        <v>140006.06</v>
      </c>
      <c r="AM29" s="373">
        <f>+AL29+AI29+AD29+AK29</f>
        <v>391665.87322272576</v>
      </c>
      <c r="AO29" s="372"/>
      <c r="AP29" s="373"/>
      <c r="AQ29" s="373"/>
      <c r="AR29" s="373"/>
      <c r="AS29" s="373"/>
      <c r="AT29" s="373"/>
      <c r="AU29" s="373"/>
      <c r="AV29" s="372">
        <f t="shared" ref="AV29:AV40" si="11">SUM(AQ29:AU29)</f>
        <v>0</v>
      </c>
      <c r="AW29" s="373"/>
      <c r="AX29" s="389">
        <v>20000</v>
      </c>
      <c r="AY29" s="373">
        <f t="shared" si="0"/>
        <v>20000</v>
      </c>
      <c r="AZ29" s="373"/>
      <c r="BA29" s="373"/>
      <c r="BB29" s="373"/>
      <c r="BC29" s="373"/>
      <c r="BD29" s="373"/>
      <c r="BE29" s="373"/>
      <c r="BF29" s="373"/>
      <c r="BG29" s="373"/>
      <c r="BH29" s="373"/>
      <c r="BI29" s="373"/>
      <c r="BM29" s="373"/>
      <c r="BN29" s="373"/>
      <c r="BO29" s="373"/>
      <c r="BP29" s="373"/>
      <c r="BQ29" s="373"/>
      <c r="BR29" s="373"/>
      <c r="BS29" s="373"/>
      <c r="BT29" s="373"/>
      <c r="BU29" s="373"/>
      <c r="CY29" s="373">
        <f t="shared" ref="CY29:CY40" si="12">+BW29+BK29+AY29+AM29-AB29</f>
        <v>43531.368330725643</v>
      </c>
      <c r="CZ29" s="373">
        <f>+CZ28+CY29</f>
        <v>-4844068.5915813837</v>
      </c>
      <c r="DA29" s="373">
        <f t="shared" ref="DA29:DA40" si="13">(CZ28+CZ29)/2*(1-0.4085)</f>
        <v>-2878140.9741042005</v>
      </c>
      <c r="DB29" s="375">
        <v>2E-3</v>
      </c>
      <c r="DC29" s="372">
        <f t="shared" ref="DC29:DC40" si="14">(DA29)*DB29/12</f>
        <v>-479.69016235070012</v>
      </c>
      <c r="DE29" s="353"/>
      <c r="DF29" s="353"/>
      <c r="DG29" s="353"/>
      <c r="DH29" s="353"/>
      <c r="DI29" s="394"/>
      <c r="DJ29" s="353"/>
      <c r="DK29" s="353"/>
      <c r="DL29" s="353"/>
      <c r="DM29" s="353"/>
      <c r="DN29" s="353"/>
      <c r="DO29" s="353"/>
      <c r="DP29" s="353"/>
      <c r="DQ29" s="353"/>
      <c r="DR29" s="353"/>
      <c r="DS29" s="353"/>
      <c r="DT29" s="353"/>
      <c r="DU29" s="353"/>
      <c r="DV29" s="353"/>
      <c r="DW29" s="353"/>
      <c r="DX29" s="353"/>
      <c r="DY29" s="353"/>
      <c r="DZ29" s="353"/>
      <c r="EA29" s="353"/>
      <c r="EB29" s="353"/>
      <c r="EC29" s="353"/>
      <c r="ED29" s="353"/>
      <c r="EE29" s="353"/>
      <c r="EF29" s="353"/>
      <c r="EG29" s="353"/>
      <c r="EH29" s="353"/>
      <c r="EI29" s="353"/>
      <c r="EJ29" s="353"/>
      <c r="EK29" s="353"/>
      <c r="EL29" s="353"/>
      <c r="EM29" s="353"/>
      <c r="EN29" s="353"/>
      <c r="EO29" s="353"/>
      <c r="EP29" s="353"/>
      <c r="EQ29" s="353"/>
      <c r="ER29" s="353"/>
      <c r="ES29" s="353"/>
      <c r="ET29" s="353"/>
      <c r="EU29" s="353"/>
      <c r="EV29" s="353"/>
      <c r="EW29" s="353"/>
      <c r="EX29" s="353"/>
      <c r="EY29" s="353"/>
      <c r="EZ29" s="353"/>
      <c r="FA29" s="353"/>
      <c r="FB29" s="353"/>
      <c r="FC29" s="353"/>
      <c r="FD29" s="353"/>
      <c r="FE29" s="353"/>
      <c r="FF29" s="353"/>
      <c r="FG29" s="353"/>
      <c r="FH29" s="353"/>
      <c r="FI29" s="353"/>
      <c r="FJ29" s="353"/>
      <c r="FK29" s="353"/>
      <c r="FL29" s="353"/>
      <c r="FM29" s="353"/>
      <c r="FN29" s="353"/>
      <c r="FO29" s="353"/>
      <c r="FP29" s="353"/>
      <c r="FQ29" s="353"/>
    </row>
    <row r="30" spans="1:173" s="351" customFormat="1" hidden="1" outlineLevel="1">
      <c r="A30" s="356" t="s">
        <v>51</v>
      </c>
      <c r="B30" s="356">
        <f>+B29</f>
        <v>2010</v>
      </c>
      <c r="C30" s="392" t="s">
        <v>47</v>
      </c>
      <c r="D30" s="393">
        <f>+'E3 - Invest Amort deferred tax'!AO20+'E3 - Financing upfront'!H20+'E3 - Financing upfront'!Q20+'E3 - Financing upfront'!Z20</f>
        <v>11003986.813958332</v>
      </c>
      <c r="E30" s="373">
        <f>+'E3 - Invest Amort deferred tax'!AN20</f>
        <v>7498533.9952083332</v>
      </c>
      <c r="F30" s="393">
        <f>+'E3 - Invest Amort deferred tax'!BT20</f>
        <v>-996633.10142218741</v>
      </c>
      <c r="G30" s="394"/>
      <c r="H30" s="373"/>
      <c r="I30" s="373"/>
      <c r="J30" s="393"/>
      <c r="K30" s="393"/>
      <c r="L30" s="393"/>
      <c r="M30" s="393"/>
      <c r="N30" s="393"/>
      <c r="O30" s="394"/>
      <c r="P30" s="374"/>
      <c r="Q30" s="374"/>
      <c r="R30" s="374"/>
      <c r="S30" s="374"/>
      <c r="T30" s="394"/>
      <c r="U30" s="394"/>
      <c r="V30" s="394"/>
      <c r="W30" s="394"/>
      <c r="X30" s="394"/>
      <c r="Y30" s="394"/>
      <c r="Z30" s="384">
        <v>61308345.430000007</v>
      </c>
      <c r="AA30" s="530">
        <f t="shared" ref="AA30:AA38" si="15">+AA29</f>
        <v>1.1900000000000001E-2</v>
      </c>
      <c r="AB30" s="372">
        <f>+Z30*AA30</f>
        <v>729569.3106170001</v>
      </c>
      <c r="AC30" s="372"/>
      <c r="AD30" s="372">
        <f>+'E3 - Invest Amort deferred tax'!AL20</f>
        <v>173332.91875000001</v>
      </c>
      <c r="AE30" s="373"/>
      <c r="AF30" s="373">
        <f>(D30+F30)*'Capital Structure '!$F$21/12</f>
        <v>20680.745657040705</v>
      </c>
      <c r="AG30" s="373">
        <f>(D30+F30)*'Capital Structure '!$E$34/12</f>
        <v>30397.432876802708</v>
      </c>
      <c r="AH30" s="373">
        <f>(D30+F30)*'Capital Structure '!$F$18/12</f>
        <v>44014.887507047264</v>
      </c>
      <c r="AI30" s="372">
        <f>SUM(AF30:AH30)</f>
        <v>95093.06604089067</v>
      </c>
      <c r="AJ30" s="373"/>
      <c r="AK30" s="372">
        <v>41341.160000000003</v>
      </c>
      <c r="AL30" s="372">
        <f>116.65+34985.88-1585.05+20+125+180000+8402.3+1970.2+47.76+10519.25+29337.69+2042.28+497.2+2022.81+152+37.1+5304.89+26599.29+4131.79+120.61+1156.64+96293.94+20964.01+936.63-180000</f>
        <v>244198.87</v>
      </c>
      <c r="AM30" s="373">
        <f t="shared" ref="AM30:AM40" si="16">+AL30+AI30+AD30+AK30</f>
        <v>553966.01479089062</v>
      </c>
      <c r="AO30" s="372"/>
      <c r="AP30" s="373"/>
      <c r="AQ30" s="373"/>
      <c r="AR30" s="373"/>
      <c r="AS30" s="373"/>
      <c r="AT30" s="373"/>
      <c r="AU30" s="373"/>
      <c r="AV30" s="372">
        <f t="shared" si="11"/>
        <v>0</v>
      </c>
      <c r="AW30" s="373"/>
      <c r="AX30" s="389">
        <v>180000</v>
      </c>
      <c r="AY30" s="373">
        <f t="shared" si="0"/>
        <v>180000</v>
      </c>
      <c r="AZ30" s="373"/>
      <c r="BA30" s="373"/>
      <c r="BB30" s="373"/>
      <c r="BC30" s="373"/>
      <c r="BD30" s="373"/>
      <c r="BE30" s="373"/>
      <c r="BF30" s="373"/>
      <c r="BG30" s="373"/>
      <c r="BH30" s="373"/>
      <c r="BI30" s="373"/>
      <c r="BM30" s="373"/>
      <c r="BN30" s="373"/>
      <c r="BO30" s="373"/>
      <c r="BP30" s="373"/>
      <c r="BQ30" s="373"/>
      <c r="BR30" s="373"/>
      <c r="BS30" s="373"/>
      <c r="BT30" s="373"/>
      <c r="BU30" s="373"/>
      <c r="CY30" s="373">
        <f t="shared" si="12"/>
        <v>4396.7041738905245</v>
      </c>
      <c r="CZ30" s="373">
        <f t="shared" ref="CZ30:CZ40" si="17">CZ29+CY30</f>
        <v>-4839671.8874074928</v>
      </c>
      <c r="DA30" s="373">
        <f t="shared" si="13"/>
        <v>-2863966.2466609604</v>
      </c>
      <c r="DB30" s="375">
        <v>2E-3</v>
      </c>
      <c r="DC30" s="372">
        <f t="shared" si="14"/>
        <v>-477.32770777682668</v>
      </c>
      <c r="DE30" s="353"/>
      <c r="DF30" s="353"/>
      <c r="DG30" s="353"/>
      <c r="DH30" s="353"/>
      <c r="DI30" s="394"/>
      <c r="DJ30" s="353"/>
      <c r="DK30" s="353"/>
      <c r="DL30" s="353"/>
      <c r="DM30" s="353"/>
      <c r="DN30" s="353"/>
      <c r="DO30" s="353"/>
      <c r="DP30" s="353"/>
      <c r="DQ30" s="353"/>
      <c r="DR30" s="353"/>
      <c r="DS30" s="353"/>
      <c r="DT30" s="353"/>
      <c r="DU30" s="353"/>
      <c r="DV30" s="353"/>
      <c r="DW30" s="353"/>
      <c r="DX30" s="353"/>
      <c r="DY30" s="353"/>
      <c r="DZ30" s="353"/>
      <c r="EA30" s="353"/>
      <c r="EB30" s="353"/>
      <c r="EC30" s="353"/>
      <c r="ED30" s="353"/>
      <c r="EE30" s="353"/>
      <c r="EF30" s="353"/>
      <c r="EG30" s="353"/>
      <c r="EH30" s="353"/>
      <c r="EI30" s="353"/>
      <c r="EJ30" s="353"/>
      <c r="EK30" s="353"/>
      <c r="EL30" s="353"/>
      <c r="EM30" s="353"/>
      <c r="EN30" s="353"/>
      <c r="EO30" s="353"/>
      <c r="EP30" s="353"/>
      <c r="EQ30" s="353"/>
      <c r="ER30" s="353"/>
      <c r="ES30" s="353"/>
      <c r="ET30" s="353"/>
      <c r="EU30" s="353"/>
      <c r="EV30" s="353"/>
      <c r="EW30" s="353"/>
      <c r="EX30" s="353"/>
      <c r="EY30" s="353"/>
      <c r="EZ30" s="353"/>
      <c r="FA30" s="353"/>
      <c r="FB30" s="353"/>
      <c r="FC30" s="353"/>
      <c r="FD30" s="353"/>
      <c r="FE30" s="353"/>
      <c r="FF30" s="353"/>
      <c r="FG30" s="353"/>
      <c r="FH30" s="353"/>
      <c r="FI30" s="353"/>
      <c r="FJ30" s="353"/>
      <c r="FK30" s="353"/>
      <c r="FL30" s="353"/>
      <c r="FM30" s="353"/>
      <c r="FN30" s="353"/>
      <c r="FO30" s="353"/>
      <c r="FP30" s="353"/>
      <c r="FQ30" s="353"/>
    </row>
    <row r="31" spans="1:173" s="351" customFormat="1" hidden="1" outlineLevel="1">
      <c r="A31" s="356" t="s">
        <v>52</v>
      </c>
      <c r="B31" s="356">
        <f>+B30</f>
        <v>2010</v>
      </c>
      <c r="C31" s="392" t="s">
        <v>47</v>
      </c>
      <c r="D31" s="393">
        <f>+'E3 - Invest Amort deferred tax'!AO21+'E3 - Financing upfront'!H21+'E3 - Financing upfront'!Q21+'E3 - Financing upfront'!Z21</f>
        <v>12212253.895208331</v>
      </c>
      <c r="E31" s="373">
        <f>+'E3 - Invest Amort deferred tax'!AN21</f>
        <v>8957470.0297916662</v>
      </c>
      <c r="F31" s="393">
        <f>+'E3 - Invest Amort deferred tax'!BT21</f>
        <v>-1235716.9280548957</v>
      </c>
      <c r="G31" s="394"/>
      <c r="H31" s="373"/>
      <c r="I31" s="373"/>
      <c r="J31" s="393"/>
      <c r="K31" s="393"/>
      <c r="L31" s="393"/>
      <c r="M31" s="393"/>
      <c r="N31" s="393"/>
      <c r="O31" s="394"/>
      <c r="P31" s="374"/>
      <c r="Q31" s="374"/>
      <c r="R31" s="374"/>
      <c r="S31" s="374"/>
      <c r="T31" s="394"/>
      <c r="U31" s="394"/>
      <c r="V31" s="394"/>
      <c r="W31" s="394"/>
      <c r="X31" s="394"/>
      <c r="Y31" s="394"/>
      <c r="Z31" s="384">
        <v>121711079.81</v>
      </c>
      <c r="AA31" s="530">
        <f t="shared" si="15"/>
        <v>1.1900000000000001E-2</v>
      </c>
      <c r="AB31" s="372">
        <f t="shared" ref="AB31:AB40" si="18">+Z31*AA31</f>
        <v>1448361.8497390002</v>
      </c>
      <c r="AC31" s="372"/>
      <c r="AD31" s="372">
        <f>+'E3 - Invest Amort deferred tax'!AL21</f>
        <v>208062.04541666669</v>
      </c>
      <c r="AE31" s="373"/>
      <c r="AF31" s="373">
        <f>(D31+F31)*'Capital Structure '!$F$21/12</f>
        <v>22683.616042115114</v>
      </c>
      <c r="AG31" s="373">
        <f>(D31+F31)*'Capital Structure '!$E$34/12</f>
        <v>33341.336307601312</v>
      </c>
      <c r="AH31" s="373">
        <f>(D31+F31)*'Capital Structure '!$F$18/12</f>
        <v>48277.602021900064</v>
      </c>
      <c r="AI31" s="372">
        <f>SUM(AF31:AH31)</f>
        <v>104302.55437161648</v>
      </c>
      <c r="AJ31" s="373"/>
      <c r="AK31" s="372">
        <v>42961.599999999999</v>
      </c>
      <c r="AL31" s="372">
        <f>246.49+606.7+34985.82+1727.76+20+6721.55+7936.85+1664.15+2974.15+16.63+8757.71+280.77+12622.62+2346.03+519.28+1899.77+1671.01+15990.91+23035.93+2370.18+11293.89+160.18+1330.22+50746.97+25468.95</f>
        <v>215394.52000000002</v>
      </c>
      <c r="AM31" s="373">
        <f t="shared" si="16"/>
        <v>570720.71978828311</v>
      </c>
      <c r="AO31" s="372"/>
      <c r="AP31" s="373"/>
      <c r="AQ31" s="373"/>
      <c r="AR31" s="373"/>
      <c r="AS31" s="373"/>
      <c r="AT31" s="373"/>
      <c r="AU31" s="373"/>
      <c r="AV31" s="372">
        <f t="shared" si="11"/>
        <v>0</v>
      </c>
      <c r="AW31" s="373"/>
      <c r="AX31" s="389">
        <v>0</v>
      </c>
      <c r="AY31" s="373">
        <f t="shared" si="0"/>
        <v>0</v>
      </c>
      <c r="AZ31" s="373"/>
      <c r="BA31" s="373"/>
      <c r="BB31" s="373"/>
      <c r="BC31" s="373"/>
      <c r="BD31" s="373"/>
      <c r="BE31" s="373"/>
      <c r="BF31" s="373"/>
      <c r="BG31" s="373"/>
      <c r="BH31" s="373"/>
      <c r="BI31" s="373"/>
      <c r="BM31" s="373"/>
      <c r="BN31" s="373"/>
      <c r="BO31" s="373"/>
      <c r="BP31" s="373"/>
      <c r="BQ31" s="373"/>
      <c r="BR31" s="373"/>
      <c r="BS31" s="373"/>
      <c r="BT31" s="373"/>
      <c r="BU31" s="373"/>
      <c r="CY31" s="373">
        <f t="shared" si="12"/>
        <v>-877641.12995071709</v>
      </c>
      <c r="CZ31" s="373">
        <f>CZ30+CY31</f>
        <v>-5717313.0173582099</v>
      </c>
      <c r="DA31" s="373">
        <f t="shared" si="13"/>
        <v>-3122228.2855844568</v>
      </c>
      <c r="DB31" s="375">
        <v>2E-3</v>
      </c>
      <c r="DC31" s="372">
        <f t="shared" si="14"/>
        <v>-520.37138093074282</v>
      </c>
      <c r="DE31" s="353"/>
      <c r="DF31" s="353"/>
      <c r="DG31" s="353"/>
      <c r="DH31" s="353"/>
      <c r="DI31" s="394"/>
      <c r="DJ31" s="353"/>
      <c r="DK31" s="353"/>
      <c r="DL31" s="353"/>
      <c r="DM31" s="353"/>
      <c r="DN31" s="353"/>
      <c r="DO31" s="353"/>
      <c r="DP31" s="353"/>
      <c r="DQ31" s="353"/>
      <c r="DR31" s="353"/>
      <c r="DS31" s="353"/>
      <c r="DT31" s="353"/>
      <c r="DU31" s="353"/>
      <c r="DV31" s="353"/>
      <c r="DW31" s="353"/>
      <c r="DX31" s="353"/>
      <c r="DY31" s="353"/>
      <c r="DZ31" s="353"/>
      <c r="EA31" s="353"/>
      <c r="EB31" s="353"/>
      <c r="EC31" s="353"/>
      <c r="ED31" s="353"/>
      <c r="EE31" s="353"/>
      <c r="EF31" s="353"/>
      <c r="EG31" s="353"/>
      <c r="EH31" s="353"/>
      <c r="EI31" s="353"/>
      <c r="EJ31" s="353"/>
      <c r="EK31" s="353"/>
      <c r="EL31" s="353"/>
      <c r="EM31" s="353"/>
      <c r="EN31" s="353"/>
      <c r="EO31" s="353"/>
      <c r="EP31" s="353"/>
      <c r="EQ31" s="353"/>
      <c r="ER31" s="353"/>
      <c r="ES31" s="353"/>
      <c r="ET31" s="353"/>
      <c r="EU31" s="353"/>
      <c r="EV31" s="353"/>
      <c r="EW31" s="353"/>
      <c r="EX31" s="353"/>
      <c r="EY31" s="353"/>
      <c r="EZ31" s="353"/>
      <c r="FA31" s="353"/>
      <c r="FB31" s="353"/>
      <c r="FC31" s="353"/>
      <c r="FD31" s="353"/>
      <c r="FE31" s="353"/>
      <c r="FF31" s="353"/>
      <c r="FG31" s="353"/>
      <c r="FH31" s="353"/>
      <c r="FI31" s="353"/>
      <c r="FJ31" s="353"/>
      <c r="FK31" s="353"/>
      <c r="FL31" s="353"/>
      <c r="FM31" s="353"/>
      <c r="FN31" s="353"/>
      <c r="FO31" s="353"/>
      <c r="FP31" s="353"/>
      <c r="FQ31" s="353"/>
    </row>
    <row r="32" spans="1:173" s="351" customFormat="1" hidden="1" outlineLevel="1">
      <c r="A32" s="356" t="s">
        <v>53</v>
      </c>
      <c r="B32" s="356">
        <f>+B31+1</f>
        <v>2011</v>
      </c>
      <c r="C32" s="392" t="s">
        <v>47</v>
      </c>
      <c r="D32" s="393">
        <f>+'E3 - Invest Amort deferred tax'!AO22+'E3 - Financing upfront'!H22+'E3 - Financing upfront'!Q22+'E3 - Financing upfront'!Z22</f>
        <v>12667491.849791666</v>
      </c>
      <c r="E32" s="373">
        <f>+'E3 - Invest Amort deferred tax'!AN22</f>
        <v>10162011.745208334</v>
      </c>
      <c r="F32" s="393">
        <f>+'E3 - Invest Amort deferred tax'!BT22</f>
        <v>-1502393.1428405207</v>
      </c>
      <c r="G32" s="394"/>
      <c r="H32" s="393">
        <f>+'RGGI - Invest Amort deferred'!AJ5</f>
        <v>0</v>
      </c>
      <c r="I32" s="373">
        <f>+'RGGI - Invest Amort deferred'!AI5</f>
        <v>0</v>
      </c>
      <c r="J32" s="393">
        <f>+'RGGI - Invest Amort deferred'!BL5</f>
        <v>0</v>
      </c>
      <c r="K32" s="393"/>
      <c r="L32" s="393"/>
      <c r="M32" s="393"/>
      <c r="N32" s="393"/>
      <c r="O32" s="394"/>
      <c r="P32" s="374"/>
      <c r="Q32" s="374"/>
      <c r="R32" s="374"/>
      <c r="S32" s="374"/>
      <c r="T32" s="394"/>
      <c r="U32" s="394"/>
      <c r="V32" s="394"/>
      <c r="W32" s="394"/>
      <c r="X32" s="394"/>
      <c r="Y32" s="394"/>
      <c r="Z32" s="384">
        <v>130359913.24000001</v>
      </c>
      <c r="AA32" s="530">
        <f t="shared" si="15"/>
        <v>1.1900000000000001E-2</v>
      </c>
      <c r="AB32" s="372">
        <f t="shared" si="18"/>
        <v>1551282.9675560002</v>
      </c>
      <c r="AC32" s="372"/>
      <c r="AD32" s="372">
        <f>+'E3 - Invest Amort deferred tax'!AL22</f>
        <v>238117.44458333336</v>
      </c>
      <c r="AE32" s="373"/>
      <c r="AF32" s="373">
        <f>(D32+F32)*'Capital Structure '!$F$21/12</f>
        <v>23073.289225798082</v>
      </c>
      <c r="AG32" s="373">
        <f>(D32+F32)*'Capital Structure '!$E$34/12</f>
        <v>33914.094400627822</v>
      </c>
      <c r="AH32" s="373">
        <f>(D32+F32)*'Capital Structure '!$F$18/12</f>
        <v>49106.944523797698</v>
      </c>
      <c r="AI32" s="372">
        <f t="shared" ref="AI32:AI40" si="19">SUM(AF32:AH32)</f>
        <v>106094.32815022359</v>
      </c>
      <c r="AJ32" s="373"/>
      <c r="AK32" s="372">
        <v>70432.759999999995</v>
      </c>
      <c r="AL32" s="372">
        <f>7419.37+419.79+57582.4+1727.76+4481.23+7936.85+1587.82-16.63+25428.9+-37401.76-2146.01+702.14+2420.25+40+11540.79+27259.75+3720.38+188.24+1345.58+48146.97+20708-2253.48+63188-15960.69</f>
        <v>228065.65</v>
      </c>
      <c r="AM32" s="373">
        <f t="shared" si="16"/>
        <v>642710.18273355695</v>
      </c>
      <c r="AO32" s="372">
        <f>+'RGGI - Invest Amort deferred'!AG5</f>
        <v>0</v>
      </c>
      <c r="AP32" s="373"/>
      <c r="AQ32" s="373">
        <f>(H32+J32)*'Capital Structure '!$F$21/12</f>
        <v>0</v>
      </c>
      <c r="AR32" s="373">
        <f>(H32+J32)*'Capital Structure '!$E$34/12</f>
        <v>0</v>
      </c>
      <c r="AS32" s="373">
        <f>(H32+J32)*'Capital Structure '!$F$18/12</f>
        <v>0</v>
      </c>
      <c r="AT32" s="373">
        <f>'RGGI - On-bill financing'!J5*'Capital Structure '!$E$34/12</f>
        <v>0</v>
      </c>
      <c r="AU32" s="373">
        <f>'RGGI - On-bill financing'!J5*('Capital Structure '!$F$18+'Capital Structure '!$F$21)/12</f>
        <v>0</v>
      </c>
      <c r="AV32" s="372">
        <f t="shared" si="11"/>
        <v>0</v>
      </c>
      <c r="AW32" s="373"/>
      <c r="AX32" s="389">
        <v>16272.380000000001</v>
      </c>
      <c r="AY32" s="373">
        <f t="shared" si="0"/>
        <v>16272.380000000001</v>
      </c>
      <c r="AZ32" s="373"/>
      <c r="BA32" s="373"/>
      <c r="BB32" s="373"/>
      <c r="BC32" s="373"/>
      <c r="BD32" s="373"/>
      <c r="BE32" s="373"/>
      <c r="BF32" s="373"/>
      <c r="BG32" s="373"/>
      <c r="BH32" s="373"/>
      <c r="BI32" s="373"/>
      <c r="BM32" s="373"/>
      <c r="BN32" s="373"/>
      <c r="BO32" s="373"/>
      <c r="BP32" s="373"/>
      <c r="BQ32" s="373"/>
      <c r="BR32" s="373"/>
      <c r="BS32" s="373"/>
      <c r="BT32" s="373"/>
      <c r="BU32" s="373"/>
      <c r="CY32" s="373">
        <f t="shared" si="12"/>
        <v>-892300.40482244326</v>
      </c>
      <c r="CZ32" s="373">
        <f t="shared" si="17"/>
        <v>-6609613.4221806535</v>
      </c>
      <c r="DA32" s="373">
        <f t="shared" si="13"/>
        <v>-3645688.4944936186</v>
      </c>
      <c r="DB32" s="375">
        <v>2E-3</v>
      </c>
      <c r="DC32" s="372">
        <f>(DA32)*DB32/12</f>
        <v>-607.61474908226978</v>
      </c>
      <c r="DE32" s="353"/>
      <c r="DF32" s="353"/>
      <c r="DG32" s="353"/>
      <c r="DH32" s="353"/>
      <c r="DI32" s="394"/>
      <c r="DJ32" s="353"/>
      <c r="DK32" s="353"/>
      <c r="DL32" s="353"/>
      <c r="DM32" s="353"/>
      <c r="DN32" s="353"/>
      <c r="DO32" s="353"/>
      <c r="DP32" s="353"/>
      <c r="DQ32" s="353"/>
      <c r="DR32" s="353"/>
      <c r="DS32" s="353"/>
      <c r="DT32" s="353"/>
      <c r="DU32" s="353"/>
      <c r="DV32" s="353"/>
      <c r="DW32" s="353"/>
      <c r="DX32" s="353"/>
      <c r="DY32" s="353"/>
      <c r="DZ32" s="353"/>
      <c r="EA32" s="353"/>
      <c r="EB32" s="353"/>
      <c r="EC32" s="353"/>
      <c r="ED32" s="353"/>
      <c r="EE32" s="353"/>
      <c r="EF32" s="353"/>
      <c r="EG32" s="353"/>
      <c r="EH32" s="353"/>
      <c r="EI32" s="353"/>
      <c r="EJ32" s="353"/>
      <c r="EK32" s="353"/>
      <c r="EL32" s="353"/>
      <c r="EM32" s="353"/>
      <c r="EN32" s="353"/>
      <c r="EO32" s="353"/>
      <c r="EP32" s="353"/>
      <c r="EQ32" s="353"/>
      <c r="ER32" s="353"/>
      <c r="ES32" s="353"/>
      <c r="ET32" s="353"/>
      <c r="EU32" s="353"/>
      <c r="EV32" s="353"/>
      <c r="EW32" s="353"/>
      <c r="EX32" s="353"/>
      <c r="EY32" s="353"/>
      <c r="EZ32" s="353"/>
      <c r="FA32" s="353"/>
      <c r="FB32" s="353"/>
      <c r="FC32" s="353"/>
      <c r="FD32" s="353"/>
      <c r="FE32" s="353"/>
      <c r="FF32" s="353"/>
      <c r="FG32" s="353"/>
      <c r="FH32" s="353"/>
      <c r="FI32" s="353"/>
      <c r="FJ32" s="353"/>
      <c r="FK32" s="353"/>
      <c r="FL32" s="353"/>
      <c r="FM32" s="353"/>
      <c r="FN32" s="353"/>
      <c r="FO32" s="353"/>
      <c r="FP32" s="353"/>
      <c r="FQ32" s="353"/>
    </row>
    <row r="33" spans="1:173" s="351" customFormat="1" hidden="1" outlineLevel="1">
      <c r="A33" s="356" t="s">
        <v>54</v>
      </c>
      <c r="B33" s="356">
        <f t="shared" ref="B33:B40" si="20">+B32</f>
        <v>2011</v>
      </c>
      <c r="C33" s="392" t="s">
        <v>47</v>
      </c>
      <c r="D33" s="393">
        <f>+'E3 - Invest Amort deferred tax'!AO23+'E3 - Financing upfront'!H23+'E3 - Financing upfront'!Q23+'E3 - Financing upfront'!Z23</f>
        <v>13041374.405208334</v>
      </c>
      <c r="E33" s="373">
        <f>+'E3 - Invest Amort deferred tax'!AN23</f>
        <v>10958413.817083333</v>
      </c>
      <c r="F33" s="393">
        <f>+'E3 - Invest Amort deferred tax'!BT23</f>
        <v>-1785017.6019560415</v>
      </c>
      <c r="G33" s="394"/>
      <c r="H33" s="393">
        <f>+'RGGI - Invest Amort deferred'!AJ6</f>
        <v>123366.7</v>
      </c>
      <c r="I33" s="373">
        <f>+'RGGI - Invest Amort deferred'!AI6</f>
        <v>121310.58833333333</v>
      </c>
      <c r="J33" s="393">
        <f>+'RGGI - Invest Amort deferred'!BL6</f>
        <v>-3359.686463333333</v>
      </c>
      <c r="K33" s="393"/>
      <c r="L33" s="393"/>
      <c r="M33" s="393"/>
      <c r="N33" s="393"/>
      <c r="O33" s="394"/>
      <c r="P33" s="374"/>
      <c r="Q33" s="374"/>
      <c r="R33" s="374"/>
      <c r="S33" s="374"/>
      <c r="T33" s="394"/>
      <c r="U33" s="394"/>
      <c r="V33" s="394"/>
      <c r="W33" s="394"/>
      <c r="X33" s="394"/>
      <c r="Y33" s="394"/>
      <c r="Z33" s="384">
        <v>97814745.779999986</v>
      </c>
      <c r="AA33" s="530">
        <f t="shared" si="15"/>
        <v>1.1900000000000001E-2</v>
      </c>
      <c r="AB33" s="372">
        <f t="shared" si="18"/>
        <v>1163995.4747819998</v>
      </c>
      <c r="AC33" s="372"/>
      <c r="AD33" s="372">
        <f>+'E3 - Invest Amort deferred tax'!AL23</f>
        <v>260128.49812500004</v>
      </c>
      <c r="AE33" s="373"/>
      <c r="AF33" s="373">
        <f>(D33+F33)*'Capital Structure '!$F$21/12</f>
        <v>23261.879090108123</v>
      </c>
      <c r="AG33" s="373">
        <f>(D33+F33)*'Capital Structure '!$E$34/12</f>
        <v>34191.291743348302</v>
      </c>
      <c r="AH33" s="373">
        <f>(D33+F33)*'Capital Structure '!$F$18/12</f>
        <v>49508.320847467628</v>
      </c>
      <c r="AI33" s="372">
        <f>SUM(AF33:AH33)</f>
        <v>106961.49168092405</v>
      </c>
      <c r="AJ33" s="373"/>
      <c r="AK33" s="372">
        <f>44269.65+6750</f>
        <v>51019.65</v>
      </c>
      <c r="AL33" s="372">
        <f>1404.36+477.26+40089.46+1727.76+12612.63+457.55+2405.28+8500+20665.44-165.3+5843.31+621.26+2182.48+208.65+540.08+5446.38+23653.29+2352.48-1970.6+492.31+197.31+1356.48+48146.97+20226.68-22387.97-16812.66</f>
        <v>158270.88999999996</v>
      </c>
      <c r="AM33" s="373">
        <f t="shared" si="16"/>
        <v>576380.52980592404</v>
      </c>
      <c r="AO33" s="372">
        <f>+'RGGI - Invest Amort deferred'!AG6</f>
        <v>2056.1116666666667</v>
      </c>
      <c r="AP33" s="373"/>
      <c r="AQ33" s="373">
        <f>(H33+J33)*'Capital Structure '!$F$21/12</f>
        <v>248.0010795365279</v>
      </c>
      <c r="AR33" s="373">
        <f>(H33+J33)*'Capital Structure '!$E$34/12</f>
        <v>364.52245453827345</v>
      </c>
      <c r="AS33" s="373">
        <f>(H33+J33)*'Capital Structure '!$F$18/12</f>
        <v>527.82137542078033</v>
      </c>
      <c r="AT33" s="373">
        <f>'RGGI - On-bill financing'!J6*'Capital Structure '!$E$34/12</f>
        <v>0</v>
      </c>
      <c r="AU33" s="373">
        <f>'RGGI - On-bill financing'!J6*('Capital Structure '!$F$18+'Capital Structure '!$F$21)/12</f>
        <v>0</v>
      </c>
      <c r="AV33" s="372">
        <f>SUM(AQ33:AU33)</f>
        <v>1140.3449094955818</v>
      </c>
      <c r="AW33" s="373"/>
      <c r="AX33" s="389">
        <v>39200.630000000005</v>
      </c>
      <c r="AY33" s="373">
        <f t="shared" si="0"/>
        <v>42397.086576162248</v>
      </c>
      <c r="AZ33" s="373"/>
      <c r="BA33" s="373"/>
      <c r="BB33" s="373"/>
      <c r="BC33" s="373"/>
      <c r="BD33" s="373"/>
      <c r="BE33" s="373"/>
      <c r="BF33" s="373"/>
      <c r="BG33" s="373"/>
      <c r="BH33" s="373"/>
      <c r="BI33" s="373"/>
      <c r="BM33" s="373"/>
      <c r="BN33" s="373"/>
      <c r="BO33" s="373"/>
      <c r="BP33" s="373"/>
      <c r="BQ33" s="373"/>
      <c r="BR33" s="373"/>
      <c r="BS33" s="373"/>
      <c r="BT33" s="373"/>
      <c r="BU33" s="373"/>
      <c r="CY33" s="373">
        <f t="shared" si="12"/>
        <v>-545217.85839991353</v>
      </c>
      <c r="CZ33" s="373">
        <f>CZ32+CY33</f>
        <v>-7154831.2805805672</v>
      </c>
      <c r="DA33" s="373">
        <f t="shared" si="13"/>
        <v>-4070834.5208416316</v>
      </c>
      <c r="DB33" s="375">
        <v>2E-3</v>
      </c>
      <c r="DC33" s="372">
        <f>(DA33)*DB33/12</f>
        <v>-678.47242014027199</v>
      </c>
      <c r="DE33" s="353"/>
      <c r="DF33" s="353"/>
      <c r="DG33" s="353"/>
      <c r="DH33" s="353"/>
      <c r="DI33" s="394"/>
      <c r="DJ33" s="353"/>
      <c r="DK33" s="353"/>
      <c r="DL33" s="353"/>
      <c r="DM33" s="353"/>
      <c r="DN33" s="353"/>
      <c r="DO33" s="353"/>
      <c r="DP33" s="353"/>
      <c r="DQ33" s="353"/>
      <c r="DR33" s="353"/>
      <c r="DS33" s="353"/>
      <c r="DT33" s="353"/>
      <c r="DU33" s="353"/>
      <c r="DV33" s="353"/>
      <c r="DW33" s="353"/>
      <c r="DX33" s="353"/>
      <c r="DY33" s="353"/>
      <c r="DZ33" s="353"/>
      <c r="EA33" s="353"/>
      <c r="EB33" s="353"/>
      <c r="EC33" s="353"/>
      <c r="ED33" s="353"/>
      <c r="EE33" s="353"/>
      <c r="EF33" s="353"/>
      <c r="EG33" s="353"/>
      <c r="EH33" s="353"/>
      <c r="EI33" s="353"/>
      <c r="EJ33" s="353"/>
      <c r="EK33" s="353"/>
      <c r="EL33" s="353"/>
      <c r="EM33" s="353"/>
      <c r="EN33" s="353"/>
      <c r="EO33" s="353"/>
      <c r="EP33" s="353"/>
      <c r="EQ33" s="353"/>
      <c r="ER33" s="353"/>
      <c r="ES33" s="353"/>
      <c r="ET33" s="353"/>
      <c r="EU33" s="353"/>
      <c r="EV33" s="353"/>
      <c r="EW33" s="353"/>
      <c r="EX33" s="353"/>
      <c r="EY33" s="353"/>
      <c r="EZ33" s="353"/>
      <c r="FA33" s="353"/>
      <c r="FB33" s="353"/>
      <c r="FC33" s="353"/>
      <c r="FD33" s="353"/>
      <c r="FE33" s="353"/>
      <c r="FF33" s="353"/>
      <c r="FG33" s="353"/>
      <c r="FH33" s="353"/>
      <c r="FI33" s="353"/>
      <c r="FJ33" s="353"/>
      <c r="FK33" s="353"/>
      <c r="FL33" s="353"/>
      <c r="FM33" s="353"/>
      <c r="FN33" s="353"/>
      <c r="FO33" s="353"/>
      <c r="FP33" s="353"/>
      <c r="FQ33" s="353"/>
    </row>
    <row r="34" spans="1:173" s="351" customFormat="1" hidden="1" outlineLevel="1">
      <c r="A34" s="356" t="s">
        <v>55</v>
      </c>
      <c r="B34" s="356">
        <f t="shared" si="20"/>
        <v>2011</v>
      </c>
      <c r="C34" s="392" t="s">
        <v>47</v>
      </c>
      <c r="D34" s="393">
        <f>+'E3 - Invest Amort deferred tax'!AO24+'E3 - Financing upfront'!H24+'E3 - Financing upfront'!Q24+'E3 - Financing upfront'!Z24</f>
        <v>12998145.907083334</v>
      </c>
      <c r="E34" s="373">
        <f>+'E3 - Invest Amort deferred tax'!AN24</f>
        <v>11366004.253125001</v>
      </c>
      <c r="F34" s="393">
        <f>+'E3 - Invest Amort deferred tax'!BT24</f>
        <v>-2069713.5812519789</v>
      </c>
      <c r="G34" s="394"/>
      <c r="H34" s="393">
        <f>+'RGGI - Invest Amort deferred'!AJ7</f>
        <v>664371.03833333321</v>
      </c>
      <c r="I34" s="373">
        <f>+'RGGI - Invest Amort deferred'!AI7</f>
        <v>653263.91916666657</v>
      </c>
      <c r="J34" s="393">
        <f>+'RGGI - Invest Amort deferred'!BL7</f>
        <v>-21508.719181666664</v>
      </c>
      <c r="K34" s="393"/>
      <c r="L34" s="393"/>
      <c r="M34" s="393"/>
      <c r="N34" s="393"/>
      <c r="O34" s="394"/>
      <c r="P34" s="374"/>
      <c r="Q34" s="374"/>
      <c r="R34" s="374"/>
      <c r="S34" s="374"/>
      <c r="T34" s="394"/>
      <c r="U34" s="394"/>
      <c r="V34" s="394"/>
      <c r="W34" s="394"/>
      <c r="X34" s="394"/>
      <c r="Y34" s="394"/>
      <c r="Z34" s="384">
        <v>82011050.75</v>
      </c>
      <c r="AA34" s="530">
        <f t="shared" si="15"/>
        <v>1.1900000000000001E-2</v>
      </c>
      <c r="AB34" s="372">
        <f t="shared" si="18"/>
        <v>975931.50392500008</v>
      </c>
      <c r="AC34" s="372"/>
      <c r="AD34" s="372">
        <f>+'E3 - Invest Amort deferred tax'!AL24</f>
        <v>274335.28395833337</v>
      </c>
      <c r="AE34" s="373"/>
      <c r="AF34" s="373">
        <f>(D34+F34)*'Capital Structure '!$F$21/12</f>
        <v>22584.205160809011</v>
      </c>
      <c r="AG34" s="373">
        <f>(D34+F34)*'Capital Structure '!$E$34/12</f>
        <v>33195.217998240587</v>
      </c>
      <c r="AH34" s="373">
        <f>(D34+F34)*'Capital Structure '!$F$18/12</f>
        <v>48066.025571503815</v>
      </c>
      <c r="AI34" s="372">
        <f t="shared" si="19"/>
        <v>103845.44873055341</v>
      </c>
      <c r="AJ34" s="373"/>
      <c r="AK34" s="372">
        <v>9875</v>
      </c>
      <c r="AL34" s="372">
        <f>120.07+40089.46+1727.76+160.13+6808.99+4026.35+1649.58+21213.75+13128.83+1668.74+763.61+1974.34+304+7893.84+26410.41+5788.79+1744+1627.85+1186.11+48146.97+18069.45+75.67-132353.12+43307.76-101787.1</f>
        <v>13746.24000000002</v>
      </c>
      <c r="AM34" s="373">
        <f>+AL34+AI34+AD34+AK34</f>
        <v>401801.9726888868</v>
      </c>
      <c r="AO34" s="372">
        <f>+'RGGI - Invest Amort deferred'!AG7</f>
        <v>11107.119166666667</v>
      </c>
      <c r="AP34" s="373"/>
      <c r="AQ34" s="373">
        <f>(H34+J34)*'Capital Structure '!$F$21/12</f>
        <v>1328.5102632293836</v>
      </c>
      <c r="AR34" s="373">
        <f>(H34+J34)*'Capital Structure '!$E$34/12</f>
        <v>1952.7004597588241</v>
      </c>
      <c r="AS34" s="373">
        <f>(H34+J34)*'Capital Structure '!$F$18/12</f>
        <v>2827.472024350905</v>
      </c>
      <c r="AT34" s="373">
        <f>'RGGI - On-bill financing'!J7*'Capital Structure '!$E$34/12</f>
        <v>284.57914013757289</v>
      </c>
      <c r="AU34" s="373">
        <f>'RGGI - On-bill financing'!J7*('Capital Structure '!$F$18+'Capital Structure '!$F$21)/12</f>
        <v>605.67705605633762</v>
      </c>
      <c r="AV34" s="372">
        <f>SUM(AQ34:AU34)</f>
        <v>6998.9389435330231</v>
      </c>
      <c r="AW34" s="373"/>
      <c r="AX34" s="389">
        <v>234844.44</v>
      </c>
      <c r="AY34" s="373">
        <f t="shared" si="0"/>
        <v>252950.4981101997</v>
      </c>
      <c r="AZ34" s="373"/>
      <c r="BA34" s="373"/>
      <c r="BB34" s="373"/>
      <c r="BC34" s="373"/>
      <c r="BD34" s="373"/>
      <c r="BE34" s="373"/>
      <c r="BF34" s="373"/>
      <c r="BG34" s="373"/>
      <c r="BH34" s="373"/>
      <c r="BI34" s="373"/>
      <c r="BM34" s="373"/>
      <c r="BN34" s="373"/>
      <c r="BO34" s="373"/>
      <c r="BP34" s="373"/>
      <c r="BQ34" s="373"/>
      <c r="BR34" s="373"/>
      <c r="BS34" s="373"/>
      <c r="BT34" s="373"/>
      <c r="BU34" s="373"/>
      <c r="CY34" s="373">
        <f t="shared" si="12"/>
        <v>-321179.03312591359</v>
      </c>
      <c r="CZ34" s="373">
        <f t="shared" si="17"/>
        <v>-7476010.3137064809</v>
      </c>
      <c r="DA34" s="373">
        <f t="shared" si="13"/>
        <v>-4327071.4015103951</v>
      </c>
      <c r="DB34" s="375">
        <v>2E-3</v>
      </c>
      <c r="DC34" s="372">
        <f t="shared" si="14"/>
        <v>-721.17856691839916</v>
      </c>
      <c r="DE34" s="353"/>
      <c r="DF34" s="353"/>
      <c r="DG34" s="353"/>
      <c r="DH34" s="353"/>
      <c r="DI34" s="394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  <c r="EN34" s="353"/>
      <c r="EO34" s="353"/>
      <c r="EP34" s="353"/>
      <c r="EQ34" s="353"/>
      <c r="ER34" s="353"/>
      <c r="ES34" s="353"/>
      <c r="ET34" s="353"/>
      <c r="EU34" s="353"/>
      <c r="EV34" s="353"/>
      <c r="EW34" s="353"/>
      <c r="EX34" s="353"/>
      <c r="EY34" s="353"/>
      <c r="EZ34" s="353"/>
      <c r="FA34" s="353"/>
      <c r="FB34" s="353"/>
      <c r="FC34" s="353"/>
      <c r="FD34" s="353"/>
      <c r="FE34" s="353"/>
      <c r="FF34" s="353"/>
      <c r="FG34" s="353"/>
      <c r="FH34" s="353"/>
      <c r="FI34" s="353"/>
      <c r="FJ34" s="353"/>
      <c r="FK34" s="353"/>
      <c r="FL34" s="353"/>
      <c r="FM34" s="353"/>
      <c r="FN34" s="353"/>
      <c r="FO34" s="353"/>
      <c r="FP34" s="353"/>
      <c r="FQ34" s="353"/>
    </row>
    <row r="35" spans="1:173" s="351" customFormat="1" hidden="1" outlineLevel="1">
      <c r="A35" s="356" t="s">
        <v>56</v>
      </c>
      <c r="B35" s="356">
        <f t="shared" si="20"/>
        <v>2011</v>
      </c>
      <c r="C35" s="392" t="s">
        <v>47</v>
      </c>
      <c r="D35" s="393">
        <f>+'E3 - Invest Amort deferred tax'!AO25+'E3 - Financing upfront'!H25+'E3 - Financing upfront'!Q25+'E3 - Financing upfront'!Z25</f>
        <v>12723810.623125002</v>
      </c>
      <c r="E35" s="373">
        <f>+'E3 - Invest Amort deferred tax'!AN25</f>
        <v>11386070.163958335</v>
      </c>
      <c r="F35" s="393">
        <f>+'E3 - Invest Amort deferred tax'!BT25</f>
        <v>-2348531.8704678123</v>
      </c>
      <c r="G35" s="394"/>
      <c r="H35" s="393">
        <f>+'RGGI - Invest Amort deferred'!AJ8</f>
        <v>1402175.3191666664</v>
      </c>
      <c r="I35" s="373">
        <f>+'RGGI - Invest Amort deferred'!AI8</f>
        <v>1378586.3433333333</v>
      </c>
      <c r="J35" s="393">
        <f>+'RGGI - Invest Amort deferred'!BL8</f>
        <v>-60053.105693333331</v>
      </c>
      <c r="K35" s="393"/>
      <c r="L35" s="393"/>
      <c r="M35" s="393"/>
      <c r="N35" s="393"/>
      <c r="O35" s="394"/>
      <c r="P35" s="374"/>
      <c r="Q35" s="374"/>
      <c r="R35" s="374"/>
      <c r="S35" s="374"/>
      <c r="T35" s="394"/>
      <c r="U35" s="394"/>
      <c r="V35" s="394"/>
      <c r="W35" s="394"/>
      <c r="X35" s="394"/>
      <c r="Y35" s="394"/>
      <c r="Z35" s="384">
        <v>44805756.029999994</v>
      </c>
      <c r="AA35" s="530">
        <f t="shared" si="15"/>
        <v>1.1900000000000001E-2</v>
      </c>
      <c r="AB35" s="372">
        <f t="shared" si="18"/>
        <v>533188.49675699999</v>
      </c>
      <c r="AC35" s="372"/>
      <c r="AD35" s="372">
        <f>+'E3 - Invest Amort deferred tax'!AL25</f>
        <v>280599.13916666672</v>
      </c>
      <c r="AE35" s="373"/>
      <c r="AF35" s="373">
        <f>(D35+F35)*'Capital Structure '!$F$21/12</f>
        <v>21441.082944416499</v>
      </c>
      <c r="AG35" s="373">
        <f>(D35+F35)*'Capital Structure '!$E$34/12</f>
        <v>31515.008714735202</v>
      </c>
      <c r="AH35" s="373">
        <f>(D35+F35)*'Capital Structure '!$F$18/12</f>
        <v>45633.115433943392</v>
      </c>
      <c r="AI35" s="387">
        <f>SUM(AF35:AH35)</f>
        <v>98589.207093095087</v>
      </c>
      <c r="AJ35" s="373"/>
      <c r="AK35" s="372">
        <v>0</v>
      </c>
      <c r="AL35" s="372">
        <v>0</v>
      </c>
      <c r="AM35" s="373">
        <f>+AL35+AI35+AD35+AK35</f>
        <v>379188.34625976183</v>
      </c>
      <c r="AO35" s="372">
        <f>+'RGGI - Invest Amort deferred'!AG8</f>
        <v>23588.975833333334</v>
      </c>
      <c r="AP35" s="373"/>
      <c r="AQ35" s="373">
        <f>(H35+J35)*'Capital Structure '!$F$21/12</f>
        <v>2773.5692106832025</v>
      </c>
      <c r="AR35" s="373">
        <f>(H35+J35)*'Capital Structure '!$E$34/12</f>
        <v>4076.7090949743592</v>
      </c>
      <c r="AS35" s="373">
        <f>(H35+J35)*'Capital Structure '!$F$18/12</f>
        <v>5902.9949318906574</v>
      </c>
      <c r="AT35" s="373">
        <f>'RGGI - On-bill financing'!J8*'Capital Structure '!$E$34/12</f>
        <v>638.0969296877729</v>
      </c>
      <c r="AU35" s="373">
        <f>'RGGI - On-bill financing'!J8*('Capital Structure '!$F$18+'Capital Structure '!$F$21)/12</f>
        <v>1358.0780013076273</v>
      </c>
      <c r="AV35" s="372">
        <f>SUM(AQ35:AU35)</f>
        <v>14749.44816854362</v>
      </c>
      <c r="AW35" s="373"/>
      <c r="AX35" s="389">
        <v>288883.34000000003</v>
      </c>
      <c r="AY35" s="373">
        <f t="shared" si="0"/>
        <v>327221.76400187699</v>
      </c>
      <c r="AZ35" s="373"/>
      <c r="BA35" s="373"/>
      <c r="BB35" s="373"/>
      <c r="BC35" s="373"/>
      <c r="BD35" s="373"/>
      <c r="BE35" s="373"/>
      <c r="BF35" s="373"/>
      <c r="BG35" s="373"/>
      <c r="BH35" s="373"/>
      <c r="BI35" s="373"/>
      <c r="BM35" s="373"/>
      <c r="BN35" s="373"/>
      <c r="BO35" s="373"/>
      <c r="BP35" s="373"/>
      <c r="BQ35" s="373"/>
      <c r="BR35" s="373"/>
      <c r="BS35" s="373"/>
      <c r="BT35" s="373"/>
      <c r="BU35" s="373"/>
      <c r="CY35" s="373">
        <f t="shared" si="12"/>
        <v>173221.6135046389</v>
      </c>
      <c r="CZ35" s="373">
        <f t="shared" si="17"/>
        <v>-7302788.700201842</v>
      </c>
      <c r="DA35" s="373">
        <f t="shared" si="13"/>
        <v>-4370829.8083633864</v>
      </c>
      <c r="DB35" s="375">
        <v>2E-3</v>
      </c>
      <c r="DC35" s="372">
        <f t="shared" si="14"/>
        <v>-728.47163472723105</v>
      </c>
      <c r="DD35" s="390"/>
      <c r="DE35" s="353"/>
      <c r="DF35" s="353"/>
      <c r="DG35" s="353"/>
      <c r="DH35" s="353"/>
      <c r="DI35" s="394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  <c r="EN35" s="353"/>
      <c r="EO35" s="353"/>
      <c r="EP35" s="353"/>
      <c r="EQ35" s="353"/>
      <c r="ER35" s="353"/>
      <c r="ES35" s="353"/>
      <c r="ET35" s="353"/>
      <c r="EU35" s="353"/>
      <c r="EV35" s="353"/>
      <c r="EW35" s="353"/>
      <c r="EX35" s="353"/>
      <c r="EY35" s="353"/>
      <c r="EZ35" s="353"/>
      <c r="FA35" s="353"/>
      <c r="FB35" s="353"/>
      <c r="FC35" s="353"/>
      <c r="FD35" s="353"/>
      <c r="FE35" s="353"/>
      <c r="FF35" s="353"/>
      <c r="FG35" s="353"/>
      <c r="FH35" s="353"/>
      <c r="FI35" s="353"/>
      <c r="FJ35" s="353"/>
      <c r="FK35" s="353"/>
      <c r="FL35" s="353"/>
      <c r="FM35" s="353"/>
      <c r="FN35" s="353"/>
      <c r="FO35" s="353"/>
      <c r="FP35" s="353"/>
      <c r="FQ35" s="353"/>
    </row>
    <row r="36" spans="1:173" s="351" customFormat="1" hidden="1" outlineLevel="1">
      <c r="A36" s="356" t="s">
        <v>57</v>
      </c>
      <c r="B36" s="356">
        <f t="shared" si="20"/>
        <v>2011</v>
      </c>
      <c r="C36" s="392" t="s">
        <v>47</v>
      </c>
      <c r="D36" s="393">
        <f>+'E3 - Invest Amort deferred tax'!AO26+'E3 - Financing upfront'!H26+'E3 - Financing upfront'!Q26+'E3 - Financing upfront'!Z26</f>
        <v>12443211.483958337</v>
      </c>
      <c r="E36" s="373">
        <f>+'E3 - Invest Amort deferred tax'!AN26</f>
        <v>11394229.135208335</v>
      </c>
      <c r="F36" s="393">
        <f>+'E3 - Invest Amort deferred tax'!BT26</f>
        <v>-2622423.3118201038</v>
      </c>
      <c r="G36" s="394"/>
      <c r="H36" s="393">
        <f>+'RGGI - Invest Amort deferred'!AJ9</f>
        <v>2120903.1533333333</v>
      </c>
      <c r="I36" s="373">
        <f>+'RGGI - Invest Amort deferred'!AI9</f>
        <v>2084942.2306666665</v>
      </c>
      <c r="J36" s="393">
        <f>+'RGGI - Invest Amort deferred'!BL9</f>
        <v>-118813.25333066666</v>
      </c>
      <c r="K36" s="393"/>
      <c r="L36" s="393"/>
      <c r="M36" s="393"/>
      <c r="N36" s="393"/>
      <c r="O36" s="394"/>
      <c r="P36" s="374"/>
      <c r="Q36" s="374"/>
      <c r="R36" s="374"/>
      <c r="S36" s="374"/>
      <c r="T36" s="394"/>
      <c r="U36" s="394"/>
      <c r="V36" s="394"/>
      <c r="W36" s="394"/>
      <c r="X36" s="394"/>
      <c r="Y36" s="394"/>
      <c r="Z36" s="384">
        <v>23346081.149999999</v>
      </c>
      <c r="AA36" s="530">
        <f t="shared" si="15"/>
        <v>1.1900000000000001E-2</v>
      </c>
      <c r="AB36" s="372">
        <f t="shared" si="18"/>
        <v>277818.36568500003</v>
      </c>
      <c r="AC36" s="372"/>
      <c r="AD36" s="372">
        <f>+'E3 - Invest Amort deferred tax'!AL26</f>
        <v>286742.92875000008</v>
      </c>
      <c r="AE36" s="373"/>
      <c r="AF36" s="373">
        <f>(D36+F36)*'Capital Structure '!$F$21/12</f>
        <v>20295.197728970143</v>
      </c>
      <c r="AG36" s="373">
        <f>(D36+F36)*'Capital Structure '!$E$34/12</f>
        <v>29830.738258597517</v>
      </c>
      <c r="AH36" s="373">
        <f>(D36+F36)*'Capital Structure '!$F$18/12</f>
        <v>43194.324797944762</v>
      </c>
      <c r="AI36" s="372">
        <f t="shared" si="19"/>
        <v>93320.260785512422</v>
      </c>
      <c r="AJ36" s="373"/>
      <c r="AK36" s="372">
        <v>0</v>
      </c>
      <c r="AL36" s="372">
        <f t="shared" ref="AK36:AL38" si="21">+AL35</f>
        <v>0</v>
      </c>
      <c r="AM36" s="373">
        <f t="shared" si="16"/>
        <v>380063.18953551247</v>
      </c>
      <c r="AO36" s="372">
        <f>+'RGGI - Invest Amort deferred'!AG9</f>
        <v>35960.922666666665</v>
      </c>
      <c r="AP36" s="373"/>
      <c r="AQ36" s="373">
        <f>(H36+J36)*'Capital Structure '!$F$21/12</f>
        <v>4137.4286543522294</v>
      </c>
      <c r="AR36" s="373">
        <f>(H36+J36)*'Capital Structure '!$E$34/12</f>
        <v>6081.3672721909306</v>
      </c>
      <c r="AS36" s="373">
        <f>(H36+J36)*'Capital Structure '!$F$18/12</f>
        <v>8805.7007135885815</v>
      </c>
      <c r="AT36" s="373">
        <f>'RGGI - On-bill financing'!J9*'Capital Structure '!$E$34/12</f>
        <v>1086.790070363739</v>
      </c>
      <c r="AU36" s="373">
        <f>'RGGI - On-bill financing'!J9*('Capital Structure '!$F$18+'Capital Structure '!$F$21)/12</f>
        <v>2313.0430784595014</v>
      </c>
      <c r="AV36" s="372">
        <f t="shared" si="11"/>
        <v>22424.329788954983</v>
      </c>
      <c r="AW36" s="373"/>
      <c r="AX36" s="389">
        <v>317175.65000000002</v>
      </c>
      <c r="AY36" s="373">
        <f t="shared" si="0"/>
        <v>375560.90245562169</v>
      </c>
      <c r="AZ36" s="373"/>
      <c r="BA36" s="373"/>
      <c r="BB36" s="373"/>
      <c r="BC36" s="373"/>
      <c r="BD36" s="373"/>
      <c r="BE36" s="373"/>
      <c r="BF36" s="373"/>
      <c r="BG36" s="373"/>
      <c r="BH36" s="373"/>
      <c r="BI36" s="373"/>
      <c r="BM36" s="373"/>
      <c r="BN36" s="373"/>
      <c r="BO36" s="373"/>
      <c r="BP36" s="373"/>
      <c r="BQ36" s="373"/>
      <c r="BR36" s="373"/>
      <c r="BS36" s="373"/>
      <c r="BT36" s="373"/>
      <c r="BU36" s="373"/>
      <c r="CY36" s="373">
        <f t="shared" si="12"/>
        <v>477805.72630613419</v>
      </c>
      <c r="CZ36" s="373">
        <f t="shared" si="17"/>
        <v>-6824982.9738957081</v>
      </c>
      <c r="DA36" s="373">
        <f t="shared" si="13"/>
        <v>-4178288.4726143503</v>
      </c>
      <c r="DB36" s="375">
        <v>2E-3</v>
      </c>
      <c r="DC36" s="372">
        <f t="shared" si="14"/>
        <v>-696.38141210239166</v>
      </c>
      <c r="DE36" s="353"/>
      <c r="DF36" s="353"/>
      <c r="DG36" s="353"/>
      <c r="DH36" s="353"/>
      <c r="DI36" s="394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  <c r="EN36" s="353"/>
      <c r="EO36" s="353"/>
      <c r="EP36" s="353"/>
      <c r="EQ36" s="353"/>
      <c r="ER36" s="353"/>
      <c r="ES36" s="353"/>
      <c r="ET36" s="353"/>
      <c r="EU36" s="353"/>
      <c r="EV36" s="353"/>
      <c r="EW36" s="353"/>
      <c r="EX36" s="353"/>
      <c r="EY36" s="353"/>
      <c r="EZ36" s="353"/>
      <c r="FA36" s="353"/>
      <c r="FB36" s="353"/>
      <c r="FC36" s="353"/>
      <c r="FD36" s="353"/>
      <c r="FE36" s="353"/>
      <c r="FF36" s="353"/>
      <c r="FG36" s="353"/>
      <c r="FH36" s="353"/>
      <c r="FI36" s="353"/>
      <c r="FJ36" s="353"/>
      <c r="FK36" s="353"/>
      <c r="FL36" s="353"/>
      <c r="FM36" s="353"/>
      <c r="FN36" s="353"/>
      <c r="FO36" s="353"/>
      <c r="FP36" s="353"/>
      <c r="FQ36" s="353"/>
    </row>
    <row r="37" spans="1:173" s="351" customFormat="1" hidden="1" outlineLevel="1">
      <c r="A37" s="356" t="s">
        <v>58</v>
      </c>
      <c r="B37" s="356">
        <f t="shared" si="20"/>
        <v>2011</v>
      </c>
      <c r="C37" s="392" t="s">
        <v>47</v>
      </c>
      <c r="D37" s="393">
        <f>+'E3 - Invest Amort deferred tax'!AO27+'E3 - Financing upfront'!H27+'E3 - Financing upfront'!Q27+'E3 - Financing upfront'!Z27</f>
        <v>11890256.985208336</v>
      </c>
      <c r="E37" s="373">
        <f>+'E3 - Invest Amort deferred tax'!AN27</f>
        <v>11397757.119583335</v>
      </c>
      <c r="F37" s="393">
        <f>+'E3 - Invest Amort deferred tax'!BT27</f>
        <v>-2888847.1603268743</v>
      </c>
      <c r="G37" s="394"/>
      <c r="H37" s="393">
        <f>+'RGGI - Invest Amort deferred'!AJ10</f>
        <v>2876997.8306666669</v>
      </c>
      <c r="I37" s="373">
        <f>+'RGGI - Invest Amort deferred'!AI10</f>
        <v>2827835.9813333331</v>
      </c>
      <c r="J37" s="393">
        <f>+'RGGI - Invest Amort deferred'!BL10</f>
        <v>-199143.71514133332</v>
      </c>
      <c r="K37" s="393"/>
      <c r="L37" s="393"/>
      <c r="M37" s="393"/>
      <c r="N37" s="393"/>
      <c r="O37" s="394"/>
      <c r="P37" s="374"/>
      <c r="Q37" s="374"/>
      <c r="R37" s="374"/>
      <c r="S37" s="374"/>
      <c r="T37" s="394"/>
      <c r="U37" s="394"/>
      <c r="V37" s="394"/>
      <c r="W37" s="394"/>
      <c r="X37" s="394"/>
      <c r="Y37" s="394"/>
      <c r="Z37" s="384">
        <v>18283881.380000003</v>
      </c>
      <c r="AA37" s="530">
        <f t="shared" si="15"/>
        <v>1.1900000000000001E-2</v>
      </c>
      <c r="AB37" s="372">
        <f t="shared" si="18"/>
        <v>217578.18842200004</v>
      </c>
      <c r="AC37" s="372"/>
      <c r="AD37" s="372">
        <f>+'E3 - Invest Amort deferred tax'!AL27</f>
        <v>292918.90562500007</v>
      </c>
      <c r="AE37" s="373"/>
      <c r="AF37" s="373">
        <f>(D37+F37)*'Capital Structure '!$F$21/12</f>
        <v>18601.907406347058</v>
      </c>
      <c r="AG37" s="373">
        <f>(D37+F37)*'Capital Structure '!$E$34/12</f>
        <v>27341.868670602202</v>
      </c>
      <c r="AH37" s="373">
        <f>(D37+F37)*'Capital Structure '!$F$18/12</f>
        <v>39590.490376159622</v>
      </c>
      <c r="AI37" s="372">
        <f t="shared" si="19"/>
        <v>85534.266453108881</v>
      </c>
      <c r="AJ37" s="373"/>
      <c r="AK37" s="372">
        <f t="shared" si="21"/>
        <v>0</v>
      </c>
      <c r="AL37" s="372">
        <f t="shared" si="21"/>
        <v>0</v>
      </c>
      <c r="AM37" s="373">
        <f t="shared" si="16"/>
        <v>378453.17207810894</v>
      </c>
      <c r="AO37" s="372">
        <f>+'RGGI - Invest Amort deferred'!AG10</f>
        <v>49161.849333333332</v>
      </c>
      <c r="AP37" s="373"/>
      <c r="AQ37" s="373">
        <f>(H37+J37)*'Capital Structure '!$F$21/12</f>
        <v>5533.9324921097714</v>
      </c>
      <c r="AR37" s="373">
        <f>(H37+J37)*'Capital Structure '!$E$34/12</f>
        <v>8134.0075577204916</v>
      </c>
      <c r="AS37" s="373">
        <f>(H37+J37)*'Capital Structure '!$F$18/12</f>
        <v>11777.883648449622</v>
      </c>
      <c r="AT37" s="373">
        <f>'RGGI - On-bill financing'!J10*'Capital Structure '!$E$34/12</f>
        <v>1493.9387367447518</v>
      </c>
      <c r="AU37" s="373">
        <f>'RGGI - On-bill financing'!J10*('Capital Structure '!$F$18+'Capital Structure '!$F$21)/12</f>
        <v>3179.5879893468659</v>
      </c>
      <c r="AV37" s="372">
        <f t="shared" si="11"/>
        <v>30119.350424371503</v>
      </c>
      <c r="AW37" s="373"/>
      <c r="AX37" s="389">
        <v>357348.26999999996</v>
      </c>
      <c r="AY37" s="373">
        <f t="shared" si="0"/>
        <v>436629.46975770476</v>
      </c>
      <c r="AZ37" s="373"/>
      <c r="BA37" s="373"/>
      <c r="BB37" s="373"/>
      <c r="BC37" s="373"/>
      <c r="BD37" s="373"/>
      <c r="BE37" s="373"/>
      <c r="BF37" s="373"/>
      <c r="BG37" s="373"/>
      <c r="BH37" s="373"/>
      <c r="BI37" s="373"/>
      <c r="BM37" s="373"/>
      <c r="BN37" s="373"/>
      <c r="BO37" s="373"/>
      <c r="BP37" s="373"/>
      <c r="BQ37" s="373"/>
      <c r="BR37" s="373"/>
      <c r="BS37" s="373"/>
      <c r="BT37" s="373"/>
      <c r="BU37" s="373"/>
      <c r="CY37" s="373">
        <f t="shared" si="12"/>
        <v>597504.45341381361</v>
      </c>
      <c r="CZ37" s="373">
        <f t="shared" si="17"/>
        <v>-6227478.5204818947</v>
      </c>
      <c r="DA37" s="373">
        <f t="shared" si="13"/>
        <v>-3860265.4869621759</v>
      </c>
      <c r="DB37" s="375">
        <v>2E-3</v>
      </c>
      <c r="DC37" s="372">
        <f t="shared" si="14"/>
        <v>-643.37758116036264</v>
      </c>
      <c r="DE37" s="353"/>
      <c r="DF37" s="353"/>
      <c r="DG37" s="353"/>
      <c r="DH37" s="353"/>
      <c r="DI37" s="394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  <c r="EN37" s="353"/>
      <c r="EO37" s="353"/>
      <c r="EP37" s="353"/>
      <c r="EQ37" s="353"/>
      <c r="ER37" s="353"/>
      <c r="ES37" s="353"/>
      <c r="ET37" s="353"/>
      <c r="EU37" s="353"/>
      <c r="EV37" s="353"/>
      <c r="EW37" s="353"/>
      <c r="EX37" s="353"/>
      <c r="EY37" s="353"/>
      <c r="EZ37" s="353"/>
      <c r="FA37" s="353"/>
      <c r="FB37" s="353"/>
      <c r="FC37" s="353"/>
      <c r="FD37" s="353"/>
      <c r="FE37" s="353"/>
      <c r="FF37" s="353"/>
      <c r="FG37" s="353"/>
      <c r="FH37" s="353"/>
      <c r="FI37" s="353"/>
      <c r="FJ37" s="353"/>
      <c r="FK37" s="353"/>
      <c r="FL37" s="353"/>
      <c r="FM37" s="353"/>
      <c r="FN37" s="353"/>
      <c r="FO37" s="353"/>
      <c r="FP37" s="353"/>
      <c r="FQ37" s="353"/>
    </row>
    <row r="38" spans="1:173" s="351" customFormat="1" hidden="1" outlineLevel="1">
      <c r="A38" s="356" t="s">
        <v>59</v>
      </c>
      <c r="B38" s="356">
        <f t="shared" si="20"/>
        <v>2011</v>
      </c>
      <c r="C38" s="392" t="s">
        <v>47</v>
      </c>
      <c r="D38" s="393">
        <f>+'E3 - Invest Amort deferred tax'!AO28+'E3 - Financing upfront'!H28+'E3 - Financing upfront'!Q28+'E3 - Financing upfront'!Z28</f>
        <v>11570877.849583335</v>
      </c>
      <c r="E38" s="373">
        <f>+'E3 - Invest Amort deferred tax'!AN28</f>
        <v>11104838.213958336</v>
      </c>
      <c r="F38" s="393">
        <f>+'E3 - Invest Amort deferred tax'!BT28</f>
        <v>-3139272.0008044783</v>
      </c>
      <c r="G38" s="394"/>
      <c r="H38" s="393">
        <f>+'RGGI - Invest Amort deferred'!AJ11</f>
        <v>3447080.9813333331</v>
      </c>
      <c r="I38" s="373">
        <f>+'RGGI - Invest Amort deferred'!AI11</f>
        <v>3387598.3820000002</v>
      </c>
      <c r="J38" s="393">
        <f>+'RGGI - Invest Amort deferred'!BL11</f>
        <v>-296338.28245200001</v>
      </c>
      <c r="K38" s="393"/>
      <c r="L38" s="393"/>
      <c r="M38" s="393"/>
      <c r="N38" s="393"/>
      <c r="O38" s="394"/>
      <c r="P38" s="374"/>
      <c r="Q38" s="374"/>
      <c r="R38" s="374"/>
      <c r="S38" s="374"/>
      <c r="T38" s="394"/>
      <c r="U38" s="394"/>
      <c r="V38" s="394"/>
      <c r="W38" s="394"/>
      <c r="X38" s="394"/>
      <c r="Y38" s="394"/>
      <c r="Z38" s="384">
        <v>16910385</v>
      </c>
      <c r="AA38" s="530">
        <f t="shared" si="15"/>
        <v>1.1900000000000001E-2</v>
      </c>
      <c r="AB38" s="372">
        <f t="shared" si="18"/>
        <v>201233.5815</v>
      </c>
      <c r="AC38" s="372"/>
      <c r="AD38" s="372">
        <f>+'E3 - Invest Amort deferred tax'!AL28</f>
        <v>292918.90562500007</v>
      </c>
      <c r="AE38" s="373"/>
      <c r="AF38" s="373">
        <f>(D38+F38)*'Capital Structure '!$F$21/12</f>
        <v>17424.376218517973</v>
      </c>
      <c r="AG38" s="373">
        <f>(D38+F38)*'Capital Structure '!$E$34/12</f>
        <v>25611.083628516917</v>
      </c>
      <c r="AH38" s="373">
        <f>(D38+F38)*'Capital Structure '!$F$18/12</f>
        <v>37084.347530643223</v>
      </c>
      <c r="AI38" s="372">
        <f t="shared" si="19"/>
        <v>80119.807377678109</v>
      </c>
      <c r="AJ38" s="373"/>
      <c r="AK38" s="372">
        <f t="shared" si="21"/>
        <v>0</v>
      </c>
      <c r="AL38" s="372">
        <v>21173</v>
      </c>
      <c r="AM38" s="373">
        <f t="shared" si="16"/>
        <v>394211.71300267818</v>
      </c>
      <c r="AO38" s="372">
        <f>+'RGGI - Invest Amort deferred'!AG11</f>
        <v>59482.599333333332</v>
      </c>
      <c r="AP38" s="373"/>
      <c r="AQ38" s="373">
        <f>(H38+J38)*'Capital Structure '!$F$21/12</f>
        <v>6511.182702048166</v>
      </c>
      <c r="AR38" s="373">
        <f>(H38+J38)*'Capital Structure '!$E$34/12</f>
        <v>9570.4111648762319</v>
      </c>
      <c r="AS38" s="373">
        <f>(H38+J38)*'Capital Structure '!$F$18/12</f>
        <v>13857.767941307937</v>
      </c>
      <c r="AT38" s="373">
        <f>'RGGI - On-bill financing'!J11*'Capital Structure '!$E$34/12</f>
        <v>2090.390194943689</v>
      </c>
      <c r="AU38" s="373">
        <f>'RGGI - On-bill financing'!J11*('Capital Structure '!$F$18+'Capital Structure '!$F$21)/12</f>
        <v>4449.030869481373</v>
      </c>
      <c r="AV38" s="372">
        <f t="shared" si="11"/>
        <v>36478.782872657401</v>
      </c>
      <c r="AW38" s="373"/>
      <c r="AX38" s="389">
        <v>240323</v>
      </c>
      <c r="AY38" s="373">
        <f t="shared" si="0"/>
        <v>336284.38220599073</v>
      </c>
      <c r="AZ38" s="373"/>
      <c r="BA38" s="373"/>
      <c r="BB38" s="373"/>
      <c r="BC38" s="373"/>
      <c r="BD38" s="373"/>
      <c r="BE38" s="373"/>
      <c r="BF38" s="373"/>
      <c r="BG38" s="373"/>
      <c r="BH38" s="373"/>
      <c r="BI38" s="373"/>
      <c r="BM38" s="373"/>
      <c r="BN38" s="373"/>
      <c r="BO38" s="373"/>
      <c r="BP38" s="373"/>
      <c r="BQ38" s="373"/>
      <c r="BR38" s="373"/>
      <c r="BS38" s="373"/>
      <c r="BT38" s="373"/>
      <c r="BU38" s="373"/>
      <c r="CY38" s="373">
        <f t="shared" si="12"/>
        <v>529262.51370866888</v>
      </c>
      <c r="CZ38" s="373">
        <f t="shared" si="17"/>
        <v>-5698216.006773226</v>
      </c>
      <c r="DA38" s="373">
        <f t="shared" si="13"/>
        <v>-3527024.1564357025</v>
      </c>
      <c r="DB38" s="375">
        <v>2E-3</v>
      </c>
      <c r="DC38" s="372">
        <f t="shared" si="14"/>
        <v>-587.83735940595045</v>
      </c>
      <c r="DE38" s="353"/>
      <c r="DF38" s="353"/>
      <c r="DG38" s="353"/>
      <c r="DH38" s="353"/>
      <c r="DI38" s="394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  <c r="EN38" s="353"/>
      <c r="EO38" s="353"/>
      <c r="EP38" s="353"/>
      <c r="EQ38" s="353"/>
      <c r="ER38" s="353"/>
      <c r="ES38" s="353"/>
      <c r="ET38" s="353"/>
      <c r="EU38" s="353"/>
      <c r="EV38" s="353"/>
      <c r="EW38" s="353"/>
      <c r="EX38" s="353"/>
      <c r="EY38" s="353"/>
      <c r="EZ38" s="353"/>
      <c r="FA38" s="353"/>
      <c r="FB38" s="353"/>
      <c r="FC38" s="353"/>
      <c r="FD38" s="353"/>
      <c r="FE38" s="353"/>
      <c r="FF38" s="353"/>
      <c r="FG38" s="353"/>
      <c r="FH38" s="353"/>
      <c r="FI38" s="353"/>
      <c r="FJ38" s="353"/>
      <c r="FK38" s="353"/>
      <c r="FL38" s="353"/>
      <c r="FM38" s="353"/>
      <c r="FN38" s="353"/>
      <c r="FO38" s="353"/>
      <c r="FP38" s="353"/>
      <c r="FQ38" s="353"/>
    </row>
    <row r="39" spans="1:173" s="351" customFormat="1" hidden="1" outlineLevel="1">
      <c r="A39" s="356" t="s">
        <v>46</v>
      </c>
      <c r="B39" s="356">
        <f t="shared" si="20"/>
        <v>2011</v>
      </c>
      <c r="C39" s="392" t="s">
        <v>47</v>
      </c>
      <c r="D39" s="393">
        <f>+'E3 - Invest Amort deferred tax'!AO29+'E3 - Financing upfront'!H29+'E3 - Financing upfront'!Q29+'E3 - Financing upfront'!Z29</f>
        <v>11277959.213958336</v>
      </c>
      <c r="E39" s="373">
        <f>+'E3 - Invest Amort deferred tax'!AN29</f>
        <v>10811919.308333335</v>
      </c>
      <c r="F39" s="393">
        <f>+'E3 - Invest Amort deferred tax'!BT29</f>
        <v>-3351954.3542274991</v>
      </c>
      <c r="G39" s="394"/>
      <c r="H39" s="393">
        <f>+'RGGI - Invest Amort deferred'!AJ12</f>
        <v>4144642.3820000002</v>
      </c>
      <c r="I39" s="373">
        <f>+'RGGI - Invest Amort deferred'!AI12</f>
        <v>4072542.3826666665</v>
      </c>
      <c r="J39" s="393">
        <f>+'RGGI - Invest Amort deferred'!BL12</f>
        <v>-414149.68136266666</v>
      </c>
      <c r="K39" s="393"/>
      <c r="L39" s="393"/>
      <c r="M39" s="393"/>
      <c r="N39" s="393"/>
      <c r="O39" s="394"/>
      <c r="P39" s="374"/>
      <c r="Q39" s="374"/>
      <c r="R39" s="374"/>
      <c r="S39" s="374"/>
      <c r="T39" s="394"/>
      <c r="U39" s="394"/>
      <c r="V39" s="394"/>
      <c r="W39" s="394"/>
      <c r="X39" s="394"/>
      <c r="Y39" s="394"/>
      <c r="Z39" s="384">
        <v>17114967</v>
      </c>
      <c r="AA39" s="530">
        <f>+AA38</f>
        <v>1.1900000000000001E-2</v>
      </c>
      <c r="AB39" s="372">
        <f t="shared" si="18"/>
        <v>203668.1073</v>
      </c>
      <c r="AC39" s="372"/>
      <c r="AD39" s="372">
        <f>+'E3 - Invest Amort deferred tax'!AL29</f>
        <v>292918.90562500007</v>
      </c>
      <c r="AE39" s="373"/>
      <c r="AF39" s="373">
        <f>(D39+F39)*'Capital Structure '!$F$21/12</f>
        <v>16379.524026938903</v>
      </c>
      <c r="AG39" s="373">
        <f>(D39+F39)*'Capital Structure '!$E$34/12</f>
        <v>24075.315775345138</v>
      </c>
      <c r="AH39" s="373">
        <f>(D39+F39)*'Capital Structure '!$F$18/12</f>
        <v>34860.585755487518</v>
      </c>
      <c r="AI39" s="372">
        <f t="shared" si="19"/>
        <v>75315.425557771552</v>
      </c>
      <c r="AJ39" s="373"/>
      <c r="AK39" s="372">
        <v>0</v>
      </c>
      <c r="AL39" s="372">
        <v>0</v>
      </c>
      <c r="AM39" s="373">
        <f t="shared" si="16"/>
        <v>368234.3311827716</v>
      </c>
      <c r="AO39" s="372">
        <f>+'RGGI - Invest Amort deferred'!AG12</f>
        <v>72099.999333333326</v>
      </c>
      <c r="AP39" s="373"/>
      <c r="AQ39" s="373">
        <f>(H39+J39)*'Capital Structure '!$F$21/12</f>
        <v>7709.2678977343521</v>
      </c>
      <c r="AR39" s="373">
        <f>(H39+J39)*'Capital Structure '!$E$34/12</f>
        <v>11331.407355270521</v>
      </c>
      <c r="AS39" s="373">
        <f>(H39+J39)*'Capital Structure '!$F$18/12</f>
        <v>16407.65593792537</v>
      </c>
      <c r="AT39" s="373">
        <f>'RGGI - On-bill financing'!J12*'Capital Structure '!$E$34/12</f>
        <v>2923.2419120381801</v>
      </c>
      <c r="AU39" s="373">
        <f>'RGGI - On-bill financing'!J12*('Capital Structure '!$F$18+'Capital Structure '!$F$21)/12</f>
        <v>6221.6104615674203</v>
      </c>
      <c r="AV39" s="372">
        <f>SUM(AQ39:AU39)-1221</f>
        <v>43372.183564535844</v>
      </c>
      <c r="AW39" s="373"/>
      <c r="AX39" s="389">
        <v>258002</v>
      </c>
      <c r="AY39" s="373">
        <f t="shared" si="0"/>
        <v>373474.18289786921</v>
      </c>
      <c r="AZ39" s="373"/>
      <c r="BA39" s="373"/>
      <c r="BB39" s="373"/>
      <c r="BC39" s="373"/>
      <c r="BD39" s="373"/>
      <c r="BE39" s="373"/>
      <c r="BF39" s="373"/>
      <c r="BG39" s="373"/>
      <c r="BH39" s="373"/>
      <c r="BI39" s="373"/>
      <c r="BM39" s="373"/>
      <c r="BN39" s="373"/>
      <c r="BO39" s="373"/>
      <c r="BP39" s="373"/>
      <c r="BQ39" s="373"/>
      <c r="BR39" s="373"/>
      <c r="BS39" s="373"/>
      <c r="BT39" s="373"/>
      <c r="BU39" s="373"/>
      <c r="CY39" s="373">
        <f t="shared" si="12"/>
        <v>538040.40678064083</v>
      </c>
      <c r="CZ39" s="373">
        <f t="shared" si="17"/>
        <v>-5160175.5999925854</v>
      </c>
      <c r="DA39" s="373">
        <f t="shared" si="13"/>
        <v>-3211369.3177009886</v>
      </c>
      <c r="DB39" s="375">
        <v>2E-3</v>
      </c>
      <c r="DC39" s="372">
        <f t="shared" si="14"/>
        <v>-535.22821961683144</v>
      </c>
      <c r="DE39" s="353"/>
      <c r="DF39" s="353"/>
      <c r="DG39" s="353"/>
      <c r="DH39" s="353"/>
      <c r="DI39" s="394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  <c r="EN39" s="353"/>
      <c r="EO39" s="353"/>
      <c r="EP39" s="353"/>
      <c r="EQ39" s="353"/>
      <c r="ER39" s="353"/>
      <c r="ES39" s="353"/>
      <c r="ET39" s="353"/>
      <c r="EU39" s="353"/>
      <c r="EV39" s="353"/>
      <c r="EW39" s="353"/>
      <c r="EX39" s="353"/>
      <c r="EY39" s="353"/>
      <c r="EZ39" s="353"/>
      <c r="FA39" s="353"/>
      <c r="FB39" s="353"/>
      <c r="FC39" s="353"/>
      <c r="FD39" s="353"/>
      <c r="FE39" s="353"/>
      <c r="FF39" s="353"/>
      <c r="FG39" s="353"/>
      <c r="FH39" s="353"/>
      <c r="FI39" s="353"/>
      <c r="FJ39" s="353"/>
      <c r="FK39" s="353"/>
      <c r="FL39" s="353"/>
      <c r="FM39" s="353"/>
      <c r="FN39" s="353"/>
      <c r="FO39" s="353"/>
      <c r="FP39" s="353"/>
      <c r="FQ39" s="353"/>
    </row>
    <row r="40" spans="1:173" s="351" customFormat="1" ht="17.25" hidden="1" outlineLevel="1">
      <c r="A40" s="356" t="s">
        <v>48</v>
      </c>
      <c r="B40" s="356">
        <f t="shared" si="20"/>
        <v>2011</v>
      </c>
      <c r="C40" s="392" t="s">
        <v>47</v>
      </c>
      <c r="D40" s="393">
        <f>+'E3 - Invest Amort deferred tax'!AO30+'E3 - Financing upfront'!H30+'E3 - Financing upfront'!Q30+'E3 - Financing upfront'!Z30</f>
        <v>10811919.038333336</v>
      </c>
      <c r="E40" s="373">
        <f>+'E3 - Invest Amort deferred tax'!AN30</f>
        <v>10519000.402708335</v>
      </c>
      <c r="F40" s="394">
        <f>+'E3 - Invest Amort deferred tax'!BT30</f>
        <v>-3505079.40215177</v>
      </c>
      <c r="G40" s="394"/>
      <c r="H40" s="393">
        <f>+'RGGI - Invest Amort deferred'!AJ13</f>
        <v>4756286.382666667</v>
      </c>
      <c r="I40" s="373">
        <f>+'RGGI - Invest Amort deferred'!AI13</f>
        <v>4672790.6500000004</v>
      </c>
      <c r="J40" s="394">
        <f>+'RGGI - Invest Amort deferred'!BL13</f>
        <v>-550581.70854000002</v>
      </c>
      <c r="K40" s="401"/>
      <c r="L40" s="401"/>
      <c r="M40" s="401"/>
      <c r="N40" s="393"/>
      <c r="O40" s="394"/>
      <c r="P40" s="391"/>
      <c r="Q40" s="391"/>
      <c r="R40" s="374"/>
      <c r="S40" s="374"/>
      <c r="T40" s="394"/>
      <c r="U40" s="394"/>
      <c r="V40" s="394"/>
      <c r="W40" s="394"/>
      <c r="X40" s="394"/>
      <c r="Y40" s="394"/>
      <c r="Z40" s="531">
        <v>17314228</v>
      </c>
      <c r="AA40" s="530">
        <f>+AA39</f>
        <v>1.1900000000000001E-2</v>
      </c>
      <c r="AB40" s="383">
        <f t="shared" si="18"/>
        <v>206039.3132</v>
      </c>
      <c r="AC40" s="377"/>
      <c r="AD40" s="383">
        <f>+'E3 - Invest Amort deferred tax'!AL30</f>
        <v>292918.90562500007</v>
      </c>
      <c r="AE40" s="373"/>
      <c r="AF40" s="378">
        <f>(D40+F40)*'Capital Structure '!$F$21/12</f>
        <v>15099.985112283901</v>
      </c>
      <c r="AG40" s="378">
        <f>(D40+F40)*'Capital Structure '!$E$34/12</f>
        <v>22194.595470744283</v>
      </c>
      <c r="AH40" s="378">
        <f>(D40+F40)*'Capital Structure '!$F$18/12</f>
        <v>32137.339586157264</v>
      </c>
      <c r="AI40" s="377">
        <f t="shared" si="19"/>
        <v>69431.92016918544</v>
      </c>
      <c r="AJ40" s="378"/>
      <c r="AK40" s="383">
        <v>0</v>
      </c>
      <c r="AL40" s="383">
        <v>1747</v>
      </c>
      <c r="AM40" s="379">
        <f t="shared" si="16"/>
        <v>364097.82579418551</v>
      </c>
      <c r="AO40" s="383">
        <f>+'RGGI - Invest Amort deferred'!AG13</f>
        <v>83495.732666666663</v>
      </c>
      <c r="AP40" s="373"/>
      <c r="AQ40" s="379">
        <f>(H40+J40)*'Capital Structure '!$F$21/12</f>
        <v>8691.3195208924426</v>
      </c>
      <c r="AR40" s="379">
        <f>(H40+J40)*'Capital Structure '!$E$34/12</f>
        <v>12774.868282238609</v>
      </c>
      <c r="AS40" s="379">
        <f>(H40+J40)*'Capital Structure '!$F$18/12</f>
        <v>18497.759091662516</v>
      </c>
      <c r="AT40" s="379">
        <f>'RGGI - On-bill financing'!J13*'Capital Structure '!$E$34/12</f>
        <v>3940.4613487439037</v>
      </c>
      <c r="AU40" s="379">
        <f>'RGGI - On-bill financing'!J13*('Capital Structure '!$F$18+'Capital Structure '!$F$21)/12</f>
        <v>8386.5845826128589</v>
      </c>
      <c r="AV40" s="383">
        <f t="shared" si="11"/>
        <v>52290.99282615033</v>
      </c>
      <c r="AW40" s="378"/>
      <c r="AX40" s="534">
        <v>289438</v>
      </c>
      <c r="AY40" s="379">
        <f t="shared" si="0"/>
        <v>425224.725492817</v>
      </c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M40" s="378"/>
      <c r="BN40" s="378"/>
      <c r="BO40" s="378"/>
      <c r="BP40" s="378"/>
      <c r="BQ40" s="378"/>
      <c r="BR40" s="378"/>
      <c r="BS40" s="378"/>
      <c r="BT40" s="378"/>
      <c r="BU40" s="378"/>
      <c r="CY40" s="373">
        <f t="shared" si="12"/>
        <v>583283.23808700254</v>
      </c>
      <c r="CZ40" s="373">
        <f t="shared" si="17"/>
        <v>-4576892.3619055832</v>
      </c>
      <c r="DA40" s="373">
        <f t="shared" si="13"/>
        <v>-2879737.8497313834</v>
      </c>
      <c r="DB40" s="375">
        <v>2E-3</v>
      </c>
      <c r="DC40" s="383">
        <f t="shared" si="14"/>
        <v>-479.95630828856389</v>
      </c>
      <c r="DE40" s="353"/>
      <c r="DF40" s="353"/>
      <c r="DG40" s="353"/>
      <c r="DH40" s="353"/>
      <c r="DI40" s="394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  <c r="EN40" s="353"/>
      <c r="EO40" s="353"/>
      <c r="EP40" s="353"/>
      <c r="EQ40" s="353"/>
      <c r="ER40" s="353"/>
      <c r="ES40" s="353"/>
      <c r="ET40" s="353"/>
      <c r="EU40" s="353"/>
      <c r="EV40" s="353"/>
      <c r="EW40" s="353"/>
      <c r="EX40" s="353"/>
      <c r="EY40" s="353"/>
      <c r="EZ40" s="353"/>
      <c r="FA40" s="353"/>
      <c r="FB40" s="353"/>
      <c r="FC40" s="353"/>
      <c r="FD40" s="353"/>
      <c r="FE40" s="353"/>
      <c r="FF40" s="353"/>
      <c r="FG40" s="353"/>
      <c r="FH40" s="353"/>
      <c r="FI40" s="353"/>
      <c r="FJ40" s="353"/>
      <c r="FK40" s="353"/>
      <c r="FL40" s="353"/>
      <c r="FM40" s="353"/>
      <c r="FN40" s="353"/>
      <c r="FO40" s="353"/>
      <c r="FP40" s="353"/>
      <c r="FQ40" s="353"/>
    </row>
    <row r="41" spans="1:173" s="351" customFormat="1" ht="17.25" hidden="1" outlineLevel="1">
      <c r="D41" s="373"/>
      <c r="E41" s="373"/>
      <c r="F41" s="393"/>
      <c r="G41" s="394"/>
      <c r="H41" s="373"/>
      <c r="I41" s="373"/>
      <c r="J41" s="393"/>
      <c r="K41" s="393"/>
      <c r="L41" s="393"/>
      <c r="M41" s="393"/>
      <c r="N41" s="401"/>
      <c r="O41" s="394"/>
      <c r="P41" s="374"/>
      <c r="Q41" s="374"/>
      <c r="R41" s="391"/>
      <c r="S41" s="374"/>
      <c r="T41" s="394"/>
      <c r="U41" s="394"/>
      <c r="V41" s="394"/>
      <c r="W41" s="394"/>
      <c r="X41" s="394"/>
      <c r="Y41" s="394"/>
      <c r="Z41" s="394">
        <f>SUM(Z29:Z40)</f>
        <v>661916106.25</v>
      </c>
      <c r="AA41" s="394"/>
      <c r="AB41" s="372">
        <f>SUM(AB29:AB40)</f>
        <v>7876801.6643750006</v>
      </c>
      <c r="AC41" s="372"/>
      <c r="AD41" s="372">
        <f>SUM(AD29:AD40)</f>
        <v>3030368.2002083343</v>
      </c>
      <c r="AE41" s="373"/>
      <c r="AF41" s="373">
        <f>SUM(AF29:AF40)</f>
        <v>238948.1485512756</v>
      </c>
      <c r="AG41" s="373">
        <f>SUM(AG29:AG40)</f>
        <v>351216.07446252188</v>
      </c>
      <c r="AH41" s="384">
        <f>SUM(AH29:AH40)</f>
        <v>508553.9976611546</v>
      </c>
      <c r="AI41" s="372">
        <f>SUM(AI29:AI40)</f>
        <v>1098718.220674952</v>
      </c>
      <c r="AJ41" s="384"/>
      <c r="AK41" s="372">
        <f>SUM(AK29:AK40)</f>
        <v>249805.22</v>
      </c>
      <c r="AL41" s="372">
        <f>SUM(AL29:AL40)</f>
        <v>1022602.23</v>
      </c>
      <c r="AM41" s="373">
        <f>SUM(AM29:AM40)</f>
        <v>5401493.870883286</v>
      </c>
      <c r="AO41" s="372">
        <f>SUM(AO29:AO40)</f>
        <v>336953.31</v>
      </c>
      <c r="AP41" s="373"/>
      <c r="AQ41" s="373">
        <f t="shared" ref="AQ41:AV41" si="22">SUM(AQ29:AQ40)</f>
        <v>36933.211820586075</v>
      </c>
      <c r="AR41" s="373">
        <f t="shared" si="22"/>
        <v>54285.993641568246</v>
      </c>
      <c r="AS41" s="373">
        <f t="shared" si="22"/>
        <v>78605.055664596381</v>
      </c>
      <c r="AT41" s="373">
        <f t="shared" si="22"/>
        <v>12457.49833265961</v>
      </c>
      <c r="AU41" s="373">
        <f t="shared" si="22"/>
        <v>26513.612038831983</v>
      </c>
      <c r="AV41" s="373">
        <f t="shared" si="22"/>
        <v>207574.37149824228</v>
      </c>
      <c r="AW41" s="384"/>
      <c r="AX41" s="372">
        <f>SUM(AX29:AX40)</f>
        <v>2241487.71</v>
      </c>
      <c r="AY41" s="389">
        <f t="shared" si="0"/>
        <v>2786015.3914982425</v>
      </c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K41" s="384"/>
      <c r="BL41" s="384"/>
      <c r="BM41" s="373"/>
      <c r="BN41" s="373"/>
      <c r="BO41" s="373"/>
      <c r="BP41" s="373"/>
      <c r="BQ41" s="373"/>
      <c r="BR41" s="373"/>
      <c r="BS41" s="373"/>
      <c r="BT41" s="373"/>
      <c r="BU41" s="373"/>
      <c r="BW41" s="384"/>
      <c r="BX41" s="384"/>
      <c r="BY41" s="384"/>
      <c r="BZ41" s="384"/>
      <c r="CA41" s="384"/>
      <c r="CB41" s="384"/>
      <c r="CC41" s="384"/>
      <c r="CD41" s="384"/>
      <c r="CE41" s="384"/>
      <c r="CF41" s="384"/>
      <c r="CG41" s="384"/>
      <c r="CH41" s="384"/>
      <c r="CI41" s="384"/>
      <c r="CJ41" s="384"/>
      <c r="CK41" s="384"/>
      <c r="CL41" s="384"/>
      <c r="CM41" s="384"/>
      <c r="CN41" s="384"/>
      <c r="CO41" s="384"/>
      <c r="CP41" s="384"/>
      <c r="CQ41" s="384"/>
      <c r="CR41" s="384"/>
      <c r="CS41" s="384"/>
      <c r="CT41" s="384"/>
      <c r="CU41" s="384"/>
      <c r="CV41" s="384"/>
      <c r="CW41" s="384"/>
      <c r="CX41" s="384"/>
      <c r="CY41" s="373"/>
      <c r="CZ41" s="373"/>
      <c r="DA41" s="373"/>
      <c r="DB41" s="375"/>
      <c r="DC41" s="372">
        <f>SUM(DC29:DC40)</f>
        <v>-7155.9075025005423</v>
      </c>
      <c r="DE41" s="353"/>
      <c r="DF41" s="353"/>
      <c r="DG41" s="353"/>
      <c r="DH41" s="353"/>
      <c r="DI41" s="353"/>
      <c r="DJ41" s="353"/>
      <c r="DK41" s="353"/>
      <c r="DL41" s="353"/>
      <c r="DM41" s="353"/>
      <c r="DN41" s="353"/>
      <c r="DO41" s="353"/>
      <c r="DP41" s="353"/>
      <c r="DQ41" s="353"/>
      <c r="DR41" s="353"/>
      <c r="DS41" s="353"/>
      <c r="DT41" s="353"/>
      <c r="DU41" s="353"/>
      <c r="DV41" s="353"/>
      <c r="DW41" s="353"/>
      <c r="DX41" s="353"/>
      <c r="DY41" s="353"/>
      <c r="DZ41" s="353"/>
      <c r="EA41" s="353"/>
      <c r="EB41" s="353"/>
      <c r="EC41" s="353"/>
      <c r="ED41" s="353"/>
      <c r="EE41" s="353"/>
      <c r="EF41" s="353"/>
      <c r="EG41" s="353"/>
      <c r="EH41" s="353"/>
      <c r="EI41" s="353"/>
      <c r="EJ41" s="353"/>
      <c r="EK41" s="353"/>
      <c r="EL41" s="353"/>
      <c r="EM41" s="353"/>
      <c r="EN41" s="353"/>
      <c r="EO41" s="353"/>
      <c r="EP41" s="353"/>
      <c r="EQ41" s="353"/>
      <c r="ER41" s="353"/>
      <c r="ES41" s="353"/>
      <c r="ET41" s="353"/>
      <c r="EU41" s="353"/>
      <c r="EV41" s="353"/>
      <c r="EW41" s="353"/>
      <c r="EX41" s="353"/>
      <c r="EY41" s="353"/>
      <c r="EZ41" s="353"/>
      <c r="FA41" s="353"/>
      <c r="FB41" s="353"/>
      <c r="FC41" s="353"/>
      <c r="FD41" s="353"/>
      <c r="FE41" s="353"/>
      <c r="FF41" s="353"/>
      <c r="FG41" s="353"/>
      <c r="FH41" s="353"/>
      <c r="FI41" s="353"/>
      <c r="FJ41" s="353"/>
      <c r="FK41" s="353"/>
      <c r="FL41" s="353"/>
      <c r="FM41" s="353"/>
      <c r="FN41" s="353"/>
      <c r="FO41" s="353"/>
      <c r="FP41" s="353"/>
      <c r="FQ41" s="353"/>
    </row>
    <row r="42" spans="1:173" s="351" customFormat="1" hidden="1" outlineLevel="1">
      <c r="D42" s="373"/>
      <c r="E42" s="373"/>
      <c r="F42" s="393"/>
      <c r="G42" s="394"/>
      <c r="H42" s="373"/>
      <c r="I42" s="373"/>
      <c r="J42" s="393"/>
      <c r="K42" s="393"/>
      <c r="L42" s="393"/>
      <c r="M42" s="393"/>
      <c r="N42" s="393"/>
      <c r="O42" s="394"/>
      <c r="P42" s="374"/>
      <c r="Q42" s="374"/>
      <c r="R42" s="374"/>
      <c r="S42" s="374"/>
      <c r="T42" s="394"/>
      <c r="U42" s="394"/>
      <c r="V42" s="394"/>
      <c r="W42" s="394"/>
      <c r="X42" s="394"/>
      <c r="Y42" s="394"/>
      <c r="Z42" s="394"/>
      <c r="AA42" s="394"/>
      <c r="AB42" s="372"/>
      <c r="AC42" s="372"/>
      <c r="AD42" s="372"/>
      <c r="AE42" s="373"/>
      <c r="AF42" s="373"/>
      <c r="AG42" s="373"/>
      <c r="AH42" s="384"/>
      <c r="AI42" s="372"/>
      <c r="AJ42" s="384"/>
      <c r="AK42" s="372"/>
      <c r="AL42" s="372"/>
      <c r="AM42" s="373"/>
      <c r="AO42" s="373"/>
      <c r="AP42" s="373"/>
      <c r="AQ42" s="373"/>
      <c r="AR42" s="373"/>
      <c r="AS42" s="373"/>
      <c r="AT42" s="373"/>
      <c r="AU42" s="373"/>
      <c r="AV42" s="373"/>
      <c r="AW42" s="373"/>
      <c r="AX42" s="373"/>
      <c r="AY42" s="373"/>
      <c r="AZ42" s="373"/>
      <c r="BA42" s="373"/>
      <c r="BB42" s="373"/>
      <c r="BC42" s="373"/>
      <c r="BD42" s="373"/>
      <c r="BE42" s="373"/>
      <c r="BF42" s="373"/>
      <c r="BG42" s="373"/>
      <c r="BH42" s="373"/>
      <c r="BI42" s="373"/>
      <c r="BK42" s="384"/>
      <c r="BL42" s="384"/>
      <c r="BM42" s="373"/>
      <c r="BN42" s="373"/>
      <c r="BO42" s="373"/>
      <c r="BP42" s="373"/>
      <c r="BQ42" s="373"/>
      <c r="BR42" s="373"/>
      <c r="BS42" s="373"/>
      <c r="BT42" s="373"/>
      <c r="BU42" s="373"/>
      <c r="BW42" s="384"/>
      <c r="BX42" s="384"/>
      <c r="BY42" s="384"/>
      <c r="BZ42" s="384"/>
      <c r="CA42" s="384"/>
      <c r="CB42" s="384"/>
      <c r="CC42" s="384"/>
      <c r="CD42" s="384"/>
      <c r="CE42" s="384"/>
      <c r="CF42" s="384"/>
      <c r="CG42" s="384"/>
      <c r="CH42" s="384"/>
      <c r="CI42" s="384"/>
      <c r="CJ42" s="384"/>
      <c r="CK42" s="384"/>
      <c r="CL42" s="384"/>
      <c r="CM42" s="384"/>
      <c r="CN42" s="384"/>
      <c r="CO42" s="384"/>
      <c r="CP42" s="384"/>
      <c r="CQ42" s="384"/>
      <c r="CR42" s="384"/>
      <c r="CS42" s="384"/>
      <c r="CT42" s="384"/>
      <c r="CU42" s="384"/>
      <c r="CV42" s="384"/>
      <c r="CW42" s="384"/>
      <c r="CX42" s="384"/>
      <c r="CY42" s="373"/>
      <c r="CZ42" s="373"/>
      <c r="DA42" s="373"/>
      <c r="DB42" s="375"/>
      <c r="DC42" s="372"/>
      <c r="DE42" s="353"/>
      <c r="DF42" s="353"/>
      <c r="DG42" s="353"/>
      <c r="DH42" s="353"/>
      <c r="DI42" s="353"/>
      <c r="DJ42" s="353"/>
      <c r="DK42" s="353"/>
      <c r="DL42" s="353"/>
      <c r="DM42" s="353"/>
      <c r="DN42" s="353"/>
      <c r="DO42" s="353"/>
      <c r="DP42" s="353"/>
      <c r="DQ42" s="353"/>
      <c r="DR42" s="353"/>
      <c r="DS42" s="353"/>
      <c r="DT42" s="353"/>
      <c r="DU42" s="353"/>
      <c r="DV42" s="353"/>
      <c r="DW42" s="353"/>
      <c r="DX42" s="353"/>
      <c r="DY42" s="353"/>
      <c r="DZ42" s="353"/>
      <c r="EA42" s="353"/>
      <c r="EB42" s="353"/>
      <c r="EC42" s="353"/>
      <c r="ED42" s="353"/>
      <c r="EE42" s="353"/>
      <c r="EF42" s="353"/>
      <c r="EG42" s="353"/>
      <c r="EH42" s="353"/>
      <c r="EI42" s="353"/>
      <c r="EJ42" s="353"/>
      <c r="EK42" s="353"/>
      <c r="EL42" s="353"/>
      <c r="EM42" s="353"/>
      <c r="EN42" s="353"/>
      <c r="EO42" s="353"/>
      <c r="EP42" s="353"/>
      <c r="EQ42" s="353"/>
      <c r="ER42" s="353"/>
      <c r="ES42" s="353"/>
      <c r="ET42" s="353"/>
      <c r="EU42" s="353"/>
      <c r="EV42" s="353"/>
      <c r="EW42" s="353"/>
      <c r="EX42" s="353"/>
      <c r="EY42" s="353"/>
      <c r="EZ42" s="353"/>
      <c r="FA42" s="353"/>
      <c r="FB42" s="353"/>
      <c r="FC42" s="353"/>
      <c r="FD42" s="353"/>
      <c r="FE42" s="353"/>
      <c r="FF42" s="353"/>
      <c r="FG42" s="353"/>
      <c r="FH42" s="353"/>
      <c r="FI42" s="353"/>
      <c r="FJ42" s="353"/>
      <c r="FK42" s="353"/>
      <c r="FL42" s="353"/>
      <c r="FM42" s="353"/>
      <c r="FN42" s="353"/>
      <c r="FO42" s="353"/>
      <c r="FP42" s="353"/>
      <c r="FQ42" s="353"/>
    </row>
    <row r="43" spans="1:173" s="351" customFormat="1" hidden="1" outlineLevel="1">
      <c r="A43" s="356"/>
      <c r="B43" s="356"/>
      <c r="C43" s="356"/>
      <c r="D43" s="373"/>
      <c r="E43" s="373"/>
      <c r="F43" s="385"/>
      <c r="G43" s="385"/>
      <c r="H43" s="373"/>
      <c r="I43" s="373"/>
      <c r="J43" s="385"/>
      <c r="K43" s="385"/>
      <c r="L43" s="385"/>
      <c r="M43" s="385"/>
      <c r="N43" s="393"/>
      <c r="O43" s="385"/>
      <c r="P43" s="385"/>
      <c r="Q43" s="385"/>
      <c r="R43" s="374"/>
      <c r="S43" s="385"/>
      <c r="T43" s="385"/>
      <c r="U43" s="385"/>
      <c r="V43" s="385"/>
      <c r="W43" s="385"/>
      <c r="X43" s="385"/>
      <c r="Y43" s="385"/>
      <c r="Z43" s="385"/>
      <c r="AA43" s="385"/>
      <c r="AB43" s="372"/>
      <c r="AC43" s="372"/>
      <c r="AD43" s="372"/>
      <c r="AE43" s="373"/>
      <c r="AF43" s="373"/>
      <c r="AG43" s="373"/>
      <c r="AH43" s="373"/>
      <c r="AI43" s="372"/>
      <c r="AJ43" s="373"/>
      <c r="AK43" s="372"/>
      <c r="AL43" s="372"/>
      <c r="AM43" s="373"/>
      <c r="AO43" s="372"/>
      <c r="AP43" s="373"/>
      <c r="AQ43" s="373"/>
      <c r="AR43" s="373"/>
      <c r="AS43" s="373"/>
      <c r="AT43" s="373"/>
      <c r="AU43" s="373"/>
      <c r="AV43" s="372"/>
      <c r="AW43" s="373"/>
      <c r="AX43" s="372"/>
      <c r="AY43" s="373"/>
      <c r="AZ43" s="373"/>
      <c r="BA43" s="373"/>
      <c r="BB43" s="373"/>
      <c r="BC43" s="373"/>
      <c r="BD43" s="373"/>
      <c r="BE43" s="373"/>
      <c r="BF43" s="373"/>
      <c r="BG43" s="373"/>
      <c r="BH43" s="373"/>
      <c r="BI43" s="373"/>
      <c r="BM43" s="373"/>
      <c r="BN43" s="373"/>
      <c r="BO43" s="373"/>
      <c r="BP43" s="373"/>
      <c r="BQ43" s="373"/>
      <c r="BR43" s="373"/>
      <c r="BS43" s="373"/>
      <c r="BT43" s="373"/>
      <c r="BU43" s="373"/>
      <c r="CY43" s="386" t="s">
        <v>49</v>
      </c>
      <c r="CZ43" s="373">
        <f>+CZ40+DC41</f>
        <v>-4584048.2694080835</v>
      </c>
      <c r="DA43" s="373"/>
      <c r="DB43" s="375"/>
      <c r="DC43" s="372"/>
      <c r="DE43" s="353"/>
      <c r="DF43" s="353"/>
      <c r="DG43" s="353"/>
      <c r="DH43" s="353"/>
      <c r="DI43" s="353"/>
      <c r="DJ43" s="353"/>
      <c r="DK43" s="353"/>
      <c r="DL43" s="353"/>
      <c r="DM43" s="353"/>
      <c r="DN43" s="353"/>
      <c r="DO43" s="353"/>
      <c r="DP43" s="353"/>
      <c r="DQ43" s="353"/>
      <c r="DR43" s="353"/>
      <c r="DS43" s="353"/>
      <c r="DT43" s="353"/>
      <c r="DU43" s="353"/>
      <c r="DV43" s="353"/>
      <c r="DW43" s="353"/>
      <c r="DX43" s="353"/>
      <c r="DY43" s="353"/>
      <c r="DZ43" s="353"/>
      <c r="EA43" s="353"/>
      <c r="EB43" s="353"/>
      <c r="EC43" s="353"/>
      <c r="ED43" s="353"/>
      <c r="EE43" s="353"/>
      <c r="EF43" s="353"/>
      <c r="EG43" s="353"/>
      <c r="EH43" s="353"/>
      <c r="EI43" s="353"/>
      <c r="EJ43" s="353"/>
      <c r="EK43" s="353"/>
      <c r="EL43" s="353"/>
      <c r="EM43" s="353"/>
      <c r="EN43" s="353"/>
      <c r="EO43" s="353"/>
      <c r="EP43" s="353"/>
      <c r="EQ43" s="353"/>
      <c r="ER43" s="353"/>
      <c r="ES43" s="353"/>
      <c r="ET43" s="353"/>
      <c r="EU43" s="353"/>
      <c r="EV43" s="353"/>
      <c r="EW43" s="353"/>
      <c r="EX43" s="353"/>
      <c r="EY43" s="353"/>
      <c r="EZ43" s="353"/>
      <c r="FA43" s="353"/>
      <c r="FB43" s="353"/>
      <c r="FC43" s="353"/>
      <c r="FD43" s="353"/>
      <c r="FE43" s="353"/>
      <c r="FF43" s="353"/>
      <c r="FG43" s="353"/>
      <c r="FH43" s="353"/>
      <c r="FI43" s="353"/>
      <c r="FJ43" s="353"/>
      <c r="FK43" s="353"/>
      <c r="FL43" s="353"/>
      <c r="FM43" s="353"/>
      <c r="FN43" s="353"/>
      <c r="FO43" s="353"/>
      <c r="FP43" s="353"/>
      <c r="FQ43" s="353"/>
    </row>
    <row r="44" spans="1:173" s="351" customFormat="1" hidden="1" outlineLevel="1">
      <c r="A44" s="356" t="s">
        <v>50</v>
      </c>
      <c r="B44" s="356">
        <v>2011</v>
      </c>
      <c r="C44" s="392" t="s">
        <v>47</v>
      </c>
      <c r="D44" s="373">
        <f>+'E3 - Invest Amort deferred tax'!AN31+'E3 - Financing upfront'!H31+'E3 - Financing upfront'!Q31</f>
        <v>10226081.227083337</v>
      </c>
      <c r="E44" s="373">
        <f>+'E3 - Invest Amort deferred tax'!AN31</f>
        <v>10226081.497083336</v>
      </c>
      <c r="F44" s="393">
        <f>+'E3 - Invest Amort deferred tax'!BT31</f>
        <v>-3639581.8838172909</v>
      </c>
      <c r="G44" s="394"/>
      <c r="H44" s="373">
        <f>+'RGGI - Invest Amort deferred'!AI14</f>
        <v>5211329.950666667</v>
      </c>
      <c r="I44" s="373">
        <f>+'RGGI - Invest Amort deferred'!AI14</f>
        <v>5211329.950666667</v>
      </c>
      <c r="J44" s="393">
        <f>+'RGGI - Invest Amort deferred'!BL14</f>
        <v>-704240.94325066672</v>
      </c>
      <c r="K44" s="393"/>
      <c r="L44" s="393"/>
      <c r="M44" s="393"/>
      <c r="N44" s="385"/>
      <c r="O44" s="394"/>
      <c r="P44" s="374"/>
      <c r="Q44" s="374"/>
      <c r="R44" s="385"/>
      <c r="S44" s="374"/>
      <c r="T44" s="394"/>
      <c r="U44" s="394"/>
      <c r="V44" s="394"/>
      <c r="W44" s="394"/>
      <c r="X44" s="394"/>
      <c r="Y44" s="394"/>
      <c r="Z44" s="384">
        <v>29419031</v>
      </c>
      <c r="AA44" s="530">
        <f>AA40</f>
        <v>1.1900000000000001E-2</v>
      </c>
      <c r="AB44" s="372">
        <f t="shared" ref="AB44:AB55" si="23">+Z44*AA44</f>
        <v>350086.46890000004</v>
      </c>
      <c r="AC44" s="372"/>
      <c r="AD44" s="372">
        <f>+'E3 - Invest Amort deferred tax'!AL31</f>
        <v>292918.90562500007</v>
      </c>
      <c r="AE44" s="373"/>
      <c r="AF44" s="373">
        <f>(D44+F44)*'Capital Structure '!$F$21/12</f>
        <v>13611.362364229886</v>
      </c>
      <c r="AG44" s="373">
        <f>(D44+F44)*'Capital Structure '!$E$34/12</f>
        <v>20006.554922629515</v>
      </c>
      <c r="AH44" s="373">
        <f>(D44+F44)*'Capital Structure '!$F$18/12</f>
        <v>28969.099722730374</v>
      </c>
      <c r="AI44" s="372">
        <f t="shared" ref="AI44:AI55" si="24">SUM(AF44:AH44)</f>
        <v>62587.017009589777</v>
      </c>
      <c r="AJ44" s="373"/>
      <c r="AK44" s="372">
        <v>0</v>
      </c>
      <c r="AL44" s="372">
        <v>0</v>
      </c>
      <c r="AM44" s="373">
        <f t="shared" ref="AM44:AM55" si="25">+AL44+AI44+AD44+AK44</f>
        <v>355505.92263458984</v>
      </c>
      <c r="AO44" s="372">
        <f>+'RGGI - Invest Amort deferred'!AG14</f>
        <v>94038.699333333323</v>
      </c>
      <c r="AP44" s="373"/>
      <c r="AQ44" s="373">
        <f>(H44+J44)*'Capital Structure '!$F$21/12</f>
        <v>9314.1467858032102</v>
      </c>
      <c r="AR44" s="373">
        <f>(H44+J44)*'Capital Structure '!$E$34/12</f>
        <v>13690.326085014794</v>
      </c>
      <c r="AS44" s="373">
        <f>(H44+J44)*'Capital Structure '!$F$18/12</f>
        <v>19823.32406190025</v>
      </c>
      <c r="AT44" s="373">
        <f>'RGGI - On-bill financing'!J14*'Capital Structure '!$E$34/12</f>
        <v>4946.5695753677801</v>
      </c>
      <c r="AU44" s="373">
        <f>'RGGI - On-bill financing'!J14*('Capital Structure '!$F$18+'Capital Structure '!$F$21)/12</f>
        <v>10527.910431306562</v>
      </c>
      <c r="AV44" s="372">
        <f t="shared" ref="AV44:AV55" si="26">SUM(AQ44:AU44)</f>
        <v>58302.276939392592</v>
      </c>
      <c r="AW44" s="373"/>
      <c r="AX44" s="372">
        <v>226443</v>
      </c>
      <c r="AY44" s="373">
        <f t="shared" si="0"/>
        <v>378783.97627272597</v>
      </c>
      <c r="AZ44" s="373"/>
      <c r="BA44" s="373"/>
      <c r="BB44" s="373"/>
      <c r="BC44" s="373">
        <f>(L44+N44)*'Capital Structure '!$H$21/12</f>
        <v>0</v>
      </c>
      <c r="BD44" s="373"/>
      <c r="BE44" s="373"/>
      <c r="BF44" s="373"/>
      <c r="BG44" s="373"/>
      <c r="BH44" s="372"/>
      <c r="BI44" s="373"/>
      <c r="BM44" s="373"/>
      <c r="BN44" s="373"/>
      <c r="BO44" s="373">
        <v>0</v>
      </c>
      <c r="BP44" s="373"/>
      <c r="BQ44" s="373"/>
      <c r="BR44" s="373"/>
      <c r="BS44" s="373"/>
      <c r="BT44" s="395"/>
      <c r="BU44" s="373"/>
      <c r="CY44" s="373">
        <f t="shared" ref="CY44:CY55" si="27">+BW44+BK44+AY44+AM44-AB44</f>
        <v>384203.43000731576</v>
      </c>
      <c r="CZ44" s="373">
        <f>+CZ43+CY44</f>
        <v>-4199844.8394007673</v>
      </c>
      <c r="DA44" s="373">
        <f t="shared" ref="DA44:DA55" si="28">(CZ43+CZ44)/2*(1-0.4085)</f>
        <v>-2597836.386930218</v>
      </c>
      <c r="DB44" s="375">
        <v>2E-3</v>
      </c>
      <c r="DC44" s="372">
        <f t="shared" ref="DC44:DC55" si="29">(DA44)*DB44/12</f>
        <v>-432.97273115503634</v>
      </c>
      <c r="DE44" s="353"/>
      <c r="DF44" s="353"/>
      <c r="DG44" s="353"/>
      <c r="DH44" s="353"/>
      <c r="DI44" s="353"/>
      <c r="DJ44" s="353"/>
      <c r="DK44" s="353"/>
      <c r="DL44" s="353"/>
      <c r="DM44" s="353"/>
      <c r="DN44" s="353"/>
      <c r="DO44" s="353"/>
      <c r="DP44" s="353"/>
      <c r="DQ44" s="353"/>
      <c r="DR44" s="353"/>
      <c r="DS44" s="353"/>
      <c r="DT44" s="353"/>
      <c r="DU44" s="353"/>
      <c r="DV44" s="353"/>
      <c r="DW44" s="353"/>
      <c r="DX44" s="353"/>
      <c r="DY44" s="353"/>
      <c r="DZ44" s="353"/>
      <c r="EA44" s="353"/>
      <c r="EB44" s="353"/>
      <c r="EC44" s="353"/>
      <c r="ED44" s="353"/>
      <c r="EE44" s="353"/>
      <c r="EF44" s="353"/>
      <c r="EG44" s="353"/>
      <c r="EH44" s="353"/>
      <c r="EI44" s="353"/>
      <c r="EJ44" s="353"/>
      <c r="EK44" s="353"/>
      <c r="EL44" s="353"/>
      <c r="EM44" s="353"/>
      <c r="EN44" s="353"/>
      <c r="EO44" s="353"/>
      <c r="EP44" s="353"/>
      <c r="EQ44" s="353"/>
      <c r="ER44" s="353"/>
      <c r="ES44" s="353"/>
      <c r="ET44" s="353"/>
      <c r="EU44" s="353"/>
      <c r="EV44" s="353"/>
      <c r="EW44" s="353"/>
      <c r="EX44" s="353"/>
      <c r="EY44" s="353"/>
      <c r="EZ44" s="353"/>
      <c r="FA44" s="353"/>
      <c r="FB44" s="353"/>
      <c r="FC44" s="353"/>
      <c r="FD44" s="353"/>
      <c r="FE44" s="353"/>
      <c r="FF44" s="353"/>
      <c r="FG44" s="353"/>
      <c r="FH44" s="353"/>
      <c r="FI44" s="353"/>
      <c r="FJ44" s="353"/>
      <c r="FK44" s="353"/>
      <c r="FL44" s="353"/>
      <c r="FM44" s="353"/>
      <c r="FN44" s="353"/>
      <c r="FO44" s="353"/>
      <c r="FP44" s="353"/>
      <c r="FQ44" s="353"/>
    </row>
    <row r="45" spans="1:173" s="351" customFormat="1" hidden="1" outlineLevel="1">
      <c r="A45" s="356" t="s">
        <v>51</v>
      </c>
      <c r="B45" s="356">
        <f>+B44</f>
        <v>2011</v>
      </c>
      <c r="C45" s="392" t="s">
        <v>47</v>
      </c>
      <c r="D45" s="373">
        <f>+'E3 - Invest Amort deferred tax'!AN32+'E3 - Financing upfront'!H32+'E3 - Financing upfront'!Q32</f>
        <v>9933162.321458336</v>
      </c>
      <c r="E45" s="373">
        <f>+'E3 - Invest Amort deferred tax'!AN32</f>
        <v>9933162.5914583355</v>
      </c>
      <c r="F45" s="393">
        <f>+'E3 - Invest Amort deferred tax'!BT32</f>
        <v>-3715328.0134232282</v>
      </c>
      <c r="G45" s="394"/>
      <c r="H45" s="373">
        <f>+'RGGI - Invest Amort deferred'!AI15</f>
        <v>5946012.1346666664</v>
      </c>
      <c r="I45" s="373">
        <f>+'RGGI - Invest Amort deferred'!AI15</f>
        <v>5946012.1346666664</v>
      </c>
      <c r="J45" s="393">
        <f>+'RGGI - Invest Amort deferred'!BL15</f>
        <v>-880851.53259466682</v>
      </c>
      <c r="K45" s="393"/>
      <c r="L45" s="393"/>
      <c r="M45" s="393"/>
      <c r="N45" s="393"/>
      <c r="O45" s="394"/>
      <c r="P45" s="374"/>
      <c r="Q45" s="374"/>
      <c r="R45" s="374"/>
      <c r="S45" s="374"/>
      <c r="T45" s="394"/>
      <c r="U45" s="394"/>
      <c r="V45" s="394"/>
      <c r="W45" s="394"/>
      <c r="X45" s="394"/>
      <c r="Y45" s="394"/>
      <c r="Z45" s="384">
        <v>51532153</v>
      </c>
      <c r="AA45" s="530">
        <f t="shared" ref="AA45:AA53" si="30">+AA44</f>
        <v>1.1900000000000001E-2</v>
      </c>
      <c r="AB45" s="372">
        <f t="shared" si="23"/>
        <v>613232.62070000009</v>
      </c>
      <c r="AC45" s="372"/>
      <c r="AD45" s="372">
        <f>+'E3 - Invest Amort deferred tax'!AL32</f>
        <v>292918.90562500007</v>
      </c>
      <c r="AE45" s="373"/>
      <c r="AF45" s="373">
        <f>(D45+F45)*'Capital Structure '!$F$21/12</f>
        <v>12849.495836348084</v>
      </c>
      <c r="AG45" s="373">
        <f>(D45+F45)*'Capital Structure '!$E$34/12</f>
        <v>18886.731342453841</v>
      </c>
      <c r="AH45" s="373">
        <f>(D45+F45)*'Capital Structure '!$F$18/12</f>
        <v>27347.61710908555</v>
      </c>
      <c r="AI45" s="372">
        <f t="shared" si="24"/>
        <v>59083.844287887478</v>
      </c>
      <c r="AJ45" s="373"/>
      <c r="AK45" s="372">
        <v>0</v>
      </c>
      <c r="AL45" s="372">
        <v>0</v>
      </c>
      <c r="AM45" s="373">
        <f t="shared" si="25"/>
        <v>352002.74991288758</v>
      </c>
      <c r="AO45" s="372">
        <f>+'RGGI - Invest Amort deferred'!AG15</f>
        <v>108084.81599999999</v>
      </c>
      <c r="AP45" s="373"/>
      <c r="AQ45" s="373">
        <f>(H45+J45)*'Capital Structure '!$F$21/12</f>
        <v>10467.432363492151</v>
      </c>
      <c r="AR45" s="373">
        <f>(H45+J45)*'Capital Structure '!$E$34/12</f>
        <v>15385.473905937259</v>
      </c>
      <c r="AS45" s="373">
        <f>(H45+J45)*'Capital Structure '!$F$18/12</f>
        <v>22277.864909086635</v>
      </c>
      <c r="AT45" s="373">
        <f>'RGGI - On-bill financing'!J15*'Capital Structure '!$E$34/12</f>
        <v>5863.065194054353</v>
      </c>
      <c r="AU45" s="373">
        <f>'RGGI - On-bill financing'!J15*('Capital Structure '!$F$18+'Capital Structure '!$F$21)/12</f>
        <v>12478.51147657736</v>
      </c>
      <c r="AV45" s="372">
        <f t="shared" si="26"/>
        <v>66472.347849147758</v>
      </c>
      <c r="AW45" s="373"/>
      <c r="AX45" s="372">
        <v>223554</v>
      </c>
      <c r="AY45" s="373">
        <f t="shared" si="0"/>
        <v>398111.16384914774</v>
      </c>
      <c r="AZ45" s="373"/>
      <c r="BA45" s="373"/>
      <c r="BB45" s="373"/>
      <c r="BC45" s="373">
        <f>(L45+N45)*'Capital Structure '!$H$21/12</f>
        <v>0</v>
      </c>
      <c r="BD45" s="373"/>
      <c r="BE45" s="373"/>
      <c r="BF45" s="373"/>
      <c r="BG45" s="373"/>
      <c r="BH45" s="372"/>
      <c r="BI45" s="373"/>
      <c r="BM45" s="373"/>
      <c r="BN45" s="373"/>
      <c r="BO45" s="373"/>
      <c r="BP45" s="373"/>
      <c r="BQ45" s="373"/>
      <c r="BR45" s="373"/>
      <c r="BS45" s="373"/>
      <c r="BT45" s="395"/>
      <c r="BU45" s="373"/>
      <c r="CY45" s="373">
        <f t="shared" si="27"/>
        <v>136881.29306203523</v>
      </c>
      <c r="CZ45" s="373">
        <f t="shared" ref="CZ45:CZ55" si="31">CZ44+CY45</f>
        <v>-4062963.5463387324</v>
      </c>
      <c r="DA45" s="373">
        <f t="shared" si="28"/>
        <v>-2443725.580082457</v>
      </c>
      <c r="DB45" s="375">
        <v>2E-3</v>
      </c>
      <c r="DC45" s="372">
        <f t="shared" si="29"/>
        <v>-407.28759668040948</v>
      </c>
      <c r="DE45" s="353"/>
      <c r="DF45" s="353"/>
      <c r="DG45" s="353"/>
      <c r="DH45" s="353"/>
      <c r="DI45" s="353"/>
      <c r="DJ45" s="353"/>
      <c r="DK45" s="353"/>
      <c r="DL45" s="353"/>
      <c r="DM45" s="353"/>
      <c r="DN45" s="353"/>
      <c r="DO45" s="353"/>
      <c r="DP45" s="353"/>
      <c r="DQ45" s="353"/>
      <c r="DR45" s="353"/>
      <c r="DS45" s="353"/>
      <c r="DT45" s="353"/>
      <c r="DU45" s="353"/>
      <c r="DV45" s="353"/>
      <c r="DW45" s="353"/>
      <c r="DX45" s="353"/>
      <c r="DY45" s="353"/>
      <c r="DZ45" s="353"/>
      <c r="EA45" s="353"/>
      <c r="EB45" s="353"/>
      <c r="EC45" s="353"/>
      <c r="ED45" s="353"/>
      <c r="EE45" s="353"/>
      <c r="EF45" s="353"/>
      <c r="EG45" s="353"/>
      <c r="EH45" s="353"/>
      <c r="EI45" s="353"/>
      <c r="EJ45" s="353"/>
      <c r="EK45" s="353"/>
      <c r="EL45" s="353"/>
      <c r="EM45" s="353"/>
      <c r="EN45" s="353"/>
      <c r="EO45" s="353"/>
      <c r="EP45" s="353"/>
      <c r="EQ45" s="353"/>
      <c r="ER45" s="353"/>
      <c r="ES45" s="353"/>
      <c r="ET45" s="353"/>
      <c r="EU45" s="353"/>
      <c r="EV45" s="353"/>
      <c r="EW45" s="353"/>
      <c r="EX45" s="353"/>
      <c r="EY45" s="353"/>
      <c r="EZ45" s="353"/>
      <c r="FA45" s="353"/>
      <c r="FB45" s="353"/>
      <c r="FC45" s="353"/>
      <c r="FD45" s="353"/>
      <c r="FE45" s="353"/>
      <c r="FF45" s="353"/>
      <c r="FG45" s="353"/>
      <c r="FH45" s="353"/>
      <c r="FI45" s="353"/>
      <c r="FJ45" s="353"/>
      <c r="FK45" s="353"/>
      <c r="FL45" s="353"/>
      <c r="FM45" s="353"/>
      <c r="FN45" s="353"/>
      <c r="FO45" s="353"/>
      <c r="FP45" s="353"/>
      <c r="FQ45" s="353"/>
    </row>
    <row r="46" spans="1:173" s="351" customFormat="1" hidden="1" outlineLevel="1">
      <c r="A46" s="356" t="s">
        <v>52</v>
      </c>
      <c r="B46" s="356">
        <f>+B45</f>
        <v>2011</v>
      </c>
      <c r="C46" s="392" t="s">
        <v>47</v>
      </c>
      <c r="D46" s="373">
        <f>+'E3 - Invest Amort deferred tax'!AN33+'E3 - Financing upfront'!H33+'E3 - Financing upfront'!Q33</f>
        <v>9640243.4158333354</v>
      </c>
      <c r="E46" s="373">
        <f>+'E3 - Invest Amort deferred tax'!AN33</f>
        <v>9640243.6858333349</v>
      </c>
      <c r="F46" s="393">
        <f>+'E3 - Invest Amort deferred tax'!BT33</f>
        <v>-3734326.7500558323</v>
      </c>
      <c r="G46" s="394"/>
      <c r="H46" s="373">
        <f>+'RGGI - Invest Amort deferred'!AI16</f>
        <v>6654226.7353333328</v>
      </c>
      <c r="I46" s="373">
        <f>+'RGGI - Invest Amort deferred'!AI16</f>
        <v>6654226.7353333328</v>
      </c>
      <c r="J46" s="393">
        <f>+'RGGI - Invest Amort deferred'!BL16</f>
        <v>-1080069.4651053334</v>
      </c>
      <c r="K46" s="393"/>
      <c r="L46" s="393"/>
      <c r="M46" s="393"/>
      <c r="N46" s="393"/>
      <c r="O46" s="394"/>
      <c r="P46" s="374"/>
      <c r="Q46" s="374"/>
      <c r="R46" s="374"/>
      <c r="S46" s="374"/>
      <c r="T46" s="394"/>
      <c r="U46" s="394"/>
      <c r="V46" s="394"/>
      <c r="W46" s="394"/>
      <c r="X46" s="394"/>
      <c r="Y46" s="394"/>
      <c r="Z46" s="384">
        <v>83441901</v>
      </c>
      <c r="AA46" s="530">
        <f t="shared" si="30"/>
        <v>1.1900000000000001E-2</v>
      </c>
      <c r="AB46" s="372">
        <f t="shared" si="23"/>
        <v>992958.62190000003</v>
      </c>
      <c r="AC46" s="372"/>
      <c r="AD46" s="372">
        <f>+'E3 - Invest Amort deferred tax'!AL33</f>
        <v>292918.90562500007</v>
      </c>
      <c r="AE46" s="373"/>
      <c r="AF46" s="373">
        <f>(D46+F46)*'Capital Structure '!$F$21/12</f>
        <v>12204.900910379534</v>
      </c>
      <c r="AG46" s="373">
        <f>(D46+F46)*'Capital Structure '!$E$34/12</f>
        <v>17939.27851266741</v>
      </c>
      <c r="AH46" s="373">
        <f>(D46+F46)*'Capital Structure '!$F$18/12</f>
        <v>25975.723966322581</v>
      </c>
      <c r="AI46" s="372">
        <f t="shared" si="24"/>
        <v>56119.90338936953</v>
      </c>
      <c r="AJ46" s="373"/>
      <c r="AK46" s="372">
        <v>0</v>
      </c>
      <c r="AL46" s="372">
        <v>0</v>
      </c>
      <c r="AM46" s="373">
        <f t="shared" si="25"/>
        <v>349038.80901436962</v>
      </c>
      <c r="AO46" s="372">
        <f>+'RGGI - Invest Amort deferred'!AG16</f>
        <v>121920.39933333332</v>
      </c>
      <c r="AP46" s="373"/>
      <c r="AQ46" s="373">
        <f>(H46+J46)*'Capital Structure '!$F$21/12</f>
        <v>11519.30191230494</v>
      </c>
      <c r="AR46" s="373">
        <f>(H46+J46)*'Capital Structure '!$E$34/12</f>
        <v>16931.556166965598</v>
      </c>
      <c r="AS46" s="373">
        <f>(H46+J46)*'Capital Structure '!$F$18/12</f>
        <v>24516.561744822891</v>
      </c>
      <c r="AT46" s="373">
        <f>'RGGI - On-bill financing'!J16*'Capital Structure '!$E$34/12</f>
        <v>7174.4097219124442</v>
      </c>
      <c r="AU46" s="373">
        <f>'RGGI - On-bill financing'!J16*('Capital Structure '!$F$18+'Capital Structure '!$F$21)/12</f>
        <v>15269.479545160024</v>
      </c>
      <c r="AV46" s="372">
        <f t="shared" si="26"/>
        <v>75411.309091165909</v>
      </c>
      <c r="AW46" s="373"/>
      <c r="AX46" s="372">
        <v>299956</v>
      </c>
      <c r="AY46" s="373">
        <f t="shared" si="0"/>
        <v>497287.7084244992</v>
      </c>
      <c r="AZ46" s="373"/>
      <c r="BA46" s="373"/>
      <c r="BB46" s="373"/>
      <c r="BC46" s="373">
        <f>(L46+N46)*'Capital Structure '!$H$21/12</f>
        <v>0</v>
      </c>
      <c r="BD46" s="373"/>
      <c r="BE46" s="373"/>
      <c r="BF46" s="373"/>
      <c r="BG46" s="373"/>
      <c r="BH46" s="372"/>
      <c r="BI46" s="373"/>
      <c r="BM46" s="373"/>
      <c r="BN46" s="373"/>
      <c r="BO46" s="373"/>
      <c r="BP46" s="373"/>
      <c r="BQ46" s="373"/>
      <c r="BR46" s="373"/>
      <c r="BS46" s="373"/>
      <c r="BT46" s="395"/>
      <c r="BU46" s="373"/>
      <c r="CY46" s="373">
        <f t="shared" si="27"/>
        <v>-146632.10446113127</v>
      </c>
      <c r="CZ46" s="373">
        <f t="shared" si="31"/>
        <v>-4209595.650799864</v>
      </c>
      <c r="DA46" s="373">
        <f t="shared" si="28"/>
        <v>-2446609.3825537399</v>
      </c>
      <c r="DB46" s="375">
        <v>2E-3</v>
      </c>
      <c r="DC46" s="372">
        <f t="shared" si="29"/>
        <v>-407.76823042562336</v>
      </c>
      <c r="DE46" s="353"/>
      <c r="DF46" s="353"/>
      <c r="DG46" s="353"/>
      <c r="DH46" s="353"/>
      <c r="DI46" s="353"/>
      <c r="DJ46" s="353"/>
      <c r="DK46" s="353"/>
      <c r="DL46" s="353"/>
      <c r="DM46" s="353"/>
      <c r="DN46" s="353"/>
      <c r="DO46" s="353"/>
      <c r="DP46" s="353"/>
      <c r="DQ46" s="353"/>
      <c r="DR46" s="353"/>
      <c r="DS46" s="353"/>
      <c r="DT46" s="353"/>
      <c r="DU46" s="353"/>
      <c r="DV46" s="353"/>
      <c r="DW46" s="353"/>
      <c r="DX46" s="353"/>
      <c r="DY46" s="353"/>
      <c r="DZ46" s="353"/>
      <c r="EA46" s="353"/>
      <c r="EB46" s="353"/>
      <c r="EC46" s="353"/>
      <c r="ED46" s="353"/>
      <c r="EE46" s="353"/>
      <c r="EF46" s="353"/>
      <c r="EG46" s="353"/>
      <c r="EH46" s="353"/>
      <c r="EI46" s="353"/>
      <c r="EJ46" s="353"/>
      <c r="EK46" s="353"/>
      <c r="EL46" s="353"/>
      <c r="EM46" s="353"/>
      <c r="EN46" s="353"/>
      <c r="EO46" s="353"/>
      <c r="EP46" s="353"/>
      <c r="EQ46" s="353"/>
      <c r="ER46" s="353"/>
      <c r="ES46" s="353"/>
      <c r="ET46" s="353"/>
      <c r="EU46" s="353"/>
      <c r="EV46" s="353"/>
      <c r="EW46" s="353"/>
      <c r="EX46" s="353"/>
      <c r="EY46" s="353"/>
      <c r="EZ46" s="353"/>
      <c r="FA46" s="353"/>
      <c r="FB46" s="353"/>
      <c r="FC46" s="353"/>
      <c r="FD46" s="353"/>
      <c r="FE46" s="353"/>
      <c r="FF46" s="353"/>
      <c r="FG46" s="353"/>
      <c r="FH46" s="353"/>
      <c r="FI46" s="353"/>
      <c r="FJ46" s="353"/>
      <c r="FK46" s="353"/>
      <c r="FL46" s="353"/>
      <c r="FM46" s="353"/>
      <c r="FN46" s="353"/>
      <c r="FO46" s="353"/>
      <c r="FP46" s="353"/>
      <c r="FQ46" s="353"/>
    </row>
    <row r="47" spans="1:173" s="351" customFormat="1" ht="19.899999999999999" hidden="1" customHeight="1" outlineLevel="1">
      <c r="A47" s="356" t="s">
        <v>53</v>
      </c>
      <c r="B47" s="356">
        <f>+B46+1</f>
        <v>2012</v>
      </c>
      <c r="C47" s="392" t="s">
        <v>47</v>
      </c>
      <c r="D47" s="373">
        <f>+'E3 - Invest Amort deferred tax'!AN34+'E3 - Financing upfront'!H34+'E3 - Financing upfront'!Q34</f>
        <v>9347324.5102083348</v>
      </c>
      <c r="E47" s="373">
        <f>+'E3 - Invest Amort deferred tax'!AN34</f>
        <v>9347324.7802083343</v>
      </c>
      <c r="F47" s="393">
        <f>+'E3 - Invest Amort deferred tax'!BT34</f>
        <v>-3704214.9644501032</v>
      </c>
      <c r="G47" s="394"/>
      <c r="H47" s="373">
        <f>+'RGGI - Invest Amort deferred'!AI17</f>
        <v>7331741.2910000002</v>
      </c>
      <c r="I47" s="373">
        <f>+'RGGI - Invest Amort deferred'!AI17</f>
        <v>7331741.2910000002</v>
      </c>
      <c r="J47" s="393">
        <f>+'RGGI - Invest Amort deferred'!BL17</f>
        <v>-1301427.6809459999</v>
      </c>
      <c r="K47" s="393"/>
      <c r="L47" s="393">
        <f>'RGGI II Invest Amort Def'!AI5</f>
        <v>0</v>
      </c>
      <c r="M47" s="393">
        <f>'RGGI II Invest Amort Def'!AI5</f>
        <v>0</v>
      </c>
      <c r="N47" s="393">
        <f>'RGGI II Invest Amort Def'!BK5</f>
        <v>0</v>
      </c>
      <c r="O47" s="394"/>
      <c r="P47" s="374"/>
      <c r="Q47" s="374"/>
      <c r="R47" s="374"/>
      <c r="S47" s="374"/>
      <c r="T47" s="394"/>
      <c r="U47" s="394"/>
      <c r="V47" s="394"/>
      <c r="W47" s="394"/>
      <c r="X47" s="394"/>
      <c r="Y47" s="394"/>
      <c r="Z47" s="384">
        <v>103931817.58999999</v>
      </c>
      <c r="AA47" s="530">
        <f t="shared" si="30"/>
        <v>1.1900000000000001E-2</v>
      </c>
      <c r="AB47" s="372">
        <f t="shared" si="23"/>
        <v>1236788.6293209998</v>
      </c>
      <c r="AC47" s="372"/>
      <c r="AD47" s="372">
        <f>+'E3 - Invest Amort deferred tax'!AL34</f>
        <v>292918.90562500007</v>
      </c>
      <c r="AE47" s="373"/>
      <c r="AF47" s="373">
        <f>(D47+F47)*'Capital Structure '!$F$21/12</f>
        <v>11661.795573833922</v>
      </c>
      <c r="AG47" s="373">
        <f>(D47+F47)*'Capital Structure '!$E$34/12</f>
        <v>17140.999365171676</v>
      </c>
      <c r="AH47" s="373">
        <f>(D47+F47)*'Capital Structure '!$F$18/12</f>
        <v>24819.831394122517</v>
      </c>
      <c r="AI47" s="372">
        <f t="shared" si="24"/>
        <v>53622.626333128115</v>
      </c>
      <c r="AJ47" s="373"/>
      <c r="AK47" s="372">
        <v>0</v>
      </c>
      <c r="AL47" s="372">
        <v>0</v>
      </c>
      <c r="AM47" s="373">
        <f t="shared" si="25"/>
        <v>346541.53195812821</v>
      </c>
      <c r="AO47" s="372">
        <f>+'RGGI - Invest Amort deferred'!AG17</f>
        <v>135470.14433333333</v>
      </c>
      <c r="AP47" s="373"/>
      <c r="AQ47" s="373">
        <f>(H47+J47)*'Capital Structure '!$F$21/12</f>
        <v>12461.974022712178</v>
      </c>
      <c r="AR47" s="373">
        <f>(H47+J47)*'Capital Structure '!$E$34/12</f>
        <v>18317.13542392931</v>
      </c>
      <c r="AS47" s="373">
        <f>(H47+J47)*'Capital Structure '!$F$18/12</f>
        <v>26522.853373939259</v>
      </c>
      <c r="AT47" s="373">
        <f>'RGGI - On-bill financing'!J17*'Capital Structure '!$E$34/12</f>
        <v>9317.1461701309563</v>
      </c>
      <c r="AU47" s="373">
        <f>'RGGI - On-bill financing'!J17*('Capital Structure '!$F$18+'Capital Structure '!$F$21)/12</f>
        <v>19829.92028313614</v>
      </c>
      <c r="AV47" s="372">
        <f t="shared" si="26"/>
        <v>86449.029273847846</v>
      </c>
      <c r="AW47" s="373"/>
      <c r="AX47" s="372">
        <v>211471.98</v>
      </c>
      <c r="AY47" s="373">
        <f t="shared" si="0"/>
        <v>433391.15360718116</v>
      </c>
      <c r="AZ47" s="373"/>
      <c r="BA47" s="373">
        <f>'RGGI II Invest Amort Def'!AG5</f>
        <v>0</v>
      </c>
      <c r="BB47" s="373"/>
      <c r="BC47" s="373">
        <f>(L47+N47)*'Capital Structure '!$H$21/12</f>
        <v>0</v>
      </c>
      <c r="BD47" s="373">
        <f>(L47+N47)*'Capital Structure '!$H$34/12</f>
        <v>0</v>
      </c>
      <c r="BE47" s="373">
        <f>(L47+N47)*'Capital Structure '!$H$18/12</f>
        <v>0</v>
      </c>
      <c r="BF47" s="373">
        <f>'RGGI II On Bill Fin''g'!L5*'Capital Structure '!$H$34/12</f>
        <v>0</v>
      </c>
      <c r="BG47" s="373">
        <f>'RGGI II On Bill Fin''g'!L5*('Capital Structure '!$H$18+'Capital Structure '!$H$21)/12</f>
        <v>0</v>
      </c>
      <c r="BH47" s="372">
        <f>SUM(BC47:BG47)</f>
        <v>0</v>
      </c>
      <c r="BI47" s="373"/>
      <c r="BJ47" s="393">
        <v>16139.49</v>
      </c>
      <c r="BK47" s="393">
        <f>+BJ47+BH47+BA47</f>
        <v>16139.49</v>
      </c>
      <c r="BL47" s="373"/>
      <c r="BM47" s="373"/>
      <c r="BN47" s="373"/>
      <c r="BO47" s="373"/>
      <c r="BP47" s="373"/>
      <c r="BQ47" s="373"/>
      <c r="BR47" s="373"/>
      <c r="BS47" s="373"/>
      <c r="BT47" s="395"/>
      <c r="BU47" s="373"/>
      <c r="BV47" s="374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>
        <f t="shared" si="27"/>
        <v>-440716.45375569048</v>
      </c>
      <c r="CZ47" s="373">
        <f t="shared" si="31"/>
        <v>-4650312.1045555547</v>
      </c>
      <c r="DA47" s="373">
        <f t="shared" si="28"/>
        <v>-2620317.7186463648</v>
      </c>
      <c r="DB47" s="375">
        <v>2E-3</v>
      </c>
      <c r="DC47" s="372">
        <f t="shared" si="29"/>
        <v>-436.71961977439418</v>
      </c>
      <c r="DE47" s="353"/>
      <c r="DF47" s="353"/>
      <c r="DG47" s="353"/>
      <c r="DH47" s="353"/>
      <c r="DI47" s="353"/>
      <c r="DJ47" s="353"/>
      <c r="DK47" s="353"/>
      <c r="DL47" s="353"/>
      <c r="DM47" s="353"/>
      <c r="DN47" s="353"/>
      <c r="DO47" s="353"/>
      <c r="DP47" s="353"/>
      <c r="DQ47" s="353"/>
      <c r="DR47" s="353"/>
      <c r="DS47" s="353"/>
      <c r="DT47" s="353"/>
      <c r="DU47" s="353"/>
      <c r="DV47" s="353"/>
      <c r="DW47" s="353"/>
      <c r="DX47" s="353"/>
      <c r="DY47" s="353"/>
      <c r="DZ47" s="353"/>
      <c r="EA47" s="353"/>
      <c r="EB47" s="353"/>
      <c r="EC47" s="353"/>
      <c r="ED47" s="353"/>
      <c r="EE47" s="353"/>
      <c r="EF47" s="353"/>
      <c r="EG47" s="353"/>
      <c r="EH47" s="353"/>
      <c r="EI47" s="353"/>
      <c r="EJ47" s="353"/>
      <c r="EK47" s="353"/>
      <c r="EL47" s="353"/>
      <c r="EM47" s="353"/>
      <c r="EN47" s="353"/>
      <c r="EO47" s="353"/>
      <c r="EP47" s="353"/>
      <c r="EQ47" s="353"/>
      <c r="ER47" s="353"/>
      <c r="ES47" s="353"/>
      <c r="ET47" s="353"/>
      <c r="EU47" s="353"/>
      <c r="EV47" s="353"/>
      <c r="EW47" s="353"/>
      <c r="EX47" s="353"/>
      <c r="EY47" s="353"/>
      <c r="EZ47" s="353"/>
      <c r="FA47" s="353"/>
      <c r="FB47" s="353"/>
      <c r="FC47" s="353"/>
      <c r="FD47" s="353"/>
      <c r="FE47" s="353"/>
      <c r="FF47" s="353"/>
      <c r="FG47" s="353"/>
      <c r="FH47" s="353"/>
      <c r="FI47" s="353"/>
      <c r="FJ47" s="353"/>
      <c r="FK47" s="353"/>
      <c r="FL47" s="353"/>
      <c r="FM47" s="353"/>
      <c r="FN47" s="353"/>
      <c r="FO47" s="353"/>
      <c r="FP47" s="353"/>
      <c r="FQ47" s="353"/>
    </row>
    <row r="48" spans="1:173" s="351" customFormat="1" hidden="1" outlineLevel="1">
      <c r="A48" s="356" t="s">
        <v>54</v>
      </c>
      <c r="B48" s="356">
        <f t="shared" ref="B48:B55" si="32">+B47</f>
        <v>2012</v>
      </c>
      <c r="C48" s="392" t="s">
        <v>47</v>
      </c>
      <c r="D48" s="373">
        <f>+'E3 - Invest Amort deferred tax'!AN35+'E3 - Financing upfront'!H35+'E3 - Financing upfront'!Q35</f>
        <v>9054405.604583336</v>
      </c>
      <c r="E48" s="373">
        <f>+'E3 - Invest Amort deferred tax'!AN35</f>
        <v>9054405.8745833356</v>
      </c>
      <c r="F48" s="393">
        <f>+'E3 - Invest Amort deferred tax'!BT35</f>
        <v>-3638137.1173572908</v>
      </c>
      <c r="G48" s="394"/>
      <c r="H48" s="373">
        <f>+'RGGI - Invest Amort deferred'!AI18</f>
        <v>8295506.9316666666</v>
      </c>
      <c r="I48" s="373">
        <f>+'RGGI - Invest Amort deferred'!AI18</f>
        <v>8295506.9316666666</v>
      </c>
      <c r="J48" s="393">
        <f>+'RGGI - Invest Amort deferred'!BL18</f>
        <v>-1549029.5306175</v>
      </c>
      <c r="K48" s="393"/>
      <c r="L48" s="393">
        <f>'RGGI II Invest Amort Def'!AI6</f>
        <v>8850</v>
      </c>
      <c r="M48" s="393">
        <f>'RGGI II Invest Amort Def'!AI6</f>
        <v>8850</v>
      </c>
      <c r="N48" s="393">
        <f>'RGGI II Invest Amort Def'!BK6</f>
        <v>-245.1</v>
      </c>
      <c r="O48" s="394"/>
      <c r="P48" s="374"/>
      <c r="Q48" s="374"/>
      <c r="R48" s="374"/>
      <c r="S48" s="374"/>
      <c r="T48" s="394"/>
      <c r="U48" s="394"/>
      <c r="V48" s="394"/>
      <c r="W48" s="394"/>
      <c r="X48" s="394"/>
      <c r="Y48" s="394"/>
      <c r="Z48" s="384">
        <v>83623910.039999977</v>
      </c>
      <c r="AA48" s="530">
        <f t="shared" si="30"/>
        <v>1.1900000000000001E-2</v>
      </c>
      <c r="AB48" s="372">
        <f t="shared" si="23"/>
        <v>995124.52947599976</v>
      </c>
      <c r="AC48" s="372"/>
      <c r="AD48" s="372">
        <f>+'E3 - Invest Amort deferred tax'!AL35</f>
        <v>292918.90562500007</v>
      </c>
      <c r="AE48" s="373"/>
      <c r="AF48" s="373">
        <f>(D48+F48)*'Capital Structure '!$F$21/12</f>
        <v>11193.016077192233</v>
      </c>
      <c r="AG48" s="373">
        <f>(D48+F48)*'Capital Structure '!$E$34/12</f>
        <v>16451.96747437349</v>
      </c>
      <c r="AH48" s="373">
        <f>(D48+F48)*'Capital Structure '!$F$18/12</f>
        <v>23822.126710139342</v>
      </c>
      <c r="AI48" s="372">
        <f t="shared" si="24"/>
        <v>51467.110261705064</v>
      </c>
      <c r="AJ48" s="373"/>
      <c r="AK48" s="372">
        <v>0</v>
      </c>
      <c r="AL48" s="372">
        <v>0</v>
      </c>
      <c r="AM48" s="373">
        <f t="shared" si="25"/>
        <v>344386.01588670514</v>
      </c>
      <c r="AO48" s="372">
        <f>+'RGGI - Invest Amort deferred'!AG18</f>
        <v>154101.25933333332</v>
      </c>
      <c r="AP48" s="373"/>
      <c r="AQ48" s="373">
        <f>(H48+J48)*'Capital Structure '!$F$21/12</f>
        <v>13941.965800338636</v>
      </c>
      <c r="AR48" s="373">
        <f>(H48+J48)*'Capital Structure '!$E$34/12</f>
        <v>20492.489807406488</v>
      </c>
      <c r="AS48" s="373">
        <f>(H48+J48)*'Capital Structure '!$F$18/12</f>
        <v>29672.723919414784</v>
      </c>
      <c r="AT48" s="373">
        <f>'RGGI - On-bill financing'!J18*'Capital Structure '!$E$34/12</f>
        <v>10907.164767607315</v>
      </c>
      <c r="AU48" s="373">
        <f>'RGGI - On-bill financing'!J18*('Capital Structure '!$F$18+'Capital Structure '!$F$21)/12</f>
        <v>23213.997495291434</v>
      </c>
      <c r="AV48" s="372">
        <f t="shared" si="26"/>
        <v>98228.341790058665</v>
      </c>
      <c r="AW48" s="373"/>
      <c r="AX48" s="372">
        <f>40193.1+129.2+31071.56+1655+42.39+5846.13+3750+3966.43+2337.17+20888.46+4808.55+3598.62+623.79+2543.16+429.75+63.53+2347.3+13306.93+2686.55+1932.29+1392.77+903.6+46244.47+18501.19-28122.35</f>
        <v>181139.59</v>
      </c>
      <c r="AY48" s="373">
        <f t="shared" si="0"/>
        <v>433469.19112339197</v>
      </c>
      <c r="AZ48" s="373"/>
      <c r="BA48" s="373">
        <f>'RGGI II Invest Amort Def'!AG6</f>
        <v>150</v>
      </c>
      <c r="BB48" s="373"/>
      <c r="BC48" s="373">
        <f>(L48+N48)*'Capital Structure '!$H$21/12</f>
        <v>13.092749741249998</v>
      </c>
      <c r="BD48" s="373">
        <f>(L48+N48)*'Capital Structure '!$H$34/12</f>
        <v>26.137466274819143</v>
      </c>
      <c r="BE48" s="373">
        <f>(L48+N48)*'Capital Structure '!$H$18/12</f>
        <v>37.846539293893571</v>
      </c>
      <c r="BF48" s="373">
        <f>'RGGI II On Bill Fin''g'!L6*'Capital Structure '!$H$34/12</f>
        <v>0</v>
      </c>
      <c r="BG48" s="373">
        <f>'RGGI II On Bill Fin''g'!L6*('Capital Structure '!$H$18+'Capital Structure '!$H$21)/12</f>
        <v>0</v>
      </c>
      <c r="BH48" s="387">
        <f t="shared" ref="BH48:BH55" si="33">SUM(BC48:BG48)</f>
        <v>77.076755309962721</v>
      </c>
      <c r="BI48" s="373"/>
      <c r="BJ48" s="393">
        <v>28122.35</v>
      </c>
      <c r="BK48" s="393">
        <f t="shared" ref="BK48:BK111" si="34">+BJ48+BH48+BA48</f>
        <v>28349.42675530996</v>
      </c>
      <c r="BL48" s="373"/>
      <c r="BM48" s="373"/>
      <c r="BN48" s="373"/>
      <c r="BO48" s="373"/>
      <c r="BP48" s="373"/>
      <c r="BQ48" s="373"/>
      <c r="BR48" s="373"/>
      <c r="BS48" s="373"/>
      <c r="BT48" s="396"/>
      <c r="BU48" s="373"/>
      <c r="BV48" s="374"/>
      <c r="BW48" s="373"/>
      <c r="BX48" s="373"/>
      <c r="BY48" s="373"/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73"/>
      <c r="CV48" s="373"/>
      <c r="CW48" s="373"/>
      <c r="CX48" s="373"/>
      <c r="CY48" s="373">
        <f t="shared" si="27"/>
        <v>-188919.89571059262</v>
      </c>
      <c r="CZ48" s="373">
        <f t="shared" si="31"/>
        <v>-4839232.0002661478</v>
      </c>
      <c r="DA48" s="373">
        <f t="shared" si="28"/>
        <v>-2806532.6690010186</v>
      </c>
      <c r="DB48" s="375">
        <v>2E-3</v>
      </c>
      <c r="DC48" s="372">
        <f t="shared" si="29"/>
        <v>-467.75544483350313</v>
      </c>
      <c r="DE48" s="353"/>
      <c r="DF48" s="397"/>
      <c r="DG48" s="398"/>
      <c r="DH48" s="399"/>
      <c r="DI48" s="353"/>
      <c r="DJ48" s="353"/>
      <c r="DK48" s="353"/>
      <c r="DL48" s="353"/>
      <c r="DM48" s="353"/>
      <c r="DN48" s="353"/>
      <c r="DO48" s="353"/>
      <c r="DP48" s="353"/>
      <c r="DQ48" s="353"/>
      <c r="DR48" s="353"/>
      <c r="DS48" s="353"/>
      <c r="DT48" s="353"/>
      <c r="DU48" s="353"/>
      <c r="DV48" s="353"/>
      <c r="DW48" s="353"/>
      <c r="DX48" s="353"/>
      <c r="DY48" s="353"/>
      <c r="DZ48" s="353"/>
      <c r="EA48" s="353"/>
      <c r="EB48" s="353"/>
      <c r="EC48" s="353"/>
      <c r="ED48" s="353"/>
      <c r="EE48" s="353"/>
      <c r="EF48" s="353"/>
      <c r="EG48" s="353"/>
      <c r="EH48" s="353"/>
      <c r="EI48" s="353"/>
      <c r="EJ48" s="353"/>
      <c r="EK48" s="353"/>
      <c r="EL48" s="353"/>
      <c r="EM48" s="353"/>
      <c r="EN48" s="353"/>
      <c r="EO48" s="353"/>
      <c r="EP48" s="353"/>
      <c r="EQ48" s="353"/>
      <c r="ER48" s="353"/>
      <c r="ES48" s="353"/>
      <c r="ET48" s="353"/>
      <c r="EU48" s="353"/>
      <c r="EV48" s="353"/>
      <c r="EW48" s="353"/>
      <c r="EX48" s="353"/>
      <c r="EY48" s="353"/>
      <c r="EZ48" s="353"/>
      <c r="FA48" s="353"/>
      <c r="FB48" s="353"/>
      <c r="FC48" s="353"/>
      <c r="FD48" s="353"/>
      <c r="FE48" s="353"/>
      <c r="FF48" s="353"/>
      <c r="FG48" s="353"/>
      <c r="FH48" s="353"/>
      <c r="FI48" s="353"/>
      <c r="FJ48" s="353"/>
      <c r="FK48" s="353"/>
      <c r="FL48" s="353"/>
      <c r="FM48" s="353"/>
      <c r="FN48" s="353"/>
      <c r="FO48" s="353"/>
      <c r="FP48" s="353"/>
      <c r="FQ48" s="353"/>
    </row>
    <row r="49" spans="1:173" s="351" customFormat="1" hidden="1" outlineLevel="1">
      <c r="A49" s="356" t="s">
        <v>55</v>
      </c>
      <c r="B49" s="356">
        <f t="shared" si="32"/>
        <v>2012</v>
      </c>
      <c r="C49" s="392" t="s">
        <v>47</v>
      </c>
      <c r="D49" s="373">
        <f>+'E3 - Invest Amort deferred tax'!AN36+'E3 - Financing upfront'!H36+'E3 - Financing upfront'!Q36</f>
        <v>8761486.6989583373</v>
      </c>
      <c r="E49" s="373">
        <f>+'E3 - Invest Amort deferred tax'!AN36</f>
        <v>8761486.9689583369</v>
      </c>
      <c r="F49" s="393">
        <f>+'E3 - Invest Amort deferred tax'!BT36</f>
        <v>-3548845.3822128116</v>
      </c>
      <c r="G49" s="394"/>
      <c r="H49" s="373">
        <f>+'RGGI - Invest Amort deferred'!AI19</f>
        <v>8498136.4283333346</v>
      </c>
      <c r="I49" s="373">
        <f>+'RGGI - Invest Amort deferred'!AI19</f>
        <v>8498136.4283333346</v>
      </c>
      <c r="J49" s="393">
        <f>+'RGGI - Invest Amort deferred'!BL19</f>
        <v>-1788024.3255262498</v>
      </c>
      <c r="K49" s="393"/>
      <c r="L49" s="393">
        <f>'RGGI II Invest Amort Def'!AI7</f>
        <v>1033136.6666666666</v>
      </c>
      <c r="M49" s="393">
        <f>'RGGI II Invest Amort Def'!AI7</f>
        <v>1033136.6666666666</v>
      </c>
      <c r="N49" s="393">
        <f>'RGGI II Invest Amort Def'!BK7</f>
        <v>-28861.886666666669</v>
      </c>
      <c r="O49" s="394"/>
      <c r="P49" s="374"/>
      <c r="Q49" s="374"/>
      <c r="R49" s="374"/>
      <c r="S49" s="374"/>
      <c r="T49" s="394"/>
      <c r="U49" s="394"/>
      <c r="V49" s="394"/>
      <c r="W49" s="394"/>
      <c r="X49" s="394"/>
      <c r="Y49" s="394"/>
      <c r="Z49" s="384">
        <v>53826192.140000001</v>
      </c>
      <c r="AA49" s="530">
        <f t="shared" si="30"/>
        <v>1.1900000000000001E-2</v>
      </c>
      <c r="AB49" s="372">
        <f t="shared" si="23"/>
        <v>640531.68646600004</v>
      </c>
      <c r="AC49" s="372"/>
      <c r="AD49" s="372">
        <f>+'E3 - Invest Amort deferred tax'!AL36</f>
        <v>292918.90562500007</v>
      </c>
      <c r="AE49" s="373"/>
      <c r="AF49" s="373">
        <f>(D49+F49)*'Capital Structure '!$F$21/12</f>
        <v>10772.209354202598</v>
      </c>
      <c r="AG49" s="373">
        <f>(D49+F49)*'Capital Structure '!$E$34/12</f>
        <v>15833.447991163759</v>
      </c>
      <c r="AH49" s="373">
        <f>(D49+F49)*'Capital Structure '!$F$18/12</f>
        <v>22926.522611440301</v>
      </c>
      <c r="AI49" s="372">
        <f t="shared" si="24"/>
        <v>49532.179956806664</v>
      </c>
      <c r="AJ49" s="373"/>
      <c r="AK49" s="372">
        <v>0</v>
      </c>
      <c r="AL49" s="372">
        <v>0</v>
      </c>
      <c r="AM49" s="373">
        <f t="shared" si="25"/>
        <v>342451.08558180672</v>
      </c>
      <c r="AO49" s="372">
        <f>+'RGGI - Invest Amort deferred'!AG19</f>
        <v>160147.54333333333</v>
      </c>
      <c r="AP49" s="373"/>
      <c r="AQ49" s="373">
        <f>(H49+J49)*'Capital Structure '!$F$21/12</f>
        <v>13866.814915770139</v>
      </c>
      <c r="AR49" s="373">
        <f>(H49+J49)*'Capital Structure '!$E$34/12</f>
        <v>20382.029865236778</v>
      </c>
      <c r="AS49" s="373">
        <f>(H49+J49)*'Capital Structure '!$F$18/12</f>
        <v>29512.780086383242</v>
      </c>
      <c r="AT49" s="373">
        <f>'RGGI - On-bill financing'!J19*'Capital Structure '!$E$34/12</f>
        <v>12580.81204875271</v>
      </c>
      <c r="AU49" s="373">
        <f>'RGGI - On-bill financing'!J19*('Capital Structure '!$F$18+'Capital Structure '!$F$21)/12</f>
        <v>26776.063771936984</v>
      </c>
      <c r="AV49" s="372">
        <f t="shared" si="26"/>
        <v>103118.50068807985</v>
      </c>
      <c r="AW49" s="373"/>
      <c r="AX49" s="372">
        <f>212039.01</f>
        <v>212039.01</v>
      </c>
      <c r="AY49" s="373">
        <f t="shared" si="0"/>
        <v>475305.05402141321</v>
      </c>
      <c r="AZ49" s="373"/>
      <c r="BA49" s="373">
        <f>'RGGI II Invest Amort Def'!AG7</f>
        <v>17513.333333333332</v>
      </c>
      <c r="BB49" s="373"/>
      <c r="BC49" s="373">
        <f>(L49+N49)*'Capital Structure '!$H$21/12</f>
        <v>1528.0501070307498</v>
      </c>
      <c r="BD49" s="373">
        <f>(L49+N49)*'Capital Structure '!$H$34/12</f>
        <v>3050.4942756919213</v>
      </c>
      <c r="BE49" s="373">
        <f>(L49+N49)*'Capital Structure '!$H$18/12</f>
        <v>4417.05597079993</v>
      </c>
      <c r="BF49" s="373">
        <f>'RGGI II On Bill Fin''g'!L7*'Capital Structure '!$H$34/12</f>
        <v>8.7328400725290276</v>
      </c>
      <c r="BG49" s="373">
        <f>'RGGI II On Bill Fin''g'!L7*('Capital Structure '!$H$18+'Capital Structure '!$H$21)/12</f>
        <v>17.019425673283568</v>
      </c>
      <c r="BH49" s="372">
        <f t="shared" si="33"/>
        <v>9021.352619268413</v>
      </c>
      <c r="BI49" s="373"/>
      <c r="BJ49" s="393">
        <f>46587.34+153.25+31071.56+1655+57.5+1250+21020.87+500-500+4013.07+2224.5+136+21758.23+9593.68+4599.6+646.52+2860.96+250+320+55.95+2823.72+15008.04+5410.07+4.8+1419.5+1288.8+46044.47+21413.43-212039.01+211848.63</f>
        <v>241476.47999999998</v>
      </c>
      <c r="BK49" s="393">
        <f t="shared" si="34"/>
        <v>268011.1659526017</v>
      </c>
      <c r="BL49" s="373"/>
      <c r="BM49" s="373"/>
      <c r="BN49" s="373"/>
      <c r="BO49" s="373"/>
      <c r="BP49" s="373"/>
      <c r="BQ49" s="373"/>
      <c r="BR49" s="373"/>
      <c r="BS49" s="373"/>
      <c r="BT49" s="395"/>
      <c r="BU49" s="373"/>
      <c r="BV49" s="374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>
        <f t="shared" si="27"/>
        <v>445235.61908982159</v>
      </c>
      <c r="CZ49" s="373">
        <f t="shared" si="31"/>
        <v>-4393996.3811763264</v>
      </c>
      <c r="DA49" s="373">
        <f t="shared" si="28"/>
        <v>-2730727.2938116118</v>
      </c>
      <c r="DB49" s="375">
        <v>2E-3</v>
      </c>
      <c r="DC49" s="372">
        <f t="shared" si="29"/>
        <v>-455.1212156352687</v>
      </c>
      <c r="DE49" s="353"/>
      <c r="DF49" s="397"/>
      <c r="DG49" s="398"/>
      <c r="DH49" s="400"/>
      <c r="DI49" s="353"/>
      <c r="DJ49" s="353"/>
      <c r="DK49" s="353"/>
      <c r="DL49" s="353"/>
      <c r="DM49" s="353"/>
      <c r="DN49" s="353"/>
      <c r="DO49" s="353"/>
      <c r="DP49" s="353"/>
      <c r="DQ49" s="353"/>
      <c r="DR49" s="353"/>
      <c r="DS49" s="353"/>
      <c r="DT49" s="353"/>
      <c r="DU49" s="353"/>
      <c r="DV49" s="353"/>
      <c r="DW49" s="353"/>
      <c r="DX49" s="353"/>
      <c r="DY49" s="353"/>
      <c r="DZ49" s="353"/>
      <c r="EA49" s="353"/>
      <c r="EB49" s="353"/>
      <c r="EC49" s="353"/>
      <c r="ED49" s="353"/>
      <c r="EE49" s="353"/>
      <c r="EF49" s="353"/>
      <c r="EG49" s="353"/>
      <c r="EH49" s="353"/>
      <c r="EI49" s="353"/>
      <c r="EJ49" s="353"/>
      <c r="EK49" s="353"/>
      <c r="EL49" s="353"/>
      <c r="EM49" s="353"/>
      <c r="EN49" s="353"/>
      <c r="EO49" s="353"/>
      <c r="EP49" s="353"/>
      <c r="EQ49" s="353"/>
      <c r="ER49" s="353"/>
      <c r="ES49" s="353"/>
      <c r="ET49" s="353"/>
      <c r="EU49" s="353"/>
      <c r="EV49" s="353"/>
      <c r="EW49" s="353"/>
      <c r="EX49" s="353"/>
      <c r="EY49" s="353"/>
      <c r="EZ49" s="353"/>
      <c r="FA49" s="353"/>
      <c r="FB49" s="353"/>
      <c r="FC49" s="353"/>
      <c r="FD49" s="353"/>
      <c r="FE49" s="353"/>
      <c r="FF49" s="353"/>
      <c r="FG49" s="353"/>
      <c r="FH49" s="353"/>
      <c r="FI49" s="353"/>
      <c r="FJ49" s="353"/>
      <c r="FK49" s="353"/>
      <c r="FL49" s="353"/>
      <c r="FM49" s="353"/>
      <c r="FN49" s="353"/>
      <c r="FO49" s="353"/>
      <c r="FP49" s="353"/>
      <c r="FQ49" s="353"/>
    </row>
    <row r="50" spans="1:173" s="351" customFormat="1" hidden="1" outlineLevel="1">
      <c r="A50" s="356" t="s">
        <v>56</v>
      </c>
      <c r="B50" s="356">
        <f t="shared" si="32"/>
        <v>2012</v>
      </c>
      <c r="C50" s="392" t="s">
        <v>47</v>
      </c>
      <c r="D50" s="373">
        <f>+'E3 - Invest Amort deferred tax'!AN37+'E3 - Financing upfront'!H37+'E3 - Financing upfront'!Q37</f>
        <v>8468567.7933333367</v>
      </c>
      <c r="E50" s="373">
        <f>+'E3 - Invest Amort deferred tax'!AN37</f>
        <v>8468568.0633333363</v>
      </c>
      <c r="F50" s="393">
        <f>+'E3 - Invest Amort deferred tax'!BT37</f>
        <v>-3449318.5076579158</v>
      </c>
      <c r="G50" s="394"/>
      <c r="H50" s="373">
        <f>+'RGGI - Invest Amort deferred'!AI20</f>
        <v>8304009.4083333341</v>
      </c>
      <c r="I50" s="373">
        <f>+'RGGI - Invest Amort deferred'!AI20</f>
        <v>8304009.4083333341</v>
      </c>
      <c r="J50" s="393">
        <f>+'RGGI - Invest Amort deferred'!BL20</f>
        <v>-2000583.8694666666</v>
      </c>
      <c r="K50" s="393"/>
      <c r="L50" s="393">
        <f>'RGGI II Invest Amort Def'!AI8</f>
        <v>1735079.1666666667</v>
      </c>
      <c r="M50" s="393">
        <f>'RGGI II Invest Amort Def'!AI8</f>
        <v>1735079.1666666667</v>
      </c>
      <c r="N50" s="393">
        <f>'RGGI II Invest Amort Def'!BK8</f>
        <v>-77403.941666666666</v>
      </c>
      <c r="O50" s="394"/>
      <c r="P50" s="374"/>
      <c r="Q50" s="374"/>
      <c r="R50" s="374"/>
      <c r="S50" s="374"/>
      <c r="T50" s="394"/>
      <c r="U50" s="394"/>
      <c r="V50" s="394"/>
      <c r="W50" s="394"/>
      <c r="X50" s="394"/>
      <c r="Y50" s="394"/>
      <c r="Z50" s="384">
        <v>41675343.840000011</v>
      </c>
      <c r="AA50" s="530">
        <f t="shared" si="30"/>
        <v>1.1900000000000001E-2</v>
      </c>
      <c r="AB50" s="372">
        <f t="shared" si="23"/>
        <v>495936.59169600019</v>
      </c>
      <c r="AC50" s="372"/>
      <c r="AD50" s="372">
        <f>+'E3 - Invest Amort deferred tax'!AL37</f>
        <v>292918.90562500007</v>
      </c>
      <c r="AE50" s="373"/>
      <c r="AF50" s="373">
        <f>(D50+F50)*'Capital Structure '!$F$21/12</f>
        <v>10372.5541085157</v>
      </c>
      <c r="AG50" s="373">
        <f>(D50+F50)*'Capital Structure '!$E$34/12</f>
        <v>15246.017842072702</v>
      </c>
      <c r="AH50" s="373">
        <f>(D50+F50)*'Capital Structure '!$F$18/12</f>
        <v>22075.93525969646</v>
      </c>
      <c r="AI50" s="372">
        <f t="shared" si="24"/>
        <v>47694.507210284864</v>
      </c>
      <c r="AJ50" s="373"/>
      <c r="AK50" s="372">
        <v>0</v>
      </c>
      <c r="AL50" s="372">
        <v>0</v>
      </c>
      <c r="AM50" s="373">
        <f t="shared" si="25"/>
        <v>340613.41283528495</v>
      </c>
      <c r="AO50" s="372">
        <f>+'RGGI - Invest Amort deferred'!AG20</f>
        <v>159571.62</v>
      </c>
      <c r="AP50" s="373"/>
      <c r="AQ50" s="373">
        <f>(H50+J50)*'Capital Structure '!$F$21/12</f>
        <v>13026.374812163956</v>
      </c>
      <c r="AR50" s="373">
        <f>(H50+J50)*'Capital Structure '!$E$34/12</f>
        <v>19146.715526962686</v>
      </c>
      <c r="AS50" s="373">
        <f>(H50+J50)*'Capital Structure '!$F$18/12</f>
        <v>27724.069116764818</v>
      </c>
      <c r="AT50" s="373">
        <f>'RGGI - On-bill financing'!J20*'Capital Structure '!$E$34/12</f>
        <v>12477.832181235448</v>
      </c>
      <c r="AU50" s="373">
        <f>'RGGI - On-bill financing'!J20*('Capital Structure '!$F$18+'Capital Structure '!$F$21)/12</f>
        <v>26556.889088364693</v>
      </c>
      <c r="AV50" s="372">
        <f t="shared" si="26"/>
        <v>98931.880725491603</v>
      </c>
      <c r="AW50" s="373"/>
      <c r="AX50" s="372">
        <v>0</v>
      </c>
      <c r="AY50" s="373">
        <f t="shared" si="0"/>
        <v>258503.50072549161</v>
      </c>
      <c r="AZ50" s="373"/>
      <c r="BA50" s="373">
        <f>'RGGI II Invest Amort Def'!AG8</f>
        <v>29707.5</v>
      </c>
      <c r="BB50" s="373"/>
      <c r="BC50" s="373">
        <f>(L50+N50)*'Capital Structure '!$H$21/12</f>
        <v>2522.2288316186455</v>
      </c>
      <c r="BD50" s="373">
        <f>(L50+N50)*'Capital Structure '!$H$34/12</f>
        <v>5035.2043937803737</v>
      </c>
      <c r="BE50" s="373">
        <f>(L50+N50)*'Capital Structure '!$H$18/12</f>
        <v>7290.8773535400032</v>
      </c>
      <c r="BF50" s="373">
        <f>'RGGI II On Bill Fin''g'!L8*'Capital Structure '!$H$34/12</f>
        <v>1505.7855708992131</v>
      </c>
      <c r="BG50" s="373">
        <f>'RGGI II On Bill Fin''g'!L8*('Capital Structure '!$H$18+'Capital Structure '!$H$21)/12</f>
        <v>2934.6244052308944</v>
      </c>
      <c r="BH50" s="387">
        <f t="shared" si="33"/>
        <v>19288.720555069132</v>
      </c>
      <c r="BI50" s="373"/>
      <c r="BJ50" s="393">
        <f>47789.18+2993.29+971.1+30499.57+1655+147.32+17020.49+16094.31+4011.31+2784+21606.88+4870.86+2688.16+498.18+2473.9+385.2+81.73+2398.39+12356.99+55.8+563.49+1764.82+1102.3+52644.47+21373.46-1250</f>
        <v>247580.19999999998</v>
      </c>
      <c r="BK50" s="393">
        <f t="shared" si="34"/>
        <v>296576.42055506911</v>
      </c>
      <c r="BL50" s="373"/>
      <c r="BM50" s="373"/>
      <c r="BN50" s="373"/>
      <c r="BO50" s="373"/>
      <c r="BP50" s="373"/>
      <c r="BQ50" s="373"/>
      <c r="BR50" s="373"/>
      <c r="BS50" s="373"/>
      <c r="BT50" s="395"/>
      <c r="BU50" s="373"/>
      <c r="BV50" s="374"/>
      <c r="BW50" s="373"/>
      <c r="BX50" s="373"/>
      <c r="BY50" s="373"/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73"/>
      <c r="CV50" s="373"/>
      <c r="CW50" s="373"/>
      <c r="CX50" s="373"/>
      <c r="CY50" s="373">
        <f t="shared" si="27"/>
        <v>399756.74241984554</v>
      </c>
      <c r="CZ50" s="373">
        <f t="shared" si="31"/>
        <v>-3994239.638756481</v>
      </c>
      <c r="DA50" s="373">
        <f t="shared" si="28"/>
        <v>-2480820.8028951278</v>
      </c>
      <c r="DB50" s="375">
        <v>2E-3</v>
      </c>
      <c r="DC50" s="372">
        <f t="shared" si="29"/>
        <v>-413.47013381585469</v>
      </c>
      <c r="DE50" s="353"/>
      <c r="DF50" s="397"/>
      <c r="DG50" s="397"/>
      <c r="DH50" s="397"/>
      <c r="DI50" s="353"/>
      <c r="DJ50" s="353"/>
      <c r="DK50" s="353"/>
      <c r="DL50" s="353"/>
      <c r="DM50" s="353"/>
      <c r="DN50" s="353"/>
      <c r="DO50" s="353"/>
      <c r="DP50" s="353"/>
      <c r="DQ50" s="353"/>
      <c r="DR50" s="353"/>
      <c r="DS50" s="353"/>
      <c r="DT50" s="353"/>
      <c r="DU50" s="353"/>
      <c r="DV50" s="353"/>
      <c r="DW50" s="353"/>
      <c r="DX50" s="353"/>
      <c r="DY50" s="353"/>
      <c r="DZ50" s="353"/>
      <c r="EA50" s="353"/>
      <c r="EB50" s="353"/>
      <c r="EC50" s="353"/>
      <c r="ED50" s="353"/>
      <c r="EE50" s="353"/>
      <c r="EF50" s="353"/>
      <c r="EG50" s="353"/>
      <c r="EH50" s="353"/>
      <c r="EI50" s="353"/>
      <c r="EJ50" s="353"/>
      <c r="EK50" s="353"/>
      <c r="EL50" s="353"/>
      <c r="EM50" s="353"/>
      <c r="EN50" s="353"/>
      <c r="EO50" s="353"/>
      <c r="EP50" s="353"/>
      <c r="EQ50" s="353"/>
      <c r="ER50" s="353"/>
      <c r="ES50" s="353"/>
      <c r="ET50" s="353"/>
      <c r="EU50" s="353"/>
      <c r="EV50" s="353"/>
      <c r="EW50" s="353"/>
      <c r="EX50" s="353"/>
      <c r="EY50" s="353"/>
      <c r="EZ50" s="353"/>
      <c r="FA50" s="353"/>
      <c r="FB50" s="353"/>
      <c r="FC50" s="353"/>
      <c r="FD50" s="353"/>
      <c r="FE50" s="353"/>
      <c r="FF50" s="353"/>
      <c r="FG50" s="353"/>
      <c r="FH50" s="353"/>
      <c r="FI50" s="353"/>
      <c r="FJ50" s="353"/>
      <c r="FK50" s="353"/>
      <c r="FL50" s="353"/>
      <c r="FM50" s="353"/>
      <c r="FN50" s="353"/>
      <c r="FO50" s="353"/>
      <c r="FP50" s="353"/>
      <c r="FQ50" s="353"/>
    </row>
    <row r="51" spans="1:173" s="351" customFormat="1" hidden="1" outlineLevel="1">
      <c r="A51" s="356" t="s">
        <v>57</v>
      </c>
      <c r="B51" s="356">
        <f t="shared" si="32"/>
        <v>2012</v>
      </c>
      <c r="C51" s="392" t="s">
        <v>47</v>
      </c>
      <c r="D51" s="373">
        <f>+'E3 - Invest Amort deferred tax'!AN38+'E3 - Financing upfront'!H38+'E3 - Financing upfront'!Q38</f>
        <v>8175648.8877083361</v>
      </c>
      <c r="E51" s="373">
        <f>+'E3 - Invest Amort deferred tax'!AN38</f>
        <v>8175649.1577083366</v>
      </c>
      <c r="F51" s="393">
        <f>+'E3 - Invest Amort deferred tax'!BT38</f>
        <v>-3339752.6809238531</v>
      </c>
      <c r="G51" s="394"/>
      <c r="H51" s="373">
        <f>+'RGGI - Invest Amort deferred'!AI21</f>
        <v>8145421.121666668</v>
      </c>
      <c r="I51" s="373">
        <f>+'RGGI - Invest Amort deferred'!AI21</f>
        <v>8145421.121666668</v>
      </c>
      <c r="J51" s="393">
        <f>+'RGGI - Invest Amort deferred'!BL21</f>
        <v>-2187900.9453333332</v>
      </c>
      <c r="K51" s="393"/>
      <c r="L51" s="373">
        <f>'RGGI II Invest Amort Def'!AI9</f>
        <v>2623687.4916666667</v>
      </c>
      <c r="M51" s="393">
        <f>'RGGI II Invest Amort Def'!AI9</f>
        <v>2623687.4916666667</v>
      </c>
      <c r="N51" s="393">
        <f>'RGGI II Invest Amort Def'!BK9</f>
        <v>-151378.67561666667</v>
      </c>
      <c r="O51" s="394"/>
      <c r="P51" s="374"/>
      <c r="Q51" s="374"/>
      <c r="R51" s="374"/>
      <c r="S51" s="374"/>
      <c r="T51" s="394"/>
      <c r="U51" s="394"/>
      <c r="V51" s="394"/>
      <c r="W51" s="394"/>
      <c r="X51" s="394"/>
      <c r="Y51" s="394"/>
      <c r="Z51" s="384">
        <v>19474544.860000007</v>
      </c>
      <c r="AA51" s="530">
        <f t="shared" si="30"/>
        <v>1.1900000000000001E-2</v>
      </c>
      <c r="AB51" s="372">
        <f t="shared" si="23"/>
        <v>231747.08383400011</v>
      </c>
      <c r="AC51" s="372"/>
      <c r="AD51" s="372">
        <f>+'E3 - Invest Amort deferred tax'!AL38</f>
        <v>292918.90562500007</v>
      </c>
      <c r="AE51" s="373"/>
      <c r="AF51" s="373">
        <f>(D51+F51)*'Capital Structure '!$F$21/12</f>
        <v>9993.6449084512751</v>
      </c>
      <c r="AG51" s="373">
        <f>(D51+F51)*'Capital Structure '!$E$34/12</f>
        <v>14689.081106503882</v>
      </c>
      <c r="AH51" s="373">
        <f>(D51+F51)*'Capital Structure '!$F$18/12</f>
        <v>21269.501773554581</v>
      </c>
      <c r="AI51" s="372">
        <f>SUM(AF51:AH51)</f>
        <v>45952.227788509743</v>
      </c>
      <c r="AJ51" s="373"/>
      <c r="AK51" s="372">
        <v>0</v>
      </c>
      <c r="AL51" s="372">
        <v>0</v>
      </c>
      <c r="AM51" s="373">
        <f t="shared" si="25"/>
        <v>338871.13341350981</v>
      </c>
      <c r="AO51" s="372">
        <f>+'RGGI - Invest Amort deferred'!AG21</f>
        <v>159588.28666666665</v>
      </c>
      <c r="AP51" s="373"/>
      <c r="AQ51" s="373">
        <f>(H51+J51)*'Capital Structure '!$F$21/12</f>
        <v>12311.542396977404</v>
      </c>
      <c r="AR51" s="373">
        <f>(H51+J51)*'Capital Structure '!$E$34/12</f>
        <v>18096.024670881372</v>
      </c>
      <c r="AS51" s="373">
        <f>(H51+J51)*'Capital Structure '!$F$18/12</f>
        <v>26202.689333724193</v>
      </c>
      <c r="AT51" s="373">
        <f>'RGGI - On-bill financing'!J21*'Capital Structure '!$E$34/12</f>
        <v>12363.625344145845</v>
      </c>
      <c r="AU51" s="373">
        <f>'RGGI - On-bill financing'!J21*('Capital Structure '!$F$18+'Capital Structure '!$F$21)/12</f>
        <v>26313.819758558941</v>
      </c>
      <c r="AV51" s="372">
        <f t="shared" si="26"/>
        <v>95287.701504287747</v>
      </c>
      <c r="AW51" s="373"/>
      <c r="AX51" s="372">
        <v>0</v>
      </c>
      <c r="AY51" s="373">
        <f t="shared" si="0"/>
        <v>254875.9881709544</v>
      </c>
      <c r="AZ51" s="373"/>
      <c r="BA51" s="373">
        <f>'RGGI II Invest Amort Def'!AG9</f>
        <v>45272.175000000003</v>
      </c>
      <c r="BB51" s="373"/>
      <c r="BC51" s="373">
        <f>(L51+N51)*'Capital Structure '!$H$21/12</f>
        <v>3761.7311777741434</v>
      </c>
      <c r="BD51" s="373">
        <f>(L51+N51)*'Capital Structure '!$H$34/12</f>
        <v>7509.6617392933003</v>
      </c>
      <c r="BE51" s="373">
        <f>(L51+N51)*'Capital Structure '!$H$18/12</f>
        <v>10873.843130457743</v>
      </c>
      <c r="BF51" s="373">
        <f>'RGGI II On Bill Fin''g'!L9*'Capital Structure '!$H$34/12</f>
        <v>2907.2760630035959</v>
      </c>
      <c r="BG51" s="373">
        <f>'RGGI II On Bill Fin''g'!L9*('Capital Structure '!$H$18+'Capital Structure '!$H$21)/12</f>
        <v>5665.9882071648572</v>
      </c>
      <c r="BH51" s="387">
        <f t="shared" si="33"/>
        <v>30718.500317693637</v>
      </c>
      <c r="BI51" s="373"/>
      <c r="BJ51" s="393">
        <f>47880.38+7.35+29192.19+1655+53.95+2385.19+35173.49-3500+4011.31+2283.66+21606.88+13749.97+2852.62+449.09+3170.46+4948.8+13648.34+3653.04+314.16+5708.37+917.58+46044.47+19621.8-75</f>
        <v>255753.09999999995</v>
      </c>
      <c r="BK51" s="393">
        <f t="shared" si="34"/>
        <v>331743.77531769359</v>
      </c>
      <c r="BL51" s="373"/>
      <c r="BM51" s="373"/>
      <c r="BN51" s="373"/>
      <c r="BO51" s="373"/>
      <c r="BP51" s="373"/>
      <c r="BQ51" s="373"/>
      <c r="BR51" s="373"/>
      <c r="BS51" s="373"/>
      <c r="BT51" s="395"/>
      <c r="BU51" s="373"/>
      <c r="BV51" s="374"/>
      <c r="BW51" s="373"/>
      <c r="BX51" s="373"/>
      <c r="BY51" s="373"/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73"/>
      <c r="CV51" s="373"/>
      <c r="CW51" s="373"/>
      <c r="CX51" s="373"/>
      <c r="CY51" s="373">
        <f t="shared" si="27"/>
        <v>693743.81306815776</v>
      </c>
      <c r="CZ51" s="373">
        <f t="shared" si="31"/>
        <v>-3300495.825688323</v>
      </c>
      <c r="DA51" s="373">
        <f t="shared" si="28"/>
        <v>-2157418.0136095509</v>
      </c>
      <c r="DB51" s="375">
        <v>2E-3</v>
      </c>
      <c r="DC51" s="372">
        <f t="shared" si="29"/>
        <v>-359.56966893492518</v>
      </c>
      <c r="DE51" s="353"/>
      <c r="DF51" s="353"/>
      <c r="DG51" s="353"/>
      <c r="DH51" s="353"/>
      <c r="DI51" s="353"/>
      <c r="DJ51" s="353"/>
      <c r="DK51" s="353"/>
      <c r="DL51" s="353"/>
      <c r="DM51" s="353"/>
      <c r="DN51" s="353"/>
      <c r="DO51" s="353"/>
      <c r="DP51" s="353"/>
      <c r="DQ51" s="353"/>
      <c r="DR51" s="353"/>
      <c r="DS51" s="353"/>
      <c r="DT51" s="353"/>
      <c r="DU51" s="353"/>
      <c r="DV51" s="353"/>
      <c r="DW51" s="353"/>
      <c r="DX51" s="353"/>
      <c r="DY51" s="353"/>
      <c r="DZ51" s="353"/>
      <c r="EA51" s="353"/>
      <c r="EB51" s="353"/>
      <c r="EC51" s="353"/>
      <c r="ED51" s="353"/>
      <c r="EE51" s="353"/>
      <c r="EF51" s="353"/>
      <c r="EG51" s="353"/>
      <c r="EH51" s="353"/>
      <c r="EI51" s="353"/>
      <c r="EJ51" s="353"/>
      <c r="EK51" s="353"/>
      <c r="EL51" s="353"/>
      <c r="EM51" s="353"/>
      <c r="EN51" s="353"/>
      <c r="EO51" s="353"/>
      <c r="EP51" s="353"/>
      <c r="EQ51" s="353"/>
      <c r="ER51" s="353"/>
      <c r="ES51" s="353"/>
      <c r="ET51" s="353"/>
      <c r="EU51" s="353"/>
      <c r="EV51" s="353"/>
      <c r="EW51" s="353"/>
      <c r="EX51" s="353"/>
      <c r="EY51" s="353"/>
      <c r="EZ51" s="353"/>
      <c r="FA51" s="353"/>
      <c r="FB51" s="353"/>
      <c r="FC51" s="353"/>
      <c r="FD51" s="353"/>
      <c r="FE51" s="353"/>
      <c r="FF51" s="353"/>
      <c r="FG51" s="353"/>
      <c r="FH51" s="353"/>
      <c r="FI51" s="353"/>
      <c r="FJ51" s="353"/>
      <c r="FK51" s="353"/>
      <c r="FL51" s="353"/>
      <c r="FM51" s="353"/>
      <c r="FN51" s="353"/>
      <c r="FO51" s="353"/>
      <c r="FP51" s="353"/>
      <c r="FQ51" s="353"/>
    </row>
    <row r="52" spans="1:173" s="351" customFormat="1" hidden="1" outlineLevel="1">
      <c r="A52" s="356" t="s">
        <v>58</v>
      </c>
      <c r="B52" s="356">
        <f t="shared" si="32"/>
        <v>2012</v>
      </c>
      <c r="C52" s="392" t="s">
        <v>47</v>
      </c>
      <c r="D52" s="373">
        <f>+'E3 - Invest Amort deferred tax'!AN39+'E3 - Financing upfront'!H39+'E3 - Financing upfront'!Q39</f>
        <v>7882729.9820833365</v>
      </c>
      <c r="E52" s="373">
        <f>+'E3 - Invest Amort deferred tax'!AN39</f>
        <v>7882730.2520833369</v>
      </c>
      <c r="F52" s="393">
        <f>+'E3 - Invest Amort deferred tax'!BT39</f>
        <v>-3220095.3079760405</v>
      </c>
      <c r="G52" s="394"/>
      <c r="H52" s="373">
        <f>+'RGGI - Invest Amort deferred'!AI22</f>
        <v>8003532.8350000009</v>
      </c>
      <c r="I52" s="373">
        <f>+'RGGI - Invest Amort deferred'!AI22</f>
        <v>8003532.8350000009</v>
      </c>
      <c r="J52" s="393">
        <f>+'RGGI - Invest Amort deferred'!BL22</f>
        <v>-2348745.3284833333</v>
      </c>
      <c r="K52" s="393"/>
      <c r="L52" s="393">
        <f>'RGGI II Invest Amort Def'!AI10</f>
        <v>3253178.65</v>
      </c>
      <c r="M52" s="393">
        <f>'RGGI II Invest Amort Def'!AI10</f>
        <v>3253178.65</v>
      </c>
      <c r="N52" s="393">
        <f>'RGGI II Invest Amort Def'!BK10</f>
        <v>-244040.92290000001</v>
      </c>
      <c r="O52" s="394"/>
      <c r="P52" s="374"/>
      <c r="Q52" s="374"/>
      <c r="R52" s="374"/>
      <c r="S52" s="374"/>
      <c r="T52" s="394"/>
      <c r="U52" s="394"/>
      <c r="V52" s="394"/>
      <c r="W52" s="394"/>
      <c r="X52" s="394"/>
      <c r="Y52" s="394"/>
      <c r="Z52" s="384">
        <v>19392239.159999996</v>
      </c>
      <c r="AA52" s="530">
        <f t="shared" si="30"/>
        <v>1.1900000000000001E-2</v>
      </c>
      <c r="AB52" s="372">
        <f t="shared" si="23"/>
        <v>230767.64600399998</v>
      </c>
      <c r="AC52" s="372"/>
      <c r="AD52" s="372">
        <f>+'E3 - Invest Amort deferred tax'!AL39</f>
        <v>292918.90562500007</v>
      </c>
      <c r="AE52" s="373"/>
      <c r="AF52" s="373">
        <f>(D52+F52)*'Capital Structure '!$F$21/12</f>
        <v>9635.5904424681921</v>
      </c>
      <c r="AG52" s="373">
        <f>(D52+F52)*'Capital Structure '!$E$34/12</f>
        <v>14162.797539341749</v>
      </c>
      <c r="AH52" s="373">
        <f>(D52+F52)*'Capital Structure '!$F$18/12</f>
        <v>20507.453474958736</v>
      </c>
      <c r="AI52" s="372">
        <f t="shared" si="24"/>
        <v>44305.841456768678</v>
      </c>
      <c r="AJ52" s="373"/>
      <c r="AK52" s="372">
        <v>0</v>
      </c>
      <c r="AL52" s="372">
        <v>0</v>
      </c>
      <c r="AM52" s="373">
        <f t="shared" si="25"/>
        <v>337224.74708176876</v>
      </c>
      <c r="AO52" s="372">
        <f>+'RGGI - Invest Amort deferred'!AG22</f>
        <v>159888.28666666665</v>
      </c>
      <c r="AP52" s="373"/>
      <c r="AQ52" s="373">
        <f>(H52+J52)*'Capital Structure '!$F$21/12</f>
        <v>11685.928720635316</v>
      </c>
      <c r="AR52" s="373">
        <f>(H52+J52)*'Capital Structure '!$E$34/12</f>
        <v>17176.471282972263</v>
      </c>
      <c r="AS52" s="373">
        <f>(H52+J52)*'Capital Structure '!$F$18/12</f>
        <v>24871.194036421282</v>
      </c>
      <c r="AT52" s="373">
        <f>'RGGI - On-bill financing'!J22*'Capital Structure '!$E$34/12</f>
        <v>12241.069000694028</v>
      </c>
      <c r="AU52" s="373">
        <f>'RGGI - On-bill financing'!J22*('Capital Structure '!$F$18+'Capital Structure '!$F$21)/12</f>
        <v>26052.979961000197</v>
      </c>
      <c r="AV52" s="372">
        <f t="shared" si="26"/>
        <v>92027.643001723089</v>
      </c>
      <c r="AW52" s="373"/>
      <c r="AX52" s="372">
        <v>0</v>
      </c>
      <c r="AY52" s="373">
        <f t="shared" si="0"/>
        <v>251915.92966838973</v>
      </c>
      <c r="AZ52" s="373"/>
      <c r="BA52" s="373">
        <f>'RGGI II Invest Amort Def'!AG10</f>
        <v>56708.841666666667</v>
      </c>
      <c r="BB52" s="373"/>
      <c r="BC52" s="373">
        <f>(L52+N52)*'Capital Structure '!$H$21/12</f>
        <v>4578.5409705951415</v>
      </c>
      <c r="BD52" s="373">
        <f>(L52+N52)*'Capital Structure '!$H$34/12</f>
        <v>9140.2847050357559</v>
      </c>
      <c r="BE52" s="373">
        <f>(L52+N52)*'Capital Structure '!$H$18/12</f>
        <v>13234.953250988126</v>
      </c>
      <c r="BF52" s="373">
        <f>'RGGI II On Bill Fin''g'!L10*'Capital Structure '!$H$34/12</f>
        <v>4570.6067769510973</v>
      </c>
      <c r="BG52" s="373">
        <f>'RGGI II On Bill Fin''g'!L10*('Capital Structure '!$H$18+'Capital Structure '!$H$21)/12</f>
        <v>8907.652227232149</v>
      </c>
      <c r="BH52" s="387">
        <f t="shared" si="33"/>
        <v>40432.037930802268</v>
      </c>
      <c r="BI52" s="373"/>
      <c r="BJ52" s="393">
        <f>47885.42+356.83+173.08+31071.56+1655+65+22041.13+3059+32348.63-2000+4453.46+2180.19+20850.21+166.03+5066.99+3832.89+537.04+4080.75+30+3744.42+11361.01+2311.19+1232.99+4043.24+1801.73+46044.47+24965.61</f>
        <v>273357.87</v>
      </c>
      <c r="BK52" s="393">
        <f t="shared" si="34"/>
        <v>370498.74959746894</v>
      </c>
      <c r="BL52" s="373"/>
      <c r="BM52" s="373"/>
      <c r="BN52" s="373"/>
      <c r="BO52" s="373"/>
      <c r="BP52" s="373"/>
      <c r="BQ52" s="373"/>
      <c r="BR52" s="373"/>
      <c r="BS52" s="373"/>
      <c r="BT52" s="395"/>
      <c r="BU52" s="373"/>
      <c r="BV52" s="374"/>
      <c r="BW52" s="373"/>
      <c r="BX52" s="373"/>
      <c r="BY52" s="373"/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73"/>
      <c r="CV52" s="373"/>
      <c r="CW52" s="373"/>
      <c r="CX52" s="373"/>
      <c r="CY52" s="373">
        <f t="shared" si="27"/>
        <v>728871.78034362732</v>
      </c>
      <c r="CZ52" s="373">
        <f t="shared" si="31"/>
        <v>-2571624.0453446954</v>
      </c>
      <c r="DA52" s="373">
        <f t="shared" si="28"/>
        <v>-1736679.4518580153</v>
      </c>
      <c r="DB52" s="375">
        <v>2E-3</v>
      </c>
      <c r="DC52" s="372">
        <f t="shared" si="29"/>
        <v>-289.44657530966919</v>
      </c>
      <c r="DE52" s="353"/>
      <c r="DF52" s="353"/>
      <c r="DG52" s="353"/>
      <c r="DH52" s="353"/>
      <c r="DI52" s="353"/>
      <c r="DJ52" s="353"/>
      <c r="DK52" s="353"/>
      <c r="DL52" s="353"/>
      <c r="DM52" s="353"/>
      <c r="DN52" s="353"/>
      <c r="DO52" s="353"/>
      <c r="DP52" s="353"/>
      <c r="DQ52" s="353"/>
      <c r="DR52" s="353"/>
      <c r="DS52" s="353"/>
      <c r="DT52" s="353"/>
      <c r="DU52" s="353"/>
      <c r="DV52" s="353"/>
      <c r="DW52" s="353"/>
      <c r="DX52" s="353"/>
      <c r="DY52" s="353"/>
      <c r="DZ52" s="353"/>
      <c r="EA52" s="353"/>
      <c r="EB52" s="353"/>
      <c r="EC52" s="353"/>
      <c r="ED52" s="353"/>
      <c r="EE52" s="353"/>
      <c r="EF52" s="353"/>
      <c r="EG52" s="353"/>
      <c r="EH52" s="353"/>
      <c r="EI52" s="353"/>
      <c r="EJ52" s="353"/>
      <c r="EK52" s="353"/>
      <c r="EL52" s="353"/>
      <c r="EM52" s="353"/>
      <c r="EN52" s="353"/>
      <c r="EO52" s="353"/>
      <c r="EP52" s="353"/>
      <c r="EQ52" s="353"/>
      <c r="ER52" s="353"/>
      <c r="ES52" s="353"/>
      <c r="ET52" s="353"/>
      <c r="EU52" s="353"/>
      <c r="EV52" s="353"/>
      <c r="EW52" s="353"/>
      <c r="EX52" s="353"/>
      <c r="EY52" s="353"/>
      <c r="EZ52" s="353"/>
      <c r="FA52" s="353"/>
      <c r="FB52" s="353"/>
      <c r="FC52" s="353"/>
      <c r="FD52" s="353"/>
      <c r="FE52" s="353"/>
      <c r="FF52" s="353"/>
      <c r="FG52" s="353"/>
      <c r="FH52" s="353"/>
      <c r="FI52" s="353"/>
      <c r="FJ52" s="353"/>
      <c r="FK52" s="353"/>
      <c r="FL52" s="353"/>
      <c r="FM52" s="353"/>
      <c r="FN52" s="353"/>
      <c r="FO52" s="353"/>
      <c r="FP52" s="353"/>
      <c r="FQ52" s="353"/>
    </row>
    <row r="53" spans="1:173" s="351" customFormat="1" hidden="1" outlineLevel="1">
      <c r="A53" s="356" t="s">
        <v>59</v>
      </c>
      <c r="B53" s="356">
        <f t="shared" si="32"/>
        <v>2012</v>
      </c>
      <c r="C53" s="392" t="s">
        <v>47</v>
      </c>
      <c r="D53" s="393">
        <f>+'E3 - Invest Amort deferred tax'!AN40+'E3 - Financing upfront'!H40+'E3 - Financing upfront'!Q40</f>
        <v>7589811.0764583368</v>
      </c>
      <c r="E53" s="373">
        <f>+'E3 - Invest Amort deferred tax'!AN40</f>
        <v>7589811.3464583373</v>
      </c>
      <c r="F53" s="393">
        <f>+'E3 - Invest Amort deferred tax'!BT40</f>
        <v>-3100437.935028228</v>
      </c>
      <c r="G53" s="394"/>
      <c r="H53" s="373">
        <f>+'RGGI - Invest Amort deferred'!AI23</f>
        <v>7849544.5483333338</v>
      </c>
      <c r="I53" s="373">
        <f>+'RGGI - Invest Amort deferred'!AI23</f>
        <v>7849544.5483333338</v>
      </c>
      <c r="J53" s="393">
        <f>+'RGGI - Invest Amort deferred'!BL23</f>
        <v>-2488672.9797583334</v>
      </c>
      <c r="K53" s="393"/>
      <c r="L53" s="393">
        <f>'RGGI II Invest Amort Def'!AI11</f>
        <v>3908206.4750000001</v>
      </c>
      <c r="M53" s="393">
        <f>'RGGI II Invest Amort Def'!AI11</f>
        <v>3908206.4750000001</v>
      </c>
      <c r="N53" s="393">
        <f>'RGGI II Invest Amort Def'!BK11</f>
        <v>-356414.65685000003</v>
      </c>
      <c r="O53" s="394"/>
      <c r="P53" s="374"/>
      <c r="Q53" s="374"/>
      <c r="R53" s="374"/>
      <c r="S53" s="374"/>
      <c r="T53" s="394"/>
      <c r="U53" s="394"/>
      <c r="V53" s="394"/>
      <c r="W53" s="394"/>
      <c r="X53" s="394"/>
      <c r="Y53" s="394"/>
      <c r="Z53" s="384">
        <v>17304674.310000002</v>
      </c>
      <c r="AA53" s="530">
        <f t="shared" si="30"/>
        <v>1.1900000000000001E-2</v>
      </c>
      <c r="AB53" s="372">
        <f t="shared" si="23"/>
        <v>205925.62428900006</v>
      </c>
      <c r="AC53" s="372"/>
      <c r="AD53" s="372">
        <f>+'E3 - Invest Amort deferred tax'!AL40</f>
        <v>292918.90562500007</v>
      </c>
      <c r="AE53" s="373"/>
      <c r="AF53" s="373">
        <f>(D53+F53)*'Capital Structure '!$F$21/12</f>
        <v>9277.5359764851091</v>
      </c>
      <c r="AG53" s="373">
        <f>(D53+F53)*'Capital Structure '!$E$34/12</f>
        <v>13636.513972179613</v>
      </c>
      <c r="AH53" s="373">
        <f>(D53+F53)*'Capital Structure '!$F$18/12</f>
        <v>19745.405176362892</v>
      </c>
      <c r="AI53" s="372">
        <f t="shared" si="24"/>
        <v>42659.455125027613</v>
      </c>
      <c r="AJ53" s="373"/>
      <c r="AK53" s="372">
        <v>0</v>
      </c>
      <c r="AL53" s="372">
        <v>0</v>
      </c>
      <c r="AM53" s="373">
        <f t="shared" si="25"/>
        <v>335578.3607500277</v>
      </c>
      <c r="AO53" s="372">
        <f>+'RGGI - Invest Amort deferred'!AG23</f>
        <v>159988.28666666665</v>
      </c>
      <c r="AP53" s="373"/>
      <c r="AQ53" s="373">
        <f>(H53+J53)*'Capital Structure '!$F$21/12</f>
        <v>11078.535304580901</v>
      </c>
      <c r="AR53" s="373">
        <f>(H53+J53)*'Capital Structure '!$E$34/12</f>
        <v>16283.698802689847</v>
      </c>
      <c r="AS53" s="373">
        <f>(H53+J53)*'Capital Structure '!$F$18/12</f>
        <v>23578.476968888732</v>
      </c>
      <c r="AT53" s="373">
        <f>'RGGI - On-bill financing'!J23*'Capital Structure '!$E$34/12</f>
        <v>12076.25060168161</v>
      </c>
      <c r="AU53" s="373">
        <f>'RGGI - On-bill financing'!J23*('Capital Structure '!$F$18+'Capital Structure '!$F$21)/12</f>
        <v>25702.192750632279</v>
      </c>
      <c r="AV53" s="372">
        <f t="shared" si="26"/>
        <v>88719.154428473368</v>
      </c>
      <c r="AW53" s="373"/>
      <c r="AX53" s="372">
        <v>0</v>
      </c>
      <c r="AY53" s="373">
        <f t="shared" si="0"/>
        <v>248707.44109514001</v>
      </c>
      <c r="AZ53" s="373"/>
      <c r="BA53" s="373">
        <f>'RGGI II Invest Amort Def'!AG11</f>
        <v>68772.175000000003</v>
      </c>
      <c r="BB53" s="373"/>
      <c r="BC53" s="373">
        <f>(L53+N53)*'Capital Structure '!$H$21/12</f>
        <v>5404.2140417735563</v>
      </c>
      <c r="BD53" s="373">
        <f>(L53+N53)*'Capital Structure '!$H$34/12</f>
        <v>10788.601710894281</v>
      </c>
      <c r="BE53" s="373">
        <f>(L53+N53)*'Capital Structure '!$H$18/12</f>
        <v>15621.683995089274</v>
      </c>
      <c r="BF53" s="373">
        <f>'RGGI II On Bill Fin''g'!L11*'Capital Structure '!$H$34/12</f>
        <v>5801.3285102557666</v>
      </c>
      <c r="BG53" s="373">
        <f>'RGGI II On Bill Fin''g'!L11*('Capital Structure '!$H$18+'Capital Structure '!$H$21)/12</f>
        <v>11306.204919198201</v>
      </c>
      <c r="BH53" s="387">
        <f t="shared" si="33"/>
        <v>48922.033177211073</v>
      </c>
      <c r="BI53" s="373"/>
      <c r="BJ53" s="393">
        <f>71828.13+103.28+161.8+46607.34+1655+8105.7+7816.68+4452.11+2924.61+27713.05-37856.23+3171.69+520.65+2904.04+258+9890.39+3011.44+546.61+4307.25+844.86+50694.47+15151.59-2000+11853.89</f>
        <v>234666.34999999992</v>
      </c>
      <c r="BK53" s="393">
        <f t="shared" si="34"/>
        <v>352360.55817721097</v>
      </c>
      <c r="BL53" s="373"/>
      <c r="BM53" s="373"/>
      <c r="BN53" s="373"/>
      <c r="BO53" s="373"/>
      <c r="BP53" s="373"/>
      <c r="BQ53" s="373"/>
      <c r="BR53" s="373"/>
      <c r="BS53" s="373"/>
      <c r="BT53" s="395"/>
      <c r="BU53" s="373"/>
      <c r="BV53" s="374"/>
      <c r="BW53" s="373"/>
      <c r="BX53" s="373"/>
      <c r="BY53" s="373"/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73"/>
      <c r="CV53" s="373"/>
      <c r="CW53" s="373"/>
      <c r="CX53" s="373"/>
      <c r="CY53" s="373">
        <f t="shared" si="27"/>
        <v>730720.73573337856</v>
      </c>
      <c r="CZ53" s="373">
        <f t="shared" si="31"/>
        <v>-1840903.3096113168</v>
      </c>
      <c r="DA53" s="373">
        <f t="shared" si="28"/>
        <v>-1305004.9652282407</v>
      </c>
      <c r="DB53" s="375">
        <v>2E-3</v>
      </c>
      <c r="DC53" s="372">
        <f t="shared" si="29"/>
        <v>-217.50082753804011</v>
      </c>
      <c r="DE53" s="353"/>
      <c r="DF53" s="397"/>
      <c r="DG53" s="398"/>
      <c r="DH53" s="399"/>
      <c r="DI53" s="353"/>
      <c r="DJ53" s="353"/>
      <c r="DK53" s="353"/>
      <c r="DL53" s="353"/>
      <c r="DM53" s="353"/>
      <c r="DN53" s="353"/>
      <c r="DO53" s="353"/>
      <c r="DP53" s="353"/>
      <c r="DQ53" s="353"/>
      <c r="DR53" s="353"/>
      <c r="DS53" s="353"/>
      <c r="DT53" s="353"/>
      <c r="DU53" s="353"/>
      <c r="DV53" s="353"/>
      <c r="DW53" s="353"/>
      <c r="DX53" s="353"/>
      <c r="DY53" s="353"/>
      <c r="DZ53" s="353"/>
      <c r="EA53" s="353"/>
      <c r="EB53" s="353"/>
      <c r="EC53" s="353"/>
      <c r="ED53" s="353"/>
      <c r="EE53" s="353"/>
      <c r="EF53" s="353"/>
      <c r="EG53" s="353"/>
      <c r="EH53" s="353"/>
      <c r="EI53" s="353"/>
      <c r="EJ53" s="353"/>
      <c r="EK53" s="353"/>
      <c r="EL53" s="353"/>
      <c r="EM53" s="353"/>
      <c r="EN53" s="353"/>
      <c r="EO53" s="353"/>
      <c r="EP53" s="353"/>
      <c r="EQ53" s="353"/>
      <c r="ER53" s="353"/>
      <c r="ES53" s="353"/>
      <c r="ET53" s="353"/>
      <c r="EU53" s="353"/>
      <c r="EV53" s="353"/>
      <c r="EW53" s="353"/>
      <c r="EX53" s="353"/>
      <c r="EY53" s="353"/>
      <c r="EZ53" s="353"/>
      <c r="FA53" s="353"/>
      <c r="FB53" s="353"/>
      <c r="FC53" s="353"/>
      <c r="FD53" s="353"/>
      <c r="FE53" s="353"/>
      <c r="FF53" s="353"/>
      <c r="FG53" s="353"/>
      <c r="FH53" s="353"/>
      <c r="FI53" s="353"/>
      <c r="FJ53" s="353"/>
      <c r="FK53" s="353"/>
      <c r="FL53" s="353"/>
      <c r="FM53" s="353"/>
      <c r="FN53" s="353"/>
      <c r="FO53" s="353"/>
      <c r="FP53" s="353"/>
      <c r="FQ53" s="353"/>
    </row>
    <row r="54" spans="1:173" s="351" customFormat="1" hidden="1" outlineLevel="1">
      <c r="A54" s="356" t="s">
        <v>46</v>
      </c>
      <c r="B54" s="356">
        <f t="shared" si="32"/>
        <v>2012</v>
      </c>
      <c r="C54" s="392" t="s">
        <v>47</v>
      </c>
      <c r="D54" s="393">
        <f>+'E3 - Invest Amort deferred tax'!AN41+'E3 - Financing upfront'!H41+'E3 - Financing upfront'!Q41</f>
        <v>7296892.1708333371</v>
      </c>
      <c r="E54" s="373">
        <f>+'E3 - Invest Amort deferred tax'!AN41</f>
        <v>7296892.4408333376</v>
      </c>
      <c r="F54" s="393">
        <f>+'E3 - Invest Amort deferred tax'!BT41</f>
        <v>-2980780.5620804154</v>
      </c>
      <c r="G54" s="394"/>
      <c r="H54" s="373">
        <f>+'RGGI - Invest Amort deferred'!AI24</f>
        <v>7689556.2616666676</v>
      </c>
      <c r="I54" s="373">
        <f>+'RGGI - Invest Amort deferred'!AI24</f>
        <v>7689556.2616666676</v>
      </c>
      <c r="J54" s="393">
        <f>+'RGGI - Invest Amort deferred'!BL24</f>
        <v>-2602829.5915333335</v>
      </c>
      <c r="K54" s="393"/>
      <c r="L54" s="393">
        <f>'RGGI II Invest Amort Def'!AI12</f>
        <v>4631139.5666666664</v>
      </c>
      <c r="M54" s="393">
        <f>'RGGI II Invest Amort Def'!AI12</f>
        <v>4631139.5666666664</v>
      </c>
      <c r="N54" s="393">
        <f>'RGGI II Invest Amort Def'!BK12</f>
        <v>-490714.60106666666</v>
      </c>
      <c r="O54" s="394"/>
      <c r="P54" s="374"/>
      <c r="Q54" s="374"/>
      <c r="R54" s="374"/>
      <c r="S54" s="374"/>
      <c r="T54" s="394"/>
      <c r="U54" s="394"/>
      <c r="V54" s="394"/>
      <c r="W54" s="394"/>
      <c r="X54" s="394"/>
      <c r="Y54" s="394"/>
      <c r="Z54" s="384">
        <v>17099722.220000003</v>
      </c>
      <c r="AA54" s="530">
        <f>+AA53</f>
        <v>1.1900000000000001E-2</v>
      </c>
      <c r="AB54" s="372">
        <f t="shared" si="23"/>
        <v>203486.69441800006</v>
      </c>
      <c r="AC54" s="372"/>
      <c r="AD54" s="372">
        <f>+'E3 - Invest Amort deferred tax'!AL41</f>
        <v>292918.90562500007</v>
      </c>
      <c r="AE54" s="373"/>
      <c r="AF54" s="373">
        <f>(D54+F54)*'Capital Structure '!$F$21/12</f>
        <v>8919.4815105020261</v>
      </c>
      <c r="AG54" s="373">
        <f>(D54+F54)*'Capital Structure '!$E$34/12</f>
        <v>13110.230405017477</v>
      </c>
      <c r="AH54" s="373">
        <f>(D54+F54)*'Capital Structure '!$F$18/12</f>
        <v>18983.356877767044</v>
      </c>
      <c r="AI54" s="372">
        <f t="shared" si="24"/>
        <v>41013.068793286548</v>
      </c>
      <c r="AJ54" s="373"/>
      <c r="AK54" s="372">
        <v>0</v>
      </c>
      <c r="AL54" s="372">
        <v>0</v>
      </c>
      <c r="AM54" s="373">
        <f t="shared" si="25"/>
        <v>333931.97441828664</v>
      </c>
      <c r="AO54" s="372">
        <f>+'RGGI - Invest Amort deferred'!AG24</f>
        <v>159988.28666666665</v>
      </c>
      <c r="AP54" s="373"/>
      <c r="AQ54" s="373">
        <f>(H54+J54)*'Capital Structure '!$F$21/12</f>
        <v>10511.99982670075</v>
      </c>
      <c r="AR54" s="373">
        <f>(H54+J54)*'Capital Structure '!$E$34/12</f>
        <v>15450.981044501748</v>
      </c>
      <c r="AS54" s="373">
        <f>(H54+J54)*'Capital Structure '!$F$18/12</f>
        <v>22372.717962846476</v>
      </c>
      <c r="AT54" s="373">
        <f>'RGGI - On-bill financing'!J24*'Capital Structure '!$E$34/12</f>
        <v>11944.642813776321</v>
      </c>
      <c r="AU54" s="373">
        <f>'RGGI - On-bill financing'!J24*('Capital Structure '!$F$18+'Capital Structure '!$F$21)/12</f>
        <v>25422.088532543679</v>
      </c>
      <c r="AV54" s="372">
        <f t="shared" si="26"/>
        <v>85702.430180368974</v>
      </c>
      <c r="AW54" s="373"/>
      <c r="AX54" s="372">
        <v>0</v>
      </c>
      <c r="AY54" s="373">
        <f t="shared" si="0"/>
        <v>245690.71684703563</v>
      </c>
      <c r="AZ54" s="373"/>
      <c r="BA54" s="373">
        <f>'RGGI II Invest Amort Def'!AG12</f>
        <v>82190.90833333334</v>
      </c>
      <c r="BB54" s="373"/>
      <c r="BC54" s="373">
        <f>(L54+N54)*'Capital Structure '!$H$21/12</f>
        <v>6299.846354637989</v>
      </c>
      <c r="BD54" s="373">
        <f>(L54+N54)*'Capital Structure '!$H$34/12</f>
        <v>12576.58054152741</v>
      </c>
      <c r="BE54" s="373">
        <f>(L54+N54)*'Capital Structure '!$H$18/12</f>
        <v>18210.642326348749</v>
      </c>
      <c r="BF54" s="373">
        <f>'RGGI II On Bill Fin''g'!L12*'Capital Structure '!$H$34/12</f>
        <v>7358.664203166144</v>
      </c>
      <c r="BG54" s="373">
        <f>'RGGI II On Bill Fin''g'!L12*('Capital Structure '!$H$18+'Capital Structure '!$H$21)/12</f>
        <v>14341.2953197675</v>
      </c>
      <c r="BH54" s="372">
        <f t="shared" si="33"/>
        <v>58787.028745447795</v>
      </c>
      <c r="BI54" s="373"/>
      <c r="BJ54" s="393">
        <f>47885.42+1233.65+87+570.67+30921.58+7734+110.24+400.3+20985.24+8187.72+3563.52+2469.24+707.46+18450.64+14395.37+4137.81+593.58+4425.85+96+6718.98+3369.33+376.03+4549.33+939.06+52569.47+17972.8-2250+14656.79</f>
        <v>265857.08</v>
      </c>
      <c r="BK54" s="393">
        <f t="shared" si="34"/>
        <v>406835.01707878115</v>
      </c>
      <c r="BL54" s="373"/>
      <c r="BM54" s="373"/>
      <c r="BN54" s="373"/>
      <c r="BO54" s="373"/>
      <c r="BP54" s="373"/>
      <c r="BQ54" s="373"/>
      <c r="BR54" s="373"/>
      <c r="BS54" s="373"/>
      <c r="BT54" s="395"/>
      <c r="BU54" s="373"/>
      <c r="BV54" s="374"/>
      <c r="BW54" s="373"/>
      <c r="BX54" s="373"/>
      <c r="BY54" s="373"/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73"/>
      <c r="CV54" s="373"/>
      <c r="CW54" s="373"/>
      <c r="CX54" s="373"/>
      <c r="CY54" s="373">
        <f t="shared" si="27"/>
        <v>782971.01392610348</v>
      </c>
      <c r="CZ54" s="373">
        <f t="shared" si="31"/>
        <v>-1057932.2956852133</v>
      </c>
      <c r="DA54" s="373">
        <f t="shared" si="28"/>
        <v>-857330.63026644872</v>
      </c>
      <c r="DB54" s="375">
        <v>2E-3</v>
      </c>
      <c r="DC54" s="372">
        <f t="shared" si="29"/>
        <v>-142.88843837774144</v>
      </c>
      <c r="DE54" s="353"/>
      <c r="DF54" s="397"/>
      <c r="DG54" s="398"/>
      <c r="DH54" s="400"/>
      <c r="DI54" s="353"/>
      <c r="DJ54" s="353"/>
      <c r="DK54" s="353"/>
      <c r="DL54" s="353"/>
      <c r="DM54" s="353"/>
      <c r="DN54" s="353"/>
      <c r="DO54" s="353"/>
      <c r="DP54" s="353"/>
      <c r="DQ54" s="353"/>
      <c r="DR54" s="353"/>
      <c r="DS54" s="353"/>
      <c r="DT54" s="353"/>
      <c r="DU54" s="353"/>
      <c r="DV54" s="353"/>
      <c r="DW54" s="353"/>
      <c r="DX54" s="353"/>
      <c r="DY54" s="353"/>
      <c r="DZ54" s="353"/>
      <c r="EA54" s="353"/>
      <c r="EB54" s="353"/>
      <c r="EC54" s="353"/>
      <c r="ED54" s="353"/>
      <c r="EE54" s="353"/>
      <c r="EF54" s="353"/>
      <c r="EG54" s="353"/>
      <c r="EH54" s="353"/>
      <c r="EI54" s="353"/>
      <c r="EJ54" s="353"/>
      <c r="EK54" s="353"/>
      <c r="EL54" s="353"/>
      <c r="EM54" s="353"/>
      <c r="EN54" s="353"/>
      <c r="EO54" s="353"/>
      <c r="EP54" s="353"/>
      <c r="EQ54" s="353"/>
      <c r="ER54" s="353"/>
      <c r="ES54" s="353"/>
      <c r="ET54" s="353"/>
      <c r="EU54" s="353"/>
      <c r="EV54" s="353"/>
      <c r="EW54" s="353"/>
      <c r="EX54" s="353"/>
      <c r="EY54" s="353"/>
      <c r="EZ54" s="353"/>
      <c r="FA54" s="353"/>
      <c r="FB54" s="353"/>
      <c r="FC54" s="353"/>
      <c r="FD54" s="353"/>
      <c r="FE54" s="353"/>
      <c r="FF54" s="353"/>
      <c r="FG54" s="353"/>
      <c r="FH54" s="353"/>
      <c r="FI54" s="353"/>
      <c r="FJ54" s="353"/>
      <c r="FK54" s="353"/>
      <c r="FL54" s="353"/>
      <c r="FM54" s="353"/>
      <c r="FN54" s="353"/>
      <c r="FO54" s="353"/>
      <c r="FP54" s="353"/>
      <c r="FQ54" s="353"/>
    </row>
    <row r="55" spans="1:173" s="351" customFormat="1" ht="17.25" hidden="1" outlineLevel="1">
      <c r="A55" s="356" t="s">
        <v>48</v>
      </c>
      <c r="B55" s="356">
        <f t="shared" si="32"/>
        <v>2012</v>
      </c>
      <c r="C55" s="392" t="s">
        <v>47</v>
      </c>
      <c r="D55" s="393">
        <f>+'E3 - Invest Amort deferred tax'!AN42+'E3 - Financing upfront'!H42+'E3 - Financing upfront'!Q42</f>
        <v>7003973.2652083375</v>
      </c>
      <c r="E55" s="373">
        <f>+'E3 - Invest Amort deferred tax'!AN42</f>
        <v>7003973.5352083379</v>
      </c>
      <c r="F55" s="394">
        <f>+'E3 - Invest Amort deferred tax'!BT42</f>
        <v>-2861123.1891326029</v>
      </c>
      <c r="G55" s="394"/>
      <c r="H55" s="373">
        <f>+'RGGI - Invest Amort deferred'!AI25</f>
        <v>7529567.9750000015</v>
      </c>
      <c r="I55" s="373">
        <f>+'RGGI - Invest Amort deferred'!AI25</f>
        <v>7529567.9750000015</v>
      </c>
      <c r="J55" s="394">
        <f>+'RGGI - Invest Amort deferred'!BL25</f>
        <v>-2693710.4179750001</v>
      </c>
      <c r="K55" s="401"/>
      <c r="L55" s="393">
        <f>'RGGI II Invest Amort Def'!AI13</f>
        <v>5179756.9916666662</v>
      </c>
      <c r="M55" s="393">
        <f>'RGGI II Invest Amort Def'!AI13</f>
        <v>5179756.9916666662</v>
      </c>
      <c r="N55" s="393">
        <f>'RGGI II Invest Amort Def'!BK13</f>
        <v>-642484.72861666663</v>
      </c>
      <c r="O55" s="394"/>
      <c r="P55" s="374"/>
      <c r="Q55" s="374"/>
      <c r="R55" s="374"/>
      <c r="S55" s="374"/>
      <c r="T55" s="394"/>
      <c r="U55" s="394"/>
      <c r="V55" s="394"/>
      <c r="W55" s="394"/>
      <c r="X55" s="394"/>
      <c r="Y55" s="394"/>
      <c r="Z55" s="531">
        <v>17108056.819999997</v>
      </c>
      <c r="AA55" s="530">
        <f>+AA54</f>
        <v>1.1900000000000001E-2</v>
      </c>
      <c r="AB55" s="383">
        <f t="shared" si="23"/>
        <v>203585.87615799997</v>
      </c>
      <c r="AC55" s="377"/>
      <c r="AD55" s="383">
        <f>+'E3 - Invest Amort deferred tax'!AL42</f>
        <v>292918.90562500007</v>
      </c>
      <c r="AE55" s="373"/>
      <c r="AF55" s="379">
        <f>(D55+F55)*'Capital Structure '!$F$21/12</f>
        <v>8561.4270445189431</v>
      </c>
      <c r="AG55" s="378">
        <f>(D55+F55)*'Capital Structure '!$E$34/12</f>
        <v>12583.946837855343</v>
      </c>
      <c r="AH55" s="379">
        <f>(D55+F55)*'Capital Structure '!$F$18/12</f>
        <v>18221.3085791712</v>
      </c>
      <c r="AI55" s="377">
        <f t="shared" si="24"/>
        <v>39366.682461545483</v>
      </c>
      <c r="AJ55" s="378"/>
      <c r="AK55" s="383">
        <v>0</v>
      </c>
      <c r="AL55" s="383">
        <v>0</v>
      </c>
      <c r="AM55" s="379">
        <f t="shared" si="25"/>
        <v>332285.58808654558</v>
      </c>
      <c r="AO55" s="383">
        <f>+'RGGI - Invest Amort deferred'!AG25</f>
        <v>159988.28666666665</v>
      </c>
      <c r="AP55" s="373"/>
      <c r="AQ55" s="379">
        <f>(H55+J55)*'Capital Structure '!$F$21/12</f>
        <v>9993.5650366021819</v>
      </c>
      <c r="AR55" s="379">
        <f>(H55+J55)*'Capital Structure '!$E$34/12</f>
        <v>14688.963707488787</v>
      </c>
      <c r="AS55" s="379">
        <f>(H55+J55)*'Capital Structure '!$F$18/12</f>
        <v>21269.331782079851</v>
      </c>
      <c r="AT55" s="379">
        <f>'RGGI - On-bill financing'!J25*'Capital Structure '!$E$34/12</f>
        <v>11807.782625037427</v>
      </c>
      <c r="AU55" s="379">
        <f>'RGGI - On-bill financing'!J25*('Capital Structure '!$F$18+'Capital Structure '!$F$21)/12</f>
        <v>25130.805495541685</v>
      </c>
      <c r="AV55" s="383">
        <f t="shared" si="26"/>
        <v>82890.448646749923</v>
      </c>
      <c r="AW55" s="378"/>
      <c r="AX55" s="383">
        <v>0</v>
      </c>
      <c r="AY55" s="379">
        <f t="shared" si="0"/>
        <v>242878.73531341658</v>
      </c>
      <c r="AZ55" s="378"/>
      <c r="BA55" s="379">
        <f>'RGGI II Invest Amort Def'!AG13</f>
        <v>92882.575000000012</v>
      </c>
      <c r="BB55" s="378"/>
      <c r="BC55" s="379">
        <f>(L55+N55)*'Capital Structure '!$H$21/12</f>
        <v>6903.6677065426302</v>
      </c>
      <c r="BD55" s="379">
        <f>(L55+N55)*'Capital Structure '!$H$34/12</f>
        <v>13782.008013473916</v>
      </c>
      <c r="BE55" s="379">
        <f>(L55+N55)*'Capital Structure '!$H$18/12</f>
        <v>19956.077698824531</v>
      </c>
      <c r="BF55" s="379">
        <f>'RGGI II On Bill Fin''g'!L13*'Capital Structure '!$H$34/12</f>
        <v>8941.5569246437062</v>
      </c>
      <c r="BG55" s="379">
        <f>'RGGI II On Bill Fin''g'!L13*('Capital Structure '!$H$18+'Capital Structure '!$H$21)/12</f>
        <v>17426.193794745195</v>
      </c>
      <c r="BH55" s="381">
        <f t="shared" si="33"/>
        <v>67009.504138229982</v>
      </c>
      <c r="BI55" s="378"/>
      <c r="BJ55" s="481">
        <f>47885.42+1715.23+205.69+29887.53+7734+54.97+467.78+2890+32348.63+3709.15+3071.47+92.44+18580.18+770.61+3877.15+548.36+5269.79+1838.51+14878.73+2188.69+1202.81+4339.46+971.93+21353.73-2000-902.5+1593.8</f>
        <v>204573.55999999997</v>
      </c>
      <c r="BK55" s="481">
        <f t="shared" si="34"/>
        <v>364465.63913822995</v>
      </c>
      <c r="BL55" s="373"/>
      <c r="BM55" s="379"/>
      <c r="BN55" s="378"/>
      <c r="BO55" s="379"/>
      <c r="BP55" s="379"/>
      <c r="BQ55" s="379"/>
      <c r="BR55" s="379"/>
      <c r="BS55" s="379"/>
      <c r="BT55" s="402"/>
      <c r="BU55" s="378"/>
      <c r="BV55" s="388"/>
      <c r="BW55" s="379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>
        <f t="shared" si="27"/>
        <v>736044.0863801922</v>
      </c>
      <c r="CZ55" s="373">
        <f t="shared" si="31"/>
        <v>-321888.2093050211</v>
      </c>
      <c r="DA55" s="373">
        <f t="shared" si="28"/>
        <v>-408081.91435086186</v>
      </c>
      <c r="DB55" s="375">
        <v>2E-3</v>
      </c>
      <c r="DC55" s="383">
        <f t="shared" si="29"/>
        <v>-68.013652391810311</v>
      </c>
      <c r="DE55" s="353"/>
      <c r="DF55" s="397"/>
      <c r="DG55" s="397"/>
      <c r="DH55" s="397"/>
      <c r="DI55" s="353"/>
      <c r="DJ55" s="353"/>
      <c r="DK55" s="353"/>
      <c r="DL55" s="353"/>
      <c r="DM55" s="353"/>
      <c r="DN55" s="353"/>
      <c r="DO55" s="353"/>
      <c r="DP55" s="353"/>
      <c r="DQ55" s="353"/>
      <c r="DR55" s="353"/>
      <c r="DS55" s="353"/>
      <c r="DT55" s="353"/>
      <c r="DU55" s="353"/>
      <c r="DV55" s="353"/>
      <c r="DW55" s="353"/>
      <c r="DX55" s="353"/>
      <c r="DY55" s="353"/>
      <c r="DZ55" s="353"/>
      <c r="EA55" s="353"/>
      <c r="EB55" s="353"/>
      <c r="EC55" s="353"/>
      <c r="ED55" s="353"/>
      <c r="EE55" s="353"/>
      <c r="EF55" s="353"/>
      <c r="EG55" s="353"/>
      <c r="EH55" s="353"/>
      <c r="EI55" s="353"/>
      <c r="EJ55" s="353"/>
      <c r="EK55" s="353"/>
      <c r="EL55" s="353"/>
      <c r="EM55" s="353"/>
      <c r="EN55" s="353"/>
      <c r="EO55" s="353"/>
      <c r="EP55" s="353"/>
      <c r="EQ55" s="353"/>
      <c r="ER55" s="353"/>
      <c r="ES55" s="353"/>
      <c r="ET55" s="353"/>
      <c r="EU55" s="353"/>
      <c r="EV55" s="353"/>
      <c r="EW55" s="353"/>
      <c r="EX55" s="353"/>
      <c r="EY55" s="353"/>
      <c r="EZ55" s="353"/>
      <c r="FA55" s="353"/>
      <c r="FB55" s="353"/>
      <c r="FC55" s="353"/>
      <c r="FD55" s="353"/>
      <c r="FE55" s="353"/>
      <c r="FF55" s="353"/>
      <c r="FG55" s="353"/>
      <c r="FH55" s="353"/>
      <c r="FI55" s="353"/>
      <c r="FJ55" s="353"/>
      <c r="FK55" s="353"/>
      <c r="FL55" s="353"/>
      <c r="FM55" s="353"/>
      <c r="FN55" s="353"/>
      <c r="FO55" s="353"/>
      <c r="FP55" s="353"/>
      <c r="FQ55" s="353"/>
    </row>
    <row r="56" spans="1:173" s="351" customFormat="1" ht="17.25" hidden="1" outlineLevel="1">
      <c r="F56" s="393"/>
      <c r="G56" s="394"/>
      <c r="J56" s="393"/>
      <c r="K56" s="393"/>
      <c r="L56" s="393"/>
      <c r="M56" s="393"/>
      <c r="N56" s="401"/>
      <c r="O56" s="394"/>
      <c r="P56" s="374"/>
      <c r="Q56" s="374"/>
      <c r="R56" s="391"/>
      <c r="S56" s="374"/>
      <c r="T56" s="394"/>
      <c r="U56" s="394"/>
      <c r="V56" s="394"/>
      <c r="W56" s="394"/>
      <c r="X56" s="394"/>
      <c r="Y56" s="394"/>
      <c r="Z56" s="394">
        <f>SUM(Z44:Z55)</f>
        <v>537829585.98000002</v>
      </c>
      <c r="AA56" s="394"/>
      <c r="AB56" s="372">
        <f>SUM(AB44:AB55)</f>
        <v>6400172.0731620006</v>
      </c>
      <c r="AC56" s="372"/>
      <c r="AD56" s="372">
        <f>SUM(AD44:AD55)</f>
        <v>3515026.8675000011</v>
      </c>
      <c r="AE56" s="373"/>
      <c r="AF56" s="373">
        <f>SUM(AF44:AF55)</f>
        <v>129053.01410712748</v>
      </c>
      <c r="AG56" s="373">
        <f>SUM(AG44:AG55)</f>
        <v>189687.56731143047</v>
      </c>
      <c r="AH56" s="384">
        <f>SUM(AH44:AH55)</f>
        <v>274663.8826553516</v>
      </c>
      <c r="AI56" s="372">
        <f>SUM(AI44:AI55)</f>
        <v>593404.46407390956</v>
      </c>
      <c r="AJ56" s="384"/>
      <c r="AK56" s="372">
        <f>SUM(AK44:AK55)</f>
        <v>0</v>
      </c>
      <c r="AL56" s="372">
        <f>SUM(AL44:AL55)</f>
        <v>0</v>
      </c>
      <c r="AM56" s="373">
        <f>SUM(AM44:AM55)</f>
        <v>4108431.3315739105</v>
      </c>
      <c r="AO56" s="372">
        <f>SUM(AO44:AO55)</f>
        <v>1732775.9149999998</v>
      </c>
      <c r="AP56" s="373"/>
      <c r="AQ56" s="373">
        <f t="shared" ref="AQ56:AV56" si="35">SUM(AQ44:AQ55)</f>
        <v>140179.58189808176</v>
      </c>
      <c r="AR56" s="373">
        <f t="shared" si="35"/>
        <v>206041.86628998691</v>
      </c>
      <c r="AS56" s="384">
        <f t="shared" si="35"/>
        <v>298344.5872962724</v>
      </c>
      <c r="AT56" s="384">
        <f t="shared" si="35"/>
        <v>123700.37004439623</v>
      </c>
      <c r="AU56" s="384">
        <f t="shared" si="35"/>
        <v>263274.65859004995</v>
      </c>
      <c r="AV56" s="372">
        <f t="shared" si="35"/>
        <v>1031541.0641187873</v>
      </c>
      <c r="AW56" s="384"/>
      <c r="AX56" s="372">
        <f>SUM(AX44:AX55)</f>
        <v>1354603.58</v>
      </c>
      <c r="AY56" s="389">
        <f t="shared" si="0"/>
        <v>4118920.5591187868</v>
      </c>
      <c r="AZ56" s="373"/>
      <c r="BA56" s="373">
        <f>SUM(BA44:BA55)</f>
        <v>393197.50833333336</v>
      </c>
      <c r="BB56" s="373"/>
      <c r="BC56" s="373">
        <f t="shared" ref="BC56:BH56" si="36">SUM(BC44:BC55)</f>
        <v>31011.371939714107</v>
      </c>
      <c r="BD56" s="373">
        <f t="shared" si="36"/>
        <v>61908.972845971781</v>
      </c>
      <c r="BE56" s="373">
        <f t="shared" si="36"/>
        <v>89642.980265342252</v>
      </c>
      <c r="BF56" s="373">
        <f t="shared" si="36"/>
        <v>31093.950888992054</v>
      </c>
      <c r="BG56" s="373">
        <f t="shared" si="36"/>
        <v>60598.97829901208</v>
      </c>
      <c r="BH56" s="373">
        <f t="shared" si="36"/>
        <v>274256.25423903228</v>
      </c>
      <c r="BI56" s="373"/>
      <c r="BJ56" s="373">
        <f>SUM(BJ44:BJ55)</f>
        <v>1767526.4799999997</v>
      </c>
      <c r="BK56" s="373">
        <f t="shared" si="34"/>
        <v>2434980.2425723653</v>
      </c>
      <c r="BL56" s="373"/>
      <c r="BM56" s="373"/>
      <c r="BN56" s="373"/>
      <c r="BO56" s="373"/>
      <c r="BP56" s="373"/>
      <c r="BQ56" s="373"/>
      <c r="BR56" s="373"/>
      <c r="BS56" s="373"/>
      <c r="BT56" s="373"/>
      <c r="BU56" s="373"/>
      <c r="BV56" s="373"/>
      <c r="BW56" s="373"/>
      <c r="BX56" s="373"/>
      <c r="BY56" s="373"/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73"/>
      <c r="CV56" s="373"/>
      <c r="CW56" s="373"/>
      <c r="CX56" s="373"/>
      <c r="DB56" s="375"/>
      <c r="DC56" s="372">
        <f>SUM(DC44:DC55)</f>
        <v>-4098.5141348722764</v>
      </c>
      <c r="DE56" s="353"/>
      <c r="DF56" s="353"/>
      <c r="DG56" s="353"/>
      <c r="DH56" s="353"/>
      <c r="DI56" s="353"/>
      <c r="DJ56" s="353"/>
      <c r="DK56" s="353"/>
      <c r="DL56" s="353"/>
      <c r="DM56" s="353"/>
      <c r="DN56" s="353"/>
      <c r="DO56" s="353"/>
      <c r="DP56" s="353"/>
      <c r="DQ56" s="353"/>
      <c r="DR56" s="353"/>
      <c r="DS56" s="353"/>
      <c r="DT56" s="353"/>
      <c r="DU56" s="353"/>
      <c r="DV56" s="353"/>
      <c r="DW56" s="353"/>
      <c r="DX56" s="353"/>
      <c r="DY56" s="353"/>
      <c r="DZ56" s="353"/>
      <c r="EA56" s="353"/>
      <c r="EB56" s="353"/>
      <c r="EC56" s="353"/>
      <c r="ED56" s="353"/>
      <c r="EE56" s="353"/>
      <c r="EF56" s="353"/>
      <c r="EG56" s="353"/>
      <c r="EH56" s="353"/>
      <c r="EI56" s="353"/>
      <c r="EJ56" s="353"/>
      <c r="EK56" s="353"/>
      <c r="EL56" s="353"/>
      <c r="EM56" s="353"/>
      <c r="EN56" s="353"/>
      <c r="EO56" s="353"/>
      <c r="EP56" s="353"/>
      <c r="EQ56" s="353"/>
      <c r="ER56" s="353"/>
      <c r="ES56" s="353"/>
      <c r="ET56" s="353"/>
      <c r="EU56" s="353"/>
      <c r="EV56" s="353"/>
      <c r="EW56" s="353"/>
      <c r="EX56" s="353"/>
      <c r="EY56" s="353"/>
      <c r="EZ56" s="353"/>
      <c r="FA56" s="353"/>
      <c r="FB56" s="353"/>
      <c r="FC56" s="353"/>
      <c r="FD56" s="353"/>
      <c r="FE56" s="353"/>
      <c r="FF56" s="353"/>
      <c r="FG56" s="353"/>
      <c r="FH56" s="353"/>
      <c r="FI56" s="353"/>
      <c r="FJ56" s="353"/>
      <c r="FK56" s="353"/>
      <c r="FL56" s="353"/>
      <c r="FM56" s="353"/>
      <c r="FN56" s="353"/>
      <c r="FO56" s="353"/>
      <c r="FP56" s="353"/>
      <c r="FQ56" s="353"/>
    </row>
    <row r="57" spans="1:173" s="351" customFormat="1" ht="10.5" hidden="1" customHeight="1" outlineLevel="1">
      <c r="F57" s="393"/>
      <c r="G57" s="394"/>
      <c r="J57" s="393"/>
      <c r="K57" s="393"/>
      <c r="L57" s="393"/>
      <c r="M57" s="393"/>
      <c r="N57" s="393"/>
      <c r="O57" s="394"/>
      <c r="P57" s="374"/>
      <c r="Q57" s="374"/>
      <c r="R57" s="374"/>
      <c r="S57" s="374"/>
      <c r="T57" s="394"/>
      <c r="U57" s="394"/>
      <c r="V57" s="394"/>
      <c r="W57" s="394"/>
      <c r="X57" s="394"/>
      <c r="Y57" s="394"/>
      <c r="Z57" s="394"/>
      <c r="AA57" s="394"/>
      <c r="AB57" s="372"/>
      <c r="AC57" s="372"/>
      <c r="AD57" s="372"/>
      <c r="AE57" s="373"/>
      <c r="AF57" s="373"/>
      <c r="AG57" s="373"/>
      <c r="AH57" s="384"/>
      <c r="AI57" s="372"/>
      <c r="AJ57" s="384"/>
      <c r="AK57" s="372"/>
      <c r="AL57" s="372"/>
      <c r="AM57" s="373"/>
      <c r="AO57" s="372"/>
      <c r="AP57" s="373"/>
      <c r="AQ57" s="373"/>
      <c r="AR57" s="373"/>
      <c r="AS57" s="384"/>
      <c r="AT57" s="384"/>
      <c r="AU57" s="384"/>
      <c r="AV57" s="372"/>
      <c r="AW57" s="384"/>
      <c r="AX57" s="372"/>
      <c r="AY57" s="373"/>
      <c r="AZ57" s="373"/>
      <c r="BA57" s="373"/>
      <c r="BB57" s="373"/>
      <c r="BC57" s="373"/>
      <c r="BD57" s="373"/>
      <c r="BE57" s="373"/>
      <c r="BF57" s="373"/>
      <c r="BG57" s="373"/>
      <c r="BH57" s="373"/>
      <c r="BI57" s="373"/>
      <c r="BJ57" s="393"/>
      <c r="BK57" s="393"/>
      <c r="BL57" s="384"/>
      <c r="BM57" s="373"/>
      <c r="BN57" s="373"/>
      <c r="BO57" s="373"/>
      <c r="BP57" s="373"/>
      <c r="BQ57" s="373"/>
      <c r="BR57" s="373"/>
      <c r="BS57" s="373"/>
      <c r="BT57" s="373"/>
      <c r="BU57" s="373"/>
      <c r="BV57" s="374"/>
      <c r="BW57" s="384"/>
      <c r="BX57" s="384"/>
      <c r="BY57" s="384"/>
      <c r="BZ57" s="384"/>
      <c r="CA57" s="384"/>
      <c r="CB57" s="384"/>
      <c r="CC57" s="384"/>
      <c r="CD57" s="384"/>
      <c r="CE57" s="384"/>
      <c r="CF57" s="384"/>
      <c r="CG57" s="384"/>
      <c r="CH57" s="384"/>
      <c r="CI57" s="384"/>
      <c r="CJ57" s="384"/>
      <c r="CK57" s="384"/>
      <c r="CL57" s="384"/>
      <c r="CM57" s="384"/>
      <c r="CN57" s="384"/>
      <c r="CO57" s="384"/>
      <c r="CP57" s="384"/>
      <c r="CQ57" s="384"/>
      <c r="CR57" s="384"/>
      <c r="CS57" s="384"/>
      <c r="CT57" s="384"/>
      <c r="CU57" s="384"/>
      <c r="CV57" s="384"/>
      <c r="CW57" s="384"/>
      <c r="CX57" s="384"/>
      <c r="DB57" s="375"/>
      <c r="DC57" s="372"/>
      <c r="DE57" s="353"/>
      <c r="DF57" s="353"/>
      <c r="DG57" s="353"/>
      <c r="DH57" s="353"/>
      <c r="DI57" s="353"/>
      <c r="DJ57" s="353"/>
      <c r="DK57" s="353"/>
      <c r="DL57" s="353"/>
      <c r="DM57" s="353"/>
      <c r="DN57" s="353"/>
      <c r="DO57" s="353"/>
      <c r="DP57" s="353"/>
      <c r="DQ57" s="353"/>
      <c r="DR57" s="353"/>
      <c r="DS57" s="353"/>
      <c r="DT57" s="353"/>
      <c r="DU57" s="353"/>
      <c r="DV57" s="353"/>
      <c r="DW57" s="353"/>
      <c r="DX57" s="353"/>
      <c r="DY57" s="353"/>
      <c r="DZ57" s="353"/>
      <c r="EA57" s="353"/>
      <c r="EB57" s="353"/>
      <c r="EC57" s="353"/>
      <c r="ED57" s="353"/>
      <c r="EE57" s="353"/>
      <c r="EF57" s="353"/>
      <c r="EG57" s="353"/>
      <c r="EH57" s="353"/>
      <c r="EI57" s="353"/>
      <c r="EJ57" s="353"/>
      <c r="EK57" s="353"/>
      <c r="EL57" s="353"/>
      <c r="EM57" s="353"/>
      <c r="EN57" s="353"/>
      <c r="EO57" s="353"/>
      <c r="EP57" s="353"/>
      <c r="EQ57" s="353"/>
      <c r="ER57" s="353"/>
      <c r="ES57" s="353"/>
      <c r="ET57" s="353"/>
      <c r="EU57" s="353"/>
      <c r="EV57" s="353"/>
      <c r="EW57" s="353"/>
      <c r="EX57" s="353"/>
      <c r="EY57" s="353"/>
      <c r="EZ57" s="353"/>
      <c r="FA57" s="353"/>
      <c r="FB57" s="353"/>
      <c r="FC57" s="353"/>
      <c r="FD57" s="353"/>
      <c r="FE57" s="353"/>
      <c r="FF57" s="353"/>
      <c r="FG57" s="353"/>
      <c r="FH57" s="353"/>
      <c r="FI57" s="353"/>
      <c r="FJ57" s="353"/>
      <c r="FK57" s="353"/>
      <c r="FL57" s="353"/>
      <c r="FM57" s="353"/>
      <c r="FN57" s="353"/>
      <c r="FO57" s="353"/>
      <c r="FP57" s="353"/>
      <c r="FQ57" s="353"/>
    </row>
    <row r="58" spans="1:173" s="351" customFormat="1" hidden="1" outlineLevel="1">
      <c r="G58" s="353"/>
      <c r="N58" s="393"/>
      <c r="O58" s="353"/>
      <c r="R58" s="374"/>
      <c r="T58" s="353"/>
      <c r="U58" s="353"/>
      <c r="V58" s="353"/>
      <c r="W58" s="353"/>
      <c r="X58" s="353"/>
      <c r="Y58" s="353"/>
      <c r="Z58" s="353"/>
      <c r="AA58" s="353"/>
      <c r="AB58" s="403"/>
      <c r="AC58" s="403"/>
      <c r="AD58" s="403"/>
      <c r="AI58" s="403"/>
      <c r="AK58" s="403"/>
      <c r="AL58" s="403"/>
      <c r="AO58" s="403"/>
      <c r="AV58" s="403"/>
      <c r="AX58" s="372"/>
      <c r="AY58" s="373"/>
      <c r="BJ58" s="393"/>
      <c r="BK58" s="393"/>
      <c r="BV58" s="374"/>
      <c r="CY58" s="386" t="s">
        <v>49</v>
      </c>
      <c r="CZ58" s="373">
        <f>+CZ55+DC56</f>
        <v>-325986.72343989339</v>
      </c>
      <c r="DA58" s="373"/>
      <c r="DB58" s="375"/>
      <c r="DC58" s="403"/>
      <c r="DE58" s="353"/>
      <c r="DF58" s="353"/>
      <c r="DG58" s="353"/>
      <c r="DH58" s="353"/>
      <c r="DI58" s="353"/>
      <c r="DJ58" s="353"/>
      <c r="DK58" s="353"/>
      <c r="DL58" s="353"/>
      <c r="DM58" s="353"/>
      <c r="DN58" s="353"/>
      <c r="DO58" s="353"/>
      <c r="DP58" s="353"/>
      <c r="DQ58" s="353"/>
      <c r="DR58" s="353"/>
      <c r="DS58" s="353"/>
      <c r="DT58" s="353"/>
      <c r="DU58" s="353"/>
      <c r="DV58" s="353"/>
      <c r="DW58" s="353"/>
      <c r="DX58" s="353"/>
      <c r="DY58" s="353"/>
      <c r="DZ58" s="353"/>
      <c r="EA58" s="353"/>
      <c r="EB58" s="353"/>
      <c r="EC58" s="353"/>
      <c r="ED58" s="353"/>
      <c r="EE58" s="353"/>
      <c r="EF58" s="353"/>
      <c r="EG58" s="353"/>
      <c r="EH58" s="353"/>
      <c r="EI58" s="353"/>
      <c r="EJ58" s="353"/>
      <c r="EK58" s="353"/>
      <c r="EL58" s="353"/>
      <c r="EM58" s="353"/>
      <c r="EN58" s="353"/>
      <c r="EO58" s="353"/>
      <c r="EP58" s="353"/>
      <c r="EQ58" s="353"/>
      <c r="ER58" s="353"/>
      <c r="ES58" s="353"/>
      <c r="ET58" s="353"/>
      <c r="EU58" s="353"/>
      <c r="EV58" s="353"/>
      <c r="EW58" s="353"/>
      <c r="EX58" s="353"/>
      <c r="EY58" s="353"/>
      <c r="EZ58" s="353"/>
      <c r="FA58" s="353"/>
      <c r="FB58" s="353"/>
      <c r="FC58" s="353"/>
      <c r="FD58" s="353"/>
      <c r="FE58" s="353"/>
      <c r="FF58" s="353"/>
      <c r="FG58" s="353"/>
      <c r="FH58" s="353"/>
      <c r="FI58" s="353"/>
      <c r="FJ58" s="353"/>
      <c r="FK58" s="353"/>
      <c r="FL58" s="353"/>
      <c r="FM58" s="353"/>
      <c r="FN58" s="353"/>
      <c r="FO58" s="353"/>
      <c r="FP58" s="353"/>
      <c r="FQ58" s="353"/>
    </row>
    <row r="59" spans="1:173" s="351" customFormat="1" hidden="1" outlineLevel="1">
      <c r="A59" s="356" t="s">
        <v>50</v>
      </c>
      <c r="B59" s="356">
        <v>2012</v>
      </c>
      <c r="C59" s="392" t="s">
        <v>47</v>
      </c>
      <c r="D59" s="373">
        <f>+'E3 - Invest Amort deferred tax'!AN43+'E3 - Financing upfront'!H43+'E3 - Financing upfront'!Q43</f>
        <v>6711054.3595833378</v>
      </c>
      <c r="E59" s="373">
        <f>+'E3 - Invest Amort deferred tax'!AN43</f>
        <v>6711054.6295833383</v>
      </c>
      <c r="F59" s="393">
        <f>+'E3 - Invest Amort deferred tax'!BT43</f>
        <v>-2741465.8161847903</v>
      </c>
      <c r="G59" s="394"/>
      <c r="H59" s="373">
        <f>+'RGGI - Invest Amort deferred'!AI26</f>
        <v>7369579.6883333344</v>
      </c>
      <c r="I59" s="373">
        <f>+'RGGI - Invest Amort deferred'!AI26</f>
        <v>7369579.6883333344</v>
      </c>
      <c r="J59" s="393">
        <f>+'RGGI - Invest Amort deferred'!BL26</f>
        <v>-2763057.2350000003</v>
      </c>
      <c r="K59" s="393"/>
      <c r="L59" s="373">
        <f>'RGGI II Invest Amort Def'!AI14</f>
        <v>5762739.555333334</v>
      </c>
      <c r="M59" s="393">
        <f>'RGGI II Invest Amort Def'!AI14</f>
        <v>5762739.555333334</v>
      </c>
      <c r="N59" s="393">
        <f>'RGGI II Invest Amort Def'!BK14</f>
        <v>-812972.88390533323</v>
      </c>
      <c r="O59" s="394"/>
      <c r="P59" s="374"/>
      <c r="Q59" s="374"/>
      <c r="R59" s="374"/>
      <c r="S59" s="374"/>
      <c r="T59" s="394"/>
      <c r="U59" s="394"/>
      <c r="V59" s="394"/>
      <c r="W59" s="394"/>
      <c r="X59" s="394"/>
      <c r="Y59" s="394"/>
      <c r="Z59" s="384">
        <v>28588115.059999991</v>
      </c>
      <c r="AA59" s="530">
        <f>AA55</f>
        <v>1.1900000000000001E-2</v>
      </c>
      <c r="AB59" s="372">
        <f t="shared" ref="AB59:AB68" si="37">+Z59*AA59</f>
        <v>340198.5692139999</v>
      </c>
      <c r="AC59" s="372"/>
      <c r="AD59" s="372">
        <f>+'E3 - Invest Amort deferred tax'!AL43</f>
        <v>292918.90562500007</v>
      </c>
      <c r="AE59" s="373"/>
      <c r="AF59" s="373">
        <f>(D59+F59)*'Capital Structure '!$F$21/12</f>
        <v>8203.3725785358602</v>
      </c>
      <c r="AG59" s="373">
        <f>(D59+F59)*'Capital Structure '!$E$34/12</f>
        <v>12057.663270693207</v>
      </c>
      <c r="AH59" s="373">
        <f>(D59+F59)*'Capital Structure '!$F$18/12</f>
        <v>17459.260280575356</v>
      </c>
      <c r="AI59" s="372">
        <f t="shared" ref="AI59:AI70" si="38">SUM(AF59:AH59)</f>
        <v>37720.296129804425</v>
      </c>
      <c r="AJ59" s="373"/>
      <c r="AK59" s="372">
        <v>0</v>
      </c>
      <c r="AL59" s="372">
        <v>0</v>
      </c>
      <c r="AM59" s="373">
        <f t="shared" ref="AM59:AM70" si="39">+AL59+AI59+AD59+AK59</f>
        <v>330639.20175480447</v>
      </c>
      <c r="AO59" s="372">
        <f>+'RGGI - Invest Amort deferred'!AG26</f>
        <v>159988.28666666665</v>
      </c>
      <c r="AP59" s="373"/>
      <c r="AQ59" s="373">
        <f>(H59+J59)*'Capital Structure '!$F$21/12</f>
        <v>9519.6314587636043</v>
      </c>
      <c r="AR59" s="373">
        <f>(H59+J59)*'Capital Structure '!$E$34/12</f>
        <v>13992.356130599677</v>
      </c>
      <c r="AS59" s="373">
        <f>(H59+J59)*'Capital Structure '!$F$18/12</f>
        <v>20260.657652998063</v>
      </c>
      <c r="AT59" s="373">
        <f>'RGGI - On-bill financing'!J26*'Capital Structure '!$E$34/12</f>
        <v>11689.674258754378</v>
      </c>
      <c r="AU59" s="373">
        <f>'RGGI - On-bill financing'!J26*('Capital Structure '!$F$18+'Capital Structure '!$F$21)/12</f>
        <v>24879.432441454308</v>
      </c>
      <c r="AV59" s="372">
        <f t="shared" ref="AV59:AV70" si="40">SUM(AQ59:AU59)</f>
        <v>80341.75194257003</v>
      </c>
      <c r="AW59" s="373"/>
      <c r="AX59" s="372">
        <v>0</v>
      </c>
      <c r="AY59" s="373">
        <f t="shared" si="0"/>
        <v>240330.03860923668</v>
      </c>
      <c r="AZ59" s="373"/>
      <c r="BA59" s="373">
        <f>'RGGI II Invest Amort Def'!AG14</f>
        <v>104337.91633333334</v>
      </c>
      <c r="BB59" s="373"/>
      <c r="BC59" s="373">
        <f>(L59+N59)*'Capital Structure '!$H$21/12</f>
        <v>7531.296854883476</v>
      </c>
      <c r="BD59" s="373">
        <f>(L59+N59)*'Capital Structure '!$H$34/12</f>
        <v>15034.963734926981</v>
      </c>
      <c r="BE59" s="373">
        <f>(L59+N59)*'Capital Structure '!$H$18/12</f>
        <v>21770.333045800024</v>
      </c>
      <c r="BF59" s="373">
        <f>'RGGI II On Bill Fin''g'!L14*'Capital Structure '!$H$34/12</f>
        <v>10895.170067485991</v>
      </c>
      <c r="BG59" s="373">
        <f>'RGGI II On Bill Fin''g'!L14*('Capital Structure '!$H$18+'Capital Structure '!$H$21)/12</f>
        <v>21233.58902960665</v>
      </c>
      <c r="BH59" s="372">
        <f t="shared" ref="BH59:BH70" si="41">SUM(BC59:BG59)</f>
        <v>76465.352732703119</v>
      </c>
      <c r="BI59" s="373"/>
      <c r="BJ59" s="393">
        <f>47693.08+295.02+52.35+28374.96+365.16+1743.22+2063.59+3560.93+1593.8+18241.25+580.99+13869.74+210+822.9+605.39+3777.34+1320-1250+101813.62-1593.8</f>
        <v>224139.54</v>
      </c>
      <c r="BK59" s="393">
        <f t="shared" si="34"/>
        <v>404942.80906603648</v>
      </c>
      <c r="BL59" s="373"/>
      <c r="BM59" s="373"/>
      <c r="BN59" s="373"/>
      <c r="BO59" s="373"/>
      <c r="BP59" s="373"/>
      <c r="BQ59" s="373"/>
      <c r="BR59" s="373"/>
      <c r="BS59" s="373"/>
      <c r="BT59" s="395"/>
      <c r="BU59" s="373"/>
      <c r="BV59" s="374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>
        <f t="shared" ref="CY59:CY70" si="42">+BW59+BK59+AY59+AM59-AB59</f>
        <v>635713.48021607776</v>
      </c>
      <c r="CZ59" s="373">
        <f>+CZ58+CY59</f>
        <v>309726.75677618437</v>
      </c>
      <c r="DA59" s="373">
        <f t="shared" ref="DA59:DA70" si="43">(CZ58+CZ59)/2*(1-0.4085)</f>
        <v>-4808.8851407919447</v>
      </c>
      <c r="DB59" s="375">
        <v>4.0000000000000001E-3</v>
      </c>
      <c r="DC59" s="372">
        <f>(DA59)*DB59/12</f>
        <v>-1.6029617135973149</v>
      </c>
      <c r="DE59" s="353"/>
      <c r="DF59" s="353"/>
      <c r="DG59" s="353"/>
      <c r="DH59" s="353"/>
      <c r="DI59" s="353"/>
      <c r="DJ59" s="353"/>
      <c r="DK59" s="353"/>
      <c r="DL59" s="353"/>
      <c r="DM59" s="353"/>
      <c r="DN59" s="353"/>
      <c r="DO59" s="353"/>
      <c r="DP59" s="353"/>
      <c r="DQ59" s="353"/>
      <c r="DR59" s="353"/>
      <c r="DS59" s="353"/>
      <c r="DT59" s="353"/>
      <c r="DU59" s="353"/>
      <c r="DV59" s="353"/>
      <c r="DW59" s="353"/>
      <c r="DX59" s="353"/>
      <c r="DY59" s="353"/>
      <c r="DZ59" s="353"/>
      <c r="EA59" s="353"/>
      <c r="EB59" s="353"/>
      <c r="EC59" s="353"/>
      <c r="ED59" s="353"/>
      <c r="EE59" s="353"/>
      <c r="EF59" s="353"/>
      <c r="EG59" s="353"/>
      <c r="EH59" s="353"/>
      <c r="EI59" s="353"/>
      <c r="EJ59" s="353"/>
      <c r="EK59" s="353"/>
      <c r="EL59" s="353"/>
      <c r="EM59" s="353"/>
      <c r="EN59" s="353"/>
      <c r="EO59" s="353"/>
      <c r="EP59" s="353"/>
      <c r="EQ59" s="353"/>
      <c r="ER59" s="353"/>
      <c r="ES59" s="353"/>
      <c r="ET59" s="353"/>
      <c r="EU59" s="353"/>
      <c r="EV59" s="353"/>
      <c r="EW59" s="353"/>
      <c r="EX59" s="353"/>
      <c r="EY59" s="353"/>
      <c r="EZ59" s="353"/>
      <c r="FA59" s="353"/>
      <c r="FB59" s="353"/>
      <c r="FC59" s="353"/>
      <c r="FD59" s="353"/>
      <c r="FE59" s="353"/>
      <c r="FF59" s="353"/>
      <c r="FG59" s="353"/>
      <c r="FH59" s="353"/>
      <c r="FI59" s="353"/>
      <c r="FJ59" s="353"/>
      <c r="FK59" s="353"/>
      <c r="FL59" s="353"/>
      <c r="FM59" s="353"/>
      <c r="FN59" s="353"/>
      <c r="FO59" s="353"/>
      <c r="FP59" s="353"/>
      <c r="FQ59" s="353"/>
    </row>
    <row r="60" spans="1:173" s="351" customFormat="1" hidden="1" outlineLevel="1">
      <c r="A60" s="356" t="s">
        <v>51</v>
      </c>
      <c r="B60" s="356">
        <f>+B59</f>
        <v>2012</v>
      </c>
      <c r="C60" s="392" t="s">
        <v>47</v>
      </c>
      <c r="D60" s="373">
        <f>+'E3 - Invest Amort deferred tax'!AN44+'E3 - Financing upfront'!H44+'E3 - Financing upfront'!Q44</f>
        <v>6418135.4539583381</v>
      </c>
      <c r="E60" s="373">
        <f>+'E3 - Invest Amort deferred tax'!AN44</f>
        <v>6418135.7239583386</v>
      </c>
      <c r="F60" s="393">
        <f>+'E3 - Invest Amort deferred tax'!BT44</f>
        <v>-2621808.4432369778</v>
      </c>
      <c r="G60" s="394"/>
      <c r="H60" s="373">
        <f>+'RGGI - Invest Amort deferred'!AI27</f>
        <v>7209591.4016666673</v>
      </c>
      <c r="I60" s="373">
        <f>+'RGGI - Invest Amort deferred'!AI27</f>
        <v>7209591.4016666673</v>
      </c>
      <c r="J60" s="393">
        <f>+'RGGI - Invest Amort deferred'!BL27</f>
        <v>-2803714.8587333336</v>
      </c>
      <c r="K60" s="393"/>
      <c r="L60" s="373">
        <f>'RGGI II Invest Amort Def'!AI15</f>
        <v>6178388.3056666674</v>
      </c>
      <c r="M60" s="393">
        <f>'RGGI II Invest Amort Def'!AI15</f>
        <v>6178388.3056666674</v>
      </c>
      <c r="N60" s="393">
        <f>'RGGI II Invest Amort Def'!BK15</f>
        <v>-997862.02586066653</v>
      </c>
      <c r="O60" s="394"/>
      <c r="P60" s="374"/>
      <c r="Q60" s="374"/>
      <c r="R60" s="374"/>
      <c r="S60" s="374"/>
      <c r="T60" s="394"/>
      <c r="U60" s="394"/>
      <c r="V60" s="394"/>
      <c r="W60" s="394"/>
      <c r="X60" s="394"/>
      <c r="Y60" s="394"/>
      <c r="Z60" s="384">
        <v>69448207.289999992</v>
      </c>
      <c r="AA60" s="530">
        <f t="shared" ref="AA60:AA67" si="44">+AA59</f>
        <v>1.1900000000000001E-2</v>
      </c>
      <c r="AB60" s="372">
        <f t="shared" si="37"/>
        <v>826433.66675099998</v>
      </c>
      <c r="AC60" s="372"/>
      <c r="AD60" s="372">
        <f>+'E3 - Invest Amort deferred tax'!AL44</f>
        <v>292918.90562500007</v>
      </c>
      <c r="AE60" s="373"/>
      <c r="AF60" s="373">
        <f>(D60+F60)*'Capital Structure '!$F$21/12</f>
        <v>7845.3181125527772</v>
      </c>
      <c r="AG60" s="373">
        <f>(D60+F60)*'Capital Structure '!$E$34/12</f>
        <v>11531.379703531073</v>
      </c>
      <c r="AH60" s="373">
        <f>(D60+F60)*'Capital Structure '!$F$18/12</f>
        <v>16697.211981979512</v>
      </c>
      <c r="AI60" s="372">
        <f t="shared" si="38"/>
        <v>36073.90979806336</v>
      </c>
      <c r="AJ60" s="373"/>
      <c r="AK60" s="372">
        <v>0</v>
      </c>
      <c r="AL60" s="372">
        <v>0</v>
      </c>
      <c r="AM60" s="373">
        <f t="shared" si="39"/>
        <v>328992.81542306341</v>
      </c>
      <c r="AO60" s="372">
        <f>+'RGGI - Invest Amort deferred'!AG27</f>
        <v>159988.28666666665</v>
      </c>
      <c r="AP60" s="373"/>
      <c r="AQ60" s="373">
        <f>(H60+J60)*'Capital Structure '!$F$21/12</f>
        <v>9104.9856733438555</v>
      </c>
      <c r="AR60" s="373">
        <f>(H60+J60)*'Capital Structure '!$E$34/12</f>
        <v>13382.892253476131</v>
      </c>
      <c r="AS60" s="373">
        <f>(H60+J60)*'Capital Structure '!$F$18/12</f>
        <v>19378.165894568254</v>
      </c>
      <c r="AT60" s="373">
        <f>'RGGI - On-bill financing'!J27*'Capital Structure '!$E$34/12</f>
        <v>11595.022665407292</v>
      </c>
      <c r="AU60" s="373">
        <f>'RGGI - On-bill financing'!J27*('Capital Structure '!$F$18+'Capital Structure '!$F$21)/12</f>
        <v>24677.98303661813</v>
      </c>
      <c r="AV60" s="372">
        <f t="shared" si="40"/>
        <v>78139.049523413662</v>
      </c>
      <c r="AW60" s="373"/>
      <c r="AX60" s="372">
        <v>0</v>
      </c>
      <c r="AY60" s="373">
        <f t="shared" si="0"/>
        <v>238127.33619008033</v>
      </c>
      <c r="AZ60" s="373"/>
      <c r="BA60" s="373">
        <f>'RGGI II Invest Amort Def'!AG15</f>
        <v>113151.24966666667</v>
      </c>
      <c r="BB60" s="373"/>
      <c r="BC60" s="373">
        <f>(L60+N60)*'Capital Structure '!$H$21/12</f>
        <v>7882.4081755126545</v>
      </c>
      <c r="BD60" s="373">
        <f>(L60+N60)*'Capital Structure '!$H$34/12</f>
        <v>15735.898258462461</v>
      </c>
      <c r="BE60" s="373">
        <f>(L60+N60)*'Capital Structure '!$H$18/12</f>
        <v>22785.272508887505</v>
      </c>
      <c r="BF60" s="373">
        <f>'RGGI II On Bill Fin''g'!L15*'Capital Structure '!$H$34/12</f>
        <v>12439.937365838698</v>
      </c>
      <c r="BG60" s="373">
        <f>'RGGI II On Bill Fin''g'!L15*('Capital Structure '!$H$18+'Capital Structure '!$H$21)/12</f>
        <v>24244.18489515295</v>
      </c>
      <c r="BH60" s="372">
        <f t="shared" si="41"/>
        <v>83087.70120385426</v>
      </c>
      <c r="BI60" s="373"/>
      <c r="BJ60" s="393">
        <f>47885.42+7.96+134.25+31728.68+363.03+528.17+1354.5-1500+3560.72+2083.22+91.98+18432.13+442.99+24478.06+10820.76+800.33-8014.46+142+8877.32+2861.8+4270.38+5444.95+940.96+42132.22+18558.98+10478.68+21.34</f>
        <v>226926.37</v>
      </c>
      <c r="BK60" s="393">
        <f t="shared" si="34"/>
        <v>423165.32087052095</v>
      </c>
      <c r="BL60" s="373"/>
      <c r="BM60" s="373"/>
      <c r="BN60" s="373"/>
      <c r="BO60" s="373"/>
      <c r="BP60" s="373"/>
      <c r="BQ60" s="373"/>
      <c r="BR60" s="373"/>
      <c r="BS60" s="373"/>
      <c r="BT60" s="395"/>
      <c r="BU60" s="373"/>
      <c r="BV60" s="374"/>
      <c r="BW60" s="373"/>
      <c r="BX60" s="373"/>
      <c r="BY60" s="373"/>
      <c r="BZ60" s="373"/>
      <c r="CA60" s="373"/>
      <c r="CB60" s="373"/>
      <c r="CC60" s="373"/>
      <c r="CD60" s="373"/>
      <c r="CE60" s="373"/>
      <c r="CF60" s="373"/>
      <c r="CG60" s="373"/>
      <c r="CH60" s="373"/>
      <c r="CI60" s="373"/>
      <c r="CJ60" s="373"/>
      <c r="CK60" s="373"/>
      <c r="CL60" s="373"/>
      <c r="CM60" s="373"/>
      <c r="CN60" s="373"/>
      <c r="CO60" s="373"/>
      <c r="CP60" s="373"/>
      <c r="CQ60" s="373"/>
      <c r="CR60" s="373"/>
      <c r="CS60" s="373"/>
      <c r="CT60" s="373"/>
      <c r="CU60" s="373"/>
      <c r="CV60" s="373"/>
      <c r="CW60" s="373"/>
      <c r="CX60" s="373"/>
      <c r="CY60" s="373">
        <f t="shared" si="42"/>
        <v>163851.80573266477</v>
      </c>
      <c r="CZ60" s="373">
        <f t="shared" ref="CZ60:CZ68" si="45">CZ59+CY60</f>
        <v>473578.56250884914</v>
      </c>
      <c r="DA60" s="373">
        <f t="shared" si="43"/>
        <v>231662.54817854866</v>
      </c>
      <c r="DB60" s="375">
        <v>4.0000000000000001E-3</v>
      </c>
      <c r="DC60" s="372">
        <f t="shared" ref="DC60:DC70" si="46">(DA60)*DB60/12</f>
        <v>77.220849392849559</v>
      </c>
      <c r="DE60" s="353"/>
      <c r="DF60" s="353"/>
      <c r="DG60" s="353"/>
      <c r="DH60" s="353"/>
      <c r="DI60" s="353"/>
      <c r="DJ60" s="353"/>
      <c r="DK60" s="353"/>
      <c r="DL60" s="353"/>
      <c r="DM60" s="353"/>
      <c r="DN60" s="353"/>
      <c r="DO60" s="353"/>
      <c r="DP60" s="353"/>
      <c r="DQ60" s="353"/>
      <c r="DR60" s="353"/>
      <c r="DS60" s="353"/>
      <c r="DT60" s="353"/>
      <c r="DU60" s="353"/>
      <c r="DV60" s="353"/>
      <c r="DW60" s="353"/>
      <c r="DX60" s="353"/>
      <c r="DY60" s="353"/>
      <c r="DZ60" s="353"/>
      <c r="EA60" s="353"/>
      <c r="EB60" s="353"/>
      <c r="EC60" s="353"/>
      <c r="ED60" s="353"/>
      <c r="EE60" s="353"/>
      <c r="EF60" s="353"/>
      <c r="EG60" s="353"/>
      <c r="EH60" s="353"/>
      <c r="EI60" s="353"/>
      <c r="EJ60" s="353"/>
      <c r="EK60" s="353"/>
      <c r="EL60" s="353"/>
      <c r="EM60" s="353"/>
      <c r="EN60" s="353"/>
      <c r="EO60" s="353"/>
      <c r="EP60" s="353"/>
      <c r="EQ60" s="353"/>
      <c r="ER60" s="353"/>
      <c r="ES60" s="353"/>
      <c r="ET60" s="353"/>
      <c r="EU60" s="353"/>
      <c r="EV60" s="353"/>
      <c r="EW60" s="353"/>
      <c r="EX60" s="353"/>
      <c r="EY60" s="353"/>
      <c r="EZ60" s="353"/>
      <c r="FA60" s="353"/>
      <c r="FB60" s="353"/>
      <c r="FC60" s="353"/>
      <c r="FD60" s="353"/>
      <c r="FE60" s="353"/>
      <c r="FF60" s="353"/>
      <c r="FG60" s="353"/>
      <c r="FH60" s="353"/>
      <c r="FI60" s="353"/>
      <c r="FJ60" s="353"/>
      <c r="FK60" s="353"/>
      <c r="FL60" s="353"/>
      <c r="FM60" s="353"/>
      <c r="FN60" s="353"/>
      <c r="FO60" s="353"/>
      <c r="FP60" s="353"/>
      <c r="FQ60" s="353"/>
    </row>
    <row r="61" spans="1:173" s="351" customFormat="1" hidden="1" outlineLevel="1">
      <c r="A61" s="356" t="s">
        <v>52</v>
      </c>
      <c r="B61" s="356">
        <f>+B60</f>
        <v>2012</v>
      </c>
      <c r="C61" s="392" t="s">
        <v>47</v>
      </c>
      <c r="D61" s="373">
        <f>+'E3 - Invest Amort deferred tax'!AN45+'E3 - Financing upfront'!H45+'E3 - Financing upfront'!Q45</f>
        <v>6125216.5483333385</v>
      </c>
      <c r="E61" s="373">
        <f>+'E3 - Invest Amort deferred tax'!AN45</f>
        <v>6125216.8183333389</v>
      </c>
      <c r="F61" s="393">
        <f>+'E3 - Invest Amort deferred tax'!BT45</f>
        <v>-2502151.0702891652</v>
      </c>
      <c r="G61" s="394"/>
      <c r="H61" s="373">
        <f>+'RGGI - Invest Amort deferred'!AI28</f>
        <v>7049603.1150000012</v>
      </c>
      <c r="I61" s="373">
        <f>+'RGGI - Invest Amort deferred'!AI28</f>
        <v>7049603.1150000012</v>
      </c>
      <c r="J61" s="393">
        <f>+'RGGI - Invest Amort deferred'!BL28</f>
        <v>-2816113.3035083339</v>
      </c>
      <c r="K61" s="393"/>
      <c r="L61" s="373">
        <f>'RGGI II Invest Amort Def'!AI16</f>
        <v>6821912.0559999999</v>
      </c>
      <c r="M61" s="393">
        <f>'RGGI II Invest Amort Def'!AI16</f>
        <v>6821912.0559999999</v>
      </c>
      <c r="N61" s="393">
        <f>'RGGI II Invest Amort Def'!BK16</f>
        <v>-1203707.2178159999</v>
      </c>
      <c r="O61" s="394"/>
      <c r="P61" s="374"/>
      <c r="Q61" s="374"/>
      <c r="R61" s="374"/>
      <c r="S61" s="374"/>
      <c r="T61" s="394"/>
      <c r="U61" s="394"/>
      <c r="V61" s="394"/>
      <c r="W61" s="394"/>
      <c r="X61" s="394"/>
      <c r="Y61" s="394"/>
      <c r="Z61" s="384">
        <v>87867207.150000006</v>
      </c>
      <c r="AA61" s="530">
        <f t="shared" si="44"/>
        <v>1.1900000000000001E-2</v>
      </c>
      <c r="AB61" s="372">
        <f t="shared" si="37"/>
        <v>1045619.7650850002</v>
      </c>
      <c r="AC61" s="372"/>
      <c r="AD61" s="372">
        <f>+'E3 - Invest Amort deferred tax'!AL45</f>
        <v>292918.90562500007</v>
      </c>
      <c r="AE61" s="373"/>
      <c r="AF61" s="373">
        <f>(D61+F61)*'Capital Structure '!$F$21/12</f>
        <v>7487.2636465696933</v>
      </c>
      <c r="AG61" s="373">
        <f>(D61+F61)*'Capital Structure '!$E$34/12</f>
        <v>11005.096136368937</v>
      </c>
      <c r="AH61" s="373">
        <f>(D61+F61)*'Capital Structure '!$F$18/12</f>
        <v>15935.163683383666</v>
      </c>
      <c r="AI61" s="372">
        <f t="shared" si="38"/>
        <v>34427.523466322295</v>
      </c>
      <c r="AJ61" s="373"/>
      <c r="AK61" s="372">
        <v>0</v>
      </c>
      <c r="AL61" s="372">
        <v>0</v>
      </c>
      <c r="AM61" s="373">
        <f t="shared" si="39"/>
        <v>327346.42909132235</v>
      </c>
      <c r="AO61" s="372">
        <f>+'RGGI - Invest Amort deferred'!AG28</f>
        <v>159988.28666666665</v>
      </c>
      <c r="AP61" s="373"/>
      <c r="AQ61" s="373">
        <f>(H61+J61)*'Capital Structure '!$F$21/12</f>
        <v>8748.739032123638</v>
      </c>
      <c r="AR61" s="373">
        <f>(H61+J61)*'Capital Structure '!$E$34/12</f>
        <v>12859.265903456624</v>
      </c>
      <c r="AS61" s="373">
        <f>(H61+J61)*'Capital Structure '!$F$18/12</f>
        <v>18619.965194356413</v>
      </c>
      <c r="AT61" s="373">
        <f>'RGGI - On-bill financing'!J28*'Capital Structure '!$E$34/12</f>
        <v>11492.858794466405</v>
      </c>
      <c r="AU61" s="373">
        <f>'RGGI - On-bill financing'!J28*('Capital Structure '!$F$18+'Capital Structure '!$F$21)/12</f>
        <v>24460.545059411223</v>
      </c>
      <c r="AV61" s="372">
        <f t="shared" si="40"/>
        <v>76181.373983814294</v>
      </c>
      <c r="AW61" s="373"/>
      <c r="AX61" s="372">
        <v>0</v>
      </c>
      <c r="AY61" s="373">
        <f t="shared" si="0"/>
        <v>236169.66065048095</v>
      </c>
      <c r="AZ61" s="373"/>
      <c r="BA61" s="373">
        <f>'RGGI II Invest Amort Def'!AG16</f>
        <v>125976.24966666667</v>
      </c>
      <c r="BB61" s="373"/>
      <c r="BC61" s="373">
        <f>(L61+N61)*'Capital Structure '!$H$21/12</f>
        <v>8548.3561623520382</v>
      </c>
      <c r="BD61" s="373">
        <f>(L61+N61)*'Capital Structure '!$H$34/12</f>
        <v>17065.35107706772</v>
      </c>
      <c r="BE61" s="373">
        <f>(L61+N61)*'Capital Structure '!$H$18/12</f>
        <v>24710.294154432213</v>
      </c>
      <c r="BF61" s="373">
        <f>'RGGI II On Bill Fin''g'!L16*'Capital Structure '!$H$34/12</f>
        <v>14025.570376593278</v>
      </c>
      <c r="BG61" s="373">
        <f>'RGGI II On Bill Fin''g'!L16*('Capital Structure '!$H$18+'Capital Structure '!$H$21)/12</f>
        <v>27334.423917911914</v>
      </c>
      <c r="BH61" s="372">
        <f t="shared" si="41"/>
        <v>91683.995688357158</v>
      </c>
      <c r="BI61" s="373"/>
      <c r="BJ61" s="393">
        <f>73124.49+70092.74+64.2+82.69+46607.34+42151.9+255.02+169.43+178.68+32348.63-3000+5388.7+2444.65+106.52+27404.32+1423.53+20806.52-57730.95+273.41+232.18+2811.42+106.5-2.21+2100.03+12213.21+2320.9+706.47+3882.57+962.84+42132.22+19688.83-657.12</f>
        <v>348689.66000000009</v>
      </c>
      <c r="BK61" s="393">
        <f t="shared" si="34"/>
        <v>566349.90535502392</v>
      </c>
      <c r="BL61" s="373"/>
      <c r="BM61" s="373"/>
      <c r="BN61" s="373"/>
      <c r="BO61" s="373"/>
      <c r="BP61" s="373"/>
      <c r="BQ61" s="373"/>
      <c r="BR61" s="373"/>
      <c r="BS61" s="373"/>
      <c r="BT61" s="395"/>
      <c r="BU61" s="373"/>
      <c r="BV61" s="374"/>
      <c r="BW61" s="373"/>
      <c r="BX61" s="373"/>
      <c r="BY61" s="373"/>
      <c r="BZ61" s="373"/>
      <c r="CA61" s="373"/>
      <c r="CB61" s="373"/>
      <c r="CC61" s="373"/>
      <c r="CD61" s="373"/>
      <c r="CE61" s="373"/>
      <c r="CF61" s="373"/>
      <c r="CG61" s="373"/>
      <c r="CH61" s="373"/>
      <c r="CI61" s="373"/>
      <c r="CJ61" s="373"/>
      <c r="CK61" s="373"/>
      <c r="CL61" s="373"/>
      <c r="CM61" s="373"/>
      <c r="CN61" s="373"/>
      <c r="CO61" s="373"/>
      <c r="CP61" s="373"/>
      <c r="CQ61" s="373"/>
      <c r="CR61" s="373"/>
      <c r="CS61" s="373"/>
      <c r="CT61" s="373"/>
      <c r="CU61" s="373"/>
      <c r="CV61" s="373"/>
      <c r="CW61" s="373"/>
      <c r="CX61" s="373"/>
      <c r="CY61" s="373">
        <f t="shared" si="42"/>
        <v>84246.230011827196</v>
      </c>
      <c r="CZ61" s="373">
        <f t="shared" si="45"/>
        <v>557824.79252067627</v>
      </c>
      <c r="DA61" s="373">
        <f t="shared" si="43"/>
        <v>305037.54224998219</v>
      </c>
      <c r="DB61" s="375">
        <v>4.0000000000000001E-3</v>
      </c>
      <c r="DC61" s="372">
        <f t="shared" si="46"/>
        <v>101.67918074999407</v>
      </c>
      <c r="DE61" s="353"/>
      <c r="DF61" s="353"/>
      <c r="DG61" s="353"/>
      <c r="DH61" s="353"/>
      <c r="DI61" s="353"/>
      <c r="DJ61" s="353"/>
      <c r="DK61" s="353"/>
      <c r="DL61" s="353"/>
      <c r="DM61" s="353"/>
      <c r="DN61" s="353"/>
      <c r="DO61" s="353"/>
      <c r="DP61" s="353"/>
      <c r="DQ61" s="353"/>
      <c r="DR61" s="353"/>
      <c r="DS61" s="353"/>
      <c r="DT61" s="353"/>
      <c r="DU61" s="353"/>
      <c r="DV61" s="353"/>
      <c r="DW61" s="353"/>
      <c r="DX61" s="353"/>
      <c r="DY61" s="353"/>
      <c r="DZ61" s="353"/>
      <c r="EA61" s="353"/>
      <c r="EB61" s="353"/>
      <c r="EC61" s="353"/>
      <c r="ED61" s="353"/>
      <c r="EE61" s="353"/>
      <c r="EF61" s="353"/>
      <c r="EG61" s="353"/>
      <c r="EH61" s="353"/>
      <c r="EI61" s="353"/>
      <c r="EJ61" s="353"/>
      <c r="EK61" s="353"/>
      <c r="EL61" s="353"/>
      <c r="EM61" s="353"/>
      <c r="EN61" s="353"/>
      <c r="EO61" s="353"/>
      <c r="EP61" s="353"/>
      <c r="EQ61" s="353"/>
      <c r="ER61" s="353"/>
      <c r="ES61" s="353"/>
      <c r="ET61" s="353"/>
      <c r="EU61" s="353"/>
      <c r="EV61" s="353"/>
      <c r="EW61" s="353"/>
      <c r="EX61" s="353"/>
      <c r="EY61" s="353"/>
      <c r="EZ61" s="353"/>
      <c r="FA61" s="353"/>
      <c r="FB61" s="353"/>
      <c r="FC61" s="353"/>
      <c r="FD61" s="353"/>
      <c r="FE61" s="353"/>
      <c r="FF61" s="353"/>
      <c r="FG61" s="353"/>
      <c r="FH61" s="353"/>
      <c r="FI61" s="353"/>
      <c r="FJ61" s="353"/>
      <c r="FK61" s="353"/>
      <c r="FL61" s="353"/>
      <c r="FM61" s="353"/>
      <c r="FN61" s="353"/>
      <c r="FO61" s="353"/>
      <c r="FP61" s="353"/>
      <c r="FQ61" s="353"/>
    </row>
    <row r="62" spans="1:173" s="351" customFormat="1" hidden="1" outlineLevel="1">
      <c r="A62" s="356" t="s">
        <v>53</v>
      </c>
      <c r="B62" s="356">
        <f>+B61+1</f>
        <v>2013</v>
      </c>
      <c r="C62" s="392" t="s">
        <v>47</v>
      </c>
      <c r="D62" s="373">
        <f>+'E3 - Invest Amort deferred tax'!AN46+'E3 - Financing upfront'!H46+'E3 - Financing upfront'!Q46</f>
        <v>5832297.6427083388</v>
      </c>
      <c r="E62" s="373">
        <f>+'E3 - Invest Amort deferred tax'!AN46</f>
        <v>5832297.9127083393</v>
      </c>
      <c r="F62" s="393">
        <f>+'E3 - Invest Amort deferred tax'!BT46</f>
        <v>-2382493.6973413527</v>
      </c>
      <c r="G62" s="394"/>
      <c r="H62" s="373">
        <f>+'RGGI - Invest Amort deferred'!AI29</f>
        <v>6889614.828333335</v>
      </c>
      <c r="I62" s="373">
        <f>+'RGGI - Invest Amort deferred'!AI29</f>
        <v>6889614.828333335</v>
      </c>
      <c r="J62" s="393">
        <f>+'RGGI - Invest Amort deferred'!BL29</f>
        <v>-2800836.3941208338</v>
      </c>
      <c r="K62" s="393"/>
      <c r="L62" s="373">
        <f>'RGGI II Invest Amort Def'!AI17</f>
        <v>7496752.148</v>
      </c>
      <c r="M62" s="393">
        <f>'RGGI II Invest Amort Def'!AI17</f>
        <v>7496752.148</v>
      </c>
      <c r="N62" s="393">
        <f>'RGGI II Invest Amort Def'!BK17</f>
        <v>-1431730.9504879999</v>
      </c>
      <c r="O62" s="394"/>
      <c r="P62" s="374"/>
      <c r="Q62" s="374"/>
      <c r="R62" s="374"/>
      <c r="S62" s="374"/>
      <c r="T62" s="394"/>
      <c r="U62" s="394"/>
      <c r="V62" s="394"/>
      <c r="W62" s="394"/>
      <c r="X62" s="394"/>
      <c r="Y62" s="394"/>
      <c r="Z62" s="384">
        <v>112155988.99000001</v>
      </c>
      <c r="AA62" s="530">
        <f t="shared" si="44"/>
        <v>1.1900000000000001E-2</v>
      </c>
      <c r="AB62" s="372">
        <f t="shared" si="37"/>
        <v>1334656.2689810002</v>
      </c>
      <c r="AC62" s="372"/>
      <c r="AD62" s="372">
        <f>+'E3 - Invest Amort deferred tax'!AL46</f>
        <v>292918.90562500007</v>
      </c>
      <c r="AE62" s="373"/>
      <c r="AF62" s="373">
        <f>(D62+F62)*'Capital Structure '!$F$21/12</f>
        <v>7129.2091805866103</v>
      </c>
      <c r="AG62" s="373">
        <f>(D62+F62)*'Capital Structure '!$E$34/12</f>
        <v>10478.812569206804</v>
      </c>
      <c r="AH62" s="373">
        <f>(D62+F62)*'Capital Structure '!$F$18/12</f>
        <v>15173.115384787821</v>
      </c>
      <c r="AI62" s="372">
        <f>SUM(AF62:AH62)</f>
        <v>32781.137134581237</v>
      </c>
      <c r="AJ62" s="373"/>
      <c r="AK62" s="372">
        <v>0</v>
      </c>
      <c r="AL62" s="372">
        <v>0</v>
      </c>
      <c r="AM62" s="373">
        <f t="shared" si="39"/>
        <v>325700.04275958129</v>
      </c>
      <c r="AO62" s="372">
        <f>+'RGGI - Invest Amort deferred'!AG29</f>
        <v>159988.28666666665</v>
      </c>
      <c r="AP62" s="373"/>
      <c r="AQ62" s="373">
        <f>(H62+J62)*'Capital Structure '!$F$21/12</f>
        <v>8449.6850291216742</v>
      </c>
      <c r="AR62" s="373">
        <f>(H62+J62)*'Capital Structure '!$E$34/12</f>
        <v>12419.703707124669</v>
      </c>
      <c r="AS62" s="373">
        <f>(H62+J62)*'Capital Structure '!$F$18/12</f>
        <v>17983.487742384928</v>
      </c>
      <c r="AT62" s="373">
        <f>'RGGI - On-bill financing'!J29*'Capital Structure '!$E$34/12</f>
        <v>11336.349654814128</v>
      </c>
      <c r="AU62" s="373">
        <f>'RGGI - On-bill financing'!J29*('Capital Structure '!$F$18+'Capital Structure '!$F$21)/12</f>
        <v>24127.442658073323</v>
      </c>
      <c r="AV62" s="372">
        <f t="shared" si="40"/>
        <v>74316.668791518721</v>
      </c>
      <c r="AW62" s="373"/>
      <c r="AX62" s="372">
        <v>0</v>
      </c>
      <c r="AY62" s="373">
        <f t="shared" si="0"/>
        <v>234304.95545818537</v>
      </c>
      <c r="AZ62" s="373"/>
      <c r="BA62" s="373">
        <f>'RGGI II Invest Amort Def'!AG17</f>
        <v>139549.408</v>
      </c>
      <c r="BB62" s="373"/>
      <c r="BC62" s="373">
        <f>(L62+N62)*'Capital Structure '!$H$21/12</f>
        <v>9228.2077321527267</v>
      </c>
      <c r="BD62" s="373">
        <f>(L62+N62)*'Capital Structure '!$H$34/12</f>
        <v>18422.560053694189</v>
      </c>
      <c r="BE62" s="373">
        <f>(L62+N62)*'Capital Structure '!$H$18/12</f>
        <v>26675.506173219372</v>
      </c>
      <c r="BF62" s="373">
        <f>'RGGI II On Bill Fin''g'!L17*'Capital Structure '!$H$34/12</f>
        <v>15974.010336852079</v>
      </c>
      <c r="BG62" s="373">
        <f>'RGGI II On Bill Fin''g'!L17*('Capital Structure '!$H$18+'Capital Structure '!$H$21)/12</f>
        <v>31131.737140994534</v>
      </c>
      <c r="BH62" s="372">
        <f t="shared" si="41"/>
        <v>101432.0214369129</v>
      </c>
      <c r="BI62" s="373"/>
      <c r="BJ62" s="393">
        <f>48896.33+443.21+215.08+32071.64+384.24+1307.45+5387.37+2977.84+110.29+19046.25+529.03+15379.11+8981.47+625.79+3046.98+4240.21+14954.46+3442.07+572.84+8001.25+965.66+42132.22+18500.67-1250</f>
        <v>230961.46000000002</v>
      </c>
      <c r="BK62" s="393">
        <f t="shared" si="34"/>
        <v>471942.8894369129</v>
      </c>
      <c r="BL62" s="373"/>
      <c r="BM62" s="373"/>
      <c r="BN62" s="373"/>
      <c r="BO62" s="373"/>
      <c r="BP62" s="373"/>
      <c r="BQ62" s="373"/>
      <c r="BR62" s="373"/>
      <c r="BS62" s="373"/>
      <c r="BT62" s="395"/>
      <c r="BU62" s="373"/>
      <c r="BV62" s="374"/>
      <c r="BW62" s="373"/>
      <c r="BX62" s="373"/>
      <c r="BY62" s="373"/>
      <c r="BZ62" s="373"/>
      <c r="CA62" s="373"/>
      <c r="CB62" s="373"/>
      <c r="CC62" s="373"/>
      <c r="CD62" s="373"/>
      <c r="CE62" s="373"/>
      <c r="CF62" s="373"/>
      <c r="CG62" s="373"/>
      <c r="CH62" s="373"/>
      <c r="CI62" s="373"/>
      <c r="CJ62" s="373"/>
      <c r="CK62" s="373"/>
      <c r="CL62" s="373"/>
      <c r="CM62" s="373"/>
      <c r="CN62" s="373"/>
      <c r="CO62" s="373"/>
      <c r="CP62" s="373"/>
      <c r="CQ62" s="373"/>
      <c r="CR62" s="373"/>
      <c r="CS62" s="373"/>
      <c r="CT62" s="373"/>
      <c r="CU62" s="373"/>
      <c r="CV62" s="373"/>
      <c r="CW62" s="373"/>
      <c r="CX62" s="373"/>
      <c r="CY62" s="373">
        <f t="shared" si="42"/>
        <v>-302708.38132632058</v>
      </c>
      <c r="CZ62" s="373">
        <f t="shared" si="45"/>
        <v>255116.41119435569</v>
      </c>
      <c r="DA62" s="373">
        <f t="shared" si="43"/>
        <v>240427.36099872072</v>
      </c>
      <c r="DB62" s="375">
        <v>4.0000000000000001E-3</v>
      </c>
      <c r="DC62" s="372">
        <f t="shared" si="46"/>
        <v>80.142453666240243</v>
      </c>
      <c r="DE62" s="353"/>
      <c r="DF62" s="353"/>
      <c r="DG62" s="353"/>
      <c r="DH62" s="353"/>
      <c r="DI62" s="353"/>
      <c r="DJ62" s="353"/>
      <c r="DK62" s="353"/>
      <c r="DL62" s="353"/>
      <c r="DM62" s="353"/>
      <c r="DN62" s="353"/>
      <c r="DO62" s="353"/>
      <c r="DP62" s="353"/>
      <c r="DQ62" s="353"/>
      <c r="DR62" s="353"/>
      <c r="DS62" s="353"/>
      <c r="DT62" s="353"/>
      <c r="DU62" s="353"/>
      <c r="DV62" s="353"/>
      <c r="DW62" s="353"/>
      <c r="DX62" s="353"/>
      <c r="DY62" s="353"/>
      <c r="DZ62" s="353"/>
      <c r="EA62" s="353"/>
      <c r="EB62" s="353"/>
      <c r="EC62" s="353"/>
      <c r="ED62" s="353"/>
      <c r="EE62" s="353"/>
      <c r="EF62" s="353"/>
      <c r="EG62" s="353"/>
      <c r="EH62" s="353"/>
      <c r="EI62" s="353"/>
      <c r="EJ62" s="353"/>
      <c r="EK62" s="353"/>
      <c r="EL62" s="353"/>
      <c r="EM62" s="353"/>
      <c r="EN62" s="353"/>
      <c r="EO62" s="353"/>
      <c r="EP62" s="353"/>
      <c r="EQ62" s="353"/>
      <c r="ER62" s="353"/>
      <c r="ES62" s="353"/>
      <c r="ET62" s="353"/>
      <c r="EU62" s="353"/>
      <c r="EV62" s="353"/>
      <c r="EW62" s="353"/>
      <c r="EX62" s="353"/>
      <c r="EY62" s="353"/>
      <c r="EZ62" s="353"/>
      <c r="FA62" s="353"/>
      <c r="FB62" s="353"/>
      <c r="FC62" s="353"/>
      <c r="FD62" s="353"/>
      <c r="FE62" s="353"/>
      <c r="FF62" s="353"/>
      <c r="FG62" s="353"/>
      <c r="FH62" s="353"/>
      <c r="FI62" s="353"/>
      <c r="FJ62" s="353"/>
      <c r="FK62" s="353"/>
      <c r="FL62" s="353"/>
      <c r="FM62" s="353"/>
      <c r="FN62" s="353"/>
      <c r="FO62" s="353"/>
      <c r="FP62" s="353"/>
      <c r="FQ62" s="353"/>
    </row>
    <row r="63" spans="1:173" s="351" customFormat="1" hidden="1" outlineLevel="1">
      <c r="A63" s="356" t="s">
        <v>54</v>
      </c>
      <c r="B63" s="356">
        <f t="shared" ref="B63:B68" si="47">+B62</f>
        <v>2013</v>
      </c>
      <c r="C63" s="392" t="s">
        <v>47</v>
      </c>
      <c r="D63" s="373">
        <f>+'E3 - Invest Amort deferred tax'!AN47+'E3 - Financing upfront'!H47+'E3 - Financing upfront'!Q47</f>
        <v>5539378.7370833391</v>
      </c>
      <c r="E63" s="373">
        <f>+'E3 - Invest Amort deferred tax'!AN47</f>
        <v>5539379.0070833396</v>
      </c>
      <c r="F63" s="393">
        <f>+'E3 - Invest Amort deferred tax'!BT47</f>
        <v>-2262836.3243935402</v>
      </c>
      <c r="G63" s="394"/>
      <c r="H63" s="373">
        <f>+'RGGI - Invest Amort deferred'!AI30</f>
        <v>6729626.5416666679</v>
      </c>
      <c r="I63" s="373">
        <f>+'RGGI - Invest Amort deferred'!AI30</f>
        <v>6729626.5416666679</v>
      </c>
      <c r="J63" s="393">
        <f>+'RGGI - Invest Amort deferred'!BL30</f>
        <v>-2747505.4323458336</v>
      </c>
      <c r="K63" s="393"/>
      <c r="L63" s="393">
        <f>'RGGI II Invest Amort Def'!AI18</f>
        <v>8328441.0733333332</v>
      </c>
      <c r="M63" s="393">
        <f>'RGGI II Invest Amort Def'!AI18</f>
        <v>8328441.0733333332</v>
      </c>
      <c r="N63" s="393">
        <f>'RGGI II Invest Amort Def'!BK18</f>
        <v>-1686346.6714933333</v>
      </c>
      <c r="O63" s="394"/>
      <c r="P63" s="374"/>
      <c r="Q63" s="374"/>
      <c r="R63" s="374"/>
      <c r="S63" s="374"/>
      <c r="T63" s="394"/>
      <c r="U63" s="394"/>
      <c r="V63" s="394"/>
      <c r="W63" s="394"/>
      <c r="X63" s="394"/>
      <c r="Y63" s="394"/>
      <c r="Z63" s="384">
        <v>104641795.72999997</v>
      </c>
      <c r="AA63" s="530">
        <f t="shared" si="44"/>
        <v>1.1900000000000001E-2</v>
      </c>
      <c r="AB63" s="372">
        <f t="shared" si="37"/>
        <v>1245237.3691869997</v>
      </c>
      <c r="AC63" s="372"/>
      <c r="AD63" s="372">
        <f>+'E3 - Invest Amort deferred tax'!AL47</f>
        <v>292918.90562500007</v>
      </c>
      <c r="AE63" s="373"/>
      <c r="AF63" s="373">
        <f>(D63+F63)*'Capital Structure '!$F$21/12</f>
        <v>6771.1547146035273</v>
      </c>
      <c r="AG63" s="373">
        <f>(D63+F63)*'Capital Structure '!$E$34/12</f>
        <v>9952.5290020446682</v>
      </c>
      <c r="AH63" s="373">
        <f>(D63+F63)*'Capital Structure '!$F$18/12</f>
        <v>14411.067086191977</v>
      </c>
      <c r="AI63" s="372">
        <f t="shared" si="38"/>
        <v>31134.750802840172</v>
      </c>
      <c r="AJ63" s="373"/>
      <c r="AK63" s="372">
        <v>0</v>
      </c>
      <c r="AL63" s="372">
        <v>0</v>
      </c>
      <c r="AM63" s="373">
        <f t="shared" si="39"/>
        <v>324053.65642784024</v>
      </c>
      <c r="AO63" s="372">
        <f>+'RGGI - Invest Amort deferred'!AG30</f>
        <v>159988.28666666665</v>
      </c>
      <c r="AP63" s="373"/>
      <c r="AQ63" s="373">
        <f>(H63+J63)*'Capital Structure '!$F$21/12</f>
        <v>8229.2718138096407</v>
      </c>
      <c r="AR63" s="373">
        <f>(H63+J63)*'Capital Structure '!$E$34/12</f>
        <v>12095.731059875035</v>
      </c>
      <c r="AS63" s="373">
        <f>(H63+J63)*'Capital Structure '!$F$18/12</f>
        <v>17514.381693797026</v>
      </c>
      <c r="AT63" s="373">
        <f>'RGGI - On-bill financing'!J30*'Capital Structure '!$E$34/12</f>
        <v>11238.948568535967</v>
      </c>
      <c r="AU63" s="373">
        <f>'RGGI - On-bill financing'!J30*('Capital Structure '!$F$18+'Capital Structure '!$F$21)/12</f>
        <v>23920.141437171715</v>
      </c>
      <c r="AV63" s="372">
        <f t="shared" si="40"/>
        <v>72998.474573189378</v>
      </c>
      <c r="AW63" s="373"/>
      <c r="AX63" s="372">
        <v>0</v>
      </c>
      <c r="AY63" s="373">
        <f t="shared" si="0"/>
        <v>232986.76123985602</v>
      </c>
      <c r="AZ63" s="373"/>
      <c r="BA63" s="373">
        <f>'RGGI II Invest Amort Def'!AG18</f>
        <v>156011.07466666665</v>
      </c>
      <c r="BB63" s="373"/>
      <c r="BC63" s="373">
        <f>(L63+N63)*'Capital Structure '!$H$21/12</f>
        <v>10106.251061726309</v>
      </c>
      <c r="BD63" s="373">
        <f>(L63+N63)*'Capital Structure '!$H$34/12</f>
        <v>20175.425446229245</v>
      </c>
      <c r="BE63" s="373">
        <f>(L63+N63)*'Capital Structure '!$H$18/12</f>
        <v>29213.620933768907</v>
      </c>
      <c r="BF63" s="373">
        <f>'RGGI II On Bill Fin''g'!L18*'Capital Structure '!$H$34/12</f>
        <v>18553.794903729286</v>
      </c>
      <c r="BG63" s="373">
        <f>'RGGI II On Bill Fin''g'!L18*('Capital Structure '!$H$18+'Capital Structure '!$H$21)/12</f>
        <v>36159.477409268489</v>
      </c>
      <c r="BH63" s="372">
        <f t="shared" si="41"/>
        <v>114208.56975472224</v>
      </c>
      <c r="BI63" s="373"/>
      <c r="BJ63" s="393">
        <f>47124.7+1149.26+121.44+32071.64+163.3+2625+3540.98+108.14+18956.77+820.87+481.61+606.05+822.9+17.56+797.36+5803.99+960.04-750+82784.99+13806.78</f>
        <v>212013.38</v>
      </c>
      <c r="BK63" s="393">
        <f t="shared" si="34"/>
        <v>482233.02442138887</v>
      </c>
      <c r="BL63" s="373"/>
      <c r="BM63" s="373"/>
      <c r="BN63" s="373"/>
      <c r="BO63" s="373"/>
      <c r="BP63" s="373"/>
      <c r="BQ63" s="373"/>
      <c r="BR63" s="373"/>
      <c r="BS63" s="373"/>
      <c r="BT63" s="395"/>
      <c r="BU63" s="373"/>
      <c r="BV63" s="374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>
        <f t="shared" si="42"/>
        <v>-205963.92709791462</v>
      </c>
      <c r="CZ63" s="373">
        <f t="shared" si="45"/>
        <v>49152.484096441069</v>
      </c>
      <c r="DA63" s="373">
        <f t="shared" si="43"/>
        <v>89987.525782253142</v>
      </c>
      <c r="DB63" s="375">
        <v>4.0000000000000001E-3</v>
      </c>
      <c r="DC63" s="372">
        <f t="shared" si="46"/>
        <v>29.995841927417715</v>
      </c>
      <c r="DE63" s="353"/>
      <c r="DF63" s="353"/>
      <c r="DG63" s="353"/>
      <c r="DH63" s="353"/>
      <c r="DI63" s="353"/>
      <c r="DJ63" s="353"/>
      <c r="DK63" s="353"/>
      <c r="DL63" s="353"/>
      <c r="DM63" s="353"/>
      <c r="DN63" s="353"/>
      <c r="DO63" s="353"/>
      <c r="DP63" s="353"/>
      <c r="DQ63" s="353"/>
      <c r="DR63" s="353"/>
      <c r="DS63" s="353"/>
      <c r="DT63" s="353"/>
      <c r="DU63" s="353"/>
      <c r="DV63" s="353"/>
      <c r="DW63" s="353"/>
      <c r="DX63" s="353"/>
      <c r="DY63" s="353"/>
      <c r="DZ63" s="353"/>
      <c r="EA63" s="353"/>
      <c r="EB63" s="353"/>
      <c r="EC63" s="353"/>
      <c r="ED63" s="353"/>
      <c r="EE63" s="353"/>
      <c r="EF63" s="353"/>
      <c r="EG63" s="353"/>
      <c r="EH63" s="353"/>
      <c r="EI63" s="353"/>
      <c r="EJ63" s="353"/>
      <c r="EK63" s="353"/>
      <c r="EL63" s="353"/>
      <c r="EM63" s="353"/>
      <c r="EN63" s="353"/>
      <c r="EO63" s="353"/>
      <c r="EP63" s="353"/>
      <c r="EQ63" s="353"/>
      <c r="ER63" s="353"/>
      <c r="ES63" s="353"/>
      <c r="ET63" s="353"/>
      <c r="EU63" s="353"/>
      <c r="EV63" s="353"/>
      <c r="EW63" s="353"/>
      <c r="EX63" s="353"/>
      <c r="EY63" s="353"/>
      <c r="EZ63" s="353"/>
      <c r="FA63" s="353"/>
      <c r="FB63" s="353"/>
      <c r="FC63" s="353"/>
      <c r="FD63" s="353"/>
      <c r="FE63" s="353"/>
      <c r="FF63" s="353"/>
      <c r="FG63" s="353"/>
      <c r="FH63" s="353"/>
      <c r="FI63" s="353"/>
      <c r="FJ63" s="353"/>
      <c r="FK63" s="353"/>
      <c r="FL63" s="353"/>
      <c r="FM63" s="353"/>
      <c r="FN63" s="353"/>
      <c r="FO63" s="353"/>
      <c r="FP63" s="353"/>
      <c r="FQ63" s="353"/>
    </row>
    <row r="64" spans="1:173" s="351" customFormat="1" hidden="1" outlineLevel="1">
      <c r="A64" s="356" t="s">
        <v>55</v>
      </c>
      <c r="B64" s="356">
        <f t="shared" si="47"/>
        <v>2013</v>
      </c>
      <c r="C64" s="392" t="s">
        <v>47</v>
      </c>
      <c r="D64" s="373">
        <f>+'E3 - Invest Amort deferred tax'!AN48+'E3 - Financing upfront'!H48+'E3 - Financing upfront'!Q48</f>
        <v>5246459.8314583385</v>
      </c>
      <c r="E64" s="373">
        <f>+'E3 - Invest Amort deferred tax'!AN48</f>
        <v>5246460.101458339</v>
      </c>
      <c r="F64" s="393">
        <f>+'E3 - Invest Amort deferred tax'!BT48</f>
        <v>-2143178.9514457276</v>
      </c>
      <c r="G64" s="394"/>
      <c r="H64" s="373">
        <f>+'RGGI - Invest Amort deferred'!AI31</f>
        <v>6569638.2550000008</v>
      </c>
      <c r="I64" s="373">
        <f>+'RGGI - Invest Amort deferred'!AI31</f>
        <v>6569638.2550000008</v>
      </c>
      <c r="J64" s="393">
        <f>+'RGGI - Invest Amort deferred'!BL31</f>
        <v>-2681824.9355008337</v>
      </c>
      <c r="K64" s="393"/>
      <c r="L64" s="393">
        <f>'RGGI II Invest Amort Def'!AI19</f>
        <v>9240237.0736666676</v>
      </c>
      <c r="M64" s="393">
        <f>'RGGI II Invest Amort Def'!AI19</f>
        <v>9240237.0736666676</v>
      </c>
      <c r="N64" s="393">
        <f>'RGGI II Invest Amort Def'!BK19</f>
        <v>-1935070.6106153333</v>
      </c>
      <c r="O64" s="394"/>
      <c r="P64" s="374"/>
      <c r="Q64" s="374"/>
      <c r="R64" s="374"/>
      <c r="S64" s="374"/>
      <c r="T64" s="394"/>
      <c r="U64" s="394"/>
      <c r="V64" s="394"/>
      <c r="W64" s="394"/>
      <c r="X64" s="394"/>
      <c r="Y64" s="394"/>
      <c r="Z64" s="384">
        <v>94803280.280000046</v>
      </c>
      <c r="AA64" s="530">
        <f t="shared" si="44"/>
        <v>1.1900000000000001E-2</v>
      </c>
      <c r="AB64" s="372">
        <f t="shared" si="37"/>
        <v>1128159.0353320006</v>
      </c>
      <c r="AC64" s="372"/>
      <c r="AD64" s="372">
        <f>+'E3 - Invest Amort deferred tax'!AL48</f>
        <v>292918.90562500007</v>
      </c>
      <c r="AE64" s="373"/>
      <c r="AF64" s="373">
        <f>(D64+F64)*'Capital Structure '!$F$21/12</f>
        <v>6413.1002486204425</v>
      </c>
      <c r="AG64" s="373">
        <f>(D64+F64)*'Capital Structure '!$E$34/12</f>
        <v>9426.2454348825322</v>
      </c>
      <c r="AH64" s="373">
        <f>(D64+F64)*'Capital Structure '!$F$18/12</f>
        <v>13649.018787596127</v>
      </c>
      <c r="AI64" s="372">
        <f t="shared" si="38"/>
        <v>29488.364471099103</v>
      </c>
      <c r="AJ64" s="373"/>
      <c r="AK64" s="372">
        <v>0</v>
      </c>
      <c r="AL64" s="372">
        <v>0</v>
      </c>
      <c r="AM64" s="373">
        <f t="shared" si="39"/>
        <v>322407.27009609918</v>
      </c>
      <c r="AO64" s="372">
        <f>+'RGGI - Invest Amort deferred'!AG31</f>
        <v>159988.28666666665</v>
      </c>
      <c r="AP64" s="373"/>
      <c r="AQ64" s="373">
        <f>(H64+J64)*'Capital Structure '!$F$21/12</f>
        <v>8034.379590470282</v>
      </c>
      <c r="AR64" s="373">
        <f>(H64+J64)*'Capital Structure '!$E$34/12</f>
        <v>11809.270243838064</v>
      </c>
      <c r="AS64" s="373">
        <f>(H64+J64)*'Capital Structure '!$F$18/12</f>
        <v>17099.592042179229</v>
      </c>
      <c r="AT64" s="373">
        <f>'RGGI - On-bill financing'!J31*'Capital Structure '!$E$34/12</f>
        <v>11134.656588000917</v>
      </c>
      <c r="AU64" s="373">
        <f>'RGGI - On-bill financing'!J31*('Capital Structure '!$F$18+'Capital Structure '!$F$21)/12</f>
        <v>23698.17414993409</v>
      </c>
      <c r="AV64" s="372">
        <f t="shared" si="40"/>
        <v>71776.072614422577</v>
      </c>
      <c r="AW64" s="373"/>
      <c r="AX64" s="372">
        <v>0</v>
      </c>
      <c r="AY64" s="373">
        <f t="shared" si="0"/>
        <v>231764.35928108922</v>
      </c>
      <c r="AZ64" s="373"/>
      <c r="BA64" s="373">
        <f>'RGGI II Invest Amort Def'!AG19</f>
        <v>174109.49966666664</v>
      </c>
      <c r="BB64" s="373"/>
      <c r="BC64" s="373">
        <f>(L64+N64)*'Capital Structure '!$H$21/12</f>
        <v>11115.145593662159</v>
      </c>
      <c r="BD64" s="373">
        <f>(L64+N64)*'Capital Structure '!$H$34/12</f>
        <v>22189.513191314723</v>
      </c>
      <c r="BE64" s="373">
        <f>(L64+N64)*'Capital Structure '!$H$18/12</f>
        <v>32129.980545073835</v>
      </c>
      <c r="BF64" s="373">
        <f>'RGGI II On Bill Fin''g'!L19*'Capital Structure '!$H$34/12</f>
        <v>21822.369549724677</v>
      </c>
      <c r="BG64" s="373">
        <f>'RGGI II On Bill Fin''g'!L19*('Capital Structure '!$H$18+'Capital Structure '!$H$21)/12</f>
        <v>42529.600162356706</v>
      </c>
      <c r="BH64" s="372">
        <f t="shared" si="41"/>
        <v>129786.6090421321</v>
      </c>
      <c r="BI64" s="373"/>
      <c r="BJ64" s="393">
        <f>46283.96+777.44+168.12+131.5+32071.64+166.35+3662-1750+5385.13+2943.69+174.48+19490.33+1061.83+3510.23+8610.2+651.56+2385.44+417.2+140.08+4665.22+11846.63+2540.61+1446.91+11840.77+948.59+42132.22+19080.88</f>
        <v>220783.00999999998</v>
      </c>
      <c r="BK64" s="393">
        <f t="shared" si="34"/>
        <v>524679.11870879866</v>
      </c>
      <c r="BL64" s="373"/>
      <c r="BM64" s="373"/>
      <c r="BN64" s="373"/>
      <c r="BO64" s="373"/>
      <c r="BP64" s="373"/>
      <c r="BQ64" s="373"/>
      <c r="BR64" s="373"/>
      <c r="BS64" s="373"/>
      <c r="BT64" s="395"/>
      <c r="BU64" s="373"/>
      <c r="BV64" s="374"/>
      <c r="BW64" s="373"/>
      <c r="BX64" s="373"/>
      <c r="BY64" s="373"/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/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73"/>
      <c r="CV64" s="373"/>
      <c r="CW64" s="373"/>
      <c r="CX64" s="373"/>
      <c r="CY64" s="373">
        <f t="shared" si="42"/>
        <v>-49308.287246013526</v>
      </c>
      <c r="CZ64" s="373">
        <f t="shared" si="45"/>
        <v>-155.80314957245719</v>
      </c>
      <c r="DA64" s="373">
        <f t="shared" si="43"/>
        <v>14490.768390036392</v>
      </c>
      <c r="DB64" s="375">
        <v>4.0000000000000001E-3</v>
      </c>
      <c r="DC64" s="372">
        <f t="shared" si="46"/>
        <v>4.8302561300121303</v>
      </c>
      <c r="DE64" s="353"/>
      <c r="DF64" s="353"/>
      <c r="DG64" s="353"/>
      <c r="DH64" s="353"/>
      <c r="DI64" s="353"/>
      <c r="DJ64" s="353"/>
      <c r="DK64" s="353"/>
      <c r="DL64" s="353"/>
      <c r="DM64" s="353"/>
      <c r="DN64" s="353"/>
      <c r="DO64" s="353"/>
      <c r="DP64" s="353"/>
      <c r="DQ64" s="353"/>
      <c r="DR64" s="353"/>
      <c r="DS64" s="353"/>
      <c r="DT64" s="353"/>
      <c r="DU64" s="353"/>
      <c r="DV64" s="353"/>
      <c r="DW64" s="353"/>
      <c r="DX64" s="353"/>
      <c r="DY64" s="353"/>
      <c r="DZ64" s="353"/>
      <c r="EA64" s="353"/>
      <c r="EB64" s="353"/>
      <c r="EC64" s="353"/>
      <c r="ED64" s="353"/>
      <c r="EE64" s="353"/>
      <c r="EF64" s="353"/>
      <c r="EG64" s="353"/>
      <c r="EH64" s="353"/>
      <c r="EI64" s="353"/>
      <c r="EJ64" s="353"/>
      <c r="EK64" s="353"/>
      <c r="EL64" s="353"/>
      <c r="EM64" s="353"/>
      <c r="EN64" s="353"/>
      <c r="EO64" s="353"/>
      <c r="EP64" s="353"/>
      <c r="EQ64" s="353"/>
      <c r="ER64" s="353"/>
      <c r="ES64" s="353"/>
      <c r="ET64" s="353"/>
      <c r="EU64" s="353"/>
      <c r="EV64" s="353"/>
      <c r="EW64" s="353"/>
      <c r="EX64" s="353"/>
      <c r="EY64" s="353"/>
      <c r="EZ64" s="353"/>
      <c r="FA64" s="353"/>
      <c r="FB64" s="353"/>
      <c r="FC64" s="353"/>
      <c r="FD64" s="353"/>
      <c r="FE64" s="353"/>
      <c r="FF64" s="353"/>
      <c r="FG64" s="353"/>
      <c r="FH64" s="353"/>
      <c r="FI64" s="353"/>
      <c r="FJ64" s="353"/>
      <c r="FK64" s="353"/>
      <c r="FL64" s="353"/>
      <c r="FM64" s="353"/>
      <c r="FN64" s="353"/>
      <c r="FO64" s="353"/>
      <c r="FP64" s="353"/>
      <c r="FQ64" s="353"/>
    </row>
    <row r="65" spans="1:173" s="351" customFormat="1" hidden="1" outlineLevel="1">
      <c r="A65" s="356" t="s">
        <v>56</v>
      </c>
      <c r="B65" s="356">
        <f t="shared" si="47"/>
        <v>2013</v>
      </c>
      <c r="C65" s="392" t="s">
        <v>47</v>
      </c>
      <c r="D65" s="373">
        <f>+'E3 - Invest Amort deferred tax'!AN49+'E3 - Financing upfront'!H49+'E3 - Financing upfront'!Q49</f>
        <v>4953540.9258333379</v>
      </c>
      <c r="E65" s="373">
        <f>+'E3 - Invest Amort deferred tax'!AN49</f>
        <v>4953541.1958333384</v>
      </c>
      <c r="F65" s="393">
        <f>+'E3 - Invest Amort deferred tax'!BT49</f>
        <v>-2023521.5784979151</v>
      </c>
      <c r="G65" s="394"/>
      <c r="H65" s="373">
        <f>+'RGGI - Invest Amort deferred'!AI32</f>
        <v>6409649.9683333347</v>
      </c>
      <c r="I65" s="373">
        <f>+'RGGI - Invest Amort deferred'!AI32</f>
        <v>6409649.9683333347</v>
      </c>
      <c r="J65" s="393">
        <f>+'RGGI - Invest Amort deferred'!BL32</f>
        <v>-2617320.7620641668</v>
      </c>
      <c r="K65" s="393"/>
      <c r="L65" s="393">
        <f>'RGGI II Invest Amort Def'!AI20</f>
        <v>10391833.482333334</v>
      </c>
      <c r="M65" s="393">
        <f>'RGGI II Invest Amort Def'!AI20</f>
        <v>10391833.482333334</v>
      </c>
      <c r="N65" s="393">
        <f>'RGGI II Invest Amort Def'!BK20</f>
        <v>-2195603.2771040001</v>
      </c>
      <c r="O65" s="394"/>
      <c r="P65" s="374"/>
      <c r="Q65" s="374"/>
      <c r="R65" s="374"/>
      <c r="S65" s="374"/>
      <c r="T65" s="394"/>
      <c r="U65" s="394"/>
      <c r="V65" s="394"/>
      <c r="W65" s="394"/>
      <c r="X65" s="394"/>
      <c r="Y65" s="394"/>
      <c r="Z65" s="384">
        <v>44943807.299999997</v>
      </c>
      <c r="AA65" s="530">
        <f t="shared" si="44"/>
        <v>1.1900000000000001E-2</v>
      </c>
      <c r="AB65" s="372">
        <f t="shared" si="37"/>
        <v>534831.30686999997</v>
      </c>
      <c r="AC65" s="372"/>
      <c r="AD65" s="372">
        <f>+'E3 - Invest Amort deferred tax'!AL49</f>
        <v>292918.90562500007</v>
      </c>
      <c r="AE65" s="373"/>
      <c r="AF65" s="373">
        <f>(D65+F65)*'Capital Structure '!$F$21/12</f>
        <v>6055.0457826373568</v>
      </c>
      <c r="AG65" s="373">
        <f>(D65+F65)*'Capital Structure '!$E$34/12</f>
        <v>8899.9618677203925</v>
      </c>
      <c r="AH65" s="373">
        <f>(D65+F65)*'Capital Structure '!$F$18/12</f>
        <v>12886.970489000276</v>
      </c>
      <c r="AI65" s="372">
        <f t="shared" si="38"/>
        <v>27841.978139358027</v>
      </c>
      <c r="AJ65" s="373"/>
      <c r="AK65" s="372">
        <v>0</v>
      </c>
      <c r="AL65" s="372">
        <v>0</v>
      </c>
      <c r="AM65" s="373">
        <f t="shared" si="39"/>
        <v>320760.88376435812</v>
      </c>
      <c r="AO65" s="372">
        <f>+'RGGI - Invest Amort deferred'!AG32</f>
        <v>159988.28666666665</v>
      </c>
      <c r="AP65" s="373"/>
      <c r="AQ65" s="373">
        <f>(H65+J65)*'Capital Structure '!$F$21/12</f>
        <v>7837.0564302502107</v>
      </c>
      <c r="AR65" s="373">
        <f>(H65+J65)*'Capital Structure '!$E$34/12</f>
        <v>11519.236334166815</v>
      </c>
      <c r="AS65" s="373">
        <f>(H65+J65)*'Capital Structure '!$F$18/12</f>
        <v>16679.628620953907</v>
      </c>
      <c r="AT65" s="373">
        <f>'RGGI - On-bill financing'!J32*'Capital Structure '!$E$34/12</f>
        <v>11024.252773668743</v>
      </c>
      <c r="AU65" s="373">
        <f>'RGGI - On-bill financing'!J32*('Capital Structure '!$F$18+'Capital Structure '!$F$21)/12</f>
        <v>23463.19889064497</v>
      </c>
      <c r="AV65" s="372">
        <f t="shared" si="40"/>
        <v>70523.373049684655</v>
      </c>
      <c r="AW65" s="373"/>
      <c r="AX65" s="372">
        <v>0</v>
      </c>
      <c r="AY65" s="373">
        <f t="shared" si="0"/>
        <v>230511.65971635131</v>
      </c>
      <c r="AZ65" s="373"/>
      <c r="BA65" s="373">
        <f>'RGGI II Invest Amort Def'!AG20</f>
        <v>196579.09133333332</v>
      </c>
      <c r="BB65" s="373"/>
      <c r="BC65" s="373">
        <f>(L65+N65)*'Capital Structure '!$H$21/12</f>
        <v>12470.939917807504</v>
      </c>
      <c r="BD65" s="373">
        <f>(L65+N65)*'Capital Structure '!$H$34/12</f>
        <v>24896.127853878104</v>
      </c>
      <c r="BE65" s="373">
        <f>(L65+N65)*'Capital Structure '!$H$18/12</f>
        <v>36049.105570548105</v>
      </c>
      <c r="BF65" s="373">
        <f>'RGGI II On Bill Fin''g'!L20*'Capital Structure '!$H$34/12</f>
        <v>25322.859693205715</v>
      </c>
      <c r="BG65" s="373">
        <f>'RGGI II On Bill Fin''g'!L20*('Capital Structure '!$H$18+'Capital Structure '!$H$21)/12</f>
        <v>49351.702860017125</v>
      </c>
      <c r="BH65" s="372">
        <f t="shared" si="41"/>
        <v>148090.73589545654</v>
      </c>
      <c r="BI65" s="373"/>
      <c r="BJ65" s="393">
        <f>43410.74+416.46+321.39+32071.64+159.72+2625.14+245.95+5069.5-1750+5384.36+2967.58+130.04+19175.34+929.34+10451.01+5986.16+612.98+3751.84+136+4.86+4778.2+17835.64+4008.07+1351.82+4648.23+885.88+42132.22+20765.17+213328.63</f>
        <v>441833.91</v>
      </c>
      <c r="BK65" s="393">
        <f t="shared" si="34"/>
        <v>786503.73722878983</v>
      </c>
      <c r="BL65" s="373"/>
      <c r="BM65" s="373"/>
      <c r="BN65" s="373"/>
      <c r="BO65" s="373"/>
      <c r="BP65" s="373"/>
      <c r="BQ65" s="373"/>
      <c r="BR65" s="373"/>
      <c r="BS65" s="373"/>
      <c r="BT65" s="395"/>
      <c r="BU65" s="373"/>
      <c r="BV65" s="374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>
        <f t="shared" si="42"/>
        <v>802944.97383949929</v>
      </c>
      <c r="CZ65" s="373">
        <f t="shared" si="45"/>
        <v>802789.17068992683</v>
      </c>
      <c r="DA65" s="373">
        <f t="shared" si="43"/>
        <v>237378.81845005983</v>
      </c>
      <c r="DB65" s="375">
        <v>4.0000000000000001E-3</v>
      </c>
      <c r="DC65" s="372">
        <f t="shared" si="46"/>
        <v>79.126272816686608</v>
      </c>
      <c r="DE65" s="353"/>
      <c r="DF65" s="353"/>
      <c r="DG65" s="353"/>
      <c r="DH65" s="353"/>
      <c r="DI65" s="353"/>
      <c r="DJ65" s="353"/>
      <c r="DK65" s="353"/>
      <c r="DL65" s="353"/>
      <c r="DM65" s="353"/>
      <c r="DN65" s="353"/>
      <c r="DO65" s="353"/>
      <c r="DP65" s="353"/>
      <c r="DQ65" s="353"/>
      <c r="DR65" s="353"/>
      <c r="DS65" s="353"/>
      <c r="DT65" s="353"/>
      <c r="DU65" s="353"/>
      <c r="DV65" s="353"/>
      <c r="DW65" s="353"/>
      <c r="DX65" s="353"/>
      <c r="DY65" s="353"/>
      <c r="DZ65" s="353"/>
      <c r="EA65" s="353"/>
      <c r="EB65" s="353"/>
      <c r="EC65" s="353"/>
      <c r="ED65" s="353"/>
      <c r="EE65" s="353"/>
      <c r="EF65" s="353"/>
      <c r="EG65" s="353"/>
      <c r="EH65" s="353"/>
      <c r="EI65" s="353"/>
      <c r="EJ65" s="353"/>
      <c r="EK65" s="353"/>
      <c r="EL65" s="353"/>
      <c r="EM65" s="353"/>
      <c r="EN65" s="353"/>
      <c r="EO65" s="353"/>
      <c r="EP65" s="353"/>
      <c r="EQ65" s="353"/>
      <c r="ER65" s="353"/>
      <c r="ES65" s="353"/>
      <c r="ET65" s="353"/>
      <c r="EU65" s="353"/>
      <c r="EV65" s="353"/>
      <c r="EW65" s="353"/>
      <c r="EX65" s="353"/>
      <c r="EY65" s="353"/>
      <c r="EZ65" s="353"/>
      <c r="FA65" s="353"/>
      <c r="FB65" s="353"/>
      <c r="FC65" s="353"/>
      <c r="FD65" s="353"/>
      <c r="FE65" s="353"/>
      <c r="FF65" s="353"/>
      <c r="FG65" s="353"/>
      <c r="FH65" s="353"/>
      <c r="FI65" s="353"/>
      <c r="FJ65" s="353"/>
      <c r="FK65" s="353"/>
      <c r="FL65" s="353"/>
      <c r="FM65" s="353"/>
      <c r="FN65" s="353"/>
      <c r="FO65" s="353"/>
      <c r="FP65" s="353"/>
      <c r="FQ65" s="353"/>
    </row>
    <row r="66" spans="1:173" s="351" customFormat="1" hidden="1" outlineLevel="1">
      <c r="A66" s="356" t="s">
        <v>57</v>
      </c>
      <c r="B66" s="356">
        <f t="shared" si="47"/>
        <v>2013</v>
      </c>
      <c r="C66" s="392" t="s">
        <v>47</v>
      </c>
      <c r="D66" s="373">
        <f>+'E3 - Invest Amort deferred tax'!AN50+'E3 - Financing upfront'!H50+'E3 - Financing upfront'!Q50</f>
        <v>4660622.0202083373</v>
      </c>
      <c r="E66" s="373">
        <f>+'E3 - Invest Amort deferred tax'!AN50</f>
        <v>4660622.2902083378</v>
      </c>
      <c r="F66" s="393">
        <f>+'E3 - Invest Amort deferred tax'!BT50</f>
        <v>-1903864.2055501025</v>
      </c>
      <c r="G66" s="394"/>
      <c r="H66" s="373">
        <f>+'RGGI - Invest Amort deferred'!AI33</f>
        <v>6249661.6816666685</v>
      </c>
      <c r="I66" s="373">
        <f>+'RGGI - Invest Amort deferred'!AI33</f>
        <v>6249661.6816666685</v>
      </c>
      <c r="J66" s="393">
        <f>+'RGGI - Invest Amort deferred'!BL33</f>
        <v>-2552782.5469608335</v>
      </c>
      <c r="K66" s="393"/>
      <c r="L66" s="393">
        <f>'RGGI II Invest Amort Def'!AI21</f>
        <v>11388869.879999999</v>
      </c>
      <c r="M66" s="393">
        <f>'RGGI II Invest Amort Def'!AI21</f>
        <v>11388869.879999999</v>
      </c>
      <c r="N66" s="393">
        <f>'RGGI II Invest Amort Def'!BK21</f>
        <v>-2457402.1747191669</v>
      </c>
      <c r="O66" s="394"/>
      <c r="P66" s="374"/>
      <c r="Q66" s="374"/>
      <c r="R66" s="374"/>
      <c r="S66" s="374"/>
      <c r="T66" s="394"/>
      <c r="U66" s="394"/>
      <c r="V66" s="394"/>
      <c r="W66" s="394"/>
      <c r="X66" s="394"/>
      <c r="Y66" s="394"/>
      <c r="Z66" s="384">
        <v>25798306.039999992</v>
      </c>
      <c r="AA66" s="530">
        <f t="shared" si="44"/>
        <v>1.1900000000000001E-2</v>
      </c>
      <c r="AB66" s="372">
        <f t="shared" si="37"/>
        <v>306999.84187599993</v>
      </c>
      <c r="AC66" s="372"/>
      <c r="AD66" s="372">
        <f>+'E3 - Invest Amort deferred tax'!AL50</f>
        <v>292918.90562500007</v>
      </c>
      <c r="AE66" s="373"/>
      <c r="AF66" s="373">
        <f>(D66+F66)*'Capital Structure '!$F$21/12</f>
        <v>5696.9913166542719</v>
      </c>
      <c r="AG66" s="373">
        <f>(D66+F66)*'Capital Structure '!$E$34/12</f>
        <v>8373.6783005582565</v>
      </c>
      <c r="AH66" s="373">
        <f>(D66+F66)*'Capital Structure '!$F$18/12</f>
        <v>12124.922190404426</v>
      </c>
      <c r="AI66" s="372">
        <f t="shared" si="38"/>
        <v>26195.591807616955</v>
      </c>
      <c r="AJ66" s="373"/>
      <c r="AK66" s="372">
        <v>0</v>
      </c>
      <c r="AL66" s="372">
        <v>0</v>
      </c>
      <c r="AM66" s="373">
        <f t="shared" si="39"/>
        <v>319114.497432617</v>
      </c>
      <c r="AO66" s="372">
        <f>+'RGGI - Invest Amort deferred'!AG33</f>
        <v>159988.28666666665</v>
      </c>
      <c r="AP66" s="373"/>
      <c r="AQ66" s="373">
        <f>(H66+J66)*'Capital Structure '!$F$21/12</f>
        <v>7639.803619002535</v>
      </c>
      <c r="AR66" s="373">
        <f>(H66+J66)*'Capital Structure '!$E$34/12</f>
        <v>11229.30582638454</v>
      </c>
      <c r="AS66" s="373">
        <f>(H66+J66)*'Capital Structure '!$F$18/12</f>
        <v>16259.814923638818</v>
      </c>
      <c r="AT66" s="373">
        <f>'RGGI - On-bill financing'!J33*'Capital Structure '!$E$34/12</f>
        <v>10883.951147314068</v>
      </c>
      <c r="AU66" s="373">
        <f>'RGGI - On-bill financing'!J33*('Capital Structure '!$F$18+'Capital Structure '!$F$21)/12</f>
        <v>23164.591354023225</v>
      </c>
      <c r="AV66" s="372">
        <f t="shared" si="40"/>
        <v>69177.466870363191</v>
      </c>
      <c r="AW66" s="373"/>
      <c r="AX66" s="372">
        <v>0</v>
      </c>
      <c r="AY66" s="373">
        <f t="shared" si="0"/>
        <v>229165.75353702984</v>
      </c>
      <c r="AZ66" s="373"/>
      <c r="BA66" s="373">
        <f>'RGGI II Invest Amort Def'!AG21</f>
        <v>216809.86233333332</v>
      </c>
      <c r="BB66" s="373"/>
      <c r="BC66" s="373">
        <f>(L66+N66)*'Capital Structure '!$H$21/12</f>
        <v>13589.637472521279</v>
      </c>
      <c r="BD66" s="373">
        <f>(L66+N66)*'Capital Structure '!$H$34/12</f>
        <v>27129.41881153925</v>
      </c>
      <c r="BE66" s="373">
        <f>(L66+N66)*'Capital Structure '!$H$18/12</f>
        <v>39282.867140821218</v>
      </c>
      <c r="BF66" s="373">
        <f>'RGGI II On Bill Fin''g'!L21*'Capital Structure '!$H$34/12</f>
        <v>28783.633578664099</v>
      </c>
      <c r="BG66" s="373">
        <f>'RGGI II On Bill Fin''g'!L21*('Capital Structure '!$H$18+'Capital Structure '!$H$21)/12</f>
        <v>56096.402571269493</v>
      </c>
      <c r="BH66" s="372">
        <f t="shared" si="41"/>
        <v>164881.95957481532</v>
      </c>
      <c r="BI66" s="373"/>
      <c r="BJ66" s="393">
        <f>50100.94+544.73+57.38+1272.33+32071.64+32.34+1108.93+395.85+5907.89+5382.26+2901.18+95.6+19175.34+1269.87+28.97+15163.17+9539.66+5083.6+25003.51+2123.9-574.67+875.24+42132.22+19877.37+33438.63-500</f>
        <v>272507.87999999995</v>
      </c>
      <c r="BK66" s="393">
        <f t="shared" si="34"/>
        <v>654199.70190814859</v>
      </c>
      <c r="BL66" s="373"/>
      <c r="BM66" s="373"/>
      <c r="BN66" s="373"/>
      <c r="BO66" s="373"/>
      <c r="BP66" s="373"/>
      <c r="BQ66" s="373"/>
      <c r="BR66" s="373"/>
      <c r="BS66" s="373"/>
      <c r="BT66" s="395"/>
      <c r="BU66" s="373"/>
      <c r="BV66" s="374"/>
      <c r="BW66" s="373"/>
      <c r="BX66" s="373"/>
      <c r="BY66" s="373"/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73"/>
      <c r="CV66" s="373"/>
      <c r="CW66" s="373"/>
      <c r="CX66" s="373"/>
      <c r="CY66" s="373">
        <f t="shared" si="42"/>
        <v>895480.11100179539</v>
      </c>
      <c r="CZ66" s="373">
        <f t="shared" si="45"/>
        <v>1698269.2816917221</v>
      </c>
      <c r="DA66" s="373">
        <f t="shared" si="43"/>
        <v>739688.03729187278</v>
      </c>
      <c r="DB66" s="375">
        <v>4.0000000000000001E-3</v>
      </c>
      <c r="DC66" s="372">
        <f t="shared" si="46"/>
        <v>246.56267909729092</v>
      </c>
      <c r="DE66" s="353"/>
      <c r="DF66" s="353"/>
      <c r="DG66" s="353"/>
      <c r="DH66" s="353"/>
      <c r="DI66" s="353"/>
      <c r="DJ66" s="353"/>
      <c r="DK66" s="353"/>
      <c r="DL66" s="353"/>
      <c r="DM66" s="353"/>
      <c r="DN66" s="353"/>
      <c r="DO66" s="353"/>
      <c r="DP66" s="353"/>
      <c r="DQ66" s="353"/>
      <c r="DR66" s="353"/>
      <c r="DS66" s="353"/>
      <c r="DT66" s="353"/>
      <c r="DU66" s="353"/>
      <c r="DV66" s="353"/>
      <c r="DW66" s="353"/>
      <c r="DX66" s="353"/>
      <c r="DY66" s="353"/>
      <c r="DZ66" s="353"/>
      <c r="EA66" s="353"/>
      <c r="EB66" s="353"/>
      <c r="EC66" s="353"/>
      <c r="ED66" s="353"/>
      <c r="EE66" s="353"/>
      <c r="EF66" s="353"/>
      <c r="EG66" s="353"/>
      <c r="EH66" s="353"/>
      <c r="EI66" s="353"/>
      <c r="EJ66" s="353"/>
      <c r="EK66" s="353"/>
      <c r="EL66" s="353"/>
      <c r="EM66" s="353"/>
      <c r="EN66" s="353"/>
      <c r="EO66" s="353"/>
      <c r="EP66" s="353"/>
      <c r="EQ66" s="353"/>
      <c r="ER66" s="353"/>
      <c r="ES66" s="353"/>
      <c r="ET66" s="353"/>
      <c r="EU66" s="353"/>
      <c r="EV66" s="353"/>
      <c r="EW66" s="353"/>
      <c r="EX66" s="353"/>
      <c r="EY66" s="353"/>
      <c r="EZ66" s="353"/>
      <c r="FA66" s="353"/>
      <c r="FB66" s="353"/>
      <c r="FC66" s="353"/>
      <c r="FD66" s="353"/>
      <c r="FE66" s="353"/>
      <c r="FF66" s="353"/>
      <c r="FG66" s="353"/>
      <c r="FH66" s="353"/>
      <c r="FI66" s="353"/>
      <c r="FJ66" s="353"/>
      <c r="FK66" s="353"/>
      <c r="FL66" s="353"/>
      <c r="FM66" s="353"/>
      <c r="FN66" s="353"/>
      <c r="FO66" s="353"/>
      <c r="FP66" s="353"/>
      <c r="FQ66" s="353"/>
    </row>
    <row r="67" spans="1:173" s="351" customFormat="1" hidden="1" outlineLevel="1">
      <c r="A67" s="356" t="s">
        <v>58</v>
      </c>
      <c r="B67" s="356">
        <f t="shared" si="47"/>
        <v>2013</v>
      </c>
      <c r="C67" s="392" t="s">
        <v>47</v>
      </c>
      <c r="D67" s="373">
        <f>+'E3 - Invest Amort deferred tax'!AN51+'E3 - Financing upfront'!H51+'E3 - Financing upfront'!Q51</f>
        <v>4367703.1145833367</v>
      </c>
      <c r="E67" s="373">
        <f>+'E3 - Invest Amort deferred tax'!AN51</f>
        <v>4367703.3845833372</v>
      </c>
      <c r="F67" s="393">
        <f>+'E3 - Invest Amort deferred tax'!BT51</f>
        <v>-1784206.83260229</v>
      </c>
      <c r="G67" s="394"/>
      <c r="H67" s="373">
        <f>+'RGGI - Invest Amort deferred'!AI34</f>
        <v>6089673.3950000014</v>
      </c>
      <c r="I67" s="373">
        <f>+'RGGI - Invest Amort deferred'!AI34</f>
        <v>6089673.3950000014</v>
      </c>
      <c r="J67" s="393">
        <f>+'RGGI - Invest Amort deferred'!BL34</f>
        <v>-2487631.5818575001</v>
      </c>
      <c r="K67" s="393"/>
      <c r="L67" s="393">
        <f>'RGGI II Invest Amort Def'!AI22</f>
        <v>12048285.872000001</v>
      </c>
      <c r="M67" s="393">
        <f>'RGGI II Invest Amort Def'!AI22</f>
        <v>12048285.872000001</v>
      </c>
      <c r="N67" s="393">
        <f>'RGGI II Invest Amort Def'!BK22</f>
        <v>-2720108.6814470002</v>
      </c>
      <c r="O67" s="394"/>
      <c r="P67" s="374"/>
      <c r="Q67" s="374"/>
      <c r="R67" s="374"/>
      <c r="S67" s="374"/>
      <c r="T67" s="394"/>
      <c r="U67" s="394"/>
      <c r="V67" s="394"/>
      <c r="W67" s="394"/>
      <c r="X67" s="394"/>
      <c r="Y67" s="394"/>
      <c r="Z67" s="384">
        <v>18938228.789999999</v>
      </c>
      <c r="AA67" s="530">
        <f t="shared" si="44"/>
        <v>1.1900000000000001E-2</v>
      </c>
      <c r="AB67" s="372">
        <f t="shared" si="37"/>
        <v>225364.922601</v>
      </c>
      <c r="AC67" s="372"/>
      <c r="AD67" s="372">
        <f>+'E3 - Invest Amort deferred tax'!AL51</f>
        <v>292918.90562500007</v>
      </c>
      <c r="AE67" s="373"/>
      <c r="AF67" s="373">
        <f>(D67+F67)*'Capital Structure '!$F$21/12</f>
        <v>5338.9368506711871</v>
      </c>
      <c r="AG67" s="373">
        <f>(D67+F67)*'Capital Structure '!$E$34/12</f>
        <v>7847.3947333961187</v>
      </c>
      <c r="AH67" s="373">
        <f>(D67+F67)*'Capital Structure '!$F$18/12</f>
        <v>11362.873891808578</v>
      </c>
      <c r="AI67" s="372">
        <f>SUM(AF67:AH67)</f>
        <v>24549.205475875882</v>
      </c>
      <c r="AJ67" s="373"/>
      <c r="AK67" s="372">
        <v>0</v>
      </c>
      <c r="AL67" s="372">
        <v>0</v>
      </c>
      <c r="AM67" s="373">
        <f t="shared" si="39"/>
        <v>317468.11110087595</v>
      </c>
      <c r="AO67" s="372">
        <f>+'RGGI - Invest Amort deferred'!AG34</f>
        <v>159988.28666666665</v>
      </c>
      <c r="AP67" s="373"/>
      <c r="AQ67" s="373">
        <f>(H67+J67)*'Capital Structure '!$F$21/12</f>
        <v>7443.8170892579765</v>
      </c>
      <c r="AR67" s="373">
        <f>(H67+J67)*'Capital Structure '!$E$34/12</f>
        <v>10941.23655260381</v>
      </c>
      <c r="AS67" s="373">
        <f>(H67+J67)*'Capital Structure '!$F$18/12</f>
        <v>15842.696256707844</v>
      </c>
      <c r="AT67" s="373">
        <f>'RGGI - On-bill financing'!J34*'Capital Structure '!$E$34/12</f>
        <v>10755.894876372118</v>
      </c>
      <c r="AU67" s="373">
        <f>'RGGI - On-bill financing'!J34*('Capital Structure '!$F$18+'Capital Structure '!$F$21)/12</f>
        <v>22892.045920242734</v>
      </c>
      <c r="AV67" s="372">
        <f t="shared" si="40"/>
        <v>67875.690695184487</v>
      </c>
      <c r="AW67" s="373"/>
      <c r="AX67" s="372">
        <v>0</v>
      </c>
      <c r="AY67" s="373">
        <f t="shared" si="0"/>
        <v>227863.97736185114</v>
      </c>
      <c r="AZ67" s="373"/>
      <c r="BA67" s="373">
        <f>'RGGI II Invest Amort Def'!AG22</f>
        <v>231661.14799999999</v>
      </c>
      <c r="BB67" s="373"/>
      <c r="BC67" s="373">
        <f>(L67+N67)*'Capital Structure '!$H$21/12</f>
        <v>14193.249136880959</v>
      </c>
      <c r="BD67" s="373">
        <f>(L67+N67)*'Capital Structure '!$H$34/12</f>
        <v>28334.427677673917</v>
      </c>
      <c r="BE67" s="373">
        <f>(L67+N67)*'Capital Structure '!$H$18/12</f>
        <v>41027.696380279369</v>
      </c>
      <c r="BF67" s="373">
        <f>'RGGI II On Bill Fin''g'!L22*'Capital Structure '!$H$34/12</f>
        <v>31135.125850245338</v>
      </c>
      <c r="BG67" s="373">
        <f>'RGGI II On Bill Fin''g'!L22*('Capital Structure '!$H$18+'Capital Structure '!$H$21)/12</f>
        <v>60679.224151086593</v>
      </c>
      <c r="BH67" s="372">
        <f t="shared" si="41"/>
        <v>175369.72319616619</v>
      </c>
      <c r="BI67" s="373"/>
      <c r="BJ67" s="393">
        <f>73660.77+1223.46+58.7+48107.46+8836.75+5381.35+3515.61+74.64+38456.18+2287.22+10.9-50470.49+9372.9+367.25+125.54+7493.62+12619.46+2116.76+465.48+5892.64+839.31+42132.22+18648.25-500</f>
        <v>230715.98000000004</v>
      </c>
      <c r="BK67" s="393">
        <f t="shared" si="34"/>
        <v>637746.85119616613</v>
      </c>
      <c r="BL67" s="373"/>
      <c r="BM67" s="373"/>
      <c r="BN67" s="373"/>
      <c r="BO67" s="373"/>
      <c r="BP67" s="373"/>
      <c r="BQ67" s="373"/>
      <c r="BR67" s="373"/>
      <c r="BS67" s="373"/>
      <c r="BT67" s="395"/>
      <c r="BU67" s="373"/>
      <c r="BV67" s="374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>
        <f t="shared" si="42"/>
        <v>957714.01705789333</v>
      </c>
      <c r="CZ67" s="373">
        <f t="shared" si="45"/>
        <v>2655983.2987496154</v>
      </c>
      <c r="DA67" s="373">
        <f t="shared" si="43"/>
        <v>1287770.2006655254</v>
      </c>
      <c r="DB67" s="375">
        <v>4.0000000000000001E-3</v>
      </c>
      <c r="DC67" s="372">
        <f t="shared" si="46"/>
        <v>429.25673355517512</v>
      </c>
      <c r="DE67" s="353"/>
      <c r="DF67" s="353"/>
      <c r="DG67" s="353"/>
      <c r="DH67" s="353"/>
      <c r="DI67" s="353"/>
      <c r="DJ67" s="353"/>
      <c r="DK67" s="353"/>
      <c r="DL67" s="353"/>
      <c r="DM67" s="353"/>
      <c r="DN67" s="353"/>
      <c r="DO67" s="353"/>
      <c r="DP67" s="353"/>
      <c r="DQ67" s="353"/>
      <c r="DR67" s="353"/>
      <c r="DS67" s="353"/>
      <c r="DT67" s="353"/>
      <c r="DU67" s="353"/>
      <c r="DV67" s="353"/>
      <c r="DW67" s="353"/>
      <c r="DX67" s="353"/>
      <c r="DY67" s="353"/>
      <c r="DZ67" s="353"/>
      <c r="EA67" s="353"/>
      <c r="EB67" s="353"/>
      <c r="EC67" s="353"/>
      <c r="ED67" s="353"/>
      <c r="EE67" s="353"/>
      <c r="EF67" s="353"/>
      <c r="EG67" s="353"/>
      <c r="EH67" s="353"/>
      <c r="EI67" s="353"/>
      <c r="EJ67" s="353"/>
      <c r="EK67" s="353"/>
      <c r="EL67" s="353"/>
      <c r="EM67" s="353"/>
      <c r="EN67" s="353"/>
      <c r="EO67" s="353"/>
      <c r="EP67" s="353"/>
      <c r="EQ67" s="353"/>
      <c r="ER67" s="353"/>
      <c r="ES67" s="353"/>
      <c r="ET67" s="353"/>
      <c r="EU67" s="353"/>
      <c r="EV67" s="353"/>
      <c r="EW67" s="353"/>
      <c r="EX67" s="353"/>
      <c r="EY67" s="353"/>
      <c r="EZ67" s="353"/>
      <c r="FA67" s="353"/>
      <c r="FB67" s="353"/>
      <c r="FC67" s="353"/>
      <c r="FD67" s="353"/>
      <c r="FE67" s="353"/>
      <c r="FF67" s="353"/>
      <c r="FG67" s="353"/>
      <c r="FH67" s="353"/>
      <c r="FI67" s="353"/>
      <c r="FJ67" s="353"/>
      <c r="FK67" s="353"/>
      <c r="FL67" s="353"/>
      <c r="FM67" s="353"/>
      <c r="FN67" s="353"/>
      <c r="FO67" s="353"/>
      <c r="FP67" s="353"/>
      <c r="FQ67" s="353"/>
    </row>
    <row r="68" spans="1:173" s="351" customFormat="1" hidden="1" outlineLevel="1">
      <c r="A68" s="356" t="s">
        <v>59</v>
      </c>
      <c r="B68" s="356">
        <f t="shared" si="47"/>
        <v>2013</v>
      </c>
      <c r="C68" s="392" t="s">
        <v>47</v>
      </c>
      <c r="D68" s="373">
        <f>+'E3 - Invest Amort deferred tax'!AN52+'E3 - Financing upfront'!H52+'E3 - Financing upfront'!Q52</f>
        <v>4074784.2089583362</v>
      </c>
      <c r="E68" s="373">
        <f>+'E3 - Invest Amort deferred tax'!AN52</f>
        <v>4074784.4789583366</v>
      </c>
      <c r="F68" s="393">
        <f>+'E3 - Invest Amort deferred tax'!BT52</f>
        <v>-1664549.4596544774</v>
      </c>
      <c r="G68" s="394"/>
      <c r="H68" s="373">
        <f>+'RGGI - Invest Amort deferred'!AI35</f>
        <v>5929685.1083333343</v>
      </c>
      <c r="I68" s="373">
        <f>+'RGGI - Invest Amort deferred'!AI35</f>
        <v>5929685.1083333343</v>
      </c>
      <c r="J68" s="393">
        <f>+'RGGI - Invest Amort deferred'!BL35</f>
        <v>-2422276.3667541668</v>
      </c>
      <c r="K68" s="393"/>
      <c r="L68" s="393">
        <f>'RGGI II Invest Amort Def'!AI23</f>
        <v>11813969.723999999</v>
      </c>
      <c r="M68" s="393">
        <f>'RGGI II Invest Amort Def'!AI23</f>
        <v>11813969.723999999</v>
      </c>
      <c r="N68" s="393">
        <f>'RGGI II Invest Amort Def'!BK23</f>
        <v>-2958102.2998415004</v>
      </c>
      <c r="O68" s="394"/>
      <c r="P68" s="374">
        <f>'2013 program Invest Amort Def'!AY5</f>
        <v>1316410.95</v>
      </c>
      <c r="Q68" s="374">
        <f>'2013 program Invest Amort Def'!AY5</f>
        <v>1316410.95</v>
      </c>
      <c r="R68" s="374">
        <f>'2013 program Invest Amort Def'!CQ5</f>
        <v>-36457.8897</v>
      </c>
      <c r="S68" s="373">
        <f>+P68+R68</f>
        <v>1279953.0603</v>
      </c>
      <c r="T68" s="394"/>
      <c r="U68" s="394"/>
      <c r="V68" s="394"/>
      <c r="W68" s="394"/>
      <c r="X68" s="394"/>
      <c r="Y68" s="394"/>
      <c r="Z68" s="384">
        <v>18242521.819999997</v>
      </c>
      <c r="AA68" s="530">
        <v>3.0599999999999999E-2</v>
      </c>
      <c r="AB68" s="372">
        <f t="shared" si="37"/>
        <v>558221.16769199993</v>
      </c>
      <c r="AC68" s="372"/>
      <c r="AD68" s="372">
        <f>+'E3 - Invest Amort deferred tax'!AL52</f>
        <v>292918.90562500007</v>
      </c>
      <c r="AE68" s="373"/>
      <c r="AF68" s="373">
        <f>(D68+F68)*'Capital Structure '!$F$21/12</f>
        <v>4980.8823846881023</v>
      </c>
      <c r="AG68" s="373">
        <f>(D68+F68)*'Capital Structure '!$E$34/12</f>
        <v>7321.1111662339799</v>
      </c>
      <c r="AH68" s="373">
        <f>(D68+F68)*'Capital Structure '!$F$18/12</f>
        <v>10600.82559321273</v>
      </c>
      <c r="AI68" s="372">
        <f>SUM(AF68:AH68)</f>
        <v>22902.81914413481</v>
      </c>
      <c r="AJ68" s="373"/>
      <c r="AK68" s="372">
        <v>0</v>
      </c>
      <c r="AL68" s="372">
        <v>0</v>
      </c>
      <c r="AM68" s="373">
        <f t="shared" si="39"/>
        <v>315821.72476913489</v>
      </c>
      <c r="AN68" s="353"/>
      <c r="AO68" s="372">
        <f>+'RGGI - Invest Amort deferred'!AG35</f>
        <v>159988.28666666665</v>
      </c>
      <c r="AP68" s="373"/>
      <c r="AQ68" s="373">
        <f>(H68+J68)*'Capital Structure '!$F$21/12</f>
        <v>7248.2526533477903</v>
      </c>
      <c r="AR68" s="373">
        <f>(H68+J68)*'Capital Structure '!$E$34/12</f>
        <v>10653.787690156927</v>
      </c>
      <c r="AS68" s="373">
        <f>(H68+J68)*'Capital Structure '!$F$18/12</f>
        <v>15426.475933238245</v>
      </c>
      <c r="AT68" s="373">
        <f>'RGGI - On-bill financing'!J35*'Capital Structure '!$E$34/12</f>
        <v>10618.124710510119</v>
      </c>
      <c r="AU68" s="373">
        <f>'RGGI - On-bill financing'!J35*('Capital Structure '!$F$18+'Capital Structure '!$F$21)/12</f>
        <v>22598.82615567619</v>
      </c>
      <c r="AV68" s="372">
        <f t="shared" si="40"/>
        <v>66545.467142929279</v>
      </c>
      <c r="AW68" s="373"/>
      <c r="AX68" s="372">
        <v>0</v>
      </c>
      <c r="AY68" s="373">
        <f t="shared" si="0"/>
        <v>226533.75380959595</v>
      </c>
      <c r="AZ68" s="373"/>
      <c r="BA68" s="373">
        <f>'RGGI II Invest Amort Def'!AG23</f>
        <v>231616.14799999999</v>
      </c>
      <c r="BB68" s="373"/>
      <c r="BC68" s="373">
        <f>(L68+N68)*'Capital Structure '!$H$21/12</f>
        <v>13474.608179780762</v>
      </c>
      <c r="BD68" s="373">
        <f>(L68+N68)*'Capital Structure '!$H$34/12</f>
        <v>26899.782232589831</v>
      </c>
      <c r="BE68" s="373">
        <f>(L68+N68)*'Capital Structure '!$H$18/12</f>
        <v>38950.357871669243</v>
      </c>
      <c r="BF68" s="373">
        <f>'RGGI II On Bill Fin''g'!L23*'Capital Structure '!$H$34/12</f>
        <v>30833.856779537007</v>
      </c>
      <c r="BG68" s="373">
        <f>'RGGI II On Bill Fin''g'!L23*('Capital Structure '!$H$18+'Capital Structure '!$H$21)/12</f>
        <v>60092.081078043389</v>
      </c>
      <c r="BH68" s="372">
        <f t="shared" si="41"/>
        <v>170250.68614162024</v>
      </c>
      <c r="BI68" s="373"/>
      <c r="BJ68" s="353"/>
      <c r="BK68" s="394">
        <f t="shared" si="34"/>
        <v>401866.8341416202</v>
      </c>
      <c r="BL68" s="373"/>
      <c r="BM68" s="373">
        <f>'2013 program Invest Amort Def'!AW5</f>
        <v>22312.05</v>
      </c>
      <c r="BN68" s="373"/>
      <c r="BO68" s="373">
        <f>(S68)*'Capital Structure '!$J$21/12</f>
        <v>1796.2007946209999</v>
      </c>
      <c r="BP68" s="373">
        <f>(S68)*'Capital Structure '!$J$34/12</f>
        <v>3842.2683345891523</v>
      </c>
      <c r="BQ68" s="373">
        <f>(S68)*'Capital Structure '!$J$18/12</f>
        <v>5563.5293021040006</v>
      </c>
      <c r="BR68" s="373">
        <f>('2013 program 10 yr On Bill Fin'!M5+'2013 program 5 yr On Bill Fin'!L3)*'Capital Structure '!$J$34/12</f>
        <v>4946.811557078162</v>
      </c>
      <c r="BS68" s="373">
        <f>('2013 program 10 yr On Bill Fin'!M5+'2013 program 5 yr On Bill Fin'!L3)*('Capital Structure '!$J$18+'Capital Structure '!$J$21)/12</f>
        <v>9475.4438600000012</v>
      </c>
      <c r="BT68" s="535">
        <f>SUM(BO68:BS68)</f>
        <v>25624.25384839232</v>
      </c>
      <c r="BU68" s="373"/>
      <c r="BV68" s="374">
        <f>49647.9+218.77+1244.86+32071.64+952.75+140344.88+3535.66+2452+79.47+24713.81+1646.55+14962.61+7406.04+647.7+3517.83+172.5+9587.25+3613.26+1813.54+4864.81+924.26+42132.22+17106.7-750+813.75+18873.83</f>
        <v>382594.58999999997</v>
      </c>
      <c r="BW68" s="374">
        <f>+BV68+BT68+BM68</f>
        <v>430530.8938483923</v>
      </c>
      <c r="BX68" s="373"/>
      <c r="BY68" s="373"/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73"/>
      <c r="CV68" s="373"/>
      <c r="CW68" s="373"/>
      <c r="CX68" s="373"/>
      <c r="CY68" s="373">
        <f t="shared" si="42"/>
        <v>816532.03887674364</v>
      </c>
      <c r="CZ68" s="373">
        <f t="shared" si="45"/>
        <v>3472515.337626359</v>
      </c>
      <c r="DA68" s="373">
        <f t="shared" si="43"/>
        <v>1812503.4717081946</v>
      </c>
      <c r="DB68" s="375">
        <v>4.0000000000000001E-3</v>
      </c>
      <c r="DC68" s="372">
        <f t="shared" si="46"/>
        <v>604.16782390273158</v>
      </c>
      <c r="DE68" s="404">
        <f>(BO68+BQ68)/(S68)*12</f>
        <v>6.9000000000000006E-2</v>
      </c>
      <c r="DF68" s="404">
        <f>(BO68+BP68+BQ68)/(S68)*12</f>
        <v>0.10502258664412512</v>
      </c>
      <c r="DG68" s="353"/>
      <c r="DH68" s="353"/>
      <c r="DI68" s="353"/>
      <c r="DJ68" s="353"/>
      <c r="DK68" s="353"/>
      <c r="DL68" s="353"/>
      <c r="DM68" s="353"/>
      <c r="DN68" s="353"/>
      <c r="DO68" s="353"/>
      <c r="DP68" s="353"/>
      <c r="DQ68" s="353"/>
      <c r="DR68" s="353"/>
      <c r="DS68" s="353"/>
      <c r="DT68" s="353"/>
      <c r="DU68" s="353"/>
      <c r="DV68" s="353"/>
      <c r="DW68" s="353"/>
      <c r="DX68" s="353"/>
      <c r="DY68" s="353"/>
      <c r="DZ68" s="353"/>
      <c r="EA68" s="353"/>
      <c r="EB68" s="353"/>
      <c r="EC68" s="353"/>
      <c r="ED68" s="353"/>
      <c r="EE68" s="353"/>
      <c r="EF68" s="353"/>
      <c r="EG68" s="353"/>
      <c r="EH68" s="353"/>
      <c r="EI68" s="353"/>
      <c r="EJ68" s="353"/>
      <c r="EK68" s="353"/>
      <c r="EL68" s="353"/>
      <c r="EM68" s="353"/>
      <c r="EN68" s="353"/>
      <c r="EO68" s="353"/>
      <c r="EP68" s="353"/>
      <c r="EQ68" s="353"/>
      <c r="ER68" s="353"/>
      <c r="ES68" s="353"/>
      <c r="ET68" s="353"/>
      <c r="EU68" s="353"/>
      <c r="EV68" s="353"/>
      <c r="EW68" s="353"/>
      <c r="EX68" s="353"/>
      <c r="EY68" s="353"/>
      <c r="EZ68" s="353"/>
      <c r="FA68" s="353"/>
      <c r="FB68" s="353"/>
      <c r="FC68" s="353"/>
      <c r="FD68" s="353"/>
      <c r="FE68" s="353"/>
      <c r="FF68" s="353"/>
      <c r="FG68" s="353"/>
      <c r="FH68" s="353"/>
      <c r="FI68" s="353"/>
      <c r="FJ68" s="353"/>
      <c r="FK68" s="353"/>
      <c r="FL68" s="353"/>
      <c r="FM68" s="353"/>
      <c r="FN68" s="353"/>
      <c r="FO68" s="353"/>
      <c r="FP68" s="353"/>
      <c r="FQ68" s="353"/>
    </row>
    <row r="69" spans="1:173" s="351" customFormat="1" hidden="1" outlineLevel="1">
      <c r="A69" s="356" t="s">
        <v>46</v>
      </c>
      <c r="B69" s="356">
        <f>+B68</f>
        <v>2013</v>
      </c>
      <c r="C69" s="392" t="s">
        <v>47</v>
      </c>
      <c r="D69" s="373">
        <f>+'E3 - Invest Amort deferred tax'!AN53+'E3 - Financing upfront'!H53+'E3 - Financing upfront'!Q53</f>
        <v>3781865.3033333356</v>
      </c>
      <c r="E69" s="373">
        <f>+'E3 - Invest Amort deferred tax'!AN53</f>
        <v>3781865.573333336</v>
      </c>
      <c r="F69" s="394">
        <f>+'E3 - Invest Amort deferred tax'!BT53</f>
        <v>-1544892.0867066649</v>
      </c>
      <c r="G69" s="394"/>
      <c r="H69" s="373">
        <f>+'RGGI - Invest Amort deferred'!AI36</f>
        <v>5769696.8216666682</v>
      </c>
      <c r="I69" s="373">
        <f>+'RGGI - Invest Amort deferred'!AI36</f>
        <v>5769696.8216666682</v>
      </c>
      <c r="J69" s="393">
        <f>+'RGGI - Invest Amort deferred'!BL36</f>
        <v>-2356921.1516508334</v>
      </c>
      <c r="K69" s="393"/>
      <c r="L69" s="393">
        <f>'RGGI II Invest Amort Def'!AI24</f>
        <v>11582353.576000001</v>
      </c>
      <c r="M69" s="393">
        <f>'RGGI II Invest Amort Def'!AI24</f>
        <v>11582353.576000001</v>
      </c>
      <c r="N69" s="393">
        <f>'RGGI II Invest Amort Def'!BK24</f>
        <v>-3168688.1554026669</v>
      </c>
      <c r="O69" s="394"/>
      <c r="P69" s="374">
        <f>'2013 program Invest Amort Def'!AY6</f>
        <v>2269729.7833333332</v>
      </c>
      <c r="Q69" s="374">
        <f>'2013 program Invest Amort Def'!AY6</f>
        <v>2269729.7833333332</v>
      </c>
      <c r="R69" s="374">
        <f>'2013 program Invest Amort Def'!CQ6</f>
        <v>-99935.794033333324</v>
      </c>
      <c r="S69" s="373">
        <f>+P69+R69</f>
        <v>2169793.9893</v>
      </c>
      <c r="T69" s="394"/>
      <c r="U69" s="394"/>
      <c r="V69" s="394"/>
      <c r="W69" s="394"/>
      <c r="X69" s="394"/>
      <c r="Y69" s="394"/>
      <c r="Z69" s="384">
        <v>17772002.429999992</v>
      </c>
      <c r="AA69" s="532">
        <f>+AA68</f>
        <v>3.0599999999999999E-2</v>
      </c>
      <c r="AB69" s="372">
        <f>+Z69*AA69</f>
        <v>543823.27435799979</v>
      </c>
      <c r="AC69" s="372"/>
      <c r="AD69" s="372">
        <f>+'E3 - Invest Amort deferred tax'!AL53</f>
        <v>292918.90562500007</v>
      </c>
      <c r="AE69" s="373"/>
      <c r="AF69" s="373">
        <f>(D69+F69)*'Capital Structure '!$F$21/12</f>
        <v>4622.8279187050166</v>
      </c>
      <c r="AG69" s="373">
        <f>(D69+F69)*'Capital Structure '!$E$34/12</f>
        <v>6794.827599071843</v>
      </c>
      <c r="AH69" s="373">
        <f>(D69+F69)*'Capital Structure '!$F$18/12</f>
        <v>9838.7772946168807</v>
      </c>
      <c r="AI69" s="372">
        <f t="shared" si="38"/>
        <v>21256.432812393741</v>
      </c>
      <c r="AJ69" s="373"/>
      <c r="AK69" s="372">
        <v>0</v>
      </c>
      <c r="AL69" s="372">
        <v>0</v>
      </c>
      <c r="AM69" s="373">
        <f t="shared" si="39"/>
        <v>314175.33843739383</v>
      </c>
      <c r="AN69" s="353"/>
      <c r="AO69" s="372">
        <f>+'RGGI - Invest Amort deferred'!AG36</f>
        <v>159988.28666666665</v>
      </c>
      <c r="AP69" s="373"/>
      <c r="AQ69" s="373">
        <f>(H69+J69)*'Capital Structure '!$F$21/12</f>
        <v>7052.6882174376069</v>
      </c>
      <c r="AR69" s="373">
        <f>(H69+J69)*'Capital Structure '!$E$34/12</f>
        <v>10366.338827710048</v>
      </c>
      <c r="AS69" s="373">
        <f>(H69+J69)*'Capital Structure '!$F$18/12</f>
        <v>15010.255609768648</v>
      </c>
      <c r="AT69" s="373">
        <f>'RGGI - On-bill financing'!J36*'Capital Structure '!$E$34/12</f>
        <v>10495.964762059857</v>
      </c>
      <c r="AU69" s="373">
        <f>'RGGI - On-bill financing'!J36*('Capital Structure '!$F$18+'Capital Structure '!$F$21)/12</f>
        <v>22338.830015728683</v>
      </c>
      <c r="AV69" s="372">
        <f t="shared" si="40"/>
        <v>65264.077432704842</v>
      </c>
      <c r="AW69" s="373"/>
      <c r="AX69" s="372">
        <v>0</v>
      </c>
      <c r="AY69" s="373">
        <f t="shared" si="0"/>
        <v>225252.36409937148</v>
      </c>
      <c r="AZ69" s="373"/>
      <c r="BA69" s="373">
        <f>'RGGI II Invest Amort Def'!AG24</f>
        <v>231616.14799999999</v>
      </c>
      <c r="BB69" s="373"/>
      <c r="BC69" s="373">
        <f>(L69+N69)*'Capital Structure '!$H$21/12</f>
        <v>12801.77756377062</v>
      </c>
      <c r="BD69" s="373">
        <f>(L69+N69)*'Capital Structure '!$H$34/12</f>
        <v>25556.589405858849</v>
      </c>
      <c r="BE69" s="373">
        <f>(L69+N69)*'Capital Structure '!$H$18/12</f>
        <v>37005.440963440669</v>
      </c>
      <c r="BF69" s="373">
        <f>'RGGI II On Bill Fin''g'!L24*'Capital Structure '!$H$34/12</f>
        <v>30499.005428048065</v>
      </c>
      <c r="BG69" s="373">
        <f>'RGGI II On Bill Fin''g'!L24*('Capital Structure '!$H$18+'Capital Structure '!$H$21)/12</f>
        <v>59439.489522383054</v>
      </c>
      <c r="BH69" s="372">
        <f t="shared" si="41"/>
        <v>165302.30288350128</v>
      </c>
      <c r="BI69" s="373"/>
      <c r="BJ69" s="353"/>
      <c r="BK69" s="394">
        <f t="shared" si="34"/>
        <v>396918.45088350127</v>
      </c>
      <c r="BL69" s="373"/>
      <c r="BM69" s="373">
        <f>'2013 program Invest Amort Def'!AW6</f>
        <v>38848.166666666664</v>
      </c>
      <c r="BN69" s="373"/>
      <c r="BO69" s="373">
        <f>(S69)*'Capital Structure '!$J$21/12</f>
        <v>3044.9442316509999</v>
      </c>
      <c r="BP69" s="373">
        <f>(S69)*'Capital Structure '!$J$34/12</f>
        <v>6513.465998288425</v>
      </c>
      <c r="BQ69" s="373">
        <f>(S69)*'Capital Structure '!$J$18/12</f>
        <v>9431.3712068240002</v>
      </c>
      <c r="BR69" s="373">
        <f>('2013 program 10 yr On Bill Fin'!M6+'2013 program 5 yr On Bill Fin'!L4)*'Capital Structure '!$J$34/12</f>
        <v>8389.0861993668059</v>
      </c>
      <c r="BS69" s="373">
        <f>('2013 program 10 yr On Bill Fin'!M6+'2013 program 5 yr On Bill Fin'!L4)*('Capital Structure '!$J$18+'Capital Structure '!$J$21)/12</f>
        <v>16069.000082500001</v>
      </c>
      <c r="BT69" s="535">
        <f>SUM(BO69:BS69)</f>
        <v>43447.867718630238</v>
      </c>
      <c r="BU69" s="373"/>
      <c r="BV69" s="374">
        <f>49647.9+897.54+265.88+32071.64+2398.86+9996+5379.39+2982.98+81.47+24406.13+1249.75+54.81+13903.36+4991.67+529.16+3573.99+1075+67+10158.01+2848.67+2683.86+2558.49+872.81+42132.22+17676.68+33438.63-750+19095.94</f>
        <v>284287.83999999997</v>
      </c>
      <c r="BW69" s="374">
        <f t="shared" ref="BW69:BW131" si="48">+BV69+BT69+BM69</f>
        <v>366583.87438529689</v>
      </c>
      <c r="BX69" s="373"/>
      <c r="BY69" s="373"/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73"/>
      <c r="CV69" s="373"/>
      <c r="CW69" s="373"/>
      <c r="CX69" s="373"/>
      <c r="CY69" s="373">
        <f t="shared" si="42"/>
        <v>759106.75344756374</v>
      </c>
      <c r="CZ69" s="373">
        <f>CZ68+CY69</f>
        <v>4231622.0910739228</v>
      </c>
      <c r="DA69" s="373">
        <f t="shared" si="43"/>
        <v>2278498.6445381083</v>
      </c>
      <c r="DB69" s="375">
        <v>4.0000000000000001E-3</v>
      </c>
      <c r="DC69" s="372">
        <f t="shared" si="46"/>
        <v>759.49954817936941</v>
      </c>
      <c r="DD69" s="353"/>
      <c r="DE69" s="404">
        <f>(BO69+BQ69)/(S69)*12</f>
        <v>6.9000000000000006E-2</v>
      </c>
      <c r="DF69" s="404">
        <f>(BO69+BP69+BQ69)/(S69)*12</f>
        <v>0.10502258664412512</v>
      </c>
      <c r="DG69" s="353"/>
      <c r="DH69" s="353"/>
      <c r="DI69" s="353"/>
      <c r="DJ69" s="353"/>
      <c r="DK69" s="353"/>
      <c r="DL69" s="353"/>
      <c r="DM69" s="353"/>
      <c r="DN69" s="353"/>
      <c r="DO69" s="353"/>
      <c r="DP69" s="353"/>
      <c r="DQ69" s="353"/>
      <c r="DR69" s="353"/>
      <c r="DS69" s="353"/>
      <c r="DT69" s="353"/>
      <c r="DU69" s="353"/>
      <c r="DV69" s="353"/>
      <c r="DW69" s="353"/>
      <c r="DX69" s="353"/>
      <c r="DY69" s="353"/>
      <c r="DZ69" s="353"/>
      <c r="EA69" s="353"/>
      <c r="EB69" s="353"/>
      <c r="EC69" s="353"/>
      <c r="ED69" s="353"/>
      <c r="EE69" s="353"/>
      <c r="EF69" s="353"/>
      <c r="EG69" s="353"/>
      <c r="EH69" s="353"/>
      <c r="EI69" s="353"/>
      <c r="EJ69" s="353"/>
      <c r="EK69" s="353"/>
      <c r="EL69" s="353"/>
      <c r="EM69" s="353"/>
      <c r="EN69" s="353"/>
      <c r="EO69" s="353"/>
      <c r="EP69" s="353"/>
      <c r="EQ69" s="353"/>
      <c r="ER69" s="353"/>
      <c r="ES69" s="353"/>
      <c r="ET69" s="353"/>
      <c r="EU69" s="353"/>
      <c r="EV69" s="353"/>
      <c r="EW69" s="353"/>
      <c r="EX69" s="353"/>
      <c r="EY69" s="353"/>
      <c r="EZ69" s="353"/>
      <c r="FA69" s="353"/>
      <c r="FB69" s="353"/>
      <c r="FC69" s="353"/>
      <c r="FD69" s="353"/>
      <c r="FE69" s="353"/>
      <c r="FF69" s="353"/>
      <c r="FG69" s="353"/>
      <c r="FH69" s="353"/>
      <c r="FI69" s="353"/>
      <c r="FJ69" s="353"/>
      <c r="FK69" s="353"/>
      <c r="FL69" s="353"/>
      <c r="FM69" s="353"/>
      <c r="FN69" s="353"/>
      <c r="FO69" s="353"/>
      <c r="FP69" s="353"/>
      <c r="FQ69" s="353"/>
    </row>
    <row r="70" spans="1:173" s="351" customFormat="1" ht="17.25" hidden="1" outlineLevel="1">
      <c r="A70" s="356" t="s">
        <v>48</v>
      </c>
      <c r="B70" s="356">
        <f>+B69</f>
        <v>2013</v>
      </c>
      <c r="C70" s="392" t="s">
        <v>47</v>
      </c>
      <c r="D70" s="373">
        <f>+'E3 - Invest Amort deferred tax'!AN54+'E3 - Financing upfront'!H54+'E3 - Financing upfront'!Q54</f>
        <v>3488946.397708335</v>
      </c>
      <c r="E70" s="373">
        <f>+'E3 - Invest Amort deferred tax'!AN54</f>
        <v>3488946.6677083354</v>
      </c>
      <c r="F70" s="394">
        <f>+'E3 - Invest Amort deferred tax'!BT54</f>
        <v>-1425234.7137588523</v>
      </c>
      <c r="G70" s="536"/>
      <c r="H70" s="373">
        <f>+'RGGI - Invest Amort deferred'!AI37</f>
        <v>5609708.535000002</v>
      </c>
      <c r="I70" s="373">
        <f>+'RGGI - Invest Amort deferred'!AI37</f>
        <v>5609708.535000002</v>
      </c>
      <c r="J70" s="394">
        <f>+'RGGI - Invest Amort deferred'!BL37</f>
        <v>-2291565.9365475001</v>
      </c>
      <c r="K70" s="401"/>
      <c r="L70" s="393">
        <f>'RGGI II Invest Amort Def'!AI25</f>
        <v>11350737.427999999</v>
      </c>
      <c r="M70" s="393">
        <f>'RGGI II Invest Amort Def'!AI25</f>
        <v>11350737.427999999</v>
      </c>
      <c r="N70" s="393">
        <f>'RGGI II Invest Amort Def'!BK25</f>
        <v>-3357436.2817971669</v>
      </c>
      <c r="O70" s="536"/>
      <c r="P70" s="374">
        <f>'2013 program Invest Amort Def'!AY7</f>
        <v>3446047.4555000002</v>
      </c>
      <c r="Q70" s="374">
        <f>'2013 program Invest Amort Def'!AY7</f>
        <v>3446047.4555000002</v>
      </c>
      <c r="R70" s="374">
        <f>'2013 program Invest Amort Def'!CQ7</f>
        <v>-197067.61329299997</v>
      </c>
      <c r="S70" s="373">
        <f>+P70+R70</f>
        <v>3248979.8422070001</v>
      </c>
      <c r="T70" s="536"/>
      <c r="U70" s="536"/>
      <c r="V70" s="536"/>
      <c r="W70" s="536"/>
      <c r="X70" s="536"/>
      <c r="Y70" s="536"/>
      <c r="Z70" s="531">
        <v>18467949.789999999</v>
      </c>
      <c r="AA70" s="532">
        <f>+AA69</f>
        <v>3.0599999999999999E-2</v>
      </c>
      <c r="AB70" s="383">
        <f>+Z70*AA70</f>
        <v>565119.26357399998</v>
      </c>
      <c r="AC70" s="405"/>
      <c r="AD70" s="383">
        <f>+'E3 - Invest Amort deferred tax'!AL54</f>
        <v>292918.90562500007</v>
      </c>
      <c r="AE70" s="406"/>
      <c r="AF70" s="379">
        <f>(D70+F70)*'Capital Structure '!$F$21/12</f>
        <v>4264.7734527219318</v>
      </c>
      <c r="AG70" s="379">
        <f>(D70+F70)*'Capital Structure '!$E$34/12</f>
        <v>6268.5440319097061</v>
      </c>
      <c r="AH70" s="379">
        <f>(D70+F70)*'Capital Structure '!$F$18/12</f>
        <v>9076.728996021031</v>
      </c>
      <c r="AI70" s="537">
        <f t="shared" si="38"/>
        <v>19610.046480652669</v>
      </c>
      <c r="AJ70" s="378"/>
      <c r="AK70" s="383">
        <v>0</v>
      </c>
      <c r="AL70" s="383">
        <v>0</v>
      </c>
      <c r="AM70" s="379">
        <f t="shared" si="39"/>
        <v>312528.95210565272</v>
      </c>
      <c r="AN70" s="538"/>
      <c r="AO70" s="383">
        <f>+'RGGI - Invest Amort deferred'!AG37</f>
        <v>159988.28666666665</v>
      </c>
      <c r="AP70" s="406"/>
      <c r="AQ70" s="379">
        <f>(H70+J70)*'Capital Structure '!$F$21/12</f>
        <v>6857.1237815274217</v>
      </c>
      <c r="AR70" s="379">
        <f>(H70+J70)*'Capital Structure '!$E$34/12</f>
        <v>10078.889965263168</v>
      </c>
      <c r="AS70" s="379">
        <f>(H70+J70)*'Capital Structure '!$F$18/12</f>
        <v>14594.035286299055</v>
      </c>
      <c r="AT70" s="379">
        <f>'RGGI - On-bill financing'!J37*'Capital Structure '!$E$34/12</f>
        <v>10375.052045422524</v>
      </c>
      <c r="AU70" s="379">
        <f>'RGGI - On-bill financing'!J37*('Capital Structure '!$F$18+'Capital Structure '!$F$21)/12</f>
        <v>22081.488391120249</v>
      </c>
      <c r="AV70" s="383">
        <f t="shared" si="40"/>
        <v>63986.589469632418</v>
      </c>
      <c r="AW70" s="378"/>
      <c r="AX70" s="383">
        <v>0</v>
      </c>
      <c r="AY70" s="379">
        <f t="shared" si="0"/>
        <v>223974.87613629908</v>
      </c>
      <c r="AZ70" s="378"/>
      <c r="BA70" s="379">
        <f>'RGGI II Invest Amort Def'!AG25</f>
        <v>231616.14799999999</v>
      </c>
      <c r="BB70" s="378"/>
      <c r="BC70" s="379">
        <f>(L70+N70)*'Capital Structure '!$H$21/12</f>
        <v>12162.174053583476</v>
      </c>
      <c r="BD70" s="379">
        <f>(L70+N70)*'Capital Structure '!$H$34/12</f>
        <v>24279.728890905153</v>
      </c>
      <c r="BE70" s="379">
        <f>(L70+N70)*'Capital Structure '!$H$18/12</f>
        <v>35156.571943623981</v>
      </c>
      <c r="BF70" s="379">
        <f>'RGGI II On Bill Fin''g'!L25*'Capital Structure '!$H$34/12</f>
        <v>30212.69269006194</v>
      </c>
      <c r="BG70" s="379">
        <f>'RGGI II On Bill Fin''g'!L25*('Capital Structure '!$H$18+'Capital Structure '!$H$21)/12</f>
        <v>58881.494835316953</v>
      </c>
      <c r="BH70" s="383">
        <f t="shared" si="41"/>
        <v>160692.66241349149</v>
      </c>
      <c r="BI70" s="378"/>
      <c r="BJ70" s="539"/>
      <c r="BK70" s="481">
        <f t="shared" si="34"/>
        <v>392308.81041349145</v>
      </c>
      <c r="BL70" s="373"/>
      <c r="BM70" s="379">
        <f>'2013 program Invest Amort Def'!AW7</f>
        <v>59444.197833333332</v>
      </c>
      <c r="BN70" s="540"/>
      <c r="BO70" s="379">
        <f>(S70)*'Capital Structure '!$J$21/12</f>
        <v>4559.4017118971569</v>
      </c>
      <c r="BP70" s="379">
        <f>(S70)*'Capital Structure '!$J$34/12</f>
        <v>9753.0548225764614</v>
      </c>
      <c r="BQ70" s="379">
        <f>(S70)*'Capital Structure '!$J$18/12</f>
        <v>14122.232380793093</v>
      </c>
      <c r="BR70" s="379">
        <v>12719</v>
      </c>
      <c r="BS70" s="379">
        <f>('2013 program 10 yr On Bill Fin'!M7+'2013 program 5 yr On Bill Fin'!L5)*('Capital Structure '!$J$18+'Capital Structure '!$J$21)/12</f>
        <v>24362.718317500006</v>
      </c>
      <c r="BT70" s="541">
        <f>SUM(BO70:BS70)</f>
        <v>65516.407232766724</v>
      </c>
      <c r="BU70" s="378"/>
      <c r="BV70" s="388">
        <f>47724.82+163+131.75+32071.64+5639.47+7065.45+5378.69+2982.98+54+24867.69+1253.12+827+8183.08+743.18+4258.04+418.2+8146.47+2153.19+2137.08+1015.51+60331.71+19908.82+437.04+11056.19</f>
        <v>246948.12</v>
      </c>
      <c r="BW70" s="388">
        <f t="shared" si="48"/>
        <v>371908.72506610007</v>
      </c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73"/>
      <c r="CV70" s="373"/>
      <c r="CW70" s="373"/>
      <c r="CX70" s="373"/>
      <c r="CY70" s="373">
        <f t="shared" si="42"/>
        <v>735602.10014754324</v>
      </c>
      <c r="CZ70" s="373">
        <f>CZ69+CY70</f>
        <v>4967224.1912214663</v>
      </c>
      <c r="DA70" s="373">
        <f t="shared" si="43"/>
        <v>2720558.7879888616</v>
      </c>
      <c r="DB70" s="375">
        <v>4.0000000000000001E-3</v>
      </c>
      <c r="DC70" s="383">
        <f t="shared" si="46"/>
        <v>906.85292932962057</v>
      </c>
      <c r="DD70" s="353"/>
      <c r="DE70" s="404">
        <f>(BO70+BQ70)/(S70)*12</f>
        <v>6.8999999999999992E-2</v>
      </c>
      <c r="DF70" s="404">
        <f>(BO70+BP70+BQ70)/(S70)*12</f>
        <v>0.10502258664412509</v>
      </c>
      <c r="DG70" s="353"/>
      <c r="DH70" s="353"/>
      <c r="DI70" s="353"/>
      <c r="DJ70" s="353"/>
      <c r="DK70" s="353"/>
      <c r="DL70" s="353"/>
      <c r="DM70" s="353"/>
      <c r="DN70" s="353"/>
      <c r="DO70" s="353"/>
      <c r="DP70" s="353"/>
      <c r="DQ70" s="353"/>
      <c r="DR70" s="353"/>
      <c r="DS70" s="353"/>
      <c r="DT70" s="353"/>
      <c r="DU70" s="353"/>
      <c r="DV70" s="353"/>
      <c r="DW70" s="353"/>
      <c r="DX70" s="353"/>
      <c r="DY70" s="353"/>
      <c r="DZ70" s="353"/>
      <c r="EA70" s="353"/>
      <c r="EB70" s="353"/>
      <c r="EC70" s="353"/>
      <c r="ED70" s="353"/>
      <c r="EE70" s="353"/>
      <c r="EF70" s="353"/>
      <c r="EG70" s="353"/>
      <c r="EH70" s="353"/>
      <c r="EI70" s="353"/>
      <c r="EJ70" s="353"/>
      <c r="EK70" s="353"/>
      <c r="EL70" s="353"/>
      <c r="EM70" s="353"/>
      <c r="EN70" s="353"/>
      <c r="EO70" s="353"/>
      <c r="EP70" s="353"/>
      <c r="EQ70" s="353"/>
      <c r="ER70" s="353"/>
      <c r="ES70" s="353"/>
      <c r="ET70" s="353"/>
      <c r="EU70" s="353"/>
      <c r="EV70" s="353"/>
      <c r="EW70" s="353"/>
      <c r="EX70" s="353"/>
      <c r="EY70" s="353"/>
      <c r="EZ70" s="353"/>
      <c r="FA70" s="353"/>
      <c r="FB70" s="353"/>
      <c r="FC70" s="353"/>
      <c r="FD70" s="353"/>
      <c r="FE70" s="353"/>
      <c r="FF70" s="353"/>
      <c r="FG70" s="353"/>
      <c r="FH70" s="353"/>
      <c r="FI70" s="353"/>
      <c r="FJ70" s="353"/>
      <c r="FK70" s="353"/>
      <c r="FL70" s="353"/>
      <c r="FM70" s="353"/>
      <c r="FN70" s="353"/>
      <c r="FO70" s="353"/>
      <c r="FP70" s="353"/>
      <c r="FQ70" s="353"/>
    </row>
    <row r="71" spans="1:173" s="351" customFormat="1" ht="17.25" hidden="1" outlineLevel="1">
      <c r="F71" s="393"/>
      <c r="G71" s="394"/>
      <c r="J71" s="393"/>
      <c r="K71" s="393"/>
      <c r="L71" s="393"/>
      <c r="M71" s="393"/>
      <c r="N71" s="401"/>
      <c r="O71" s="394"/>
      <c r="P71" s="374"/>
      <c r="Q71" s="374"/>
      <c r="R71" s="391"/>
      <c r="S71" s="374"/>
      <c r="T71" s="394"/>
      <c r="U71" s="394"/>
      <c r="V71" s="394"/>
      <c r="W71" s="394"/>
      <c r="X71" s="394"/>
      <c r="Y71" s="394"/>
      <c r="Z71" s="384">
        <f>SUM(Z59:Z70)</f>
        <v>641667410.66999984</v>
      </c>
      <c r="AA71" s="394"/>
      <c r="AB71" s="373">
        <f>SUM(AB59:AB70)</f>
        <v>8654664.4515210018</v>
      </c>
      <c r="AC71" s="373"/>
      <c r="AD71" s="373">
        <f>SUM(AD59:AD70)</f>
        <v>3515026.8675000011</v>
      </c>
      <c r="AE71" s="373"/>
      <c r="AF71" s="373">
        <f t="shared" ref="AF71:AM71" si="49">SUM(AF59:AF70)</f>
        <v>74808.876187546775</v>
      </c>
      <c r="AG71" s="373">
        <f t="shared" si="49"/>
        <v>109957.24381561753</v>
      </c>
      <c r="AH71" s="373">
        <f t="shared" si="49"/>
        <v>159215.93565957839</v>
      </c>
      <c r="AI71" s="373">
        <f>SUM(AI59:AI70)</f>
        <v>343982.0556627427</v>
      </c>
      <c r="AJ71" s="373"/>
      <c r="AK71" s="373">
        <f t="shared" si="49"/>
        <v>0</v>
      </c>
      <c r="AL71" s="373">
        <f t="shared" si="49"/>
        <v>0</v>
      </c>
      <c r="AM71" s="373">
        <f t="shared" si="49"/>
        <v>3859008.9231627434</v>
      </c>
      <c r="AO71" s="373">
        <f>SUM(AO59:AO70)</f>
        <v>1919859.4399999997</v>
      </c>
      <c r="AP71" s="373"/>
      <c r="AQ71" s="373">
        <f t="shared" ref="AQ71:AV71" si="50">SUM(AQ59:AQ70)</f>
        <v>96165.43438845624</v>
      </c>
      <c r="AR71" s="373">
        <f t="shared" si="50"/>
        <v>141348.01449465551</v>
      </c>
      <c r="AS71" s="373">
        <f t="shared" si="50"/>
        <v>204669.15685089043</v>
      </c>
      <c r="AT71" s="384">
        <f t="shared" si="50"/>
        <v>132640.75084532652</v>
      </c>
      <c r="AU71" s="384">
        <f t="shared" si="50"/>
        <v>282302.69951009884</v>
      </c>
      <c r="AV71" s="373">
        <f t="shared" si="50"/>
        <v>857126.05608942755</v>
      </c>
      <c r="AW71" s="373"/>
      <c r="AX71" s="389">
        <f>SUM(AX59:AX70)</f>
        <v>0</v>
      </c>
      <c r="AY71" s="389">
        <f t="shared" si="0"/>
        <v>2776985.4960894273</v>
      </c>
      <c r="AZ71" s="373"/>
      <c r="BA71" s="373">
        <f>SUM(BA59:BA70)</f>
        <v>2153033.9436666667</v>
      </c>
      <c r="BB71" s="373"/>
      <c r="BC71" s="373">
        <f t="shared" ref="BC71:BH71" si="51">SUM(BC59:BC70)</f>
        <v>133104.05190463396</v>
      </c>
      <c r="BD71" s="373">
        <f t="shared" si="51"/>
        <v>265719.78663414042</v>
      </c>
      <c r="BE71" s="373">
        <f t="shared" si="51"/>
        <v>384757.04723156441</v>
      </c>
      <c r="BF71" s="373">
        <f t="shared" si="51"/>
        <v>270498.02661998617</v>
      </c>
      <c r="BG71" s="373">
        <f t="shared" si="51"/>
        <v>527173.40757340787</v>
      </c>
      <c r="BH71" s="373">
        <f t="shared" si="51"/>
        <v>1581252.3199637327</v>
      </c>
      <c r="BI71" s="373"/>
      <c r="BJ71" s="373">
        <f>SUM(BJ59:BJ70)</f>
        <v>2408571.19</v>
      </c>
      <c r="BK71" s="373">
        <f t="shared" si="34"/>
        <v>6142857.453630399</v>
      </c>
      <c r="BL71" s="373"/>
      <c r="BM71" s="373">
        <f>SUM(BM59:BM70)</f>
        <v>120604.41449999998</v>
      </c>
      <c r="BN71" s="373"/>
      <c r="BO71" s="373">
        <f t="shared" ref="BO71:BT71" si="52">SUM(BO59:BO70)</f>
        <v>9400.546738169156</v>
      </c>
      <c r="BP71" s="373">
        <f t="shared" si="52"/>
        <v>20108.78915545404</v>
      </c>
      <c r="BQ71" s="373">
        <f t="shared" si="52"/>
        <v>29117.132889721091</v>
      </c>
      <c r="BR71" s="373">
        <f t="shared" si="52"/>
        <v>26054.897756444967</v>
      </c>
      <c r="BS71" s="373">
        <f t="shared" si="52"/>
        <v>49907.162260000012</v>
      </c>
      <c r="BT71" s="474">
        <f t="shared" si="52"/>
        <v>134588.52879978926</v>
      </c>
      <c r="BU71" s="373"/>
      <c r="BV71" s="373">
        <f>SUM(BV59:BV70)</f>
        <v>913830.54999999993</v>
      </c>
      <c r="BW71" s="373">
        <f t="shared" si="48"/>
        <v>1169023.4932997893</v>
      </c>
      <c r="BX71" s="373"/>
      <c r="BY71" s="373"/>
      <c r="BZ71" s="373"/>
      <c r="CA71" s="373"/>
      <c r="CB71" s="373"/>
      <c r="CC71" s="373"/>
      <c r="CD71" s="373"/>
      <c r="CE71" s="373"/>
      <c r="CF71" s="373"/>
      <c r="CG71" s="373"/>
      <c r="CH71" s="373"/>
      <c r="CI71" s="373"/>
      <c r="CJ71" s="373"/>
      <c r="CK71" s="373"/>
      <c r="CL71" s="373"/>
      <c r="CM71" s="373"/>
      <c r="CN71" s="373"/>
      <c r="CO71" s="373"/>
      <c r="CP71" s="373"/>
      <c r="CQ71" s="373"/>
      <c r="CR71" s="373"/>
      <c r="CS71" s="373"/>
      <c r="CT71" s="373"/>
      <c r="CU71" s="373"/>
      <c r="CV71" s="373"/>
      <c r="CW71" s="373"/>
      <c r="CX71" s="373"/>
      <c r="CY71" s="373"/>
      <c r="DC71" s="373">
        <f>SUM(DC59:DC70)</f>
        <v>3317.7316070337906</v>
      </c>
      <c r="DE71" s="353"/>
      <c r="DF71" s="353"/>
      <c r="DG71" s="353"/>
      <c r="DH71" s="353"/>
      <c r="DI71" s="353"/>
      <c r="DJ71" s="353"/>
      <c r="DK71" s="353"/>
      <c r="DL71" s="353"/>
      <c r="DM71" s="353"/>
      <c r="DN71" s="353"/>
      <c r="DO71" s="353"/>
      <c r="DP71" s="353"/>
      <c r="DQ71" s="353"/>
      <c r="DR71" s="353"/>
      <c r="DS71" s="353"/>
      <c r="DT71" s="353"/>
      <c r="DU71" s="353"/>
      <c r="DV71" s="353"/>
      <c r="DW71" s="353"/>
      <c r="DX71" s="353"/>
      <c r="DY71" s="353"/>
      <c r="DZ71" s="353"/>
      <c r="EA71" s="353"/>
      <c r="EB71" s="353"/>
      <c r="EC71" s="353"/>
      <c r="ED71" s="353"/>
      <c r="EE71" s="353"/>
      <c r="EF71" s="353"/>
      <c r="EG71" s="353"/>
      <c r="EH71" s="353"/>
      <c r="EI71" s="353"/>
      <c r="EJ71" s="353"/>
      <c r="EK71" s="353"/>
      <c r="EL71" s="353"/>
      <c r="EM71" s="353"/>
      <c r="EN71" s="353"/>
      <c r="EO71" s="353"/>
      <c r="EP71" s="353"/>
      <c r="EQ71" s="353"/>
      <c r="ER71" s="353"/>
      <c r="ES71" s="353"/>
      <c r="ET71" s="353"/>
      <c r="EU71" s="353"/>
      <c r="EV71" s="353"/>
      <c r="EW71" s="353"/>
      <c r="EX71" s="353"/>
      <c r="EY71" s="353"/>
      <c r="EZ71" s="353"/>
      <c r="FA71" s="353"/>
      <c r="FB71" s="353"/>
      <c r="FC71" s="353"/>
      <c r="FD71" s="353"/>
      <c r="FE71" s="353"/>
      <c r="FF71" s="353"/>
      <c r="FG71" s="353"/>
      <c r="FH71" s="353"/>
      <c r="FI71" s="353"/>
      <c r="FJ71" s="353"/>
      <c r="FK71" s="353"/>
      <c r="FL71" s="353"/>
      <c r="FM71" s="353"/>
      <c r="FN71" s="353"/>
      <c r="FO71" s="353"/>
      <c r="FP71" s="353"/>
      <c r="FQ71" s="353"/>
    </row>
    <row r="72" spans="1:173" s="351" customFormat="1" hidden="1" outlineLevel="1">
      <c r="F72" s="393"/>
      <c r="G72" s="394"/>
      <c r="J72" s="393"/>
      <c r="K72" s="393"/>
      <c r="L72" s="393"/>
      <c r="M72" s="393"/>
      <c r="N72" s="393"/>
      <c r="O72" s="394"/>
      <c r="P72" s="374"/>
      <c r="Q72" s="374"/>
      <c r="R72" s="374"/>
      <c r="S72" s="374"/>
      <c r="T72" s="394"/>
      <c r="U72" s="394"/>
      <c r="V72" s="394"/>
      <c r="W72" s="394"/>
      <c r="X72" s="394"/>
      <c r="Y72" s="394"/>
      <c r="Z72" s="384"/>
      <c r="AA72" s="394"/>
      <c r="AB72" s="373"/>
      <c r="AC72" s="373"/>
      <c r="AD72" s="373"/>
      <c r="AE72" s="373"/>
      <c r="AF72" s="373"/>
      <c r="AG72" s="373"/>
      <c r="AH72" s="373"/>
      <c r="AI72" s="373"/>
      <c r="AJ72" s="373"/>
      <c r="AK72" s="373"/>
      <c r="AL72" s="373"/>
      <c r="AM72" s="373"/>
      <c r="AO72" s="373"/>
      <c r="AP72" s="373"/>
      <c r="AQ72" s="373"/>
      <c r="AR72" s="373"/>
      <c r="AS72" s="373"/>
      <c r="AT72" s="373"/>
      <c r="AU72" s="373"/>
      <c r="AV72" s="373"/>
      <c r="AW72" s="373"/>
      <c r="AX72" s="373"/>
      <c r="AY72" s="373"/>
      <c r="AZ72" s="373"/>
      <c r="BA72" s="373"/>
      <c r="BB72" s="373"/>
      <c r="BC72" s="373"/>
      <c r="BD72" s="373"/>
      <c r="BE72" s="373"/>
      <c r="BF72" s="373"/>
      <c r="BG72" s="373"/>
      <c r="BH72" s="373"/>
      <c r="BI72" s="373"/>
      <c r="BK72" s="373"/>
      <c r="BM72" s="373"/>
      <c r="BN72" s="373"/>
      <c r="BO72" s="373"/>
      <c r="BP72" s="373"/>
      <c r="BQ72" s="373"/>
      <c r="BR72" s="373"/>
      <c r="BS72" s="373"/>
      <c r="BT72" s="373"/>
      <c r="BU72" s="373"/>
      <c r="CY72" s="373"/>
      <c r="DC72" s="373"/>
      <c r="DE72" s="353"/>
      <c r="DF72" s="353"/>
      <c r="DG72" s="353"/>
      <c r="DH72" s="353"/>
      <c r="DI72" s="353"/>
      <c r="DJ72" s="353"/>
      <c r="DK72" s="353"/>
      <c r="DL72" s="353"/>
      <c r="DM72" s="353"/>
      <c r="DN72" s="353"/>
      <c r="DO72" s="353"/>
      <c r="DP72" s="353"/>
      <c r="DQ72" s="353"/>
      <c r="DR72" s="353"/>
      <c r="DS72" s="353"/>
      <c r="DT72" s="353"/>
      <c r="DU72" s="353"/>
      <c r="DV72" s="353"/>
      <c r="DW72" s="353"/>
      <c r="DX72" s="353"/>
      <c r="DY72" s="353"/>
      <c r="DZ72" s="353"/>
      <c r="EA72" s="353"/>
      <c r="EB72" s="353"/>
      <c r="EC72" s="353"/>
      <c r="ED72" s="353"/>
      <c r="EE72" s="353"/>
      <c r="EF72" s="353"/>
      <c r="EG72" s="353"/>
      <c r="EH72" s="353"/>
      <c r="EI72" s="353"/>
      <c r="EJ72" s="353"/>
      <c r="EK72" s="353"/>
      <c r="EL72" s="353"/>
      <c r="EM72" s="353"/>
      <c r="EN72" s="353"/>
      <c r="EO72" s="353"/>
      <c r="EP72" s="353"/>
      <c r="EQ72" s="353"/>
      <c r="ER72" s="353"/>
      <c r="ES72" s="353"/>
      <c r="ET72" s="353"/>
      <c r="EU72" s="353"/>
      <c r="EV72" s="353"/>
      <c r="EW72" s="353"/>
      <c r="EX72" s="353"/>
      <c r="EY72" s="353"/>
      <c r="EZ72" s="353"/>
      <c r="FA72" s="353"/>
      <c r="FB72" s="353"/>
      <c r="FC72" s="353"/>
      <c r="FD72" s="353"/>
      <c r="FE72" s="353"/>
      <c r="FF72" s="353"/>
      <c r="FG72" s="353"/>
      <c r="FH72" s="353"/>
      <c r="FI72" s="353"/>
      <c r="FJ72" s="353"/>
      <c r="FK72" s="353"/>
      <c r="FL72" s="353"/>
      <c r="FM72" s="353"/>
      <c r="FN72" s="353"/>
      <c r="FO72" s="353"/>
      <c r="FP72" s="353"/>
      <c r="FQ72" s="353"/>
    </row>
    <row r="73" spans="1:173" s="351" customFormat="1" ht="17.25" hidden="1" outlineLevel="1">
      <c r="G73" s="353"/>
      <c r="N73" s="393"/>
      <c r="O73" s="353"/>
      <c r="R73" s="374"/>
      <c r="T73" s="353"/>
      <c r="U73" s="353"/>
      <c r="V73" s="353"/>
      <c r="W73" s="353"/>
      <c r="X73" s="353"/>
      <c r="Y73" s="353"/>
      <c r="Z73" s="542"/>
      <c r="AA73" s="353"/>
      <c r="AB73" s="377"/>
      <c r="AC73" s="377"/>
      <c r="AD73" s="377"/>
      <c r="AF73" s="373"/>
      <c r="AG73" s="373"/>
      <c r="AH73" s="373"/>
      <c r="AI73" s="377"/>
      <c r="AJ73" s="373"/>
      <c r="AK73" s="377"/>
      <c r="AL73" s="377"/>
      <c r="AM73" s="384"/>
      <c r="AO73" s="377"/>
      <c r="AQ73" s="373"/>
      <c r="AR73" s="373"/>
      <c r="AS73" s="373"/>
      <c r="AT73" s="373"/>
      <c r="AU73" s="373"/>
      <c r="AV73" s="377"/>
      <c r="AW73" s="373"/>
      <c r="AX73" s="377"/>
      <c r="AY73" s="373"/>
      <c r="AZ73" s="384"/>
      <c r="BA73" s="384"/>
      <c r="BB73" s="384"/>
      <c r="BC73" s="384"/>
      <c r="BD73" s="384"/>
      <c r="BE73" s="384"/>
      <c r="BF73" s="384"/>
      <c r="BG73" s="384"/>
      <c r="BH73" s="384"/>
      <c r="BI73" s="384"/>
      <c r="BK73" s="373"/>
      <c r="BM73" s="384"/>
      <c r="BN73" s="384"/>
      <c r="BO73" s="384"/>
      <c r="BP73" s="384"/>
      <c r="BQ73" s="384"/>
      <c r="BR73" s="384"/>
      <c r="BS73" s="384"/>
      <c r="BT73" s="446"/>
      <c r="BU73" s="384"/>
      <c r="CY73" s="386" t="s">
        <v>49</v>
      </c>
      <c r="CZ73" s="373">
        <f>+CZ70+DC71</f>
        <v>4970541.9228285002</v>
      </c>
      <c r="DA73" s="373"/>
      <c r="DC73" s="377"/>
      <c r="DE73" s="353"/>
      <c r="DF73" s="353"/>
      <c r="DG73" s="353"/>
      <c r="DH73" s="353"/>
      <c r="DI73" s="353"/>
      <c r="DJ73" s="353"/>
      <c r="DK73" s="353"/>
      <c r="DL73" s="353"/>
      <c r="DM73" s="353"/>
      <c r="DN73" s="353"/>
      <c r="DO73" s="353"/>
      <c r="DP73" s="353"/>
      <c r="DQ73" s="353"/>
      <c r="DR73" s="353"/>
      <c r="DS73" s="353"/>
      <c r="DT73" s="353"/>
      <c r="DU73" s="353"/>
      <c r="DV73" s="353"/>
      <c r="DW73" s="353"/>
      <c r="DX73" s="353"/>
      <c r="DY73" s="353"/>
      <c r="DZ73" s="353"/>
      <c r="EA73" s="353"/>
      <c r="EB73" s="353"/>
      <c r="EC73" s="353"/>
      <c r="ED73" s="353"/>
      <c r="EE73" s="353"/>
      <c r="EF73" s="353"/>
      <c r="EG73" s="353"/>
      <c r="EH73" s="353"/>
      <c r="EI73" s="353"/>
      <c r="EJ73" s="353"/>
      <c r="EK73" s="353"/>
      <c r="EL73" s="353"/>
      <c r="EM73" s="353"/>
      <c r="EN73" s="353"/>
      <c r="EO73" s="353"/>
      <c r="EP73" s="353"/>
      <c r="EQ73" s="353"/>
      <c r="ER73" s="353"/>
      <c r="ES73" s="353"/>
      <c r="ET73" s="353"/>
      <c r="EU73" s="353"/>
      <c r="EV73" s="353"/>
      <c r="EW73" s="353"/>
      <c r="EX73" s="353"/>
      <c r="EY73" s="353"/>
      <c r="EZ73" s="353"/>
      <c r="FA73" s="353"/>
      <c r="FB73" s="353"/>
      <c r="FC73" s="353"/>
      <c r="FD73" s="353"/>
      <c r="FE73" s="353"/>
      <c r="FF73" s="353"/>
      <c r="FG73" s="353"/>
      <c r="FH73" s="353"/>
      <c r="FI73" s="353"/>
      <c r="FJ73" s="353"/>
      <c r="FK73" s="353"/>
      <c r="FL73" s="353"/>
      <c r="FM73" s="353"/>
      <c r="FN73" s="353"/>
      <c r="FO73" s="353"/>
      <c r="FP73" s="353"/>
      <c r="FQ73" s="353"/>
    </row>
    <row r="74" spans="1:173" s="351" customFormat="1" hidden="1" outlineLevel="1">
      <c r="A74" s="356" t="s">
        <v>50</v>
      </c>
      <c r="B74" s="356">
        <v>2013</v>
      </c>
      <c r="C74" s="392" t="s">
        <v>47</v>
      </c>
      <c r="D74" s="373">
        <f>+'E3 - Invest Amort deferred tax'!AN55+'E3 - Financing upfront'!H55+'E3 - Financing upfront'!Q55</f>
        <v>3197264.9920833344</v>
      </c>
      <c r="E74" s="373">
        <f>+'E3 - Invest Amort deferred tax'!AN55</f>
        <v>3197265.2620833348</v>
      </c>
      <c r="F74" s="393">
        <f>+'E3 - Invest Amort deferred tax'!BT55</f>
        <v>-1306082.8595610398</v>
      </c>
      <c r="G74" s="394"/>
      <c r="H74" s="373">
        <f>+'RGGI - Invest Amort deferred'!AI38</f>
        <v>5449720.2483333349</v>
      </c>
      <c r="I74" s="373">
        <f>+'RGGI - Invest Amort deferred'!AI38</f>
        <v>5449720.2483333349</v>
      </c>
      <c r="J74" s="393">
        <f>+'RGGI - Invest Amort deferred'!BL38</f>
        <v>-2226210.7214441667</v>
      </c>
      <c r="K74" s="393"/>
      <c r="L74" s="394">
        <f>'RGGI II Invest Amort Def'!AI26</f>
        <v>11119121.280000001</v>
      </c>
      <c r="M74" s="394">
        <f>'RGGI II Invest Amort Def'!AI26</f>
        <v>11119121.280000001</v>
      </c>
      <c r="N74" s="393">
        <f>'RGGI II Invest Amort Def'!BK26</f>
        <v>-3522786.8735183338</v>
      </c>
      <c r="O74" s="394"/>
      <c r="P74" s="374">
        <f>'2013 program Invest Amort Def'!AY8</f>
        <v>4789524.924333333</v>
      </c>
      <c r="Q74" s="374">
        <f>'2013 program Invest Amort Def'!AY8</f>
        <v>4789524.924333333</v>
      </c>
      <c r="R74" s="374">
        <f>'2013 program Invest Amort Def'!CQ8</f>
        <v>-333053.22921933327</v>
      </c>
      <c r="S74" s="373">
        <f t="shared" ref="S74:S84" si="53">+P74+R74</f>
        <v>4456471.6951139998</v>
      </c>
      <c r="T74" s="394"/>
      <c r="U74" s="394"/>
      <c r="V74" s="394"/>
      <c r="W74" s="394"/>
      <c r="X74" s="394"/>
      <c r="Y74" s="394"/>
      <c r="Z74" s="384">
        <v>31700566.880000018</v>
      </c>
      <c r="AA74" s="530">
        <f>+AA70</f>
        <v>3.0599999999999999E-2</v>
      </c>
      <c r="AB74" s="372">
        <f t="shared" ref="AB74:AB83" si="54">+Z74*AA74</f>
        <v>970037.34652800055</v>
      </c>
      <c r="AC74" s="372"/>
      <c r="AD74" s="372">
        <f>+'E3 - Invest Amort deferred tax'!AL55</f>
        <v>291681.40562500007</v>
      </c>
      <c r="AE74" s="373"/>
      <c r="AF74" s="373">
        <f>(D74+F74)*'Capital Structure '!$F$21/12</f>
        <v>3908.2316661635796</v>
      </c>
      <c r="AG74" s="373">
        <f>(D74+F74)*'Capital Structure '!$E$34/12</f>
        <v>5744.4838648144687</v>
      </c>
      <c r="AH74" s="373">
        <f>(D74+F74)*'Capital Structure '!$F$18/12</f>
        <v>8317.9001371793365</v>
      </c>
      <c r="AI74" s="543">
        <f t="shared" ref="AI74:AI85" si="55">SUM(AF74:AH74)</f>
        <v>17970.615668157385</v>
      </c>
      <c r="AJ74" s="373"/>
      <c r="AK74" s="372">
        <v>0</v>
      </c>
      <c r="AL74" s="372">
        <v>0</v>
      </c>
      <c r="AM74" s="373">
        <f t="shared" ref="AM74:AM85" si="56">+AL74+AI74+AD74+AK74</f>
        <v>309652.02129315748</v>
      </c>
      <c r="AO74" s="372">
        <f>+'RGGI - Invest Amort deferred'!AG38</f>
        <v>159988.28666666665</v>
      </c>
      <c r="AP74" s="373"/>
      <c r="AQ74" s="373">
        <f>(H74+J74)*'Capital Structure '!$F$21/12</f>
        <v>6661.5593456172355</v>
      </c>
      <c r="AR74" s="373">
        <f>(H74+J74)*'Capital Structure '!$E$34/12</f>
        <v>9791.4411028162849</v>
      </c>
      <c r="AS74" s="373">
        <f>(H74+J74)*'Capital Structure '!$F$18/12</f>
        <v>14177.814962829456</v>
      </c>
      <c r="AT74" s="373">
        <f>'RGGI - On-bill financing'!J38*'Capital Structure '!$E$34/12</f>
        <v>10258.741398815484</v>
      </c>
      <c r="AU74" s="373">
        <f>'RGGI - On-bill financing'!J38*('Capital Structure '!$F$18+'Capital Structure '!$F$21)/12</f>
        <v>21833.94146975804</v>
      </c>
      <c r="AV74" s="434">
        <f t="shared" ref="AV74:AV85" si="57">SUM(AQ74:AU74)</f>
        <v>62723.498279836494</v>
      </c>
      <c r="AW74" s="373"/>
      <c r="AX74" s="372">
        <v>0</v>
      </c>
      <c r="AY74" s="373">
        <f t="shared" ref="AY74:AY131" si="58">+AX74+AV74+AO74</f>
        <v>222711.78494650315</v>
      </c>
      <c r="AZ74" s="373"/>
      <c r="BA74" s="373">
        <f>'RGGI II Invest Amort Def'!AG26</f>
        <v>231616.14799999999</v>
      </c>
      <c r="BB74" s="373"/>
      <c r="BC74" s="373">
        <f>(L74+N74)*'Capital Structure '!$H$21/12</f>
        <v>11558.17096478882</v>
      </c>
      <c r="BD74" s="373">
        <f>(L74+N74)*'Capital Structure '!$H$34/12</f>
        <v>23073.938611914476</v>
      </c>
      <c r="BE74" s="373">
        <f>(L74+N74)*'Capital Structure '!$H$18/12</f>
        <v>33410.611233653399</v>
      </c>
      <c r="BF74" s="373">
        <f>'RGGI II On Bill Fin''g'!L26*'Capital Structure '!$H$34/12</f>
        <v>29916.611807234469</v>
      </c>
      <c r="BG74" s="373">
        <f>'RGGI II On Bill Fin''g'!L26*('Capital Structure '!$H$18+'Capital Structure '!$H$21)/12</f>
        <v>58304.463017865724</v>
      </c>
      <c r="BH74" s="415">
        <f t="shared" ref="BH74:BH84" si="59">SUM(BC74:BG74)</f>
        <v>156263.79563545689</v>
      </c>
      <c r="BI74" s="373"/>
      <c r="BK74" s="373">
        <f t="shared" si="34"/>
        <v>387879.94363545685</v>
      </c>
      <c r="BL74" s="373"/>
      <c r="BM74" s="373">
        <f>'2013 program Invest Amort Def'!AW8</f>
        <v>83222.531166666668</v>
      </c>
      <c r="BN74" s="373"/>
      <c r="BO74" s="373">
        <f>(S74)*'Capital Structure '!$J$21/12</f>
        <v>6253.9152788099791</v>
      </c>
      <c r="BP74" s="373">
        <f>(S74)*'Capital Structure '!$J$34/12</f>
        <v>13377.803147027924</v>
      </c>
      <c r="BQ74" s="373">
        <f>(S74)*'Capital Structure '!$J$18/12</f>
        <v>19370.796968095518</v>
      </c>
      <c r="BR74" s="373">
        <f>('2013 program 10 yr On Bill Fin'!M8+'2013 program 5 yr On Bill Fin'!L6)*'Capital Structure '!$J$34/12</f>
        <v>18129.243818603096</v>
      </c>
      <c r="BS74" s="373">
        <f>('2013 program 10 yr On Bill Fin'!M8+'2013 program 5 yr On Bill Fin'!L6)*('Capital Structure '!$J$18+'Capital Structure '!$J$21)/12</f>
        <v>34725.930035000005</v>
      </c>
      <c r="BT74" s="544">
        <f t="shared" ref="BT74:BT85" si="60">SUM(BO74:BS74)</f>
        <v>91857.689247536531</v>
      </c>
      <c r="BU74" s="373"/>
      <c r="BV74" s="374">
        <f>49436.93+1040.86+66.95+983.16+32071.64+335.16+959.76+12758.94+5377.78+2731.86+43.76+24477.32+1342.06+1184.39+14731.55+715+202+2846.26+1320.37+6475.44+990.57+43648.84+9395.41+25772.91+15116.12</f>
        <v>254025.04</v>
      </c>
      <c r="BW74" s="374">
        <f t="shared" si="48"/>
        <v>429105.26041420316</v>
      </c>
      <c r="BX74" s="373"/>
      <c r="BY74" s="373"/>
      <c r="BZ74" s="373"/>
      <c r="CA74" s="373"/>
      <c r="CB74" s="373"/>
      <c r="CC74" s="373"/>
      <c r="CD74" s="373"/>
      <c r="CE74" s="373"/>
      <c r="CF74" s="373"/>
      <c r="CG74" s="373"/>
      <c r="CH74" s="373"/>
      <c r="CI74" s="373"/>
      <c r="CJ74" s="373"/>
      <c r="CK74" s="373"/>
      <c r="CL74" s="373"/>
      <c r="CM74" s="373"/>
      <c r="CN74" s="373"/>
      <c r="CO74" s="373"/>
      <c r="CP74" s="373"/>
      <c r="CQ74" s="373"/>
      <c r="CR74" s="373"/>
      <c r="CS74" s="373"/>
      <c r="CT74" s="373"/>
      <c r="CU74" s="373"/>
      <c r="CV74" s="373"/>
      <c r="CW74" s="373"/>
      <c r="CX74" s="373"/>
      <c r="CY74" s="373">
        <f t="shared" ref="CY74:CY85" si="61">+BW74+BK74+AY74+AM74-AB74</f>
        <v>379311.66376132017</v>
      </c>
      <c r="CZ74" s="373">
        <f>+CZ73+CY74</f>
        <v>5349853.5865898207</v>
      </c>
      <c r="DA74" s="373">
        <f t="shared" ref="DA74:DA84" si="62">(CZ73+CZ74)/2*(1-0.4085)</f>
        <v>3052256.9719104683</v>
      </c>
      <c r="DB74" s="407">
        <v>4.0000000000000001E-3</v>
      </c>
      <c r="DC74" s="372">
        <f>(DA74)*DB74/12</f>
        <v>1017.4189906368229</v>
      </c>
      <c r="DE74" s="404">
        <f t="shared" ref="DE74:DE85" si="63">(BO74+BQ74)/(S74)*12</f>
        <v>6.8999999999999992E-2</v>
      </c>
      <c r="DF74" s="404">
        <f t="shared" ref="DF74:DF85" si="64">(BO74+BP74+BQ74)/(S74)*12</f>
        <v>0.10502258664412509</v>
      </c>
      <c r="DG74" s="353"/>
      <c r="DH74" s="353"/>
      <c r="DI74" s="353"/>
      <c r="DJ74" s="353"/>
      <c r="DK74" s="353"/>
      <c r="DL74" s="353"/>
      <c r="DM74" s="353"/>
      <c r="DN74" s="353"/>
      <c r="DO74" s="353"/>
      <c r="DP74" s="353"/>
      <c r="DQ74" s="353"/>
      <c r="DR74" s="353"/>
      <c r="DS74" s="353"/>
      <c r="DT74" s="353"/>
      <c r="DU74" s="353"/>
      <c r="DV74" s="353"/>
      <c r="DW74" s="353"/>
      <c r="DX74" s="353"/>
      <c r="DY74" s="353"/>
      <c r="DZ74" s="353"/>
      <c r="EA74" s="353"/>
      <c r="EB74" s="353"/>
      <c r="EC74" s="353"/>
      <c r="ED74" s="353"/>
      <c r="EE74" s="353"/>
      <c r="EF74" s="353"/>
      <c r="EG74" s="353"/>
      <c r="EH74" s="353"/>
      <c r="EI74" s="353"/>
      <c r="EJ74" s="353"/>
      <c r="EK74" s="353"/>
      <c r="EL74" s="353"/>
      <c r="EM74" s="353"/>
      <c r="EN74" s="353"/>
      <c r="EO74" s="353"/>
      <c r="EP74" s="353"/>
      <c r="EQ74" s="353"/>
      <c r="ER74" s="353"/>
      <c r="ES74" s="353"/>
      <c r="ET74" s="353"/>
      <c r="EU74" s="353"/>
      <c r="EV74" s="353"/>
      <c r="EW74" s="353"/>
      <c r="EX74" s="353"/>
      <c r="EY74" s="353"/>
      <c r="EZ74" s="353"/>
      <c r="FA74" s="353"/>
      <c r="FB74" s="353"/>
      <c r="FC74" s="353"/>
      <c r="FD74" s="353"/>
      <c r="FE74" s="353"/>
      <c r="FF74" s="353"/>
      <c r="FG74" s="353"/>
      <c r="FH74" s="353"/>
      <c r="FI74" s="353"/>
      <c r="FJ74" s="353"/>
      <c r="FK74" s="353"/>
      <c r="FL74" s="353"/>
      <c r="FM74" s="353"/>
      <c r="FN74" s="353"/>
      <c r="FO74" s="353"/>
      <c r="FP74" s="353"/>
      <c r="FQ74" s="353"/>
    </row>
    <row r="75" spans="1:173" s="351" customFormat="1" hidden="1" outlineLevel="1">
      <c r="A75" s="356" t="s">
        <v>51</v>
      </c>
      <c r="B75" s="356">
        <f>+B74</f>
        <v>2013</v>
      </c>
      <c r="C75" s="392" t="s">
        <v>47</v>
      </c>
      <c r="D75" s="373">
        <f>+'E3 - Invest Amort deferred tax'!AN56+'E3 - Financing upfront'!H56+'E3 - Financing upfront'!Q56</f>
        <v>2909258.5864583338</v>
      </c>
      <c r="E75" s="373">
        <f>+'E3 - Invest Amort deferred tax'!AN56</f>
        <v>2909258.8564583343</v>
      </c>
      <c r="F75" s="393">
        <f>+'E3 - Invest Amort deferred tax'!BT56</f>
        <v>-1188432.2428632274</v>
      </c>
      <c r="G75" s="394"/>
      <c r="H75" s="373">
        <f>+'RGGI - Invest Amort deferred'!AI39</f>
        <v>5289731.9616666678</v>
      </c>
      <c r="I75" s="373">
        <f>+'RGGI - Invest Amort deferred'!AI39</f>
        <v>5289731.9616666678</v>
      </c>
      <c r="J75" s="393">
        <f>+'RGGI - Invest Amort deferred'!BL39</f>
        <v>-2160855.5063408334</v>
      </c>
      <c r="K75" s="393"/>
      <c r="L75" s="394">
        <f>'RGGI II Invest Amort Def'!AI27</f>
        <v>10887505.131999999</v>
      </c>
      <c r="M75" s="394">
        <f>'RGGI II Invest Amort Def'!AI27</f>
        <v>10887505.131999999</v>
      </c>
      <c r="N75" s="393">
        <f>'RGGI II Invest Amort Def'!BK27</f>
        <v>-3670136.2319061672</v>
      </c>
      <c r="O75" s="394"/>
      <c r="P75" s="374">
        <f>'2013 program Invest Amort Def'!AY9</f>
        <v>5875436.5598333338</v>
      </c>
      <c r="Q75" s="374">
        <f>'2013 program Invest Amort Def'!AY9</f>
        <v>5875436.5598333338</v>
      </c>
      <c r="R75" s="374">
        <f>'2013 program Invest Amort Def'!CQ9</f>
        <v>-501417.91681233328</v>
      </c>
      <c r="S75" s="373">
        <f t="shared" si="53"/>
        <v>5374018.6430210005</v>
      </c>
      <c r="T75" s="394"/>
      <c r="U75" s="394"/>
      <c r="V75" s="394"/>
      <c r="W75" s="394"/>
      <c r="X75" s="394"/>
      <c r="Y75" s="394"/>
      <c r="Z75" s="384">
        <v>71247608.270000011</v>
      </c>
      <c r="AA75" s="530">
        <f t="shared" ref="AA75:AA83" si="65">+AA74</f>
        <v>3.0599999999999999E-2</v>
      </c>
      <c r="AB75" s="372">
        <f t="shared" si="54"/>
        <v>2180176.8130620001</v>
      </c>
      <c r="AC75" s="372"/>
      <c r="AD75" s="372">
        <f>+'E3 - Invest Amort deferred tax'!AL56</f>
        <v>288006.40562500007</v>
      </c>
      <c r="AE75" s="373"/>
      <c r="AF75" s="373">
        <f>(D75+F75)*'Capital Structure '!$F$21/12</f>
        <v>3556.1820791089772</v>
      </c>
      <c r="AG75" s="373">
        <f>(D75+F75)*'Capital Structure '!$E$34/12</f>
        <v>5227.0265221603313</v>
      </c>
      <c r="AH75" s="373">
        <f>(D75+F75)*'Capital Structure '!$F$18/12</f>
        <v>7568.6320388196727</v>
      </c>
      <c r="AI75" s="543">
        <f t="shared" si="55"/>
        <v>16351.840640088982</v>
      </c>
      <c r="AJ75" s="373"/>
      <c r="AK75" s="372">
        <v>0</v>
      </c>
      <c r="AL75" s="372">
        <v>0</v>
      </c>
      <c r="AM75" s="373">
        <f t="shared" si="56"/>
        <v>304358.24626508908</v>
      </c>
      <c r="AO75" s="372">
        <f>+'RGGI - Invest Amort deferred'!AG39</f>
        <v>159988.28666666665</v>
      </c>
      <c r="AP75" s="373"/>
      <c r="AQ75" s="373">
        <f>(H75+J75)*'Capital Structure '!$F$21/12</f>
        <v>6465.9949097070503</v>
      </c>
      <c r="AR75" s="373">
        <f>(H75+J75)*'Capital Structure '!$E$34/12</f>
        <v>9503.9922403694018</v>
      </c>
      <c r="AS75" s="373">
        <f>(H75+J75)*'Capital Structure '!$F$18/12</f>
        <v>13761.594639359857</v>
      </c>
      <c r="AT75" s="373">
        <f>'RGGI - On-bill financing'!J39*'Capital Structure '!$E$34/12</f>
        <v>10167.218136595597</v>
      </c>
      <c r="AU75" s="373">
        <f>'RGGI - On-bill financing'!J39*('Capital Structure '!$F$18+'Capital Structure '!$F$21)/12</f>
        <v>21639.150172000886</v>
      </c>
      <c r="AV75" s="434">
        <f t="shared" si="57"/>
        <v>61537.950098032787</v>
      </c>
      <c r="AW75" s="373"/>
      <c r="AX75" s="372">
        <v>0</v>
      </c>
      <c r="AY75" s="373">
        <f t="shared" si="58"/>
        <v>221526.23676469945</v>
      </c>
      <c r="AZ75" s="373"/>
      <c r="BA75" s="373">
        <f>'RGGI II Invest Amort Def'!AG27</f>
        <v>231616.14799999999</v>
      </c>
      <c r="BB75" s="373"/>
      <c r="BC75" s="373">
        <f>(L75+N75)*'Capital Structure '!$H$21/12</f>
        <v>10981.557577567351</v>
      </c>
      <c r="BD75" s="373">
        <f>(L75+N75)*'Capital Structure '!$H$34/12</f>
        <v>21922.827251813625</v>
      </c>
      <c r="BE75" s="373">
        <f>(L75+N75)*'Capital Structure '!$H$18/12</f>
        <v>31743.8245274119</v>
      </c>
      <c r="BF75" s="373">
        <f>'RGGI II On Bill Fin''g'!L27*'Capital Structure '!$H$34/12</f>
        <v>29552.046321927963</v>
      </c>
      <c r="BG75" s="373">
        <f>'RGGI II On Bill Fin''g'!L27*('Capital Structure '!$H$18+'Capital Structure '!$H$21)/12</f>
        <v>57593.961608394493</v>
      </c>
      <c r="BH75" s="415">
        <f t="shared" si="59"/>
        <v>151794.21728711535</v>
      </c>
      <c r="BI75" s="373"/>
      <c r="BK75" s="373">
        <f t="shared" si="34"/>
        <v>383410.36528711533</v>
      </c>
      <c r="BL75" s="373"/>
      <c r="BM75" s="373">
        <f>'2013 program Invest Amort Def'!AW9</f>
        <v>103038.3645</v>
      </c>
      <c r="BN75" s="373"/>
      <c r="BO75" s="373">
        <f>(S75)*'Capital Structure '!$J$21/12</f>
        <v>7541.5394957061371</v>
      </c>
      <c r="BP75" s="373">
        <f>(S75)*'Capital Structure '!$J$34/12</f>
        <v>16132.171016280632</v>
      </c>
      <c r="BQ75" s="373">
        <f>(S75)*'Capital Structure '!$J$18/12</f>
        <v>23359.067701664611</v>
      </c>
      <c r="BR75" s="373">
        <f>('2013 program 10 yr On Bill Fin'!M9+'2013 program 5 yr On Bill Fin'!L7)*'Capital Structure '!$J$34/12</f>
        <v>23895.535360603655</v>
      </c>
      <c r="BS75" s="373">
        <f>('2013 program 10 yr On Bill Fin'!M9+'2013 program 5 yr On Bill Fin'!L7)*('Capital Structure '!$J$18+'Capital Structure '!$J$21)/12</f>
        <v>45771.059035000006</v>
      </c>
      <c r="BT75" s="544">
        <f t="shared" si="60"/>
        <v>116699.37260925505</v>
      </c>
      <c r="BU75" s="373"/>
      <c r="BV75" s="374">
        <f>47660.4+662.84+173.87+32071.64+3000+8763.54+33438.63+5377.64+2391.94+50.8+24445.62+2377.18+4800.72+4227.29+449.09+2785.47+300+82+6677.14+1425.27+5571.43+990.28+43648.84+15178.36-500+1028.26+16083.62</f>
        <v>263161.87</v>
      </c>
      <c r="BW75" s="374">
        <f t="shared" si="48"/>
        <v>482899.60710925504</v>
      </c>
      <c r="BX75" s="373"/>
      <c r="BY75" s="373"/>
      <c r="BZ75" s="373"/>
      <c r="CA75" s="373"/>
      <c r="CB75" s="373"/>
      <c r="CC75" s="373"/>
      <c r="CD75" s="373"/>
      <c r="CE75" s="373"/>
      <c r="CF75" s="373"/>
      <c r="CG75" s="373"/>
      <c r="CH75" s="373"/>
      <c r="CI75" s="373"/>
      <c r="CJ75" s="373"/>
      <c r="CK75" s="373"/>
      <c r="CL75" s="373"/>
      <c r="CM75" s="373"/>
      <c r="CN75" s="373"/>
      <c r="CO75" s="373"/>
      <c r="CP75" s="373"/>
      <c r="CQ75" s="373"/>
      <c r="CR75" s="373"/>
      <c r="CS75" s="373"/>
      <c r="CT75" s="373"/>
      <c r="CU75" s="373"/>
      <c r="CV75" s="373"/>
      <c r="CW75" s="373"/>
      <c r="CX75" s="373"/>
      <c r="CY75" s="373">
        <f t="shared" si="61"/>
        <v>-787982.35763584124</v>
      </c>
      <c r="CZ75" s="373">
        <f t="shared" ref="CZ75:CZ83" si="66">CZ74+CY75</f>
        <v>4561871.2289539799</v>
      </c>
      <c r="DA75" s="373">
        <f t="shared" si="62"/>
        <v>2931392.6141970791</v>
      </c>
      <c r="DB75" s="407">
        <v>4.0000000000000001E-3</v>
      </c>
      <c r="DC75" s="372">
        <f t="shared" ref="DC75:DC84" si="67">(DA75)*DB75/12</f>
        <v>977.13087139902643</v>
      </c>
      <c r="DE75" s="404">
        <f t="shared" si="63"/>
        <v>6.8999999999999992E-2</v>
      </c>
      <c r="DF75" s="404">
        <f t="shared" si="64"/>
        <v>0.10502258664412509</v>
      </c>
      <c r="DG75" s="353"/>
      <c r="DH75" s="353"/>
      <c r="DI75" s="353"/>
      <c r="DJ75" s="353"/>
      <c r="DK75" s="353"/>
      <c r="DL75" s="353"/>
      <c r="DM75" s="353"/>
      <c r="DN75" s="353"/>
      <c r="DO75" s="353"/>
      <c r="DP75" s="353"/>
      <c r="DQ75" s="353"/>
      <c r="DR75" s="353"/>
      <c r="DS75" s="353"/>
      <c r="DT75" s="353"/>
      <c r="DU75" s="353"/>
      <c r="DV75" s="353"/>
      <c r="DW75" s="353"/>
      <c r="DX75" s="353"/>
      <c r="DY75" s="353"/>
      <c r="DZ75" s="353"/>
      <c r="EA75" s="353"/>
      <c r="EB75" s="353"/>
      <c r="EC75" s="353"/>
      <c r="ED75" s="353"/>
      <c r="EE75" s="353"/>
      <c r="EF75" s="353"/>
      <c r="EG75" s="353"/>
      <c r="EH75" s="353"/>
      <c r="EI75" s="353"/>
      <c r="EJ75" s="353"/>
      <c r="EK75" s="353"/>
      <c r="EL75" s="353"/>
      <c r="EM75" s="353"/>
      <c r="EN75" s="353"/>
      <c r="EO75" s="353"/>
      <c r="EP75" s="353"/>
      <c r="EQ75" s="353"/>
      <c r="ER75" s="353"/>
      <c r="ES75" s="353"/>
      <c r="ET75" s="353"/>
      <c r="EU75" s="353"/>
      <c r="EV75" s="353"/>
      <c r="EW75" s="353"/>
      <c r="EX75" s="353"/>
      <c r="EY75" s="353"/>
      <c r="EZ75" s="353"/>
      <c r="FA75" s="353"/>
      <c r="FB75" s="353"/>
      <c r="FC75" s="353"/>
      <c r="FD75" s="353"/>
      <c r="FE75" s="353"/>
      <c r="FF75" s="353"/>
      <c r="FG75" s="353"/>
      <c r="FH75" s="353"/>
      <c r="FI75" s="353"/>
      <c r="FJ75" s="353"/>
      <c r="FK75" s="353"/>
      <c r="FL75" s="353"/>
      <c r="FM75" s="353"/>
      <c r="FN75" s="353"/>
      <c r="FO75" s="353"/>
      <c r="FP75" s="353"/>
      <c r="FQ75" s="353"/>
    </row>
    <row r="76" spans="1:173" s="351" customFormat="1" hidden="1" outlineLevel="1">
      <c r="A76" s="356" t="s">
        <v>52</v>
      </c>
      <c r="B76" s="356">
        <f>+B75</f>
        <v>2013</v>
      </c>
      <c r="C76" s="392" t="s">
        <v>47</v>
      </c>
      <c r="D76" s="373">
        <f>+'E3 - Invest Amort deferred tax'!AN57+'E3 - Financing upfront'!H57+'E3 - Financing upfront'!Q57</f>
        <v>2626068.0835416662</v>
      </c>
      <c r="E76" s="373">
        <f>+'E3 - Invest Amort deferred tax'!AN57</f>
        <v>2626068.3535416666</v>
      </c>
      <c r="F76" s="393">
        <f>+'E3 - Invest Amort deferred tax'!BT57</f>
        <v>-1072748.922421769</v>
      </c>
      <c r="G76" s="394"/>
      <c r="H76" s="373">
        <f>+'RGGI - Invest Amort deferred'!AI40</f>
        <v>5129743.6750000007</v>
      </c>
      <c r="I76" s="373">
        <f>+'RGGI - Invest Amort deferred'!AI40</f>
        <v>5129743.6750000007</v>
      </c>
      <c r="J76" s="393">
        <f>+'RGGI - Invest Amort deferred'!BL40</f>
        <v>-2095500.2912375</v>
      </c>
      <c r="K76" s="393"/>
      <c r="L76" s="394">
        <f>'RGGI II Invest Amort Def'!AI28</f>
        <v>10655888.984000001</v>
      </c>
      <c r="M76" s="394">
        <f>'RGGI II Invest Amort Def'!AI28</f>
        <v>10655888.984000001</v>
      </c>
      <c r="N76" s="393">
        <f>'RGGI II Invest Amort Def'!BK28</f>
        <v>-3791290.5277940007</v>
      </c>
      <c r="O76" s="394"/>
      <c r="P76" s="374">
        <f>'2013 program Invest Amort Def'!AY10</f>
        <v>6968888.6953333337</v>
      </c>
      <c r="Q76" s="374">
        <f>'2013 program Invest Amort Def'!AY10</f>
        <v>6968888.6953333337</v>
      </c>
      <c r="R76" s="374">
        <f>'2013 program Invest Amort Def'!CQ10</f>
        <v>-702919.30740533327</v>
      </c>
      <c r="S76" s="373">
        <f t="shared" si="53"/>
        <v>6265969.3879280007</v>
      </c>
      <c r="T76" s="394"/>
      <c r="U76" s="394"/>
      <c r="V76" s="394"/>
      <c r="W76" s="394"/>
      <c r="X76" s="394"/>
      <c r="Y76" s="394"/>
      <c r="Z76" s="384">
        <v>104098405.42</v>
      </c>
      <c r="AA76" s="530">
        <f t="shared" si="65"/>
        <v>3.0599999999999999E-2</v>
      </c>
      <c r="AB76" s="372">
        <f t="shared" si="54"/>
        <v>3185411.205852</v>
      </c>
      <c r="AC76" s="372"/>
      <c r="AD76" s="372">
        <f>+'E3 - Invest Amort deferred tax'!AL57</f>
        <v>283190.50291666674</v>
      </c>
      <c r="AE76" s="373"/>
      <c r="AF76" s="373">
        <f>(D76+F76)*'Capital Structure '!$F$21/12</f>
        <v>3210.0192936207659</v>
      </c>
      <c r="AG76" s="373">
        <f>(D76+F76)*'Capital Structure '!$E$34/12</f>
        <v>4718.2218489234829</v>
      </c>
      <c r="AH76" s="373">
        <f>(D76+F76)*'Capital Structure '!$F$18/12</f>
        <v>6831.892836323721</v>
      </c>
      <c r="AI76" s="543">
        <f>SUM(AF76:AH76)</f>
        <v>14760.133978867969</v>
      </c>
      <c r="AJ76" s="373"/>
      <c r="AK76" s="372">
        <v>0</v>
      </c>
      <c r="AL76" s="372">
        <v>0</v>
      </c>
      <c r="AM76" s="373">
        <f t="shared" si="56"/>
        <v>297950.6368955347</v>
      </c>
      <c r="AO76" s="372">
        <f>+'RGGI - Invest Amort deferred'!AG40</f>
        <v>159988.28666666665</v>
      </c>
      <c r="AP76" s="373"/>
      <c r="AQ76" s="373">
        <f>(H76+J76)*'Capital Structure '!$F$21/12</f>
        <v>6270.4304737968641</v>
      </c>
      <c r="AR76" s="373">
        <f>(H76+J76)*'Capital Structure '!$E$34/12</f>
        <v>9216.5433779225186</v>
      </c>
      <c r="AS76" s="373">
        <f>(H76+J76)*'Capital Structure '!$F$18/12</f>
        <v>13345.374315890258</v>
      </c>
      <c r="AT76" s="373">
        <f>'RGGI - On-bill financing'!J40*'Capital Structure '!$E$34/12</f>
        <v>10035.82379448923</v>
      </c>
      <c r="AU76" s="373">
        <f>'RGGI - On-bill financing'!J40*('Capital Structure '!$F$18+'Capital Structure '!$F$21)/12</f>
        <v>21359.500236060492</v>
      </c>
      <c r="AV76" s="434">
        <f t="shared" si="57"/>
        <v>60227.672198159366</v>
      </c>
      <c r="AW76" s="373"/>
      <c r="AX76" s="372">
        <v>0</v>
      </c>
      <c r="AY76" s="373">
        <f t="shared" si="58"/>
        <v>220215.95886482601</v>
      </c>
      <c r="AZ76" s="373"/>
      <c r="BA76" s="373">
        <f>'RGGI II Invest Amort Def'!AG28</f>
        <v>231616.14799999999</v>
      </c>
      <c r="BB76" s="373"/>
      <c r="BC76" s="373">
        <f>(L76+N76)*'Capital Structure '!$H$21/12</f>
        <v>10444.801178546672</v>
      </c>
      <c r="BD76" s="373">
        <f>(L76+N76)*'Capital Structure '!$H$34/12</f>
        <v>20851.28364527884</v>
      </c>
      <c r="BE76" s="373">
        <f>(L76+N76)*'Capital Structure '!$H$18/12</f>
        <v>30192.250370091642</v>
      </c>
      <c r="BF76" s="373">
        <f>'RGGI II On Bill Fin''g'!L28*'Capital Structure '!$H$34/12</f>
        <v>29280.578470437162</v>
      </c>
      <c r="BG76" s="373">
        <f>'RGGI II On Bill Fin''g'!L28*('Capital Structure '!$H$18+'Capital Structure '!$H$21)/12</f>
        <v>57064.898109834903</v>
      </c>
      <c r="BH76" s="415">
        <f t="shared" si="59"/>
        <v>147833.81177418923</v>
      </c>
      <c r="BI76" s="373"/>
      <c r="BK76" s="373">
        <f t="shared" si="34"/>
        <v>379449.95977418922</v>
      </c>
      <c r="BL76" s="373"/>
      <c r="BM76" s="373">
        <f>'2013 program Invest Amort Def'!AW10</f>
        <v>123317.8645</v>
      </c>
      <c r="BN76" s="373"/>
      <c r="BO76" s="373">
        <f>(S76)*'Capital Structure '!$J$21/12</f>
        <v>8793.2437077256272</v>
      </c>
      <c r="BP76" s="373">
        <f>(S76)*'Capital Structure '!$J$34/12</f>
        <v>18809.702098839323</v>
      </c>
      <c r="BQ76" s="373">
        <f>(S76)*'Capital Structure '!$J$18/12</f>
        <v>27236.080272860374</v>
      </c>
      <c r="BR76" s="373">
        <f>('2013 program 10 yr On Bill Fin'!M10+'2013 program 5 yr On Bill Fin'!L8)*'Capital Structure '!$J$34/12</f>
        <v>30191.888818522395</v>
      </c>
      <c r="BS76" s="373">
        <f>('2013 program 10 yr On Bill Fin'!M10+'2013 program 5 yr On Bill Fin'!L8)*('Capital Structure '!$J$18+'Capital Structure '!$J$21)/12</f>
        <v>57831.503025000013</v>
      </c>
      <c r="BT76" s="544">
        <f t="shared" si="60"/>
        <v>142862.41792294773</v>
      </c>
      <c r="BU76" s="373"/>
      <c r="BV76" s="374">
        <f>68509.35+54500+13735.59+18.09+48107.46+38750+49.55+361.21+16025.9+5381.17+2708.65+35.46+46316.21+2208.18+18671.74-38946.47+7952.39+624.25+2974.36+152+29.09+9809.75+11857.83+2013.31+1470.22+4645.56+934.04+43648.84+21553.58-1000</f>
        <v>383097.31</v>
      </c>
      <c r="BW76" s="374">
        <f t="shared" si="48"/>
        <v>649277.59242294775</v>
      </c>
      <c r="BX76" s="373"/>
      <c r="BY76" s="373"/>
      <c r="BZ76" s="373"/>
      <c r="CA76" s="373"/>
      <c r="CB76" s="373"/>
      <c r="CC76" s="373"/>
      <c r="CD76" s="373"/>
      <c r="CE76" s="373"/>
      <c r="CF76" s="373"/>
      <c r="CG76" s="373"/>
      <c r="CH76" s="373"/>
      <c r="CI76" s="373"/>
      <c r="CJ76" s="373"/>
      <c r="CK76" s="373"/>
      <c r="CL76" s="373"/>
      <c r="CM76" s="373"/>
      <c r="CN76" s="373"/>
      <c r="CO76" s="373"/>
      <c r="CP76" s="373"/>
      <c r="CQ76" s="373"/>
      <c r="CR76" s="373"/>
      <c r="CS76" s="373"/>
      <c r="CT76" s="373"/>
      <c r="CU76" s="373"/>
      <c r="CV76" s="373"/>
      <c r="CW76" s="373"/>
      <c r="CX76" s="373"/>
      <c r="CY76" s="373">
        <f t="shared" si="61"/>
        <v>-1638517.0578945023</v>
      </c>
      <c r="CZ76" s="373">
        <f t="shared" si="66"/>
        <v>2923354.1710594776</v>
      </c>
      <c r="DA76" s="373">
        <f t="shared" si="62"/>
        <v>2213755.4120539804</v>
      </c>
      <c r="DB76" s="407">
        <v>4.0000000000000001E-3</v>
      </c>
      <c r="DC76" s="372">
        <f t="shared" si="67"/>
        <v>737.91847068466006</v>
      </c>
      <c r="DE76" s="404">
        <f t="shared" si="63"/>
        <v>6.8999999999999992E-2</v>
      </c>
      <c r="DF76" s="404">
        <f t="shared" si="64"/>
        <v>0.10502258664412509</v>
      </c>
      <c r="DG76" s="353"/>
      <c r="DH76" s="353"/>
      <c r="DI76" s="353"/>
      <c r="DJ76" s="353"/>
      <c r="DK76" s="353"/>
      <c r="DL76" s="353"/>
      <c r="DM76" s="353"/>
      <c r="DN76" s="353"/>
      <c r="DO76" s="353"/>
      <c r="DP76" s="353"/>
      <c r="DQ76" s="353"/>
      <c r="DR76" s="353"/>
      <c r="DS76" s="353"/>
      <c r="DT76" s="353"/>
      <c r="DU76" s="353"/>
      <c r="DV76" s="353"/>
      <c r="DW76" s="353"/>
      <c r="DX76" s="353"/>
      <c r="DY76" s="353"/>
      <c r="DZ76" s="353"/>
      <c r="EA76" s="353"/>
      <c r="EB76" s="353"/>
      <c r="EC76" s="353"/>
      <c r="ED76" s="353"/>
      <c r="EE76" s="353"/>
      <c r="EF76" s="353"/>
      <c r="EG76" s="353"/>
      <c r="EH76" s="353"/>
      <c r="EI76" s="353"/>
      <c r="EJ76" s="353"/>
      <c r="EK76" s="353"/>
      <c r="EL76" s="353"/>
      <c r="EM76" s="353"/>
      <c r="EN76" s="353"/>
      <c r="EO76" s="353"/>
      <c r="EP76" s="353"/>
      <c r="EQ76" s="353"/>
      <c r="ER76" s="353"/>
      <c r="ES76" s="353"/>
      <c r="ET76" s="353"/>
      <c r="EU76" s="353"/>
      <c r="EV76" s="353"/>
      <c r="EW76" s="353"/>
      <c r="EX76" s="353"/>
      <c r="EY76" s="353"/>
      <c r="EZ76" s="353"/>
      <c r="FA76" s="353"/>
      <c r="FB76" s="353"/>
      <c r="FC76" s="353"/>
      <c r="FD76" s="353"/>
      <c r="FE76" s="353"/>
      <c r="FF76" s="353"/>
      <c r="FG76" s="353"/>
      <c r="FH76" s="353"/>
      <c r="FI76" s="353"/>
      <c r="FJ76" s="353"/>
      <c r="FK76" s="353"/>
      <c r="FL76" s="353"/>
      <c r="FM76" s="353"/>
      <c r="FN76" s="353"/>
      <c r="FO76" s="353"/>
      <c r="FP76" s="353"/>
      <c r="FQ76" s="353"/>
    </row>
    <row r="77" spans="1:173" s="351" customFormat="1" hidden="1" outlineLevel="1">
      <c r="A77" s="356" t="s">
        <v>53</v>
      </c>
      <c r="B77" s="356">
        <f>+B76+1</f>
        <v>2014</v>
      </c>
      <c r="C77" s="392" t="s">
        <v>47</v>
      </c>
      <c r="D77" s="373">
        <f>+'E3 - Invest Amort deferred tax'!AN58+'E3 - Financing upfront'!H58+'E3 - Financing upfront'!Q58</f>
        <v>2348532.7235416668</v>
      </c>
      <c r="E77" s="373">
        <f>+'E3 - Invest Amort deferred tax'!AN58</f>
        <v>2348532.9935416672</v>
      </c>
      <c r="F77" s="393">
        <f>+'E3 - Invest Amort deferred tax'!BT58</f>
        <v>-959375.72786176903</v>
      </c>
      <c r="G77" s="394"/>
      <c r="H77" s="373">
        <f>+'RGGI - Invest Amort deferred'!AI41</f>
        <v>4969755.3883333337</v>
      </c>
      <c r="I77" s="373">
        <f>+'RGGI - Invest Amort deferred'!AI41</f>
        <v>4969755.3883333337</v>
      </c>
      <c r="J77" s="393">
        <f>+'RGGI - Invest Amort deferred'!BL41</f>
        <v>-2030145.0761341667</v>
      </c>
      <c r="K77" s="393"/>
      <c r="L77" s="394">
        <f>'RGGI II Invest Amort Def'!AI29</f>
        <v>10424272.835999999</v>
      </c>
      <c r="M77" s="394">
        <f>'RGGI II Invest Amort Def'!AI29</f>
        <v>10424272.835999999</v>
      </c>
      <c r="N77" s="393">
        <f>'RGGI II Invest Amort Def'!BK29</f>
        <v>-3884721.6477860007</v>
      </c>
      <c r="O77" s="394"/>
      <c r="P77" s="374">
        <f>'2013 program Invest Amort Def'!AY11</f>
        <v>7730019.6725000003</v>
      </c>
      <c r="Q77" s="374">
        <f>'2013 program Invest Amort Def'!AY11</f>
        <v>7730019.6725000003</v>
      </c>
      <c r="R77" s="374">
        <f>'2013 program Invest Amort Def'!CQ11</f>
        <v>-928915.43371499993</v>
      </c>
      <c r="S77" s="373">
        <f t="shared" si="53"/>
        <v>6801104.2387850005</v>
      </c>
      <c r="T77" s="394"/>
      <c r="U77" s="394"/>
      <c r="V77" s="394"/>
      <c r="W77" s="394"/>
      <c r="X77" s="394"/>
      <c r="Y77" s="394"/>
      <c r="Z77" s="384">
        <v>141460883.26000002</v>
      </c>
      <c r="AA77" s="530">
        <f t="shared" si="65"/>
        <v>3.0599999999999999E-2</v>
      </c>
      <c r="AB77" s="372">
        <f t="shared" si="54"/>
        <v>4328703.0277560009</v>
      </c>
      <c r="AC77" s="372"/>
      <c r="AD77" s="372">
        <f>+'E3 - Invest Amort deferred tax'!AL58</f>
        <v>277535.36000000004</v>
      </c>
      <c r="AE77" s="373"/>
      <c r="AF77" s="373">
        <f>(D77+F77)*'Capital Structure '!$F$21/12</f>
        <v>2870.7691694125274</v>
      </c>
      <c r="AG77" s="373">
        <f>(D77+F77)*'Capital Structure '!$E$34/12</f>
        <v>4219.5776970112856</v>
      </c>
      <c r="AH77" s="373">
        <f>(D77+F77)*'Capital Structure '!$F$18/12</f>
        <v>6109.865869723807</v>
      </c>
      <c r="AI77" s="543">
        <f t="shared" si="55"/>
        <v>13200.21273614762</v>
      </c>
      <c r="AJ77" s="373"/>
      <c r="AK77" s="372">
        <v>0</v>
      </c>
      <c r="AL77" s="372">
        <v>0</v>
      </c>
      <c r="AM77" s="373">
        <f t="shared" si="56"/>
        <v>290735.57273614767</v>
      </c>
      <c r="AO77" s="372">
        <f>+'RGGI - Invest Amort deferred'!AG41</f>
        <v>159988.28666666665</v>
      </c>
      <c r="AP77" s="373"/>
      <c r="AQ77" s="373">
        <f>(H77+J77)*'Capital Structure '!$F$21/12</f>
        <v>6074.866037886678</v>
      </c>
      <c r="AR77" s="373">
        <f>(H77+J77)*'Capital Structure '!$E$34/12</f>
        <v>8929.0945154756355</v>
      </c>
      <c r="AS77" s="373">
        <f>(H77+J77)*'Capital Structure '!$F$18/12</f>
        <v>12929.153992420659</v>
      </c>
      <c r="AT77" s="373">
        <f>'RGGI - On-bill financing'!J41*'Capital Structure '!$E$34/12</f>
        <v>9918.913664989419</v>
      </c>
      <c r="AU77" s="373">
        <f>'RGGI - On-bill financing'!J41*('Capital Structure '!$F$18+'Capital Structure '!$F$21)/12</f>
        <v>21110.677419938485</v>
      </c>
      <c r="AV77" s="434">
        <f t="shared" si="57"/>
        <v>58962.705630710872</v>
      </c>
      <c r="AW77" s="373"/>
      <c r="AX77" s="372">
        <v>0</v>
      </c>
      <c r="AY77" s="373">
        <f t="shared" si="58"/>
        <v>218950.99229737752</v>
      </c>
      <c r="AZ77" s="373"/>
      <c r="BA77" s="373">
        <f>'RGGI II Invest Amort Def'!AG29</f>
        <v>231616.14799999999</v>
      </c>
      <c r="BB77" s="373"/>
      <c r="BC77" s="373">
        <f>(L77+N77)*'Capital Structure '!$H$21/12</f>
        <v>9950.2268622970569</v>
      </c>
      <c r="BD77" s="373">
        <f>(L77+N77)*'Capital Structure '!$H$34/12</f>
        <v>19863.949451405228</v>
      </c>
      <c r="BE77" s="373">
        <f>(L77+N77)*'Capital Structure '!$H$18/12</f>
        <v>28762.609793160813</v>
      </c>
      <c r="BF77" s="373">
        <f>'RGGI II On Bill Fin''g'!L29*'Capital Structure '!$H$34/12</f>
        <v>28989.582591289771</v>
      </c>
      <c r="BG77" s="373">
        <f>'RGGI II On Bill Fin''g'!L29*('Capital Structure '!$H$18+'Capital Structure '!$H$21)/12</f>
        <v>56497.77645236173</v>
      </c>
      <c r="BH77" s="415">
        <f t="shared" si="59"/>
        <v>144064.14515051461</v>
      </c>
      <c r="BI77" s="373"/>
      <c r="BK77" s="373">
        <f t="shared" si="34"/>
        <v>375680.2931505146</v>
      </c>
      <c r="BL77" s="373"/>
      <c r="BM77" s="373">
        <f>'2013 program Invest Amort Def'!AW11</f>
        <v>138308.52283333332</v>
      </c>
      <c r="BN77" s="373"/>
      <c r="BO77" s="373">
        <f>(S77)*'Capital Structure '!$J$21/12</f>
        <v>9544.2162817616172</v>
      </c>
      <c r="BP77" s="373">
        <f>(S77)*'Capital Structure '!$J$34/12</f>
        <v>20416.113893113263</v>
      </c>
      <c r="BQ77" s="373">
        <f>(S77)*'Capital Structure '!$J$18/12</f>
        <v>29562.133091252133</v>
      </c>
      <c r="BR77" s="373">
        <f>('2013 program 10 yr On Bill Fin'!M11+'2013 program 5 yr On Bill Fin'!L9)*'Capital Structure '!$J$34/12</f>
        <v>34012.67048978596</v>
      </c>
      <c r="BS77" s="373">
        <f>('2013 program 10 yr On Bill Fin'!M11+'2013 program 5 yr On Bill Fin'!L9)*('Capital Structure '!$J$18+'Capital Structure '!$J$21)/12</f>
        <v>65150.076172500012</v>
      </c>
      <c r="BT77" s="544">
        <f t="shared" si="60"/>
        <v>158685.20992841298</v>
      </c>
      <c r="BU77" s="373"/>
      <c r="BV77" s="374">
        <f>47138.1+193.6+33112.42+127.02+134.45+7507.13+10863.95+5373.72+1894.7+34.54+31716.41+291.97+16832.11+12436.31+360.09+3237.22+377.64+40.87+6081.64+4889.21+2637.52+1031.12+6715.36+931.88+43648.84+22017.16-1000</f>
        <v>258624.97999999998</v>
      </c>
      <c r="BW77" s="374">
        <f t="shared" si="48"/>
        <v>555618.71276174625</v>
      </c>
      <c r="BX77" s="373"/>
      <c r="BY77" s="373"/>
      <c r="BZ77" s="373"/>
      <c r="CA77" s="373"/>
      <c r="CB77" s="373"/>
      <c r="CC77" s="373"/>
      <c r="CD77" s="373"/>
      <c r="CE77" s="373"/>
      <c r="CF77" s="373"/>
      <c r="CG77" s="373"/>
      <c r="CH77" s="373"/>
      <c r="CI77" s="373"/>
      <c r="CJ77" s="373"/>
      <c r="CK77" s="373"/>
      <c r="CL77" s="373"/>
      <c r="CM77" s="373"/>
      <c r="CN77" s="373"/>
      <c r="CO77" s="373"/>
      <c r="CP77" s="373"/>
      <c r="CQ77" s="373"/>
      <c r="CR77" s="373"/>
      <c r="CS77" s="373"/>
      <c r="CT77" s="373"/>
      <c r="CU77" s="373"/>
      <c r="CV77" s="373"/>
      <c r="CW77" s="373"/>
      <c r="CX77" s="373"/>
      <c r="CY77" s="373">
        <f t="shared" si="61"/>
        <v>-2887717.456810215</v>
      </c>
      <c r="CZ77" s="373">
        <f t="shared" si="66"/>
        <v>35636.714249262586</v>
      </c>
      <c r="DA77" s="373">
        <f t="shared" si="62"/>
        <v>875121.55433005991</v>
      </c>
      <c r="DB77" s="407">
        <v>1.4E-3</v>
      </c>
      <c r="DC77" s="372">
        <f t="shared" si="67"/>
        <v>102.09751467184032</v>
      </c>
      <c r="DE77" s="404">
        <f t="shared" si="63"/>
        <v>6.8999999999999992E-2</v>
      </c>
      <c r="DF77" s="404">
        <f t="shared" si="64"/>
        <v>0.10502258664412509</v>
      </c>
      <c r="DG77" s="353"/>
      <c r="DH77" s="353"/>
      <c r="DI77" s="353"/>
      <c r="DJ77" s="353"/>
      <c r="DK77" s="353"/>
      <c r="DL77" s="353"/>
      <c r="DM77" s="353"/>
      <c r="DN77" s="353"/>
      <c r="DO77" s="353"/>
      <c r="DP77" s="353"/>
      <c r="DQ77" s="353"/>
      <c r="DR77" s="353"/>
      <c r="DS77" s="353"/>
      <c r="DT77" s="353"/>
      <c r="DU77" s="353"/>
      <c r="DV77" s="353"/>
      <c r="DW77" s="353"/>
      <c r="DX77" s="353"/>
      <c r="DY77" s="353"/>
      <c r="DZ77" s="353"/>
      <c r="EA77" s="353"/>
      <c r="EB77" s="353"/>
      <c r="EC77" s="353"/>
      <c r="ED77" s="353"/>
      <c r="EE77" s="353"/>
      <c r="EF77" s="353"/>
      <c r="EG77" s="353"/>
      <c r="EH77" s="353"/>
      <c r="EI77" s="353"/>
      <c r="EJ77" s="353"/>
      <c r="EK77" s="353"/>
      <c r="EL77" s="353"/>
      <c r="EM77" s="353"/>
      <c r="EN77" s="353"/>
      <c r="EO77" s="353"/>
      <c r="EP77" s="353"/>
      <c r="EQ77" s="353"/>
      <c r="ER77" s="353"/>
      <c r="ES77" s="353"/>
      <c r="ET77" s="353"/>
      <c r="EU77" s="353"/>
      <c r="EV77" s="353"/>
      <c r="EW77" s="353"/>
      <c r="EX77" s="353"/>
      <c r="EY77" s="353"/>
      <c r="EZ77" s="353"/>
      <c r="FA77" s="353"/>
      <c r="FB77" s="353"/>
      <c r="FC77" s="353"/>
      <c r="FD77" s="353"/>
      <c r="FE77" s="353"/>
      <c r="FF77" s="353"/>
      <c r="FG77" s="353"/>
      <c r="FH77" s="353"/>
      <c r="FI77" s="353"/>
      <c r="FJ77" s="353"/>
      <c r="FK77" s="353"/>
      <c r="FL77" s="353"/>
      <c r="FM77" s="353"/>
      <c r="FN77" s="353"/>
      <c r="FO77" s="353"/>
      <c r="FP77" s="353"/>
      <c r="FQ77" s="353"/>
    </row>
    <row r="78" spans="1:173" s="351" customFormat="1" hidden="1" outlineLevel="1">
      <c r="A78" s="356" t="s">
        <v>54</v>
      </c>
      <c r="B78" s="356">
        <f t="shared" ref="B78:B83" si="68">+B77</f>
        <v>2014</v>
      </c>
      <c r="C78" s="392" t="s">
        <v>47</v>
      </c>
      <c r="D78" s="373">
        <f>+'E3 - Invest Amort deferred tax'!AN59+'E3 - Financing upfront'!H59+'E3 - Financing upfront'!Q59</f>
        <v>2077745.4062500009</v>
      </c>
      <c r="E78" s="373">
        <f>+'E3 - Invest Amort deferred tax'!AN59</f>
        <v>2077745.6762500014</v>
      </c>
      <c r="F78" s="393">
        <f>+'E3 - Invest Amort deferred tax'!BT59</f>
        <v>-848759.10874812328</v>
      </c>
      <c r="G78" s="394"/>
      <c r="H78" s="373">
        <f>+'RGGI - Invest Amort deferred'!AI42</f>
        <v>4809767.1016666666</v>
      </c>
      <c r="I78" s="373">
        <f>+'RGGI - Invest Amort deferred'!AI42</f>
        <v>4809767.1016666666</v>
      </c>
      <c r="J78" s="393">
        <f>+'RGGI - Invest Amort deferred'!BL42</f>
        <v>-1964789.8610308333</v>
      </c>
      <c r="K78" s="393"/>
      <c r="L78" s="394">
        <f>'RGGI II Invest Amort Def'!AI30</f>
        <v>10192656.688000001</v>
      </c>
      <c r="M78" s="394">
        <f>'RGGI II Invest Amort Def'!AI30</f>
        <v>10192656.688000001</v>
      </c>
      <c r="N78" s="393">
        <f>'RGGI II Invest Amort Def'!BK30</f>
        <v>-3944529.8136113342</v>
      </c>
      <c r="O78" s="394"/>
      <c r="P78" s="374">
        <f>'2013 program Invest Amort Def'!AY12</f>
        <v>8735133.1163333338</v>
      </c>
      <c r="Q78" s="374">
        <f>'2013 program Invest Amort Def'!AY12</f>
        <v>8735133.1163333338</v>
      </c>
      <c r="R78" s="374">
        <f>'2013 program Invest Amort Def'!CQ12</f>
        <v>-1186578.5344913332</v>
      </c>
      <c r="S78" s="373">
        <f t="shared" si="53"/>
        <v>7548554.5818420006</v>
      </c>
      <c r="T78" s="394"/>
      <c r="U78" s="394"/>
      <c r="V78" s="394"/>
      <c r="W78" s="394"/>
      <c r="X78" s="394"/>
      <c r="Y78" s="394"/>
      <c r="Z78" s="384">
        <v>113426100.65000001</v>
      </c>
      <c r="AA78" s="530">
        <f t="shared" si="65"/>
        <v>3.0599999999999999E-2</v>
      </c>
      <c r="AB78" s="372">
        <f t="shared" si="54"/>
        <v>3470838.6798900003</v>
      </c>
      <c r="AC78" s="372"/>
      <c r="AD78" s="372">
        <f>+'E3 - Invest Amort deferred tax'!AL59</f>
        <v>270787.31729166664</v>
      </c>
      <c r="AE78" s="373"/>
      <c r="AF78" s="373">
        <f>(D78+F78)*'Capital Structure '!$F$21/12</f>
        <v>2539.7676313554898</v>
      </c>
      <c r="AG78" s="373">
        <f>(D78+F78)*'Capital Structure '!$E$34/12</f>
        <v>3733.0576651872975</v>
      </c>
      <c r="AH78" s="373">
        <f>(D78+F78)*'Capital Structure '!$F$18/12</f>
        <v>5405.3943915747523</v>
      </c>
      <c r="AI78" s="543">
        <f t="shared" si="55"/>
        <v>11678.21968811754</v>
      </c>
      <c r="AJ78" s="373"/>
      <c r="AK78" s="372">
        <v>0</v>
      </c>
      <c r="AL78" s="372">
        <v>0</v>
      </c>
      <c r="AM78" s="373">
        <f t="shared" si="56"/>
        <v>282465.5369797842</v>
      </c>
      <c r="AO78" s="372">
        <f>+'RGGI - Invest Amort deferred'!AG42</f>
        <v>159988.28666666665</v>
      </c>
      <c r="AP78" s="373"/>
      <c r="AQ78" s="373">
        <f>(H78+J78)*'Capital Structure '!$F$21/12</f>
        <v>5879.3016019764918</v>
      </c>
      <c r="AR78" s="373">
        <f>(H78+J78)*'Capital Structure '!$E$34/12</f>
        <v>8641.6456530287523</v>
      </c>
      <c r="AS78" s="373">
        <f>(H78+J78)*'Capital Structure '!$F$18/12</f>
        <v>12512.93366895106</v>
      </c>
      <c r="AT78" s="373">
        <f>'RGGI - On-bill financing'!J42*'Capital Structure '!$E$34/12</f>
        <v>9798.4787182355685</v>
      </c>
      <c r="AU78" s="373">
        <f>'RGGI - On-bill financing'!J42*('Capital Structure '!$F$18+'Capital Structure '!$F$21)/12</f>
        <v>20854.352645181942</v>
      </c>
      <c r="AV78" s="434">
        <f t="shared" si="57"/>
        <v>57686.712287373819</v>
      </c>
      <c r="AW78" s="373"/>
      <c r="AX78" s="372">
        <v>0</v>
      </c>
      <c r="AY78" s="373">
        <f t="shared" si="58"/>
        <v>217674.99895404046</v>
      </c>
      <c r="AZ78" s="373"/>
      <c r="BA78" s="373">
        <f>'RGGI II Invest Amort Def'!AG30</f>
        <v>231616.14799999999</v>
      </c>
      <c r="BB78" s="373"/>
      <c r="BC78" s="373">
        <f>(L78+N78)*'Capital Structure '!$H$21/12</f>
        <v>9506.8114118640988</v>
      </c>
      <c r="BD78" s="373">
        <f>(L78+N78)*'Capital Structure '!$H$34/12</f>
        <v>18978.745303271964</v>
      </c>
      <c r="BE78" s="373">
        <f>(L78+N78)*'Capital Structure '!$H$18/12</f>
        <v>27480.851522363202</v>
      </c>
      <c r="BF78" s="373">
        <f>'RGGI II On Bill Fin''g'!L30*'Capital Structure '!$H$34/12</f>
        <v>28728.036977501833</v>
      </c>
      <c r="BG78" s="373">
        <f>'RGGI II On Bill Fin''g'!L30*('Capital Structure '!$H$18+'Capital Structure '!$H$21)/12</f>
        <v>55988.050395653117</v>
      </c>
      <c r="BH78" s="415">
        <f>SUM(BC78:BG78)</f>
        <v>140682.49561065421</v>
      </c>
      <c r="BI78" s="373"/>
      <c r="BK78" s="373">
        <f t="shared" si="34"/>
        <v>372298.64361065417</v>
      </c>
      <c r="BL78" s="373"/>
      <c r="BM78" s="373">
        <f>'2013 program Invest Amort Def'!AW12</f>
        <v>157688.55616666665</v>
      </c>
      <c r="BN78" s="373"/>
      <c r="BO78" s="373">
        <f>(S78)*'Capital Structure '!$J$21/12</f>
        <v>10593.138263184941</v>
      </c>
      <c r="BP78" s="373">
        <f>(S78)*'Capital Structure '!$J$34/12</f>
        <v>22659.87178852591</v>
      </c>
      <c r="BQ78" s="373">
        <f>(S78)*'Capital Structure '!$J$18/12</f>
        <v>32811.050582406562</v>
      </c>
      <c r="BR78" s="373">
        <f>('2013 program 10 yr On Bill Fin'!M12+'2013 program 5 yr On Bill Fin'!L10)*'Capital Structure '!$J$34/12</f>
        <v>39367.767237144879</v>
      </c>
      <c r="BS78" s="373">
        <f>('2013 program 10 yr On Bill Fin'!M12+'2013 program 5 yr On Bill Fin'!L10)*('Capital Structure '!$J$18+'Capital Structure '!$J$21)/12</f>
        <v>75407.575980000009</v>
      </c>
      <c r="BT78" s="544">
        <f t="shared" si="60"/>
        <v>180839.40385126229</v>
      </c>
      <c r="BU78" s="373"/>
      <c r="BV78" s="374">
        <f>47138.1+370.68+241.65+33112.42+20+79.11+7468.2+2460+2661.85+2438.4+41.81+33234.28+82.74+32.95-232.68+14718.82+415.62+3068.46+2400+214+120.34+7149.07+14192.74+1666.84+683.62+6133.85+935.2+43648.84+20462.96-1500</f>
        <v>243459.87</v>
      </c>
      <c r="BW78" s="374">
        <f t="shared" si="48"/>
        <v>581987.83001792897</v>
      </c>
      <c r="BX78" s="373"/>
      <c r="BY78" s="373"/>
      <c r="BZ78" s="373"/>
      <c r="CA78" s="373"/>
      <c r="CB78" s="373"/>
      <c r="CC78" s="373"/>
      <c r="CD78" s="373"/>
      <c r="CE78" s="373"/>
      <c r="CF78" s="373"/>
      <c r="CG78" s="373"/>
      <c r="CH78" s="373"/>
      <c r="CI78" s="373"/>
      <c r="CJ78" s="373"/>
      <c r="CK78" s="373"/>
      <c r="CL78" s="373"/>
      <c r="CM78" s="373"/>
      <c r="CN78" s="373"/>
      <c r="CO78" s="373"/>
      <c r="CP78" s="373"/>
      <c r="CQ78" s="373"/>
      <c r="CR78" s="373"/>
      <c r="CS78" s="373"/>
      <c r="CT78" s="373"/>
      <c r="CU78" s="373"/>
      <c r="CV78" s="373"/>
      <c r="CW78" s="373"/>
      <c r="CX78" s="373"/>
      <c r="CY78" s="373">
        <f t="shared" si="61"/>
        <v>-2016411.6703275924</v>
      </c>
      <c r="CZ78" s="373">
        <f t="shared" si="66"/>
        <v>-1980774.9560783298</v>
      </c>
      <c r="DA78" s="373">
        <f t="shared" si="62"/>
        <v>-575274.63502094662</v>
      </c>
      <c r="DB78" s="407">
        <v>1.2999999999999999E-3</v>
      </c>
      <c r="DC78" s="372">
        <f t="shared" si="67"/>
        <v>-62.321418793935884</v>
      </c>
      <c r="DE78" s="404">
        <f t="shared" si="63"/>
        <v>6.9000000000000006E-2</v>
      </c>
      <c r="DF78" s="404">
        <f t="shared" si="64"/>
        <v>0.10502258664412509</v>
      </c>
      <c r="DG78" s="353"/>
      <c r="DH78" s="353"/>
      <c r="DI78" s="353"/>
      <c r="DJ78" s="353"/>
      <c r="DK78" s="353"/>
      <c r="DL78" s="353"/>
      <c r="DM78" s="353"/>
      <c r="DN78" s="353"/>
      <c r="DO78" s="353"/>
      <c r="DP78" s="353"/>
      <c r="DQ78" s="353"/>
      <c r="DR78" s="353"/>
      <c r="DS78" s="353"/>
      <c r="DT78" s="353"/>
      <c r="DU78" s="353"/>
      <c r="DV78" s="353"/>
      <c r="DW78" s="353"/>
      <c r="DX78" s="353"/>
      <c r="DY78" s="353"/>
      <c r="DZ78" s="353"/>
      <c r="EA78" s="353"/>
      <c r="EB78" s="353"/>
      <c r="EC78" s="353"/>
      <c r="ED78" s="353"/>
      <c r="EE78" s="353"/>
      <c r="EF78" s="353"/>
      <c r="EG78" s="353"/>
      <c r="EH78" s="353"/>
      <c r="EI78" s="353"/>
      <c r="EJ78" s="353"/>
      <c r="EK78" s="353"/>
      <c r="EL78" s="353"/>
      <c r="EM78" s="353"/>
      <c r="EN78" s="353"/>
      <c r="EO78" s="353"/>
      <c r="EP78" s="353"/>
      <c r="EQ78" s="353"/>
      <c r="ER78" s="353"/>
      <c r="ES78" s="353"/>
      <c r="ET78" s="353"/>
      <c r="EU78" s="353"/>
      <c r="EV78" s="353"/>
      <c r="EW78" s="353"/>
      <c r="EX78" s="353"/>
      <c r="EY78" s="353"/>
      <c r="EZ78" s="353"/>
      <c r="FA78" s="353"/>
      <c r="FB78" s="353"/>
      <c r="FC78" s="353"/>
      <c r="FD78" s="353"/>
      <c r="FE78" s="353"/>
      <c r="FF78" s="353"/>
      <c r="FG78" s="353"/>
      <c r="FH78" s="353"/>
      <c r="FI78" s="353"/>
      <c r="FJ78" s="353"/>
      <c r="FK78" s="353"/>
      <c r="FL78" s="353"/>
      <c r="FM78" s="353"/>
      <c r="FN78" s="353"/>
      <c r="FO78" s="353"/>
      <c r="FP78" s="353"/>
      <c r="FQ78" s="353"/>
    </row>
    <row r="79" spans="1:173" s="351" customFormat="1" hidden="1" outlineLevel="1">
      <c r="A79" s="356" t="s">
        <v>55</v>
      </c>
      <c r="B79" s="356">
        <f t="shared" si="68"/>
        <v>2014</v>
      </c>
      <c r="C79" s="392" t="s">
        <v>47</v>
      </c>
      <c r="D79" s="373">
        <f>+'E3 - Invest Amort deferred tax'!AN60+'E3 - Financing upfront'!H60+'E3 - Financing upfront'!Q60</f>
        <v>1816345.4181250008</v>
      </c>
      <c r="E79" s="373">
        <f>+'E3 - Invest Amort deferred tax'!AN60</f>
        <v>1816345.6881250013</v>
      </c>
      <c r="F79" s="393">
        <f>+'E3 - Invest Amort deferred tax'!BT60</f>
        <v>-741977.21359906078</v>
      </c>
      <c r="G79" s="394"/>
      <c r="H79" s="373">
        <f>+'RGGI - Invest Amort deferred'!AI43</f>
        <v>4649778.8149999995</v>
      </c>
      <c r="I79" s="373">
        <f>+'RGGI - Invest Amort deferred'!AI43</f>
        <v>4649778.8149999995</v>
      </c>
      <c r="J79" s="393">
        <f>+'RGGI - Invest Amort deferred'!BL43</f>
        <v>-1899434.6459275</v>
      </c>
      <c r="K79" s="393"/>
      <c r="L79" s="394">
        <f>'RGGI II Invest Amort Def'!AI31</f>
        <v>9961040.5399999991</v>
      </c>
      <c r="M79" s="394">
        <f>'RGGI II Invest Amort Def'!AI31</f>
        <v>9961040.5399999991</v>
      </c>
      <c r="N79" s="393">
        <f>'RGGI II Invest Amort Def'!BK31</f>
        <v>-3967371.9463741677</v>
      </c>
      <c r="O79" s="394"/>
      <c r="P79" s="374">
        <f>'2013 program Invest Amort Def'!AY13</f>
        <v>9409450.7601666674</v>
      </c>
      <c r="Q79" s="374">
        <f>'2013 program Invest Amort Def'!AY13</f>
        <v>9409450.7601666674</v>
      </c>
      <c r="R79" s="374">
        <f>'2013 program Invest Amort Def'!CQ13</f>
        <v>-1467283.9764676664</v>
      </c>
      <c r="S79" s="373">
        <f t="shared" si="53"/>
        <v>7942166.7836990012</v>
      </c>
      <c r="T79" s="394"/>
      <c r="U79" s="394"/>
      <c r="V79" s="394"/>
      <c r="W79" s="394"/>
      <c r="X79" s="394"/>
      <c r="Y79" s="394"/>
      <c r="Z79" s="384">
        <v>103680061.77000001</v>
      </c>
      <c r="AA79" s="530">
        <f t="shared" si="65"/>
        <v>3.0599999999999999E-2</v>
      </c>
      <c r="AB79" s="372">
        <f t="shared" si="54"/>
        <v>3172609.890162</v>
      </c>
      <c r="AC79" s="372"/>
      <c r="AD79" s="372">
        <f>+'E3 - Invest Amort deferred tax'!AL60</f>
        <v>261399.98812499997</v>
      </c>
      <c r="AE79" s="373"/>
      <c r="AF79" s="373">
        <f>(D79+F79)*'Capital Structure '!$F$21/12</f>
        <v>2220.2408566791432</v>
      </c>
      <c r="AG79" s="373">
        <f>(D79+F79)*'Capital Structure '!$E$34/12</f>
        <v>3263.403724916589</v>
      </c>
      <c r="AH79" s="373">
        <f>(D79+F79)*'Capital Structure '!$F$18/12</f>
        <v>4725.344683691952</v>
      </c>
      <c r="AI79" s="543">
        <f t="shared" si="55"/>
        <v>10208.989265287684</v>
      </c>
      <c r="AJ79" s="373"/>
      <c r="AK79" s="372">
        <v>0</v>
      </c>
      <c r="AL79" s="372">
        <v>0</v>
      </c>
      <c r="AM79" s="373">
        <f t="shared" si="56"/>
        <v>271608.97739028768</v>
      </c>
      <c r="AO79" s="372">
        <f>+'RGGI - Invest Amort deferred'!AG43</f>
        <v>159988.28666666665</v>
      </c>
      <c r="AP79" s="373"/>
      <c r="AQ79" s="373">
        <f>(H79+J79)*'Capital Structure '!$F$21/12</f>
        <v>5683.7371660663057</v>
      </c>
      <c r="AR79" s="373">
        <f>(H79+J79)*'Capital Structure '!$E$34/12</f>
        <v>8354.1967905818692</v>
      </c>
      <c r="AS79" s="373">
        <f>(H79+J79)*'Capital Structure '!$F$18/12</f>
        <v>12096.713345481461</v>
      </c>
      <c r="AT79" s="373">
        <f>'RGGI - On-bill financing'!J43*'Capital Structure '!$E$34/12</f>
        <v>9683.457980451205</v>
      </c>
      <c r="AU79" s="373">
        <f>'RGGI - On-bill financing'!J43*('Capital Structure '!$F$18+'Capital Structure '!$F$21)/12</f>
        <v>20609.551069729216</v>
      </c>
      <c r="AV79" s="434">
        <f t="shared" si="57"/>
        <v>56427.656352310063</v>
      </c>
      <c r="AW79" s="373"/>
      <c r="AX79" s="372">
        <v>0</v>
      </c>
      <c r="AY79" s="373">
        <f t="shared" si="58"/>
        <v>216415.94301897672</v>
      </c>
      <c r="AZ79" s="373"/>
      <c r="BA79" s="373">
        <f>'RGGI II Invest Amort Def'!AG31</f>
        <v>231616.14799999999</v>
      </c>
      <c r="BB79" s="373"/>
      <c r="BC79" s="373">
        <f>(L79+N79)*'Capital Structure '!$H$21/12</f>
        <v>9119.641475012244</v>
      </c>
      <c r="BD79" s="373">
        <f>(L79+N79)*'Capital Structure '!$H$34/12</f>
        <v>18205.825835086736</v>
      </c>
      <c r="BE79" s="373">
        <f>(L79+N79)*'Capital Structure '!$H$18/12</f>
        <v>26361.679269164761</v>
      </c>
      <c r="BF79" s="373">
        <f>'RGGI II On Bill Fin''g'!L31*'Capital Structure '!$H$34/12</f>
        <v>28396.323160794145</v>
      </c>
      <c r="BG79" s="373">
        <f>'RGGI II On Bill Fin''g'!L31*('Capital Structure '!$H$18+'Capital Structure '!$H$21)/12</f>
        <v>55341.573579248681</v>
      </c>
      <c r="BH79" s="415">
        <f t="shared" si="59"/>
        <v>137425.04331930657</v>
      </c>
      <c r="BI79" s="373"/>
      <c r="BK79" s="373">
        <f t="shared" si="34"/>
        <v>369041.19131930656</v>
      </c>
      <c r="BL79" s="373"/>
      <c r="BM79" s="373">
        <f>'2013 program Invest Amort Def'!AW13</f>
        <v>171790.35616666664</v>
      </c>
      <c r="BN79" s="373"/>
      <c r="BO79" s="373">
        <f>(S79)*'Capital Structure '!$J$21/12</f>
        <v>11145.507386457599</v>
      </c>
      <c r="BP79" s="373">
        <f>(S79)*'Capital Structure '!$J$34/12</f>
        <v>23841.4492589908</v>
      </c>
      <c r="BQ79" s="373">
        <f>(S79)*'Capital Structure '!$J$18/12</f>
        <v>34521.951619811654</v>
      </c>
      <c r="BR79" s="373">
        <f>('2013 program 10 yr On Bill Fin'!M13+'2013 program 5 yr On Bill Fin'!L11)*'Capital Structure '!$J$34/12</f>
        <v>43199.520607810868</v>
      </c>
      <c r="BS79" s="373">
        <f>('2013 program 10 yr On Bill Fin'!M13+'2013 program 5 yr On Bill Fin'!L11)*('Capital Structure '!$J$18+'Capital Structure '!$J$21)/12</f>
        <v>82747.165032500008</v>
      </c>
      <c r="BT79" s="544">
        <f t="shared" si="60"/>
        <v>195455.59390557092</v>
      </c>
      <c r="BU79" s="373"/>
      <c r="BV79" s="374">
        <f>45510.71+610.27+89.75+33112.42+14455.06+6404.8+2661.85+2713.29+49.08+31599.89+63.47+4342.34+13064.08+411.88+3778.01+104.5+385.2+16.18+8458.82+12573.2+2323.44+1967.16+240.48+6331.91+930.49+43648.84+24565.55-1000</f>
        <v>259412.67</v>
      </c>
      <c r="BW79" s="374">
        <f t="shared" si="48"/>
        <v>626658.62007223757</v>
      </c>
      <c r="BX79" s="373"/>
      <c r="BY79" s="373"/>
      <c r="BZ79" s="373"/>
      <c r="CA79" s="373"/>
      <c r="CB79" s="373"/>
      <c r="CC79" s="373"/>
      <c r="CD79" s="373"/>
      <c r="CE79" s="373"/>
      <c r="CF79" s="373"/>
      <c r="CG79" s="373"/>
      <c r="CH79" s="373"/>
      <c r="CI79" s="373"/>
      <c r="CJ79" s="373"/>
      <c r="CK79" s="373"/>
      <c r="CL79" s="373"/>
      <c r="CM79" s="373"/>
      <c r="CN79" s="373"/>
      <c r="CO79" s="373"/>
      <c r="CP79" s="373"/>
      <c r="CQ79" s="373"/>
      <c r="CR79" s="373"/>
      <c r="CS79" s="373"/>
      <c r="CT79" s="373"/>
      <c r="CU79" s="373"/>
      <c r="CV79" s="373"/>
      <c r="CW79" s="373"/>
      <c r="CX79" s="373"/>
      <c r="CY79" s="373">
        <f t="shared" si="61"/>
        <v>-1688885.1583611916</v>
      </c>
      <c r="CZ79" s="373">
        <f t="shared" si="66"/>
        <v>-3669660.1144395215</v>
      </c>
      <c r="DA79" s="373">
        <f t="shared" si="62"/>
        <v>-1671116.1721056546</v>
      </c>
      <c r="DB79" s="407">
        <v>1.1999999999999999E-3</v>
      </c>
      <c r="DC79" s="372">
        <f t="shared" si="67"/>
        <v>-167.11161721056544</v>
      </c>
      <c r="DE79" s="404">
        <f t="shared" si="63"/>
        <v>6.8999999999999992E-2</v>
      </c>
      <c r="DF79" s="404">
        <f t="shared" si="64"/>
        <v>0.10502258664412507</v>
      </c>
      <c r="DG79" s="353"/>
      <c r="DH79" s="353"/>
      <c r="DI79" s="353"/>
      <c r="DJ79" s="353"/>
      <c r="DK79" s="353"/>
      <c r="DL79" s="353"/>
      <c r="DM79" s="353"/>
      <c r="DN79" s="353"/>
      <c r="DO79" s="353"/>
      <c r="DP79" s="353"/>
      <c r="DQ79" s="353"/>
      <c r="DR79" s="353"/>
      <c r="DS79" s="353"/>
      <c r="DT79" s="353"/>
      <c r="DU79" s="353"/>
      <c r="DV79" s="353"/>
      <c r="DW79" s="353"/>
      <c r="DX79" s="353"/>
      <c r="DY79" s="353"/>
      <c r="DZ79" s="353"/>
      <c r="EA79" s="353"/>
      <c r="EB79" s="353"/>
      <c r="EC79" s="353"/>
      <c r="ED79" s="353"/>
      <c r="EE79" s="353"/>
      <c r="EF79" s="353"/>
      <c r="EG79" s="353"/>
      <c r="EH79" s="353"/>
      <c r="EI79" s="353"/>
      <c r="EJ79" s="353"/>
      <c r="EK79" s="353"/>
      <c r="EL79" s="353"/>
      <c r="EM79" s="353"/>
      <c r="EN79" s="353"/>
      <c r="EO79" s="353"/>
      <c r="EP79" s="353"/>
      <c r="EQ79" s="353"/>
      <c r="ER79" s="353"/>
      <c r="ES79" s="353"/>
      <c r="ET79" s="353"/>
      <c r="EU79" s="353"/>
      <c r="EV79" s="353"/>
      <c r="EW79" s="353"/>
      <c r="EX79" s="353"/>
      <c r="EY79" s="353"/>
      <c r="EZ79" s="353"/>
      <c r="FA79" s="353"/>
      <c r="FB79" s="353"/>
      <c r="FC79" s="353"/>
      <c r="FD79" s="353"/>
      <c r="FE79" s="353"/>
      <c r="FF79" s="353"/>
      <c r="FG79" s="353"/>
      <c r="FH79" s="353"/>
      <c r="FI79" s="353"/>
      <c r="FJ79" s="353"/>
      <c r="FK79" s="353"/>
      <c r="FL79" s="353"/>
      <c r="FM79" s="353"/>
      <c r="FN79" s="353"/>
      <c r="FO79" s="353"/>
      <c r="FP79" s="353"/>
      <c r="FQ79" s="353"/>
    </row>
    <row r="80" spans="1:173" s="351" customFormat="1" hidden="1" outlineLevel="1">
      <c r="A80" s="356" t="s">
        <v>56</v>
      </c>
      <c r="B80" s="356">
        <f t="shared" si="68"/>
        <v>2014</v>
      </c>
      <c r="C80" s="392" t="s">
        <v>47</v>
      </c>
      <c r="D80" s="373">
        <f>+'E3 - Invest Amort deferred tax'!AN61+'E3 - Financing upfront'!H61+'E3 - Financing upfront'!Q61</f>
        <v>1563240.4389583347</v>
      </c>
      <c r="E80" s="373">
        <f>+'E3 - Invest Amort deferred tax'!AN61</f>
        <v>1563240.7089583352</v>
      </c>
      <c r="F80" s="393">
        <f>+'E3 - Invest Amort deferred tax'!BT61</f>
        <v>-638583.82960947743</v>
      </c>
      <c r="G80" s="394"/>
      <c r="H80" s="373">
        <f>+'RGGI - Invest Amort deferred'!AI44</f>
        <v>4489790.5283333324</v>
      </c>
      <c r="I80" s="373">
        <f>+'RGGI - Invest Amort deferred'!AI44</f>
        <v>4489790.5283333324</v>
      </c>
      <c r="J80" s="393">
        <f>+'RGGI - Invest Amort deferred'!BL44</f>
        <v>-1834079.4308241666</v>
      </c>
      <c r="K80" s="393"/>
      <c r="L80" s="394">
        <f>'RGGI II Invest Amort Def'!AI32</f>
        <v>9729424.3920000009</v>
      </c>
      <c r="M80" s="394">
        <f>'RGGI II Invest Amort Def'!AI32</f>
        <v>9729424.3920000009</v>
      </c>
      <c r="N80" s="393">
        <f>'RGGI II Invest Amort Def'!BK32</f>
        <v>-3944319.9381578346</v>
      </c>
      <c r="O80" s="394"/>
      <c r="P80" s="374">
        <f>'2013 program Invest Amort Def'!AY14</f>
        <v>10469103.546333335</v>
      </c>
      <c r="Q80" s="374">
        <f>'2013 program Invest Amort Def'!AY14</f>
        <v>10469103.546333335</v>
      </c>
      <c r="R80" s="374">
        <f>'2013 program Invest Amort Def'!CQ14</f>
        <v>-1782094.1319113332</v>
      </c>
      <c r="S80" s="373">
        <f>+P80+R80</f>
        <v>8687009.4144220017</v>
      </c>
      <c r="T80" s="394"/>
      <c r="U80" s="394"/>
      <c r="V80" s="394"/>
      <c r="W80" s="394"/>
      <c r="X80" s="394"/>
      <c r="Y80" s="394"/>
      <c r="Z80" s="384">
        <v>52302857.70000001</v>
      </c>
      <c r="AA80" s="530">
        <f t="shared" si="65"/>
        <v>3.0599999999999999E-2</v>
      </c>
      <c r="AB80" s="372">
        <f t="shared" si="54"/>
        <v>1600467.4456200004</v>
      </c>
      <c r="AC80" s="372"/>
      <c r="AD80" s="372">
        <f>+'E3 - Invest Amort deferred tax'!AL61</f>
        <v>253104.97916666669</v>
      </c>
      <c r="AE80" s="373"/>
      <c r="AF80" s="373">
        <f>(D80+F80)*'Capital Structure '!$F$21/12</f>
        <v>1910.8536289759224</v>
      </c>
      <c r="AG80" s="373">
        <f>(D80+F80)*'Capital Structure '!$E$34/12</f>
        <v>2808.6533187653986</v>
      </c>
      <c r="AH80" s="373">
        <f>(D80+F80)*'Capital Structure '!$F$18/12</f>
        <v>4066.8750013457361</v>
      </c>
      <c r="AI80" s="543">
        <f t="shared" si="55"/>
        <v>8786.3819490870574</v>
      </c>
      <c r="AJ80" s="373"/>
      <c r="AK80" s="372">
        <v>0</v>
      </c>
      <c r="AL80" s="372">
        <v>0</v>
      </c>
      <c r="AM80" s="373">
        <f t="shared" si="56"/>
        <v>261891.36111575374</v>
      </c>
      <c r="AO80" s="372">
        <f>+'RGGI - Invest Amort deferred'!AG44</f>
        <v>159988.28666666665</v>
      </c>
      <c r="AP80" s="373"/>
      <c r="AQ80" s="373">
        <f>(H80+J80)*'Capital Structure '!$F$21/12</f>
        <v>5488.1727301561195</v>
      </c>
      <c r="AR80" s="373">
        <f>(H80+J80)*'Capital Structure '!$E$34/12</f>
        <v>8066.7479281349879</v>
      </c>
      <c r="AS80" s="373">
        <f>(H80+J80)*'Capital Structure '!$F$18/12</f>
        <v>11680.493022011862</v>
      </c>
      <c r="AT80" s="373">
        <f>'RGGI - On-bill financing'!J44*'Capital Structure '!$E$34/12</f>
        <v>9534.6901466158506</v>
      </c>
      <c r="AU80" s="373">
        <f>'RGGI - On-bill financing'!J44*('Capital Structure '!$F$18+'Capital Structure '!$F$21)/12</f>
        <v>20292.924687381874</v>
      </c>
      <c r="AV80" s="434">
        <f t="shared" si="57"/>
        <v>55063.028514300691</v>
      </c>
      <c r="AW80" s="373"/>
      <c r="AX80" s="372">
        <v>0</v>
      </c>
      <c r="AY80" s="373">
        <f t="shared" si="58"/>
        <v>215051.31518096733</v>
      </c>
      <c r="AZ80" s="373"/>
      <c r="BA80" s="373">
        <f>'RGGI II Invest Amort Def'!AG32</f>
        <v>231616.14799999999</v>
      </c>
      <c r="BB80" s="373"/>
      <c r="BC80" s="373">
        <f>(L80+N80)*'Capital Structure '!$H$21/12</f>
        <v>8802.3015771416576</v>
      </c>
      <c r="BD80" s="373">
        <f>(L80+N80)*'Capital Structure '!$H$34/12</f>
        <v>17572.310260270966</v>
      </c>
      <c r="BE80" s="373">
        <f>(L80+N80)*'Capital Structure '!$H$18/12</f>
        <v>25444.361123501294</v>
      </c>
      <c r="BF80" s="373">
        <f>'RGGI II On Bill Fin''g'!L32*'Capital Structure '!$H$34/12</f>
        <v>28101.059459171796</v>
      </c>
      <c r="BG80" s="373">
        <f>'RGGI II On Bill Fin''g'!L32*('Capital Structure '!$H$18+'Capital Structure '!$H$21)/12</f>
        <v>54766.134365654463</v>
      </c>
      <c r="BH80" s="415">
        <f t="shared" si="59"/>
        <v>134686.16678574018</v>
      </c>
      <c r="BI80" s="373"/>
      <c r="BK80" s="373">
        <f t="shared" si="34"/>
        <v>366302.31478574016</v>
      </c>
      <c r="BL80" s="373"/>
      <c r="BM80" s="373">
        <f>'2013 program Invest Amort Def'!AW14</f>
        <v>192662.27383333331</v>
      </c>
      <c r="BN80" s="373"/>
      <c r="BO80" s="373">
        <f>(S80)*'Capital Structure '!$J$21/12</f>
        <v>12190.769878238876</v>
      </c>
      <c r="BP80" s="373">
        <f>(S80)*'Capital Structure '!$J$34/12</f>
        <v>26077.379109112244</v>
      </c>
      <c r="BQ80" s="373">
        <f>(S80)*'Capital Structure '!$J$18/12</f>
        <v>37759.534254687635</v>
      </c>
      <c r="BR80" s="373">
        <f>('2013 program 10 yr On Bill Fin'!M14+'2013 program 5 yr On Bill Fin'!L12)*'Capital Structure '!$J$34/12</f>
        <v>49241.617673567525</v>
      </c>
      <c r="BS80" s="373">
        <f>('2013 program 10 yr On Bill Fin'!M14+'2013 program 5 yr On Bill Fin'!L12)*('Capital Structure '!$J$18+'Capital Structure '!$J$21)/12</f>
        <v>94320.589830000012</v>
      </c>
      <c r="BT80" s="544">
        <f t="shared" si="60"/>
        <v>219589.89074560627</v>
      </c>
      <c r="BU80" s="373"/>
      <c r="BV80" s="374">
        <f>48155.22+986.9+77.42+33112.42+11810.55+2192.16-2000+2661.85+2635.41+35.71+31628.61+10039.99+14274.75+394.8+3122.09+435+258.5+59.28+9755.38+13181.76+2068.72+5356.54+7252.65+892.94+43648.84+19307.52+202868</f>
        <v>464213.01</v>
      </c>
      <c r="BW80" s="374">
        <f t="shared" si="48"/>
        <v>876465.17457893956</v>
      </c>
      <c r="BX80" s="373"/>
      <c r="BY80" s="373"/>
      <c r="BZ80" s="373"/>
      <c r="CA80" s="373"/>
      <c r="CB80" s="373"/>
      <c r="CC80" s="373"/>
      <c r="CD80" s="373"/>
      <c r="CE80" s="373"/>
      <c r="CF80" s="373"/>
      <c r="CG80" s="373"/>
      <c r="CH80" s="373"/>
      <c r="CI80" s="373"/>
      <c r="CJ80" s="373"/>
      <c r="CK80" s="373"/>
      <c r="CL80" s="373"/>
      <c r="CM80" s="373"/>
      <c r="CN80" s="373"/>
      <c r="CO80" s="373"/>
      <c r="CP80" s="373"/>
      <c r="CQ80" s="373"/>
      <c r="CR80" s="373"/>
      <c r="CS80" s="373"/>
      <c r="CT80" s="373"/>
      <c r="CU80" s="373"/>
      <c r="CV80" s="373"/>
      <c r="CW80" s="373"/>
      <c r="CX80" s="373"/>
      <c r="CY80" s="373">
        <f t="shared" si="61"/>
        <v>119242.72004140029</v>
      </c>
      <c r="CZ80" s="373">
        <f t="shared" si="66"/>
        <v>-3550417.3943981212</v>
      </c>
      <c r="DA80" s="373">
        <f t="shared" si="62"/>
        <v>-2135337.9232387329</v>
      </c>
      <c r="DB80" s="407">
        <v>1.1999999999999999E-3</v>
      </c>
      <c r="DC80" s="372">
        <f t="shared" si="67"/>
        <v>-213.53379232387326</v>
      </c>
      <c r="DE80" s="404">
        <f t="shared" si="63"/>
        <v>6.9000000000000006E-2</v>
      </c>
      <c r="DF80" s="404">
        <f t="shared" si="64"/>
        <v>0.10502258664412509</v>
      </c>
      <c r="DG80" s="353"/>
      <c r="DH80" s="353"/>
      <c r="DI80" s="353"/>
      <c r="DJ80" s="353"/>
      <c r="DK80" s="353"/>
      <c r="DL80" s="353"/>
      <c r="DM80" s="353"/>
      <c r="DN80" s="353"/>
      <c r="DO80" s="353"/>
      <c r="DP80" s="353"/>
      <c r="DQ80" s="353"/>
      <c r="DR80" s="353"/>
      <c r="DS80" s="353"/>
      <c r="DT80" s="353"/>
      <c r="DU80" s="353"/>
      <c r="DV80" s="353"/>
      <c r="DW80" s="353"/>
      <c r="DX80" s="353"/>
      <c r="DY80" s="353"/>
      <c r="DZ80" s="353"/>
      <c r="EA80" s="353"/>
      <c r="EB80" s="353"/>
      <c r="EC80" s="353"/>
      <c r="ED80" s="353"/>
      <c r="EE80" s="353"/>
      <c r="EF80" s="353"/>
      <c r="EG80" s="353"/>
      <c r="EH80" s="353"/>
      <c r="EI80" s="353"/>
      <c r="EJ80" s="353"/>
      <c r="EK80" s="353"/>
      <c r="EL80" s="353"/>
      <c r="EM80" s="353"/>
      <c r="EN80" s="353"/>
      <c r="EO80" s="353"/>
      <c r="EP80" s="353"/>
      <c r="EQ80" s="353"/>
      <c r="ER80" s="353"/>
      <c r="ES80" s="353"/>
      <c r="ET80" s="353"/>
      <c r="EU80" s="353"/>
      <c r="EV80" s="353"/>
      <c r="EW80" s="353"/>
      <c r="EX80" s="353"/>
      <c r="EY80" s="353"/>
      <c r="EZ80" s="353"/>
      <c r="FA80" s="353"/>
      <c r="FB80" s="353"/>
      <c r="FC80" s="353"/>
      <c r="FD80" s="353"/>
      <c r="FE80" s="353"/>
      <c r="FF80" s="353"/>
      <c r="FG80" s="353"/>
      <c r="FH80" s="353"/>
      <c r="FI80" s="353"/>
      <c r="FJ80" s="353"/>
      <c r="FK80" s="353"/>
      <c r="FL80" s="353"/>
      <c r="FM80" s="353"/>
      <c r="FN80" s="353"/>
      <c r="FO80" s="353"/>
      <c r="FP80" s="353"/>
      <c r="FQ80" s="353"/>
    </row>
    <row r="81" spans="1:173" s="351" customFormat="1" hidden="1" outlineLevel="1">
      <c r="A81" s="356" t="s">
        <v>57</v>
      </c>
      <c r="B81" s="356">
        <f t="shared" si="68"/>
        <v>2014</v>
      </c>
      <c r="C81" s="392" t="s">
        <v>47</v>
      </c>
      <c r="D81" s="373">
        <f>+'E3 - Invest Amort deferred tax'!AN62+'E3 - Financing upfront'!H62+'E3 - Financing upfront'!Q62</f>
        <v>1317758.5087500019</v>
      </c>
      <c r="E81" s="373">
        <f>+'E3 - Invest Amort deferred tax'!AN62</f>
        <v>1317758.7787500024</v>
      </c>
      <c r="F81" s="393">
        <f>+'E3 - Invest Amort deferred tax'!BT62</f>
        <v>-538304.46111937333</v>
      </c>
      <c r="G81" s="394"/>
      <c r="H81" s="373">
        <f>+'RGGI - Invest Amort deferred'!AI45</f>
        <v>4329802.2416666653</v>
      </c>
      <c r="I81" s="373">
        <f>+'RGGI - Invest Amort deferred'!AI45</f>
        <v>4329802.2416666653</v>
      </c>
      <c r="J81" s="393">
        <f>+'RGGI - Invest Amort deferred'!BL45</f>
        <v>-1768724.2157208333</v>
      </c>
      <c r="K81" s="393"/>
      <c r="L81" s="394">
        <f>'RGGI II Invest Amort Def'!AI33</f>
        <v>9497808.243999999</v>
      </c>
      <c r="M81" s="394">
        <f>'RGGI II Invest Amort Def'!AI33</f>
        <v>9497808.243999999</v>
      </c>
      <c r="N81" s="393">
        <f>'RGGI II Invest Amort Def'!BK33</f>
        <v>-3879946.5801740014</v>
      </c>
      <c r="O81" s="394"/>
      <c r="P81" s="374">
        <f>'2013 program Invest Amort Def'!AY15</f>
        <v>11032526.272500001</v>
      </c>
      <c r="Q81" s="374">
        <f>'2013 program Invest Amort Def'!AY15</f>
        <v>11032526.272500001</v>
      </c>
      <c r="R81" s="374">
        <f>'2013 program Invest Amort Def'!CQ15</f>
        <v>-2117843.9973549997</v>
      </c>
      <c r="S81" s="373">
        <f t="shared" si="53"/>
        <v>8914682.2751450017</v>
      </c>
      <c r="T81" s="394"/>
      <c r="U81" s="394"/>
      <c r="V81" s="394"/>
      <c r="W81" s="394"/>
      <c r="X81" s="394"/>
      <c r="Y81" s="394"/>
      <c r="Z81" s="384">
        <v>23721156.399999999</v>
      </c>
      <c r="AA81" s="530">
        <f t="shared" si="65"/>
        <v>3.0599999999999999E-2</v>
      </c>
      <c r="AB81" s="372">
        <f t="shared" si="54"/>
        <v>725867.38583999989</v>
      </c>
      <c r="AC81" s="372"/>
      <c r="AD81" s="372">
        <f>+'E3 - Invest Amort deferred tax'!AL62</f>
        <v>245481.9302083333</v>
      </c>
      <c r="AE81" s="373"/>
      <c r="AF81" s="373">
        <f>(D81+F81)*'Capital Structure '!$F$21/12</f>
        <v>1610.7845663741145</v>
      </c>
      <c r="AG81" s="373">
        <f>(D81+F81)*'Capital Structure '!$E$34/12</f>
        <v>2367.5991449891139</v>
      </c>
      <c r="AH81" s="373">
        <f>(D81+F81)*'Capital Structure '!$F$18/12</f>
        <v>3428.2371952535159</v>
      </c>
      <c r="AI81" s="543">
        <f t="shared" si="55"/>
        <v>7406.6209066167448</v>
      </c>
      <c r="AJ81" s="373"/>
      <c r="AK81" s="372">
        <v>0</v>
      </c>
      <c r="AL81" s="372">
        <v>0</v>
      </c>
      <c r="AM81" s="373">
        <f t="shared" si="56"/>
        <v>252888.55111495004</v>
      </c>
      <c r="AO81" s="372">
        <f>+'RGGI - Invest Amort deferred'!AG45</f>
        <v>159988.28666666665</v>
      </c>
      <c r="AP81" s="373"/>
      <c r="AQ81" s="373">
        <f>(H81+J81)*'Capital Structure '!$F$21/12</f>
        <v>5292.6082942459343</v>
      </c>
      <c r="AR81" s="373">
        <f>(H81+J81)*'Capital Structure '!$E$34/12</f>
        <v>7779.2990656881047</v>
      </c>
      <c r="AS81" s="373">
        <f>(H81+J81)*'Capital Structure '!$F$18/12</f>
        <v>11264.272698542263</v>
      </c>
      <c r="AT81" s="373">
        <f>'RGGI - On-bill financing'!J45*'Capital Structure '!$E$34/12</f>
        <v>9429.294304720539</v>
      </c>
      <c r="AU81" s="373">
        <f>'RGGI - On-bill financing'!J45*('Capital Structure '!$F$18+'Capital Structure '!$F$21)/12</f>
        <v>20068.608023803259</v>
      </c>
      <c r="AV81" s="434">
        <f t="shared" si="57"/>
        <v>53834.082387000104</v>
      </c>
      <c r="AW81" s="373"/>
      <c r="AX81" s="372">
        <v>0</v>
      </c>
      <c r="AY81" s="373">
        <f t="shared" si="58"/>
        <v>213822.36905366677</v>
      </c>
      <c r="AZ81" s="373"/>
      <c r="BA81" s="373">
        <f>'RGGI II Invest Amort Def'!AG33</f>
        <v>231616.14799999999</v>
      </c>
      <c r="BB81" s="373"/>
      <c r="BC81" s="373">
        <f>(L81+N81)*'Capital Structure '!$H$21/12</f>
        <v>8547.8340068375146</v>
      </c>
      <c r="BD81" s="373">
        <f>(L81+N81)*'Capital Structure '!$H$34/12</f>
        <v>17064.308681664097</v>
      </c>
      <c r="BE81" s="373">
        <f>(L81+N81)*'Capital Structure '!$H$18/12</f>
        <v>24708.784786301869</v>
      </c>
      <c r="BF81" s="373">
        <f>'RGGI II On Bill Fin''g'!L33*'Capital Structure '!$H$34/12</f>
        <v>27830.601640370009</v>
      </c>
      <c r="BG81" s="373">
        <f>'RGGI II On Bill Fin''g'!L33*('Capital Structure '!$H$18+'Capital Structure '!$H$21)/12</f>
        <v>54239.039319068739</v>
      </c>
      <c r="BH81" s="415">
        <f t="shared" si="59"/>
        <v>132390.56843424222</v>
      </c>
      <c r="BI81" s="373"/>
      <c r="BK81" s="373">
        <f t="shared" si="34"/>
        <v>364006.7164342422</v>
      </c>
      <c r="BL81" s="373"/>
      <c r="BM81" s="373">
        <f>'2013 program Invest Amort Def'!AW15</f>
        <v>205477.27383333331</v>
      </c>
      <c r="BN81" s="373"/>
      <c r="BO81" s="373">
        <f>(S81)*'Capital Structure '!$J$21/12</f>
        <v>12510.27079278682</v>
      </c>
      <c r="BP81" s="373">
        <f>(S81)*'Capital Structure '!$J$34/12</f>
        <v>26760.826221771422</v>
      </c>
      <c r="BQ81" s="373">
        <f>(S81)*'Capital Structure '!$J$18/12</f>
        <v>38749.152289296937</v>
      </c>
      <c r="BR81" s="373">
        <f>('2013 program 10 yr On Bill Fin'!M15+'2013 program 5 yr On Bill Fin'!L13)*'Capital Structure '!$J$34/12</f>
        <v>52874.7615634299</v>
      </c>
      <c r="BS81" s="373">
        <f>('2013 program 10 yr On Bill Fin'!M15+'2013 program 5 yr On Bill Fin'!L13)*('Capital Structure '!$J$18+'Capital Structure '!$J$21)/12</f>
        <v>101279.74939499999</v>
      </c>
      <c r="BT81" s="544">
        <f t="shared" si="60"/>
        <v>232174.76026228507</v>
      </c>
      <c r="BU81" s="373"/>
      <c r="BV81" s="374">
        <f>70707.15+135.23+1305.15+51002.12+317.25+1501.49+10966.95+10322.62+2661.85+2431.45+21.63+46755.78-41200.3+15922.15+513.14+3526.69+2450+261.5+69.12+11079.03+15532.59+2139.76+1000.53+2363.41+874.83+43648.84+19669.57+4000-1250</f>
        <v>278729.52999999997</v>
      </c>
      <c r="BW81" s="374">
        <f t="shared" si="48"/>
        <v>716381.56409561832</v>
      </c>
      <c r="BX81" s="373"/>
      <c r="BY81" s="373"/>
      <c r="BZ81" s="373"/>
      <c r="CA81" s="373"/>
      <c r="CB81" s="373"/>
      <c r="CC81" s="373"/>
      <c r="CD81" s="373"/>
      <c r="CE81" s="373"/>
      <c r="CF81" s="373"/>
      <c r="CG81" s="373"/>
      <c r="CH81" s="373"/>
      <c r="CI81" s="373"/>
      <c r="CJ81" s="373"/>
      <c r="CK81" s="373"/>
      <c r="CL81" s="373"/>
      <c r="CM81" s="373"/>
      <c r="CN81" s="373"/>
      <c r="CO81" s="373"/>
      <c r="CP81" s="373"/>
      <c r="CQ81" s="373"/>
      <c r="CR81" s="373"/>
      <c r="CS81" s="373"/>
      <c r="CT81" s="373"/>
      <c r="CU81" s="373"/>
      <c r="CV81" s="373"/>
      <c r="CW81" s="373"/>
      <c r="CX81" s="373"/>
      <c r="CY81" s="373">
        <f t="shared" si="61"/>
        <v>821231.81485847733</v>
      </c>
      <c r="CZ81" s="373">
        <f t="shared" si="66"/>
        <v>-2729185.5795396436</v>
      </c>
      <c r="DA81" s="373">
        <f t="shared" si="62"/>
        <v>-1857192.5795420939</v>
      </c>
      <c r="DB81" s="407">
        <v>1.1999999999999999E-3</v>
      </c>
      <c r="DC81" s="372">
        <f t="shared" si="67"/>
        <v>-185.71925795420938</v>
      </c>
      <c r="DE81" s="404">
        <f t="shared" si="63"/>
        <v>6.8999999999999992E-2</v>
      </c>
      <c r="DF81" s="404">
        <f t="shared" si="64"/>
        <v>0.10502258664412509</v>
      </c>
      <c r="DG81" s="353"/>
      <c r="DH81" s="353"/>
      <c r="DI81" s="353"/>
      <c r="DJ81" s="353"/>
      <c r="DK81" s="353"/>
      <c r="DL81" s="353"/>
      <c r="DM81" s="353"/>
      <c r="DN81" s="353"/>
      <c r="DO81" s="353"/>
      <c r="DP81" s="353"/>
      <c r="DQ81" s="353"/>
      <c r="DR81" s="353"/>
      <c r="DS81" s="353"/>
      <c r="DT81" s="353"/>
      <c r="DU81" s="353"/>
      <c r="DV81" s="353"/>
      <c r="DW81" s="353"/>
      <c r="DX81" s="353"/>
      <c r="DY81" s="353"/>
      <c r="DZ81" s="353"/>
      <c r="EA81" s="353"/>
      <c r="EB81" s="353"/>
      <c r="EC81" s="353"/>
      <c r="ED81" s="353"/>
      <c r="EE81" s="353"/>
      <c r="EF81" s="353"/>
      <c r="EG81" s="353"/>
      <c r="EH81" s="353"/>
      <c r="EI81" s="353"/>
      <c r="EJ81" s="353"/>
      <c r="EK81" s="353"/>
      <c r="EL81" s="353"/>
      <c r="EM81" s="353"/>
      <c r="EN81" s="353"/>
      <c r="EO81" s="353"/>
      <c r="EP81" s="353"/>
      <c r="EQ81" s="353"/>
      <c r="ER81" s="353"/>
      <c r="ES81" s="353"/>
      <c r="ET81" s="353"/>
      <c r="EU81" s="353"/>
      <c r="EV81" s="353"/>
      <c r="EW81" s="353"/>
      <c r="EX81" s="353"/>
      <c r="EY81" s="353"/>
      <c r="EZ81" s="353"/>
      <c r="FA81" s="353"/>
      <c r="FB81" s="353"/>
      <c r="FC81" s="353"/>
      <c r="FD81" s="353"/>
      <c r="FE81" s="353"/>
      <c r="FF81" s="353"/>
      <c r="FG81" s="353"/>
      <c r="FH81" s="353"/>
      <c r="FI81" s="353"/>
      <c r="FJ81" s="353"/>
      <c r="FK81" s="353"/>
      <c r="FL81" s="353"/>
      <c r="FM81" s="353"/>
      <c r="FN81" s="353"/>
      <c r="FO81" s="353"/>
      <c r="FP81" s="353"/>
      <c r="FQ81" s="353"/>
    </row>
    <row r="82" spans="1:173" s="351" customFormat="1" hidden="1" outlineLevel="1">
      <c r="A82" s="356" t="s">
        <v>58</v>
      </c>
      <c r="B82" s="356">
        <f t="shared" si="68"/>
        <v>2014</v>
      </c>
      <c r="C82" s="392" t="s">
        <v>47</v>
      </c>
      <c r="D82" s="373">
        <f>+'E3 - Invest Amort deferred tax'!AN63+'E3 - Financing upfront'!H63+'E3 - Financing upfront'!Q63</f>
        <v>1081478.6914583361</v>
      </c>
      <c r="E82" s="373">
        <f>+'E3 - Invest Amort deferred tax'!AN63</f>
        <v>1081478.9614583366</v>
      </c>
      <c r="F82" s="393">
        <f>+'E3 - Invest Amort deferred tax'!BT63</f>
        <v>-441784.15575572749</v>
      </c>
      <c r="G82" s="394"/>
      <c r="H82" s="373">
        <f>+'RGGI - Invest Amort deferred'!AI46</f>
        <v>4169813.9549999982</v>
      </c>
      <c r="I82" s="373">
        <f>+'RGGI - Invest Amort deferred'!AI46</f>
        <v>4169813.9549999982</v>
      </c>
      <c r="J82" s="393">
        <f>+'RGGI - Invest Amort deferred'!BL46</f>
        <v>-1703369.0006174999</v>
      </c>
      <c r="K82" s="393"/>
      <c r="L82" s="394">
        <f>'RGGI II Invest Amort Def'!AI34</f>
        <v>9266192.0960000008</v>
      </c>
      <c r="M82" s="394">
        <f>'RGGI II Invest Amort Def'!AI34</f>
        <v>9266192.0960000008</v>
      </c>
      <c r="N82" s="393">
        <f>'RGGI II Invest Amort Def'!BK34</f>
        <v>-3785239.4712160015</v>
      </c>
      <c r="O82" s="394"/>
      <c r="P82" s="374">
        <f>'2013 program Invest Amort Def'!AY16</f>
        <v>11413066.498666668</v>
      </c>
      <c r="Q82" s="374">
        <f>'2013 program Invest Amort Def'!AY16</f>
        <v>11413066.498666668</v>
      </c>
      <c r="R82" s="374">
        <f>'2013 program Invest Amort Def'!CQ16</f>
        <v>-2469823.5677986662</v>
      </c>
      <c r="S82" s="373">
        <f t="shared" si="53"/>
        <v>8943242.9308680017</v>
      </c>
      <c r="T82" s="394"/>
      <c r="U82" s="394"/>
      <c r="V82" s="394"/>
      <c r="W82" s="394"/>
      <c r="X82" s="394"/>
      <c r="Y82" s="394"/>
      <c r="Z82" s="384">
        <v>20552856.420000002</v>
      </c>
      <c r="AA82" s="530">
        <f t="shared" si="65"/>
        <v>3.0599999999999999E-2</v>
      </c>
      <c r="AB82" s="372">
        <f t="shared" si="54"/>
        <v>628917.40645200002</v>
      </c>
      <c r="AC82" s="372"/>
      <c r="AD82" s="372">
        <f>+'E3 - Invest Amort deferred tax'!AL63</f>
        <v>236279.81729166664</v>
      </c>
      <c r="AE82" s="373"/>
      <c r="AF82" s="373">
        <f>(D82+F82)*'Capital Structure '!$F$21/12</f>
        <v>1321.963864881888</v>
      </c>
      <c r="AG82" s="373">
        <f>(D82+F82)*'Capital Structure '!$E$34/12</f>
        <v>1943.0782871518577</v>
      </c>
      <c r="AH82" s="373">
        <f>(D82+F82)*'Capital Structure '!$F$18/12</f>
        <v>2813.5393068551384</v>
      </c>
      <c r="AI82" s="543">
        <f t="shared" si="55"/>
        <v>6078.5814588888843</v>
      </c>
      <c r="AJ82" s="373"/>
      <c r="AK82" s="372">
        <v>0</v>
      </c>
      <c r="AL82" s="372">
        <v>0</v>
      </c>
      <c r="AM82" s="373">
        <f t="shared" si="56"/>
        <v>242358.39875055553</v>
      </c>
      <c r="AO82" s="372">
        <f>+'RGGI - Invest Amort deferred'!AG46</f>
        <v>159988.28666666665</v>
      </c>
      <c r="AP82" s="373"/>
      <c r="AQ82" s="373">
        <f>(H82+J82)*'Capital Structure '!$F$21/12</f>
        <v>5097.0438583357491</v>
      </c>
      <c r="AR82" s="373">
        <f>(H82+J82)*'Capital Structure '!$E$34/12</f>
        <v>7491.8502032412216</v>
      </c>
      <c r="AS82" s="373">
        <f>(H82+J82)*'Capital Structure '!$F$18/12</f>
        <v>10848.052375072662</v>
      </c>
      <c r="AT82" s="373">
        <f>'RGGI - On-bill financing'!J46*'Capital Structure '!$E$34/12</f>
        <v>9323.8984628252274</v>
      </c>
      <c r="AU82" s="373">
        <f>'RGGI - On-bill financing'!J46*('Capital Structure '!$F$18+'Capital Structure '!$F$21)/12</f>
        <v>19844.291360224641</v>
      </c>
      <c r="AV82" s="434">
        <f t="shared" si="57"/>
        <v>52605.136259699502</v>
      </c>
      <c r="AW82" s="373"/>
      <c r="AX82" s="372">
        <v>0</v>
      </c>
      <c r="AY82" s="373">
        <f t="shared" si="58"/>
        <v>212593.42292636615</v>
      </c>
      <c r="AZ82" s="373"/>
      <c r="BA82" s="373">
        <f>'RGGI II Invest Amort Def'!AG34</f>
        <v>231616.14799999999</v>
      </c>
      <c r="BB82" s="373"/>
      <c r="BC82" s="373">
        <f>(L82+N82)*'Capital Structure '!$H$21/12</f>
        <v>8339.5206289374892</v>
      </c>
      <c r="BD82" s="373">
        <f>(L82+N82)*'Capital Structure '!$H$34/12</f>
        <v>16648.446162555432</v>
      </c>
      <c r="BE82" s="373">
        <f>(L82+N82)*'Capital Structure '!$H$18/12</f>
        <v>24106.624002818946</v>
      </c>
      <c r="BF82" s="373">
        <f>'RGGI II On Bill Fin''g'!L34*'Capital Structure '!$H$34/12</f>
        <v>27560.143821568225</v>
      </c>
      <c r="BG82" s="373">
        <f>'RGGI II On Bill Fin''g'!L34*('Capital Structure '!$H$18+'Capital Structure '!$H$21)/12</f>
        <v>53711.944272483008</v>
      </c>
      <c r="BH82" s="415">
        <f t="shared" si="59"/>
        <v>130366.67888836309</v>
      </c>
      <c r="BI82" s="373"/>
      <c r="BK82" s="373">
        <f t="shared" si="34"/>
        <v>361982.82688836311</v>
      </c>
      <c r="BL82" s="373"/>
      <c r="BM82" s="373">
        <f>'2013 program Invest Amort Def'!AW16</f>
        <v>215409.77383333331</v>
      </c>
      <c r="BN82" s="373"/>
      <c r="BO82" s="373">
        <f>(S82)*'Capital Structure '!$J$21/12</f>
        <v>12550.350912984764</v>
      </c>
      <c r="BP82" s="373">
        <f>(S82)*'Capital Structure '!$J$34/12</f>
        <v>26846.561946387654</v>
      </c>
      <c r="BQ82" s="373">
        <f>(S82)*'Capital Structure '!$J$18/12</f>
        <v>38873.295939506243</v>
      </c>
      <c r="BR82" s="373">
        <f>('2013 program 10 yr On Bill Fin'!M16+'2013 program 5 yr On Bill Fin'!L14)*'Capital Structure '!$J$34/12</f>
        <v>55385.405270648851</v>
      </c>
      <c r="BS82" s="373">
        <f>('2013 program 10 yr On Bill Fin'!M16+'2013 program 5 yr On Bill Fin'!L14)*('Capital Structure '!$J$18+'Capital Structure '!$J$21)/12</f>
        <v>106088.79927000002</v>
      </c>
      <c r="BT82" s="544">
        <f t="shared" si="60"/>
        <v>239744.41333952753</v>
      </c>
      <c r="BU82" s="373"/>
      <c r="BV82" s="374">
        <f>47138.1+406.75+126.93+1287.42+29469.3+21932.58+5853.62+4000+2661.85+3368.26+32.63+29980.28+5416.48+15321.54+438.03+3424.91+171.2+28.65+5272.43+10153.43+3371.81+722.46+1905.45+832.54+43648.84+20183.34</f>
        <v>257148.83000000002</v>
      </c>
      <c r="BW82" s="374">
        <f t="shared" si="48"/>
        <v>712303.0171728608</v>
      </c>
      <c r="BX82" s="373"/>
      <c r="BY82" s="373"/>
      <c r="BZ82" s="373"/>
      <c r="CA82" s="373"/>
      <c r="CB82" s="373"/>
      <c r="CC82" s="373"/>
      <c r="CD82" s="373"/>
      <c r="CE82" s="373"/>
      <c r="CF82" s="373"/>
      <c r="CG82" s="373"/>
      <c r="CH82" s="373"/>
      <c r="CI82" s="373"/>
      <c r="CJ82" s="373"/>
      <c r="CK82" s="373"/>
      <c r="CL82" s="373"/>
      <c r="CM82" s="373"/>
      <c r="CN82" s="373"/>
      <c r="CO82" s="373"/>
      <c r="CP82" s="373"/>
      <c r="CQ82" s="373"/>
      <c r="CR82" s="373"/>
      <c r="CS82" s="373"/>
      <c r="CT82" s="373"/>
      <c r="CU82" s="373"/>
      <c r="CV82" s="373"/>
      <c r="CW82" s="373"/>
      <c r="CX82" s="373"/>
      <c r="CY82" s="373">
        <f t="shared" si="61"/>
        <v>900320.25928614533</v>
      </c>
      <c r="CZ82" s="373">
        <f t="shared" si="66"/>
        <v>-1828865.3202534984</v>
      </c>
      <c r="DA82" s="373">
        <f t="shared" si="62"/>
        <v>-1348043.553613822</v>
      </c>
      <c r="DB82" s="407">
        <v>1.1000000000000001E-3</v>
      </c>
      <c r="DC82" s="372">
        <f t="shared" si="67"/>
        <v>-123.57065908126702</v>
      </c>
      <c r="DE82" s="404">
        <f t="shared" si="63"/>
        <v>6.9000000000000006E-2</v>
      </c>
      <c r="DF82" s="404">
        <f t="shared" si="64"/>
        <v>0.10502258664412507</v>
      </c>
      <c r="DG82" s="353"/>
      <c r="DH82" s="353"/>
      <c r="DI82" s="353"/>
      <c r="DJ82" s="353"/>
      <c r="DK82" s="353"/>
      <c r="DL82" s="353"/>
      <c r="DM82" s="353"/>
      <c r="DN82" s="353"/>
      <c r="DO82" s="353"/>
      <c r="DP82" s="353"/>
      <c r="DQ82" s="353"/>
      <c r="DR82" s="353"/>
      <c r="DS82" s="353"/>
      <c r="DT82" s="353"/>
      <c r="DU82" s="353"/>
      <c r="DV82" s="353"/>
      <c r="DW82" s="353"/>
      <c r="DX82" s="353"/>
      <c r="DY82" s="353"/>
      <c r="DZ82" s="353"/>
      <c r="EA82" s="353"/>
      <c r="EB82" s="353"/>
      <c r="EC82" s="353"/>
      <c r="ED82" s="353"/>
      <c r="EE82" s="353"/>
      <c r="EF82" s="353"/>
      <c r="EG82" s="353"/>
      <c r="EH82" s="353"/>
      <c r="EI82" s="353"/>
      <c r="EJ82" s="353"/>
      <c r="EK82" s="353"/>
      <c r="EL82" s="353"/>
      <c r="EM82" s="353"/>
      <c r="EN82" s="353"/>
      <c r="EO82" s="353"/>
      <c r="EP82" s="353"/>
      <c r="EQ82" s="353"/>
      <c r="ER82" s="353"/>
      <c r="ES82" s="353"/>
      <c r="ET82" s="353"/>
      <c r="EU82" s="353"/>
      <c r="EV82" s="353"/>
      <c r="EW82" s="353"/>
      <c r="EX82" s="353"/>
      <c r="EY82" s="353"/>
      <c r="EZ82" s="353"/>
      <c r="FA82" s="353"/>
      <c r="FB82" s="353"/>
      <c r="FC82" s="353"/>
      <c r="FD82" s="353"/>
      <c r="FE82" s="353"/>
      <c r="FF82" s="353"/>
      <c r="FG82" s="353"/>
      <c r="FH82" s="353"/>
      <c r="FI82" s="353"/>
      <c r="FJ82" s="353"/>
      <c r="FK82" s="353"/>
      <c r="FL82" s="353"/>
      <c r="FM82" s="353"/>
      <c r="FN82" s="353"/>
      <c r="FO82" s="353"/>
      <c r="FP82" s="353"/>
      <c r="FQ82" s="353"/>
    </row>
    <row r="83" spans="1:173" s="351" customFormat="1" ht="12" hidden="1" customHeight="1" outlineLevel="1">
      <c r="A83" s="356" t="s">
        <v>59</v>
      </c>
      <c r="B83" s="356">
        <f t="shared" si="68"/>
        <v>2014</v>
      </c>
      <c r="C83" s="392" t="s">
        <v>47</v>
      </c>
      <c r="D83" s="373">
        <f>+'E3 - Invest Amort deferred tax'!AN64+'E3 - Financing upfront'!H64+'E3 - Financing upfront'!Q64</f>
        <v>854990.18875000346</v>
      </c>
      <c r="E83" s="373">
        <f>+'E3 - Invest Amort deferred tax'!AN64</f>
        <v>854990.45875000395</v>
      </c>
      <c r="F83" s="393">
        <f>+'E3 - Invest Amort deferred tax'!BT64</f>
        <v>-349263.60239937331</v>
      </c>
      <c r="G83" s="394"/>
      <c r="H83" s="373">
        <f>+'RGGI - Invest Amort deferred'!AI47</f>
        <v>4009825.6683333311</v>
      </c>
      <c r="I83" s="373">
        <f>+'RGGI - Invest Amort deferred'!AI47</f>
        <v>4009825.6683333311</v>
      </c>
      <c r="J83" s="393">
        <f>+'RGGI - Invest Amort deferred'!BL47</f>
        <v>-1638013.7855141666</v>
      </c>
      <c r="K83" s="393"/>
      <c r="L83" s="394">
        <f>'RGGI II Invest Amort Def'!AI35</f>
        <v>9034575.9479999989</v>
      </c>
      <c r="M83" s="394">
        <f>'RGGI II Invest Amort Def'!AI35</f>
        <v>9034575.9479999989</v>
      </c>
      <c r="N83" s="393">
        <f>'RGGI II Invest Amort Def'!BK35</f>
        <v>-3690624.2747580018</v>
      </c>
      <c r="O83" s="394"/>
      <c r="P83" s="374">
        <f>'2013 program Invest Amort Def'!AY17</f>
        <v>11844114.808166668</v>
      </c>
      <c r="Q83" s="374">
        <f>'2013 program Invest Amort Def'!AY17</f>
        <v>11844114.808166668</v>
      </c>
      <c r="R83" s="374">
        <f>'2013 program Invest Amort Def'!CQ17</f>
        <v>-2794134.3779506665</v>
      </c>
      <c r="S83" s="373">
        <f t="shared" si="53"/>
        <v>9049980.4302160013</v>
      </c>
      <c r="T83" s="394"/>
      <c r="U83" s="394"/>
      <c r="V83" s="394"/>
      <c r="W83" s="394"/>
      <c r="X83" s="394"/>
      <c r="Y83" s="394"/>
      <c r="Z83" s="384">
        <v>19137842.419999994</v>
      </c>
      <c r="AA83" s="530">
        <f t="shared" si="65"/>
        <v>3.0599999999999999E-2</v>
      </c>
      <c r="AB83" s="372">
        <f t="shared" si="54"/>
        <v>585617.97805199982</v>
      </c>
      <c r="AC83" s="372"/>
      <c r="AD83" s="372">
        <f>+'E3 - Invest Amort deferred tax'!AL64</f>
        <v>226488.50270833331</v>
      </c>
      <c r="AE83" s="373"/>
      <c r="AF83" s="373">
        <f>(D83+F83)*'Capital Structure '!$F$21/12</f>
        <v>1045.1117452977746</v>
      </c>
      <c r="AG83" s="373">
        <f>(D83+F83)*'Capital Structure '!$E$34/12</f>
        <v>1536.1493561829895</v>
      </c>
      <c r="AH83" s="373">
        <f>(D83+F83)*'Capital Structure '!$F$18/12</f>
        <v>2224.3141840446474</v>
      </c>
      <c r="AI83" s="543">
        <f t="shared" si="55"/>
        <v>4805.5752855254123</v>
      </c>
      <c r="AJ83" s="373"/>
      <c r="AK83" s="372">
        <v>0</v>
      </c>
      <c r="AL83" s="372">
        <v>0</v>
      </c>
      <c r="AM83" s="373">
        <f t="shared" si="56"/>
        <v>231294.07799385872</v>
      </c>
      <c r="AO83" s="372">
        <f>+'RGGI - Invest Amort deferred'!AG47</f>
        <v>159988.28666666665</v>
      </c>
      <c r="AP83" s="373"/>
      <c r="AQ83" s="373">
        <f>(H83+J83)*'Capital Structure '!$F$21/12</f>
        <v>4901.4794224255629</v>
      </c>
      <c r="AR83" s="373">
        <f>(H83+J83)*'Capital Structure '!$E$34/12</f>
        <v>7204.4013407943385</v>
      </c>
      <c r="AS83" s="373">
        <f>(H83+J83)*'Capital Structure '!$F$18/12</f>
        <v>10431.832051603064</v>
      </c>
      <c r="AT83" s="373">
        <f>'RGGI - On-bill financing'!J47*'Capital Structure '!$E$34/12</f>
        <v>9213.6456734698895</v>
      </c>
      <c r="AU83" s="373">
        <f>'RGGI - On-bill financing'!J47*('Capital Structure '!$F$18+'Capital Structure '!$F$21)/12</f>
        <v>19609.637531252996</v>
      </c>
      <c r="AV83" s="434">
        <f t="shared" si="57"/>
        <v>51360.996019545855</v>
      </c>
      <c r="AW83" s="373"/>
      <c r="AX83" s="372">
        <v>0</v>
      </c>
      <c r="AY83" s="373">
        <f t="shared" si="58"/>
        <v>211349.28268621251</v>
      </c>
      <c r="AZ83" s="373"/>
      <c r="BA83" s="373">
        <f>'RGGI II Invest Amort Def'!AG35</f>
        <v>231616.14799999999</v>
      </c>
      <c r="BB83" s="373"/>
      <c r="BC83" s="373">
        <f>(L83+N83)*'Capital Structure '!$H$21/12</f>
        <v>8131.0674019560547</v>
      </c>
      <c r="BD83" s="373">
        <f>(L83+N83)*'Capital Structure '!$H$34/12</f>
        <v>16232.304458346529</v>
      </c>
      <c r="BE83" s="373">
        <f>(L83+N83)*'Capital Structure '!$H$18/12</f>
        <v>23504.058964778389</v>
      </c>
      <c r="BF83" s="373">
        <f>'RGGI II On Bill Fin''g'!L35*'Capital Structure '!$H$34/12</f>
        <v>27272.781927769556</v>
      </c>
      <c r="BG83" s="373">
        <f>'RGGI II On Bill Fin''g'!L35*('Capital Structure '!$H$18+'Capital Structure '!$H$21)/12</f>
        <v>53151.904886416014</v>
      </c>
      <c r="BH83" s="415">
        <f t="shared" si="59"/>
        <v>128292.11763926654</v>
      </c>
      <c r="BI83" s="373"/>
      <c r="BK83" s="373">
        <f t="shared" si="34"/>
        <v>359908.26563926652</v>
      </c>
      <c r="BL83" s="373"/>
      <c r="BM83" s="373">
        <f>'2013 program Invest Amort Def'!AW17</f>
        <v>226366.69049999997</v>
      </c>
      <c r="BN83" s="373"/>
      <c r="BO83" s="373">
        <f>(S83)*'Capital Structure '!$J$21/12</f>
        <v>12700.139203736457</v>
      </c>
      <c r="BP83" s="373">
        <f>(S83)*'Capital Structure '!$J$34/12</f>
        <v>27166.975347924366</v>
      </c>
      <c r="BQ83" s="373">
        <f>(S83)*'Capital Structure '!$J$18/12</f>
        <v>39337.248270005548</v>
      </c>
      <c r="BR83" s="373">
        <f>('2013 program 10 yr On Bill Fin'!M17+'2013 program 5 yr On Bill Fin'!L15+'2013 program 2 yr On Bill Fin'!M5)*'Capital Structure '!$J$34/12</f>
        <v>58190.463589771309</v>
      </c>
      <c r="BS83" s="373">
        <f>('2013 program 10 yr On Bill Fin'!M17+'2013 program 5 yr On Bill Fin'!L15+'2013 program 2 yr On Bill Fin'!M5)*('Capital Structure '!$J$18+'Capital Structure '!$J$21)/12</f>
        <v>111461.78999750002</v>
      </c>
      <c r="BT83" s="544">
        <f t="shared" si="60"/>
        <v>248856.6164089377</v>
      </c>
      <c r="BU83" s="373"/>
      <c r="BV83" s="374">
        <f>47138.1+160+80.13+1143.95+29469.3+287.62+3481.75+122992.87-2000+4000+2661.85+2614.53+57.71+34238.02+196.85+16235.85+14075.15+356.08+3020.23+179.25+13.14+9277.13+12248.52+3117.43+730.28+1776.57+803.13+43648.84+20760.04</f>
        <v>372764.32</v>
      </c>
      <c r="BW83" s="374">
        <f t="shared" si="48"/>
        <v>847987.6269089377</v>
      </c>
      <c r="BX83" s="373"/>
      <c r="BY83" s="373"/>
      <c r="BZ83" s="373"/>
      <c r="CA83" s="373"/>
      <c r="CB83" s="373"/>
      <c r="CC83" s="373"/>
      <c r="CD83" s="373"/>
      <c r="CE83" s="373"/>
      <c r="CF83" s="373"/>
      <c r="CG83" s="373"/>
      <c r="CH83" s="373"/>
      <c r="CI83" s="373"/>
      <c r="CJ83" s="373"/>
      <c r="CK83" s="373"/>
      <c r="CL83" s="373"/>
      <c r="CM83" s="373"/>
      <c r="CN83" s="373"/>
      <c r="CO83" s="373"/>
      <c r="CP83" s="373"/>
      <c r="CQ83" s="373"/>
      <c r="CR83" s="373"/>
      <c r="CS83" s="373"/>
      <c r="CT83" s="373"/>
      <c r="CU83" s="373"/>
      <c r="CV83" s="373"/>
      <c r="CW83" s="373"/>
      <c r="CX83" s="373"/>
      <c r="CY83" s="373">
        <f t="shared" si="61"/>
        <v>1064921.2751762758</v>
      </c>
      <c r="CZ83" s="373">
        <f t="shared" si="66"/>
        <v>-763944.04507722263</v>
      </c>
      <c r="DA83" s="373">
        <f t="shared" si="62"/>
        <v>-766823.36979656084</v>
      </c>
      <c r="DB83" s="407">
        <v>1.1999999999999999E-3</v>
      </c>
      <c r="DC83" s="372">
        <f t="shared" si="67"/>
        <v>-76.682336979656085</v>
      </c>
      <c r="DE83" s="404">
        <f t="shared" si="63"/>
        <v>6.9000000000000006E-2</v>
      </c>
      <c r="DF83" s="404">
        <f t="shared" si="64"/>
        <v>0.10502258664412509</v>
      </c>
      <c r="DG83" s="353"/>
      <c r="DH83" s="353"/>
      <c r="DI83" s="353"/>
      <c r="DJ83" s="353"/>
      <c r="DK83" s="353"/>
      <c r="DL83" s="353"/>
      <c r="DM83" s="353"/>
      <c r="DN83" s="353"/>
      <c r="DO83" s="353"/>
      <c r="DP83" s="353"/>
      <c r="DQ83" s="353"/>
      <c r="DR83" s="353"/>
      <c r="DS83" s="353"/>
      <c r="DT83" s="353"/>
      <c r="DU83" s="353"/>
      <c r="DV83" s="353"/>
      <c r="DW83" s="353"/>
      <c r="DX83" s="353"/>
      <c r="DY83" s="353"/>
      <c r="DZ83" s="353"/>
      <c r="EA83" s="353"/>
      <c r="EB83" s="353"/>
      <c r="EC83" s="353"/>
      <c r="ED83" s="353"/>
      <c r="EE83" s="353"/>
      <c r="EF83" s="353"/>
      <c r="EG83" s="353"/>
      <c r="EH83" s="353"/>
      <c r="EI83" s="353"/>
      <c r="EJ83" s="353"/>
      <c r="EK83" s="353"/>
      <c r="EL83" s="353"/>
      <c r="EM83" s="353"/>
      <c r="EN83" s="353"/>
      <c r="EO83" s="353"/>
      <c r="EP83" s="353"/>
      <c r="EQ83" s="353"/>
      <c r="ER83" s="353"/>
      <c r="ES83" s="353"/>
      <c r="ET83" s="353"/>
      <c r="EU83" s="353"/>
      <c r="EV83" s="353"/>
      <c r="EW83" s="353"/>
      <c r="EX83" s="353"/>
      <c r="EY83" s="353"/>
      <c r="EZ83" s="353"/>
      <c r="FA83" s="353"/>
      <c r="FB83" s="353"/>
      <c r="FC83" s="353"/>
      <c r="FD83" s="353"/>
      <c r="FE83" s="353"/>
      <c r="FF83" s="353"/>
      <c r="FG83" s="353"/>
      <c r="FH83" s="353"/>
      <c r="FI83" s="353"/>
      <c r="FJ83" s="353"/>
      <c r="FK83" s="353"/>
      <c r="FL83" s="353"/>
      <c r="FM83" s="353"/>
      <c r="FN83" s="353"/>
      <c r="FO83" s="353"/>
      <c r="FP83" s="353"/>
      <c r="FQ83" s="353"/>
    </row>
    <row r="84" spans="1:173" s="351" customFormat="1" ht="12" hidden="1" customHeight="1" outlineLevel="1">
      <c r="A84" s="356" t="s">
        <v>46</v>
      </c>
      <c r="B84" s="356">
        <f>+B83</f>
        <v>2014</v>
      </c>
      <c r="C84" s="392" t="s">
        <v>47</v>
      </c>
      <c r="D84" s="373">
        <f>+'E3 - Invest Amort deferred tax'!AN65+'E3 - Financing upfront'!H65+'E3 - Financing upfront'!Q65</f>
        <v>651599.90333333705</v>
      </c>
      <c r="E84" s="373">
        <f>+'E3 - Invest Amort deferred tax'!AN65</f>
        <v>651600.17333333753</v>
      </c>
      <c r="F84" s="393">
        <f>+'E3 - Invest Amort deferred tax'!BT65</f>
        <v>-266178.67080666497</v>
      </c>
      <c r="G84" s="394"/>
      <c r="H84" s="373">
        <f>+'RGGI - Invest Amort deferred'!AI48</f>
        <v>3849837.381666664</v>
      </c>
      <c r="I84" s="373">
        <f>+'RGGI - Invest Amort deferred'!AI48</f>
        <v>3849837.381666664</v>
      </c>
      <c r="J84" s="393">
        <f>+'RGGI - Invest Amort deferred'!BL48</f>
        <v>-1572658.5704108332</v>
      </c>
      <c r="K84" s="393"/>
      <c r="L84" s="394">
        <f>'RGGI II Invest Amort Def'!AI36</f>
        <v>8802959.8000000007</v>
      </c>
      <c r="M84" s="394">
        <f>'RGGI II Invest Amort Def'!AI36</f>
        <v>8802959.8000000007</v>
      </c>
      <c r="N84" s="393">
        <f>'RGGI II Invest Amort Def'!BK36</f>
        <v>-3596009.078300002</v>
      </c>
      <c r="O84" s="394"/>
      <c r="P84" s="374">
        <f>'2013 program Invest Amort Def'!AY18</f>
        <v>12252975.059333336</v>
      </c>
      <c r="Q84" s="374">
        <f>'2013 program Invest Amort Def'!AY18</f>
        <v>12252975.059333336</v>
      </c>
      <c r="R84" s="374">
        <f>'2013 program Invest Amort Def'!CQ18</f>
        <v>-3102262.7261276664</v>
      </c>
      <c r="S84" s="373">
        <f t="shared" si="53"/>
        <v>9150712.3332056701</v>
      </c>
      <c r="T84" s="394"/>
      <c r="U84" s="394"/>
      <c r="V84" s="394"/>
      <c r="W84" s="394"/>
      <c r="X84" s="394"/>
      <c r="Y84" s="394"/>
      <c r="Z84" s="384">
        <v>17795995.219999999</v>
      </c>
      <c r="AA84" s="530">
        <f>+AA83</f>
        <v>3.0599999999999999E-2</v>
      </c>
      <c r="AB84" s="372">
        <f>+Z84*AA84</f>
        <v>544557.45373199997</v>
      </c>
      <c r="AC84" s="372"/>
      <c r="AD84" s="372">
        <f>+'E3 - Invest Amort deferred tax'!AL65</f>
        <v>203390.28541666665</v>
      </c>
      <c r="AE84" s="373"/>
      <c r="AF84" s="373">
        <f>(D84+F84)*'Capital Structure '!$F$21/12</f>
        <v>796.49412918444989</v>
      </c>
      <c r="AG84" s="373">
        <f>(D84+F84)*'Capital Structure '!$E$34/12</f>
        <v>1170.7206901608524</v>
      </c>
      <c r="AH84" s="373">
        <f>(D84+F84)*'Capital Structure '!$F$18/12</f>
        <v>1695.1806321423358</v>
      </c>
      <c r="AI84" s="543">
        <f t="shared" si="55"/>
        <v>3662.3954514876377</v>
      </c>
      <c r="AJ84" s="373"/>
      <c r="AK84" s="372">
        <v>0</v>
      </c>
      <c r="AL84" s="372">
        <v>0</v>
      </c>
      <c r="AM84" s="373">
        <f t="shared" si="56"/>
        <v>207052.68086815428</v>
      </c>
      <c r="AO84" s="372">
        <f>+'RGGI - Invest Amort deferred'!AG48</f>
        <v>159988.28666666665</v>
      </c>
      <c r="AP84" s="373"/>
      <c r="AQ84" s="373">
        <f>(H84+J84)*'Capital Structure '!$F$21/12</f>
        <v>4705.9149865153768</v>
      </c>
      <c r="AR84" s="373">
        <f>(H84+J84)*'Capital Structure '!$E$34/12</f>
        <v>6916.9524783474562</v>
      </c>
      <c r="AS84" s="373">
        <f>(H84+J84)*'Capital Structure '!$F$18/12</f>
        <v>10015.611728133465</v>
      </c>
      <c r="AT84" s="373">
        <f>'RGGI - On-bill financing'!J48*'Capital Structure '!$E$34/12</f>
        <v>9102.9068218298908</v>
      </c>
      <c r="AU84" s="373">
        <f>'RGGI - On-bill financing'!J48*('Capital Structure '!$F$18+'Capital Structure '!$F$21)/12</f>
        <v>19373.949203500128</v>
      </c>
      <c r="AV84" s="434">
        <f t="shared" si="57"/>
        <v>50115.33521832632</v>
      </c>
      <c r="AW84" s="373"/>
      <c r="AX84" s="372">
        <v>0</v>
      </c>
      <c r="AY84" s="373">
        <f t="shared" si="58"/>
        <v>210103.62188499299</v>
      </c>
      <c r="AZ84" s="373"/>
      <c r="BA84" s="373">
        <f>'RGGI II Invest Amort Def'!AG36</f>
        <v>231616.14799999999</v>
      </c>
      <c r="BB84" s="373"/>
      <c r="BC84" s="373">
        <f>(L84+N84)*'Capital Structure '!$H$21/12</f>
        <v>7922.6141749746248</v>
      </c>
      <c r="BD84" s="373">
        <f>(L84+N84)*'Capital Structure '!$H$34/12</f>
        <v>15816.162754137631</v>
      </c>
      <c r="BE84" s="373">
        <f>(L84+N84)*'Capital Structure '!$H$18/12</f>
        <v>22901.493926737847</v>
      </c>
      <c r="BF84" s="373">
        <f>'RGGI II On Bill Fin''g'!L36*'Capital Structure '!$H$34/12</f>
        <v>26906.353264455363</v>
      </c>
      <c r="BG84" s="373">
        <f>'RGGI II On Bill Fin''g'!L36*('Capital Structure '!$H$18+'Capital Structure '!$H$21)/12</f>
        <v>52437.772330679138</v>
      </c>
      <c r="BH84" s="415">
        <f t="shared" si="59"/>
        <v>125984.39645098461</v>
      </c>
      <c r="BI84" s="373"/>
      <c r="BK84" s="373">
        <f t="shared" si="34"/>
        <v>357600.54445098457</v>
      </c>
      <c r="BL84" s="373"/>
      <c r="BM84" s="373">
        <f>'2013 program Invest Amort Def'!AW18</f>
        <v>237133.24883333329</v>
      </c>
      <c r="BN84" s="373"/>
      <c r="BO84" s="373">
        <f>(S84)*'Capital Structure '!$J$21/12</f>
        <v>12841.499640931957</v>
      </c>
      <c r="BP84" s="373">
        <f>(S84)*'Capital Structure '!$J$34/12</f>
        <v>27469.360656530447</v>
      </c>
      <c r="BQ84" s="373">
        <f>(S84)*'Capital Structure '!$J$18/12</f>
        <v>39775.096275000644</v>
      </c>
      <c r="BR84" s="373">
        <f>('2013 program 10 yr On Bill Fin'!M18+'2013 program 5 yr On Bill Fin'!L16+'2013 program 2 yr On Bill Fin'!M6)*'Capital Structure '!$J$34/12</f>
        <v>60937.357559067663</v>
      </c>
      <c r="BS84" s="373">
        <f>('2013 program 10 yr On Bill Fin'!M18+'2013 program 5 yr On Bill Fin'!L16+'2013 program 2 yr On Bill Fin'!M6)*('Capital Structure '!$J$18+'Capital Structure '!$J$21)/12</f>
        <v>116723.36895500001</v>
      </c>
      <c r="BT84" s="544">
        <f t="shared" si="60"/>
        <v>257746.68308653071</v>
      </c>
      <c r="BU84" s="373"/>
      <c r="BV84" s="374">
        <f>47138.1+80+47.96+111.27+29469.3-373.19+3745.63+8600.55+2365.85+2410.31+36.1+34741.5+5500.5+11868.72+313.03+3814.63+470.24+85.92+10164+12678.75+2308.24+488.39+1956.11+806.55+43648.84+24748.24+4000-2500</f>
        <v>248725.53999999998</v>
      </c>
      <c r="BW84" s="374">
        <f t="shared" si="48"/>
        <v>743605.47191986395</v>
      </c>
      <c r="BX84" s="373"/>
      <c r="BY84" s="373"/>
      <c r="BZ84" s="373"/>
      <c r="CA84" s="373"/>
      <c r="CB84" s="373"/>
      <c r="CC84" s="373"/>
      <c r="CD84" s="373"/>
      <c r="CE84" s="373"/>
      <c r="CF84" s="373"/>
      <c r="CG84" s="373"/>
      <c r="CH84" s="373"/>
      <c r="CI84" s="373"/>
      <c r="CJ84" s="373"/>
      <c r="CK84" s="373"/>
      <c r="CL84" s="373"/>
      <c r="CM84" s="373"/>
      <c r="CN84" s="373"/>
      <c r="CO84" s="373"/>
      <c r="CP84" s="373"/>
      <c r="CQ84" s="373"/>
      <c r="CR84" s="373"/>
      <c r="CS84" s="373"/>
      <c r="CT84" s="373"/>
      <c r="CU84" s="373"/>
      <c r="CV84" s="373"/>
      <c r="CW84" s="373"/>
      <c r="CX84" s="373"/>
      <c r="CY84" s="373">
        <f t="shared" si="61"/>
        <v>973804.86539199599</v>
      </c>
      <c r="CZ84" s="373">
        <f>CZ83+CY84</f>
        <v>209860.82031477336</v>
      </c>
      <c r="DA84" s="373">
        <f t="shared" si="62"/>
        <v>-163870.11372349437</v>
      </c>
      <c r="DB84" s="407">
        <v>1.1999999999999999E-3</v>
      </c>
      <c r="DC84" s="372">
        <f t="shared" si="67"/>
        <v>-16.387011372349438</v>
      </c>
      <c r="DE84" s="404">
        <f t="shared" si="63"/>
        <v>6.9000000000000006E-2</v>
      </c>
      <c r="DF84" s="404">
        <f t="shared" si="64"/>
        <v>0.10502258664412509</v>
      </c>
      <c r="DG84" s="353"/>
      <c r="DH84" s="353"/>
      <c r="DI84" s="353"/>
      <c r="DJ84" s="353"/>
      <c r="DK84" s="353"/>
      <c r="DL84" s="353"/>
      <c r="DM84" s="353"/>
      <c r="DN84" s="353"/>
      <c r="DO84" s="353"/>
      <c r="DP84" s="353"/>
      <c r="DQ84" s="353"/>
      <c r="DR84" s="353"/>
      <c r="DS84" s="353"/>
      <c r="DT84" s="353"/>
      <c r="DU84" s="353"/>
      <c r="DV84" s="353"/>
      <c r="DW84" s="353"/>
      <c r="DX84" s="353"/>
      <c r="DY84" s="353"/>
      <c r="DZ84" s="353"/>
      <c r="EA84" s="353"/>
      <c r="EB84" s="353"/>
      <c r="EC84" s="353"/>
      <c r="ED84" s="353"/>
      <c r="EE84" s="353"/>
      <c r="EF84" s="353"/>
      <c r="EG84" s="353"/>
      <c r="EH84" s="353"/>
      <c r="EI84" s="353"/>
      <c r="EJ84" s="353"/>
      <c r="EK84" s="353"/>
      <c r="EL84" s="353"/>
      <c r="EM84" s="353"/>
      <c r="EN84" s="353"/>
      <c r="EO84" s="353"/>
      <c r="EP84" s="353"/>
      <c r="EQ84" s="353"/>
      <c r="ER84" s="353"/>
      <c r="ES84" s="353"/>
      <c r="ET84" s="353"/>
      <c r="EU84" s="353"/>
      <c r="EV84" s="353"/>
      <c r="EW84" s="353"/>
      <c r="EX84" s="353"/>
      <c r="EY84" s="353"/>
      <c r="EZ84" s="353"/>
      <c r="FA84" s="353"/>
      <c r="FB84" s="353"/>
      <c r="FC84" s="353"/>
      <c r="FD84" s="353"/>
      <c r="FE84" s="353"/>
      <c r="FF84" s="353"/>
      <c r="FG84" s="353"/>
      <c r="FH84" s="353"/>
      <c r="FI84" s="353"/>
      <c r="FJ84" s="353"/>
      <c r="FK84" s="353"/>
      <c r="FL84" s="353"/>
      <c r="FM84" s="353"/>
      <c r="FN84" s="353"/>
      <c r="FO84" s="353"/>
      <c r="FP84" s="353"/>
      <c r="FQ84" s="353"/>
    </row>
    <row r="85" spans="1:173" s="351" customFormat="1" hidden="1" outlineLevel="1">
      <c r="A85" s="356" t="s">
        <v>48</v>
      </c>
      <c r="B85" s="356">
        <f>+B84</f>
        <v>2014</v>
      </c>
      <c r="C85" s="392" t="s">
        <v>47</v>
      </c>
      <c r="D85" s="373">
        <f>+'E3 - Invest Amort deferred tax'!AN66+'E3 - Financing upfront'!H66+'E3 - Financing upfront'!Q66</f>
        <v>484658.39729167055</v>
      </c>
      <c r="E85" s="373">
        <f>+'E3 - Invest Amort deferred tax'!AN66</f>
        <v>484658.66729167104</v>
      </c>
      <c r="F85" s="394">
        <f>+'E3 - Invest Amort deferred tax'!BT66</f>
        <v>-197983.06558864412</v>
      </c>
      <c r="G85" s="394"/>
      <c r="H85" s="373">
        <f>+'RGGI - Invest Amort deferred'!AI49</f>
        <v>3689849.0949999969</v>
      </c>
      <c r="I85" s="373">
        <f>+'RGGI - Invest Amort deferred'!AI49</f>
        <v>3689849.0949999969</v>
      </c>
      <c r="J85" s="394">
        <f>+'RGGI - Invest Amort deferred'!BL49</f>
        <v>-1507303.3553074999</v>
      </c>
      <c r="K85" s="393"/>
      <c r="L85" s="394">
        <f>'RGGI II Invest Amort Def'!AI37</f>
        <v>8571343.6519999988</v>
      </c>
      <c r="M85" s="394">
        <f>'RGGI II Invest Amort Def'!AI37</f>
        <v>8571343.6519999988</v>
      </c>
      <c r="N85" s="393">
        <f>'RGGI II Invest Amort Def'!BK37</f>
        <v>-3501393.8818420023</v>
      </c>
      <c r="O85" s="394"/>
      <c r="P85" s="374">
        <f>'2013 program Invest Amort Def'!AY19</f>
        <v>12989223.810500002</v>
      </c>
      <c r="Q85" s="374">
        <f>'2013 program Invest Amort Def'!AY19</f>
        <v>12989223.810500002</v>
      </c>
      <c r="R85" s="374">
        <f>'2013 program Invest Amort Def'!CQ19</f>
        <v>-3395281.41264675</v>
      </c>
      <c r="S85" s="373">
        <f>+P85+R85</f>
        <v>9593942.3978532515</v>
      </c>
      <c r="T85" s="394"/>
      <c r="U85" s="394"/>
      <c r="V85" s="394"/>
      <c r="W85" s="394"/>
      <c r="X85" s="394"/>
      <c r="Y85" s="394"/>
      <c r="Z85" s="531">
        <v>18593678.900000002</v>
      </c>
      <c r="AA85" s="530">
        <f>+AA84</f>
        <v>3.0599999999999999E-2</v>
      </c>
      <c r="AB85" s="383">
        <f>+Z85*AA85</f>
        <v>568966.57434000005</v>
      </c>
      <c r="AC85" s="372"/>
      <c r="AD85" s="383">
        <f>+'E3 - Invest Amort deferred tax'!AL66</f>
        <v>166941.50604166667</v>
      </c>
      <c r="AE85" s="373"/>
      <c r="AF85" s="373">
        <f>(D85+F85)*'Capital Structure '!$F$21/12</f>
        <v>592.43030589308285</v>
      </c>
      <c r="AG85" s="373">
        <f>(D85+F85)*'Capital Structure '!$E$34/12</f>
        <v>870.77906939190973</v>
      </c>
      <c r="AH85" s="373">
        <f>(D85+F85)*'Capital Structure '!$F$18/12</f>
        <v>1260.8710392786161</v>
      </c>
      <c r="AI85" s="545">
        <f t="shared" si="55"/>
        <v>2724.0804145636084</v>
      </c>
      <c r="AJ85" s="373"/>
      <c r="AK85" s="383">
        <v>0</v>
      </c>
      <c r="AL85" s="383">
        <v>0</v>
      </c>
      <c r="AM85" s="379">
        <f t="shared" si="56"/>
        <v>169665.58645623029</v>
      </c>
      <c r="AO85" s="383">
        <f>+'RGGI - Invest Amort deferred'!AG49</f>
        <v>159988.28666666665</v>
      </c>
      <c r="AP85" s="373"/>
      <c r="AQ85" s="379">
        <f>(H85+J85)*'Capital Structure '!$F$21/12</f>
        <v>4510.3505506051906</v>
      </c>
      <c r="AR85" s="379">
        <f>(H85+J85)*'Capital Structure '!$E$34/12</f>
        <v>6629.5036159005731</v>
      </c>
      <c r="AS85" s="379">
        <f>(H85+J85)*'Capital Structure '!$F$18/12</f>
        <v>9599.3914046638656</v>
      </c>
      <c r="AT85" s="379">
        <f>'RGGI - On-bill financing'!J49*'Capital Structure '!$E$34/12</f>
        <v>8956.1105139693082</v>
      </c>
      <c r="AU85" s="379">
        <f>'RGGI - On-bill financing'!J49*('Capital Structure '!$F$18+'Capital Structure '!$F$21)/12</f>
        <v>19061.518870265034</v>
      </c>
      <c r="AV85" s="432">
        <f t="shared" si="57"/>
        <v>48756.874955403975</v>
      </c>
      <c r="AW85" s="373"/>
      <c r="AX85" s="383">
        <v>0</v>
      </c>
      <c r="AY85" s="379">
        <f t="shared" si="58"/>
        <v>208745.16162207062</v>
      </c>
      <c r="AZ85" s="373"/>
      <c r="BA85" s="379">
        <f>'RGGI II Invest Amort Def'!AG37</f>
        <v>231616.14799999999</v>
      </c>
      <c r="BB85" s="373"/>
      <c r="BC85" s="373">
        <f>(L85+N85)*'Capital Structure '!$H$21/12</f>
        <v>7714.1609479931903</v>
      </c>
      <c r="BD85" s="373">
        <f>(L85+N85)*'Capital Structure '!$H$34/12</f>
        <v>15400.021049928728</v>
      </c>
      <c r="BE85" s="373">
        <f>(L85+N85)*'Capital Structure '!$H$18/12</f>
        <v>22298.92888869729</v>
      </c>
      <c r="BF85" s="373">
        <f>'RGGI II On Bill Fin''g'!L37*'Capital Structure '!$H$34/12</f>
        <v>26610.330124685217</v>
      </c>
      <c r="BG85" s="373">
        <f>'RGGI II On Bill Fin''g'!L37*('Capital Structure '!$H$18+'Capital Structure '!$H$21)/12</f>
        <v>51860.853048630379</v>
      </c>
      <c r="BH85" s="440">
        <f>SUM(BC85:BG85)</f>
        <v>123884.29405993481</v>
      </c>
      <c r="BI85" s="373"/>
      <c r="BK85" s="379">
        <f t="shared" si="34"/>
        <v>355500.44205993478</v>
      </c>
      <c r="BL85" s="373"/>
      <c r="BM85" s="379">
        <f>'2013 program Invest Amort Def'!AW19</f>
        <v>253631.24883333329</v>
      </c>
      <c r="BN85" s="379"/>
      <c r="BO85" s="379">
        <f>(S85)*'Capital Structure '!$J$21/12</f>
        <v>13463.499164987397</v>
      </c>
      <c r="BP85" s="379">
        <f>(S85)*'Capital Structure '!$J$34/12</f>
        <v>28799.885107117836</v>
      </c>
      <c r="BQ85" s="379">
        <f>(S85)*'Capital Structure '!$J$18/12</f>
        <v>41701.6696226688</v>
      </c>
      <c r="BR85" s="379">
        <f>('2013 program 10 yr On Bill Fin'!M19+'2013 program 5 yr On Bill Fin'!L17+'2013 program 2 yr On Bill Fin'!M7)*'Capital Structure '!$J$34/12</f>
        <v>65719.778000715451</v>
      </c>
      <c r="BS85" s="379">
        <f>('2013 program 10 yr On Bill Fin'!M19+'2013 program 5 yr On Bill Fin'!L17+'2013 program 2 yr On Bill Fin'!M7)*('Capital Structure '!$J$18+'Capital Structure '!$J$21)/12</f>
        <v>125883.92740500002</v>
      </c>
      <c r="BT85" s="546">
        <f t="shared" si="60"/>
        <v>275568.7593004895</v>
      </c>
      <c r="BU85" s="373"/>
      <c r="BV85" s="388">
        <f>47430.89+111.45+1462.94+28704.34+454.21+1841.25+6599.89+50816-1250+2365.85+18.62+34598.89+-27152.83+911+3210.83+524.37+804.08+4000+134701.62+36303+25390.16</f>
        <v>351846.55999999994</v>
      </c>
      <c r="BW85" s="388">
        <f t="shared" si="48"/>
        <v>881046.56813382276</v>
      </c>
      <c r="BX85" s="373"/>
      <c r="BY85" s="373"/>
      <c r="BZ85" s="373"/>
      <c r="CA85" s="373"/>
      <c r="CB85" s="373"/>
      <c r="CC85" s="373"/>
      <c r="CD85" s="373"/>
      <c r="CE85" s="373"/>
      <c r="CF85" s="373"/>
      <c r="CG85" s="373"/>
      <c r="CH85" s="373"/>
      <c r="CI85" s="373"/>
      <c r="CJ85" s="373"/>
      <c r="CK85" s="373"/>
      <c r="CL85" s="373"/>
      <c r="CM85" s="373"/>
      <c r="CN85" s="373"/>
      <c r="CO85" s="373"/>
      <c r="CP85" s="373"/>
      <c r="CQ85" s="373"/>
      <c r="CR85" s="373"/>
      <c r="CS85" s="373"/>
      <c r="CT85" s="373"/>
      <c r="CU85" s="373"/>
      <c r="CV85" s="373"/>
      <c r="CW85" s="373"/>
      <c r="CX85" s="373"/>
      <c r="CY85" s="373">
        <f t="shared" si="61"/>
        <v>1045991.1839320585</v>
      </c>
      <c r="CZ85" s="373">
        <f>CZ84+CY85</f>
        <v>1255852.0042468319</v>
      </c>
      <c r="DA85" s="373">
        <f>(CZ84+CZ85)/2*(1-0.4085)</f>
        <v>433484.56786409474</v>
      </c>
      <c r="DB85" s="407">
        <v>1.1999999999999999E-3</v>
      </c>
      <c r="DC85" s="383">
        <f>(DA85)*DB85/12</f>
        <v>43.348456786409464</v>
      </c>
      <c r="DE85" s="404">
        <f t="shared" si="63"/>
        <v>6.9000000000000006E-2</v>
      </c>
      <c r="DF85" s="404">
        <f t="shared" si="64"/>
        <v>0.10502258664412509</v>
      </c>
      <c r="DG85" s="353"/>
      <c r="DH85" s="353"/>
      <c r="DI85" s="353"/>
      <c r="DJ85" s="353"/>
      <c r="DK85" s="353"/>
      <c r="DL85" s="353"/>
      <c r="DM85" s="353"/>
      <c r="DN85" s="353"/>
      <c r="DO85" s="353"/>
      <c r="DP85" s="353"/>
      <c r="DQ85" s="353"/>
      <c r="DR85" s="353"/>
      <c r="DS85" s="353"/>
      <c r="DT85" s="353"/>
      <c r="DU85" s="353"/>
      <c r="DV85" s="353"/>
      <c r="DW85" s="353"/>
      <c r="DX85" s="353"/>
      <c r="DY85" s="353"/>
      <c r="DZ85" s="353"/>
      <c r="EA85" s="353"/>
      <c r="EB85" s="353"/>
      <c r="EC85" s="353"/>
      <c r="ED85" s="353"/>
      <c r="EE85" s="353"/>
      <c r="EF85" s="353"/>
      <c r="EG85" s="353"/>
      <c r="EH85" s="353"/>
      <c r="EI85" s="353"/>
      <c r="EJ85" s="353"/>
      <c r="EK85" s="353"/>
      <c r="EL85" s="353"/>
      <c r="EM85" s="353"/>
      <c r="EN85" s="353"/>
      <c r="EO85" s="353"/>
      <c r="EP85" s="353"/>
      <c r="EQ85" s="353"/>
      <c r="ER85" s="353"/>
      <c r="ES85" s="353"/>
      <c r="ET85" s="353"/>
      <c r="EU85" s="353"/>
      <c r="EV85" s="353"/>
      <c r="EW85" s="353"/>
      <c r="EX85" s="353"/>
      <c r="EY85" s="353"/>
      <c r="EZ85" s="353"/>
      <c r="FA85" s="353"/>
      <c r="FB85" s="353"/>
      <c r="FC85" s="353"/>
      <c r="FD85" s="353"/>
      <c r="FE85" s="353"/>
      <c r="FF85" s="353"/>
      <c r="FG85" s="353"/>
      <c r="FH85" s="353"/>
      <c r="FI85" s="353"/>
      <c r="FJ85" s="353"/>
      <c r="FK85" s="353"/>
      <c r="FL85" s="353"/>
      <c r="FM85" s="353"/>
      <c r="FN85" s="353"/>
      <c r="FO85" s="353"/>
      <c r="FP85" s="353"/>
      <c r="FQ85" s="353"/>
    </row>
    <row r="86" spans="1:173" s="351" customFormat="1" ht="17.25" hidden="1" outlineLevel="1">
      <c r="F86" s="393"/>
      <c r="G86" s="394"/>
      <c r="J86" s="393"/>
      <c r="K86" s="393"/>
      <c r="L86" s="393"/>
      <c r="M86" s="393"/>
      <c r="N86" s="401"/>
      <c r="O86" s="394"/>
      <c r="P86" s="374"/>
      <c r="Q86" s="374"/>
      <c r="R86" s="391"/>
      <c r="S86" s="374"/>
      <c r="T86" s="394"/>
      <c r="U86" s="394"/>
      <c r="V86" s="394"/>
      <c r="W86" s="394"/>
      <c r="X86" s="394"/>
      <c r="Y86" s="394"/>
      <c r="Z86" s="384">
        <f>SUM(Z74:Z85)</f>
        <v>717718013.30999994</v>
      </c>
      <c r="AA86" s="394"/>
      <c r="AB86" s="373">
        <f>SUM(AB74:AB85)</f>
        <v>21962171.207286</v>
      </c>
      <c r="AC86" s="373"/>
      <c r="AD86" s="373">
        <f>SUM(AD74:AD85)</f>
        <v>3004288.0004166663</v>
      </c>
      <c r="AE86" s="373"/>
      <c r="AF86" s="373">
        <f>SUM(AF74:AF85)</f>
        <v>25582.848936947714</v>
      </c>
      <c r="AG86" s="373">
        <f>SUM(AG74:AG85)</f>
        <v>37602.751189655581</v>
      </c>
      <c r="AH86" s="373">
        <f>SUM(AH74:AH85)</f>
        <v>54448.047316233235</v>
      </c>
      <c r="AI86" s="373">
        <f>SUM(AI74:AI85)</f>
        <v>117633.64744283652</v>
      </c>
      <c r="AJ86" s="373"/>
      <c r="AK86" s="373">
        <f>SUM(AK74:AK85)</f>
        <v>0</v>
      </c>
      <c r="AL86" s="373">
        <f>SUM(AL74:AL85)</f>
        <v>0</v>
      </c>
      <c r="AM86" s="373">
        <f>SUM(AM74:AM85)</f>
        <v>3121921.6478595035</v>
      </c>
      <c r="AO86" s="373">
        <f>SUM(AO74:AO85)</f>
        <v>1919859.4399999997</v>
      </c>
      <c r="AP86" s="373"/>
      <c r="AQ86" s="373">
        <f t="shared" ref="AQ86:AV86" si="69">SUM(AQ74:AQ85)</f>
        <v>67031.45937733454</v>
      </c>
      <c r="AR86" s="373">
        <f t="shared" si="69"/>
        <v>98525.668312301146</v>
      </c>
      <c r="AS86" s="373">
        <f t="shared" si="69"/>
        <v>142663.2382049599</v>
      </c>
      <c r="AT86" s="384">
        <f t="shared" si="69"/>
        <v>115423.17961700719</v>
      </c>
      <c r="AU86" s="384">
        <f t="shared" si="69"/>
        <v>245658.102689097</v>
      </c>
      <c r="AV86" s="389">
        <f t="shared" si="69"/>
        <v>669301.64820069983</v>
      </c>
      <c r="AW86" s="373"/>
      <c r="AX86" s="408">
        <f>SUM(AX74:AX85)</f>
        <v>0</v>
      </c>
      <c r="AY86" s="389">
        <f t="shared" si="58"/>
        <v>2589161.0882006995</v>
      </c>
      <c r="AZ86" s="373"/>
      <c r="BA86" s="373">
        <f>SUM(BA74:BA85)</f>
        <v>2779393.7760000001</v>
      </c>
      <c r="BB86" s="373"/>
      <c r="BC86" s="373">
        <f t="shared" ref="BC86:BH86" si="70">SUM(BC74:BC85)</f>
        <v>111018.70820791679</v>
      </c>
      <c r="BD86" s="373">
        <f t="shared" si="70"/>
        <v>221630.12346567423</v>
      </c>
      <c r="BE86" s="373">
        <f t="shared" si="70"/>
        <v>320916.07840868138</v>
      </c>
      <c r="BF86" s="373">
        <f t="shared" si="70"/>
        <v>339144.44956720551</v>
      </c>
      <c r="BG86" s="373">
        <f t="shared" si="70"/>
        <v>660958.3713862903</v>
      </c>
      <c r="BH86" s="373">
        <f t="shared" si="70"/>
        <v>1653667.7310357681</v>
      </c>
      <c r="BI86" s="373"/>
      <c r="BJ86" s="373">
        <f>SUM(BJ74:BJ85)</f>
        <v>0</v>
      </c>
      <c r="BK86" s="373">
        <f t="shared" si="34"/>
        <v>4433061.5070357677</v>
      </c>
      <c r="BL86" s="373"/>
      <c r="BM86" s="373">
        <f>SUM(BM74:BM85)</f>
        <v>2108046.7050000001</v>
      </c>
      <c r="BN86" s="373"/>
      <c r="BO86" s="373">
        <f t="shared" ref="BO86:BT86" si="71">SUM(BO74:BO85)</f>
        <v>130128.09000731217</v>
      </c>
      <c r="BP86" s="373">
        <f t="shared" si="71"/>
        <v>278358.09959162184</v>
      </c>
      <c r="BQ86" s="373">
        <f t="shared" si="71"/>
        <v>403057.0768872567</v>
      </c>
      <c r="BR86" s="373">
        <f t="shared" si="71"/>
        <v>531146.00998967153</v>
      </c>
      <c r="BS86" s="373">
        <f t="shared" si="71"/>
        <v>1017391.5341324999</v>
      </c>
      <c r="BT86" s="475">
        <f t="shared" si="71"/>
        <v>2360080.8106083623</v>
      </c>
      <c r="BU86" s="373"/>
      <c r="BV86" s="373">
        <f>SUM(BV74:BV85)</f>
        <v>3635209.53</v>
      </c>
      <c r="BW86" s="373">
        <f t="shared" si="48"/>
        <v>8103337.0456083622</v>
      </c>
      <c r="BX86" s="373"/>
      <c r="BY86" s="373"/>
      <c r="BZ86" s="373"/>
      <c r="CA86" s="373"/>
      <c r="CB86" s="373"/>
      <c r="CC86" s="373"/>
      <c r="CD86" s="373"/>
      <c r="CE86" s="373"/>
      <c r="CF86" s="373"/>
      <c r="CG86" s="373"/>
      <c r="CH86" s="373"/>
      <c r="CI86" s="373"/>
      <c r="CJ86" s="373"/>
      <c r="CK86" s="373"/>
      <c r="CL86" s="373"/>
      <c r="CM86" s="373"/>
      <c r="CN86" s="373"/>
      <c r="CO86" s="373"/>
      <c r="CP86" s="373"/>
      <c r="CQ86" s="373"/>
      <c r="CR86" s="373"/>
      <c r="CS86" s="373"/>
      <c r="CT86" s="373"/>
      <c r="CU86" s="373"/>
      <c r="CV86" s="373"/>
      <c r="CW86" s="373"/>
      <c r="CX86" s="373"/>
      <c r="CY86" s="373"/>
      <c r="DB86" s="409"/>
      <c r="DC86" s="373">
        <f>SUM(DC74:DC85)</f>
        <v>2032.5882104629031</v>
      </c>
      <c r="DE86" s="353"/>
      <c r="DF86" s="353"/>
      <c r="DG86" s="353"/>
      <c r="DH86" s="353"/>
      <c r="DI86" s="353"/>
      <c r="DJ86" s="353"/>
      <c r="DK86" s="353"/>
      <c r="DL86" s="353"/>
      <c r="DM86" s="353"/>
      <c r="DN86" s="353"/>
      <c r="DO86" s="353"/>
      <c r="DP86" s="353"/>
      <c r="DQ86" s="353"/>
      <c r="DR86" s="353"/>
      <c r="DS86" s="353"/>
      <c r="DT86" s="353"/>
      <c r="DU86" s="353"/>
      <c r="DV86" s="353"/>
      <c r="DW86" s="353"/>
      <c r="DX86" s="353"/>
      <c r="DY86" s="353"/>
      <c r="DZ86" s="353"/>
      <c r="EA86" s="353"/>
      <c r="EB86" s="353"/>
      <c r="EC86" s="353"/>
      <c r="ED86" s="353"/>
      <c r="EE86" s="353"/>
      <c r="EF86" s="353"/>
      <c r="EG86" s="353"/>
      <c r="EH86" s="353"/>
      <c r="EI86" s="353"/>
      <c r="EJ86" s="353"/>
      <c r="EK86" s="353"/>
      <c r="EL86" s="353"/>
      <c r="EM86" s="353"/>
      <c r="EN86" s="353"/>
      <c r="EO86" s="353"/>
      <c r="EP86" s="353"/>
      <c r="EQ86" s="353"/>
      <c r="ER86" s="353"/>
      <c r="ES86" s="353"/>
      <c r="ET86" s="353"/>
      <c r="EU86" s="353"/>
      <c r="EV86" s="353"/>
      <c r="EW86" s="353"/>
      <c r="EX86" s="353"/>
      <c r="EY86" s="353"/>
      <c r="EZ86" s="353"/>
      <c r="FA86" s="353"/>
      <c r="FB86" s="353"/>
      <c r="FC86" s="353"/>
      <c r="FD86" s="353"/>
      <c r="FE86" s="353"/>
      <c r="FF86" s="353"/>
      <c r="FG86" s="353"/>
      <c r="FH86" s="353"/>
      <c r="FI86" s="353"/>
      <c r="FJ86" s="353"/>
      <c r="FK86" s="353"/>
      <c r="FL86" s="353"/>
      <c r="FM86" s="353"/>
      <c r="FN86" s="353"/>
      <c r="FO86" s="353"/>
      <c r="FP86" s="353"/>
      <c r="FQ86" s="353"/>
    </row>
    <row r="87" spans="1:173" s="351" customFormat="1" ht="17.25" hidden="1" outlineLevel="1">
      <c r="G87" s="353"/>
      <c r="N87" s="393"/>
      <c r="O87" s="353"/>
      <c r="P87" s="374"/>
      <c r="Q87" s="374"/>
      <c r="R87" s="391"/>
      <c r="S87" s="374"/>
      <c r="T87" s="353"/>
      <c r="U87" s="353"/>
      <c r="V87" s="353"/>
      <c r="W87" s="353"/>
      <c r="X87" s="353"/>
      <c r="Y87" s="353"/>
      <c r="Z87" s="542"/>
      <c r="AA87" s="353"/>
      <c r="AB87" s="377"/>
      <c r="AC87" s="377"/>
      <c r="AF87" s="373"/>
      <c r="AG87" s="373"/>
      <c r="AH87" s="373"/>
      <c r="AI87" s="373"/>
      <c r="AJ87" s="373"/>
      <c r="AM87" s="384"/>
      <c r="AQ87" s="373"/>
      <c r="AR87" s="373"/>
      <c r="AS87" s="373"/>
      <c r="AT87" s="373"/>
      <c r="AU87" s="373"/>
      <c r="AV87" s="373"/>
      <c r="AW87" s="373"/>
      <c r="AY87" s="373"/>
      <c r="AZ87" s="384"/>
      <c r="BA87" s="384"/>
      <c r="BB87" s="384"/>
      <c r="BC87" s="384"/>
      <c r="BD87" s="384"/>
      <c r="BE87" s="384"/>
      <c r="BF87" s="384"/>
      <c r="BG87" s="384"/>
      <c r="BH87" s="384"/>
      <c r="BI87" s="384"/>
      <c r="BJ87" s="373"/>
      <c r="BK87" s="373"/>
      <c r="BM87" s="373"/>
      <c r="BN87" s="373"/>
      <c r="BO87" s="373"/>
      <c r="BP87" s="373"/>
      <c r="BQ87" s="373"/>
      <c r="BR87" s="373"/>
      <c r="BS87" s="373"/>
      <c r="BT87" s="475"/>
      <c r="BU87" s="373"/>
      <c r="BV87" s="373"/>
      <c r="BW87" s="373"/>
      <c r="BX87" s="373"/>
      <c r="BY87" s="373"/>
      <c r="BZ87" s="373"/>
      <c r="CA87" s="373"/>
      <c r="CB87" s="373"/>
      <c r="CC87" s="373"/>
      <c r="CD87" s="373"/>
      <c r="CE87" s="373"/>
      <c r="CF87" s="373"/>
      <c r="CG87" s="373"/>
      <c r="CH87" s="373"/>
      <c r="CI87" s="373"/>
      <c r="CJ87" s="373"/>
      <c r="CK87" s="373"/>
      <c r="CL87" s="373"/>
      <c r="CM87" s="373"/>
      <c r="CN87" s="373"/>
      <c r="CO87" s="373"/>
      <c r="CP87" s="373"/>
      <c r="CQ87" s="373"/>
      <c r="CR87" s="373"/>
      <c r="CS87" s="373"/>
      <c r="CT87" s="373"/>
      <c r="CU87" s="373"/>
      <c r="CV87" s="373"/>
      <c r="CW87" s="373"/>
      <c r="CX87" s="373"/>
      <c r="CY87" s="373"/>
      <c r="DB87" s="409"/>
      <c r="DE87" s="353"/>
      <c r="DF87" s="353"/>
      <c r="DG87" s="353"/>
      <c r="DH87" s="353"/>
      <c r="DI87" s="353"/>
      <c r="DJ87" s="353"/>
      <c r="DK87" s="353"/>
      <c r="DL87" s="353"/>
      <c r="DM87" s="353"/>
      <c r="DN87" s="353"/>
      <c r="DO87" s="353"/>
      <c r="DP87" s="353"/>
      <c r="DQ87" s="353"/>
      <c r="DR87" s="353"/>
      <c r="DS87" s="353"/>
      <c r="DT87" s="353"/>
      <c r="DU87" s="353"/>
      <c r="DV87" s="353"/>
      <c r="DW87" s="353"/>
      <c r="DX87" s="353"/>
      <c r="DY87" s="353"/>
      <c r="DZ87" s="353"/>
      <c r="EA87" s="353"/>
      <c r="EB87" s="353"/>
      <c r="EC87" s="353"/>
      <c r="ED87" s="353"/>
      <c r="EE87" s="353"/>
      <c r="EF87" s="353"/>
      <c r="EG87" s="353"/>
      <c r="EH87" s="353"/>
      <c r="EI87" s="353"/>
      <c r="EJ87" s="353"/>
      <c r="EK87" s="353"/>
      <c r="EL87" s="353"/>
      <c r="EM87" s="353"/>
      <c r="EN87" s="353"/>
      <c r="EO87" s="353"/>
      <c r="EP87" s="353"/>
      <c r="EQ87" s="353"/>
      <c r="ER87" s="353"/>
      <c r="ES87" s="353"/>
      <c r="ET87" s="353"/>
      <c r="EU87" s="353"/>
      <c r="EV87" s="353"/>
      <c r="EW87" s="353"/>
      <c r="EX87" s="353"/>
      <c r="EY87" s="353"/>
      <c r="EZ87" s="353"/>
      <c r="FA87" s="353"/>
      <c r="FB87" s="353"/>
      <c r="FC87" s="353"/>
      <c r="FD87" s="353"/>
      <c r="FE87" s="353"/>
      <c r="FF87" s="353"/>
      <c r="FG87" s="353"/>
      <c r="FH87" s="353"/>
      <c r="FI87" s="353"/>
      <c r="FJ87" s="353"/>
      <c r="FK87" s="353"/>
      <c r="FL87" s="353"/>
      <c r="FM87" s="353"/>
      <c r="FN87" s="353"/>
      <c r="FO87" s="353"/>
      <c r="FP87" s="353"/>
      <c r="FQ87" s="353"/>
    </row>
    <row r="88" spans="1:173" s="351" customFormat="1" ht="30" hidden="1" outlineLevel="1">
      <c r="G88" s="353"/>
      <c r="O88" s="353"/>
      <c r="R88" s="374"/>
      <c r="T88" s="353"/>
      <c r="U88" s="353"/>
      <c r="V88" s="353"/>
      <c r="W88" s="353"/>
      <c r="X88" s="353"/>
      <c r="Y88" s="353"/>
      <c r="Z88" s="542"/>
      <c r="AA88" s="353"/>
      <c r="AB88" s="377"/>
      <c r="AC88" s="377"/>
      <c r="AF88" s="373"/>
      <c r="AG88" s="373"/>
      <c r="AH88" s="373"/>
      <c r="AI88" s="373"/>
      <c r="AJ88" s="373"/>
      <c r="AM88" s="384"/>
      <c r="AQ88" s="373"/>
      <c r="AR88" s="373"/>
      <c r="AS88" s="373"/>
      <c r="AT88" s="373"/>
      <c r="AU88" s="373"/>
      <c r="AV88" s="373"/>
      <c r="AW88" s="373"/>
      <c r="AY88" s="373"/>
      <c r="AZ88" s="384"/>
      <c r="BA88" s="384"/>
      <c r="BB88" s="384"/>
      <c r="BC88" s="384"/>
      <c r="BD88" s="384"/>
      <c r="BE88" s="384"/>
      <c r="BF88" s="384"/>
      <c r="BG88" s="384"/>
      <c r="BH88" s="384"/>
      <c r="BI88" s="384"/>
      <c r="BK88" s="373"/>
      <c r="BM88" s="384"/>
      <c r="BN88" s="384"/>
      <c r="BO88" s="384"/>
      <c r="BP88" s="384"/>
      <c r="BQ88" s="384"/>
      <c r="BR88" s="384"/>
      <c r="BS88" s="384"/>
      <c r="BT88" s="446"/>
      <c r="BU88" s="384"/>
      <c r="CY88" s="410" t="s">
        <v>49</v>
      </c>
      <c r="CZ88" s="373">
        <f>+CZ85+DC86</f>
        <v>1257884.5924572947</v>
      </c>
      <c r="DB88" s="409"/>
      <c r="DE88" s="353"/>
      <c r="DF88" s="353"/>
      <c r="DG88" s="353"/>
      <c r="DH88" s="353"/>
      <c r="DI88" s="353"/>
      <c r="DJ88" s="353"/>
      <c r="DK88" s="353"/>
      <c r="DL88" s="353"/>
      <c r="DM88" s="353"/>
      <c r="DN88" s="353"/>
      <c r="DO88" s="353"/>
      <c r="DP88" s="353"/>
      <c r="DQ88" s="353"/>
      <c r="DR88" s="353"/>
      <c r="DS88" s="353"/>
      <c r="DT88" s="353"/>
      <c r="DU88" s="353"/>
      <c r="DV88" s="353"/>
      <c r="DW88" s="353"/>
      <c r="DX88" s="353"/>
      <c r="DY88" s="353"/>
      <c r="DZ88" s="353"/>
      <c r="EA88" s="353"/>
      <c r="EB88" s="353"/>
      <c r="EC88" s="353"/>
      <c r="ED88" s="353"/>
      <c r="EE88" s="353"/>
      <c r="EF88" s="353"/>
      <c r="EG88" s="353"/>
      <c r="EH88" s="353"/>
      <c r="EI88" s="353"/>
      <c r="EJ88" s="353"/>
      <c r="EK88" s="353"/>
      <c r="EL88" s="353"/>
      <c r="EM88" s="353"/>
      <c r="EN88" s="353"/>
      <c r="EO88" s="353"/>
      <c r="EP88" s="353"/>
      <c r="EQ88" s="353"/>
      <c r="ER88" s="353"/>
      <c r="ES88" s="353"/>
      <c r="ET88" s="353"/>
      <c r="EU88" s="353"/>
      <c r="EV88" s="353"/>
      <c r="EW88" s="353"/>
      <c r="EX88" s="353"/>
      <c r="EY88" s="353"/>
      <c r="EZ88" s="353"/>
      <c r="FA88" s="353"/>
      <c r="FB88" s="353"/>
      <c r="FC88" s="353"/>
      <c r="FD88" s="353"/>
      <c r="FE88" s="353"/>
      <c r="FF88" s="353"/>
      <c r="FG88" s="353"/>
      <c r="FH88" s="353"/>
      <c r="FI88" s="353"/>
      <c r="FJ88" s="353"/>
      <c r="FK88" s="353"/>
      <c r="FL88" s="353"/>
      <c r="FM88" s="353"/>
      <c r="FN88" s="353"/>
      <c r="FO88" s="353"/>
      <c r="FP88" s="353"/>
      <c r="FQ88" s="353"/>
    </row>
    <row r="89" spans="1:173" s="351" customFormat="1" hidden="1" outlineLevel="1">
      <c r="A89" s="430" t="s">
        <v>50</v>
      </c>
      <c r="B89" s="430">
        <v>2014</v>
      </c>
      <c r="C89" s="411" t="s">
        <v>47</v>
      </c>
      <c r="D89" s="412">
        <f>'E3 - Invest Amort deferred tax'!AN67-'E3 - Financing upfront'!H66+'E3 - Financing upfront'!Q66</f>
        <v>329113.81062500481</v>
      </c>
      <c r="E89" s="412">
        <f>'E3 - Invest Amort deferred tax'!AN67</f>
        <v>329114.08062500507</v>
      </c>
      <c r="F89" s="413">
        <f>'E3 - Invest Amort deferred tax'!BT67</f>
        <v>-134443.10193531078</v>
      </c>
      <c r="G89" s="414"/>
      <c r="H89" s="412">
        <f>'RGGI - Invest Amort deferred'!AI50</f>
        <v>3529860.8083333299</v>
      </c>
      <c r="I89" s="412">
        <f>'RGGI - Invest Amort deferred'!AI50</f>
        <v>3529860.8083333299</v>
      </c>
      <c r="J89" s="413">
        <f>'RGGI - Invest Amort deferred'!BL50</f>
        <v>-1441948.1402041665</v>
      </c>
      <c r="K89" s="413"/>
      <c r="L89" s="414">
        <f>'RGGI II Invest Amort Def'!AI38</f>
        <v>8339727.5039999997</v>
      </c>
      <c r="M89" s="414">
        <f>'RGGI II Invest Amort Def'!AI38</f>
        <v>8339727.5039999997</v>
      </c>
      <c r="N89" s="413">
        <f>'RGGI II Invest Amort Def'!BK38</f>
        <v>-3406778.6853840025</v>
      </c>
      <c r="O89" s="414"/>
      <c r="P89" s="425">
        <f>'2013 program Invest Amort Def'!AY20</f>
        <v>13359963.690166667</v>
      </c>
      <c r="Q89" s="425">
        <f>'2013 program Invest Amort Def'!AY20</f>
        <v>13359963.690166667</v>
      </c>
      <c r="R89" s="425">
        <f>'2013 program Invest Amort Def'!CQ20</f>
        <v>-3657024.7588235</v>
      </c>
      <c r="S89" s="373">
        <f t="shared" ref="S89:S100" si="72">+P89+R89</f>
        <v>9702938.931343168</v>
      </c>
      <c r="T89" s="414"/>
      <c r="U89" s="414"/>
      <c r="V89" s="414"/>
      <c r="W89" s="414"/>
      <c r="X89" s="414"/>
      <c r="Y89" s="414"/>
      <c r="Z89" s="547">
        <v>28392384</v>
      </c>
      <c r="AA89" s="548">
        <v>3.0599999999999999E-2</v>
      </c>
      <c r="AB89" s="439">
        <f>+Z89*AA89</f>
        <v>868806.95039999997</v>
      </c>
      <c r="AC89" s="415"/>
      <c r="AD89" s="415">
        <f>'E3 - Invest Amort deferred tax'!AL67</f>
        <v>155544.58666666667</v>
      </c>
      <c r="AE89" s="412"/>
      <c r="AF89" s="416">
        <f>(D89+F89)*'Capital Structure '!$F$21/12</f>
        <v>402.29770316244179</v>
      </c>
      <c r="AG89" s="416">
        <f>(D89+F89)*'Capital Structure '!$E$34/12</f>
        <v>591.31414462364694</v>
      </c>
      <c r="AH89" s="416">
        <f>(D89+F89)*'Capital Structure '!$F$18/12</f>
        <v>856.21130121147417</v>
      </c>
      <c r="AI89" s="415">
        <f>SUM(AF89:AH89)</f>
        <v>1849.8231489975628</v>
      </c>
      <c r="AJ89" s="412"/>
      <c r="AK89" s="415">
        <v>0</v>
      </c>
      <c r="AL89" s="415">
        <v>0</v>
      </c>
      <c r="AM89" s="412">
        <f>AD89+AI89+AK89+AL89</f>
        <v>157394.40981566423</v>
      </c>
      <c r="AN89" s="419"/>
      <c r="AO89" s="372">
        <f>'RGGI - Invest Amort deferred'!AG50</f>
        <v>159988.28666666665</v>
      </c>
      <c r="AP89" s="412"/>
      <c r="AQ89" s="412">
        <f>(H89+J89)*'Capital Structure '!$F$21/12</f>
        <v>4314.7861146950045</v>
      </c>
      <c r="AR89" s="412">
        <f>(H89+J89)*'Capital Structure '!$E$34/12</f>
        <v>6342.05475345369</v>
      </c>
      <c r="AS89" s="412">
        <f>(H89+J89)*'Capital Structure '!$F$18/12</f>
        <v>9183.1710811942667</v>
      </c>
      <c r="AT89" s="412">
        <f>'RGGI - On-bill financing'!J50*'Capital Structure '!$E$34/12</f>
        <v>8841.7417776185339</v>
      </c>
      <c r="AU89" s="412">
        <f>'RGGI - On-bill financing'!J50*('Capital Structure '!$F$18+'Capital Structure '!$F$21)/12</f>
        <v>18818.104966124582</v>
      </c>
      <c r="AV89" s="415">
        <f>SUM(AQ89:AU89)</f>
        <v>47499.858693086077</v>
      </c>
      <c r="AW89" s="412"/>
      <c r="AX89" s="415">
        <v>0</v>
      </c>
      <c r="AY89" s="373">
        <f t="shared" si="58"/>
        <v>207488.14535975273</v>
      </c>
      <c r="AZ89" s="412"/>
      <c r="BA89" s="412">
        <f>'RGGI II Invest Amort Def'!AG38</f>
        <v>231616.14799999999</v>
      </c>
      <c r="BB89" s="412"/>
      <c r="BC89" s="412">
        <f>(L89+N89)*'Capital Structure '!$H$21/12</f>
        <v>7505.7077210117595</v>
      </c>
      <c r="BD89" s="412">
        <f>(L89+N89)*'Capital Structure '!$H$34/12</f>
        <v>14983.879345719828</v>
      </c>
      <c r="BE89" s="412">
        <f>(L89+N89)*'Capital Structure '!$H$18/12</f>
        <v>21696.363850656744</v>
      </c>
      <c r="BF89" s="412">
        <f>'RGGI II On Bill Fin''g'!L38*'Capital Structure '!$H$34/12</f>
        <v>26291.99477596788</v>
      </c>
      <c r="BG89" s="412">
        <f>'RGGI II On Bill Fin''g'!L38*('Capital Structure '!$H$18+'Capital Structure '!$H$21)/12</f>
        <v>51240.449518773406</v>
      </c>
      <c r="BH89" s="415">
        <f>SUM(BC89:BG89)</f>
        <v>121718.3952121296</v>
      </c>
      <c r="BI89" s="412"/>
      <c r="BJ89" s="419"/>
      <c r="BK89" s="373">
        <f t="shared" si="34"/>
        <v>353334.54321212962</v>
      </c>
      <c r="BL89" s="412"/>
      <c r="BM89" s="412">
        <f>'2013 program Invest Amort Def'!AW20</f>
        <v>264213.81033333327</v>
      </c>
      <c r="BN89" s="412"/>
      <c r="BO89" s="412">
        <f>(S89)*'Capital Structure '!$J$21/12</f>
        <v>13616.45763365158</v>
      </c>
      <c r="BP89" s="412">
        <f>(S89)*'Capital Structure '!$J$34/12</f>
        <v>29127.079863080318</v>
      </c>
      <c r="BQ89" s="412">
        <f>(S89)*'Capital Structure '!$J$18/12</f>
        <v>42175.441221571637</v>
      </c>
      <c r="BR89" s="412">
        <f>('2013 program 10 yr On Bill Fin'!M20+'2013 program 5 yr On Bill Fin'!L18+'2013 program 2 yr On Bill Fin'!M8)*'Capital Structure '!$J$34/12</f>
        <v>68741.692321454364</v>
      </c>
      <c r="BS89" s="412">
        <f>('2013 program 10 yr On Bill Fin'!M20+'2013 program 5 yr On Bill Fin'!L18+'2013 program 2 yr On Bill Fin'!M8)*('Capital Structure '!$J$18+'Capital Structure '!$J$21)/12</f>
        <v>131672.29819</v>
      </c>
      <c r="BT89" s="544">
        <f>SUM(BO89:BS89)</f>
        <v>285332.9692297579</v>
      </c>
      <c r="BU89" s="412"/>
      <c r="BV89" s="425">
        <v>216654.52000000002</v>
      </c>
      <c r="BW89" s="425">
        <f t="shared" si="48"/>
        <v>766201.29956309125</v>
      </c>
      <c r="BX89" s="412"/>
      <c r="BY89" s="412"/>
      <c r="BZ89" s="412"/>
      <c r="CA89" s="412"/>
      <c r="CB89" s="412"/>
      <c r="CC89" s="412"/>
      <c r="CD89" s="412"/>
      <c r="CE89" s="412"/>
      <c r="CF89" s="412"/>
      <c r="CG89" s="412"/>
      <c r="CH89" s="412"/>
      <c r="CI89" s="412"/>
      <c r="CJ89" s="412"/>
      <c r="CK89" s="412"/>
      <c r="CL89" s="412"/>
      <c r="CM89" s="412"/>
      <c r="CN89" s="412"/>
      <c r="CO89" s="412"/>
      <c r="CP89" s="412"/>
      <c r="CQ89" s="412"/>
      <c r="CR89" s="412"/>
      <c r="CS89" s="412"/>
      <c r="CT89" s="412"/>
      <c r="CU89" s="412"/>
      <c r="CV89" s="412"/>
      <c r="CW89" s="412"/>
      <c r="CX89" s="412"/>
      <c r="CY89" s="412">
        <f t="shared" ref="CY89:CY98" si="73">+BW89+BK89+AY89+AM89-AB89</f>
        <v>615611.44755063788</v>
      </c>
      <c r="CZ89" s="412">
        <f>+CZ88+CY89</f>
        <v>1873496.0400079326</v>
      </c>
      <c r="DA89" s="412">
        <f>(CZ88+CZ89)/2*(1-0.4085)</f>
        <v>926105.82205159112</v>
      </c>
      <c r="DB89" s="417">
        <v>1.2999999999999999E-3</v>
      </c>
      <c r="DC89" s="418">
        <f>(DA89)*DB89/12</f>
        <v>100.32813072225571</v>
      </c>
      <c r="DD89" s="419"/>
      <c r="DE89" s="420">
        <f t="shared" ref="DE89:DE100" si="74">(BO89+BQ89)/(S89)*12</f>
        <v>6.9000000000000006E-2</v>
      </c>
      <c r="DF89" s="420">
        <f t="shared" ref="DF89:DF100" si="75">(BO89+BP89+BQ89)/(S89)*12</f>
        <v>0.10502258664412509</v>
      </c>
      <c r="DG89" s="353"/>
      <c r="DH89" s="353"/>
      <c r="DI89" s="394"/>
      <c r="DJ89" s="353"/>
      <c r="DK89" s="353"/>
      <c r="DL89" s="353"/>
      <c r="DM89" s="353"/>
      <c r="DN89" s="353"/>
      <c r="DO89" s="353"/>
      <c r="DP89" s="353"/>
      <c r="DQ89" s="353"/>
      <c r="DR89" s="353"/>
      <c r="DS89" s="353"/>
      <c r="DT89" s="353"/>
      <c r="DU89" s="353"/>
      <c r="DV89" s="353"/>
      <c r="DW89" s="353"/>
      <c r="DX89" s="353"/>
      <c r="DY89" s="353"/>
      <c r="DZ89" s="353"/>
      <c r="EA89" s="353"/>
      <c r="EB89" s="353"/>
      <c r="EC89" s="353"/>
      <c r="ED89" s="353"/>
      <c r="EE89" s="353"/>
      <c r="EF89" s="353"/>
      <c r="EG89" s="353"/>
      <c r="EH89" s="353"/>
      <c r="EI89" s="353"/>
      <c r="EJ89" s="353"/>
      <c r="EK89" s="353"/>
      <c r="EL89" s="353"/>
      <c r="EM89" s="353"/>
      <c r="EN89" s="353"/>
      <c r="EO89" s="353"/>
      <c r="EP89" s="353"/>
      <c r="EQ89" s="353"/>
      <c r="ER89" s="353"/>
      <c r="ES89" s="353"/>
      <c r="ET89" s="353"/>
      <c r="EU89" s="353"/>
      <c r="EV89" s="353"/>
      <c r="EW89" s="353"/>
      <c r="EX89" s="353"/>
      <c r="EY89" s="353"/>
      <c r="EZ89" s="353"/>
      <c r="FA89" s="353"/>
      <c r="FB89" s="353"/>
      <c r="FC89" s="353"/>
      <c r="FD89" s="353"/>
      <c r="FE89" s="353"/>
      <c r="FF89" s="353"/>
      <c r="FG89" s="353"/>
      <c r="FH89" s="353"/>
      <c r="FI89" s="353"/>
      <c r="FJ89" s="353"/>
      <c r="FK89" s="353"/>
      <c r="FL89" s="353"/>
      <c r="FM89" s="353"/>
      <c r="FN89" s="353"/>
      <c r="FO89" s="353"/>
      <c r="FP89" s="353"/>
      <c r="FQ89" s="353"/>
    </row>
    <row r="90" spans="1:173" s="351" customFormat="1" hidden="1" outlineLevel="1">
      <c r="A90" s="430" t="s">
        <v>51</v>
      </c>
      <c r="B90" s="430">
        <v>2014</v>
      </c>
      <c r="C90" s="411" t="s">
        <v>47</v>
      </c>
      <c r="D90" s="412">
        <f>'E3 - Invest Amort deferred tax'!AN68-'E3 - Financing upfront'!H67+'E3 - Financing upfront'!Q67</f>
        <v>209527.82375000534</v>
      </c>
      <c r="E90" s="412">
        <f>'E3 - Invest Amort deferred tax'!AN68</f>
        <v>209528.09375000559</v>
      </c>
      <c r="F90" s="413">
        <f>'E3 - Invest Amort deferred tax'!BT68</f>
        <v>-85592.226296873283</v>
      </c>
      <c r="G90" s="414"/>
      <c r="H90" s="412">
        <f>'RGGI - Invest Amort deferred'!AI51</f>
        <v>3369872.5216666628</v>
      </c>
      <c r="I90" s="412">
        <f>'RGGI - Invest Amort deferred'!AI51</f>
        <v>3369872.5216666628</v>
      </c>
      <c r="J90" s="413">
        <f>'RGGI - Invest Amort deferred'!BL51</f>
        <v>-1376592.9251008332</v>
      </c>
      <c r="K90" s="413"/>
      <c r="L90" s="414">
        <f>'RGGI II Invest Amort Def'!AI39</f>
        <v>8108111.3559999997</v>
      </c>
      <c r="M90" s="414">
        <f>'RGGI II Invest Amort Def'!AI39</f>
        <v>8108111.3559999997</v>
      </c>
      <c r="N90" s="413">
        <f>'RGGI II Invest Amort Def'!BK39</f>
        <v>-3312163.4889260028</v>
      </c>
      <c r="O90" s="414"/>
      <c r="P90" s="425">
        <f>'2013 program Invest Amort Def'!AY21</f>
        <v>13791458.213166667</v>
      </c>
      <c r="Q90" s="425">
        <f>'2013 program Invest Amort Def'!AY21</f>
        <v>13791458.213166667</v>
      </c>
      <c r="R90" s="425">
        <f>'2013 program Invest Amort Def'!CQ21</f>
        <v>-3897561.8487502499</v>
      </c>
      <c r="S90" s="373">
        <f t="shared" si="72"/>
        <v>9893896.3644164167</v>
      </c>
      <c r="T90" s="414"/>
      <c r="U90" s="414"/>
      <c r="V90" s="414"/>
      <c r="W90" s="414"/>
      <c r="X90" s="414"/>
      <c r="Y90" s="414"/>
      <c r="Z90" s="547">
        <v>74089180</v>
      </c>
      <c r="AA90" s="548">
        <v>3.0599999999999999E-2</v>
      </c>
      <c r="AB90" s="439">
        <f t="shared" ref="AB90:AB100" si="76">+Z90*AA90</f>
        <v>2267128.9079999998</v>
      </c>
      <c r="AC90" s="415"/>
      <c r="AD90" s="415">
        <f>'E3 - Invest Amort deferred tax'!AL68</f>
        <v>119585.986875</v>
      </c>
      <c r="AE90" s="412"/>
      <c r="AF90" s="416">
        <f>(D90+F90)*'Capital Structure '!$F$21/12</f>
        <v>256.11971380314577</v>
      </c>
      <c r="AG90" s="416">
        <f>(D90+F90)*'Capital Structure '!$E$34/12</f>
        <v>376.45556586140464</v>
      </c>
      <c r="AH90" s="416">
        <f>(D90+F90)*'Capital Structure '!$F$18/12</f>
        <v>545.10028692049161</v>
      </c>
      <c r="AI90" s="415">
        <f t="shared" ref="AI90:AI96" si="77">SUM(AF90:AH90)</f>
        <v>1177.6755665850419</v>
      </c>
      <c r="AJ90" s="412"/>
      <c r="AK90" s="415">
        <v>0</v>
      </c>
      <c r="AL90" s="415">
        <v>0</v>
      </c>
      <c r="AM90" s="412">
        <f t="shared" ref="AM90:AM96" si="78">AD90+AI90+AK90+AL90</f>
        <v>120763.66244158504</v>
      </c>
      <c r="AN90" s="419"/>
      <c r="AO90" s="372">
        <f>'RGGI - Invest Amort deferred'!AG51</f>
        <v>159988.28666666665</v>
      </c>
      <c r="AP90" s="412"/>
      <c r="AQ90" s="412">
        <f>(H90+J90)*'Capital Structure '!$F$21/12</f>
        <v>4119.2216787848183</v>
      </c>
      <c r="AR90" s="412">
        <f>(H90+J90)*'Capital Structure '!$E$34/12</f>
        <v>6054.6058910068068</v>
      </c>
      <c r="AS90" s="412">
        <f>(H90+J90)*'Capital Structure '!$F$18/12</f>
        <v>8766.9507577246677</v>
      </c>
      <c r="AT90" s="412">
        <f>'RGGI - On-bill financing'!J51*'Capital Structure '!$E$34/12</f>
        <v>8743.1903560833725</v>
      </c>
      <c r="AU90" s="412">
        <f>'RGGI - On-bill financing'!J51*('Capital Structure '!$F$18+'Capital Structure '!$F$21)/12</f>
        <v>18608.355457299978</v>
      </c>
      <c r="AV90" s="415">
        <f t="shared" ref="AV90:AV100" si="79">SUM(AQ90:AU90)</f>
        <v>46292.324140899647</v>
      </c>
      <c r="AW90" s="412"/>
      <c r="AX90" s="415">
        <v>0</v>
      </c>
      <c r="AY90" s="373">
        <f t="shared" si="58"/>
        <v>206280.61080756629</v>
      </c>
      <c r="AZ90" s="412"/>
      <c r="BA90" s="412">
        <f>'RGGI II Invest Amort Def'!AG39</f>
        <v>231616.14799999999</v>
      </c>
      <c r="BB90" s="412"/>
      <c r="BC90" s="412">
        <f>(L90+N90)*'Capital Structure '!$H$21/12</f>
        <v>7297.2544940303269</v>
      </c>
      <c r="BD90" s="412">
        <f>(L90+N90)*'Capital Structure '!$H$34/12</f>
        <v>14567.73764151093</v>
      </c>
      <c r="BE90" s="412">
        <f>(L90+N90)*'Capital Structure '!$H$18/12</f>
        <v>21093.798812616194</v>
      </c>
      <c r="BF90" s="412">
        <f>'RGGI II On Bill Fin''g'!L39*'Capital Structure '!$H$34/12</f>
        <v>26072.521069640166</v>
      </c>
      <c r="BG90" s="412">
        <f>'RGGI II On Bill Fin''g'!L39*('Capital Structure '!$H$18+'Capital Structure '!$H$21)/12</f>
        <v>50812.717371950428</v>
      </c>
      <c r="BH90" s="415">
        <f t="shared" ref="BH90:BH100" si="80">SUM(BC90:BG90)</f>
        <v>119844.02938974806</v>
      </c>
      <c r="BI90" s="412"/>
      <c r="BJ90" s="419"/>
      <c r="BK90" s="373">
        <f t="shared" si="34"/>
        <v>351460.17738974805</v>
      </c>
      <c r="BL90" s="412"/>
      <c r="BM90" s="412">
        <f>'2013 program Invest Amort Def'!AW21</f>
        <v>276005.47699999996</v>
      </c>
      <c r="BN90" s="412"/>
      <c r="BO90" s="412">
        <f>(S90)*'Capital Structure '!$J$21/12</f>
        <v>13884.434564731038</v>
      </c>
      <c r="BP90" s="412">
        <f>(S90)*'Capital Structure '!$J$34/12</f>
        <v>29700.31158626539</v>
      </c>
      <c r="BQ90" s="412">
        <f>(S90)*'Capital Structure '!$J$18/12</f>
        <v>43005.469530663358</v>
      </c>
      <c r="BR90" s="412">
        <f>('2013 program 10 yr On Bill Fin'!M21+'2013 program 5 yr On Bill Fin'!L19+'2013 program 2 yr On Bill Fin'!M9)*'Capital Structure '!$J$34/12</f>
        <v>72374.303407241459</v>
      </c>
      <c r="BS90" s="412">
        <f>('2013 program 10 yr On Bill Fin'!M21+'2013 program 5 yr On Bill Fin'!L19+'2013 program 2 yr On Bill Fin'!M9)*('Capital Structure '!$J$18+'Capital Structure '!$J$21)/12</f>
        <v>138630.43718750001</v>
      </c>
      <c r="BT90" s="544">
        <f t="shared" ref="BT90:BT100" si="81">SUM(BO90:BS90)</f>
        <v>297594.95627640124</v>
      </c>
      <c r="BU90" s="412"/>
      <c r="BV90" s="425">
        <v>268217.95999999996</v>
      </c>
      <c r="BW90" s="425">
        <f t="shared" si="48"/>
        <v>841818.3932764011</v>
      </c>
      <c r="BX90" s="412"/>
      <c r="BY90" s="412"/>
      <c r="BZ90" s="412"/>
      <c r="CA90" s="412"/>
      <c r="CB90" s="412"/>
      <c r="CC90" s="412"/>
      <c r="CD90" s="412"/>
      <c r="CE90" s="412"/>
      <c r="CF90" s="412"/>
      <c r="CG90" s="412"/>
      <c r="CH90" s="412"/>
      <c r="CI90" s="412"/>
      <c r="CJ90" s="412"/>
      <c r="CK90" s="412"/>
      <c r="CL90" s="412"/>
      <c r="CM90" s="412"/>
      <c r="CN90" s="412"/>
      <c r="CO90" s="412"/>
      <c r="CP90" s="412"/>
      <c r="CQ90" s="412"/>
      <c r="CR90" s="412"/>
      <c r="CS90" s="412"/>
      <c r="CT90" s="412"/>
      <c r="CU90" s="412"/>
      <c r="CV90" s="412"/>
      <c r="CW90" s="412"/>
      <c r="CX90" s="412"/>
      <c r="CY90" s="412">
        <f t="shared" si="73"/>
        <v>-746806.06408469938</v>
      </c>
      <c r="CZ90" s="412">
        <f t="shared" ref="CZ90:CZ100" si="82">+CZ89+CY90</f>
        <v>1126689.9759232332</v>
      </c>
      <c r="DA90" s="412">
        <f t="shared" ref="DA90:DA100" si="83">(CZ89+CZ90)/2*(1-0.4085)</f>
        <v>887305.01421164232</v>
      </c>
      <c r="DB90" s="417">
        <v>1.4E-3</v>
      </c>
      <c r="DC90" s="418">
        <f>(DA90)*DB90/12</f>
        <v>103.5189183246916</v>
      </c>
      <c r="DD90" s="419"/>
      <c r="DE90" s="420">
        <f t="shared" si="74"/>
        <v>6.9000000000000006E-2</v>
      </c>
      <c r="DF90" s="420">
        <f t="shared" si="75"/>
        <v>0.10502258664412509</v>
      </c>
      <c r="DG90" s="353"/>
      <c r="DH90" s="353"/>
      <c r="DI90" s="394"/>
      <c r="DJ90" s="353"/>
      <c r="DK90" s="353"/>
      <c r="DL90" s="353"/>
      <c r="DM90" s="353"/>
      <c r="DN90" s="353"/>
      <c r="DO90" s="353"/>
      <c r="DP90" s="353"/>
      <c r="DQ90" s="353"/>
      <c r="DR90" s="353"/>
      <c r="DS90" s="353"/>
      <c r="DT90" s="353"/>
      <c r="DU90" s="353"/>
      <c r="DV90" s="353"/>
      <c r="DW90" s="353"/>
      <c r="DX90" s="353"/>
      <c r="DY90" s="353"/>
      <c r="DZ90" s="353"/>
      <c r="EA90" s="353"/>
      <c r="EB90" s="353"/>
      <c r="EC90" s="353"/>
      <c r="ED90" s="353"/>
      <c r="EE90" s="353"/>
      <c r="EF90" s="353"/>
      <c r="EG90" s="353"/>
      <c r="EH90" s="353"/>
      <c r="EI90" s="353"/>
      <c r="EJ90" s="353"/>
      <c r="EK90" s="353"/>
      <c r="EL90" s="353"/>
      <c r="EM90" s="353"/>
      <c r="EN90" s="353"/>
      <c r="EO90" s="353"/>
      <c r="EP90" s="353"/>
      <c r="EQ90" s="353"/>
      <c r="ER90" s="353"/>
      <c r="ES90" s="353"/>
      <c r="ET90" s="353"/>
      <c r="EU90" s="353"/>
      <c r="EV90" s="353"/>
      <c r="EW90" s="353"/>
      <c r="EX90" s="353"/>
      <c r="EY90" s="353"/>
      <c r="EZ90" s="353"/>
      <c r="FA90" s="353"/>
      <c r="FB90" s="353"/>
      <c r="FC90" s="353"/>
      <c r="FD90" s="353"/>
      <c r="FE90" s="353"/>
      <c r="FF90" s="353"/>
      <c r="FG90" s="353"/>
      <c r="FH90" s="353"/>
      <c r="FI90" s="353"/>
      <c r="FJ90" s="353"/>
      <c r="FK90" s="353"/>
      <c r="FL90" s="353"/>
      <c r="FM90" s="353"/>
      <c r="FN90" s="353"/>
      <c r="FO90" s="353"/>
      <c r="FP90" s="353"/>
      <c r="FQ90" s="353"/>
    </row>
    <row r="91" spans="1:173" s="351" customFormat="1" hidden="1" outlineLevel="1">
      <c r="A91" s="430" t="s">
        <v>52</v>
      </c>
      <c r="B91" s="430">
        <v>2014</v>
      </c>
      <c r="C91" s="411" t="s">
        <v>47</v>
      </c>
      <c r="D91" s="412">
        <f>'E3 - Invest Amort deferred tax'!AN69-'E3 - Financing upfront'!H68+'E3 - Financing upfront'!Q68</f>
        <v>124670.9635416728</v>
      </c>
      <c r="E91" s="412">
        <f>'E3 - Invest Amort deferred tax'!AN69</f>
        <v>124671.23354167305</v>
      </c>
      <c r="F91" s="413">
        <f>'E3 - Invest Amort deferred tax'!BT69</f>
        <v>-50928.198901769123</v>
      </c>
      <c r="G91" s="414"/>
      <c r="H91" s="412">
        <f>'RGGI - Invest Amort deferred'!AI52</f>
        <v>3209884.2349999957</v>
      </c>
      <c r="I91" s="412">
        <f>'RGGI - Invest Amort deferred'!AI52</f>
        <v>3209884.2349999957</v>
      </c>
      <c r="J91" s="413">
        <f>'RGGI - Invest Amort deferred'!BL52</f>
        <v>-1311237.7099974998</v>
      </c>
      <c r="K91" s="413"/>
      <c r="L91" s="414">
        <f>'RGGI II Invest Amort Def'!AI40</f>
        <v>7876495.2079999996</v>
      </c>
      <c r="M91" s="414">
        <f>'RGGI II Invest Amort Def'!AI40</f>
        <v>7876495.2079999996</v>
      </c>
      <c r="N91" s="413">
        <f>'RGGI II Invest Amort Def'!BK40</f>
        <v>-3217548.292468003</v>
      </c>
      <c r="O91" s="414"/>
      <c r="P91" s="425">
        <f>'2013 program Invest Amort Def'!AY22</f>
        <v>14312493.569500001</v>
      </c>
      <c r="Q91" s="425">
        <f>'2013 program Invest Amort Def'!AY22</f>
        <v>14312493.569500001</v>
      </c>
      <c r="R91" s="425">
        <f>'2013 program Invest Amort Def'!CQ22</f>
        <v>-4118752.0382603332</v>
      </c>
      <c r="S91" s="373">
        <f>+P91+R91</f>
        <v>10193741.531239668</v>
      </c>
      <c r="T91" s="414"/>
      <c r="U91" s="414"/>
      <c r="V91" s="414"/>
      <c r="W91" s="414"/>
      <c r="X91" s="414"/>
      <c r="Y91" s="414"/>
      <c r="Z91" s="547">
        <v>98387044</v>
      </c>
      <c r="AA91" s="548">
        <v>3.0599999999999999E-2</v>
      </c>
      <c r="AB91" s="439">
        <f t="shared" si="76"/>
        <v>3010643.5463999999</v>
      </c>
      <c r="AC91" s="415"/>
      <c r="AD91" s="415">
        <f>'E3 - Invest Amort deferred tax'!AL69</f>
        <v>84856.860208333324</v>
      </c>
      <c r="AE91" s="412"/>
      <c r="AF91" s="416">
        <f>(D91+F91)*'Capital Structure '!$F$21/12</f>
        <v>152.39347017927787</v>
      </c>
      <c r="AG91" s="416">
        <f>(D91+F91)*'Capital Structure '!$E$34/12</f>
        <v>223.99435481962698</v>
      </c>
      <c r="AH91" s="416">
        <f>(D91+F91)*'Capital Structure '!$F$18/12</f>
        <v>324.33943910846841</v>
      </c>
      <c r="AI91" s="415">
        <f t="shared" si="77"/>
        <v>700.72726410737323</v>
      </c>
      <c r="AJ91" s="412"/>
      <c r="AK91" s="415">
        <v>0</v>
      </c>
      <c r="AL91" s="415">
        <v>0</v>
      </c>
      <c r="AM91" s="412">
        <f t="shared" si="78"/>
        <v>85557.587472440704</v>
      </c>
      <c r="AN91" s="419"/>
      <c r="AO91" s="372">
        <f>'RGGI - Invest Amort deferred'!AG52+'RGGI CHP'!V7</f>
        <v>172488.28666666665</v>
      </c>
      <c r="AP91" s="412"/>
      <c r="AQ91" s="412">
        <f>(H91+J91)*'Capital Structure '!$F$21/12</f>
        <v>3923.6572428746326</v>
      </c>
      <c r="AR91" s="412">
        <f>(H91+J91)*'Capital Structure '!$E$34/12</f>
        <v>5767.1570285599255</v>
      </c>
      <c r="AS91" s="412">
        <f>(H91+J91)*'Capital Structure '!$F$18/12</f>
        <v>8350.7304342550688</v>
      </c>
      <c r="AT91" s="412">
        <f>'RGGI - On-bill financing'!J52*'Capital Structure '!$E$34/12</f>
        <v>8612.0136515391605</v>
      </c>
      <c r="AU91" s="412">
        <f>'RGGI - On-bill financing'!J52*('Capital Structure '!$F$18+'Capital Structure '!$F$21)/12</f>
        <v>18329.168724944608</v>
      </c>
      <c r="AV91" s="415">
        <f t="shared" si="79"/>
        <v>44982.727082173398</v>
      </c>
      <c r="AW91" s="412"/>
      <c r="AX91" s="415">
        <v>0</v>
      </c>
      <c r="AY91" s="373">
        <f t="shared" si="58"/>
        <v>217471.01374884005</v>
      </c>
      <c r="AZ91" s="412"/>
      <c r="BA91" s="412">
        <f>'RGGI II Invest Amort Def'!AG40</f>
        <v>231616.14799999999</v>
      </c>
      <c r="BB91" s="412"/>
      <c r="BC91" s="412">
        <f>(L91+N91)*'Capital Structure '!$H$21/12</f>
        <v>7088.8012670488943</v>
      </c>
      <c r="BD91" s="412">
        <f>(L91+N91)*'Capital Structure '!$H$34/12</f>
        <v>14151.595937302031</v>
      </c>
      <c r="BE91" s="412">
        <f>(L91+N91)*'Capital Structure '!$H$18/12</f>
        <v>20491.233774575645</v>
      </c>
      <c r="BF91" s="412">
        <f>'RGGI II On Bill Fin''g'!L40*'Capital Structure '!$H$34/12</f>
        <v>25754.403540735566</v>
      </c>
      <c r="BG91" s="412">
        <f>'RGGI II On Bill Fin''g'!L40*('Capital Structure '!$H$18+'Capital Structure '!$H$21)/12</f>
        <v>50192.738350968248</v>
      </c>
      <c r="BH91" s="415">
        <f t="shared" si="80"/>
        <v>117678.77287063038</v>
      </c>
      <c r="BI91" s="412"/>
      <c r="BJ91" s="419"/>
      <c r="BK91" s="373">
        <f t="shared" si="34"/>
        <v>349294.92087063036</v>
      </c>
      <c r="BL91" s="412"/>
      <c r="BM91" s="412">
        <f>'2013 program Invest Amort Def'!AW22</f>
        <v>289514.64366666664</v>
      </c>
      <c r="BN91" s="412"/>
      <c r="BO91" s="412">
        <f>(S91)*'Capital Structure '!$J$21/12</f>
        <v>14305.217282173</v>
      </c>
      <c r="BP91" s="412">
        <f>(S91)*'Capital Structure '!$J$34/12</f>
        <v>30600.411461408115</v>
      </c>
      <c r="BQ91" s="412">
        <f>(S91)*'Capital Structure '!$J$18/12</f>
        <v>44308.796522455086</v>
      </c>
      <c r="BR91" s="412">
        <f>('2013 program 10 yr On Bill Fin'!M22+'2013 program 5 yr On Bill Fin'!L20+'2013 program 2 yr On Bill Fin'!M10)*'Capital Structure '!$J$34/12</f>
        <v>76375.156135468656</v>
      </c>
      <c r="BS91" s="412">
        <f>('2013 program 10 yr On Bill Fin'!M22+'2013 program 5 yr On Bill Fin'!L20+'2013 program 2 yr On Bill Fin'!M10)*('Capital Structure '!$J$18+'Capital Structure '!$J$21)/12</f>
        <v>146293.93012249999</v>
      </c>
      <c r="BT91" s="544">
        <f t="shared" si="81"/>
        <v>311883.51152400486</v>
      </c>
      <c r="BU91" s="412"/>
      <c r="BV91" s="425">
        <v>517918.42000000016</v>
      </c>
      <c r="BW91" s="425">
        <f t="shared" si="48"/>
        <v>1119316.5751906717</v>
      </c>
      <c r="BX91" s="412"/>
      <c r="BY91" s="412"/>
      <c r="BZ91" s="412"/>
      <c r="CA91" s="412"/>
      <c r="CB91" s="412"/>
      <c r="CC91" s="412"/>
      <c r="CD91" s="412"/>
      <c r="CE91" s="412"/>
      <c r="CF91" s="412"/>
      <c r="CG91" s="412"/>
      <c r="CH91" s="412"/>
      <c r="CI91" s="412"/>
      <c r="CJ91" s="412"/>
      <c r="CK91" s="412"/>
      <c r="CL91" s="412"/>
      <c r="CM91" s="412"/>
      <c r="CN91" s="412"/>
      <c r="CO91" s="412"/>
      <c r="CP91" s="412"/>
      <c r="CQ91" s="412"/>
      <c r="CR91" s="412"/>
      <c r="CS91" s="412"/>
      <c r="CT91" s="412"/>
      <c r="CU91" s="412"/>
      <c r="CV91" s="412"/>
      <c r="CW91" s="412"/>
      <c r="CX91" s="412"/>
      <c r="CY91" s="412">
        <f t="shared" si="73"/>
        <v>-1239003.4491174172</v>
      </c>
      <c r="CZ91" s="412">
        <f t="shared" si="82"/>
        <v>-112313.47319418401</v>
      </c>
      <c r="DA91" s="412">
        <f t="shared" si="83"/>
        <v>300001.85068211629</v>
      </c>
      <c r="DB91" s="417">
        <v>1.5E-3</v>
      </c>
      <c r="DC91" s="418">
        <f t="shared" ref="DC91:DC100" si="84">(DA91)*DB91/12</f>
        <v>37.500231335264537</v>
      </c>
      <c r="DD91" s="419"/>
      <c r="DE91" s="420">
        <f t="shared" si="74"/>
        <v>6.8999999999999992E-2</v>
      </c>
      <c r="DF91" s="420">
        <f t="shared" si="75"/>
        <v>0.10502258664412509</v>
      </c>
      <c r="DG91" s="353"/>
      <c r="DH91" s="353"/>
      <c r="DI91" s="394"/>
      <c r="DJ91" s="353"/>
      <c r="DK91" s="353"/>
      <c r="DL91" s="353"/>
      <c r="DM91" s="353"/>
      <c r="DN91" s="353"/>
      <c r="DO91" s="353"/>
      <c r="DP91" s="353"/>
      <c r="DQ91" s="353"/>
      <c r="DR91" s="353"/>
      <c r="DS91" s="353"/>
      <c r="DT91" s="353"/>
      <c r="DU91" s="353"/>
      <c r="DV91" s="353"/>
      <c r="DW91" s="353"/>
      <c r="DX91" s="353"/>
      <c r="DY91" s="353"/>
      <c r="DZ91" s="353"/>
      <c r="EA91" s="353"/>
      <c r="EB91" s="353"/>
      <c r="EC91" s="353"/>
      <c r="ED91" s="353"/>
      <c r="EE91" s="353"/>
      <c r="EF91" s="353"/>
      <c r="EG91" s="353"/>
      <c r="EH91" s="353"/>
      <c r="EI91" s="353"/>
      <c r="EJ91" s="353"/>
      <c r="EK91" s="353"/>
      <c r="EL91" s="353"/>
      <c r="EM91" s="353"/>
      <c r="EN91" s="353"/>
      <c r="EO91" s="353"/>
      <c r="EP91" s="353"/>
      <c r="EQ91" s="353"/>
      <c r="ER91" s="353"/>
      <c r="ES91" s="353"/>
      <c r="ET91" s="353"/>
      <c r="EU91" s="353"/>
      <c r="EV91" s="353"/>
      <c r="EW91" s="353"/>
      <c r="EX91" s="353"/>
      <c r="EY91" s="353"/>
      <c r="EZ91" s="353"/>
      <c r="FA91" s="353"/>
      <c r="FB91" s="353"/>
      <c r="FC91" s="353"/>
      <c r="FD91" s="353"/>
      <c r="FE91" s="353"/>
      <c r="FF91" s="353"/>
      <c r="FG91" s="353"/>
      <c r="FH91" s="353"/>
      <c r="FI91" s="353"/>
      <c r="FJ91" s="353"/>
      <c r="FK91" s="353"/>
      <c r="FL91" s="353"/>
      <c r="FM91" s="353"/>
      <c r="FN91" s="353"/>
      <c r="FO91" s="353"/>
      <c r="FP91" s="353"/>
      <c r="FQ91" s="353"/>
    </row>
    <row r="92" spans="1:173" s="351" customFormat="1" hidden="1" outlineLevel="1">
      <c r="A92" s="430" t="s">
        <v>53</v>
      </c>
      <c r="B92" s="430">
        <v>2015</v>
      </c>
      <c r="C92" s="411" t="s">
        <v>47</v>
      </c>
      <c r="D92" s="412">
        <f>'E3 - Invest Amort deferred tax'!AN70-'E3 - Financing upfront'!H69+'E3 - Financing upfront'!Q69</f>
        <v>69869.772500006482</v>
      </c>
      <c r="E92" s="412">
        <f>'E3 - Invest Amort deferred tax'!AN70</f>
        <v>69869.772500006482</v>
      </c>
      <c r="F92" s="413">
        <f>'E3 - Invest Amort deferred tax'!BT70</f>
        <v>-28541.802066248289</v>
      </c>
      <c r="G92" s="414"/>
      <c r="H92" s="412">
        <f>'RGGI - Invest Amort deferred'!AI53</f>
        <v>3049895.9483333286</v>
      </c>
      <c r="I92" s="412">
        <f>'RGGI - Invest Amort deferred'!AI53</f>
        <v>3049895.9483333286</v>
      </c>
      <c r="J92" s="413">
        <f>'RGGI - Invest Amort deferred'!BL53</f>
        <v>-1245882.4948941665</v>
      </c>
      <c r="K92" s="413"/>
      <c r="L92" s="414">
        <f>'RGGI II Invest Amort Def'!AI41</f>
        <v>7644879.0599999996</v>
      </c>
      <c r="M92" s="414">
        <f>'RGGI II Invest Amort Def'!AI41</f>
        <v>7644879.0599999996</v>
      </c>
      <c r="N92" s="413">
        <f>'RGGI II Invest Amort Def'!BK41</f>
        <v>-3122933.0960100032</v>
      </c>
      <c r="O92" s="414"/>
      <c r="P92" s="425">
        <f>'2013 program Invest Amort Def'!AY23</f>
        <v>14822336.000833334</v>
      </c>
      <c r="Q92" s="425">
        <f>'2013 program Invest Amort Def'!AY23</f>
        <v>14822336.000833334</v>
      </c>
      <c r="R92" s="425">
        <f>'2013 program Invest Amort Def'!CQ23</f>
        <v>-4331461.9345745835</v>
      </c>
      <c r="S92" s="373">
        <f t="shared" si="72"/>
        <v>10490874.066258751</v>
      </c>
      <c r="T92" s="414"/>
      <c r="U92" s="414"/>
      <c r="V92" s="414"/>
      <c r="W92" s="414"/>
      <c r="X92" s="414"/>
      <c r="Y92" s="414"/>
      <c r="Z92" s="547">
        <v>138203513</v>
      </c>
      <c r="AA92" s="548">
        <v>3.0599999999999999E-2</v>
      </c>
      <c r="AB92" s="439">
        <f t="shared" si="76"/>
        <v>4229027.4978</v>
      </c>
      <c r="AC92" s="415"/>
      <c r="AD92" s="415">
        <f>'E3 - Invest Amort deferred tax'!AL70</f>
        <v>54801.461041666669</v>
      </c>
      <c r="AE92" s="412"/>
      <c r="AF92" s="416">
        <f>(D92+F92)*'Capital Structure '!$F$21/12</f>
        <v>85.406519007275904</v>
      </c>
      <c r="AG92" s="416">
        <f>(D92+F92)*'Capital Structure '!$E$34/12</f>
        <v>125.53410654616295</v>
      </c>
      <c r="AH92" s="416">
        <f>(D92+F92)*'Capital Structure '!$F$18/12</f>
        <v>181.77092783856889</v>
      </c>
      <c r="AI92" s="415">
        <f t="shared" si="77"/>
        <v>392.71155339200777</v>
      </c>
      <c r="AJ92" s="412"/>
      <c r="AK92" s="415">
        <v>0</v>
      </c>
      <c r="AL92" s="415">
        <v>0</v>
      </c>
      <c r="AM92" s="412">
        <f t="shared" si="78"/>
        <v>55194.172595058677</v>
      </c>
      <c r="AN92" s="419"/>
      <c r="AO92" s="372">
        <f>'RGGI - Invest Amort deferred'!AG53+'RGGI CHP'!V8</f>
        <v>172488.28666666665</v>
      </c>
      <c r="AP92" s="412"/>
      <c r="AQ92" s="412">
        <f>(H92+J92)*'Capital Structure '!$F$21/12</f>
        <v>3728.0928069644469</v>
      </c>
      <c r="AR92" s="412">
        <f>(H92+J92)*'Capital Structure '!$E$34/12</f>
        <v>5479.7081661130424</v>
      </c>
      <c r="AS92" s="412">
        <f>(H92+J92)*'Capital Structure '!$F$18/12</f>
        <v>7934.5101107854707</v>
      </c>
      <c r="AT92" s="412">
        <f>'RGGI - On-bill financing'!J53*'Capital Structure '!$E$34/12</f>
        <v>8496.0114640310294</v>
      </c>
      <c r="AU92" s="412">
        <f>'RGGI - On-bill financing'!J53*('Capital Structure '!$F$18+'Capital Structure '!$F$21)/12</f>
        <v>18082.27830496493</v>
      </c>
      <c r="AV92" s="415">
        <f t="shared" si="79"/>
        <v>43720.600852858923</v>
      </c>
      <c r="AW92" s="412"/>
      <c r="AX92" s="415">
        <v>0</v>
      </c>
      <c r="AY92" s="373">
        <f t="shared" si="58"/>
        <v>216208.88751952557</v>
      </c>
      <c r="AZ92" s="412"/>
      <c r="BA92" s="412">
        <f>'RGGI II Invest Amort Def'!AG41</f>
        <v>231616.14799999999</v>
      </c>
      <c r="BB92" s="412"/>
      <c r="BC92" s="412">
        <f>(L92+N92)*'Capital Structure '!$H$21/12</f>
        <v>6880.3480400674625</v>
      </c>
      <c r="BD92" s="412">
        <f>(L92+N92)*'Capital Structure '!$H$34/12</f>
        <v>13735.454233093129</v>
      </c>
      <c r="BE92" s="412">
        <f>(L92+N92)*'Capital Structure '!$H$18/12</f>
        <v>19888.668736535095</v>
      </c>
      <c r="BF92" s="412">
        <f>'RGGI II On Bill Fin''g'!L41*'Capital Structure '!$H$34/12</f>
        <v>25485.331555309323</v>
      </c>
      <c r="BG92" s="412">
        <f>'RGGI II On Bill Fin''g'!L41*('Capital Structure '!$H$18+'Capital Structure '!$H$21)/12</f>
        <v>49668.344154041355</v>
      </c>
      <c r="BH92" s="415">
        <f t="shared" si="80"/>
        <v>115658.14671904637</v>
      </c>
      <c r="BI92" s="412"/>
      <c r="BJ92" s="419"/>
      <c r="BK92" s="373">
        <f t="shared" si="34"/>
        <v>347274.29471904633</v>
      </c>
      <c r="BL92" s="412"/>
      <c r="BM92" s="412">
        <f>'2013 program Invest Amort Def'!AW23</f>
        <v>303063.06866666663</v>
      </c>
      <c r="BN92" s="412"/>
      <c r="BO92" s="412">
        <f>(S92)*'Capital Structure '!$J$21/12</f>
        <v>14722.193272983115</v>
      </c>
      <c r="BP92" s="412">
        <f>(S92)*'Capital Structure '!$J$34/12</f>
        <v>31492.36833536757</v>
      </c>
      <c r="BQ92" s="412">
        <f>(S92)*'Capital Structure '!$J$18/12</f>
        <v>45600.332608004705</v>
      </c>
      <c r="BR92" s="412">
        <f>('2013 program 10 yr On Bill Fin'!M23+'2013 program 5 yr On Bill Fin'!L21+'2013 program 2 yr On Bill Fin'!M11)*'Capital Structure '!$J$34/12</f>
        <v>80621.966222252784</v>
      </c>
      <c r="BS92" s="412">
        <f>('2013 program 10 yr On Bill Fin'!M23+'2013 program 5 yr On Bill Fin'!L21+'2013 program 2 yr On Bill Fin'!M11)*('Capital Structure '!$J$18+'Capital Structure '!$J$21)/12</f>
        <v>154428.54574250002</v>
      </c>
      <c r="BT92" s="544">
        <f t="shared" si="81"/>
        <v>326865.40618110821</v>
      </c>
      <c r="BU92" s="412"/>
      <c r="BV92" s="425">
        <v>295318.98</v>
      </c>
      <c r="BW92" s="425">
        <f t="shared" si="48"/>
        <v>925247.45484777482</v>
      </c>
      <c r="BX92" s="412"/>
      <c r="BY92" s="412"/>
      <c r="BZ92" s="412"/>
      <c r="CA92" s="412"/>
      <c r="CB92" s="412"/>
      <c r="CC92" s="412"/>
      <c r="CD92" s="412"/>
      <c r="CE92" s="412"/>
      <c r="CF92" s="412"/>
      <c r="CG92" s="412"/>
      <c r="CH92" s="412"/>
      <c r="CI92" s="412"/>
      <c r="CJ92" s="412"/>
      <c r="CK92" s="412"/>
      <c r="CL92" s="412"/>
      <c r="CM92" s="412"/>
      <c r="CN92" s="412"/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>
        <f t="shared" si="73"/>
        <v>-2685102.6881185947</v>
      </c>
      <c r="CZ92" s="412">
        <f t="shared" si="82"/>
        <v>-2797416.1613127785</v>
      </c>
      <c r="DA92" s="412">
        <f t="shared" si="83"/>
        <v>-860552.53940543416</v>
      </c>
      <c r="DB92" s="417">
        <v>1.9E-3</v>
      </c>
      <c r="DC92" s="418">
        <f t="shared" si="84"/>
        <v>-136.25415207252709</v>
      </c>
      <c r="DD92" s="419"/>
      <c r="DE92" s="420">
        <f t="shared" si="74"/>
        <v>6.9000000000000006E-2</v>
      </c>
      <c r="DF92" s="420">
        <f t="shared" si="75"/>
        <v>0.10502258664412509</v>
      </c>
      <c r="DG92" s="353"/>
      <c r="DH92" s="353"/>
      <c r="DI92" s="394"/>
      <c r="DJ92" s="353"/>
      <c r="DK92" s="353"/>
      <c r="DL92" s="353"/>
      <c r="DM92" s="353"/>
      <c r="DN92" s="353"/>
      <c r="DO92" s="353"/>
      <c r="DP92" s="353"/>
      <c r="DQ92" s="353"/>
      <c r="DR92" s="353"/>
      <c r="DS92" s="353"/>
      <c r="DT92" s="353"/>
      <c r="DU92" s="353"/>
      <c r="DV92" s="353"/>
      <c r="DW92" s="353"/>
      <c r="DX92" s="353"/>
      <c r="DY92" s="353"/>
      <c r="DZ92" s="353"/>
      <c r="EA92" s="353"/>
      <c r="EB92" s="353"/>
      <c r="EC92" s="353"/>
      <c r="ED92" s="353"/>
      <c r="EE92" s="353"/>
      <c r="EF92" s="353"/>
      <c r="EG92" s="353"/>
      <c r="EH92" s="353"/>
      <c r="EI92" s="353"/>
      <c r="EJ92" s="353"/>
      <c r="EK92" s="353"/>
      <c r="EL92" s="353"/>
      <c r="EM92" s="353"/>
      <c r="EN92" s="353"/>
      <c r="EO92" s="353"/>
      <c r="EP92" s="353"/>
      <c r="EQ92" s="353"/>
      <c r="ER92" s="353"/>
      <c r="ES92" s="353"/>
      <c r="ET92" s="353"/>
      <c r="EU92" s="353"/>
      <c r="EV92" s="353"/>
      <c r="EW92" s="353"/>
      <c r="EX92" s="353"/>
      <c r="EY92" s="353"/>
      <c r="EZ92" s="353"/>
      <c r="FA92" s="353"/>
      <c r="FB92" s="353"/>
      <c r="FC92" s="353"/>
      <c r="FD92" s="353"/>
      <c r="FE92" s="353"/>
      <c r="FF92" s="353"/>
      <c r="FG92" s="353"/>
      <c r="FH92" s="353"/>
      <c r="FI92" s="353"/>
      <c r="FJ92" s="353"/>
      <c r="FK92" s="353"/>
      <c r="FL92" s="353"/>
      <c r="FM92" s="353"/>
      <c r="FN92" s="353"/>
      <c r="FO92" s="353"/>
      <c r="FP92" s="353"/>
      <c r="FQ92" s="353"/>
    </row>
    <row r="93" spans="1:173" s="351" customFormat="1" hidden="1" outlineLevel="1">
      <c r="A93" s="430" t="s">
        <v>54</v>
      </c>
      <c r="B93" s="430">
        <v>2015</v>
      </c>
      <c r="C93" s="411" t="s">
        <v>47</v>
      </c>
      <c r="D93" s="412">
        <f>'E3 - Invest Amort deferred tax'!AN71-'E3 - Financing upfront'!H70+'E3 - Financing upfront'!Q70</f>
        <v>37079.365000005811</v>
      </c>
      <c r="E93" s="412">
        <f>'E3 - Invest Amort deferred tax'!AN71</f>
        <v>37079.365000005811</v>
      </c>
      <c r="F93" s="413">
        <f>'E3 - Invest Amort deferred tax'!BT71</f>
        <v>-15146.920602498289</v>
      </c>
      <c r="G93" s="414"/>
      <c r="H93" s="412">
        <f>'RGGI - Invest Amort deferred'!AI54</f>
        <v>2889907.6616666615</v>
      </c>
      <c r="I93" s="412">
        <f>'RGGI - Invest Amort deferred'!AI54</f>
        <v>2889907.6616666615</v>
      </c>
      <c r="J93" s="413">
        <f>'RGGI - Invest Amort deferred'!BL54</f>
        <v>-1180527.2797908331</v>
      </c>
      <c r="K93" s="413"/>
      <c r="L93" s="414">
        <f>'RGGI II Invest Amort Def'!AI42</f>
        <v>7413262.9119999995</v>
      </c>
      <c r="M93" s="414">
        <f>'RGGI II Invest Amort Def'!AI42</f>
        <v>7413262.9119999995</v>
      </c>
      <c r="N93" s="413">
        <f>'RGGI II Invest Amort Def'!BK42</f>
        <v>-3028317.8995520035</v>
      </c>
      <c r="O93" s="414"/>
      <c r="P93" s="425">
        <f>'2013 program Invest Amort Def'!AY24</f>
        <v>15186926.765500002</v>
      </c>
      <c r="Q93" s="425">
        <f>'2013 program Invest Amort Def'!AY24</f>
        <v>15186926.765500002</v>
      </c>
      <c r="R93" s="425">
        <f>'2013 program Invest Amort Def'!CQ24</f>
        <v>-4523078.7291388335</v>
      </c>
      <c r="S93" s="373">
        <f t="shared" si="72"/>
        <v>10663848.036361169</v>
      </c>
      <c r="T93" s="414"/>
      <c r="U93" s="414"/>
      <c r="V93" s="414"/>
      <c r="W93" s="414"/>
      <c r="X93" s="414"/>
      <c r="Y93" s="414"/>
      <c r="Z93" s="547">
        <v>143256245</v>
      </c>
      <c r="AA93" s="548">
        <v>3.0599999999999999E-2</v>
      </c>
      <c r="AB93" s="439">
        <f t="shared" si="76"/>
        <v>4383641.0970000001</v>
      </c>
      <c r="AC93" s="415"/>
      <c r="AD93" s="415">
        <f>'E3 - Invest Amort deferred tax'!AL71</f>
        <v>32790.407500000001</v>
      </c>
      <c r="AE93" s="412"/>
      <c r="AF93" s="416">
        <f>(D93+F93)*'Capital Structure '!$F$21/12</f>
        <v>45.324600014271972</v>
      </c>
      <c r="AG93" s="416">
        <f>(D93+F93)*'Capital Structure '!$E$34/12</f>
        <v>66.620010199328163</v>
      </c>
      <c r="AH93" s="416">
        <f>(D93+F93)*'Capital Structure '!$F$18/12</f>
        <v>96.46447009278485</v>
      </c>
      <c r="AI93" s="415">
        <f t="shared" si="77"/>
        <v>208.40908030638496</v>
      </c>
      <c r="AJ93" s="412"/>
      <c r="AK93" s="415">
        <v>0</v>
      </c>
      <c r="AL93" s="415">
        <v>0</v>
      </c>
      <c r="AM93" s="412">
        <f t="shared" si="78"/>
        <v>32998.816580306389</v>
      </c>
      <c r="AN93" s="419"/>
      <c r="AO93" s="372">
        <f>'RGGI - Invest Amort deferred'!AG54+'RGGI CHP'!V9</f>
        <v>172488.28666666665</v>
      </c>
      <c r="AP93" s="412"/>
      <c r="AQ93" s="412">
        <f>(H93+J93)*'Capital Structure '!$F$21/12</f>
        <v>3532.5283710542608</v>
      </c>
      <c r="AR93" s="412">
        <f>(H93+J93)*'Capital Structure '!$E$34/12</f>
        <v>5192.2593036661592</v>
      </c>
      <c r="AS93" s="412">
        <f>(H93+J93)*'Capital Structure '!$F$18/12</f>
        <v>7518.2897873158718</v>
      </c>
      <c r="AT93" s="412">
        <f>'RGGI - On-bill financing'!J54*'Capital Structure '!$E$34/12</f>
        <v>8382.8425743435782</v>
      </c>
      <c r="AU93" s="412">
        <f>'RGGI - On-bill financing'!J54*('Capital Structure '!$F$18+'Capital Structure '!$F$21)/12</f>
        <v>17841.418065138765</v>
      </c>
      <c r="AV93" s="415">
        <f t="shared" si="79"/>
        <v>42467.338101518639</v>
      </c>
      <c r="AW93" s="412"/>
      <c r="AX93" s="415">
        <v>0</v>
      </c>
      <c r="AY93" s="373">
        <f t="shared" si="58"/>
        <v>214955.62476818528</v>
      </c>
      <c r="AZ93" s="412"/>
      <c r="BA93" s="412">
        <f>'RGGI II Invest Amort Def'!AG42</f>
        <v>231616.14799999999</v>
      </c>
      <c r="BB93" s="412"/>
      <c r="BC93" s="412">
        <f>(L93+N93)*'Capital Structure '!$H$21/12</f>
        <v>6671.894813086029</v>
      </c>
      <c r="BD93" s="412">
        <f>(L93+N93)*'Capital Structure '!$H$34/12</f>
        <v>13319.312528884229</v>
      </c>
      <c r="BE93" s="412">
        <f>(L93+N93)*'Capital Structure '!$H$18/12</f>
        <v>19286.103698494546</v>
      </c>
      <c r="BF93" s="412">
        <f>'RGGI II On Bill Fin''g'!L42*'Capital Structure '!$H$34/12</f>
        <v>25235.674571807813</v>
      </c>
      <c r="BG93" s="412">
        <f>'RGGI II On Bill Fin''g'!L42*('Capital Structure '!$H$18+'Capital Structure '!$H$21)/12</f>
        <v>49181.787840261335</v>
      </c>
      <c r="BH93" s="415">
        <f t="shared" si="80"/>
        <v>113694.77345253396</v>
      </c>
      <c r="BI93" s="412"/>
      <c r="BJ93" s="419"/>
      <c r="BK93" s="373">
        <f t="shared" si="34"/>
        <v>345310.92145253392</v>
      </c>
      <c r="BL93" s="412"/>
      <c r="BM93" s="412">
        <f>'2013 program Invest Amort Def'!AW24</f>
        <v>314379.23533333332</v>
      </c>
      <c r="BN93" s="412"/>
      <c r="BO93" s="412">
        <f>(S93)*'Capital Structure '!$J$21/12</f>
        <v>14964.933411026841</v>
      </c>
      <c r="BP93" s="412">
        <f>(S93)*'Capital Structure '!$J$34/12</f>
        <v>32011.615820800289</v>
      </c>
      <c r="BQ93" s="412">
        <f>(S93)*'Capital Structure '!$J$18/12</f>
        <v>46352.19279804988</v>
      </c>
      <c r="BR93" s="412">
        <f>('2013 program 10 yr On Bill Fin'!M24+'2013 program 5 yr On Bill Fin'!L22+'2013 program 2 yr On Bill Fin'!M12)*'Capital Structure '!$J$34/12</f>
        <v>83845.397076556314</v>
      </c>
      <c r="BS93" s="412">
        <f>('2013 program 10 yr On Bill Fin'!M24+'2013 program 5 yr On Bill Fin'!L22+'2013 program 2 yr On Bill Fin'!M12)*('Capital Structure '!$J$18+'Capital Structure '!$J$21)/12</f>
        <v>160602.91437250003</v>
      </c>
      <c r="BT93" s="544">
        <f t="shared" si="81"/>
        <v>337777.05347893335</v>
      </c>
      <c r="BU93" s="412"/>
      <c r="BV93" s="425">
        <v>247514.40999999997</v>
      </c>
      <c r="BW93" s="425">
        <f t="shared" si="48"/>
        <v>899670.69881226658</v>
      </c>
      <c r="BX93" s="412"/>
      <c r="BY93" s="412"/>
      <c r="BZ93" s="412"/>
      <c r="CA93" s="412"/>
      <c r="CB93" s="412"/>
      <c r="CC93" s="412"/>
      <c r="CD93" s="412"/>
      <c r="CE93" s="412"/>
      <c r="CF93" s="412"/>
      <c r="CG93" s="412"/>
      <c r="CH93" s="412"/>
      <c r="CI93" s="412"/>
      <c r="CJ93" s="412"/>
      <c r="CK93" s="412"/>
      <c r="CL93" s="412"/>
      <c r="CM93" s="412"/>
      <c r="CN93" s="412"/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>
        <f t="shared" si="73"/>
        <v>-2890705.0353867081</v>
      </c>
      <c r="CZ93" s="412">
        <f t="shared" si="82"/>
        <v>-5688121.196699487</v>
      </c>
      <c r="DA93" s="412">
        <f t="shared" si="83"/>
        <v>-2509597.6736321277</v>
      </c>
      <c r="DB93" s="417">
        <v>1.9E-3</v>
      </c>
      <c r="DC93" s="418">
        <f t="shared" si="84"/>
        <v>-397.35296499175359</v>
      </c>
      <c r="DD93" s="419"/>
      <c r="DE93" s="420">
        <f t="shared" si="74"/>
        <v>6.9000000000000006E-2</v>
      </c>
      <c r="DF93" s="420">
        <f t="shared" si="75"/>
        <v>0.10502258664412507</v>
      </c>
      <c r="DG93" s="353"/>
      <c r="DH93" s="353"/>
      <c r="DI93" s="394"/>
      <c r="DJ93" s="353"/>
      <c r="DK93" s="353"/>
      <c r="DL93" s="353"/>
      <c r="DM93" s="353"/>
      <c r="DN93" s="353"/>
      <c r="DO93" s="353"/>
      <c r="DP93" s="353"/>
      <c r="DQ93" s="353"/>
      <c r="DR93" s="353"/>
      <c r="DS93" s="353"/>
      <c r="DT93" s="353"/>
      <c r="DU93" s="353"/>
      <c r="DV93" s="353"/>
      <c r="DW93" s="353"/>
      <c r="DX93" s="353"/>
      <c r="DY93" s="353"/>
      <c r="DZ93" s="353"/>
      <c r="EA93" s="353"/>
      <c r="EB93" s="353"/>
      <c r="EC93" s="353"/>
      <c r="ED93" s="353"/>
      <c r="EE93" s="353"/>
      <c r="EF93" s="353"/>
      <c r="EG93" s="353"/>
      <c r="EH93" s="353"/>
      <c r="EI93" s="353"/>
      <c r="EJ93" s="353"/>
      <c r="EK93" s="353"/>
      <c r="EL93" s="353"/>
      <c r="EM93" s="353"/>
      <c r="EN93" s="353"/>
      <c r="EO93" s="353"/>
      <c r="EP93" s="353"/>
      <c r="EQ93" s="353"/>
      <c r="ER93" s="353"/>
      <c r="ES93" s="353"/>
      <c r="ET93" s="353"/>
      <c r="EU93" s="353"/>
      <c r="EV93" s="353"/>
      <c r="EW93" s="353"/>
      <c r="EX93" s="353"/>
      <c r="EY93" s="353"/>
      <c r="EZ93" s="353"/>
      <c r="FA93" s="353"/>
      <c r="FB93" s="353"/>
      <c r="FC93" s="353"/>
      <c r="FD93" s="353"/>
      <c r="FE93" s="353"/>
      <c r="FF93" s="353"/>
      <c r="FG93" s="353"/>
      <c r="FH93" s="353"/>
      <c r="FI93" s="353"/>
      <c r="FJ93" s="353"/>
      <c r="FK93" s="353"/>
      <c r="FL93" s="353"/>
      <c r="FM93" s="353"/>
      <c r="FN93" s="353"/>
      <c r="FO93" s="353"/>
      <c r="FP93" s="353"/>
      <c r="FQ93" s="353"/>
    </row>
    <row r="94" spans="1:173" s="351" customFormat="1" hidden="1" outlineLevel="1">
      <c r="A94" s="430" t="s">
        <v>55</v>
      </c>
      <c r="B94" s="430">
        <v>2015</v>
      </c>
      <c r="C94" s="411" t="s">
        <v>47</v>
      </c>
      <c r="D94" s="412">
        <f>'E3 - Invest Amort deferred tax'!AN72-'E3 - Financing upfront'!H71+'E3 - Financing upfront'!Q71</f>
        <v>18495.743333339691</v>
      </c>
      <c r="E94" s="412">
        <f>'E3 - Invest Amort deferred tax'!AN72</f>
        <v>18495.743333339691</v>
      </c>
      <c r="F94" s="413">
        <f>'E3 - Invest Amort deferred tax'!BT72</f>
        <v>-7555.5111516649558</v>
      </c>
      <c r="G94" s="414"/>
      <c r="H94" s="412">
        <f>'RGGI - Invest Amort deferred'!AI55</f>
        <v>2729919.3749999944</v>
      </c>
      <c r="I94" s="412">
        <f>'RGGI - Invest Amort deferred'!AI55</f>
        <v>2729919.3749999944</v>
      </c>
      <c r="J94" s="413">
        <f>'RGGI - Invest Amort deferred'!BL55</f>
        <v>-1115172.0646874998</v>
      </c>
      <c r="K94" s="413"/>
      <c r="L94" s="414">
        <f>'RGGI II Invest Amort Def'!AI43</f>
        <v>7181646.7639999995</v>
      </c>
      <c r="M94" s="414">
        <f>'RGGI II Invest Amort Def'!AI43</f>
        <v>7181646.7639999995</v>
      </c>
      <c r="N94" s="413">
        <f>'RGGI II Invest Amort Def'!BK43</f>
        <v>-2933702.7030940037</v>
      </c>
      <c r="O94" s="414"/>
      <c r="P94" s="425">
        <f>'2013 program Invest Amort Def'!AY25</f>
        <v>15678991.980166668</v>
      </c>
      <c r="Q94" s="425">
        <f>'2013 program Invest Amort Def'!AY25</f>
        <v>15678991.980166668</v>
      </c>
      <c r="R94" s="425">
        <f>'2013 program Invest Amort Def'!CQ25</f>
        <v>-4708227.0079030832</v>
      </c>
      <c r="S94" s="373">
        <f t="shared" si="72"/>
        <v>10970764.972263586</v>
      </c>
      <c r="T94" s="414"/>
      <c r="U94" s="414"/>
      <c r="V94" s="414"/>
      <c r="W94" s="414"/>
      <c r="X94" s="414"/>
      <c r="Y94" s="414"/>
      <c r="Z94" s="547">
        <v>106743039</v>
      </c>
      <c r="AA94" s="548">
        <v>3.0599999999999999E-2</v>
      </c>
      <c r="AB94" s="439">
        <f t="shared" si="76"/>
        <v>3266336.9934</v>
      </c>
      <c r="AC94" s="415"/>
      <c r="AD94" s="415">
        <f>'E3 - Invest Amort deferred tax'!AL72</f>
        <v>18583.621666666666</v>
      </c>
      <c r="AE94" s="412"/>
      <c r="AF94" s="416">
        <f>(D94+F94)*'Capital Structure '!$F$21/12</f>
        <v>22.608590210493123</v>
      </c>
      <c r="AG94" s="416">
        <f>(D94+F94)*'Capital Structure '!$E$34/12</f>
        <v>33.231060173530715</v>
      </c>
      <c r="AH94" s="416">
        <f>(D94+F94)*'Capital Structure '!$F$18/12</f>
        <v>48.117924339396382</v>
      </c>
      <c r="AI94" s="415">
        <f t="shared" si="77"/>
        <v>103.95757472342022</v>
      </c>
      <c r="AJ94" s="412"/>
      <c r="AK94" s="415">
        <v>0</v>
      </c>
      <c r="AL94" s="415">
        <v>0</v>
      </c>
      <c r="AM94" s="412">
        <f t="shared" si="78"/>
        <v>18687.579241390085</v>
      </c>
      <c r="AN94" s="419"/>
      <c r="AO94" s="372">
        <f>'RGGI - Invest Amort deferred'!AG55+'RGGI CHP'!V10</f>
        <v>172488.28666666665</v>
      </c>
      <c r="AP94" s="412"/>
      <c r="AQ94" s="412">
        <f>(H94+J94)*'Capital Structure '!$F$21/12</f>
        <v>3336.9639351440746</v>
      </c>
      <c r="AR94" s="412">
        <f>(H94+J94)*'Capital Structure '!$E$34/12</f>
        <v>4904.8104412192761</v>
      </c>
      <c r="AS94" s="412">
        <f>(H94+J94)*'Capital Structure '!$F$18/12</f>
        <v>7102.0694638462728</v>
      </c>
      <c r="AT94" s="412">
        <f>'RGGI - On-bill financing'!J55*'Capital Structure '!$E$34/12</f>
        <v>8256.8611047024788</v>
      </c>
      <c r="AU94" s="412">
        <f>'RGGI - On-bill financing'!J55*('Capital Structure '!$F$18+'Capital Structure '!$F$21)/12</f>
        <v>17573.288483986104</v>
      </c>
      <c r="AV94" s="415">
        <f t="shared" si="79"/>
        <v>41173.993428898204</v>
      </c>
      <c r="AW94" s="412"/>
      <c r="AX94" s="415">
        <v>0</v>
      </c>
      <c r="AY94" s="373">
        <f t="shared" si="58"/>
        <v>213662.28009556484</v>
      </c>
      <c r="AZ94" s="412"/>
      <c r="BA94" s="412">
        <f>'RGGI II Invest Amort Def'!AG43</f>
        <v>231616.14799999999</v>
      </c>
      <c r="BB94" s="412"/>
      <c r="BC94" s="412">
        <f>(L94+N94)*'Capital Structure '!$H$21/12</f>
        <v>6463.4415861045964</v>
      </c>
      <c r="BD94" s="412">
        <f>(L94+N94)*'Capital Structure '!$H$34/12</f>
        <v>12903.170824675328</v>
      </c>
      <c r="BE94" s="412">
        <f>(L94+N94)*'Capital Structure '!$H$18/12</f>
        <v>18683.538660454</v>
      </c>
      <c r="BF94" s="412">
        <f>'RGGI II On Bill Fin''g'!L43*'Capital Structure '!$H$34/12</f>
        <v>24932.448524795644</v>
      </c>
      <c r="BG94" s="412">
        <f>'RGGI II On Bill Fin''g'!L43*('Capital Structure '!$H$18+'Capital Structure '!$H$21)/12</f>
        <v>48590.830817521237</v>
      </c>
      <c r="BH94" s="415">
        <f t="shared" si="80"/>
        <v>111573.43041355081</v>
      </c>
      <c r="BI94" s="412"/>
      <c r="BJ94" s="419"/>
      <c r="BK94" s="373">
        <f t="shared" si="34"/>
        <v>343189.5784135508</v>
      </c>
      <c r="BL94" s="412"/>
      <c r="BM94" s="412">
        <f>'2013 program Invest Amort Def'!AW25</f>
        <v>328047.7853333333</v>
      </c>
      <c r="BN94" s="412"/>
      <c r="BO94" s="412">
        <f>(S94)*'Capital Structure '!$J$21/12</f>
        <v>15395.640177743233</v>
      </c>
      <c r="BP94" s="412">
        <f>(S94)*'Capital Structure '!$J$34/12</f>
        <v>32932.944313808141</v>
      </c>
      <c r="BQ94" s="412">
        <f>(S94)*'Capital Structure '!$J$18/12</f>
        <v>47686.258412772382</v>
      </c>
      <c r="BR94" s="412">
        <f>('2013 program 10 yr On Bill Fin'!M25+'2013 program 5 yr On Bill Fin'!L23+'2013 program 2 yr On Bill Fin'!M13)*'Capital Structure '!$J$34/12</f>
        <v>87634.706984602963</v>
      </c>
      <c r="BS94" s="412">
        <f>('2013 program 10 yr On Bill Fin'!M25+'2013 program 5 yr On Bill Fin'!L23+'2013 program 2 yr On Bill Fin'!M13)*('Capital Structure '!$J$18+'Capital Structure '!$J$21)/12</f>
        <v>167861.20446250003</v>
      </c>
      <c r="BT94" s="544">
        <f t="shared" si="81"/>
        <v>351510.75435142673</v>
      </c>
      <c r="BU94" s="412"/>
      <c r="BV94" s="425">
        <v>266565.42999999993</v>
      </c>
      <c r="BW94" s="425">
        <f t="shared" si="48"/>
        <v>946123.96968475997</v>
      </c>
      <c r="BX94" s="412"/>
      <c r="BY94" s="412"/>
      <c r="BZ94" s="412"/>
      <c r="CA94" s="412"/>
      <c r="CB94" s="412"/>
      <c r="CC94" s="412"/>
      <c r="CD94" s="412"/>
      <c r="CE94" s="412"/>
      <c r="CF94" s="412"/>
      <c r="CG94" s="412"/>
      <c r="CH94" s="412"/>
      <c r="CI94" s="412"/>
      <c r="CJ94" s="412"/>
      <c r="CK94" s="412"/>
      <c r="CL94" s="412"/>
      <c r="CM94" s="412"/>
      <c r="CN94" s="412"/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>
        <f t="shared" si="73"/>
        <v>-1744673.5859647342</v>
      </c>
      <c r="CZ94" s="412">
        <f t="shared" si="82"/>
        <v>-7432794.7826642208</v>
      </c>
      <c r="DA94" s="412">
        <f t="shared" si="83"/>
        <v>-3880510.900896817</v>
      </c>
      <c r="DB94" s="417">
        <v>1.8E-3</v>
      </c>
      <c r="DC94" s="418">
        <f t="shared" si="84"/>
        <v>-582.07663513452246</v>
      </c>
      <c r="DD94" s="419"/>
      <c r="DE94" s="420">
        <f t="shared" si="74"/>
        <v>6.9000000000000006E-2</v>
      </c>
      <c r="DF94" s="420">
        <f t="shared" si="75"/>
        <v>0.10502258664412509</v>
      </c>
      <c r="DG94" s="353"/>
      <c r="DH94" s="353"/>
      <c r="DI94" s="394"/>
      <c r="DJ94" s="353"/>
      <c r="DK94" s="353"/>
      <c r="DL94" s="353"/>
      <c r="DM94" s="353"/>
      <c r="DN94" s="353"/>
      <c r="DO94" s="353"/>
      <c r="DP94" s="353"/>
      <c r="DQ94" s="353"/>
      <c r="DR94" s="353"/>
      <c r="DS94" s="353"/>
      <c r="DT94" s="353"/>
      <c r="DU94" s="353"/>
      <c r="DV94" s="353"/>
      <c r="DW94" s="353"/>
      <c r="DX94" s="353"/>
      <c r="DY94" s="353"/>
      <c r="DZ94" s="353"/>
      <c r="EA94" s="353"/>
      <c r="EB94" s="353"/>
      <c r="EC94" s="353"/>
      <c r="ED94" s="353"/>
      <c r="EE94" s="353"/>
      <c r="EF94" s="353"/>
      <c r="EG94" s="353"/>
      <c r="EH94" s="353"/>
      <c r="EI94" s="353"/>
      <c r="EJ94" s="353"/>
      <c r="EK94" s="353"/>
      <c r="EL94" s="353"/>
      <c r="EM94" s="353"/>
      <c r="EN94" s="353"/>
      <c r="EO94" s="353"/>
      <c r="EP94" s="353"/>
      <c r="EQ94" s="353"/>
      <c r="ER94" s="353"/>
      <c r="ES94" s="353"/>
      <c r="ET94" s="353"/>
      <c r="EU94" s="353"/>
      <c r="EV94" s="353"/>
      <c r="EW94" s="353"/>
      <c r="EX94" s="353"/>
      <c r="EY94" s="353"/>
      <c r="EZ94" s="353"/>
      <c r="FA94" s="353"/>
      <c r="FB94" s="353"/>
      <c r="FC94" s="353"/>
      <c r="FD94" s="353"/>
      <c r="FE94" s="353"/>
      <c r="FF94" s="353"/>
      <c r="FG94" s="353"/>
      <c r="FH94" s="353"/>
      <c r="FI94" s="353"/>
      <c r="FJ94" s="353"/>
      <c r="FK94" s="353"/>
      <c r="FL94" s="353"/>
      <c r="FM94" s="353"/>
      <c r="FN94" s="353"/>
      <c r="FO94" s="353"/>
      <c r="FP94" s="353"/>
      <c r="FQ94" s="353"/>
    </row>
    <row r="95" spans="1:173" s="351" customFormat="1" hidden="1" outlineLevel="1">
      <c r="A95" s="430" t="s">
        <v>56</v>
      </c>
      <c r="B95" s="430">
        <v>2015</v>
      </c>
      <c r="C95" s="411" t="s">
        <v>47</v>
      </c>
      <c r="D95" s="412">
        <f>'E3 - Invest Amort deferred tax'!AN73-'E3 - Financing upfront'!H72+'E3 - Financing upfront'!Q72</f>
        <v>6175.9768750071526</v>
      </c>
      <c r="E95" s="412">
        <f>'E3 - Invest Amort deferred tax'!AN73</f>
        <v>6175.9768750071526</v>
      </c>
      <c r="F95" s="413">
        <f>'E3 - Invest Amort deferred tax'!BT73</f>
        <v>-2522.8865534357883</v>
      </c>
      <c r="G95" s="414"/>
      <c r="H95" s="412">
        <f>'RGGI - Invest Amort deferred'!AI56</f>
        <v>2569931.0883333273</v>
      </c>
      <c r="I95" s="412">
        <f>'RGGI - Invest Amort deferred'!AI56</f>
        <v>2569931.0883333273</v>
      </c>
      <c r="J95" s="413">
        <f>'RGGI - Invest Amort deferred'!BL56</f>
        <v>-1049816.8495841664</v>
      </c>
      <c r="K95" s="413"/>
      <c r="L95" s="414">
        <f>'RGGI II Invest Amort Def'!AI44</f>
        <v>6950030.6159999995</v>
      </c>
      <c r="M95" s="414">
        <f>'RGGI II Invest Amort Def'!AI44</f>
        <v>6950030.6159999995</v>
      </c>
      <c r="N95" s="413">
        <f>'RGGI II Invest Amort Def'!BK44</f>
        <v>-2839087.506636004</v>
      </c>
      <c r="O95" s="414"/>
      <c r="P95" s="425">
        <f>'2013 program Invest Amort Def'!AY26</f>
        <v>16021254.011500001</v>
      </c>
      <c r="Q95" s="425">
        <f>'2013 program Invest Amort Def'!AY26</f>
        <v>16021254.011500001</v>
      </c>
      <c r="R95" s="425">
        <f>'2013 program Invest Amort Def'!CQ26</f>
        <v>-4869308.5683998335</v>
      </c>
      <c r="S95" s="373">
        <f t="shared" si="72"/>
        <v>11151945.443100167</v>
      </c>
      <c r="T95" s="414"/>
      <c r="U95" s="414"/>
      <c r="V95" s="414"/>
      <c r="W95" s="414"/>
      <c r="X95" s="414"/>
      <c r="Y95" s="414"/>
      <c r="Z95" s="547">
        <v>47874508</v>
      </c>
      <c r="AA95" s="548">
        <v>3.0599999999999999E-2</v>
      </c>
      <c r="AB95" s="439">
        <f t="shared" si="76"/>
        <v>1464959.9447999999</v>
      </c>
      <c r="AC95" s="415"/>
      <c r="AD95" s="415">
        <f>'E3 - Invest Amort deferred tax'!AL73</f>
        <v>12319.766458333335</v>
      </c>
      <c r="AE95" s="412"/>
      <c r="AF95" s="416">
        <f>(D95+F95)*'Capital Structure '!$F$21/12</f>
        <v>7.5493116335015875</v>
      </c>
      <c r="AG95" s="416">
        <f>(D95+F95)*'Capital Structure '!$E$34/12</f>
        <v>11.096296886534388</v>
      </c>
      <c r="AH95" s="416">
        <f>(D95+F95)*'Capital Structure '!$F$18/12</f>
        <v>16.067220583562033</v>
      </c>
      <c r="AI95" s="415">
        <f t="shared" si="77"/>
        <v>34.712829103598011</v>
      </c>
      <c r="AJ95" s="412"/>
      <c r="AK95" s="415">
        <v>0</v>
      </c>
      <c r="AL95" s="415">
        <v>0</v>
      </c>
      <c r="AM95" s="412">
        <f t="shared" si="78"/>
        <v>12354.479287436934</v>
      </c>
      <c r="AN95" s="419"/>
      <c r="AO95" s="372">
        <f>'RGGI - Invest Amort deferred'!AG56+'RGGI CHP'!V11</f>
        <v>172488.28666666665</v>
      </c>
      <c r="AP95" s="412"/>
      <c r="AQ95" s="412">
        <f>(H95+J95)*'Capital Structure '!$F$21/12</f>
        <v>3141.3994992338889</v>
      </c>
      <c r="AR95" s="412">
        <f>(H95+J95)*'Capital Structure '!$E$34/12</f>
        <v>4617.3615787723929</v>
      </c>
      <c r="AS95" s="412">
        <f>(H95+J95)*'Capital Structure '!$F$18/12</f>
        <v>6685.8491403766739</v>
      </c>
      <c r="AT95" s="412">
        <f>'RGGI - On-bill financing'!J56*'Capital Structure '!$E$34/12</f>
        <v>8094.9554343865311</v>
      </c>
      <c r="AU95" s="412">
        <f>'RGGI - On-bill financing'!J56*('Capital Structure '!$F$18+'Capital Structure '!$F$21)/12</f>
        <v>17228.700508534406</v>
      </c>
      <c r="AV95" s="415">
        <f t="shared" si="79"/>
        <v>39768.266161303894</v>
      </c>
      <c r="AW95" s="412"/>
      <c r="AX95" s="415">
        <v>0</v>
      </c>
      <c r="AY95" s="373">
        <f t="shared" si="58"/>
        <v>212256.55282797053</v>
      </c>
      <c r="AZ95" s="412"/>
      <c r="BA95" s="412">
        <f>'RGGI II Invest Amort Def'!AG44</f>
        <v>231616.14799999999</v>
      </c>
      <c r="BB95" s="412"/>
      <c r="BC95" s="412">
        <f>(L95+N95)*'Capital Structure '!$H$21/12</f>
        <v>6254.9883591231637</v>
      </c>
      <c r="BD95" s="412">
        <f>(L95+N95)*'Capital Structure '!$H$34/12</f>
        <v>12487.02912046643</v>
      </c>
      <c r="BE95" s="412">
        <f>(L95+N95)*'Capital Structure '!$H$18/12</f>
        <v>18080.97362241345</v>
      </c>
      <c r="BF95" s="412">
        <f>'RGGI II On Bill Fin''g'!L44*'Capital Structure '!$H$34/12</f>
        <v>24615.104163582189</v>
      </c>
      <c r="BG95" s="412">
        <f>'RGGI II On Bill Fin''g'!L44*('Capital Structure '!$H$18+'Capital Structure '!$H$21)/12</f>
        <v>47972.358622490661</v>
      </c>
      <c r="BH95" s="415">
        <f t="shared" si="80"/>
        <v>109410.45388807589</v>
      </c>
      <c r="BI95" s="412"/>
      <c r="BJ95" s="419"/>
      <c r="BK95" s="373">
        <f t="shared" si="34"/>
        <v>341026.60188807588</v>
      </c>
      <c r="BL95" s="412"/>
      <c r="BM95" s="412">
        <f>'2013 program Invest Amort Def'!AW26</f>
        <v>339408.96866666665</v>
      </c>
      <c r="BN95" s="412"/>
      <c r="BO95" s="412">
        <f>(S95)*'Capital Structure '!$J$21/12</f>
        <v>15649.896771817235</v>
      </c>
      <c r="BP95" s="412">
        <f>(S95)*'Capital Structure '!$J$34/12</f>
        <v>33476.826747885985</v>
      </c>
      <c r="BQ95" s="412">
        <f>(S95)*'Capital Structure '!$J$18/12</f>
        <v>48473.789526008732</v>
      </c>
      <c r="BR95" s="412">
        <f>('2013 program 10 yr On Bill Fin'!M26+'2013 program 5 yr On Bill Fin'!L24+'2013 program 2 yr On Bill Fin'!M14)*'Capital Structure '!$J$34/12</f>
        <v>90058.701151399917</v>
      </c>
      <c r="BS95" s="412">
        <f>('2013 program 10 yr On Bill Fin'!M26+'2013 program 5 yr On Bill Fin'!L24+'2013 program 2 yr On Bill Fin'!M14)*('Capital Structure '!$J$18+'Capital Structure '!$J$21)/12</f>
        <v>172504.28018500001</v>
      </c>
      <c r="BT95" s="544">
        <f t="shared" si="81"/>
        <v>360163.49438211188</v>
      </c>
      <c r="BU95" s="412"/>
      <c r="BV95" s="425">
        <v>294638.18</v>
      </c>
      <c r="BW95" s="425">
        <f t="shared" si="48"/>
        <v>994210.64304877853</v>
      </c>
      <c r="BX95" s="412"/>
      <c r="BY95" s="412"/>
      <c r="BZ95" s="412"/>
      <c r="CA95" s="412"/>
      <c r="CB95" s="412"/>
      <c r="CC95" s="412"/>
      <c r="CD95" s="412"/>
      <c r="CE95" s="412"/>
      <c r="CF95" s="412"/>
      <c r="CG95" s="412"/>
      <c r="CH95" s="412"/>
      <c r="CI95" s="412"/>
      <c r="CJ95" s="412"/>
      <c r="CK95" s="412"/>
      <c r="CL95" s="412"/>
      <c r="CM95" s="412"/>
      <c r="CN95" s="412"/>
      <c r="CO95" s="412"/>
      <c r="CP95" s="412"/>
      <c r="CQ95" s="412"/>
      <c r="CR95" s="412"/>
      <c r="CS95" s="412"/>
      <c r="CT95" s="412"/>
      <c r="CU95" s="412"/>
      <c r="CV95" s="412"/>
      <c r="CW95" s="412"/>
      <c r="CX95" s="412"/>
      <c r="CY95" s="412">
        <f t="shared" si="73"/>
        <v>94888.332252261927</v>
      </c>
      <c r="CZ95" s="412">
        <f t="shared" si="82"/>
        <v>-7337906.4504119586</v>
      </c>
      <c r="DA95" s="412">
        <f t="shared" si="83"/>
        <v>-4368434.8896822799</v>
      </c>
      <c r="DB95" s="417">
        <v>1.8E-3</v>
      </c>
      <c r="DC95" s="418">
        <f t="shared" si="84"/>
        <v>-655.26523345234193</v>
      </c>
      <c r="DD95" s="419"/>
      <c r="DE95" s="420">
        <f t="shared" si="74"/>
        <v>6.9000000000000006E-2</v>
      </c>
      <c r="DF95" s="420">
        <f t="shared" si="75"/>
        <v>0.10502258664412509</v>
      </c>
      <c r="DG95" s="353"/>
      <c r="DH95" s="353"/>
      <c r="DI95" s="394"/>
      <c r="DJ95" s="353"/>
      <c r="DK95" s="353"/>
      <c r="DL95" s="353"/>
      <c r="DM95" s="353"/>
      <c r="DN95" s="353"/>
      <c r="DO95" s="353"/>
      <c r="DP95" s="353"/>
      <c r="DQ95" s="353"/>
      <c r="DR95" s="353"/>
      <c r="DS95" s="353"/>
      <c r="DT95" s="353"/>
      <c r="DU95" s="353"/>
      <c r="DV95" s="353"/>
      <c r="DW95" s="353"/>
      <c r="DX95" s="353"/>
      <c r="DY95" s="353"/>
      <c r="DZ95" s="353"/>
      <c r="EA95" s="353"/>
      <c r="EB95" s="353"/>
      <c r="EC95" s="353"/>
      <c r="ED95" s="353"/>
      <c r="EE95" s="353"/>
      <c r="EF95" s="353"/>
      <c r="EG95" s="353"/>
      <c r="EH95" s="353"/>
      <c r="EI95" s="353"/>
      <c r="EJ95" s="353"/>
      <c r="EK95" s="353"/>
      <c r="EL95" s="353"/>
      <c r="EM95" s="353"/>
      <c r="EN95" s="353"/>
      <c r="EO95" s="353"/>
      <c r="EP95" s="353"/>
      <c r="EQ95" s="353"/>
      <c r="ER95" s="353"/>
      <c r="ES95" s="353"/>
      <c r="ET95" s="353"/>
      <c r="EU95" s="353"/>
      <c r="EV95" s="353"/>
      <c r="EW95" s="353"/>
      <c r="EX95" s="353"/>
      <c r="EY95" s="353"/>
      <c r="EZ95" s="353"/>
      <c r="FA95" s="353"/>
      <c r="FB95" s="353"/>
      <c r="FC95" s="353"/>
      <c r="FD95" s="353"/>
      <c r="FE95" s="353"/>
      <c r="FF95" s="353"/>
      <c r="FG95" s="353"/>
      <c r="FH95" s="353"/>
      <c r="FI95" s="353"/>
      <c r="FJ95" s="353"/>
      <c r="FK95" s="353"/>
      <c r="FL95" s="353"/>
      <c r="FM95" s="353"/>
      <c r="FN95" s="353"/>
      <c r="FO95" s="353"/>
      <c r="FP95" s="353"/>
      <c r="FQ95" s="353"/>
    </row>
    <row r="96" spans="1:173" s="351" customFormat="1" hidden="1" outlineLevel="1">
      <c r="A96" s="430" t="s">
        <v>57</v>
      </c>
      <c r="B96" s="430">
        <v>2015</v>
      </c>
      <c r="C96" s="411" t="s">
        <v>47</v>
      </c>
      <c r="D96" s="412">
        <v>0</v>
      </c>
      <c r="E96" s="412">
        <v>0</v>
      </c>
      <c r="F96" s="413">
        <f>'E3 - Invest Amort deferred tax'!BT74</f>
        <v>1.7116690287366509E-9</v>
      </c>
      <c r="G96" s="414"/>
      <c r="H96" s="412">
        <f>'RGGI - Invest Amort deferred'!AI57</f>
        <v>2409942.8016666602</v>
      </c>
      <c r="I96" s="412">
        <f>'RGGI - Invest Amort deferred'!AI57</f>
        <v>2409942.8016666602</v>
      </c>
      <c r="J96" s="413">
        <f>'RGGI - Invest Amort deferred'!BL57</f>
        <v>-984461.63448083308</v>
      </c>
      <c r="K96" s="413"/>
      <c r="L96" s="414">
        <f>'RGGI II Invest Amort Def'!AI45</f>
        <v>6718414.4679999994</v>
      </c>
      <c r="M96" s="414">
        <f>'RGGI II Invest Amort Def'!AI45</f>
        <v>6718414.4679999994</v>
      </c>
      <c r="N96" s="413">
        <f>'RGGI II Invest Amort Def'!BK45</f>
        <v>-2744472.3101780042</v>
      </c>
      <c r="O96" s="414"/>
      <c r="P96" s="425">
        <f>'2013 program Invest Amort Def'!AY27</f>
        <v>16372191.456166666</v>
      </c>
      <c r="Q96" s="425">
        <f>'2013 program Invest Amort Def'!AY27</f>
        <v>16372191.456166666</v>
      </c>
      <c r="R96" s="425">
        <f>'2013 program Invest Amort Def'!CQ27</f>
        <v>-5023334.5768099166</v>
      </c>
      <c r="S96" s="373">
        <f t="shared" si="72"/>
        <v>11348856.879356749</v>
      </c>
      <c r="T96" s="414"/>
      <c r="U96" s="414"/>
      <c r="V96" s="414"/>
      <c r="W96" s="414"/>
      <c r="X96" s="414"/>
      <c r="Y96" s="414"/>
      <c r="Z96" s="547">
        <v>25204470</v>
      </c>
      <c r="AA96" s="548">
        <v>3.0599999999999999E-2</v>
      </c>
      <c r="AB96" s="439">
        <f t="shared" si="76"/>
        <v>771256.78200000001</v>
      </c>
      <c r="AC96" s="415"/>
      <c r="AD96" s="415">
        <f>'E3 - Invest Amort deferred tax'!AL74</f>
        <v>6175.9768750000003</v>
      </c>
      <c r="AE96" s="412"/>
      <c r="AF96" s="416">
        <f>(D96+F96)*'Capital Structure '!$F$21/12</f>
        <v>3.53725798539458E-12</v>
      </c>
      <c r="AG96" s="416">
        <f>(D96+F96)*'Capital Structure '!$E$34/12</f>
        <v>5.1992110904550489E-12</v>
      </c>
      <c r="AH96" s="416">
        <f>(D96+F96)*'Capital Structure '!$F$18/12</f>
        <v>7.5283558384434803E-12</v>
      </c>
      <c r="AI96" s="415">
        <f t="shared" si="77"/>
        <v>1.626482491429311E-11</v>
      </c>
      <c r="AJ96" s="412"/>
      <c r="AK96" s="415">
        <v>0</v>
      </c>
      <c r="AL96" s="415">
        <v>0</v>
      </c>
      <c r="AM96" s="412">
        <f t="shared" si="78"/>
        <v>6175.9768750000167</v>
      </c>
      <c r="AN96" s="419"/>
      <c r="AO96" s="372">
        <f>'RGGI - Invest Amort deferred'!AG57+'RGGI CHP'!V12</f>
        <v>172488.28666666665</v>
      </c>
      <c r="AP96" s="412"/>
      <c r="AQ96" s="412">
        <f>(H96+J96)*'Capital Structure '!$F$21/12</f>
        <v>2945.8350633237028</v>
      </c>
      <c r="AR96" s="412">
        <f>(H96+J96)*'Capital Structure '!$E$34/12</f>
        <v>4329.9127163255107</v>
      </c>
      <c r="AS96" s="412">
        <f>(H96+J96)*'Capital Structure '!$F$18/12</f>
        <v>6269.6288169070749</v>
      </c>
      <c r="AT96" s="412">
        <f>'RGGI - On-bill financing'!J57*'Capital Structure '!$E$34/12</f>
        <v>7978.0593685561244</v>
      </c>
      <c r="AU96" s="412">
        <f>'RGGI - On-bill financing'!J57*('Capital Structure '!$F$18+'Capital Structure '!$F$21)/12</f>
        <v>16979.907624479372</v>
      </c>
      <c r="AV96" s="415">
        <f t="shared" si="79"/>
        <v>38503.343589591786</v>
      </c>
      <c r="AW96" s="412"/>
      <c r="AX96" s="415">
        <v>0</v>
      </c>
      <c r="AY96" s="373">
        <f t="shared" si="58"/>
        <v>210991.63025625845</v>
      </c>
      <c r="AZ96" s="412"/>
      <c r="BA96" s="412">
        <f>'RGGI II Invest Amort Def'!AG45</f>
        <v>231616.14799999999</v>
      </c>
      <c r="BB96" s="412"/>
      <c r="BC96" s="412">
        <f>(L96+N96)*'Capital Structure '!$H$21/12</f>
        <v>6046.535132141732</v>
      </c>
      <c r="BD96" s="412">
        <f>(L96+N96)*'Capital Structure '!$H$34/12</f>
        <v>12070.88741625753</v>
      </c>
      <c r="BE96" s="412">
        <f>(L96+N96)*'Capital Structure '!$H$18/12</f>
        <v>17478.408584372901</v>
      </c>
      <c r="BF96" s="412">
        <f>'RGGI II On Bill Fin''g'!L45*'Capital Structure '!$H$34/12</f>
        <v>24352.598241137228</v>
      </c>
      <c r="BG96" s="412">
        <f>'RGGI II On Bill Fin''g'!L45*('Capital Structure '!$H$18+'Capital Structure '!$H$21)/12</f>
        <v>47460.761020938</v>
      </c>
      <c r="BH96" s="415">
        <f t="shared" si="80"/>
        <v>107409.19039484739</v>
      </c>
      <c r="BI96" s="412"/>
      <c r="BJ96" s="419"/>
      <c r="BK96" s="373">
        <f t="shared" si="34"/>
        <v>339025.33839484735</v>
      </c>
      <c r="BL96" s="412"/>
      <c r="BM96" s="412">
        <f>'2013 program Invest Amort Def'!AW27</f>
        <v>351109.75533333333</v>
      </c>
      <c r="BN96" s="412"/>
      <c r="BO96" s="412">
        <f>(S96)*'Capital Structure '!$J$21/12</f>
        <v>15926.22915403064</v>
      </c>
      <c r="BP96" s="412">
        <f>(S96)*'Capital Structure '!$J$34/12</f>
        <v>34067.931687366967</v>
      </c>
      <c r="BQ96" s="412">
        <f>(S96)*'Capital Structure '!$J$18/12</f>
        <v>49329.697902270673</v>
      </c>
      <c r="BR96" s="412">
        <f>('2013 program 10 yr On Bill Fin'!M27+'2013 program 5 yr On Bill Fin'!L25+'2013 program 2 yr On Bill Fin'!M15)*'Capital Structure '!$J$34/12</f>
        <v>93015.279535631867</v>
      </c>
      <c r="BS96" s="412">
        <f>('2013 program 10 yr On Bill Fin'!M27+'2013 program 5 yr On Bill Fin'!L25+'2013 program 2 yr On Bill Fin'!M15)*('Capital Structure '!$J$18+'Capital Structure '!$J$21)/12</f>
        <v>178167.5022775</v>
      </c>
      <c r="BT96" s="544">
        <f t="shared" si="81"/>
        <v>370506.64055680012</v>
      </c>
      <c r="BU96" s="412"/>
      <c r="BV96" s="425">
        <v>257068.77000000002</v>
      </c>
      <c r="BW96" s="425">
        <f t="shared" si="48"/>
        <v>978685.16589013347</v>
      </c>
      <c r="BX96" s="412"/>
      <c r="BY96" s="412"/>
      <c r="BZ96" s="412"/>
      <c r="CA96" s="412"/>
      <c r="CB96" s="412"/>
      <c r="CC96" s="412"/>
      <c r="CD96" s="412"/>
      <c r="CE96" s="412"/>
      <c r="CF96" s="412"/>
      <c r="CG96" s="412"/>
      <c r="CH96" s="412"/>
      <c r="CI96" s="412"/>
      <c r="CJ96" s="412"/>
      <c r="CK96" s="412"/>
      <c r="CL96" s="412"/>
      <c r="CM96" s="412"/>
      <c r="CN96" s="412"/>
      <c r="CO96" s="412"/>
      <c r="CP96" s="412"/>
      <c r="CQ96" s="412"/>
      <c r="CR96" s="412"/>
      <c r="CS96" s="412"/>
      <c r="CT96" s="412"/>
      <c r="CU96" s="412"/>
      <c r="CV96" s="412"/>
      <c r="CW96" s="412"/>
      <c r="CX96" s="412"/>
      <c r="CY96" s="412">
        <f t="shared" si="73"/>
        <v>763621.32941623905</v>
      </c>
      <c r="CZ96" s="412">
        <f t="shared" si="82"/>
        <v>-6574285.1209957199</v>
      </c>
      <c r="DA96" s="412">
        <f t="shared" si="83"/>
        <v>-4114530.6572438213</v>
      </c>
      <c r="DB96" s="417">
        <v>1.8E-3</v>
      </c>
      <c r="DC96" s="418">
        <f t="shared" si="84"/>
        <v>-617.17959858657321</v>
      </c>
      <c r="DD96" s="419"/>
      <c r="DE96" s="420">
        <f t="shared" si="74"/>
        <v>6.9000000000000006E-2</v>
      </c>
      <c r="DF96" s="420">
        <f t="shared" si="75"/>
        <v>0.10502258664412509</v>
      </c>
      <c r="DG96" s="353"/>
      <c r="DH96" s="353"/>
      <c r="DI96" s="394"/>
      <c r="DJ96" s="353"/>
      <c r="DK96" s="353"/>
      <c r="DL96" s="353"/>
      <c r="DM96" s="353"/>
      <c r="DN96" s="353"/>
      <c r="DO96" s="353"/>
      <c r="DP96" s="353"/>
      <c r="DQ96" s="353"/>
      <c r="DR96" s="353"/>
      <c r="DS96" s="353"/>
      <c r="DT96" s="353"/>
      <c r="DU96" s="353"/>
      <c r="DV96" s="353"/>
      <c r="DW96" s="353"/>
      <c r="DX96" s="353"/>
      <c r="DY96" s="353"/>
      <c r="DZ96" s="353"/>
      <c r="EA96" s="353"/>
      <c r="EB96" s="353"/>
      <c r="EC96" s="353"/>
      <c r="ED96" s="353"/>
      <c r="EE96" s="353"/>
      <c r="EF96" s="353"/>
      <c r="EG96" s="353"/>
      <c r="EH96" s="353"/>
      <c r="EI96" s="353"/>
      <c r="EJ96" s="353"/>
      <c r="EK96" s="353"/>
      <c r="EL96" s="353"/>
      <c r="EM96" s="353"/>
      <c r="EN96" s="353"/>
      <c r="EO96" s="353"/>
      <c r="EP96" s="353"/>
      <c r="EQ96" s="353"/>
      <c r="ER96" s="353"/>
      <c r="ES96" s="353"/>
      <c r="ET96" s="353"/>
      <c r="EU96" s="353"/>
      <c r="EV96" s="353"/>
      <c r="EW96" s="353"/>
      <c r="EX96" s="353"/>
      <c r="EY96" s="353"/>
      <c r="EZ96" s="353"/>
      <c r="FA96" s="353"/>
      <c r="FB96" s="353"/>
      <c r="FC96" s="353"/>
      <c r="FD96" s="353"/>
      <c r="FE96" s="353"/>
      <c r="FF96" s="353"/>
      <c r="FG96" s="353"/>
      <c r="FH96" s="353"/>
      <c r="FI96" s="353"/>
      <c r="FJ96" s="353"/>
      <c r="FK96" s="353"/>
      <c r="FL96" s="353"/>
      <c r="FM96" s="353"/>
      <c r="FN96" s="353"/>
      <c r="FO96" s="353"/>
      <c r="FP96" s="353"/>
      <c r="FQ96" s="353"/>
    </row>
    <row r="97" spans="1:173" s="351" customFormat="1" hidden="1" outlineLevel="1">
      <c r="A97" s="430" t="s">
        <v>58</v>
      </c>
      <c r="B97" s="430">
        <v>2015</v>
      </c>
      <c r="C97" s="411" t="s">
        <v>47</v>
      </c>
      <c r="D97" s="412">
        <v>0</v>
      </c>
      <c r="E97" s="412">
        <v>0</v>
      </c>
      <c r="F97" s="413">
        <v>0</v>
      </c>
      <c r="G97" s="414"/>
      <c r="H97" s="412">
        <f>'RGGI - Invest Amort deferred'!AI58</f>
        <v>2249954.5149999931</v>
      </c>
      <c r="I97" s="412">
        <f>'RGGI - Invest Amort deferred'!AI58</f>
        <v>2249954.5149999931</v>
      </c>
      <c r="J97" s="413">
        <f>'RGGI - Invest Amort deferred'!BL58</f>
        <v>-919106.41937749973</v>
      </c>
      <c r="K97" s="413"/>
      <c r="L97" s="414">
        <f>'RGGI II Invest Amort Def'!AI46</f>
        <v>6486798.3199999994</v>
      </c>
      <c r="M97" s="414">
        <f>'RGGI II Invest Amort Def'!AI46</f>
        <v>6486798.3199999994</v>
      </c>
      <c r="N97" s="413">
        <f>'RGGI II Invest Amort Def'!BK46</f>
        <v>-2649857.1137200044</v>
      </c>
      <c r="O97" s="414"/>
      <c r="P97" s="425">
        <f>'2013 program Invest Amort Def'!AY28</f>
        <v>16722690.034166668</v>
      </c>
      <c r="Q97" s="425">
        <f>'2013 program Invest Amort Def'!AY28</f>
        <v>16722690.034166668</v>
      </c>
      <c r="R97" s="425">
        <f>'2013 program Invest Amort Def'!CQ28</f>
        <v>-5176504.4373033335</v>
      </c>
      <c r="S97" s="373">
        <f t="shared" si="72"/>
        <v>11546185.596863333</v>
      </c>
      <c r="T97" s="414"/>
      <c r="U97" s="414"/>
      <c r="V97" s="414"/>
      <c r="W97" s="414"/>
      <c r="X97" s="414"/>
      <c r="Y97" s="414"/>
      <c r="Z97" s="547">
        <v>21061467</v>
      </c>
      <c r="AA97" s="548">
        <v>3.0599999999999999E-2</v>
      </c>
      <c r="AB97" s="439">
        <f>+Z97*AA97</f>
        <v>644480.89020000002</v>
      </c>
      <c r="AC97" s="415"/>
      <c r="AD97" s="415"/>
      <c r="AE97" s="412"/>
      <c r="AF97" s="416">
        <v>0</v>
      </c>
      <c r="AG97" s="416">
        <v>0</v>
      </c>
      <c r="AH97" s="416">
        <v>0</v>
      </c>
      <c r="AI97" s="415">
        <v>0</v>
      </c>
      <c r="AJ97" s="412"/>
      <c r="AK97" s="415">
        <v>0</v>
      </c>
      <c r="AL97" s="415">
        <v>0</v>
      </c>
      <c r="AM97" s="412">
        <v>0</v>
      </c>
      <c r="AN97" s="419"/>
      <c r="AO97" s="372">
        <f>'RGGI - Invest Amort deferred'!AG58+'RGGI CHP'!V13</f>
        <v>172488.28666666665</v>
      </c>
      <c r="AP97" s="412"/>
      <c r="AQ97" s="412">
        <f>(H97+J97)*'Capital Structure '!$F$21/12</f>
        <v>2750.2706274135166</v>
      </c>
      <c r="AR97" s="412">
        <f>(H97+J97)*'Capital Structure '!$E$34/12</f>
        <v>4042.4638538786276</v>
      </c>
      <c r="AS97" s="412">
        <f>(H97+J97)*'Capital Structure '!$F$18/12</f>
        <v>5853.4084934374741</v>
      </c>
      <c r="AT97" s="412">
        <f>'RGGI - On-bill financing'!J58*'Capital Structure '!$E$34/12</f>
        <v>7843.1019061997804</v>
      </c>
      <c r="AU97" s="412">
        <f>'RGGI - On-bill financing'!J58*('Capital Structure '!$F$18+'Capital Structure '!$F$21)/12</f>
        <v>16692.674208659406</v>
      </c>
      <c r="AV97" s="415">
        <f t="shared" si="79"/>
        <v>37181.919089588802</v>
      </c>
      <c r="AW97" s="412"/>
      <c r="AX97" s="415">
        <v>0</v>
      </c>
      <c r="AY97" s="373">
        <f t="shared" si="58"/>
        <v>209670.20575625545</v>
      </c>
      <c r="AZ97" s="412"/>
      <c r="BA97" s="412">
        <f>'RGGI II Invest Amort Def'!AG46</f>
        <v>231616.14799999999</v>
      </c>
      <c r="BB97" s="412"/>
      <c r="BC97" s="412">
        <f>(L97+N97)*'Capital Structure '!$H$21/12</f>
        <v>5838.0819051602994</v>
      </c>
      <c r="BD97" s="412">
        <f>(L97+N97)*'Capital Structure '!$H$34/12</f>
        <v>11654.745712048629</v>
      </c>
      <c r="BE97" s="412">
        <f>(L97+N97)*'Capital Structure '!$H$18/12</f>
        <v>16875.843546332351</v>
      </c>
      <c r="BF97" s="412">
        <f>'RGGI II On Bill Fin''g'!L46*'Capital Structure '!$H$34/12</f>
        <v>24018.964505742711</v>
      </c>
      <c r="BG97" s="412">
        <f>'RGGI II On Bill Fin''g'!L46*('Capital Structure '!$H$18+'Capital Structure '!$H$21)/12</f>
        <v>46810.542476399547</v>
      </c>
      <c r="BH97" s="415">
        <f t="shared" si="80"/>
        <v>105198.17814568355</v>
      </c>
      <c r="BI97" s="412"/>
      <c r="BJ97" s="419"/>
      <c r="BK97" s="373">
        <f t="shared" si="34"/>
        <v>336814.32614568353</v>
      </c>
      <c r="BL97" s="412"/>
      <c r="BM97" s="412">
        <f>'2013 program Invest Amort Def'!AW28</f>
        <v>363001.42200000002</v>
      </c>
      <c r="BN97" s="412"/>
      <c r="BO97" s="412">
        <f>(S97)*'Capital Structure '!$J$21/12</f>
        <v>16203.147120931544</v>
      </c>
      <c r="BP97" s="412">
        <f>(S97)*'Capital Structure '!$J$34/12</f>
        <v>34660.289256013224</v>
      </c>
      <c r="BQ97" s="412">
        <f>(S97)*'Capital Structure '!$J$18/12</f>
        <v>50187.420061032615</v>
      </c>
      <c r="BR97" s="412">
        <f>('2013 program 10 yr On Bill Fin'!M28+'2013 program 5 yr On Bill Fin'!L26+'2013 program 2 yr On Bill Fin'!M16)*'Capital Structure '!$J$34/12</f>
        <v>95654.609580907723</v>
      </c>
      <c r="BS97" s="412">
        <f>('2013 program 10 yr On Bill Fin'!M28+'2013 program 5 yr On Bill Fin'!L26+'2013 program 2 yr On Bill Fin'!M16)*('Capital Structure '!$J$18+'Capital Structure '!$J$21)/12</f>
        <v>183223.04631500001</v>
      </c>
      <c r="BT97" s="544">
        <f t="shared" si="81"/>
        <v>379928.51233388507</v>
      </c>
      <c r="BU97" s="412"/>
      <c r="BV97" s="425">
        <v>345364.42</v>
      </c>
      <c r="BW97" s="425">
        <f t="shared" si="48"/>
        <v>1088294.354333885</v>
      </c>
      <c r="BX97" s="412"/>
      <c r="BY97" s="412"/>
      <c r="BZ97" s="412"/>
      <c r="CA97" s="412"/>
      <c r="CB97" s="412"/>
      <c r="CC97" s="412"/>
      <c r="CD97" s="412"/>
      <c r="CE97" s="412"/>
      <c r="CF97" s="412"/>
      <c r="CG97" s="412"/>
      <c r="CH97" s="412"/>
      <c r="CI97" s="412"/>
      <c r="CJ97" s="412"/>
      <c r="CK97" s="412"/>
      <c r="CL97" s="412"/>
      <c r="CM97" s="412"/>
      <c r="CN97" s="412"/>
      <c r="CO97" s="412"/>
      <c r="CP97" s="412"/>
      <c r="CQ97" s="412"/>
      <c r="CR97" s="412"/>
      <c r="CS97" s="412"/>
      <c r="CT97" s="412"/>
      <c r="CU97" s="412"/>
      <c r="CV97" s="412"/>
      <c r="CW97" s="412"/>
      <c r="CX97" s="412"/>
      <c r="CY97" s="412">
        <f t="shared" si="73"/>
        <v>990297.99603582383</v>
      </c>
      <c r="CZ97" s="412">
        <f t="shared" si="82"/>
        <v>-5583987.1249598963</v>
      </c>
      <c r="DA97" s="412">
        <f t="shared" si="83"/>
        <v>-3595809.0167413736</v>
      </c>
      <c r="DB97" s="417">
        <v>1.8E-3</v>
      </c>
      <c r="DC97" s="418">
        <f t="shared" si="84"/>
        <v>-539.37135251120606</v>
      </c>
      <c r="DD97" s="419"/>
      <c r="DE97" s="420">
        <f t="shared" si="74"/>
        <v>6.8999999999999992E-2</v>
      </c>
      <c r="DF97" s="420">
        <f t="shared" si="75"/>
        <v>0.10502258664412507</v>
      </c>
      <c r="DG97" s="353"/>
      <c r="DH97" s="353"/>
      <c r="DI97" s="394"/>
      <c r="DJ97" s="353"/>
      <c r="DK97" s="353"/>
      <c r="DL97" s="353"/>
      <c r="DM97" s="353"/>
      <c r="DN97" s="353"/>
      <c r="DO97" s="353"/>
      <c r="DP97" s="353"/>
      <c r="DQ97" s="353"/>
      <c r="DR97" s="353"/>
      <c r="DS97" s="353"/>
      <c r="DT97" s="353"/>
      <c r="DU97" s="353"/>
      <c r="DV97" s="353"/>
      <c r="DW97" s="353"/>
      <c r="DX97" s="353"/>
      <c r="DY97" s="353"/>
      <c r="DZ97" s="353"/>
      <c r="EA97" s="353"/>
      <c r="EB97" s="353"/>
      <c r="EC97" s="353"/>
      <c r="ED97" s="353"/>
      <c r="EE97" s="353"/>
      <c r="EF97" s="353"/>
      <c r="EG97" s="353"/>
      <c r="EH97" s="353"/>
      <c r="EI97" s="353"/>
      <c r="EJ97" s="353"/>
      <c r="EK97" s="353"/>
      <c r="EL97" s="353"/>
      <c r="EM97" s="353"/>
      <c r="EN97" s="353"/>
      <c r="EO97" s="353"/>
      <c r="EP97" s="353"/>
      <c r="EQ97" s="353"/>
      <c r="ER97" s="353"/>
      <c r="ES97" s="353"/>
      <c r="ET97" s="353"/>
      <c r="EU97" s="353"/>
      <c r="EV97" s="353"/>
      <c r="EW97" s="353"/>
      <c r="EX97" s="353"/>
      <c r="EY97" s="353"/>
      <c r="EZ97" s="353"/>
      <c r="FA97" s="353"/>
      <c r="FB97" s="353"/>
      <c r="FC97" s="353"/>
      <c r="FD97" s="353"/>
      <c r="FE97" s="353"/>
      <c r="FF97" s="353"/>
      <c r="FG97" s="353"/>
      <c r="FH97" s="353"/>
      <c r="FI97" s="353"/>
      <c r="FJ97" s="353"/>
      <c r="FK97" s="353"/>
      <c r="FL97" s="353"/>
      <c r="FM97" s="353"/>
      <c r="FN97" s="353"/>
      <c r="FO97" s="353"/>
      <c r="FP97" s="353"/>
      <c r="FQ97" s="353"/>
    </row>
    <row r="98" spans="1:173" s="351" customFormat="1" hidden="1" outlineLevel="1">
      <c r="A98" s="430" t="s">
        <v>59</v>
      </c>
      <c r="B98" s="430">
        <v>2015</v>
      </c>
      <c r="C98" s="411" t="s">
        <v>47</v>
      </c>
      <c r="D98" s="412">
        <v>0</v>
      </c>
      <c r="E98" s="412">
        <v>0</v>
      </c>
      <c r="F98" s="413">
        <v>0</v>
      </c>
      <c r="G98" s="414"/>
      <c r="H98" s="412">
        <f>'RGGI - Invest Amort deferred'!AI59</f>
        <v>2089966.2283333261</v>
      </c>
      <c r="I98" s="412">
        <f>'RGGI - Invest Amort deferred'!AI59</f>
        <v>2089966.2283333261</v>
      </c>
      <c r="J98" s="413">
        <f>'RGGI - Invest Amort deferred'!BL59</f>
        <v>-853751.20427416638</v>
      </c>
      <c r="K98" s="413"/>
      <c r="L98" s="414">
        <f>'RGGI II Invest Amort Def'!AI47</f>
        <v>6255182.1719999993</v>
      </c>
      <c r="M98" s="414">
        <f>'RGGI II Invest Amort Def'!AI47</f>
        <v>6255182.1719999993</v>
      </c>
      <c r="N98" s="413">
        <f>'RGGI II Invest Amort Def'!BK47</f>
        <v>-2555241.9172620047</v>
      </c>
      <c r="O98" s="414"/>
      <c r="P98" s="425">
        <f>'2013 program Invest Amort Def'!AY29</f>
        <v>16759025.539666668</v>
      </c>
      <c r="Q98" s="425">
        <f>'2013 program Invest Amort Def'!AY29</f>
        <v>16759025.539666668</v>
      </c>
      <c r="R98" s="425">
        <f>'2013 program Invest Amort Def'!CQ29</f>
        <v>-5318354.3978700833</v>
      </c>
      <c r="S98" s="373">
        <f t="shared" si="72"/>
        <v>11440671.141796585</v>
      </c>
      <c r="T98" s="414"/>
      <c r="U98" s="414"/>
      <c r="V98" s="414"/>
      <c r="W98" s="414"/>
      <c r="X98" s="414"/>
      <c r="Y98" s="414"/>
      <c r="Z98" s="547">
        <v>20354658.306000002</v>
      </c>
      <c r="AA98" s="548">
        <v>3.0599999999999999E-2</v>
      </c>
      <c r="AB98" s="439">
        <f t="shared" si="76"/>
        <v>622852.54416360008</v>
      </c>
      <c r="AC98" s="415"/>
      <c r="AD98" s="415"/>
      <c r="AE98" s="412"/>
      <c r="AF98" s="412">
        <v>0</v>
      </c>
      <c r="AG98" s="412">
        <v>0</v>
      </c>
      <c r="AH98" s="412">
        <v>0</v>
      </c>
      <c r="AI98" s="415">
        <v>0</v>
      </c>
      <c r="AJ98" s="412"/>
      <c r="AK98" s="415">
        <v>0</v>
      </c>
      <c r="AL98" s="415">
        <v>0</v>
      </c>
      <c r="AM98" s="412">
        <v>0</v>
      </c>
      <c r="AN98" s="421"/>
      <c r="AO98" s="372">
        <f>'RGGI - Invest Amort deferred'!AG59+'RGGI CHP'!V14</f>
        <v>172488.28666666665</v>
      </c>
      <c r="AP98" s="412"/>
      <c r="AQ98" s="412">
        <f>(H98+J98)*'Capital Structure '!$F$21/12</f>
        <v>2554.706191503331</v>
      </c>
      <c r="AR98" s="412">
        <f>(H98+J98)*'Capital Structure '!$E$34/12</f>
        <v>3755.0149914317449</v>
      </c>
      <c r="AS98" s="412">
        <f>(H98+J98)*'Capital Structure '!$F$18/12</f>
        <v>5437.1881699678761</v>
      </c>
      <c r="AT98" s="412">
        <f>'RGGI - On-bill financing'!J59*'Capital Structure '!$E$34/12</f>
        <v>7723.2395300037279</v>
      </c>
      <c r="AU98" s="412">
        <f>'RGGI - On-bill financing'!J59*('Capital Structure '!$F$18+'Capital Structure '!$F$21)/12</f>
        <v>16437.568050452424</v>
      </c>
      <c r="AV98" s="415">
        <f t="shared" si="79"/>
        <v>35907.716933359101</v>
      </c>
      <c r="AW98" s="412"/>
      <c r="AX98" s="415">
        <v>0</v>
      </c>
      <c r="AY98" s="373">
        <f t="shared" si="58"/>
        <v>208396.00360002575</v>
      </c>
      <c r="AZ98" s="412"/>
      <c r="BA98" s="412">
        <f>'RGGI II Invest Amort Def'!AG47</f>
        <v>231616.14799999999</v>
      </c>
      <c r="BB98" s="412"/>
      <c r="BC98" s="412">
        <f>(L98+N98)*'Capital Structure '!$H$21/12</f>
        <v>5629.6286781788667</v>
      </c>
      <c r="BD98" s="412">
        <f>(L98+N98)*'Capital Structure '!$H$34/12</f>
        <v>11238.604007839729</v>
      </c>
      <c r="BE98" s="412">
        <f>(L98+N98)*'Capital Structure '!$H$18/12</f>
        <v>16273.2785082918</v>
      </c>
      <c r="BF98" s="412">
        <f>'RGGI II On Bill Fin''g'!L47*'Capital Structure '!$H$34/12</f>
        <v>23643.543933163019</v>
      </c>
      <c r="BG98" s="412">
        <f>'RGGI II On Bill Fin''g'!L47*('Capital Structure '!$H$18+'Capital Structure '!$H$21)/12</f>
        <v>46078.885595227417</v>
      </c>
      <c r="BH98" s="415">
        <f t="shared" si="80"/>
        <v>102863.94072270083</v>
      </c>
      <c r="BI98" s="412"/>
      <c r="BJ98" s="421"/>
      <c r="BK98" s="373">
        <f t="shared" si="34"/>
        <v>334480.08872270084</v>
      </c>
      <c r="BL98" s="412"/>
      <c r="BM98" s="412">
        <f>'2013 program Invest Amort Def'!AW29</f>
        <v>369769.84450000001</v>
      </c>
      <c r="BN98" s="412"/>
      <c r="BO98" s="412">
        <f>(S98)*'Capital Structure '!$J$21/12</f>
        <v>16055.075168987874</v>
      </c>
      <c r="BP98" s="412">
        <f>(S98)*'Capital Structure '!$J$34/12</f>
        <v>34343.547289359092</v>
      </c>
      <c r="BQ98" s="412">
        <f>(S98)*'Capital Structure '!$J$18/12</f>
        <v>49728.783896342495</v>
      </c>
      <c r="BR98" s="412">
        <f>('2013 program 10 yr On Bill Fin'!M29+'2013 program 5 yr On Bill Fin'!L27+'2013 program 2 yr On Bill Fin'!M17)*'Capital Structure '!$J$34/12</f>
        <v>96831.848755632105</v>
      </c>
      <c r="BS98" s="412">
        <f>('2013 program 10 yr On Bill Fin'!M29+'2013 program 5 yr On Bill Fin'!L27+'2013 program 2 yr On Bill Fin'!M17)*('Capital Structure '!$J$18+'Capital Structure '!$J$21)/12</f>
        <v>185478.00662250002</v>
      </c>
      <c r="BT98" s="431">
        <f>SUM(BO98:BS98)</f>
        <v>382437.26173282159</v>
      </c>
      <c r="BU98" s="412"/>
      <c r="BV98" s="425">
        <v>1022632.01</v>
      </c>
      <c r="BW98" s="425">
        <f t="shared" si="48"/>
        <v>1774839.1162328217</v>
      </c>
      <c r="BX98" s="412"/>
      <c r="BY98" s="412"/>
      <c r="BZ98" s="412"/>
      <c r="CA98" s="412"/>
      <c r="CB98" s="412"/>
      <c r="CC98" s="412"/>
      <c r="CD98" s="412"/>
      <c r="CE98" s="412"/>
      <c r="CF98" s="412"/>
      <c r="CG98" s="412"/>
      <c r="CH98" s="412"/>
      <c r="CI98" s="412"/>
      <c r="CJ98" s="412"/>
      <c r="CK98" s="412"/>
      <c r="CL98" s="412"/>
      <c r="CM98" s="412"/>
      <c r="CN98" s="412"/>
      <c r="CO98" s="412"/>
      <c r="CP98" s="412"/>
      <c r="CQ98" s="412"/>
      <c r="CR98" s="412"/>
      <c r="CS98" s="412"/>
      <c r="CT98" s="412"/>
      <c r="CU98" s="412"/>
      <c r="CV98" s="412"/>
      <c r="CW98" s="412"/>
      <c r="CX98" s="412"/>
      <c r="CY98" s="412">
        <f t="shared" si="73"/>
        <v>1694862.6643919479</v>
      </c>
      <c r="CZ98" s="412">
        <f t="shared" si="82"/>
        <v>-3889124.4605679484</v>
      </c>
      <c r="DA98" s="412">
        <f t="shared" si="83"/>
        <v>-2801672.7514198604</v>
      </c>
      <c r="DB98" s="417">
        <v>1.8E-3</v>
      </c>
      <c r="DC98" s="415">
        <f t="shared" si="84"/>
        <v>-420.25091271297902</v>
      </c>
      <c r="DD98" s="419"/>
      <c r="DE98" s="420">
        <f t="shared" si="74"/>
        <v>6.9000000000000006E-2</v>
      </c>
      <c r="DF98" s="420">
        <f t="shared" si="75"/>
        <v>0.10502258664412509</v>
      </c>
      <c r="DG98" s="353"/>
      <c r="DH98" s="353"/>
      <c r="DI98" s="394"/>
      <c r="DJ98" s="353"/>
      <c r="DK98" s="353"/>
      <c r="DL98" s="353"/>
      <c r="DM98" s="353"/>
      <c r="DN98" s="353"/>
      <c r="DO98" s="353"/>
      <c r="DP98" s="353"/>
      <c r="DQ98" s="353"/>
      <c r="DR98" s="353"/>
      <c r="DS98" s="353"/>
      <c r="DT98" s="353"/>
      <c r="DU98" s="353"/>
      <c r="DV98" s="353"/>
      <c r="DW98" s="353"/>
      <c r="DX98" s="353"/>
      <c r="DY98" s="353"/>
      <c r="DZ98" s="353"/>
      <c r="EA98" s="353"/>
      <c r="EB98" s="353"/>
      <c r="EC98" s="353"/>
      <c r="ED98" s="353"/>
      <c r="EE98" s="353"/>
      <c r="EF98" s="353"/>
      <c r="EG98" s="353"/>
      <c r="EH98" s="353"/>
      <c r="EI98" s="353"/>
      <c r="EJ98" s="353"/>
      <c r="EK98" s="353"/>
      <c r="EL98" s="353"/>
      <c r="EM98" s="353"/>
      <c r="EN98" s="353"/>
      <c r="EO98" s="353"/>
      <c r="EP98" s="353"/>
      <c r="EQ98" s="353"/>
      <c r="ER98" s="353"/>
      <c r="ES98" s="353"/>
      <c r="ET98" s="353"/>
      <c r="EU98" s="353"/>
      <c r="EV98" s="353"/>
      <c r="EW98" s="353"/>
      <c r="EX98" s="353"/>
      <c r="EY98" s="353"/>
      <c r="EZ98" s="353"/>
      <c r="FA98" s="353"/>
      <c r="FB98" s="353"/>
      <c r="FC98" s="353"/>
      <c r="FD98" s="353"/>
      <c r="FE98" s="353"/>
      <c r="FF98" s="353"/>
      <c r="FG98" s="353"/>
      <c r="FH98" s="353"/>
      <c r="FI98" s="353"/>
      <c r="FJ98" s="353"/>
      <c r="FK98" s="353"/>
      <c r="FL98" s="353"/>
      <c r="FM98" s="353"/>
      <c r="FN98" s="353"/>
      <c r="FO98" s="353"/>
      <c r="FP98" s="353"/>
      <c r="FQ98" s="353"/>
    </row>
    <row r="99" spans="1:173" s="351" customFormat="1" hidden="1" outlineLevel="1">
      <c r="A99" s="430" t="s">
        <v>46</v>
      </c>
      <c r="B99" s="430">
        <v>2015</v>
      </c>
      <c r="C99" s="411" t="s">
        <v>47</v>
      </c>
      <c r="D99" s="412">
        <v>0</v>
      </c>
      <c r="E99" s="412">
        <v>0</v>
      </c>
      <c r="F99" s="413">
        <v>0</v>
      </c>
      <c r="G99" s="414"/>
      <c r="H99" s="412">
        <f>'RGGI - Invest Amort deferred'!AI60</f>
        <v>1929977.941666659</v>
      </c>
      <c r="I99" s="412">
        <f>'RGGI - Invest Amort deferred'!AI60</f>
        <v>1929977.941666659</v>
      </c>
      <c r="J99" s="413">
        <f>'RGGI - Invest Amort deferred'!BL60</f>
        <v>-788395.98917083303</v>
      </c>
      <c r="K99" s="413"/>
      <c r="L99" s="414">
        <f>'RGGI II Invest Amort Def'!AI48</f>
        <v>6023566.0239999993</v>
      </c>
      <c r="M99" s="414">
        <f>'RGGI II Invest Amort Def'!AI48</f>
        <v>6023566.0239999993</v>
      </c>
      <c r="N99" s="413">
        <f>'RGGI II Invest Amort Def'!BK48</f>
        <v>-2460626.7208040049</v>
      </c>
      <c r="O99" s="414"/>
      <c r="P99" s="425">
        <f>'2013 program Invest Amort Def'!AY30</f>
        <v>17082505.69516667</v>
      </c>
      <c r="Q99" s="425">
        <f>'2013 program Invest Amort Def'!AY30</f>
        <v>17082505.69516667</v>
      </c>
      <c r="R99" s="425">
        <f>'2013 program Invest Amort Def'!CQ30</f>
        <v>-5457413.1630410003</v>
      </c>
      <c r="S99" s="373">
        <f t="shared" si="72"/>
        <v>11625092.53212567</v>
      </c>
      <c r="T99" s="414"/>
      <c r="U99" s="414">
        <f>'2015 Program Invest Amort Def'!BT5</f>
        <v>54575</v>
      </c>
      <c r="V99" s="414">
        <f>'2015 Program Invest Amort Def'!BT5</f>
        <v>54575</v>
      </c>
      <c r="W99" s="414">
        <f>'2015 Program Invest Amort Def'!EG5</f>
        <v>-1511.4499999999998</v>
      </c>
      <c r="X99" s="414">
        <f>U99+W99</f>
        <v>53063.55</v>
      </c>
      <c r="Y99" s="414"/>
      <c r="Z99" s="436">
        <v>17757825.914000012</v>
      </c>
      <c r="AA99" s="549">
        <v>3.0599999999999999E-2</v>
      </c>
      <c r="AB99" s="439">
        <f t="shared" si="76"/>
        <v>543389.47296840034</v>
      </c>
      <c r="AC99" s="415"/>
      <c r="AD99" s="415"/>
      <c r="AE99" s="412"/>
      <c r="AF99" s="412">
        <v>0</v>
      </c>
      <c r="AG99" s="412">
        <v>0</v>
      </c>
      <c r="AH99" s="412">
        <v>0</v>
      </c>
      <c r="AI99" s="415">
        <v>0</v>
      </c>
      <c r="AJ99" s="412"/>
      <c r="AK99" s="415">
        <v>0</v>
      </c>
      <c r="AL99" s="415">
        <v>0</v>
      </c>
      <c r="AM99" s="412">
        <v>0</v>
      </c>
      <c r="AN99" s="421"/>
      <c r="AO99" s="372">
        <f>'RGGI - Invest Amort deferred'!AG60+'RGGI CHP'!V15</f>
        <v>172488.28666666665</v>
      </c>
      <c r="AP99" s="412"/>
      <c r="AQ99" s="412">
        <f>(H99+J99)*'Capital Structure '!$F$21/12</f>
        <v>2359.1417555931453</v>
      </c>
      <c r="AR99" s="412">
        <f>(H99+J99)*'Capital Structure '!$E$34/12</f>
        <v>3467.5661289848617</v>
      </c>
      <c r="AS99" s="412">
        <f>(H99+J99)*'Capital Structure '!$F$18/12</f>
        <v>5020.9678464982771</v>
      </c>
      <c r="AT99" s="412">
        <f>'RGGI - On-bill financing'!J60*'Capital Structure '!$E$34/12</f>
        <v>7608.0642437314045</v>
      </c>
      <c r="AU99" s="412">
        <f>'RGGI - On-bill financing'!J60*('Capital Structure '!$F$18+'Capital Structure '!$F$21)/12</f>
        <v>16192.437545503453</v>
      </c>
      <c r="AV99" s="415">
        <f t="shared" si="79"/>
        <v>34648.177520311147</v>
      </c>
      <c r="AW99" s="412"/>
      <c r="AX99" s="415">
        <v>0</v>
      </c>
      <c r="AY99" s="373">
        <f t="shared" si="58"/>
        <v>207136.4641869778</v>
      </c>
      <c r="AZ99" s="412"/>
      <c r="BA99" s="412">
        <f>'RGGI II Invest Amort Def'!AG48</f>
        <v>231616.14799999999</v>
      </c>
      <c r="BB99" s="412"/>
      <c r="BC99" s="412">
        <f>(L99+N99)*'Capital Structure '!$H$21/12</f>
        <v>5421.175451197435</v>
      </c>
      <c r="BD99" s="412">
        <f>(L99+N99)*'Capital Structure '!$H$34/12</f>
        <v>10822.462303630829</v>
      </c>
      <c r="BE99" s="412">
        <f>(L99+N99)*'Capital Structure '!$H$18/12</f>
        <v>15670.71347025125</v>
      </c>
      <c r="BF99" s="412">
        <f>'RGGI II On Bill Fin''g'!L48*'Capital Structure '!$H$34/12</f>
        <v>23325.060991854683</v>
      </c>
      <c r="BG99" s="412">
        <f>'RGGI II On Bill Fin''g'!L48*('Capital Structure '!$H$18+'Capital Structure '!$H$21)/12</f>
        <v>45458.194422277047</v>
      </c>
      <c r="BH99" s="415">
        <f t="shared" si="80"/>
        <v>100697.60663921124</v>
      </c>
      <c r="BI99" s="412"/>
      <c r="BJ99" s="421"/>
      <c r="BK99" s="373">
        <f t="shared" si="34"/>
        <v>332313.75463921123</v>
      </c>
      <c r="BL99" s="412"/>
      <c r="BM99" s="412">
        <f>'2013 program Invest Amort Def'!AW30</f>
        <v>381519.84450000001</v>
      </c>
      <c r="BN99" s="412"/>
      <c r="BO99" s="412">
        <f>(S99)*'Capital Structure '!$J$21/12</f>
        <v>16313.879853416358</v>
      </c>
      <c r="BP99" s="412">
        <f>(S99)*'Capital Structure '!$J$34/12</f>
        <v>34897.158582039046</v>
      </c>
      <c r="BQ99" s="412">
        <f>(S99)*'Capital Structure '!$J$18/12</f>
        <v>50530.402206306251</v>
      </c>
      <c r="BR99" s="412">
        <f>('2013 program 10 yr On Bill Fin'!M30+'2013 program 5 yr On Bill Fin'!L28+'2013 program 2 yr On Bill Fin'!M18)*'Capital Structure '!$J$34/12</f>
        <v>100297.82893160773</v>
      </c>
      <c r="BS99" s="412">
        <f>('2013 program 10 yr On Bill Fin'!M30+'2013 program 5 yr On Bill Fin'!L28+'2013 program 2 yr On Bill Fin'!M18)*('Capital Structure '!$J$18+'Capital Structure '!$J$21)/12</f>
        <v>192116.96996250001</v>
      </c>
      <c r="BT99" s="431">
        <f t="shared" si="81"/>
        <v>394156.23953586939</v>
      </c>
      <c r="BU99" s="412"/>
      <c r="BV99" s="425">
        <v>0</v>
      </c>
      <c r="BW99" s="425">
        <f t="shared" si="48"/>
        <v>775676.08403586945</v>
      </c>
      <c r="BX99" s="412"/>
      <c r="BY99" s="412">
        <f>'2015 Program Invest Amort Def'!BR5</f>
        <v>925</v>
      </c>
      <c r="BZ99" s="412"/>
      <c r="CA99" s="412">
        <f>X99*'Capital Structure '!$L$21/12</f>
        <v>66.329437500000012</v>
      </c>
      <c r="CB99" s="412">
        <f>(X99)*'Capital Structure '!$L$34/12</f>
        <v>158.49651776310228</v>
      </c>
      <c r="CC99" s="412">
        <f>(X99)*'Capital Structure '!$L$18/12</f>
        <v>229.49985375000003</v>
      </c>
      <c r="CD99" s="412">
        <f>('2015 Program 10-Year OBRP'!P5+'2015 Program 7-Year OBRP'!M5+'2015 Program 5-Year OBRP'!K5+'2015 Program 3-Year OBRP'!K5)*('Capital Structure '!$L$34/12)</f>
        <v>19.414972527472528</v>
      </c>
      <c r="CE99" s="412">
        <f>('2015 Program 10-Year OBRP'!P5+'2015 Program 7-Year OBRP'!M5+'2015 Program 5-Year OBRP'!K5+'2015 Program 3-Year OBRP'!K5)*(('Capital Structure '!$L$21/12)+('Capital Structure '!$L$18/12))</f>
        <v>36.237499999999997</v>
      </c>
      <c r="CF99" s="412">
        <f>SUM(CA99:CE99)</f>
        <v>509.97828154057487</v>
      </c>
      <c r="CG99" s="412"/>
      <c r="CH99" s="412"/>
      <c r="CI99" s="393">
        <v>303246.37</v>
      </c>
      <c r="CJ99" s="412">
        <f>BY99+CF99+CI99</f>
        <v>304681.34828154056</v>
      </c>
      <c r="CK99" s="412"/>
      <c r="CL99" s="412"/>
      <c r="CM99" s="412"/>
      <c r="CN99" s="412"/>
      <c r="CO99" s="412"/>
      <c r="CP99" s="412"/>
      <c r="CQ99" s="412"/>
      <c r="CR99" s="412"/>
      <c r="CS99" s="412"/>
      <c r="CT99" s="412"/>
      <c r="CU99" s="412"/>
      <c r="CV99" s="412"/>
      <c r="CW99" s="412"/>
      <c r="CX99" s="412"/>
      <c r="CY99" s="412">
        <f>+BW99+BK99+AY99+AM99+CJ99-AB99</f>
        <v>1076418.1781751988</v>
      </c>
      <c r="CZ99" s="412">
        <f t="shared" si="82"/>
        <v>-2812706.2823927496</v>
      </c>
      <c r="DA99" s="412">
        <f t="shared" si="83"/>
        <v>-1982066.4422306265</v>
      </c>
      <c r="DB99" s="417">
        <v>1.8E-3</v>
      </c>
      <c r="DC99" s="415">
        <f t="shared" si="84"/>
        <v>-297.30996633459398</v>
      </c>
      <c r="DD99" s="421"/>
      <c r="DE99" s="420">
        <f t="shared" si="74"/>
        <v>6.9000000000000006E-2</v>
      </c>
      <c r="DF99" s="420">
        <f t="shared" si="75"/>
        <v>0.10502258664412509</v>
      </c>
      <c r="DG99" s="420">
        <f>(CA99+CC99)/(X99)*12</f>
        <v>6.6900000000000001E-2</v>
      </c>
      <c r="DH99" s="420">
        <f>(CA99+CB99+CC99)/(X99)*12</f>
        <v>0.10274302620456467</v>
      </c>
      <c r="DI99" s="394"/>
      <c r="DJ99" s="353"/>
      <c r="DK99" s="353"/>
      <c r="DL99" s="353"/>
      <c r="DM99" s="353"/>
      <c r="DN99" s="353"/>
      <c r="DO99" s="353"/>
      <c r="DP99" s="353"/>
      <c r="DQ99" s="353"/>
      <c r="DR99" s="353"/>
      <c r="DS99" s="353"/>
      <c r="DT99" s="353"/>
      <c r="DU99" s="353"/>
      <c r="DV99" s="353"/>
      <c r="DW99" s="353"/>
      <c r="DX99" s="353"/>
      <c r="DY99" s="353"/>
      <c r="DZ99" s="353"/>
      <c r="EA99" s="353"/>
      <c r="EB99" s="353"/>
      <c r="EC99" s="353"/>
      <c r="ED99" s="353"/>
      <c r="EE99" s="353"/>
      <c r="EF99" s="353"/>
      <c r="EG99" s="353"/>
      <c r="EH99" s="353"/>
      <c r="EI99" s="353"/>
      <c r="EJ99" s="353"/>
      <c r="EK99" s="353"/>
      <c r="EL99" s="353"/>
      <c r="EM99" s="353"/>
      <c r="EN99" s="353"/>
      <c r="EO99" s="353"/>
      <c r="EP99" s="353"/>
      <c r="EQ99" s="353"/>
      <c r="ER99" s="353"/>
      <c r="ES99" s="353"/>
      <c r="ET99" s="353"/>
      <c r="EU99" s="353"/>
      <c r="EV99" s="353"/>
      <c r="EW99" s="353"/>
      <c r="EX99" s="353"/>
      <c r="EY99" s="353"/>
      <c r="EZ99" s="353"/>
      <c r="FA99" s="353"/>
      <c r="FB99" s="353"/>
      <c r="FC99" s="353"/>
      <c r="FD99" s="353"/>
      <c r="FE99" s="353"/>
      <c r="FF99" s="353"/>
      <c r="FG99" s="353"/>
      <c r="FH99" s="353"/>
      <c r="FI99" s="353"/>
      <c r="FJ99" s="353"/>
      <c r="FK99" s="353"/>
      <c r="FL99" s="353"/>
      <c r="FM99" s="353"/>
      <c r="FN99" s="353"/>
      <c r="FO99" s="353"/>
      <c r="FP99" s="353"/>
      <c r="FQ99" s="353"/>
    </row>
    <row r="100" spans="1:173" s="351" customFormat="1" ht="17.25" hidden="1" outlineLevel="1">
      <c r="A100" s="430" t="s">
        <v>48</v>
      </c>
      <c r="B100" s="430">
        <v>2015</v>
      </c>
      <c r="C100" s="411" t="s">
        <v>47</v>
      </c>
      <c r="D100" s="412">
        <v>0</v>
      </c>
      <c r="E100" s="412">
        <v>0</v>
      </c>
      <c r="F100" s="414">
        <v>0</v>
      </c>
      <c r="G100" s="550"/>
      <c r="H100" s="412">
        <f>'RGGI - Invest Amort deferred'!AI61</f>
        <v>1769989.6549999919</v>
      </c>
      <c r="I100" s="412">
        <f>'RGGI - Invest Amort deferred'!AI61</f>
        <v>1769989.6549999919</v>
      </c>
      <c r="J100" s="413">
        <f>'RGGI - Invest Amort deferred'!BL61</f>
        <v>-723040.77406749967</v>
      </c>
      <c r="K100" s="551"/>
      <c r="L100" s="414">
        <f>'RGGI II Invest Amort Def'!AI49</f>
        <v>5791949.8759999992</v>
      </c>
      <c r="M100" s="414">
        <f>'RGGI II Invest Amort Def'!AI49</f>
        <v>5791949.8759999992</v>
      </c>
      <c r="N100" s="413">
        <f>'RGGI II Invest Amort Def'!BK49</f>
        <v>-2366011.5243460052</v>
      </c>
      <c r="O100" s="550"/>
      <c r="P100" s="425">
        <f>'2013 program Invest Amort Def'!AY31</f>
        <v>17554243.850666668</v>
      </c>
      <c r="Q100" s="425">
        <f>'2013 program Invest Amort Def'!AY31</f>
        <v>17554243.850666668</v>
      </c>
      <c r="R100" s="425">
        <f>'2013 program Invest Amort Def'!CQ31</f>
        <v>-5586405.671211917</v>
      </c>
      <c r="S100" s="373">
        <f t="shared" si="72"/>
        <v>11967838.179454751</v>
      </c>
      <c r="T100" s="550"/>
      <c r="U100" s="414">
        <f>'2015 Program Invest Amort Def'!BT6</f>
        <v>210590</v>
      </c>
      <c r="V100" s="414">
        <f>'2015 Program Invest Amort Def'!BT6</f>
        <v>210590</v>
      </c>
      <c r="W100" s="414">
        <f>'2015 Program Invest Amort Def'!EG6</f>
        <v>-7369.3399999999992</v>
      </c>
      <c r="X100" s="414">
        <f>U100+W100</f>
        <v>203220.66</v>
      </c>
      <c r="Y100" s="550"/>
      <c r="Z100" s="552">
        <v>18638430.727500007</v>
      </c>
      <c r="AA100" s="549">
        <v>3.0599999999999999E-2</v>
      </c>
      <c r="AB100" s="482">
        <f t="shared" si="76"/>
        <v>570335.98026150023</v>
      </c>
      <c r="AC100" s="422"/>
      <c r="AD100" s="440"/>
      <c r="AE100" s="423"/>
      <c r="AF100" s="424">
        <v>0</v>
      </c>
      <c r="AG100" s="424">
        <v>0</v>
      </c>
      <c r="AH100" s="424">
        <v>0</v>
      </c>
      <c r="AI100" s="440">
        <v>0</v>
      </c>
      <c r="AJ100" s="423"/>
      <c r="AK100" s="440">
        <v>0</v>
      </c>
      <c r="AL100" s="440">
        <v>0</v>
      </c>
      <c r="AM100" s="424">
        <v>0</v>
      </c>
      <c r="AN100" s="553"/>
      <c r="AO100" s="383">
        <f>'RGGI - Invest Amort deferred'!AG61+'RGGI CHP'!V16</f>
        <v>172488.28666666665</v>
      </c>
      <c r="AP100" s="423"/>
      <c r="AQ100" s="424">
        <f>(H100+J100)*'Capital Structure '!$F$21/12</f>
        <v>2163.5773196829591</v>
      </c>
      <c r="AR100" s="424">
        <f>(H100+J100)*'Capital Structure '!$E$34/12</f>
        <v>3180.1172665379795</v>
      </c>
      <c r="AS100" s="424">
        <f>(H100+J100)*'Capital Structure '!$F$18/12</f>
        <v>4604.7475230286773</v>
      </c>
      <c r="AT100" s="424">
        <f>'RGGI - On-bill financing'!J61*'Capital Structure '!$E$34/12</f>
        <v>7454.6351691789359</v>
      </c>
      <c r="AU100" s="424">
        <f>'RGGI - On-bill financing'!J61*('Capital Structure '!$F$18+'Capital Structure '!$F$21)/12</f>
        <v>15865.890525425091</v>
      </c>
      <c r="AV100" s="440">
        <f t="shared" si="79"/>
        <v>33268.967803853644</v>
      </c>
      <c r="AW100" s="423"/>
      <c r="AX100" s="440">
        <v>0</v>
      </c>
      <c r="AY100" s="379">
        <f t="shared" si="58"/>
        <v>205757.2544705203</v>
      </c>
      <c r="AZ100" s="423"/>
      <c r="BA100" s="424">
        <f>'RGGI II Invest Amort Def'!AG49</f>
        <v>231616.14799999999</v>
      </c>
      <c r="BB100" s="423"/>
      <c r="BC100" s="424">
        <f>(L100+N100)*'Capital Structure '!$H$21/12</f>
        <v>5212.7222242160024</v>
      </c>
      <c r="BD100" s="424">
        <f>(L100+N100)*'Capital Structure '!$H$34/12</f>
        <v>10406.32059942193</v>
      </c>
      <c r="BE100" s="424">
        <f>(L100+N100)*'Capital Structure '!$H$18/12</f>
        <v>15068.148432210701</v>
      </c>
      <c r="BF100" s="424">
        <f>'RGGI II On Bill Fin''g'!L49*'Capital Structure '!$H$34/12</f>
        <v>23048.599626472671</v>
      </c>
      <c r="BG100" s="424">
        <f>'RGGI II On Bill Fin''g'!L49*('Capital Structure '!$H$18+'Capital Structure '!$H$21)/12</f>
        <v>44919.399068122468</v>
      </c>
      <c r="BH100" s="440">
        <f t="shared" si="80"/>
        <v>98655.189950443775</v>
      </c>
      <c r="BI100" s="423"/>
      <c r="BJ100" s="554"/>
      <c r="BK100" s="379">
        <f t="shared" si="34"/>
        <v>330271.33795044373</v>
      </c>
      <c r="BL100" s="412"/>
      <c r="BM100" s="424">
        <f>'2013 program Invest Amort Def'!AW31</f>
        <v>395981.84450000001</v>
      </c>
      <c r="BN100" s="424"/>
      <c r="BO100" s="424">
        <f>(S100)*'Capital Structure '!$J$21/12</f>
        <v>16794.86624516817</v>
      </c>
      <c r="BP100" s="424">
        <f>(S100)*'Capital Structure '!$J$34/12</f>
        <v>35926.040646856425</v>
      </c>
      <c r="BQ100" s="424">
        <f>(S100)*'Capital Structure '!$J$18/12</f>
        <v>52020.203286696655</v>
      </c>
      <c r="BR100" s="424">
        <f>('2013 program 10 yr On Bill Fin'!M31+'2013 program 5 yr On Bill Fin'!L29+'2013 program 2 yr On Bill Fin'!M19)*'Capital Structure '!$J$34/12</f>
        <v>104975.14768308861</v>
      </c>
      <c r="BS100" s="424">
        <f>('2013 program 10 yr On Bill Fin'!M31+'2013 program 5 yr On Bill Fin'!L29+'2013 program 2 yr On Bill Fin'!M19)*('Capital Structure '!$J$18+'Capital Structure '!$J$21)/12</f>
        <v>201076.20981499998</v>
      </c>
      <c r="BT100" s="431">
        <f t="shared" si="81"/>
        <v>410792.46767680987</v>
      </c>
      <c r="BU100" s="423"/>
      <c r="BV100" s="424">
        <v>0</v>
      </c>
      <c r="BW100" s="424">
        <f t="shared" si="48"/>
        <v>806774.31217680988</v>
      </c>
      <c r="BX100" s="412"/>
      <c r="BY100" s="424">
        <f>'2015 Program Invest Amort Def'!BR6</f>
        <v>3585</v>
      </c>
      <c r="BZ100" s="412"/>
      <c r="CA100" s="424">
        <f>X100*'Capital Structure '!$L$21/12</f>
        <v>254.02582500000003</v>
      </c>
      <c r="CB100" s="424">
        <f>(X100)*'Capital Structure '!$L$34/12</f>
        <v>607.00362014074392</v>
      </c>
      <c r="CC100" s="424">
        <f>(X100)*'Capital Structure '!$L$18/12</f>
        <v>878.92935450000004</v>
      </c>
      <c r="CD100" s="424">
        <f>('2015 Program 10-Year OBRP'!P6+'2015 Program 7-Year OBRP'!M6+'2015 Program 5-Year OBRP'!K6+'2015 Program 3-Year OBRP'!K6)*('Capital Structure '!$L$34/12)</f>
        <v>525.90429297464073</v>
      </c>
      <c r="CE100" s="424">
        <f>('2015 Program 10-Year OBRP'!P6+'2015 Program 7-Year OBRP'!M6+'2015 Program 5-Year OBRP'!K6+'2015 Program 3-Year OBRP'!K6)*(('Capital Structure '!$L$21/12)+('Capital Structure '!$L$18/12))</f>
        <v>981.58556700000008</v>
      </c>
      <c r="CF100" s="424">
        <f t="shared" ref="CF100:CF115" si="85">SUM(CA100:CE100)</f>
        <v>3247.4486596153847</v>
      </c>
      <c r="CG100" s="412"/>
      <c r="CH100" s="412"/>
      <c r="CI100" s="481">
        <v>356183.37</v>
      </c>
      <c r="CJ100" s="424">
        <f>BY100+CF100+CI100</f>
        <v>363015.81865961535</v>
      </c>
      <c r="CK100" s="412"/>
      <c r="CL100" s="412"/>
      <c r="CM100" s="412"/>
      <c r="CN100" s="412"/>
      <c r="CO100" s="412"/>
      <c r="CP100" s="412"/>
      <c r="CQ100" s="412"/>
      <c r="CR100" s="412"/>
      <c r="CS100" s="412"/>
      <c r="CT100" s="412"/>
      <c r="CU100" s="412"/>
      <c r="CV100" s="412"/>
      <c r="CW100" s="412"/>
      <c r="CX100" s="412"/>
      <c r="CY100" s="412">
        <f>+BW100+BK100+AY100+AM100+CJ100-AB100</f>
        <v>1135482.7429958887</v>
      </c>
      <c r="CZ100" s="412">
        <f t="shared" si="82"/>
        <v>-1677223.5393968609</v>
      </c>
      <c r="DA100" s="412">
        <f t="shared" si="83"/>
        <v>-1327896.7447942772</v>
      </c>
      <c r="DB100" s="417">
        <v>2E-3</v>
      </c>
      <c r="DC100" s="383">
        <f t="shared" si="84"/>
        <v>-221.31612413237954</v>
      </c>
      <c r="DD100" s="421"/>
      <c r="DE100" s="420">
        <f t="shared" si="74"/>
        <v>6.9000000000000006E-2</v>
      </c>
      <c r="DF100" s="420">
        <f t="shared" si="75"/>
        <v>0.10502258664412509</v>
      </c>
      <c r="DG100" s="420">
        <f>(CA100+CC100)/(X100)*12</f>
        <v>6.6900000000000001E-2</v>
      </c>
      <c r="DH100" s="420">
        <f>(CA100+CB100+CC100)/(X100)*12</f>
        <v>0.10274302620456467</v>
      </c>
      <c r="DI100" s="393"/>
    </row>
    <row r="101" spans="1:173" s="351" customFormat="1" ht="17.25" hidden="1" outlineLevel="1">
      <c r="A101" s="419"/>
      <c r="B101" s="419"/>
      <c r="C101" s="419"/>
      <c r="D101" s="419"/>
      <c r="E101" s="419"/>
      <c r="F101" s="413"/>
      <c r="G101" s="414"/>
      <c r="H101" s="419"/>
      <c r="I101" s="419"/>
      <c r="J101" s="413"/>
      <c r="K101" s="413"/>
      <c r="L101" s="413"/>
      <c r="M101" s="413"/>
      <c r="N101" s="413"/>
      <c r="O101" s="414"/>
      <c r="P101" s="425"/>
      <c r="Q101" s="425"/>
      <c r="R101" s="426"/>
      <c r="S101" s="425"/>
      <c r="T101" s="414"/>
      <c r="U101" s="414"/>
      <c r="V101" s="414"/>
      <c r="W101" s="414"/>
      <c r="X101" s="414"/>
      <c r="Y101" s="414"/>
      <c r="Z101" s="547">
        <f>SUM(Z89:Z100)</f>
        <v>739962764.94749999</v>
      </c>
      <c r="AA101" s="414"/>
      <c r="AB101" s="412">
        <f>SUM(AB89:AB100)</f>
        <v>22642860.607393503</v>
      </c>
      <c r="AC101" s="412"/>
      <c r="AD101" s="412">
        <f>SUM(AD89:AD100)</f>
        <v>484658.66729166661</v>
      </c>
      <c r="AE101" s="412"/>
      <c r="AF101" s="412">
        <f>SUM(AF89:AF100)</f>
        <v>971.6999080104116</v>
      </c>
      <c r="AG101" s="412">
        <f>SUM(AG89:AG100)</f>
        <v>1428.2455391102401</v>
      </c>
      <c r="AH101" s="412">
        <f>SUM(AH89:AH100)</f>
        <v>2068.0715700947544</v>
      </c>
      <c r="AI101" s="412">
        <f>SUM(AI89:AI100)</f>
        <v>4468.0170172154048</v>
      </c>
      <c r="AJ101" s="412"/>
      <c r="AK101" s="412">
        <v>0</v>
      </c>
      <c r="AL101" s="412">
        <v>0</v>
      </c>
      <c r="AM101" s="412">
        <f>SUM(AM89:AM100)</f>
        <v>489126.68430888205</v>
      </c>
      <c r="AN101" s="419"/>
      <c r="AO101" s="412">
        <f>SUM(AO89:AO100)</f>
        <v>2044859.4399999997</v>
      </c>
      <c r="AP101" s="412"/>
      <c r="AQ101" s="412">
        <f t="shared" ref="AQ101:AV101" si="86">SUM(AQ89:AQ100)</f>
        <v>38870.180606267786</v>
      </c>
      <c r="AR101" s="412">
        <f t="shared" si="86"/>
        <v>57133.03211995001</v>
      </c>
      <c r="AS101" s="412">
        <f t="shared" si="86"/>
        <v>82727.511625337676</v>
      </c>
      <c r="AT101" s="412">
        <f t="shared" si="86"/>
        <v>98034.716580374661</v>
      </c>
      <c r="AU101" s="412">
        <f t="shared" si="86"/>
        <v>208649.79246551316</v>
      </c>
      <c r="AV101" s="415">
        <f t="shared" si="86"/>
        <v>485415.23339744325</v>
      </c>
      <c r="AW101" s="412"/>
      <c r="AX101" s="427">
        <v>0</v>
      </c>
      <c r="AY101" s="389">
        <f t="shared" si="58"/>
        <v>2530274.6733974428</v>
      </c>
      <c r="AZ101" s="412"/>
      <c r="BA101" s="412">
        <f>SUM(BA89:BA100)</f>
        <v>2779393.7760000001</v>
      </c>
      <c r="BB101" s="412"/>
      <c r="BC101" s="412">
        <f t="shared" ref="BC101:BH101" si="87">SUM(BC89:BC100)</f>
        <v>76310.579671366562</v>
      </c>
      <c r="BD101" s="412">
        <f t="shared" si="87"/>
        <v>152341.19967085053</v>
      </c>
      <c r="BE101" s="412">
        <f t="shared" si="87"/>
        <v>220587.07369720467</v>
      </c>
      <c r="BF101" s="412">
        <f t="shared" si="87"/>
        <v>296776.24550020887</v>
      </c>
      <c r="BG101" s="412">
        <f t="shared" si="87"/>
        <v>578387.0092589712</v>
      </c>
      <c r="BH101" s="412">
        <f t="shared" si="87"/>
        <v>1324402.1077986022</v>
      </c>
      <c r="BI101" s="412"/>
      <c r="BJ101" s="412"/>
      <c r="BK101" s="373">
        <f t="shared" si="34"/>
        <v>4103795.883798602</v>
      </c>
      <c r="BL101" s="412"/>
      <c r="BM101" s="412">
        <f>SUM(BM89:BM100)</f>
        <v>3976015.699833334</v>
      </c>
      <c r="BN101" s="412"/>
      <c r="BO101" s="412">
        <f t="shared" ref="BO101:BT101" si="88">SUM(BO89:BO100)</f>
        <v>183831.97065666062</v>
      </c>
      <c r="BP101" s="412">
        <f t="shared" si="88"/>
        <v>393236.52559025062</v>
      </c>
      <c r="BQ101" s="412">
        <f t="shared" si="88"/>
        <v>569398.78797217447</v>
      </c>
      <c r="BR101" s="412">
        <f t="shared" si="88"/>
        <v>1050426.6377858445</v>
      </c>
      <c r="BS101" s="412">
        <f t="shared" si="88"/>
        <v>2012055.3452550001</v>
      </c>
      <c r="BT101" s="412">
        <f t="shared" si="88"/>
        <v>4208949.2672599303</v>
      </c>
      <c r="BU101" s="412"/>
      <c r="BV101" s="412">
        <f>SUM(BV89:BV100)</f>
        <v>3731893.0999999996</v>
      </c>
      <c r="BW101" s="412">
        <f t="shared" si="48"/>
        <v>11916858.067093264</v>
      </c>
      <c r="BX101" s="412"/>
      <c r="BY101" s="412">
        <f>SUM(BY99:BY100)</f>
        <v>4510</v>
      </c>
      <c r="BZ101" s="412"/>
      <c r="CA101" s="412">
        <f>SUM(CA99:CA100)</f>
        <v>320.35526250000004</v>
      </c>
      <c r="CB101" s="412">
        <f>SUM(CB99:CB100)</f>
        <v>765.50013790384617</v>
      </c>
      <c r="CC101" s="412">
        <f>SUM(CC99:CC100)</f>
        <v>1108.4292082500001</v>
      </c>
      <c r="CD101" s="412">
        <f>SUM(CD99:CD100)</f>
        <v>545.31926550211324</v>
      </c>
      <c r="CE101" s="412">
        <f>SUM(CE99:CE100)</f>
        <v>1017.823067</v>
      </c>
      <c r="CF101" s="412">
        <f t="shared" si="85"/>
        <v>3757.4269411559599</v>
      </c>
      <c r="CG101" s="412"/>
      <c r="CH101" s="412"/>
      <c r="CI101" s="412">
        <f>SUM(CI99:CI100)</f>
        <v>659429.74</v>
      </c>
      <c r="CJ101" s="412">
        <f>SUM(CJ99:CJ100)</f>
        <v>667697.16694115591</v>
      </c>
      <c r="CK101" s="412"/>
      <c r="CL101" s="412"/>
      <c r="CM101" s="412"/>
      <c r="CN101" s="412"/>
      <c r="CO101" s="412"/>
      <c r="CP101" s="412"/>
      <c r="CQ101" s="412"/>
      <c r="CR101" s="412"/>
      <c r="CS101" s="412"/>
      <c r="CT101" s="412"/>
      <c r="CU101" s="412"/>
      <c r="CV101" s="412"/>
      <c r="CW101" s="412"/>
      <c r="CX101" s="412"/>
      <c r="CY101" s="412"/>
      <c r="CZ101" s="419"/>
      <c r="DA101" s="419"/>
      <c r="DB101" s="428"/>
      <c r="DC101" s="373">
        <f>SUM(DC89:DC100)</f>
        <v>-3625.0296595466652</v>
      </c>
      <c r="DD101" s="419"/>
      <c r="DE101" s="419"/>
      <c r="DF101" s="419"/>
      <c r="DG101" s="353"/>
      <c r="DH101" s="353"/>
    </row>
    <row r="102" spans="1:173" s="351" customFormat="1" ht="17.25" hidden="1" outlineLevel="1">
      <c r="F102" s="370"/>
      <c r="G102" s="435"/>
      <c r="H102" s="435"/>
      <c r="I102" s="435"/>
      <c r="J102" s="435"/>
      <c r="K102" s="435"/>
      <c r="L102" s="435"/>
      <c r="M102" s="435"/>
      <c r="N102" s="435"/>
      <c r="O102" s="435"/>
      <c r="P102" s="374"/>
      <c r="Q102" s="374"/>
      <c r="R102" s="391"/>
      <c r="S102" s="374"/>
      <c r="T102" s="435"/>
      <c r="U102" s="435"/>
      <c r="V102" s="435"/>
      <c r="W102" s="435"/>
      <c r="X102" s="435"/>
      <c r="Y102" s="435"/>
      <c r="Z102" s="435"/>
      <c r="AA102" s="435"/>
      <c r="AY102" s="373"/>
      <c r="BD102" s="353"/>
      <c r="BE102" s="429"/>
      <c r="BF102" s="353"/>
      <c r="BG102" s="394"/>
      <c r="BK102" s="373"/>
      <c r="BM102" s="373"/>
      <c r="BN102" s="373"/>
      <c r="BO102" s="373"/>
      <c r="BP102" s="373"/>
      <c r="BQ102" s="373"/>
      <c r="BR102" s="373"/>
      <c r="BS102" s="373"/>
      <c r="BT102" s="373"/>
      <c r="BU102" s="373"/>
      <c r="BV102" s="373"/>
      <c r="BW102" s="373"/>
      <c r="BX102" s="373"/>
      <c r="BY102" s="373"/>
      <c r="BZ102" s="373"/>
      <c r="CA102" s="373"/>
      <c r="CB102" s="373"/>
      <c r="CC102" s="373"/>
      <c r="CD102" s="373"/>
      <c r="CE102" s="373"/>
      <c r="CF102" s="373"/>
      <c r="CG102" s="373"/>
      <c r="CH102" s="373"/>
      <c r="CI102" s="373"/>
      <c r="CJ102" s="412"/>
      <c r="CK102" s="412"/>
      <c r="CL102" s="412"/>
      <c r="CM102" s="412"/>
      <c r="CN102" s="412"/>
      <c r="CO102" s="412"/>
      <c r="CP102" s="412"/>
      <c r="CQ102" s="412"/>
      <c r="CR102" s="412"/>
      <c r="CS102" s="412"/>
      <c r="CT102" s="412"/>
      <c r="CU102" s="412"/>
      <c r="CV102" s="412"/>
      <c r="CW102" s="412"/>
      <c r="CX102" s="373"/>
      <c r="CY102" s="373"/>
      <c r="CZ102" s="373"/>
      <c r="DB102" s="409"/>
      <c r="DE102" s="353"/>
      <c r="DF102" s="353"/>
      <c r="DG102" s="353"/>
      <c r="DH102" s="353"/>
    </row>
    <row r="103" spans="1:173" s="351" customFormat="1" ht="28.5" hidden="1" customHeight="1" outlineLevel="1">
      <c r="F103" s="370"/>
      <c r="G103" s="435"/>
      <c r="H103" s="435"/>
      <c r="I103" s="435"/>
      <c r="J103" s="435"/>
      <c r="K103" s="435"/>
      <c r="L103" s="435"/>
      <c r="M103" s="435"/>
      <c r="N103" s="435"/>
      <c r="O103" s="435"/>
      <c r="P103" s="374"/>
      <c r="Q103" s="374"/>
      <c r="R103" s="391"/>
      <c r="S103" s="374"/>
      <c r="T103" s="435"/>
      <c r="U103" s="435"/>
      <c r="V103" s="435"/>
      <c r="W103" s="435"/>
      <c r="X103" s="435"/>
      <c r="Y103" s="435"/>
      <c r="Z103" s="435"/>
      <c r="AA103" s="435"/>
      <c r="AY103" s="373"/>
      <c r="BK103" s="373"/>
      <c r="CJ103" s="412"/>
      <c r="CK103" s="412"/>
      <c r="CL103" s="412"/>
      <c r="CM103" s="412"/>
      <c r="CN103" s="412"/>
      <c r="CO103" s="412"/>
      <c r="CP103" s="412"/>
      <c r="CQ103" s="412"/>
      <c r="CR103" s="412"/>
      <c r="CS103" s="412"/>
      <c r="CT103" s="412"/>
      <c r="CU103" s="412"/>
      <c r="CV103" s="412"/>
      <c r="CW103" s="412"/>
      <c r="CY103" s="410" t="s">
        <v>49</v>
      </c>
      <c r="CZ103" s="373">
        <f>+CZ100+DC101</f>
        <v>-1680848.5690564075</v>
      </c>
      <c r="DB103" s="409"/>
      <c r="DE103" s="353"/>
      <c r="DF103" s="353"/>
      <c r="DG103" s="353"/>
      <c r="DH103" s="353"/>
    </row>
    <row r="104" spans="1:173" s="351" customFormat="1" hidden="1" outlineLevel="1">
      <c r="A104" s="430" t="s">
        <v>50</v>
      </c>
      <c r="B104" s="430">
        <v>2015</v>
      </c>
      <c r="C104" s="411" t="s">
        <v>47</v>
      </c>
      <c r="E104" s="412"/>
      <c r="F104" s="413"/>
      <c r="G104" s="435"/>
      <c r="H104" s="412">
        <f>'RGGI - Invest Amort deferred'!AI62</f>
        <v>1610001.3683333248</v>
      </c>
      <c r="I104" s="412">
        <f>'RGGI - Invest Amort deferred'!AI62</f>
        <v>1610001.3683333248</v>
      </c>
      <c r="J104" s="413">
        <f>'RGGI - Invest Amort deferred'!BL62</f>
        <v>-657685.55896416632</v>
      </c>
      <c r="K104" s="435"/>
      <c r="L104" s="414">
        <f>'RGGI II Invest Amort Def'!AI50</f>
        <v>5560333.7279999992</v>
      </c>
      <c r="M104" s="414">
        <f>'RGGI II Invest Amort Def'!AI50</f>
        <v>5560333.7279999992</v>
      </c>
      <c r="N104" s="413">
        <f>'RGGI II Invest Amort Def'!BK50</f>
        <v>-2271396.3278880054</v>
      </c>
      <c r="O104" s="435"/>
      <c r="P104" s="425">
        <f>'2013 program Invest Amort Def'!AY32</f>
        <v>17773828.672833335</v>
      </c>
      <c r="Q104" s="425">
        <f>'2013 program Invest Amort Def'!AY32</f>
        <v>17773828.672833335</v>
      </c>
      <c r="R104" s="425">
        <f>'2013 program Invest Amort Def'!CQ32</f>
        <v>-5710831.3641857505</v>
      </c>
      <c r="S104" s="373">
        <f>+P104+R104</f>
        <v>12062997.308647584</v>
      </c>
      <c r="T104" s="435"/>
      <c r="U104" s="414">
        <f>'2015 Program Invest Amort Def'!BT7</f>
        <v>352341.66666666669</v>
      </c>
      <c r="V104" s="414">
        <f>'2015 Program Invest Amort Def'!BT7</f>
        <v>352341.66666666669</v>
      </c>
      <c r="W104" s="414">
        <f>'2015 Program Invest Amort Def'!EG7</f>
        <v>-17252.316666666662</v>
      </c>
      <c r="X104" s="397">
        <f>U104+W104</f>
        <v>335089.35000000003</v>
      </c>
      <c r="Y104" s="435"/>
      <c r="Z104" s="394">
        <v>32187592.359999999</v>
      </c>
      <c r="AA104" s="548">
        <v>3.0599999999999999E-2</v>
      </c>
      <c r="AB104" s="439">
        <f>+Z104*AA104</f>
        <v>984940.3262159999</v>
      </c>
      <c r="AD104" s="415">
        <f>'E3 - Invest Amort deferred tax'!AL82</f>
        <v>0</v>
      </c>
      <c r="AE104" s="412"/>
      <c r="AF104" s="416">
        <f>(D103+F103)*'Capital Structure '!$F$21/12</f>
        <v>0</v>
      </c>
      <c r="AG104" s="416">
        <f>(D103+F103)*'Capital Structure '!$E$34/12</f>
        <v>0</v>
      </c>
      <c r="AH104" s="416">
        <f>(D103+F103)*'Capital Structure '!$F$18/12</f>
        <v>0</v>
      </c>
      <c r="AI104" s="415">
        <f>SUM(AF104:AH104)</f>
        <v>0</v>
      </c>
      <c r="AJ104" s="412"/>
      <c r="AK104" s="415">
        <v>0</v>
      </c>
      <c r="AL104" s="415">
        <v>0</v>
      </c>
      <c r="AM104" s="412">
        <f>AD104+AI104+AK104+AL104</f>
        <v>0</v>
      </c>
      <c r="AO104" s="372">
        <f>'RGGI - Invest Amort deferred'!AG62+'RGGI CHP'!V17</f>
        <v>172488.28666666665</v>
      </c>
      <c r="AP104" s="412"/>
      <c r="AQ104" s="412">
        <f>(H104+J104)*'Capital Structure '!$F$21/12</f>
        <v>1968.0128837727732</v>
      </c>
      <c r="AR104" s="412">
        <f>(H104+J104)*'Capital Structure '!$E$34/12</f>
        <v>2892.6684040910964</v>
      </c>
      <c r="AS104" s="412">
        <f>(H104+J104)*'Capital Structure '!$F$18/12</f>
        <v>4188.5271995590783</v>
      </c>
      <c r="AT104" s="412">
        <f>'RGGI - On-bill financing'!J62*'Capital Structure '!$E$34/12</f>
        <v>7335.1064330362997</v>
      </c>
      <c r="AU104" s="412">
        <f>'RGGI - On-bill financing'!J62*('Capital Structure '!$F$18+'Capital Structure '!$F$21)/12</f>
        <v>15611.494461869594</v>
      </c>
      <c r="AV104" s="415">
        <f>SUM(AQ104:AU104)</f>
        <v>31995.809382328844</v>
      </c>
      <c r="AW104" s="412"/>
      <c r="AX104" s="415">
        <v>0</v>
      </c>
      <c r="AY104" s="373">
        <f t="shared" si="58"/>
        <v>204484.0960489955</v>
      </c>
      <c r="BA104" s="412">
        <f>'RGGI II Invest Amort Def'!AG50</f>
        <v>231616.14799999999</v>
      </c>
      <c r="BB104" s="412"/>
      <c r="BC104" s="412">
        <f>(L104+N104)*'Capital Structure '!$H$21/12</f>
        <v>5004.2689972345697</v>
      </c>
      <c r="BD104" s="412">
        <f>(L104+N104)*'Capital Structure '!$H$34/12</f>
        <v>9990.1788952130282</v>
      </c>
      <c r="BE104" s="412">
        <f>(L104+N104)*'Capital Structure '!$H$18/12</f>
        <v>14465.583394170151</v>
      </c>
      <c r="BF104" s="412">
        <f>'RGGI II On Bill Fin''g'!L50*'Capital Structure '!$H$34/12</f>
        <v>22781.033061174545</v>
      </c>
      <c r="BG104" s="412">
        <f>'RGGI II On Bill Fin''g'!L50*('Capital Structure '!$H$18+'Capital Structure '!$H$21)/12</f>
        <v>44397.93878338964</v>
      </c>
      <c r="BH104" s="415">
        <f>SUM(BC104:BG104)</f>
        <v>96639.003131181933</v>
      </c>
      <c r="BI104" s="412"/>
      <c r="BJ104" s="419"/>
      <c r="BK104" s="373">
        <f t="shared" si="34"/>
        <v>328255.15113118192</v>
      </c>
      <c r="BM104" s="412">
        <f>'2013 program Invest Amort Def'!AW32</f>
        <v>406415.17783333332</v>
      </c>
      <c r="BN104" s="412"/>
      <c r="BO104" s="412">
        <f>(S104)*'Capital Structure '!$J$21/12</f>
        <v>16928.406223135444</v>
      </c>
      <c r="BP104" s="412">
        <f>(S104)*'Capital Structure '!$J$34/12</f>
        <v>36211.697144883787</v>
      </c>
      <c r="BQ104" s="412">
        <f>(S104)*'Capital Structure '!$J$18/12</f>
        <v>52433.828301588161</v>
      </c>
      <c r="BR104" s="412">
        <f>('2013 program 10 yr On Bill Fin'!M32+'2013 program 5 yr On Bill Fin'!L30+'2013 program 2 yr On Bill Fin'!M20)*'Capital Structure '!$J$34/12</f>
        <v>108158.62819799445</v>
      </c>
      <c r="BS104" s="412">
        <f>('2013 program 10 yr On Bill Fin'!M32+'2013 program 5 yr On Bill Fin'!L30+'2013 program 2 yr On Bill Fin'!M20)*('Capital Structure '!$J$18+'Capital Structure '!$J$21)/12</f>
        <v>207174.05497249999</v>
      </c>
      <c r="BT104" s="431">
        <f>SUM(BO104:BS104)</f>
        <v>420906.6148401018</v>
      </c>
      <c r="BU104" s="412"/>
      <c r="BV104" s="425">
        <v>0</v>
      </c>
      <c r="BW104" s="425">
        <f t="shared" si="48"/>
        <v>827321.79267343506</v>
      </c>
      <c r="BY104" s="412">
        <f>'2015 Program Invest Amort Def'!BR7</f>
        <v>6048.3333333333339</v>
      </c>
      <c r="CA104" s="412">
        <f>X104*'Capital Structure '!$L$21/12</f>
        <v>418.86168750000007</v>
      </c>
      <c r="CB104" s="412">
        <f>(X104)*'Capital Structure '!$L$34/12</f>
        <v>1000.8846960767119</v>
      </c>
      <c r="CC104" s="412">
        <f>(X104)*'Capital Structure '!$L$18/12</f>
        <v>1449.26143875</v>
      </c>
      <c r="CD104" s="412">
        <f>('2015 Program 10-Year OBRP'!P7+'2015 Program 7-Year OBRP'!M7+'2015 Program 5-Year OBRP'!K7+'2015 Program 3-Year OBRP'!K7)*('Capital Structure '!$L$34/12)</f>
        <v>1104.0227052884616</v>
      </c>
      <c r="CE104" s="412">
        <f>('2015 Program 10-Year OBRP'!P7+'2015 Program 7-Year OBRP'!M7+'2015 Program 5-Year OBRP'!K7+'2015 Program 3-Year OBRP'!K7)*(('Capital Structure '!$L$21/12)+('Capital Structure '!$L$18/12))</f>
        <v>2060.6273187500001</v>
      </c>
      <c r="CF104" s="412">
        <f>SUM(CA104:CE104)</f>
        <v>6033.6578463651731</v>
      </c>
      <c r="CG104" s="412"/>
      <c r="CI104" s="393">
        <v>284673.2</v>
      </c>
      <c r="CJ104" s="412">
        <f>BY104+CF104+CI104</f>
        <v>296755.19117969851</v>
      </c>
      <c r="CK104" s="412"/>
      <c r="CL104" s="412"/>
      <c r="CM104" s="412"/>
      <c r="CN104" s="412"/>
      <c r="CO104" s="412"/>
      <c r="CP104" s="412"/>
      <c r="CQ104" s="412"/>
      <c r="CR104" s="412"/>
      <c r="CS104" s="412"/>
      <c r="CT104" s="412"/>
      <c r="CU104" s="412"/>
      <c r="CV104" s="412"/>
      <c r="CW104" s="412"/>
      <c r="CY104" s="412">
        <f t="shared" ref="CY104:CY115" si="89">+BW104+BK104+AY104+AM104+CJ104-AB104</f>
        <v>671875.90481731109</v>
      </c>
      <c r="CZ104" s="412">
        <f>+CZ103+CY104</f>
        <v>-1008972.6642390965</v>
      </c>
      <c r="DA104" s="412">
        <f>(CZ103+CZ104)/2*(1-0.4085)</f>
        <v>-795514.62974714534</v>
      </c>
      <c r="DB104" s="417">
        <v>1.9E-3</v>
      </c>
      <c r="DC104" s="418">
        <f>(DA104)*DB104/12</f>
        <v>-125.95648304329802</v>
      </c>
      <c r="DE104" s="420">
        <f t="shared" ref="DE104:DE115" si="90">(BO104+BQ104)/(S104)*12</f>
        <v>6.9000000000000006E-2</v>
      </c>
      <c r="DF104" s="420">
        <f t="shared" ref="DF104:DF115" si="91">(BO104+BP104+BQ104)/(S104)*12</f>
        <v>0.10502258664412509</v>
      </c>
      <c r="DG104" s="420">
        <f t="shared" ref="DG104:DG115" si="92">(CA104+CC104)/(X104)*12</f>
        <v>6.6899999999999987E-2</v>
      </c>
      <c r="DH104" s="420">
        <f t="shared" ref="DH104:DH115" si="93">(CA104+CB104+CC104)/(X104)*12</f>
        <v>0.10274302620456466</v>
      </c>
      <c r="DI104" s="393"/>
      <c r="DJ104" s="393"/>
    </row>
    <row r="105" spans="1:173" s="351" customFormat="1" hidden="1" outlineLevel="1">
      <c r="A105" s="430" t="s">
        <v>51</v>
      </c>
      <c r="B105" s="430">
        <v>2015</v>
      </c>
      <c r="C105" s="411" t="s">
        <v>47</v>
      </c>
      <c r="E105" s="412"/>
      <c r="F105" s="413"/>
      <c r="G105" s="435"/>
      <c r="H105" s="412">
        <f>'RGGI - Invest Amort deferred'!AI63</f>
        <v>1450013.0816666577</v>
      </c>
      <c r="I105" s="412">
        <f>'RGGI - Invest Amort deferred'!AI63</f>
        <v>1450013.0816666577</v>
      </c>
      <c r="J105" s="413">
        <f>'RGGI - Invest Amort deferred'!BL63</f>
        <v>-592330.34386083297</v>
      </c>
      <c r="K105" s="435"/>
      <c r="L105" s="414">
        <f>'RGGI II Invest Amort Def'!AI51</f>
        <v>5328717.58</v>
      </c>
      <c r="M105" s="414">
        <f>'RGGI II Invest Amort Def'!AI51</f>
        <v>5328717.58</v>
      </c>
      <c r="N105" s="413">
        <f>'RGGI II Invest Amort Def'!BK51</f>
        <v>-2176781.1314300057</v>
      </c>
      <c r="O105" s="435"/>
      <c r="P105" s="425">
        <f>'2013 program Invest Amort Def'!AY33</f>
        <v>18023210.295000002</v>
      </c>
      <c r="Q105" s="425">
        <f>'2013 program Invest Amort Def'!AY33</f>
        <v>18023210.295000002</v>
      </c>
      <c r="R105" s="425">
        <f>'2013 program Invest Amort Def'!CQ33</f>
        <v>-5829334.8147929171</v>
      </c>
      <c r="S105" s="373">
        <f>+P105+R105</f>
        <v>12193875.480207086</v>
      </c>
      <c r="T105" s="435"/>
      <c r="U105" s="414">
        <f>'2015 Program Invest Amort Def'!BT8</f>
        <v>695573.33333333337</v>
      </c>
      <c r="V105" s="414">
        <f>'2015 Program Invest Amort Def'!BT8</f>
        <v>695573.33333333337</v>
      </c>
      <c r="W105" s="414">
        <f>'2015 Program Invest Amort Def'!EG8</f>
        <v>-36808.573333333326</v>
      </c>
      <c r="X105" s="397">
        <f t="shared" ref="X105:X115" si="94">U105+W105</f>
        <v>658764.76</v>
      </c>
      <c r="Y105" s="435"/>
      <c r="Z105" s="394">
        <v>51721868.750000015</v>
      </c>
      <c r="AA105" s="548">
        <v>3.0599999999999999E-2</v>
      </c>
      <c r="AB105" s="439">
        <f t="shared" ref="AB105:AB111" si="95">+Z105*AA105</f>
        <v>1582689.1837500003</v>
      </c>
      <c r="AD105" s="415">
        <f>'E3 - Invest Amort deferred tax'!AL83</f>
        <v>0</v>
      </c>
      <c r="AE105" s="412"/>
      <c r="AF105" s="416">
        <f>(D104+F104)*'Capital Structure '!$F$21/12</f>
        <v>0</v>
      </c>
      <c r="AG105" s="416">
        <f>(D104+F104)*'Capital Structure '!$E$34/12</f>
        <v>0</v>
      </c>
      <c r="AH105" s="416">
        <f>(D104+F104)*'Capital Structure '!$F$18/12</f>
        <v>0</v>
      </c>
      <c r="AI105" s="415">
        <f t="shared" ref="AI105:AI111" si="96">SUM(AF105:AH105)</f>
        <v>0</v>
      </c>
      <c r="AJ105" s="412"/>
      <c r="AK105" s="415">
        <v>0</v>
      </c>
      <c r="AL105" s="415">
        <v>0</v>
      </c>
      <c r="AM105" s="412">
        <f t="shared" ref="AM105:AM111" si="97">AD105+AI105+AK105+AL105</f>
        <v>0</v>
      </c>
      <c r="AO105" s="372">
        <f>'RGGI - Invest Amort deferred'!AG63+'RGGI CHP'!V18</f>
        <v>172488.28666666665</v>
      </c>
      <c r="AP105" s="412"/>
      <c r="AQ105" s="412">
        <f>(H105+J105)*'Capital Structure '!$F$21/12</f>
        <v>1772.4484478625873</v>
      </c>
      <c r="AR105" s="412">
        <f>(H105+J105)*'Capital Structure '!$E$34/12</f>
        <v>2605.2195416442137</v>
      </c>
      <c r="AS105" s="412">
        <f>(H105+J105)*'Capital Structure '!$F$18/12</f>
        <v>3772.3068760894798</v>
      </c>
      <c r="AT105" s="412">
        <f>'RGGI - On-bill financing'!J63*'Capital Structure '!$E$34/12</f>
        <v>7202.6226577402231</v>
      </c>
      <c r="AU105" s="412">
        <f>'RGGI - On-bill financing'!J63*('Capital Structure '!$F$18+'Capital Structure '!$F$21)/12</f>
        <v>15329.525857432296</v>
      </c>
      <c r="AV105" s="415">
        <f t="shared" ref="AV105:AV115" si="98">SUM(AQ105:AU105)</f>
        <v>30682.1233807688</v>
      </c>
      <c r="AW105" s="412"/>
      <c r="AX105" s="415">
        <v>0</v>
      </c>
      <c r="AY105" s="373">
        <f t="shared" si="58"/>
        <v>203170.41004743546</v>
      </c>
      <c r="BA105" s="412">
        <f>'RGGI II Invest Amort Def'!AG51</f>
        <v>231616.14799999999</v>
      </c>
      <c r="BB105" s="412"/>
      <c r="BC105" s="412">
        <f>(L105+N105)*'Capital Structure '!$H$21/12</f>
        <v>4795.8157702531389</v>
      </c>
      <c r="BD105" s="412">
        <f>(L105+N105)*'Capital Structure '!$H$34/12</f>
        <v>9574.0371910041322</v>
      </c>
      <c r="BE105" s="412">
        <f>(L105+N105)*'Capital Structure '!$H$18/12</f>
        <v>13863.018356129607</v>
      </c>
      <c r="BF105" s="412">
        <f>'RGGI II On Bill Fin''g'!L51*'Capital Structure '!$H$34/12</f>
        <v>22535.152613346832</v>
      </c>
      <c r="BG105" s="412">
        <f>'RGGI II On Bill Fin''g'!L51*('Capital Structure '!$H$18+'Capital Structure '!$H$21)/12</f>
        <v>43918.742557240788</v>
      </c>
      <c r="BH105" s="415">
        <f t="shared" ref="BH105:BH115" si="99">SUM(BC105:BG105)</f>
        <v>94686.766487974499</v>
      </c>
      <c r="BI105" s="412"/>
      <c r="BJ105" s="419"/>
      <c r="BK105" s="373">
        <f t="shared" si="34"/>
        <v>326302.91448797449</v>
      </c>
      <c r="BM105" s="412">
        <f>'2013 program Invest Amort Def'!AW33</f>
        <v>417530.37783333333</v>
      </c>
      <c r="BN105" s="412"/>
      <c r="BO105" s="412">
        <f>(S105)*'Capital Structure '!$J$21/12</f>
        <v>17112.071923890613</v>
      </c>
      <c r="BP105" s="412">
        <f>(S105)*'Capital Structure '!$J$34/12</f>
        <v>36604.578001119356</v>
      </c>
      <c r="BQ105" s="412">
        <f>(S105)*'Capital Structure '!$J$18/12</f>
        <v>53002.712087300133</v>
      </c>
      <c r="BR105" s="412">
        <f>('2013 program 10 yr On Bill Fin'!M33+'2013 program 5 yr On Bill Fin'!L31+'2013 program 2 yr On Bill Fin'!M21)*'Capital Structure '!$J$34/12</f>
        <v>111828.23694180849</v>
      </c>
      <c r="BS105" s="412">
        <f>('2013 program 10 yr On Bill Fin'!M33+'2013 program 5 yr On Bill Fin'!L31+'2013 program 2 yr On Bill Fin'!M21)*('Capital Structure '!$J$18+'Capital Structure '!$J$21)/12</f>
        <v>214203.06168500005</v>
      </c>
      <c r="BT105" s="431">
        <f t="shared" ref="BT105:BT115" si="100">SUM(BO105:BS105)</f>
        <v>432750.66063911864</v>
      </c>
      <c r="BU105" s="412"/>
      <c r="BV105" s="425">
        <v>0</v>
      </c>
      <c r="BW105" s="425">
        <f t="shared" si="48"/>
        <v>850281.03847245197</v>
      </c>
      <c r="BY105" s="412">
        <f>'2015 Program Invest Amort Def'!BR8</f>
        <v>11968.333333333334</v>
      </c>
      <c r="CA105" s="412">
        <f>X105*'Capital Structure '!$L$21/12</f>
        <v>823.45595000000003</v>
      </c>
      <c r="CB105" s="412">
        <f>(X105)*'Capital Structure '!$L$34/12</f>
        <v>1967.6768796103127</v>
      </c>
      <c r="CC105" s="412">
        <f>(X105)*'Capital Structure '!$L$18/12</f>
        <v>2849.1575870000001</v>
      </c>
      <c r="CD105" s="412">
        <f>('2015 Program 10-Year OBRP'!P8+'2015 Program 7-Year OBRP'!M8+'2015 Program 5-Year OBRP'!K8+'2015 Program 3-Year OBRP'!K8)*('Capital Structure '!$L$34/12)</f>
        <v>3143.6748606601864</v>
      </c>
      <c r="CE105" s="412">
        <f>('2015 Program 10-Year OBRP'!P8+'2015 Program 7-Year OBRP'!M8+'2015 Program 5-Year OBRP'!K8+'2015 Program 3-Year OBRP'!K8)*(('Capital Structure '!$L$21/12)+('Capital Structure '!$L$18/12))</f>
        <v>5867.5806830000001</v>
      </c>
      <c r="CF105" s="412">
        <f t="shared" si="85"/>
        <v>14651.5459602705</v>
      </c>
      <c r="CG105" s="412"/>
      <c r="CI105" s="393">
        <v>309273.20999999996</v>
      </c>
      <c r="CJ105" s="412">
        <f>BY105+CF105+CI105</f>
        <v>335893.08929360379</v>
      </c>
      <c r="CK105" s="412"/>
      <c r="CL105" s="412"/>
      <c r="CM105" s="412"/>
      <c r="CN105" s="412"/>
      <c r="CO105" s="412"/>
      <c r="CP105" s="412"/>
      <c r="CQ105" s="412"/>
      <c r="CR105" s="412"/>
      <c r="CS105" s="412"/>
      <c r="CT105" s="412"/>
      <c r="CU105" s="412"/>
      <c r="CV105" s="412"/>
      <c r="CW105" s="412"/>
      <c r="CY105" s="412">
        <f t="shared" si="89"/>
        <v>132958.26855146536</v>
      </c>
      <c r="CZ105" s="412">
        <f t="shared" ref="CZ105:CZ115" si="101">+CZ104+CY105</f>
        <v>-876014.3956876311</v>
      </c>
      <c r="DA105" s="412">
        <f t="shared" ref="DA105:DA115" si="102">(CZ104+CZ105)/2*(1-0.4085)</f>
        <v>-557484.92297332967</v>
      </c>
      <c r="DB105" s="417">
        <v>1.8E-3</v>
      </c>
      <c r="DC105" s="418">
        <f>(DA105)*DB105/12</f>
        <v>-83.622738445999445</v>
      </c>
      <c r="DE105" s="420">
        <f t="shared" si="90"/>
        <v>6.9000000000000006E-2</v>
      </c>
      <c r="DF105" s="420">
        <f t="shared" si="91"/>
        <v>0.10502258664412509</v>
      </c>
      <c r="DG105" s="420">
        <f t="shared" si="92"/>
        <v>6.6900000000000001E-2</v>
      </c>
      <c r="DH105" s="420">
        <f t="shared" si="93"/>
        <v>0.10274302620456467</v>
      </c>
      <c r="DI105" s="393"/>
      <c r="DJ105" s="393"/>
    </row>
    <row r="106" spans="1:173" s="351" customFormat="1" hidden="1" outlineLevel="1">
      <c r="A106" s="430" t="s">
        <v>52</v>
      </c>
      <c r="B106" s="430">
        <v>2015</v>
      </c>
      <c r="C106" s="411" t="s">
        <v>47</v>
      </c>
      <c r="E106" s="412"/>
      <c r="F106" s="413"/>
      <c r="G106" s="435"/>
      <c r="H106" s="412">
        <f>'RGGI - Invest Amort deferred'!AI64</f>
        <v>1290024.7949999906</v>
      </c>
      <c r="I106" s="412">
        <f>'RGGI - Invest Amort deferred'!AI64</f>
        <v>1290024.7949999906</v>
      </c>
      <c r="J106" s="413">
        <f>'RGGI - Invest Amort deferred'!BL64</f>
        <v>-526975.12875749962</v>
      </c>
      <c r="K106" s="435"/>
      <c r="L106" s="414">
        <f>'RGGI II Invest Amort Def'!AI52</f>
        <v>5097101.432</v>
      </c>
      <c r="M106" s="414">
        <f>'RGGI II Invest Amort Def'!AI52</f>
        <v>5097101.432</v>
      </c>
      <c r="N106" s="413">
        <f>'RGGI II Invest Amort Def'!BK52</f>
        <v>-2082165.9349720057</v>
      </c>
      <c r="O106" s="435"/>
      <c r="P106" s="425">
        <f>'2013 program Invest Amort Def'!AY34</f>
        <v>17920395.750500001</v>
      </c>
      <c r="Q106" s="425">
        <f>'2013 program Invest Amort Def'!AY34</f>
        <v>17920395.750500001</v>
      </c>
      <c r="R106" s="425">
        <f>'2013 program Invest Amort Def'!CQ34</f>
        <v>-5928961.8208167506</v>
      </c>
      <c r="S106" s="373">
        <f>+P106+R106</f>
        <v>11991433.929683249</v>
      </c>
      <c r="T106" s="435"/>
      <c r="U106" s="414">
        <f>'2015 Program Invest Amort Def'!BT9</f>
        <v>1179401.6666666667</v>
      </c>
      <c r="V106" s="414">
        <f>'2015 Program Invest Amort Def'!BT9</f>
        <v>1179401.6666666667</v>
      </c>
      <c r="W106" s="414">
        <f>'2015 Program Invest Amort Def'!EG9</f>
        <v>-70095.876666666649</v>
      </c>
      <c r="X106" s="397">
        <f t="shared" si="94"/>
        <v>1109305.79</v>
      </c>
      <c r="Y106" s="435"/>
      <c r="Z106" s="394">
        <v>62984924.350000009</v>
      </c>
      <c r="AA106" s="548">
        <v>3.0599999999999999E-2</v>
      </c>
      <c r="AB106" s="439">
        <f t="shared" si="95"/>
        <v>1927338.6851100002</v>
      </c>
      <c r="AD106" s="415">
        <f>'E3 - Invest Amort deferred tax'!AL84</f>
        <v>0</v>
      </c>
      <c r="AE106" s="412"/>
      <c r="AF106" s="416">
        <f>(D105+F105)*'Capital Structure '!$F$21/12</f>
        <v>0</v>
      </c>
      <c r="AG106" s="416">
        <f>(D105+F105)*'Capital Structure '!$E$34/12</f>
        <v>0</v>
      </c>
      <c r="AH106" s="416">
        <f>(D105+F105)*'Capital Structure '!$F$18/12</f>
        <v>0</v>
      </c>
      <c r="AI106" s="415">
        <f t="shared" si="96"/>
        <v>0</v>
      </c>
      <c r="AJ106" s="412"/>
      <c r="AK106" s="415">
        <v>0</v>
      </c>
      <c r="AL106" s="415">
        <v>0</v>
      </c>
      <c r="AM106" s="412">
        <f t="shared" si="97"/>
        <v>0</v>
      </c>
      <c r="AO106" s="372">
        <f>'RGGI - Invest Amort deferred'!AG64+'RGGI CHP'!V19</f>
        <v>172488.28666666665</v>
      </c>
      <c r="AP106" s="412"/>
      <c r="AQ106" s="412">
        <f>(H106+J106)*'Capital Structure '!$F$21/12</f>
        <v>1576.8840119524014</v>
      </c>
      <c r="AR106" s="412">
        <f>(H106+J106)*'Capital Structure '!$E$34/12</f>
        <v>2317.770679197331</v>
      </c>
      <c r="AS106" s="412">
        <f>(H106+J106)*'Capital Structure '!$F$18/12</f>
        <v>3356.0865526198809</v>
      </c>
      <c r="AT106" s="412">
        <f>'RGGI - On-bill financing'!J64*'Capital Structure '!$E$34/12</f>
        <v>7097.5419878400162</v>
      </c>
      <c r="AU106" s="412">
        <f>'RGGI - On-bill financing'!J64*('Capital Structure '!$F$18+'Capital Structure '!$F$21)/12</f>
        <v>15105.87998246473</v>
      </c>
      <c r="AV106" s="415">
        <f t="shared" si="98"/>
        <v>29454.16321407436</v>
      </c>
      <c r="AW106" s="412"/>
      <c r="AX106" s="415">
        <v>0</v>
      </c>
      <c r="AY106" s="373">
        <f t="shared" si="58"/>
        <v>201942.44988074101</v>
      </c>
      <c r="BA106" s="412">
        <f>'RGGI II Invest Amort Def'!AG52</f>
        <v>231616.14799999999</v>
      </c>
      <c r="BB106" s="412"/>
      <c r="BC106" s="412">
        <f>(L106+N106)*'Capital Structure '!$H$21/12</f>
        <v>4587.3625432717063</v>
      </c>
      <c r="BD106" s="412">
        <f>(L106+N106)*'Capital Structure '!$H$34/12</f>
        <v>9157.8954867952325</v>
      </c>
      <c r="BE106" s="412">
        <f>(L106+N106)*'Capital Structure '!$H$18/12</f>
        <v>13260.453318089058</v>
      </c>
      <c r="BF106" s="412">
        <f>'RGGI II On Bill Fin''g'!L52*'Capital Structure '!$H$34/12</f>
        <v>22147.740013654256</v>
      </c>
      <c r="BG106" s="412">
        <f>'RGGI II On Bill Fin''g'!L52*('Capital Structure '!$H$18+'Capital Structure '!$H$21)/12</f>
        <v>43163.714423140089</v>
      </c>
      <c r="BH106" s="415">
        <f t="shared" si="99"/>
        <v>92317.165784950339</v>
      </c>
      <c r="BI106" s="412"/>
      <c r="BJ106" s="419"/>
      <c r="BK106" s="373">
        <f t="shared" si="34"/>
        <v>323933.3137849503</v>
      </c>
      <c r="BM106" s="412">
        <f>'2013 program Invest Amort Def'!AW34</f>
        <v>422864.54450000002</v>
      </c>
      <c r="BN106" s="412"/>
      <c r="BO106" s="412">
        <f>(S106)*'Capital Structure '!$J$21/12</f>
        <v>16827.978947988828</v>
      </c>
      <c r="BP106" s="412">
        <f>(S106)*'Capital Structure '!$J$34/12</f>
        <v>35996.872309943028</v>
      </c>
      <c r="BQ106" s="412">
        <f>(S106)*'Capital Structure '!$J$18/12</f>
        <v>52122.766147689857</v>
      </c>
      <c r="BR106" s="412">
        <f>('2013 program 10 yr On Bill Fin'!M34+'2013 program 5 yr On Bill Fin'!L32+'2013 program 2 yr On Bill Fin'!M22)*'Capital Structure '!$J$34/12</f>
        <v>112571.32881035918</v>
      </c>
      <c r="BS106" s="412">
        <f>('2013 program 10 yr On Bill Fin'!M34+'2013 program 5 yr On Bill Fin'!L32+'2013 program 2 yr On Bill Fin'!M22)*('Capital Structure '!$J$18+'Capital Structure '!$J$21)/12</f>
        <v>215626.42807000002</v>
      </c>
      <c r="BT106" s="431">
        <f t="shared" si="100"/>
        <v>433145.37428598094</v>
      </c>
      <c r="BU106" s="412"/>
      <c r="BV106" s="425">
        <v>0</v>
      </c>
      <c r="BW106" s="425">
        <f t="shared" si="48"/>
        <v>856009.9187859809</v>
      </c>
      <c r="BY106" s="412">
        <f>'2015 Program Invest Amort Def'!BR9</f>
        <v>20371.666666666668</v>
      </c>
      <c r="CA106" s="412">
        <f>X106*'Capital Structure '!$L$21/12</f>
        <v>1386.6322375000002</v>
      </c>
      <c r="CB106" s="412">
        <f>(X106)*'Capital Structure '!$L$34/12</f>
        <v>3313.4063749871088</v>
      </c>
      <c r="CC106" s="412">
        <f>(X106)*'Capital Structure '!$L$18/12</f>
        <v>4797.74754175</v>
      </c>
      <c r="CD106" s="412">
        <f>('2015 Program 10-Year OBRP'!P9+'2015 Program 7-Year OBRP'!M9+'2015 Program 5-Year OBRP'!K9+'2015 Program 3-Year OBRP'!K9)*('Capital Structure '!$L$34/12)</f>
        <v>6504.0092553510149</v>
      </c>
      <c r="CE106" s="412">
        <f>('2015 Program 10-Year OBRP'!P9+'2015 Program 7-Year OBRP'!M9+'2015 Program 5-Year OBRP'!K9+'2015 Program 3-Year OBRP'!K9)*(('Capital Structure '!$L$21/12)+('Capital Structure '!$L$18/12))</f>
        <v>12139.550290750001</v>
      </c>
      <c r="CF106" s="412">
        <f t="shared" si="85"/>
        <v>28141.345700338126</v>
      </c>
      <c r="CG106" s="412"/>
      <c r="CI106" s="393">
        <v>402823.96000000008</v>
      </c>
      <c r="CJ106" s="412">
        <f>BY106+CF106+CI106</f>
        <v>451336.97236700484</v>
      </c>
      <c r="CK106" s="412"/>
      <c r="CL106" s="412"/>
      <c r="CM106" s="412"/>
      <c r="CN106" s="412"/>
      <c r="CO106" s="412"/>
      <c r="CP106" s="412"/>
      <c r="CQ106" s="412"/>
      <c r="CR106" s="412"/>
      <c r="CS106" s="412"/>
      <c r="CT106" s="412"/>
      <c r="CU106" s="412"/>
      <c r="CV106" s="412"/>
      <c r="CW106" s="412"/>
      <c r="CY106" s="412">
        <f t="shared" si="89"/>
        <v>-94116.030291322852</v>
      </c>
      <c r="CZ106" s="412">
        <f t="shared" si="101"/>
        <v>-970130.42597895395</v>
      </c>
      <c r="DA106" s="412">
        <f t="shared" si="102"/>
        <v>-545997.3310078925</v>
      </c>
      <c r="DB106" s="417">
        <v>2.8E-3</v>
      </c>
      <c r="DC106" s="418">
        <f t="shared" ref="DC106:DC115" si="103">(DA106)*DB106/12</f>
        <v>-127.39937723517492</v>
      </c>
      <c r="DE106" s="420">
        <f t="shared" si="90"/>
        <v>6.9000000000000006E-2</v>
      </c>
      <c r="DF106" s="420">
        <f t="shared" si="91"/>
        <v>0.10502258664412509</v>
      </c>
      <c r="DG106" s="420">
        <f t="shared" si="92"/>
        <v>6.6900000000000001E-2</v>
      </c>
      <c r="DH106" s="420">
        <f t="shared" si="93"/>
        <v>0.10274302620456467</v>
      </c>
      <c r="DI106" s="393"/>
      <c r="DJ106" s="393"/>
    </row>
    <row r="107" spans="1:173" s="351" customFormat="1" hidden="1" outlineLevel="1">
      <c r="A107" s="430" t="s">
        <v>53</v>
      </c>
      <c r="B107" s="430">
        <v>2016</v>
      </c>
      <c r="C107" s="411" t="s">
        <v>47</v>
      </c>
      <c r="E107" s="412"/>
      <c r="F107" s="413"/>
      <c r="G107" s="435"/>
      <c r="H107" s="412">
        <f>'RGGI - Invest Amort deferred'!AI65</f>
        <v>1130036.5083333235</v>
      </c>
      <c r="I107" s="412">
        <f>'RGGI - Invest Amort deferred'!AI65</f>
        <v>1130036.5083333235</v>
      </c>
      <c r="J107" s="413">
        <f>'RGGI - Invest Amort deferred'!BL65</f>
        <v>-461619.91365416627</v>
      </c>
      <c r="K107" s="435"/>
      <c r="L107" s="414">
        <f>'RGGI II Invest Amort Def'!AI53</f>
        <v>4865485.284</v>
      </c>
      <c r="M107" s="414">
        <f>'RGGI II Invest Amort Def'!AI53</f>
        <v>4865485.284</v>
      </c>
      <c r="N107" s="413">
        <f>'RGGI II Invest Amort Def'!BK53</f>
        <v>-1987550.7385140057</v>
      </c>
      <c r="O107" s="435"/>
      <c r="P107" s="425">
        <f>'2013 program Invest Amort Def'!AY35</f>
        <v>17547189.539333336</v>
      </c>
      <c r="Q107" s="425">
        <f>'2013 program Invest Amort Def'!AY35</f>
        <v>17547189.539333336</v>
      </c>
      <c r="R107" s="425">
        <f>'2013 program Invest Amort Def'!CQ35</f>
        <v>-6002291.4521114174</v>
      </c>
      <c r="S107" s="373">
        <f t="shared" ref="S107:S115" si="104">+P107+R107</f>
        <v>11544898.087221919</v>
      </c>
      <c r="T107" s="435"/>
      <c r="U107" s="414">
        <f>'2015 Program Invest Amort Def'!BT10</f>
        <v>1644000.1666666667</v>
      </c>
      <c r="V107" s="414">
        <f>'2015 Program Invest Amort Def'!BT10</f>
        <v>1644000.1666666667</v>
      </c>
      <c r="W107" s="414">
        <f>'2015 Program Invest Amort Def'!EG10</f>
        <v>-116814.38766666665</v>
      </c>
      <c r="X107" s="397">
        <f t="shared" si="94"/>
        <v>1527185.7790000001</v>
      </c>
      <c r="Y107" s="435"/>
      <c r="Z107" s="394">
        <v>126545183.00999996</v>
      </c>
      <c r="AA107" s="548">
        <v>3.0599999999999999E-2</v>
      </c>
      <c r="AB107" s="439">
        <f t="shared" si="95"/>
        <v>3872282.6001059986</v>
      </c>
      <c r="AD107" s="415">
        <f>'E3 - Invest Amort deferred tax'!AL85</f>
        <v>0</v>
      </c>
      <c r="AE107" s="412"/>
      <c r="AF107" s="416">
        <f>(D106+F106)*'Capital Structure '!$F$21/12</f>
        <v>0</v>
      </c>
      <c r="AG107" s="416">
        <f>(D106+F106)*'Capital Structure '!$E$34/12</f>
        <v>0</v>
      </c>
      <c r="AH107" s="416">
        <f>(D106+F106)*'Capital Structure '!$F$18/12</f>
        <v>0</v>
      </c>
      <c r="AI107" s="415">
        <f t="shared" si="96"/>
        <v>0</v>
      </c>
      <c r="AJ107" s="412"/>
      <c r="AK107" s="415">
        <v>0</v>
      </c>
      <c r="AL107" s="415">
        <v>0</v>
      </c>
      <c r="AM107" s="412">
        <f t="shared" si="97"/>
        <v>0</v>
      </c>
      <c r="AO107" s="372">
        <f>'RGGI - Invest Amort deferred'!AG65+'RGGI CHP'!V20</f>
        <v>172488.28666666665</v>
      </c>
      <c r="AP107" s="412"/>
      <c r="AQ107" s="412">
        <f>(H107+J107)*'Capital Structure '!$F$21/12</f>
        <v>1381.3195760422152</v>
      </c>
      <c r="AR107" s="412">
        <f>(H107+J107)*'Capital Structure '!$E$34/12</f>
        <v>2030.3218167504481</v>
      </c>
      <c r="AS107" s="412">
        <f>(H107+J107)*'Capital Structure '!$F$18/12</f>
        <v>2939.8662291502819</v>
      </c>
      <c r="AT107" s="412">
        <f>'RGGI - On-bill financing'!J65*'Capital Structure '!$E$34/12</f>
        <v>7001.4917732020103</v>
      </c>
      <c r="AU107" s="412">
        <f>'RGGI - On-bill financing'!J65*('Capital Structure '!$F$18+'Capital Structure '!$F$21)/12</f>
        <v>14901.453856194887</v>
      </c>
      <c r="AV107" s="415">
        <f t="shared" si="98"/>
        <v>28254.453251339841</v>
      </c>
      <c r="AW107" s="412"/>
      <c r="AX107" s="415">
        <v>0</v>
      </c>
      <c r="AY107" s="373">
        <f t="shared" si="58"/>
        <v>200742.7399180065</v>
      </c>
      <c r="BA107" s="412">
        <f>'RGGI II Invest Amort Def'!AG53</f>
        <v>231616.14799999999</v>
      </c>
      <c r="BB107" s="412"/>
      <c r="BC107" s="412">
        <f>(L107+N107)*'Capital Structure '!$H$21/12</f>
        <v>4378.9093162902745</v>
      </c>
      <c r="BD107" s="412">
        <f>(L107+N107)*'Capital Structure '!$H$34/12</f>
        <v>8741.7537825863328</v>
      </c>
      <c r="BE107" s="412">
        <f>(L107+N107)*'Capital Structure '!$H$18/12</f>
        <v>12657.88828004851</v>
      </c>
      <c r="BF107" s="412">
        <f>'RGGI II On Bill Fin''g'!L53*'Capital Structure '!$H$34/12</f>
        <v>21917.076729497272</v>
      </c>
      <c r="BG107" s="412">
        <f>'RGGI II On Bill Fin''g'!L53*('Capital Structure '!$H$18+'Capital Structure '!$H$21)/12</f>
        <v>42714.174916214433</v>
      </c>
      <c r="BH107" s="415">
        <f t="shared" si="99"/>
        <v>90409.803024636814</v>
      </c>
      <c r="BI107" s="412"/>
      <c r="BJ107" s="419"/>
      <c r="BK107" s="373">
        <f t="shared" si="34"/>
        <v>322025.9510246368</v>
      </c>
      <c r="BM107" s="412">
        <f>'2013 program Invest Amort Def'!AW35</f>
        <v>423706.2111666667</v>
      </c>
      <c r="BN107" s="412"/>
      <c r="BO107" s="412">
        <f>(S107)*'Capital Structure '!$J$21/12</f>
        <v>16201.340315734758</v>
      </c>
      <c r="BP107" s="412">
        <f>(S107)*'Capital Structure '!$J$34/12</f>
        <v>34656.424303712141</v>
      </c>
      <c r="BQ107" s="412">
        <f>(S107)*'Capital Structure '!$J$18/12</f>
        <v>50181.823685791278</v>
      </c>
      <c r="BR107" s="412">
        <f>('2013 program 10 yr On Bill Fin'!M35+'2013 program 5 yr On Bill Fin'!L33+'2013 program 2 yr On Bill Fin'!M23)*'Capital Structure '!$J$34/12</f>
        <v>112375.28113584239</v>
      </c>
      <c r="BS107" s="412">
        <f>('2013 program 10 yr On Bill Fin'!M35+'2013 program 5 yr On Bill Fin'!L33+'2013 program 2 yr On Bill Fin'!M23)*('Capital Structure '!$J$18+'Capital Structure '!$J$21)/12</f>
        <v>215250.90563250004</v>
      </c>
      <c r="BT107" s="431">
        <f t="shared" si="100"/>
        <v>428665.77507358056</v>
      </c>
      <c r="BU107" s="412"/>
      <c r="BV107" s="425">
        <v>0</v>
      </c>
      <c r="BW107" s="425">
        <f t="shared" si="48"/>
        <v>852371.98624024726</v>
      </c>
      <c r="BY107" s="412">
        <f>'2015 Program Invest Amort Def'!BR10</f>
        <v>28591.5</v>
      </c>
      <c r="CA107" s="412">
        <f>X107*'Capital Structure '!$L$21/12</f>
        <v>1908.9822237500002</v>
      </c>
      <c r="CB107" s="412">
        <f>(X107)*'Capital Structure '!$L$34/12</f>
        <v>4561.5799913279589</v>
      </c>
      <c r="CC107" s="412">
        <f>(X107)*'Capital Structure '!$L$18/12</f>
        <v>6605.0784941749998</v>
      </c>
      <c r="CD107" s="412">
        <f>('2015 Program 10-Year OBRP'!P10+'2015 Program 7-Year OBRP'!M10+'2015 Program 5-Year OBRP'!K10+'2015 Program 3-Year OBRP'!K10)*('Capital Structure '!$L$34/12)</f>
        <v>9652.8866416572273</v>
      </c>
      <c r="CE107" s="412">
        <f>('2015 Program 10-Year OBRP'!P10+'2015 Program 7-Year OBRP'!M10+'2015 Program 5-Year OBRP'!K10+'2015 Program 3-Year OBRP'!K10)*(('Capital Structure '!$L$21/12)+('Capital Structure '!$L$18/12))</f>
        <v>18016.8413415</v>
      </c>
      <c r="CF107" s="412">
        <f t="shared" si="85"/>
        <v>40745.368692410186</v>
      </c>
      <c r="CG107" s="412"/>
      <c r="CI107" s="393">
        <v>259468.62</v>
      </c>
      <c r="CJ107" s="412">
        <f>BY107+CF107+CI107</f>
        <v>328805.48869241017</v>
      </c>
      <c r="CK107" s="412"/>
      <c r="CL107" s="412"/>
      <c r="CM107" s="412"/>
      <c r="CN107" s="412"/>
      <c r="CO107" s="412"/>
      <c r="CP107" s="412"/>
      <c r="CQ107" s="412"/>
      <c r="CR107" s="412"/>
      <c r="CS107" s="412"/>
      <c r="CT107" s="412"/>
      <c r="CU107" s="412"/>
      <c r="CV107" s="412"/>
      <c r="CW107" s="412"/>
      <c r="CY107" s="412">
        <f t="shared" si="89"/>
        <v>-2168336.4342306978</v>
      </c>
      <c r="CZ107" s="412">
        <f t="shared" si="101"/>
        <v>-3138466.8602096518</v>
      </c>
      <c r="DA107" s="412">
        <f t="shared" si="102"/>
        <v>-1215117.6473902802</v>
      </c>
      <c r="DB107" s="417">
        <v>4.4999999999999997E-3</v>
      </c>
      <c r="DC107" s="418">
        <f t="shared" si="103"/>
        <v>-455.66911777135505</v>
      </c>
      <c r="DE107" s="420">
        <f t="shared" si="90"/>
        <v>6.9000000000000006E-2</v>
      </c>
      <c r="DF107" s="420">
        <f t="shared" si="91"/>
        <v>0.10502258664412509</v>
      </c>
      <c r="DG107" s="420">
        <f t="shared" si="92"/>
        <v>6.6900000000000001E-2</v>
      </c>
      <c r="DH107" s="420">
        <f t="shared" si="93"/>
        <v>0.10274302620456467</v>
      </c>
      <c r="DI107" s="393"/>
      <c r="DJ107" s="393"/>
    </row>
    <row r="108" spans="1:173" s="351" customFormat="1" hidden="1" outlineLevel="1">
      <c r="A108" s="430" t="s">
        <v>54</v>
      </c>
      <c r="B108" s="430">
        <v>2016</v>
      </c>
      <c r="C108" s="411" t="s">
        <v>47</v>
      </c>
      <c r="E108" s="412"/>
      <c r="F108" s="413"/>
      <c r="G108" s="435"/>
      <c r="H108" s="412">
        <f>'RGGI - Invest Amort deferred'!AI66</f>
        <v>972104.33333332278</v>
      </c>
      <c r="I108" s="412">
        <f>'RGGI - Invest Amort deferred'!AI66</f>
        <v>972104.33333332278</v>
      </c>
      <c r="J108" s="413">
        <f>'RGGI - Invest Amort deferred'!BL66</f>
        <v>-397104.62016666628</v>
      </c>
      <c r="K108" s="435"/>
      <c r="L108" s="414">
        <f>'RGGI II Invest Amort Def'!AI54</f>
        <v>4633869.1359999999</v>
      </c>
      <c r="M108" s="414">
        <f>'RGGI II Invest Amort Def'!AI54</f>
        <v>4633869.1359999999</v>
      </c>
      <c r="N108" s="413">
        <f>'RGGI II Invest Amort Def'!BK54</f>
        <v>-1892935.5420560057</v>
      </c>
      <c r="O108" s="435"/>
      <c r="P108" s="425">
        <f>'2013 program Invest Amort Def'!AY36</f>
        <v>17154949.994833335</v>
      </c>
      <c r="Q108" s="425">
        <f>'2013 program Invest Amort Def'!AY36</f>
        <v>17154949.994833335</v>
      </c>
      <c r="R108" s="425">
        <f>'2013 program Invest Amort Def'!CQ36</f>
        <v>-6053379.2796560843</v>
      </c>
      <c r="S108" s="373">
        <f t="shared" si="104"/>
        <v>11101570.715177251</v>
      </c>
      <c r="T108" s="435"/>
      <c r="U108" s="414">
        <f>'2015 Program Invest Amort Def'!BT11</f>
        <v>2013658.6666666667</v>
      </c>
      <c r="V108" s="414">
        <f>'2015 Program Invest Amort Def'!BT11</f>
        <v>2013658.6666666667</v>
      </c>
      <c r="W108" s="414">
        <f>'2015 Program Invest Amort Def'!EG11</f>
        <v>-174562.39866666665</v>
      </c>
      <c r="X108" s="397">
        <f t="shared" si="94"/>
        <v>1839096.2680000002</v>
      </c>
      <c r="Y108" s="435"/>
      <c r="Z108" s="394">
        <v>101631956.03999999</v>
      </c>
      <c r="AA108" s="548">
        <v>3.0599999999999999E-2</v>
      </c>
      <c r="AB108" s="439">
        <f t="shared" si="95"/>
        <v>3109937.8548239996</v>
      </c>
      <c r="AD108" s="415">
        <f>'E3 - Invest Amort deferred tax'!AL86</f>
        <v>0</v>
      </c>
      <c r="AE108" s="412"/>
      <c r="AF108" s="416">
        <f>(D107+F107)*'Capital Structure '!$F$21/12</f>
        <v>0</v>
      </c>
      <c r="AG108" s="416">
        <f>(D107+F107)*'Capital Structure '!$E$34/12</f>
        <v>0</v>
      </c>
      <c r="AH108" s="416">
        <f>(D107+F107)*'Capital Structure '!$F$18/12</f>
        <v>0</v>
      </c>
      <c r="AI108" s="415">
        <f t="shared" si="96"/>
        <v>0</v>
      </c>
      <c r="AJ108" s="412"/>
      <c r="AK108" s="415">
        <v>0</v>
      </c>
      <c r="AL108" s="415">
        <v>0</v>
      </c>
      <c r="AM108" s="412">
        <f t="shared" si="97"/>
        <v>0</v>
      </c>
      <c r="AO108" s="372">
        <f>'RGGI - Invest Amort deferred'!AG66+'RGGI CHP'!V21</f>
        <v>170432.17499999999</v>
      </c>
      <c r="AP108" s="412"/>
      <c r="AQ108" s="412">
        <f>(H108+J108)*'Capital Structure '!$F$21/12</f>
        <v>1188.2684636173772</v>
      </c>
      <c r="AR108" s="412">
        <f>(H108+J108)*'Capital Structure '!$E$34/12</f>
        <v>1746.5671432467736</v>
      </c>
      <c r="AS108" s="412">
        <f>(H108+J108)*'Capital Structure '!$F$18/12</f>
        <v>2528.9950189240312</v>
      </c>
      <c r="AT108" s="412">
        <f>'RGGI - On-bill financing'!J66*'Capital Structure '!$E$34/12</f>
        <v>6881.706033372925</v>
      </c>
      <c r="AU108" s="412">
        <f>'RGGI - On-bill financing'!J66*('Capital Structure '!$F$18+'Capital Structure '!$F$21)/12</f>
        <v>14646.510805126081</v>
      </c>
      <c r="AV108" s="415">
        <f t="shared" si="98"/>
        <v>26992.047464287185</v>
      </c>
      <c r="AW108" s="412"/>
      <c r="AX108" s="415">
        <v>0</v>
      </c>
      <c r="AY108" s="373">
        <f t="shared" si="58"/>
        <v>197424.22246428719</v>
      </c>
      <c r="BA108" s="412">
        <f>'RGGI II Invest Amort Def'!AG54</f>
        <v>231616.14799999999</v>
      </c>
      <c r="BB108" s="412"/>
      <c r="BC108" s="412">
        <f>(L108+N108)*'Capital Structure '!$H$21/12</f>
        <v>4170.4560893088428</v>
      </c>
      <c r="BD108" s="412">
        <f>(L108+N108)*'Capital Structure '!$H$34/12</f>
        <v>8325.6120783774331</v>
      </c>
      <c r="BE108" s="412">
        <f>(L108+N108)*'Capital Structure '!$H$18/12</f>
        <v>12055.323242007964</v>
      </c>
      <c r="BF108" s="412">
        <f>'RGGI II On Bill Fin''g'!L54*'Capital Structure '!$H$34/12</f>
        <v>21673.770510297265</v>
      </c>
      <c r="BG108" s="412">
        <f>'RGGI II On Bill Fin''g'!L54*('Capital Structure '!$H$18+'Capital Structure '!$H$21)/12</f>
        <v>42239.995602368035</v>
      </c>
      <c r="BH108" s="415">
        <f t="shared" si="99"/>
        <v>88465.157522359543</v>
      </c>
      <c r="BI108" s="412"/>
      <c r="BJ108" s="419"/>
      <c r="BK108" s="373">
        <f t="shared" si="34"/>
        <v>320081.30552235956</v>
      </c>
      <c r="BM108" s="412">
        <f>'2013 program Invest Amort Def'!AW36</f>
        <v>424239.54450000002</v>
      </c>
      <c r="BN108" s="412"/>
      <c r="BO108" s="412">
        <f>(S108)*'Capital Structure '!$J$21/12</f>
        <v>15579.20423696541</v>
      </c>
      <c r="BP108" s="412">
        <f>(S108)*'Capital Structure '!$J$34/12</f>
        <v>33325.607747779526</v>
      </c>
      <c r="BQ108" s="412">
        <f>(S108)*'Capital Structure '!$J$18/12</f>
        <v>48254.827375303779</v>
      </c>
      <c r="BR108" s="412">
        <f>('2013 program 10 yr On Bill Fin'!M36+'2013 program 5 yr On Bill Fin'!L34+'2013 program 2 yr On Bill Fin'!M24)*'Capital Structure '!$J$34/12</f>
        <v>111440.09252005926</v>
      </c>
      <c r="BS108" s="412">
        <f>('2013 program 10 yr On Bill Fin'!M36+'2013 program 5 yr On Bill Fin'!L34+'2013 program 2 yr On Bill Fin'!M24)*('Capital Structure '!$J$18+'Capital Structure '!$J$21)/12</f>
        <v>213459.58467250003</v>
      </c>
      <c r="BT108" s="431">
        <f t="shared" si="100"/>
        <v>422059.31655260804</v>
      </c>
      <c r="BU108" s="412"/>
      <c r="BV108" s="425">
        <v>0</v>
      </c>
      <c r="BW108" s="425">
        <f t="shared" si="48"/>
        <v>846298.86105260812</v>
      </c>
      <c r="BY108" s="412">
        <f>'2015 Program Invest Amort Def'!BR11</f>
        <v>35341.5</v>
      </c>
      <c r="CA108" s="412">
        <f>X108*'Capital Structure '!$L$21/12</f>
        <v>2298.8703350000005</v>
      </c>
      <c r="CB108" s="412">
        <f>(X108)*'Capital Structure '!$L$34/12</f>
        <v>5493.2313105534231</v>
      </c>
      <c r="CC108" s="412">
        <f>(X108)*'Capital Structure '!$L$18/12</f>
        <v>7954.0913591000017</v>
      </c>
      <c r="CD108" s="412">
        <f>('2015 Program 10-Year OBRP'!P11+'2015 Program 7-Year OBRP'!M11+'2015 Program 5-Year OBRP'!K11+'2015 Program 3-Year OBRP'!K11)*('Capital Structure '!$L$34/12)</f>
        <v>12409.851779587701</v>
      </c>
      <c r="CE108" s="412">
        <f>('2015 Program 10-Year OBRP'!P11+'2015 Program 7-Year OBRP'!M11+'2015 Program 5-Year OBRP'!K11+'2015 Program 3-Year OBRP'!K11)*(('Capital Structure '!$L$21/12)+('Capital Structure '!$L$18/12))</f>
        <v>23162.639206750002</v>
      </c>
      <c r="CF108" s="412">
        <f t="shared" si="85"/>
        <v>51318.683990991129</v>
      </c>
      <c r="CG108" s="412"/>
      <c r="CI108" s="393">
        <v>257753.48999999996</v>
      </c>
      <c r="CJ108" s="412">
        <f>BY108+CF108+CI108</f>
        <v>344413.67399099108</v>
      </c>
      <c r="CK108" s="412"/>
      <c r="CL108" s="412"/>
      <c r="CM108" s="412"/>
      <c r="CN108" s="412"/>
      <c r="CO108" s="412"/>
      <c r="CP108" s="412"/>
      <c r="CQ108" s="412"/>
      <c r="CR108" s="412"/>
      <c r="CS108" s="412"/>
      <c r="CT108" s="412"/>
      <c r="CU108" s="412"/>
      <c r="CV108" s="412"/>
      <c r="CW108" s="412"/>
      <c r="CY108" s="412">
        <f t="shared" si="89"/>
        <v>-1401719.7917937539</v>
      </c>
      <c r="CZ108" s="412">
        <f t="shared" si="101"/>
        <v>-4540186.6520034056</v>
      </c>
      <c r="DA108" s="412">
        <f t="shared" si="102"/>
        <v>-2270961.7762370119</v>
      </c>
      <c r="DB108" s="417">
        <v>4.5999999999999999E-3</v>
      </c>
      <c r="DC108" s="418">
        <f t="shared" si="103"/>
        <v>-870.53534755752116</v>
      </c>
      <c r="DE108" s="420">
        <f t="shared" si="90"/>
        <v>6.8999999999999992E-2</v>
      </c>
      <c r="DF108" s="420">
        <f t="shared" si="91"/>
        <v>0.10502258664412509</v>
      </c>
      <c r="DG108" s="420">
        <f t="shared" si="92"/>
        <v>6.6900000000000015E-2</v>
      </c>
      <c r="DH108" s="420">
        <f t="shared" si="93"/>
        <v>0.10274302620456467</v>
      </c>
      <c r="DI108" s="393"/>
      <c r="DJ108" s="393"/>
    </row>
    <row r="109" spans="1:173" s="351" customFormat="1" hidden="1" outlineLevel="1">
      <c r="A109" s="430" t="s">
        <v>55</v>
      </c>
      <c r="B109" s="430">
        <v>2016</v>
      </c>
      <c r="C109" s="411" t="s">
        <v>47</v>
      </c>
      <c r="E109" s="412"/>
      <c r="F109" s="413"/>
      <c r="G109" s="435"/>
      <c r="H109" s="412">
        <f>'RGGI - Invest Amort deferred'!AI67</f>
        <v>823223.16583332233</v>
      </c>
      <c r="I109" s="412">
        <f>'RGGI - Invest Amort deferred'!AI67</f>
        <v>823223.16583332233</v>
      </c>
      <c r="J109" s="413">
        <f>'RGGI - Invest Amort deferred'!BL67</f>
        <v>-336286.66324291629</v>
      </c>
      <c r="K109" s="435"/>
      <c r="L109" s="414">
        <f>'RGGI II Invest Amort Def'!AI55</f>
        <v>4402252.9879999999</v>
      </c>
      <c r="M109" s="414">
        <f>'RGGI II Invest Amort Def'!AI55</f>
        <v>4402252.9879999999</v>
      </c>
      <c r="N109" s="413">
        <f>'RGGI II Invest Amort Def'!BK55</f>
        <v>-1798320.3455980057</v>
      </c>
      <c r="O109" s="435"/>
      <c r="P109" s="425">
        <f>'2013 program Invest Amort Def'!AY37</f>
        <v>16767093.783666668</v>
      </c>
      <c r="Q109" s="425">
        <f>'2013 program Invest Amort Def'!AY37</f>
        <v>16767093.783666668</v>
      </c>
      <c r="R109" s="425">
        <f>'2013 program Invest Amort Def'!CQ37</f>
        <v>-6077556.7271590838</v>
      </c>
      <c r="S109" s="373">
        <f t="shared" si="104"/>
        <v>10689537.056507584</v>
      </c>
      <c r="T109" s="435"/>
      <c r="U109" s="414">
        <f>'2015 Program Invest Amort Def'!BT12</f>
        <v>2384827.1666666665</v>
      </c>
      <c r="V109" s="414">
        <f>'2015 Program Invest Amort Def'!BT12</f>
        <v>2384827.1666666665</v>
      </c>
      <c r="W109" s="414">
        <f>'2015 Program Invest Amort Def'!EG12</f>
        <v>-243568.66966666665</v>
      </c>
      <c r="X109" s="397">
        <f t="shared" si="94"/>
        <v>2141258.497</v>
      </c>
      <c r="Y109" s="435"/>
      <c r="Z109" s="394">
        <v>69472960.790000021</v>
      </c>
      <c r="AA109" s="548">
        <v>3.0599999999999999E-2</v>
      </c>
      <c r="AB109" s="439">
        <f t="shared" si="95"/>
        <v>2125872.6001740005</v>
      </c>
      <c r="AD109" s="415">
        <f>'E3 - Invest Amort deferred tax'!AL87</f>
        <v>0</v>
      </c>
      <c r="AE109" s="412"/>
      <c r="AF109" s="416">
        <f>(D108+F108)*'Capital Structure '!$F$21/12</f>
        <v>0</v>
      </c>
      <c r="AG109" s="416">
        <f>(D108+F108)*'Capital Structure '!$E$34/12</f>
        <v>0</v>
      </c>
      <c r="AH109" s="416">
        <f>(D108+F108)*'Capital Structure '!$F$18/12</f>
        <v>0</v>
      </c>
      <c r="AI109" s="415">
        <f t="shared" si="96"/>
        <v>0</v>
      </c>
      <c r="AJ109" s="412"/>
      <c r="AK109" s="415">
        <v>0</v>
      </c>
      <c r="AL109" s="415">
        <v>0</v>
      </c>
      <c r="AM109" s="412">
        <f t="shared" si="97"/>
        <v>0</v>
      </c>
      <c r="AO109" s="372">
        <f>'RGGI - Invest Amort deferred'!AG67+'RGGI CHP'!V22</f>
        <v>161381.16750000001</v>
      </c>
      <c r="AP109" s="412"/>
      <c r="AQ109" s="412">
        <f>(H109+J109)*'Capital Structure '!$F$21/12</f>
        <v>1006.2810059952458</v>
      </c>
      <c r="AR109" s="412">
        <f>(H109+J109)*'Capital Structure '!$E$34/12</f>
        <v>1479.0742965560464</v>
      </c>
      <c r="AS109" s="412">
        <f>(H109+J109)*'Capital Structure '!$F$18/12</f>
        <v>2141.6706154538592</v>
      </c>
      <c r="AT109" s="412">
        <f>'RGGI - On-bill financing'!J67*'Capital Structure '!$E$34/12</f>
        <v>6740.6002567292744</v>
      </c>
      <c r="AU109" s="412">
        <f>'RGGI - On-bill financing'!J67*('Capital Structure '!$F$18+'Capital Structure '!$F$21)/12</f>
        <v>14346.191774895144</v>
      </c>
      <c r="AV109" s="415">
        <f t="shared" si="98"/>
        <v>25713.817949629571</v>
      </c>
      <c r="AW109" s="412"/>
      <c r="AX109" s="415">
        <v>0</v>
      </c>
      <c r="AY109" s="373">
        <f t="shared" si="58"/>
        <v>187094.98544962957</v>
      </c>
      <c r="BA109" s="412">
        <f>'RGGI II Invest Amort Def'!AG55</f>
        <v>231616.14799999999</v>
      </c>
      <c r="BB109" s="412"/>
      <c r="BC109" s="412">
        <f>(L109+N109)*'Capital Structure '!$H$21/12</f>
        <v>3962.0028623274106</v>
      </c>
      <c r="BD109" s="412">
        <f>(L109+N109)*'Capital Structure '!$H$34/12</f>
        <v>7909.4703741685344</v>
      </c>
      <c r="BE109" s="412">
        <f>(L109+N109)*'Capital Structure '!$H$18/12</f>
        <v>11452.758203967414</v>
      </c>
      <c r="BF109" s="412">
        <f>'RGGI II On Bill Fin''g'!L55*'Capital Structure '!$H$34/12</f>
        <v>21271.86458546936</v>
      </c>
      <c r="BG109" s="412">
        <f>'RGGI II On Bill Fin''g'!L55*('Capital Structure '!$H$18+'Capital Structure '!$H$21)/12</f>
        <v>41456.721437439934</v>
      </c>
      <c r="BH109" s="415">
        <f t="shared" si="99"/>
        <v>86052.817463372659</v>
      </c>
      <c r="BI109" s="412"/>
      <c r="BJ109" s="419"/>
      <c r="BK109" s="373">
        <f t="shared" si="34"/>
        <v>317668.96546337265</v>
      </c>
      <c r="BM109" s="412">
        <f>'2013 program Invest Amort Def'!AW37</f>
        <v>424856.2111666667</v>
      </c>
      <c r="BN109" s="412"/>
      <c r="BO109" s="412">
        <f>(S109)*'Capital Structure '!$J$21/12</f>
        <v>15000.983669298977</v>
      </c>
      <c r="BP109" s="412">
        <f>(S109)*'Capital Structure '!$J$34/12</f>
        <v>32088.731233635863</v>
      </c>
      <c r="BQ109" s="412">
        <f>(S109)*'Capital Structure '!$J$18/12</f>
        <v>46463.854405619633</v>
      </c>
      <c r="BR109" s="412">
        <f>('2013 program 10 yr On Bill Fin'!M37+'2013 program 5 yr On Bill Fin'!L35+'2013 program 2 yr On Bill Fin'!M25)*'Capital Structure '!$J$34/12</f>
        <v>110119.75908331672</v>
      </c>
      <c r="BS109" s="412">
        <f>('2013 program 10 yr On Bill Fin'!M37+'2013 program 5 yr On Bill Fin'!L35+'2013 program 2 yr On Bill Fin'!M25)*('Capital Structure '!$J$18+'Capital Structure '!$J$21)/12</f>
        <v>210930.53232999999</v>
      </c>
      <c r="BT109" s="431">
        <f t="shared" si="100"/>
        <v>414603.86072187114</v>
      </c>
      <c r="BU109" s="412"/>
      <c r="BV109" s="425">
        <v>0</v>
      </c>
      <c r="BW109" s="425">
        <f t="shared" si="48"/>
        <v>839460.07188853784</v>
      </c>
      <c r="BY109" s="412">
        <f>'2015 Program Invest Amort Def'!BR12</f>
        <v>42231.5</v>
      </c>
      <c r="CA109" s="412">
        <f>X109*'Capital Structure '!$L$21/12</f>
        <v>2676.57312125</v>
      </c>
      <c r="CB109" s="412">
        <f>(X109)*'Capital Structure '!$L$34/12</f>
        <v>6395.765368226479</v>
      </c>
      <c r="CC109" s="412">
        <f>(X109)*'Capital Structure '!$L$18/12</f>
        <v>9260.9429995250011</v>
      </c>
      <c r="CD109" s="412">
        <f>('2015 Program 10-Year OBRP'!P12+'2015 Program 7-Year OBRP'!M12+'2015 Program 5-Year OBRP'!K12+'2015 Program 3-Year OBRP'!K12)*('Capital Structure '!$L$34/12)</f>
        <v>14891.227535543534</v>
      </c>
      <c r="CE109" s="412">
        <f>('2015 Program 10-Year OBRP'!P12+'2015 Program 7-Year OBRP'!M12+'2015 Program 5-Year OBRP'!K12+'2015 Program 3-Year OBRP'!K12)*(('Capital Structure '!$L$21/12)+('Capital Structure '!$L$18/12))</f>
        <v>27794.057244</v>
      </c>
      <c r="CF109" s="412">
        <f t="shared" si="85"/>
        <v>61018.566268545008</v>
      </c>
      <c r="CG109" s="412">
        <v>-204.88</v>
      </c>
      <c r="CI109" s="393">
        <v>288584.26000000007</v>
      </c>
      <c r="CJ109" s="412">
        <f>BY109+CF109+CG109+CI109</f>
        <v>391629.44626854506</v>
      </c>
      <c r="CK109" s="412"/>
      <c r="CL109" s="412"/>
      <c r="CM109" s="412"/>
      <c r="CN109" s="412"/>
      <c r="CO109" s="412"/>
      <c r="CP109" s="412"/>
      <c r="CQ109" s="412"/>
      <c r="CR109" s="412"/>
      <c r="CS109" s="412"/>
      <c r="CT109" s="412"/>
      <c r="CU109" s="412"/>
      <c r="CV109" s="412"/>
      <c r="CW109" s="412"/>
      <c r="CY109" s="412">
        <f t="shared" si="89"/>
        <v>-390019.1311039154</v>
      </c>
      <c r="CZ109" s="412">
        <f t="shared" si="101"/>
        <v>-4930205.7831073208</v>
      </c>
      <c r="DA109" s="412">
        <f t="shared" si="102"/>
        <v>-2800868.5626839972</v>
      </c>
      <c r="DB109" s="417">
        <v>4.5999999999999999E-3</v>
      </c>
      <c r="DC109" s="418">
        <f t="shared" si="103"/>
        <v>-1073.6662823621989</v>
      </c>
      <c r="DE109" s="420">
        <f t="shared" si="90"/>
        <v>6.9000000000000006E-2</v>
      </c>
      <c r="DF109" s="420">
        <f t="shared" si="91"/>
        <v>0.10502258664412509</v>
      </c>
      <c r="DG109" s="420">
        <f t="shared" si="92"/>
        <v>6.6900000000000001E-2</v>
      </c>
      <c r="DH109" s="420">
        <f t="shared" si="93"/>
        <v>0.10274302620456466</v>
      </c>
      <c r="DI109" s="393"/>
      <c r="DJ109" s="393"/>
    </row>
    <row r="110" spans="1:173" s="351" customFormat="1" hidden="1" outlineLevel="1">
      <c r="A110" s="430" t="s">
        <v>56</v>
      </c>
      <c r="B110" s="430">
        <v>2016</v>
      </c>
      <c r="C110" s="411" t="s">
        <v>47</v>
      </c>
      <c r="E110" s="412"/>
      <c r="F110" s="413"/>
      <c r="G110" s="435"/>
      <c r="H110" s="412">
        <f>'RGGI - Invest Amort deferred'!AI68</f>
        <v>686823.85499998927</v>
      </c>
      <c r="I110" s="412">
        <f>'RGGI - Invest Amort deferred'!AI68</f>
        <v>686823.85499998927</v>
      </c>
      <c r="J110" s="413">
        <f>'RGGI - Invest Amort deferred'!BL68</f>
        <v>-280567.54476749961</v>
      </c>
      <c r="K110" s="435"/>
      <c r="L110" s="414">
        <f>'RGGI II Invest Amort Def'!AI56</f>
        <v>4170636.84</v>
      </c>
      <c r="M110" s="414">
        <f>'RGGI II Invest Amort Def'!AI56</f>
        <v>4170636.84</v>
      </c>
      <c r="N110" s="413">
        <f>'RGGI II Invest Amort Def'!BK56</f>
        <v>-1703705.1491400057</v>
      </c>
      <c r="O110" s="435"/>
      <c r="P110" s="425">
        <f>'2013 program Invest Amort Def'!AY38</f>
        <v>16356004.239166668</v>
      </c>
      <c r="Q110" s="425">
        <f>'2013 program Invest Amort Def'!AY38</f>
        <v>16356004.239166668</v>
      </c>
      <c r="R110" s="425">
        <f>'2013 program Invest Amort Def'!CQ38</f>
        <v>-6078910.2243704172</v>
      </c>
      <c r="S110" s="373">
        <f t="shared" si="104"/>
        <v>10277094.01479625</v>
      </c>
      <c r="T110" s="435"/>
      <c r="U110" s="414">
        <f>'2015 Program Invest Amort Def'!BT13</f>
        <v>2685090.6666666665</v>
      </c>
      <c r="V110" s="414">
        <f>'2015 Program Invest Amort Def'!BT13</f>
        <v>2685090.6666666665</v>
      </c>
      <c r="W110" s="414">
        <f>'2015 Program Invest Amort Def'!EG13</f>
        <v>-322060.31066666666</v>
      </c>
      <c r="X110" s="397">
        <f t="shared" si="94"/>
        <v>2363030.3559999997</v>
      </c>
      <c r="Y110" s="435"/>
      <c r="Z110" s="394">
        <v>50841714.080000013</v>
      </c>
      <c r="AA110" s="548">
        <v>3.0599999999999999E-2</v>
      </c>
      <c r="AB110" s="439">
        <f t="shared" si="95"/>
        <v>1555756.4508480004</v>
      </c>
      <c r="AD110" s="415">
        <f>'E3 - Invest Amort deferred tax'!AL88</f>
        <v>0</v>
      </c>
      <c r="AE110" s="412"/>
      <c r="AF110" s="416">
        <f>(D109+F109)*'Capital Structure '!$F$21/12</f>
        <v>0</v>
      </c>
      <c r="AG110" s="416">
        <f>(D109+F109)*'Capital Structure '!$E$34/12</f>
        <v>0</v>
      </c>
      <c r="AH110" s="416">
        <f>(D109+F109)*'Capital Structure '!$F$18/12</f>
        <v>0</v>
      </c>
      <c r="AI110" s="415">
        <f t="shared" si="96"/>
        <v>0</v>
      </c>
      <c r="AJ110" s="412"/>
      <c r="AK110" s="415">
        <v>0</v>
      </c>
      <c r="AL110" s="415">
        <v>0</v>
      </c>
      <c r="AM110" s="412">
        <f t="shared" si="97"/>
        <v>0</v>
      </c>
      <c r="AO110" s="372">
        <f>'RGGI - Invest Amort deferred'!AG68+'RGGI CHP'!V23</f>
        <v>148899.31083333332</v>
      </c>
      <c r="AP110" s="412"/>
      <c r="AQ110" s="412">
        <f>(H110+J110)*'Capital Structure '!$F$21/12</f>
        <v>839.55096070614638</v>
      </c>
      <c r="AR110" s="412">
        <f>(H110+J110)*'Capital Structure '!$E$34/12</f>
        <v>1234.0074385099376</v>
      </c>
      <c r="AS110" s="412">
        <f>(H110+J110)*'Capital Structure '!$F$18/12</f>
        <v>1786.818604354047</v>
      </c>
      <c r="AT110" s="412">
        <f>'RGGI - On-bill financing'!J68*'Capital Structure '!$E$34/12</f>
        <v>6624.7919230832058</v>
      </c>
      <c r="AU110" s="412">
        <f>'RGGI - On-bill financing'!J68*('Capital Structure '!$F$18+'Capital Structure '!$F$21)/12</f>
        <v>14099.713939043815</v>
      </c>
      <c r="AV110" s="415">
        <f t="shared" si="98"/>
        <v>24584.882865697153</v>
      </c>
      <c r="AW110" s="412"/>
      <c r="AX110" s="415">
        <v>0</v>
      </c>
      <c r="AY110" s="373">
        <f t="shared" si="58"/>
        <v>173484.19369903047</v>
      </c>
      <c r="BA110" s="412">
        <f>'RGGI II Invest Amort Def'!AG56</f>
        <v>231616.14799999999</v>
      </c>
      <c r="BB110" s="412"/>
      <c r="BC110" s="412">
        <f>(L110+N110)*'Capital Structure '!$H$21/12</f>
        <v>3753.5496353459785</v>
      </c>
      <c r="BD110" s="412">
        <f>(L110+N110)*'Capital Structure '!$H$34/12</f>
        <v>7493.3286699596347</v>
      </c>
      <c r="BE110" s="412">
        <f>(L110+N110)*'Capital Structure '!$H$18/12</f>
        <v>10850.193165926865</v>
      </c>
      <c r="BF110" s="412">
        <f>'RGGI II On Bill Fin''g'!L56*'Capital Structure '!$H$34/12</f>
        <v>20998.410840583419</v>
      </c>
      <c r="BG110" s="412">
        <f>'RGGI II On Bill Fin''g'!L56*('Capital Structure '!$H$18+'Capital Structure '!$H$21)/12</f>
        <v>40923.78763268522</v>
      </c>
      <c r="BH110" s="415">
        <f t="shared" si="99"/>
        <v>84019.269944501109</v>
      </c>
      <c r="BI110" s="412"/>
      <c r="BJ110" s="419"/>
      <c r="BK110" s="373">
        <f t="shared" si="34"/>
        <v>315635.4179445011</v>
      </c>
      <c r="BM110" s="412">
        <f>'2013 program Invest Amort Def'!AW38</f>
        <v>425089.54450000002</v>
      </c>
      <c r="BN110" s="412"/>
      <c r="BO110" s="412">
        <f>(S110)*'Capital Structure '!$J$21/12</f>
        <v>14422.188600764071</v>
      </c>
      <c r="BP110" s="412">
        <f>(S110)*'Capital Structure '!$J$34/12</f>
        <v>30850.62579981811</v>
      </c>
      <c r="BQ110" s="412">
        <f>(S110)*'Capital Structure '!$J$18/12</f>
        <v>44671.101984314359</v>
      </c>
      <c r="BR110" s="412">
        <f>('2013 program 10 yr On Bill Fin'!M38+'2013 program 5 yr On Bill Fin'!L36+'2013 program 2 yr On Bill Fin'!M26)*'Capital Structure '!$J$34/12</f>
        <v>108709.26540489554</v>
      </c>
      <c r="BS110" s="412">
        <f>('2013 program 10 yr On Bill Fin'!M38+'2013 program 5 yr On Bill Fin'!L36+'2013 program 2 yr On Bill Fin'!M26)*('Capital Structure '!$J$18+'Capital Structure '!$J$21)/12</f>
        <v>208228.78121000002</v>
      </c>
      <c r="BT110" s="431">
        <f t="shared" si="100"/>
        <v>406881.96299979207</v>
      </c>
      <c r="BU110" s="412"/>
      <c r="BV110" s="425">
        <v>0</v>
      </c>
      <c r="BW110" s="425">
        <f t="shared" si="48"/>
        <v>831971.50749979215</v>
      </c>
      <c r="BY110" s="412">
        <f>'2015 Program Invest Amort Def'!BR13</f>
        <v>48036.5</v>
      </c>
      <c r="CA110" s="412">
        <f>X110*'Capital Structure '!$L$21/12</f>
        <v>2953.787945</v>
      </c>
      <c r="CB110" s="412">
        <f>(X110)*'Capital Structure '!$L$34/12</f>
        <v>7058.179914357479</v>
      </c>
      <c r="CC110" s="412">
        <f>(X110)*'Capital Structure '!$L$18/12</f>
        <v>10220.106289699999</v>
      </c>
      <c r="CD110" s="412">
        <f>('2015 Program 10-Year OBRP'!P13+'2015 Program 7-Year OBRP'!M13+'2015 Program 5-Year OBRP'!K13+'2015 Program 3-Year OBRP'!K13)*('Capital Structure '!$L$34/12)</f>
        <v>16463.47745936687</v>
      </c>
      <c r="CE110" s="412">
        <f>('2015 Program 10-Year OBRP'!P13+'2015 Program 7-Year OBRP'!M13+'2015 Program 5-Year OBRP'!K13+'2015 Program 3-Year OBRP'!K13)*(('Capital Structure '!$L$21/12)+('Capital Structure '!$L$18/12))</f>
        <v>30728.617493000009</v>
      </c>
      <c r="CF110" s="412">
        <f t="shared" si="85"/>
        <v>67424.169101424355</v>
      </c>
      <c r="CG110" s="412">
        <v>-176.52999999999997</v>
      </c>
      <c r="CI110" s="393">
        <v>271989.21999999997</v>
      </c>
      <c r="CJ110" s="412">
        <f t="shared" ref="CJ110:CJ115" si="105">BY110+CF110+CG110+CI110</f>
        <v>387273.35910142434</v>
      </c>
      <c r="CK110" s="412"/>
      <c r="CL110" s="412"/>
      <c r="CM110" s="412"/>
      <c r="CN110" s="412"/>
      <c r="CO110" s="412"/>
      <c r="CP110" s="412"/>
      <c r="CQ110" s="412"/>
      <c r="CR110" s="412"/>
      <c r="CS110" s="412"/>
      <c r="CT110" s="412"/>
      <c r="CU110" s="412"/>
      <c r="CV110" s="412"/>
      <c r="CW110" s="412"/>
      <c r="CY110" s="412">
        <f t="shared" si="89"/>
        <v>152608.02739674761</v>
      </c>
      <c r="CZ110" s="412">
        <f t="shared" si="101"/>
        <v>-4777597.7557105729</v>
      </c>
      <c r="DA110" s="412">
        <f t="shared" si="102"/>
        <v>-2871082.896605392</v>
      </c>
      <c r="DB110" s="417">
        <v>4.5999999999999999E-3</v>
      </c>
      <c r="DC110" s="418">
        <f t="shared" si="103"/>
        <v>-1100.5817770320668</v>
      </c>
      <c r="DE110" s="420">
        <f t="shared" si="90"/>
        <v>6.9000000000000006E-2</v>
      </c>
      <c r="DF110" s="420">
        <f t="shared" si="91"/>
        <v>0.10502258664412509</v>
      </c>
      <c r="DG110" s="420">
        <f t="shared" si="92"/>
        <v>6.6900000000000001E-2</v>
      </c>
      <c r="DH110" s="420">
        <f t="shared" si="93"/>
        <v>0.10274302620456467</v>
      </c>
      <c r="DI110" s="393"/>
      <c r="DJ110" s="393"/>
    </row>
    <row r="111" spans="1:173" s="351" customFormat="1" hidden="1" outlineLevel="1">
      <c r="A111" s="430" t="s">
        <v>57</v>
      </c>
      <c r="B111" s="430">
        <v>2016</v>
      </c>
      <c r="C111" s="411" t="s">
        <v>47</v>
      </c>
      <c r="E111" s="412"/>
      <c r="F111" s="413"/>
      <c r="G111" s="435"/>
      <c r="H111" s="412">
        <f>'RGGI - Invest Amort deferred'!AI69</f>
        <v>562796.49099998921</v>
      </c>
      <c r="I111" s="412">
        <f>'RGGI - Invest Amort deferred'!AI69</f>
        <v>562796.49099998921</v>
      </c>
      <c r="J111" s="413">
        <f>'RGGI - Invest Amort deferred'!BL69</f>
        <v>-229902.36657349963</v>
      </c>
      <c r="K111" s="435"/>
      <c r="L111" s="414">
        <f>'RGGI II Invest Amort Def'!AI57</f>
        <v>3939020.6919999998</v>
      </c>
      <c r="M111" s="414">
        <f>'RGGI II Invest Amort Def'!AI57</f>
        <v>3939020.6919999998</v>
      </c>
      <c r="N111" s="413">
        <f>'RGGI II Invest Amort Def'!BK57</f>
        <v>-1609089.9526820057</v>
      </c>
      <c r="O111" s="435"/>
      <c r="P111" s="425">
        <f>'2013 program Invest Amort Def'!AY39</f>
        <v>15930914.694666667</v>
      </c>
      <c r="Q111" s="425">
        <f>'2013 program Invest Amort Def'!AY39</f>
        <v>15930914.694666667</v>
      </c>
      <c r="R111" s="425">
        <f>'2013 program Invest Amort Def'!CQ39</f>
        <v>-6056364.8648150843</v>
      </c>
      <c r="S111" s="373">
        <f t="shared" si="104"/>
        <v>9874549.8298515826</v>
      </c>
      <c r="T111" s="435"/>
      <c r="U111" s="414">
        <f>'2015 Program Invest Amort Def'!BT14</f>
        <v>2966327.4731666665</v>
      </c>
      <c r="V111" s="414">
        <f>'2015 Program Invest Amort Def'!BT14</f>
        <v>2966327.4731666665</v>
      </c>
      <c r="W111" s="414">
        <f>'2015 Program Invest Amort Def'!EG14</f>
        <v>-409671.14798566664</v>
      </c>
      <c r="X111" s="397">
        <f t="shared" si="94"/>
        <v>2556656.3251809999</v>
      </c>
      <c r="Y111" s="435"/>
      <c r="Z111" s="547">
        <v>32079311.969999999</v>
      </c>
      <c r="AA111" s="548">
        <v>3.0599999999999999E-2</v>
      </c>
      <c r="AB111" s="439">
        <f t="shared" si="95"/>
        <v>981626.94628199993</v>
      </c>
      <c r="AD111" s="415">
        <f>'E3 - Invest Amort deferred tax'!AL89</f>
        <v>0</v>
      </c>
      <c r="AE111" s="412"/>
      <c r="AF111" s="416">
        <f>(D110+F110)*'Capital Structure '!$F$21/12</f>
        <v>0</v>
      </c>
      <c r="AG111" s="416">
        <f>(D110+F110)*'Capital Structure '!$E$34/12</f>
        <v>0</v>
      </c>
      <c r="AH111" s="416">
        <f>(D110+F110)*'Capital Structure '!$F$18/12</f>
        <v>0</v>
      </c>
      <c r="AI111" s="415">
        <f t="shared" si="96"/>
        <v>0</v>
      </c>
      <c r="AJ111" s="412"/>
      <c r="AK111" s="415">
        <v>0</v>
      </c>
      <c r="AL111" s="415">
        <v>0</v>
      </c>
      <c r="AM111" s="412">
        <f t="shared" si="97"/>
        <v>0</v>
      </c>
      <c r="AO111" s="372">
        <f>'RGGI - Invest Amort deferred'!AG69+'RGGI CHP'!V24</f>
        <v>136527.36399999997</v>
      </c>
      <c r="AP111" s="412"/>
      <c r="AQ111" s="412">
        <f>(H111+J111)*'Capital Structure '!$F$21/12</f>
        <v>687.94397757354443</v>
      </c>
      <c r="AR111" s="412">
        <f>(H111+J111)*'Capital Structure '!$E$34/12</f>
        <v>1011.1690955482131</v>
      </c>
      <c r="AS111" s="412">
        <f>(H111+J111)*'Capital Structure '!$F$18/12</f>
        <v>1464.1530477766662</v>
      </c>
      <c r="AT111" s="412">
        <f>'RGGI - On-bill financing'!J69*'Capital Structure '!$E$34/12</f>
        <v>6525.6887986811307</v>
      </c>
      <c r="AU111" s="412">
        <f>'RGGI - On-bill financing'!J69*('Capital Structure '!$F$18+'Capital Structure '!$F$21)/12</f>
        <v>13888.790226909412</v>
      </c>
      <c r="AV111" s="415">
        <f t="shared" si="98"/>
        <v>23577.745146488967</v>
      </c>
      <c r="AW111" s="412"/>
      <c r="AX111" s="415">
        <v>0</v>
      </c>
      <c r="AY111" s="373">
        <f t="shared" si="58"/>
        <v>160105.10914648895</v>
      </c>
      <c r="BA111" s="412">
        <f>'RGGI II Invest Amort Def'!AG57</f>
        <v>231616.14799999999</v>
      </c>
      <c r="BB111" s="412"/>
      <c r="BC111" s="412">
        <f>(L111+N111)*'Capital Structure '!$H$21/12</f>
        <v>3545.0964083645467</v>
      </c>
      <c r="BD111" s="412">
        <f>(L111+N111)*'Capital Structure '!$H$34/12</f>
        <v>7077.186965750735</v>
      </c>
      <c r="BE111" s="412">
        <f>(L111+N111)*'Capital Structure '!$H$18/12</f>
        <v>10247.628127886317</v>
      </c>
      <c r="BF111" s="412">
        <f>'RGGI II On Bill Fin''g'!L57*'Capital Structure '!$H$34/12</f>
        <v>20636.923415620386</v>
      </c>
      <c r="BG111" s="412">
        <f>'RGGI II On Bill Fin''g'!L57*('Capital Structure '!$H$18+'Capital Structure '!$H$21)/12</f>
        <v>40219.285052781306</v>
      </c>
      <c r="BH111" s="415">
        <f t="shared" si="99"/>
        <v>81726.119970403292</v>
      </c>
      <c r="BI111" s="412"/>
      <c r="BJ111" s="419"/>
      <c r="BK111" s="373">
        <f t="shared" si="34"/>
        <v>313342.26797040331</v>
      </c>
      <c r="BM111" s="412">
        <f>'2013 program Invest Amort Def'!AW39</f>
        <v>425089.54450000002</v>
      </c>
      <c r="BN111" s="412"/>
      <c r="BO111" s="412">
        <f>(S111)*'Capital Structure '!$J$21/12</f>
        <v>13857.284927891722</v>
      </c>
      <c r="BP111" s="412">
        <f>(S111)*'Capital Structure '!$J$34/12</f>
        <v>29642.235568129949</v>
      </c>
      <c r="BQ111" s="412">
        <f>(S111)*'Capital Structure '!$J$18/12</f>
        <v>42921.376593754881</v>
      </c>
      <c r="BR111" s="412">
        <f>('2013 program 10 yr On Bill Fin'!M39+'2013 program 5 yr On Bill Fin'!L37+'2013 program 2 yr On Bill Fin'!M27)*'Capital Structure '!$J$34/12</f>
        <v>107321.72093593597</v>
      </c>
      <c r="BS111" s="412">
        <f>('2013 program 10 yr On Bill Fin'!M39+'2013 program 5 yr On Bill Fin'!L37+'2013 program 2 yr On Bill Fin'!M27)*('Capital Structure '!$J$18+'Capital Structure '!$J$21)/12</f>
        <v>205570.98849500006</v>
      </c>
      <c r="BT111" s="431">
        <f t="shared" si="100"/>
        <v>399313.60652071261</v>
      </c>
      <c r="BU111" s="412"/>
      <c r="BV111" s="425">
        <v>0</v>
      </c>
      <c r="BW111" s="425">
        <f t="shared" si="48"/>
        <v>824403.15102071268</v>
      </c>
      <c r="BY111" s="412">
        <f>'2015 Program Invest Amort Def'!BR14</f>
        <v>53617.4035</v>
      </c>
      <c r="CA111" s="412">
        <f>X111*'Capital Structure '!$L$21/12</f>
        <v>3195.8204064762504</v>
      </c>
      <c r="CB111" s="412">
        <f>(X111)*'Capital Structure '!$L$34/12</f>
        <v>7636.524971627382</v>
      </c>
      <c r="CC111" s="412">
        <f>(X111)*'Capital Structure '!$L$18/12</f>
        <v>11057.538606407825</v>
      </c>
      <c r="CD111" s="412">
        <f>('2015 Program 10-Year OBRP'!P14+'2015 Program 7-Year OBRP'!M14+'2015 Program 5-Year OBRP'!K14+'2015 Program 3-Year OBRP'!K14)*('Capital Structure '!$L$34/12)</f>
        <v>18264.856437214712</v>
      </c>
      <c r="CE111" s="412">
        <f>('2015 Program 10-Year OBRP'!P14+'2015 Program 7-Year OBRP'!M14+'2015 Program 5-Year OBRP'!K14+'2015 Program 3-Year OBRP'!K14)*(('Capital Structure '!$L$21/12)+('Capital Structure '!$L$18/12))</f>
        <v>34090.840675000007</v>
      </c>
      <c r="CF111" s="412">
        <f t="shared" si="85"/>
        <v>74245.581096726179</v>
      </c>
      <c r="CG111" s="412">
        <v>-3940</v>
      </c>
      <c r="CI111" s="393">
        <v>234671.05999999994</v>
      </c>
      <c r="CJ111" s="412">
        <f t="shared" si="105"/>
        <v>358594.04459672613</v>
      </c>
      <c r="CK111" s="412"/>
      <c r="CL111" s="412"/>
      <c r="CM111" s="412"/>
      <c r="CN111" s="412"/>
      <c r="CO111" s="412"/>
      <c r="CP111" s="412"/>
      <c r="CQ111" s="412"/>
      <c r="CR111" s="412"/>
      <c r="CS111" s="412"/>
      <c r="CT111" s="412"/>
      <c r="CU111" s="412"/>
      <c r="CV111" s="412"/>
      <c r="CW111" s="412"/>
      <c r="CY111" s="412">
        <f t="shared" si="89"/>
        <v>674817.62645233085</v>
      </c>
      <c r="CZ111" s="412">
        <f t="shared" si="101"/>
        <v>-4102780.129258242</v>
      </c>
      <c r="DA111" s="412">
        <f t="shared" si="102"/>
        <v>-2626371.7594795274</v>
      </c>
      <c r="DB111" s="417">
        <v>4.4999999999999997E-3</v>
      </c>
      <c r="DC111" s="418">
        <f t="shared" si="103"/>
        <v>-984.88940980482266</v>
      </c>
      <c r="DE111" s="420">
        <f t="shared" si="90"/>
        <v>6.9000000000000006E-2</v>
      </c>
      <c r="DF111" s="420">
        <f t="shared" si="91"/>
        <v>0.10502258664412509</v>
      </c>
      <c r="DG111" s="420">
        <f t="shared" si="92"/>
        <v>6.6900000000000001E-2</v>
      </c>
      <c r="DH111" s="420">
        <f t="shared" si="93"/>
        <v>0.10274302620456467</v>
      </c>
      <c r="DI111" s="393"/>
      <c r="DJ111" s="393"/>
    </row>
    <row r="112" spans="1:173" s="351" customFormat="1" hidden="1" outlineLevel="1">
      <c r="A112" s="430" t="s">
        <v>58</v>
      </c>
      <c r="B112" s="430">
        <v>2016</v>
      </c>
      <c r="C112" s="411" t="s">
        <v>47</v>
      </c>
      <c r="E112" s="412"/>
      <c r="F112" s="413"/>
      <c r="G112" s="435"/>
      <c r="H112" s="412">
        <f>'RGGI - Invest Amort deferred'!AI70</f>
        <v>451970.05366665497</v>
      </c>
      <c r="I112" s="412">
        <f>'RGGI - Invest Amort deferred'!AI70</f>
        <v>451970.05366665497</v>
      </c>
      <c r="J112" s="413">
        <f>'RGGI - Invest Amort deferred'!BL70</f>
        <v>-184629.76692283296</v>
      </c>
      <c r="K112" s="435"/>
      <c r="L112" s="414">
        <f>'RGGI II Invest Amort Def'!AI58</f>
        <v>3707404.5439999998</v>
      </c>
      <c r="M112" s="414">
        <f>'RGGI II Invest Amort Def'!AI58</f>
        <v>3707404.5439999998</v>
      </c>
      <c r="N112" s="413">
        <f>'RGGI II Invest Amort Def'!BK58</f>
        <v>-1514474.7562240057</v>
      </c>
      <c r="O112" s="435"/>
      <c r="P112" s="425">
        <f>'2013 program Invest Amort Def'!AY40</f>
        <v>15505825.150166666</v>
      </c>
      <c r="Q112" s="425">
        <f>'2013 program Invest Amort Def'!AY40</f>
        <v>15505825.150166666</v>
      </c>
      <c r="R112" s="425">
        <f>'2013 program Invest Amort Def'!CQ40</f>
        <v>-6009530.7760930844</v>
      </c>
      <c r="S112" s="373">
        <f t="shared" si="104"/>
        <v>9496294.3740735818</v>
      </c>
      <c r="T112" s="435"/>
      <c r="U112" s="414">
        <f>'2015 Program Invest Amort Def'!BT15</f>
        <v>3154142.9863333334</v>
      </c>
      <c r="V112" s="414">
        <f>'2015 Program Invest Amort Def'!BT15</f>
        <v>3154142.9863333334</v>
      </c>
      <c r="W112" s="414">
        <f>'2015 Program Invest Amort Def'!EG15</f>
        <v>-503968.4494713333</v>
      </c>
      <c r="X112" s="397">
        <f t="shared" si="94"/>
        <v>2650174.5368619999</v>
      </c>
      <c r="Y112" s="435"/>
      <c r="Z112" s="547">
        <v>21911535.539999992</v>
      </c>
      <c r="AA112" s="548">
        <v>3.0599999999999999E-2</v>
      </c>
      <c r="AB112" s="439">
        <f>+Z112*AA112</f>
        <v>670492.98752399976</v>
      </c>
      <c r="AD112" s="415"/>
      <c r="AE112" s="412"/>
      <c r="AF112" s="412">
        <v>0</v>
      </c>
      <c r="AG112" s="412">
        <v>0</v>
      </c>
      <c r="AH112" s="412">
        <v>0</v>
      </c>
      <c r="AI112" s="415">
        <v>0</v>
      </c>
      <c r="AJ112" s="412"/>
      <c r="AK112" s="415">
        <v>0</v>
      </c>
      <c r="AL112" s="415">
        <v>0</v>
      </c>
      <c r="AM112" s="412">
        <v>0</v>
      </c>
      <c r="AO112" s="372">
        <f>'RGGI - Invest Amort deferred'!AG70+'RGGI CHP'!V25</f>
        <v>123326.43733333334</v>
      </c>
      <c r="AP112" s="412"/>
      <c r="AQ112" s="412">
        <f>(H112+J112)*'Capital Structure '!$F$21/12</f>
        <v>552.47337436503597</v>
      </c>
      <c r="AR112" s="412">
        <f>(H112+J112)*'Capital Structure '!$E$34/12</f>
        <v>812.04868489664352</v>
      </c>
      <c r="AS112" s="412">
        <f>(H112+J112)*'Capital Structure '!$F$18/12</f>
        <v>1175.8305926961191</v>
      </c>
      <c r="AT112" s="412">
        <f>'RGGI - On-bill financing'!J70*'Capital Structure '!$E$34/12</f>
        <v>6392.6458482445496</v>
      </c>
      <c r="AU112" s="412">
        <f>'RGGI - On-bill financing'!J70*('Capital Structure '!$F$18+'Capital Structure '!$F$21)/12</f>
        <v>13605.631515731484</v>
      </c>
      <c r="AV112" s="415">
        <f t="shared" si="98"/>
        <v>22538.630015933832</v>
      </c>
      <c r="AW112" s="412"/>
      <c r="AX112" s="415">
        <v>0</v>
      </c>
      <c r="AY112" s="373">
        <f t="shared" si="58"/>
        <v>145865.06734926716</v>
      </c>
      <c r="BA112" s="412">
        <f>'RGGI II Invest Amort Def'!AG58</f>
        <v>231616.14799999999</v>
      </c>
      <c r="BB112" s="412"/>
      <c r="BC112" s="412">
        <f>(L112+N112)*'Capital Structure '!$H$21/12</f>
        <v>3336.643181383115</v>
      </c>
      <c r="BD112" s="412">
        <f>(L112+N112)*'Capital Structure '!$H$34/12</f>
        <v>6661.0452615418371</v>
      </c>
      <c r="BE112" s="412">
        <f>(L112+N112)*'Capital Structure '!$H$18/12</f>
        <v>9645.0630898457694</v>
      </c>
      <c r="BF112" s="412">
        <f>'RGGI II On Bill Fin''g'!L58*'Capital Structure '!$H$34/12</f>
        <v>20338.039397442477</v>
      </c>
      <c r="BG112" s="412">
        <f>'RGGI II On Bill Fin''g'!L58*('Capital Structure '!$H$18+'Capital Structure '!$H$21)/12</f>
        <v>39636.790206881975</v>
      </c>
      <c r="BH112" s="415">
        <f t="shared" si="99"/>
        <v>79617.581137095171</v>
      </c>
      <c r="BI112" s="412"/>
      <c r="BJ112" s="419"/>
      <c r="BK112" s="373">
        <f t="shared" ref="BK112:BK131" si="106">+BJ112+BH112+BA112</f>
        <v>311233.72913709516</v>
      </c>
      <c r="BM112" s="412">
        <f>'2013 program Invest Amort Def'!AW40</f>
        <v>425089.54450000002</v>
      </c>
      <c r="BN112" s="412"/>
      <c r="BO112" s="412">
        <f>(S112)*'Capital Structure '!$J$21/12</f>
        <v>13326.466438283262</v>
      </c>
      <c r="BP112" s="412">
        <f>(S112)*'Capital Structure '!$J$34/12</f>
        <v>28506.757240681942</v>
      </c>
      <c r="BQ112" s="412">
        <f>(S112)*'Capital Structure '!$J$18/12</f>
        <v>41277.226212639835</v>
      </c>
      <c r="BR112" s="412">
        <f>('2013 program 10 yr On Bill Fin'!M40+'2013 program 5 yr On Bill Fin'!L38+'2013 program 2 yr On Bill Fin'!M28)*'Capital Structure '!$J$34/12</f>
        <v>105603.79906592256</v>
      </c>
      <c r="BS112" s="412">
        <f>('2013 program 10 yr On Bill Fin'!M40+'2013 program 5 yr On Bill Fin'!L38+'2013 program 2 yr On Bill Fin'!M28)*('Capital Structure '!$J$18+'Capital Structure '!$J$21)/12</f>
        <v>202280.36946750004</v>
      </c>
      <c r="BT112" s="431">
        <f t="shared" si="100"/>
        <v>390994.61842502764</v>
      </c>
      <c r="BU112" s="412"/>
      <c r="BV112" s="425">
        <v>0</v>
      </c>
      <c r="BW112" s="425">
        <f t="shared" si="48"/>
        <v>816084.16292502766</v>
      </c>
      <c r="BY112" s="412">
        <f>'2015 Program Invest Amort Def'!BR15</f>
        <v>57709.486833333336</v>
      </c>
      <c r="CA112" s="412">
        <f>X112*'Capital Structure '!$L$21/12</f>
        <v>3312.7181710775003</v>
      </c>
      <c r="CB112" s="412">
        <f>(X112)*'Capital Structure '!$L$34/12</f>
        <v>7915.8562809512232</v>
      </c>
      <c r="CC112" s="412">
        <f>(X112)*'Capital Structure '!$L$18/12</f>
        <v>11462.004871928149</v>
      </c>
      <c r="CD112" s="412">
        <f>('2015 Program 10-Year OBRP'!P15+'2015 Program 7-Year OBRP'!M15+'2015 Program 5-Year OBRP'!K15+'2015 Program 3-Year OBRP'!K15)*('Capital Structure '!$L$34/12)</f>
        <v>19338.043267582634</v>
      </c>
      <c r="CE112" s="412">
        <f>('2015 Program 10-Year OBRP'!P15+'2015 Program 7-Year OBRP'!M15+'2015 Program 5-Year OBRP'!K15+'2015 Program 3-Year OBRP'!K15)*(('Capital Structure '!$L$21/12)+('Capital Structure '!$L$18/12))</f>
        <v>36093.91370075001</v>
      </c>
      <c r="CF112" s="412">
        <f t="shared" si="85"/>
        <v>78122.536292289515</v>
      </c>
      <c r="CG112" s="412">
        <v>-2175.08</v>
      </c>
      <c r="CI112" s="393">
        <v>832826.52</v>
      </c>
      <c r="CJ112" s="412">
        <f t="shared" si="105"/>
        <v>966483.46312562283</v>
      </c>
      <c r="CK112" s="412"/>
      <c r="CL112" s="412"/>
      <c r="CM112" s="412"/>
      <c r="CN112" s="412"/>
      <c r="CO112" s="412"/>
      <c r="CP112" s="412"/>
      <c r="CQ112" s="412"/>
      <c r="CR112" s="412"/>
      <c r="CS112" s="412"/>
      <c r="CT112" s="412"/>
      <c r="CU112" s="412"/>
      <c r="CV112" s="412"/>
      <c r="CW112" s="412"/>
      <c r="CY112" s="412">
        <f t="shared" si="89"/>
        <v>1569173.4350130132</v>
      </c>
      <c r="CZ112" s="412">
        <f t="shared" si="101"/>
        <v>-2533606.6942452285</v>
      </c>
      <c r="DA112" s="412">
        <f t="shared" si="102"/>
        <v>-1962711.4030511514</v>
      </c>
      <c r="DB112" s="417">
        <v>4.3E-3</v>
      </c>
      <c r="DC112" s="418">
        <f t="shared" si="103"/>
        <v>-703.30491942666265</v>
      </c>
      <c r="DE112" s="420">
        <f t="shared" si="90"/>
        <v>6.9000000000000006E-2</v>
      </c>
      <c r="DF112" s="420">
        <f t="shared" si="91"/>
        <v>0.10502258664412509</v>
      </c>
      <c r="DG112" s="420">
        <f t="shared" si="92"/>
        <v>6.6900000000000001E-2</v>
      </c>
      <c r="DH112" s="420">
        <f t="shared" si="93"/>
        <v>0.10274302620456467</v>
      </c>
      <c r="DI112" s="393"/>
      <c r="DJ112" s="393"/>
    </row>
    <row r="113" spans="1:173" s="351" customFormat="1" hidden="1" outlineLevel="1">
      <c r="A113" s="430" t="s">
        <v>59</v>
      </c>
      <c r="B113" s="430">
        <v>2016</v>
      </c>
      <c r="C113" s="411" t="s">
        <v>47</v>
      </c>
      <c r="E113" s="412"/>
      <c r="F113" s="413"/>
      <c r="G113" s="435"/>
      <c r="H113" s="412">
        <f>'RGGI - Invest Amort deferred'!AI71</f>
        <v>351464.36633332074</v>
      </c>
      <c r="I113" s="412">
        <f>'RGGI - Invest Amort deferred'!AI71</f>
        <v>351464.36633332074</v>
      </c>
      <c r="J113" s="413">
        <f>'RGGI - Invest Amort deferred'!BL71</f>
        <v>-143573.19364716631</v>
      </c>
      <c r="K113" s="435"/>
      <c r="L113" s="414">
        <f>'RGGI II Invest Amort Def'!AI59</f>
        <v>3475788.3959999997</v>
      </c>
      <c r="M113" s="414">
        <f>'RGGI II Invest Amort Def'!AI59</f>
        <v>3475788.3959999997</v>
      </c>
      <c r="N113" s="413">
        <f>'RGGI II Invest Amort Def'!BK59</f>
        <v>-1419859.5597660057</v>
      </c>
      <c r="O113" s="435"/>
      <c r="P113" s="425">
        <f>'2013 program Invest Amort Def'!AY41</f>
        <v>15080735.605666665</v>
      </c>
      <c r="Q113" s="425">
        <f>'2013 program Invest Amort Def'!AY41</f>
        <v>15080735.605666665</v>
      </c>
      <c r="R113" s="425">
        <f>'2013 program Invest Amort Def'!CQ41</f>
        <v>-5948872.1844148347</v>
      </c>
      <c r="S113" s="373">
        <f t="shared" si="104"/>
        <v>9131863.4212518297</v>
      </c>
      <c r="T113" s="435"/>
      <c r="U113" s="414">
        <f>'2015 Program Invest Amort Def'!BT16</f>
        <v>3296640.1661666669</v>
      </c>
      <c r="V113" s="414">
        <f>'2015 Program Invest Amort Def'!BT16</f>
        <v>3296640.1661666669</v>
      </c>
      <c r="W113" s="414">
        <f>'2015 Program Invest Amort Def'!EG16</f>
        <v>-603810.45762366662</v>
      </c>
      <c r="X113" s="397">
        <f t="shared" si="94"/>
        <v>2692829.7085430003</v>
      </c>
      <c r="Y113" s="435"/>
      <c r="Z113" s="547">
        <v>19222713.649999991</v>
      </c>
      <c r="AA113" s="548">
        <v>3.0599999999999999E-2</v>
      </c>
      <c r="AB113" s="439">
        <f>+Z113*AA113</f>
        <v>588215.03768999968</v>
      </c>
      <c r="AD113" s="415"/>
      <c r="AE113" s="412"/>
      <c r="AF113" s="412">
        <v>0</v>
      </c>
      <c r="AG113" s="412">
        <v>0</v>
      </c>
      <c r="AH113" s="412">
        <v>0</v>
      </c>
      <c r="AI113" s="415">
        <v>0</v>
      </c>
      <c r="AJ113" s="412"/>
      <c r="AK113" s="415">
        <v>0</v>
      </c>
      <c r="AL113" s="415">
        <v>0</v>
      </c>
      <c r="AM113" s="412">
        <v>0</v>
      </c>
      <c r="AO113" s="372">
        <f>'RGGI - Invest Amort deferred'!AG71+'RGGI CHP'!V26</f>
        <v>113005.68733333334</v>
      </c>
      <c r="AP113" s="412"/>
      <c r="AQ113" s="412">
        <f>(H113+J113)*'Capital Structure '!$F$21/12</f>
        <v>429.61851755879553</v>
      </c>
      <c r="AR113" s="412">
        <f>(H113+J113)*'Capital Structure '!$E$34/12</f>
        <v>631.47143080302669</v>
      </c>
      <c r="AS113" s="412">
        <f>(H113+J113)*'Capital Structure '!$F$18/12</f>
        <v>914.3582651652149</v>
      </c>
      <c r="AT113" s="412">
        <f>'RGGI - On-bill financing'!J71*'Capital Structure '!$E$34/12</f>
        <v>6291.3915291754274</v>
      </c>
      <c r="AU113" s="412">
        <f>'RGGI - On-bill financing'!J71*('Capital Structure '!$F$18+'Capital Structure '!$F$21)/12</f>
        <v>13390.12936101583</v>
      </c>
      <c r="AV113" s="415">
        <f t="shared" si="98"/>
        <v>21656.969103718293</v>
      </c>
      <c r="AW113" s="412"/>
      <c r="AX113" s="415">
        <v>0</v>
      </c>
      <c r="AY113" s="431">
        <f t="shared" si="58"/>
        <v>134662.65643705163</v>
      </c>
      <c r="BA113" s="412">
        <f>'RGGI II Invest Amort Def'!AG59</f>
        <v>231616.14799999999</v>
      </c>
      <c r="BB113" s="412"/>
      <c r="BC113" s="412">
        <f>(L113+N113)*'Capital Structure '!$H$21/12</f>
        <v>3128.1899544016819</v>
      </c>
      <c r="BD113" s="412">
        <f>(L113+N113)*'Capital Structure '!$H$34/12</f>
        <v>6244.9035573329375</v>
      </c>
      <c r="BE113" s="412">
        <f>(L113+N113)*'Capital Structure '!$H$18/12</f>
        <v>9042.4980518052198</v>
      </c>
      <c r="BF113" s="412">
        <f>'RGGI II On Bill Fin''g'!L59*'Capital Structure '!$H$34/12</f>
        <v>20003.343080443028</v>
      </c>
      <c r="BG113" s="412">
        <f>'RGGI II On Bill Fin''g'!L59*('Capital Structure '!$H$18+'Capital Structure '!$H$21)/12</f>
        <v>38984.500797825596</v>
      </c>
      <c r="BH113" s="415">
        <f t="shared" si="99"/>
        <v>77403.435441808455</v>
      </c>
      <c r="BI113" s="412"/>
      <c r="BJ113" s="421"/>
      <c r="BK113" s="431">
        <f t="shared" si="106"/>
        <v>309019.58344180847</v>
      </c>
      <c r="BM113" s="412">
        <f>'2013 program Invest Amort Def'!AW41</f>
        <v>425089.54450000002</v>
      </c>
      <c r="BN113" s="412"/>
      <c r="BO113" s="412">
        <f>(S113)*'Capital Structure '!$J$21/12</f>
        <v>12815.048334490069</v>
      </c>
      <c r="BP113" s="412">
        <f>(S113)*'Capital Structure '!$J$34/12</f>
        <v>27412.77844286339</v>
      </c>
      <c r="BQ113" s="412">
        <f>(S113)*'Capital Structure '!$J$18/12</f>
        <v>39693.166337707953</v>
      </c>
      <c r="BR113" s="412">
        <f>('2013 program 10 yr On Bill Fin'!M41+'2013 program 5 yr On Bill Fin'!L39+'2013 program 2 yr On Bill Fin'!M29)*'Capital Structure '!$J$34/12</f>
        <v>104095.10478440842</v>
      </c>
      <c r="BS113" s="412">
        <f>('2013 program 10 yr On Bill Fin'!M41+'2013 program 5 yr On Bill Fin'!L39+'2013 program 2 yr On Bill Fin'!M29)*('Capital Structure '!$J$18+'Capital Structure '!$J$21)/12</f>
        <v>199390.51854000005</v>
      </c>
      <c r="BT113" s="431">
        <f t="shared" si="100"/>
        <v>383406.61643946986</v>
      </c>
      <c r="BU113" s="412"/>
      <c r="BV113" s="425">
        <v>0</v>
      </c>
      <c r="BW113" s="431">
        <f t="shared" si="48"/>
        <v>808496.16093946993</v>
      </c>
      <c r="BY113" s="412">
        <f>'2015 Program Invest Amort Def'!BR16</f>
        <v>61102.820166666672</v>
      </c>
      <c r="CA113" s="412">
        <f>X113*'Capital Structure '!$L$21/12</f>
        <v>3366.0371356787505</v>
      </c>
      <c r="CB113" s="412">
        <f>(X113)*'Capital Structure '!$L$34/12</f>
        <v>8043.2638173114146</v>
      </c>
      <c r="CC113" s="412">
        <f>(X113)*'Capital Structure '!$L$18/12</f>
        <v>11646.488489448477</v>
      </c>
      <c r="CD113" s="412">
        <f>('2015 Program 10-Year OBRP'!P16+'2015 Program 7-Year OBRP'!M16+'2015 Program 5-Year OBRP'!K16+'2015 Program 3-Year OBRP'!K16)*('Capital Structure '!$L$34/12)</f>
        <v>20223.949688647932</v>
      </c>
      <c r="CE113" s="412">
        <f>('2015 Program 10-Year OBRP'!P16+'2015 Program 7-Year OBRP'!M16+'2015 Program 5-Year OBRP'!K16+'2015 Program 3-Year OBRP'!K16)*(('Capital Structure '!$L$21/12)+('Capital Structure '!$L$18/12))</f>
        <v>37747.433111500002</v>
      </c>
      <c r="CF113" s="431">
        <f t="shared" si="85"/>
        <v>81027.172242586574</v>
      </c>
      <c r="CG113" s="412">
        <v>-2572.1</v>
      </c>
      <c r="CI113" s="393">
        <v>412410.44</v>
      </c>
      <c r="CJ113" s="431">
        <f t="shared" si="105"/>
        <v>551968.33240925323</v>
      </c>
      <c r="CK113" s="431"/>
      <c r="CL113" s="431"/>
      <c r="CM113" s="431"/>
      <c r="CN113" s="431"/>
      <c r="CO113" s="431"/>
      <c r="CP113" s="431"/>
      <c r="CQ113" s="431"/>
      <c r="CR113" s="431"/>
      <c r="CS113" s="431"/>
      <c r="CT113" s="431"/>
      <c r="CU113" s="431"/>
      <c r="CV113" s="431"/>
      <c r="CW113" s="431"/>
      <c r="CY113" s="412">
        <f t="shared" si="89"/>
        <v>1215931.6955375834</v>
      </c>
      <c r="CZ113" s="412">
        <f t="shared" si="101"/>
        <v>-1317674.9987076451</v>
      </c>
      <c r="DA113" s="412">
        <f t="shared" si="102"/>
        <v>-1139016.5606908125</v>
      </c>
      <c r="DB113" s="417">
        <v>4.3E-3</v>
      </c>
      <c r="DC113" s="418">
        <f t="shared" si="103"/>
        <v>-408.14760091420777</v>
      </c>
      <c r="DE113" s="420">
        <f t="shared" si="90"/>
        <v>6.9000000000000006E-2</v>
      </c>
      <c r="DF113" s="420">
        <f t="shared" si="91"/>
        <v>0.10502258664412509</v>
      </c>
      <c r="DG113" s="420">
        <f t="shared" si="92"/>
        <v>6.6900000000000001E-2</v>
      </c>
      <c r="DH113" s="420">
        <f t="shared" si="93"/>
        <v>0.10274302620456466</v>
      </c>
      <c r="DI113" s="393"/>
      <c r="DJ113" s="393"/>
    </row>
    <row r="114" spans="1:173" s="351" customFormat="1" hidden="1" outlineLevel="1">
      <c r="A114" s="430" t="s">
        <v>46</v>
      </c>
      <c r="B114" s="430">
        <v>2016</v>
      </c>
      <c r="C114" s="411" t="s">
        <v>47</v>
      </c>
      <c r="E114" s="412"/>
      <c r="F114" s="413"/>
      <c r="G114" s="435"/>
      <c r="H114" s="412">
        <f>'RGGI - Invest Amort deferred'!AI72</f>
        <v>263576.07899998687</v>
      </c>
      <c r="I114" s="412">
        <f>'RGGI - Invest Amort deferred'!AI72</f>
        <v>263576.07899998687</v>
      </c>
      <c r="J114" s="413">
        <f>'RGGI - Invest Amort deferred'!BL72</f>
        <v>-107670.82827149963</v>
      </c>
      <c r="K114" s="435"/>
      <c r="L114" s="414">
        <f>'RGGI II Invest Amort Def'!AI60</f>
        <v>3244172.2479999997</v>
      </c>
      <c r="M114" s="414">
        <f>'RGGI II Invest Amort Def'!AI60</f>
        <v>3244172.2479999997</v>
      </c>
      <c r="N114" s="413">
        <f>'RGGI II Invest Amort Def'!BK60</f>
        <v>-1325244.3633080057</v>
      </c>
      <c r="O114" s="435"/>
      <c r="P114" s="425">
        <f>'2013 program Invest Amort Def'!AY42</f>
        <v>14655646.061166665</v>
      </c>
      <c r="Q114" s="425">
        <f>'2013 program Invest Amort Def'!AY42</f>
        <v>14655646.061166665</v>
      </c>
      <c r="R114" s="425">
        <f>'2013 program Invest Amort Def'!CQ42</f>
        <v>-5864214.2177365851</v>
      </c>
      <c r="S114" s="373">
        <f t="shared" si="104"/>
        <v>8791431.8434300795</v>
      </c>
      <c r="T114" s="435"/>
      <c r="U114" s="414">
        <f>'2015 Program Invest Amort Def'!BT17</f>
        <v>3545385.6793333334</v>
      </c>
      <c r="V114" s="414">
        <f>'2015 Program Invest Amort Def'!BT17</f>
        <v>3545385.6793333334</v>
      </c>
      <c r="W114" s="414">
        <f>'2015 Program Invest Amort Def'!EG17</f>
        <v>-710344.37660933333</v>
      </c>
      <c r="X114" s="397">
        <f t="shared" si="94"/>
        <v>2835041.3027240001</v>
      </c>
      <c r="Y114" s="435"/>
      <c r="Z114" s="547">
        <v>17622721.779999986</v>
      </c>
      <c r="AA114" s="549">
        <v>3.0599999999999999E-2</v>
      </c>
      <c r="AB114" s="439">
        <f>+Z114*AA114</f>
        <v>539255.28646799957</v>
      </c>
      <c r="AD114" s="415"/>
      <c r="AE114" s="412"/>
      <c r="AF114" s="412">
        <v>0</v>
      </c>
      <c r="AG114" s="412">
        <v>0</v>
      </c>
      <c r="AH114" s="412">
        <v>0</v>
      </c>
      <c r="AI114" s="415">
        <v>0</v>
      </c>
      <c r="AJ114" s="412"/>
      <c r="AK114" s="415">
        <v>0</v>
      </c>
      <c r="AL114" s="415">
        <v>0</v>
      </c>
      <c r="AM114" s="412">
        <v>0</v>
      </c>
      <c r="AO114" s="372">
        <f>'RGGI - Invest Amort deferred'!AG72+'RGGI CHP'!V27</f>
        <v>100388.28733333334</v>
      </c>
      <c r="AP114" s="412"/>
      <c r="AQ114" s="412">
        <f>(H114+J114)*'Capital Structure '!$F$21/12</f>
        <v>322.18675681204559</v>
      </c>
      <c r="AR114" s="412">
        <f>(H114+J114)*'Capital Structure '!$E$34/12</f>
        <v>473.56369428849354</v>
      </c>
      <c r="AS114" s="412">
        <f>(H114+J114)*'Capital Structure '!$F$18/12</f>
        <v>685.71095513254329</v>
      </c>
      <c r="AT114" s="412">
        <f>'RGGI - On-bill financing'!J72*'Capital Structure '!$E$34/12</f>
        <v>6142.856672325659</v>
      </c>
      <c r="AU114" s="412">
        <f>'RGGI - On-bill financing'!J72*('Capital Structure '!$F$18+'Capital Structure '!$F$21)/12</f>
        <v>13073.99882954038</v>
      </c>
      <c r="AV114" s="415">
        <f t="shared" si="98"/>
        <v>20698.316908099121</v>
      </c>
      <c r="AW114" s="412"/>
      <c r="AX114" s="415">
        <v>0</v>
      </c>
      <c r="AY114" s="431">
        <f t="shared" si="58"/>
        <v>121086.60424143246</v>
      </c>
      <c r="BA114" s="412">
        <f>'RGGI II Invest Amort Def'!AG60</f>
        <v>231616.14799999999</v>
      </c>
      <c r="BB114" s="412"/>
      <c r="BC114" s="412">
        <f>(L114+N114)*'Capital Structure '!$H$21/12</f>
        <v>2919.7367274202502</v>
      </c>
      <c r="BD114" s="412">
        <f>(L114+N114)*'Capital Structure '!$H$34/12</f>
        <v>5828.7618531240369</v>
      </c>
      <c r="BE114" s="412">
        <f>(L114+N114)*'Capital Structure '!$H$18/12</f>
        <v>8439.9330137646721</v>
      </c>
      <c r="BF114" s="412">
        <f>'RGGI II On Bill Fin''g'!L60*'Capital Structure '!$H$34/12</f>
        <v>19673.24239395354</v>
      </c>
      <c r="BG114" s="412">
        <f>'RGGI II On Bill Fin''g'!L60*('Capital Structure '!$H$18+'Capital Structure '!$H$21)/12</f>
        <v>38341.167809731531</v>
      </c>
      <c r="BH114" s="415">
        <f t="shared" si="99"/>
        <v>75202.841797994028</v>
      </c>
      <c r="BI114" s="412"/>
      <c r="BJ114" s="421"/>
      <c r="BK114" s="431">
        <f t="shared" si="106"/>
        <v>306818.98979799403</v>
      </c>
      <c r="BM114" s="412">
        <f>'2013 program Invest Amort Def'!AW42</f>
        <v>425089.54450000002</v>
      </c>
      <c r="BN114" s="412"/>
      <c r="BO114" s="412">
        <f>(S114)*'Capital Structure '!$J$21/12</f>
        <v>12337.309353613544</v>
      </c>
      <c r="BP114" s="412">
        <f>(S114)*'Capital Structure '!$J$34/12</f>
        <v>26390.842942156702</v>
      </c>
      <c r="BQ114" s="412">
        <f>(S114)*'Capital Structure '!$J$18/12</f>
        <v>38213.423746109409</v>
      </c>
      <c r="BR114" s="412">
        <f>('2013 program 10 yr On Bill Fin'!M42+'2013 program 5 yr On Bill Fin'!L40+'2013 program 2 yr On Bill Fin'!M30)*'Capital Structure '!$J$34/12</f>
        <v>102132.86407321047</v>
      </c>
      <c r="BS114" s="412">
        <f>('2013 program 10 yr On Bill Fin'!M42+'2013 program 5 yr On Bill Fin'!L40+'2013 program 2 yr On Bill Fin'!M30)*('Capital Structure '!$J$18+'Capital Structure '!$J$21)/12</f>
        <v>195631.91535000002</v>
      </c>
      <c r="BT114" s="431">
        <f t="shared" si="100"/>
        <v>374706.35546509014</v>
      </c>
      <c r="BU114" s="412"/>
      <c r="BV114" s="425">
        <v>0</v>
      </c>
      <c r="BW114" s="431">
        <f t="shared" si="48"/>
        <v>799795.89996509021</v>
      </c>
      <c r="BY114" s="412">
        <f>'2015 Program Invest Amort Def'!BR17</f>
        <v>66354.486833333343</v>
      </c>
      <c r="CA114" s="412">
        <f>X114*'Capital Structure '!$L$21/12</f>
        <v>3543.8016284050004</v>
      </c>
      <c r="CB114" s="412">
        <f>(X114)*'Capital Structure '!$L$34/12</f>
        <v>8468.0383087132886</v>
      </c>
      <c r="CC114" s="412">
        <f>(X114)*'Capital Structure '!$L$18/12</f>
        <v>12261.553634281301</v>
      </c>
      <c r="CD114" s="412">
        <f>('2015 Program 10-Year OBRP'!P17+'2015 Program 7-Year OBRP'!M17+'2015 Program 5-Year OBRP'!K17+'2015 Program 3-Year OBRP'!K17)*('Capital Structure '!$L$34/12)</f>
        <v>22034.768704045648</v>
      </c>
      <c r="CE114" s="412">
        <f>('2015 Program 10-Year OBRP'!P17+'2015 Program 7-Year OBRP'!M17+'2015 Program 5-Year OBRP'!K17+'2015 Program 3-Year OBRP'!K17)*(('Capital Structure '!$L$21/12)+('Capital Structure '!$L$18/12))</f>
        <v>41127.275858000001</v>
      </c>
      <c r="CF114" s="431">
        <f t="shared" si="85"/>
        <v>87435.438133445248</v>
      </c>
      <c r="CG114" s="412">
        <v>-2801.72</v>
      </c>
      <c r="CI114" s="393">
        <v>291732.01999999996</v>
      </c>
      <c r="CJ114" s="431">
        <f t="shared" si="105"/>
        <v>442720.22496677854</v>
      </c>
      <c r="CK114" s="431"/>
      <c r="CL114" s="431"/>
      <c r="CM114" s="431"/>
      <c r="CN114" s="431"/>
      <c r="CO114" s="431"/>
      <c r="CP114" s="431"/>
      <c r="CQ114" s="431"/>
      <c r="CR114" s="431"/>
      <c r="CS114" s="431"/>
      <c r="CT114" s="431"/>
      <c r="CU114" s="431"/>
      <c r="CV114" s="431"/>
      <c r="CW114" s="431"/>
      <c r="CY114" s="412">
        <f t="shared" si="89"/>
        <v>1131166.4325032956</v>
      </c>
      <c r="CZ114" s="412">
        <f t="shared" si="101"/>
        <v>-186508.56620434951</v>
      </c>
      <c r="DA114" s="412">
        <f t="shared" si="102"/>
        <v>-444862.28932272241</v>
      </c>
      <c r="DB114" s="417">
        <v>4.3E-3</v>
      </c>
      <c r="DC114" s="418">
        <f t="shared" si="103"/>
        <v>-159.40898700730887</v>
      </c>
      <c r="DE114" s="420">
        <f t="shared" si="90"/>
        <v>6.8999999999999992E-2</v>
      </c>
      <c r="DF114" s="420">
        <f t="shared" si="91"/>
        <v>0.10502258664412509</v>
      </c>
      <c r="DG114" s="420">
        <f t="shared" si="92"/>
        <v>6.6900000000000015E-2</v>
      </c>
      <c r="DH114" s="420">
        <f t="shared" si="93"/>
        <v>0.10274302620456466</v>
      </c>
      <c r="DI114" s="393"/>
      <c r="DJ114" s="393"/>
    </row>
    <row r="115" spans="1:173" s="351" customFormat="1" ht="17.25" hidden="1" outlineLevel="1">
      <c r="A115" s="430" t="s">
        <v>48</v>
      </c>
      <c r="B115" s="430">
        <v>2016</v>
      </c>
      <c r="C115" s="411" t="s">
        <v>47</v>
      </c>
      <c r="E115" s="412"/>
      <c r="F115" s="551"/>
      <c r="G115" s="435"/>
      <c r="H115" s="412">
        <f>'RGGI - Invest Amort deferred'!AI73</f>
        <v>187083.52499998733</v>
      </c>
      <c r="I115" s="412">
        <f>'RGGI - Invest Amort deferred'!AI73</f>
        <v>187083.52499998733</v>
      </c>
      <c r="J115" s="413">
        <f>'RGGI - Invest Amort deferred'!BL73</f>
        <v>-76423.619962499637</v>
      </c>
      <c r="K115" s="435"/>
      <c r="L115" s="414">
        <f>'RGGI II Invest Amort Def'!AI61</f>
        <v>3012556.0999999996</v>
      </c>
      <c r="M115" s="414">
        <f>'RGGI II Invest Amort Def'!AI61</f>
        <v>3012556.0999999996</v>
      </c>
      <c r="N115" s="413">
        <f>'RGGI II Invest Amort Def'!BK61</f>
        <v>-1230629.1668500057</v>
      </c>
      <c r="O115" s="435"/>
      <c r="P115" s="425">
        <f>'2013 program Invest Amort Def'!AY43</f>
        <v>14230556.516666664</v>
      </c>
      <c r="Q115" s="425">
        <f>'2013 program Invest Amort Def'!AY43</f>
        <v>14230556.516666664</v>
      </c>
      <c r="R115" s="425">
        <f>'2013 program Invest Amort Def'!CQ43</f>
        <v>-5750017.6160583347</v>
      </c>
      <c r="S115" s="373">
        <f t="shared" si="104"/>
        <v>8480538.9006083291</v>
      </c>
      <c r="T115" s="435"/>
      <c r="U115" s="414">
        <f>'2015 Program Invest Amort Def'!BT18</f>
        <v>3668226.9841666669</v>
      </c>
      <c r="V115" s="414">
        <f>'2015 Program Invest Amort Def'!BT18</f>
        <v>3668226.9841666669</v>
      </c>
      <c r="W115" s="414">
        <f>'2015 Program Invest Amort Def'!EG18</f>
        <v>-816685.00701166666</v>
      </c>
      <c r="X115" s="397">
        <f t="shared" si="94"/>
        <v>2851541.977155</v>
      </c>
      <c r="Y115" s="435"/>
      <c r="Z115" s="552">
        <v>16634842.160000011</v>
      </c>
      <c r="AA115" s="549">
        <v>3.0599999999999999E-2</v>
      </c>
      <c r="AB115" s="482">
        <f>+Z115*AA115</f>
        <v>509026.17009600031</v>
      </c>
      <c r="AD115" s="440"/>
      <c r="AE115" s="423"/>
      <c r="AF115" s="424">
        <v>0</v>
      </c>
      <c r="AG115" s="424">
        <v>0</v>
      </c>
      <c r="AH115" s="424">
        <v>0</v>
      </c>
      <c r="AI115" s="440">
        <v>0</v>
      </c>
      <c r="AJ115" s="423"/>
      <c r="AK115" s="440">
        <v>0</v>
      </c>
      <c r="AL115" s="440">
        <v>0</v>
      </c>
      <c r="AM115" s="424">
        <v>0</v>
      </c>
      <c r="AO115" s="383">
        <f>'RGGI - Invest Amort deferred'!AG73+'RGGI CHP'!V28</f>
        <v>88992.554000000004</v>
      </c>
      <c r="AP115" s="423"/>
      <c r="AQ115" s="424">
        <f>(H115+J115)*'Capital Structure '!$F$21/12</f>
        <v>228.68476684757681</v>
      </c>
      <c r="AR115" s="424">
        <f>(H115+J115)*'Capital Structure '!$E$34/12</f>
        <v>336.13052282908853</v>
      </c>
      <c r="AS115" s="424">
        <f>(H115+J115)*'Capital Structure '!$F$18/12</f>
        <v>486.71041432902297</v>
      </c>
      <c r="AT115" s="424">
        <f>'RGGI - On-bill financing'!J73*'Capital Structure '!$E$34/12</f>
        <v>5946.7391669913786</v>
      </c>
      <c r="AU115" s="424">
        <f>'RGGI - On-bill financing'!J73*('Capital Structure '!$F$18+'Capital Structure '!$F$21)/12</f>
        <v>12656.596931373999</v>
      </c>
      <c r="AV115" s="440">
        <f t="shared" si="98"/>
        <v>19654.861802371066</v>
      </c>
      <c r="AW115" s="423"/>
      <c r="AX115" s="440">
        <v>0</v>
      </c>
      <c r="AY115" s="441">
        <f t="shared" si="58"/>
        <v>108647.41580237108</v>
      </c>
      <c r="BA115" s="424">
        <f>'RGGI II Invest Amort Def'!AG61</f>
        <v>231616.14799999999</v>
      </c>
      <c r="BB115" s="423"/>
      <c r="BC115" s="424">
        <f>(L115+N115)*'Capital Structure '!$H$21/12</f>
        <v>2711.2835004388185</v>
      </c>
      <c r="BD115" s="424">
        <f>(L115+N115)*'Capital Structure '!$H$34/12</f>
        <v>5412.6201489151381</v>
      </c>
      <c r="BE115" s="424">
        <f>(L115+N115)*'Capital Structure '!$H$18/12</f>
        <v>7837.3679757241234</v>
      </c>
      <c r="BF115" s="424">
        <f>'RGGI II On Bill Fin''g'!L61*'Capital Structure '!$H$34/12</f>
        <v>19243.673930035646</v>
      </c>
      <c r="BG115" s="424">
        <f>'RGGI II On Bill Fin''g'!L61*('Capital Structure '!$H$18+'Capital Structure '!$H$21)/12</f>
        <v>37503.98214246671</v>
      </c>
      <c r="BH115" s="440">
        <f t="shared" si="99"/>
        <v>72708.927697580424</v>
      </c>
      <c r="BI115" s="423"/>
      <c r="BJ115" s="554"/>
      <c r="BK115" s="441">
        <f t="shared" si="106"/>
        <v>304325.07569758041</v>
      </c>
      <c r="BM115" s="424">
        <f>'2013 program Invest Amort Def'!AW43</f>
        <v>425089.54450000002</v>
      </c>
      <c r="BN115" s="424"/>
      <c r="BO115" s="424">
        <f>(S115)*'Capital Structure '!$J$21/12</f>
        <v>11901.02292385369</v>
      </c>
      <c r="BP115" s="424">
        <f>(S115)*'Capital Structure '!$J$34/12</f>
        <v>25457.578944669745</v>
      </c>
      <c r="BQ115" s="424">
        <f>(S115)*'Capital Structure '!$J$18/12</f>
        <v>36862.075754644204</v>
      </c>
      <c r="BR115" s="424">
        <f>('2013 program 10 yr On Bill Fin'!M43+'2013 program 5 yr On Bill Fin'!L41+'2013 program 2 yr On Bill Fin'!M31)*'Capital Structure '!$J$34/12</f>
        <v>100552.94494276245</v>
      </c>
      <c r="BS115" s="424">
        <f>('2013 program 10 yr On Bill Fin'!M43+'2013 program 5 yr On Bill Fin'!L41+'2013 program 2 yr On Bill Fin'!M31)*('Capital Structure '!$J$18+'Capital Structure '!$J$21)/12</f>
        <v>192605.63572500006</v>
      </c>
      <c r="BT115" s="441">
        <f t="shared" si="100"/>
        <v>367379.25829093013</v>
      </c>
      <c r="BU115" s="423"/>
      <c r="BV115" s="555">
        <v>0</v>
      </c>
      <c r="BW115" s="441">
        <f t="shared" si="48"/>
        <v>792468.80279093015</v>
      </c>
      <c r="BY115" s="424">
        <f>'2015 Program Invest Amort Def'!BR18</f>
        <v>69561.195166666672</v>
      </c>
      <c r="CA115" s="424">
        <f>X115*'Capital Structure '!$L$21/12</f>
        <v>3564.4274714437502</v>
      </c>
      <c r="CB115" s="424">
        <f>(X115)*'Capital Structure '!$L$34/12</f>
        <v>8517.3244842152326</v>
      </c>
      <c r="CC115" s="424">
        <f>(X115)*'Capital Structure '!$L$18/12</f>
        <v>12332.919051195377</v>
      </c>
      <c r="CD115" s="424">
        <f>('2015 Program 10-Year OBRP'!P18+'2015 Program 7-Year OBRP'!M18+'2015 Program 5-Year OBRP'!K18+'2015 Program 3-Year OBRP'!K18)*('Capital Structure '!$L$34/12)</f>
        <v>25056.326284819315</v>
      </c>
      <c r="CE115" s="424">
        <f>('2015 Program 10-Year OBRP'!P18+'2015 Program 7-Year OBRP'!M18+'2015 Program 5-Year OBRP'!K18+'2015 Program 3-Year OBRP'!K18)*(('Capital Structure '!$L$21/12)+('Capital Structure '!$L$18/12))</f>
        <v>46766.928073750001</v>
      </c>
      <c r="CF115" s="441">
        <f t="shared" si="85"/>
        <v>96237.925365423667</v>
      </c>
      <c r="CG115" s="424">
        <v>-3416.21</v>
      </c>
      <c r="CI115" s="481">
        <v>282461.25999999995</v>
      </c>
      <c r="CJ115" s="441">
        <f t="shared" si="105"/>
        <v>444844.1705320903</v>
      </c>
      <c r="CK115" s="431"/>
      <c r="CL115" s="431"/>
      <c r="CM115" s="431"/>
      <c r="CN115" s="431"/>
      <c r="CO115" s="431"/>
      <c r="CP115" s="431"/>
      <c r="CQ115" s="431"/>
      <c r="CR115" s="431"/>
      <c r="CS115" s="431"/>
      <c r="CT115" s="431"/>
      <c r="CU115" s="431"/>
      <c r="CV115" s="431"/>
      <c r="CW115" s="431"/>
      <c r="CY115" s="412">
        <f t="shared" si="89"/>
        <v>1141259.2947269715</v>
      </c>
      <c r="CZ115" s="412">
        <f t="shared" si="101"/>
        <v>954750.72852262203</v>
      </c>
      <c r="DA115" s="412">
        <f t="shared" si="102"/>
        <v>227207.61950562912</v>
      </c>
      <c r="DB115" s="417">
        <v>4.3E-3</v>
      </c>
      <c r="DC115" s="432">
        <f t="shared" si="103"/>
        <v>81.416063656183766</v>
      </c>
      <c r="DE115" s="420">
        <f t="shared" si="90"/>
        <v>6.9000000000000006E-2</v>
      </c>
      <c r="DF115" s="420">
        <f t="shared" si="91"/>
        <v>0.10502258664412509</v>
      </c>
      <c r="DG115" s="420">
        <f t="shared" si="92"/>
        <v>6.6900000000000015E-2</v>
      </c>
      <c r="DH115" s="420">
        <f t="shared" si="93"/>
        <v>0.10274302620456467</v>
      </c>
      <c r="DI115" s="393"/>
      <c r="DJ115" s="393"/>
    </row>
    <row r="116" spans="1:173" s="351" customFormat="1" hidden="1" outlineLevel="1">
      <c r="A116" s="419"/>
      <c r="B116" s="419"/>
      <c r="C116" s="419"/>
      <c r="E116" s="419"/>
      <c r="F116" s="413">
        <f>SUM(F104:F115)</f>
        <v>0</v>
      </c>
      <c r="G116" s="435"/>
      <c r="H116" s="419"/>
      <c r="I116" s="419"/>
      <c r="J116" s="413"/>
      <c r="K116" s="435"/>
      <c r="L116" s="413"/>
      <c r="M116" s="413"/>
      <c r="N116" s="413"/>
      <c r="O116" s="435"/>
      <c r="P116" s="435"/>
      <c r="Q116" s="435"/>
      <c r="R116" s="435"/>
      <c r="S116" s="435"/>
      <c r="T116" s="435"/>
      <c r="U116" s="397"/>
      <c r="V116" s="397"/>
      <c r="W116" s="435"/>
      <c r="X116" s="435"/>
      <c r="Y116" s="435"/>
      <c r="Z116" s="547">
        <f>SUM(Z104:Z115)</f>
        <v>602857324.4799999</v>
      </c>
      <c r="AA116" s="414"/>
      <c r="AB116" s="412">
        <f>SUM(AB104:AB115)</f>
        <v>18447434.129087996</v>
      </c>
      <c r="AD116" s="412">
        <f>SUM(AD104:AD115)</f>
        <v>0</v>
      </c>
      <c r="AE116" s="412"/>
      <c r="AF116" s="412">
        <f>SUM(AF104:AF115)</f>
        <v>0</v>
      </c>
      <c r="AG116" s="412">
        <f>SUM(AG104:AG115)</f>
        <v>0</v>
      </c>
      <c r="AH116" s="412">
        <f>SUM(AH104:AH115)</f>
        <v>0</v>
      </c>
      <c r="AI116" s="412">
        <f>SUM(AI104:AI115)</f>
        <v>0</v>
      </c>
      <c r="AJ116" s="412"/>
      <c r="AK116" s="412">
        <v>0</v>
      </c>
      <c r="AL116" s="412">
        <v>0</v>
      </c>
      <c r="AM116" s="412">
        <f>SUM(AM104:AM115)</f>
        <v>0</v>
      </c>
      <c r="AO116" s="412">
        <f>SUM(AO104:AO115)</f>
        <v>1732906.13</v>
      </c>
      <c r="AP116" s="412"/>
      <c r="AQ116" s="412">
        <f t="shared" ref="AQ116:AV116" si="107">SUM(AQ104:AQ115)</f>
        <v>11953.672743105744</v>
      </c>
      <c r="AR116" s="412">
        <f t="shared" si="107"/>
        <v>17570.012748361307</v>
      </c>
      <c r="AS116" s="412">
        <f t="shared" si="107"/>
        <v>25441.034371250225</v>
      </c>
      <c r="AT116" s="412">
        <f t="shared" si="107"/>
        <v>80183.18308042211</v>
      </c>
      <c r="AU116" s="412">
        <f t="shared" si="107"/>
        <v>170655.91754159765</v>
      </c>
      <c r="AV116" s="415">
        <f t="shared" si="107"/>
        <v>305803.82048473699</v>
      </c>
      <c r="AW116" s="412"/>
      <c r="AX116" s="427">
        <v>0</v>
      </c>
      <c r="AY116" s="384">
        <f t="shared" si="58"/>
        <v>2038709.9504847368</v>
      </c>
      <c r="BA116" s="412">
        <f>SUM(BA104:BA115)</f>
        <v>2779393.7760000001</v>
      </c>
      <c r="BB116" s="412"/>
      <c r="BC116" s="412">
        <f t="shared" ref="BC116:BH116" si="108">SUM(BC104:BC115)</f>
        <v>46293.314986040335</v>
      </c>
      <c r="BD116" s="412">
        <f t="shared" si="108"/>
        <v>92416.794264769022</v>
      </c>
      <c r="BE116" s="412">
        <f t="shared" si="108"/>
        <v>133817.70821936568</v>
      </c>
      <c r="BF116" s="412">
        <f t="shared" si="108"/>
        <v>253220.27057151802</v>
      </c>
      <c r="BG116" s="412">
        <f t="shared" si="108"/>
        <v>493500.80136216525</v>
      </c>
      <c r="BH116" s="412">
        <f t="shared" si="108"/>
        <v>1019248.8894038582</v>
      </c>
      <c r="BI116" s="412"/>
      <c r="BJ116" s="412"/>
      <c r="BK116" s="384">
        <f t="shared" si="106"/>
        <v>3798642.6654038583</v>
      </c>
      <c r="BM116" s="412">
        <f>SUM(BM104:BM115)</f>
        <v>5070149.3339999998</v>
      </c>
      <c r="BN116" s="412"/>
      <c r="BO116" s="412">
        <f t="shared" ref="BO116:BT116" si="109">SUM(BO104:BO115)</f>
        <v>176309.30589591039</v>
      </c>
      <c r="BP116" s="412">
        <f t="shared" si="109"/>
        <v>377144.72967939352</v>
      </c>
      <c r="BQ116" s="412">
        <f t="shared" si="109"/>
        <v>546098.18263246352</v>
      </c>
      <c r="BR116" s="412">
        <f t="shared" si="109"/>
        <v>1294909.0258965157</v>
      </c>
      <c r="BS116" s="412">
        <f t="shared" si="109"/>
        <v>2480352.7761500003</v>
      </c>
      <c r="BT116" s="433">
        <f t="shared" si="109"/>
        <v>4874814.0202542823</v>
      </c>
      <c r="BU116" s="412"/>
      <c r="BV116" s="412">
        <f>SUM(BV104:BV115)</f>
        <v>0</v>
      </c>
      <c r="BW116" s="384">
        <f t="shared" si="48"/>
        <v>9944963.354254283</v>
      </c>
      <c r="BY116" s="384">
        <f>SUM(BY104:BY115)</f>
        <v>500934.72583333333</v>
      </c>
      <c r="CA116" s="384">
        <f>SUM(CA104:CA115)</f>
        <v>29449.968313081252</v>
      </c>
      <c r="CB116" s="384">
        <f>SUM(CB104:CB115)</f>
        <v>70371.732397958011</v>
      </c>
      <c r="CC116" s="384">
        <f>SUM(CC104:CC115)</f>
        <v>101896.89036326113</v>
      </c>
      <c r="CD116" s="384">
        <f>SUM(CD104:CD115)</f>
        <v>169087.09461976524</v>
      </c>
      <c r="CE116" s="384">
        <f>SUM(CE104:CE115)</f>
        <v>315596.30499675003</v>
      </c>
      <c r="CF116" s="384">
        <f>SUM(CA116:CE116)</f>
        <v>686401.99069081573</v>
      </c>
      <c r="CG116" s="384">
        <f>SUM(CG109:CG115)</f>
        <v>-15286.52</v>
      </c>
      <c r="CI116" s="384">
        <f>SUM(CI104:CI115)</f>
        <v>4128667.26</v>
      </c>
      <c r="CJ116" s="384">
        <f>SUM(CJ104:CJ115)</f>
        <v>5300717.4565241486</v>
      </c>
      <c r="CK116" s="384"/>
      <c r="CL116" s="384"/>
      <c r="CM116" s="384"/>
      <c r="CN116" s="384"/>
      <c r="CO116" s="384"/>
      <c r="CP116" s="384"/>
      <c r="CQ116" s="384"/>
      <c r="CR116" s="384"/>
      <c r="CS116" s="384"/>
      <c r="CT116" s="384"/>
      <c r="CU116" s="384"/>
      <c r="CV116" s="384"/>
      <c r="CW116" s="384"/>
      <c r="DB116" s="409"/>
      <c r="DC116" s="373">
        <f>SUM(DC104:DC115)</f>
        <v>-6011.7659769444317</v>
      </c>
      <c r="DJ116" s="393"/>
    </row>
    <row r="117" spans="1:173" s="351" customFormat="1" hidden="1" outlineLevel="1">
      <c r="F117" s="370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5"/>
      <c r="Z117" s="435"/>
      <c r="AA117" s="435"/>
      <c r="DB117" s="409"/>
      <c r="DE117" s="353"/>
      <c r="DF117" s="353"/>
      <c r="DG117" s="353"/>
      <c r="DH117" s="353"/>
      <c r="DI117" s="353"/>
      <c r="DJ117" s="394"/>
      <c r="DK117" s="353"/>
      <c r="DL117" s="353"/>
      <c r="DM117" s="353"/>
      <c r="DN117" s="353"/>
      <c r="DO117" s="353"/>
      <c r="DP117" s="353"/>
      <c r="DQ117" s="353"/>
      <c r="DR117" s="353"/>
      <c r="DS117" s="353"/>
      <c r="DT117" s="353"/>
      <c r="DU117" s="353"/>
      <c r="DV117" s="353"/>
      <c r="DW117" s="353"/>
      <c r="DX117" s="353"/>
      <c r="DY117" s="353"/>
      <c r="DZ117" s="353"/>
      <c r="EA117" s="353"/>
      <c r="EB117" s="353"/>
      <c r="EC117" s="353"/>
      <c r="ED117" s="353"/>
      <c r="EE117" s="353"/>
      <c r="EF117" s="353"/>
      <c r="EG117" s="353"/>
      <c r="EH117" s="353"/>
      <c r="EI117" s="353"/>
      <c r="EJ117" s="353"/>
      <c r="EK117" s="353"/>
      <c r="EL117" s="353"/>
      <c r="EM117" s="353"/>
      <c r="EN117" s="353"/>
      <c r="EO117" s="353"/>
      <c r="EP117" s="353"/>
      <c r="EQ117" s="353"/>
      <c r="ER117" s="353"/>
      <c r="ES117" s="353"/>
      <c r="ET117" s="353"/>
      <c r="EU117" s="353"/>
      <c r="EV117" s="353"/>
      <c r="EW117" s="353"/>
      <c r="EX117" s="353"/>
      <c r="EY117" s="353"/>
      <c r="EZ117" s="353"/>
      <c r="FA117" s="353"/>
      <c r="FB117" s="353"/>
      <c r="FC117" s="353"/>
      <c r="FD117" s="353"/>
      <c r="FE117" s="353"/>
      <c r="FF117" s="353"/>
      <c r="FG117" s="353"/>
      <c r="FH117" s="353"/>
      <c r="FI117" s="353"/>
      <c r="FJ117" s="353"/>
      <c r="FK117" s="353"/>
      <c r="FL117" s="353"/>
      <c r="FM117" s="353"/>
      <c r="FN117" s="353"/>
      <c r="FO117" s="353"/>
      <c r="FP117" s="353"/>
      <c r="FQ117" s="353"/>
    </row>
    <row r="118" spans="1:173" s="351" customFormat="1" ht="30" hidden="1" outlineLevel="1">
      <c r="F118" s="370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5"/>
      <c r="Y118" s="435"/>
      <c r="Z118" s="435"/>
      <c r="AA118" s="435"/>
      <c r="CY118" s="410" t="s">
        <v>49</v>
      </c>
      <c r="CZ118" s="384">
        <f>CZ115+DC116</f>
        <v>948738.96254567755</v>
      </c>
      <c r="DB118" s="409"/>
      <c r="DE118" s="353"/>
      <c r="DF118" s="353"/>
      <c r="DG118" s="353"/>
      <c r="DH118" s="353"/>
      <c r="DI118" s="353"/>
      <c r="DJ118" s="394"/>
      <c r="DK118" s="353"/>
      <c r="DL118" s="353"/>
      <c r="DM118" s="353"/>
      <c r="DN118" s="353"/>
      <c r="DO118" s="353"/>
      <c r="DP118" s="353"/>
      <c r="DQ118" s="353"/>
      <c r="DR118" s="353"/>
      <c r="DS118" s="353"/>
      <c r="DT118" s="353"/>
      <c r="DU118" s="353"/>
      <c r="DV118" s="353"/>
      <c r="DW118" s="353"/>
      <c r="DX118" s="353"/>
      <c r="DY118" s="353"/>
      <c r="DZ118" s="353"/>
      <c r="EA118" s="353"/>
      <c r="EB118" s="353"/>
      <c r="EC118" s="353"/>
      <c r="ED118" s="353"/>
      <c r="EE118" s="353"/>
      <c r="EF118" s="353"/>
      <c r="EG118" s="353"/>
      <c r="EH118" s="353"/>
      <c r="EI118" s="353"/>
      <c r="EJ118" s="353"/>
      <c r="EK118" s="353"/>
      <c r="EL118" s="353"/>
      <c r="EM118" s="353"/>
      <c r="EN118" s="353"/>
      <c r="EO118" s="353"/>
      <c r="EP118" s="353"/>
      <c r="EQ118" s="353"/>
      <c r="ER118" s="353"/>
      <c r="ES118" s="353"/>
      <c r="ET118" s="353"/>
      <c r="EU118" s="353"/>
      <c r="EV118" s="353"/>
      <c r="EW118" s="353"/>
      <c r="EX118" s="353"/>
      <c r="EY118" s="353"/>
      <c r="EZ118" s="353"/>
      <c r="FA118" s="353"/>
      <c r="FB118" s="353"/>
      <c r="FC118" s="353"/>
      <c r="FD118" s="353"/>
      <c r="FE118" s="353"/>
      <c r="FF118" s="353"/>
      <c r="FG118" s="353"/>
      <c r="FH118" s="353"/>
      <c r="FI118" s="353"/>
      <c r="FJ118" s="353"/>
      <c r="FK118" s="353"/>
      <c r="FL118" s="353"/>
      <c r="FM118" s="353"/>
      <c r="FN118" s="353"/>
      <c r="FO118" s="353"/>
      <c r="FP118" s="353"/>
      <c r="FQ118" s="353"/>
    </row>
    <row r="119" spans="1:173" s="351" customFormat="1" hidden="1" outlineLevel="1">
      <c r="A119" s="430" t="s">
        <v>50</v>
      </c>
      <c r="B119" s="430">
        <v>2016</v>
      </c>
      <c r="C119" s="411" t="s">
        <v>47</v>
      </c>
      <c r="E119" s="412"/>
      <c r="F119" s="413"/>
      <c r="G119" s="435"/>
      <c r="H119" s="412">
        <f>'RGGI - Invest Amort deferred'!AI74</f>
        <v>121133.93766665459</v>
      </c>
      <c r="I119" s="412">
        <f>'RGGI - Invest Amort deferred'!AI74</f>
        <v>121133.93766665459</v>
      </c>
      <c r="J119" s="413">
        <f>'RGGI - Invest Amort deferred'!BL74</f>
        <v>-49483.213536832976</v>
      </c>
      <c r="K119" s="435"/>
      <c r="L119" s="414">
        <f>'RGGI II Invest Amort Def'!AI62</f>
        <v>2780939.9519999996</v>
      </c>
      <c r="M119" s="414">
        <f>'RGGI II Invest Amort Def'!AI62</f>
        <v>2780939.9519999996</v>
      </c>
      <c r="N119" s="413">
        <f>'RGGI II Invest Amort Def'!BK62</f>
        <v>-1136013.9703920058</v>
      </c>
      <c r="O119" s="435"/>
      <c r="P119" s="425">
        <f>'2013 program Invest Amort Def'!AY44</f>
        <v>13805466.972166663</v>
      </c>
      <c r="Q119" s="425">
        <f>'2013 program Invest Amort Def'!AY44</f>
        <v>13805466.972166663</v>
      </c>
      <c r="R119" s="425">
        <f>'2013 program Invest Amort Def'!CQ44</f>
        <v>-5614510.9310467513</v>
      </c>
      <c r="S119" s="373">
        <f>+P119+R119</f>
        <v>8190956.0411199117</v>
      </c>
      <c r="T119" s="435"/>
      <c r="U119" s="414">
        <f>'2015 Program Invest Amort Def'!BT19</f>
        <v>3755409.1223333334</v>
      </c>
      <c r="V119" s="414">
        <f>'2015 Program Invest Amort Def'!BT19</f>
        <v>3755409.1223333334</v>
      </c>
      <c r="W119" s="414">
        <f>'2015 Program Invest Amort Def'!EG19</f>
        <v>-922335.27241400001</v>
      </c>
      <c r="X119" s="397">
        <f>U119+W119</f>
        <v>2833073.8499193331</v>
      </c>
      <c r="Y119" s="435"/>
      <c r="Z119" s="547">
        <v>30123568.039999984</v>
      </c>
      <c r="AA119" s="548">
        <v>3.0599999999999999E-2</v>
      </c>
      <c r="AB119" s="439">
        <f>+Z119*AA119</f>
        <v>921781.18202399951</v>
      </c>
      <c r="AD119" s="415">
        <f>'E3 - Invest Amort deferred tax'!AL97</f>
        <v>0</v>
      </c>
      <c r="AE119" s="412"/>
      <c r="AF119" s="416">
        <f>(D118+F118)*'Capital Structure '!$F$21/12</f>
        <v>0</v>
      </c>
      <c r="AG119" s="416">
        <f>(D118+F118)*'Capital Structure '!$E$34/12</f>
        <v>0</v>
      </c>
      <c r="AH119" s="416">
        <f>(D118+F118)*'Capital Structure '!$F$18/12</f>
        <v>0</v>
      </c>
      <c r="AI119" s="415">
        <f>SUM(AF119:AH119)</f>
        <v>0</v>
      </c>
      <c r="AJ119" s="412"/>
      <c r="AK119" s="415">
        <v>0</v>
      </c>
      <c r="AL119" s="415">
        <v>0</v>
      </c>
      <c r="AM119" s="412">
        <f>AD119+AI119+AK119+AL119</f>
        <v>0</v>
      </c>
      <c r="AO119" s="372">
        <f>'RGGI - Invest Amort deferred'!AG74+'RGGI CHP'!V29</f>
        <v>78449.587333333329</v>
      </c>
      <c r="AP119" s="412"/>
      <c r="AQ119" s="412">
        <f>(H119+J119)*'Capital Structure '!$F$21/12</f>
        <v>148.07015365264854</v>
      </c>
      <c r="AR119" s="412">
        <f>(H119+J119)*'Capital Structure '!$E$34/12</f>
        <v>217.6397617066535</v>
      </c>
      <c r="AS119" s="412">
        <f>(H119+J119)*'Capital Structure '!$F$18/12</f>
        <v>315.13811272823881</v>
      </c>
      <c r="AT119" s="412">
        <f>'RGGI - On-bill financing'!J74*'Capital Structure '!$E$34/12</f>
        <v>5828.7761151671366</v>
      </c>
      <c r="AU119" s="412">
        <f>'RGGI - On-bill financing'!J74*('Capital Structure '!$F$18+'Capital Structure '!$F$21)/12</f>
        <v>12405.53315376265</v>
      </c>
      <c r="AV119" s="415">
        <f>SUM(AQ119:AU119)</f>
        <v>18915.157297017329</v>
      </c>
      <c r="AW119" s="412"/>
      <c r="AX119" s="415">
        <v>0</v>
      </c>
      <c r="AY119" s="431">
        <f t="shared" si="58"/>
        <v>97364.744630350659</v>
      </c>
      <c r="BA119" s="412">
        <f>'RGGI II Invest Amort Def'!AG62</f>
        <v>231616.14799999999</v>
      </c>
      <c r="BB119" s="412"/>
      <c r="BC119" s="412">
        <f>(L119+N119)*'Capital Structure '!$H$21/12</f>
        <v>2502.8302734573858</v>
      </c>
      <c r="BD119" s="412">
        <f>(L119+N119)*'Capital Structure '!$H$34/12</f>
        <v>4996.4784447062384</v>
      </c>
      <c r="BE119" s="412">
        <f>(L119+N119)*'Capital Structure '!$H$18/12</f>
        <v>7234.8029376835757</v>
      </c>
      <c r="BF119" s="412">
        <f>'RGGI II On Bill Fin''g'!L62*'Capital Structure '!$H$34/12</f>
        <v>18931.825486799662</v>
      </c>
      <c r="BG119" s="412">
        <f>'RGGI II On Bill Fin''g'!L62*('Capital Structure '!$H$18+'Capital Structure '!$H$21)/12</f>
        <v>36896.220937989849</v>
      </c>
      <c r="BH119" s="415">
        <f>SUM(BC119:BG119)</f>
        <v>70562.158080636698</v>
      </c>
      <c r="BI119" s="412"/>
      <c r="BJ119" s="556">
        <v>0</v>
      </c>
      <c r="BK119" s="431">
        <f t="shared" si="106"/>
        <v>302178.30608063668</v>
      </c>
      <c r="BM119" s="412">
        <f>'2013 program Invest Amort Def'!AW44</f>
        <v>425089.54450000002</v>
      </c>
      <c r="BN119" s="412"/>
      <c r="BO119" s="412">
        <f>(S119)*'Capital Structure '!$J$21/12</f>
        <v>11494.64164437161</v>
      </c>
      <c r="BP119" s="412">
        <f>(S119)*'Capital Structure '!$J$34/12</f>
        <v>24588.285307455157</v>
      </c>
      <c r="BQ119" s="412">
        <f>(S119)*'Capital Structure '!$J$18/12</f>
        <v>35603.355592067885</v>
      </c>
      <c r="BR119" s="412">
        <f>('2013 program 10 yr On Bill Fin'!M44+'2013 program 5 yr On Bill Fin'!L42+'2013 program 2 yr On Bill Fin'!M32)*'Capital Structure '!$J$34/12</f>
        <v>99156.299127136634</v>
      </c>
      <c r="BS119" s="412">
        <f>('2013 program 10 yr On Bill Fin'!M44+'2013 program 5 yr On Bill Fin'!L42+'2013 program 2 yr On Bill Fin'!M32)*('Capital Structure '!$J$18+'Capital Structure '!$J$21)/12</f>
        <v>189930.40970000005</v>
      </c>
      <c r="BT119" s="431">
        <f>SUM(BO119:BS119)</f>
        <v>360772.99137103138</v>
      </c>
      <c r="BU119" s="412"/>
      <c r="BV119" s="425">
        <v>0</v>
      </c>
      <c r="BW119" s="431">
        <f t="shared" si="48"/>
        <v>785862.53587103146</v>
      </c>
      <c r="BY119" s="412">
        <f>'2015 Program Invest Amort Def'!BR19</f>
        <v>72217.861833333343</v>
      </c>
      <c r="CA119" s="412">
        <f>X119*'Capital Structure '!$N$21/12</f>
        <v>4202.3928773803445</v>
      </c>
      <c r="CB119" s="412">
        <f>(X119)*'Capital Structure '!$N$34/12</f>
        <v>8348.0284849017808</v>
      </c>
      <c r="CC119" s="412">
        <f>(X119)*'Capital Structure '!$N$18/12</f>
        <v>12087.781759655822</v>
      </c>
      <c r="CD119" s="412">
        <f>('2015 Program 10-Year OBRP'!P19+'2015 Program 7-Year OBRP'!M19+'2015 Program 5-Year OBRP'!K19+'2015 Program 3-Year OBRP'!K19)*('Capital Structure '!$N$34/12)</f>
        <v>26968.085841690616</v>
      </c>
      <c r="CE119" s="412">
        <f>('2015 Program 10-Year OBRP'!P19+'2015 Program 7-Year OBRP'!M19+'2015 Program 5-Year OBRP'!K19+'2015 Program 3-Year OBRP'!K19)*(('Capital Structure '!$N$21/12)+('Capital Structure '!$N$18/12))</f>
        <v>52624.979512499995</v>
      </c>
      <c r="CF119" s="431">
        <f>SUM(CA119:CE119)</f>
        <v>104231.26847612856</v>
      </c>
      <c r="CG119" s="412">
        <v>-3574.61</v>
      </c>
      <c r="CI119" s="393">
        <v>242612.87</v>
      </c>
      <c r="CJ119" s="431">
        <f>BY119+CF119+CG119+CI119</f>
        <v>415487.39030946192</v>
      </c>
      <c r="CK119" s="431"/>
      <c r="CL119" s="431"/>
      <c r="CM119" s="431"/>
      <c r="CN119" s="431"/>
      <c r="CO119" s="431"/>
      <c r="CP119" s="431"/>
      <c r="CQ119" s="431"/>
      <c r="CR119" s="431"/>
      <c r="CS119" s="431"/>
      <c r="CT119" s="431"/>
      <c r="CU119" s="431"/>
      <c r="CV119" s="431"/>
      <c r="CW119" s="431"/>
      <c r="CY119" s="412">
        <f t="shared" ref="CY119:CY130" si="110">+BW119+BK119+AY119+AM119+CJ119-AB119</f>
        <v>679111.79486748134</v>
      </c>
      <c r="CZ119" s="412">
        <f>+CZ118+CY119</f>
        <v>1627850.7574131589</v>
      </c>
      <c r="DA119" s="412">
        <f>(CZ118+CZ119)/2*(1-0.4085)</f>
        <v>762026.40967782587</v>
      </c>
      <c r="DB119" s="417">
        <v>4.3E-3</v>
      </c>
      <c r="DC119" s="418">
        <f>(DA119)*DB119/12</f>
        <v>273.05946346788761</v>
      </c>
      <c r="DE119" s="420">
        <f t="shared" ref="DE119:DE130" si="111">(BO119+BQ119)/(S119)*12</f>
        <v>6.9000000000000006E-2</v>
      </c>
      <c r="DF119" s="420">
        <f t="shared" ref="DF119:DF130" si="112">(BO119+BP119+BQ119)/(S119)*12</f>
        <v>0.10502258664412512</v>
      </c>
      <c r="DG119" s="420">
        <f t="shared" ref="DG119:DG130" si="113">(CA119+CC119)/(X119)*12</f>
        <v>6.9000000000000006E-2</v>
      </c>
      <c r="DH119" s="420">
        <f t="shared" ref="DH119:DH130" si="114">(CA119+CB119+CC119)/(X119)*12</f>
        <v>0.10435959425190197</v>
      </c>
      <c r="DI119" s="393"/>
      <c r="DJ119" s="393"/>
    </row>
    <row r="120" spans="1:173" s="351" customFormat="1" hidden="1" outlineLevel="1">
      <c r="A120" s="430" t="s">
        <v>51</v>
      </c>
      <c r="B120" s="430">
        <v>2016</v>
      </c>
      <c r="C120" s="411" t="s">
        <v>47</v>
      </c>
      <c r="E120" s="412"/>
      <c r="F120" s="413"/>
      <c r="G120" s="435"/>
      <c r="H120" s="412">
        <f>'RGGI - Invest Amort deferred'!AI75</f>
        <v>69230.46699998714</v>
      </c>
      <c r="I120" s="412">
        <f>'RGGI - Invest Amort deferred'!AI75</f>
        <v>69230.46699998714</v>
      </c>
      <c r="J120" s="413">
        <f>'RGGI - Invest Amort deferred'!BL75</f>
        <v>-28280.645769499646</v>
      </c>
      <c r="K120" s="435"/>
      <c r="L120" s="414">
        <f>'RGGI II Invest Amort Def'!AI63</f>
        <v>2549323.8039999995</v>
      </c>
      <c r="M120" s="414">
        <f>'RGGI II Invest Amort Def'!AI63</f>
        <v>2549323.8039999995</v>
      </c>
      <c r="N120" s="413">
        <f>'RGGI II Invest Amort Def'!BK63</f>
        <v>-1041398.7739340058</v>
      </c>
      <c r="O120" s="435"/>
      <c r="P120" s="425">
        <f>'2013 program Invest Amort Def'!AY45</f>
        <v>13380377.427666662</v>
      </c>
      <c r="Q120" s="425">
        <f>'2013 program Invest Amort Def'!AY45</f>
        <v>13380377.427666662</v>
      </c>
      <c r="R120" s="425">
        <f>'2013 program Invest Amort Def'!CQ45</f>
        <v>-5456301.4500351679</v>
      </c>
      <c r="S120" s="373">
        <f>+P120+R120</f>
        <v>7924075.9776314944</v>
      </c>
      <c r="T120" s="435"/>
      <c r="U120" s="414">
        <f>'2015 Program Invest Amort Def'!BT20</f>
        <v>3825282.9271666668</v>
      </c>
      <c r="V120" s="414">
        <f>'2015 Program Invest Amort Def'!BT20</f>
        <v>3825282.9271666668</v>
      </c>
      <c r="W120" s="414">
        <f>'2015 Program Invest Amort Def'!EG20</f>
        <v>-1019829.154483</v>
      </c>
      <c r="X120" s="397">
        <f t="shared" ref="X120:X130" si="115">U120+W120</f>
        <v>2805453.772683667</v>
      </c>
      <c r="Y120" s="435"/>
      <c r="Z120" s="547">
        <v>61266808.130000003</v>
      </c>
      <c r="AA120" s="548">
        <v>3.0599999999999999E-2</v>
      </c>
      <c r="AB120" s="439">
        <f t="shared" ref="AB120:AB130" si="116">+Z120*AA120</f>
        <v>1874764.3287780001</v>
      </c>
      <c r="AD120" s="415">
        <f>'E3 - Invest Amort deferred tax'!AL98</f>
        <v>0</v>
      </c>
      <c r="AE120" s="412"/>
      <c r="AF120" s="416">
        <f>(D119+F119)*'Capital Structure '!$F$21/12</f>
        <v>0</v>
      </c>
      <c r="AG120" s="416">
        <f>(D119+F119)*'Capital Structure '!$E$34/12</f>
        <v>0</v>
      </c>
      <c r="AH120" s="416">
        <f>(D119+F119)*'Capital Structure '!$F$18/12</f>
        <v>0</v>
      </c>
      <c r="AI120" s="415">
        <f t="shared" ref="AI120:AI126" si="117">SUM(AF120:AH120)</f>
        <v>0</v>
      </c>
      <c r="AJ120" s="412"/>
      <c r="AK120" s="415">
        <v>0</v>
      </c>
      <c r="AL120" s="415">
        <v>0</v>
      </c>
      <c r="AM120" s="412">
        <f t="shared" ref="AM120:AM126" si="118">AD120+AI120+AK120+AL120</f>
        <v>0</v>
      </c>
      <c r="AO120" s="372">
        <f>'RGGI - Invest Amort deferred'!AG75+'RGGI CHP'!V30</f>
        <v>64403.470666666661</v>
      </c>
      <c r="AP120" s="412"/>
      <c r="AQ120" s="412">
        <f>(H120+J120)*'Capital Structure '!$F$21/12</f>
        <v>84.62505292564262</v>
      </c>
      <c r="AR120" s="412">
        <f>(H120+J120)*'Capital Structure '!$E$34/12</f>
        <v>124.38547471460909</v>
      </c>
      <c r="AS120" s="412">
        <f>(H120+J120)*'Capital Structure '!$F$18/12</f>
        <v>180.10773144110473</v>
      </c>
      <c r="AT120" s="412">
        <f>'RGGI - On-bill financing'!J75*'Capital Structure '!$E$34/12</f>
        <v>5708.9066615737393</v>
      </c>
      <c r="AU120" s="412">
        <f>'RGGI - On-bill financing'!J75*('Capital Structure '!$F$18+'Capital Structure '!$F$21)/12</f>
        <v>12150.411932550045</v>
      </c>
      <c r="AV120" s="415">
        <f t="shared" ref="AV120:AV130" si="119">SUM(AQ120:AU120)</f>
        <v>18248.436853205141</v>
      </c>
      <c r="AW120" s="412"/>
      <c r="AX120" s="415">
        <v>0</v>
      </c>
      <c r="AY120" s="431">
        <f t="shared" si="58"/>
        <v>82651.907519871806</v>
      </c>
      <c r="BA120" s="412">
        <f>'RGGI II Invest Amort Def'!AG63</f>
        <v>231616.14799999999</v>
      </c>
      <c r="BB120" s="412"/>
      <c r="BC120" s="412">
        <f>(L120+N120)*'Capital Structure '!$H$21/12</f>
        <v>2294.3770464759541</v>
      </c>
      <c r="BD120" s="412">
        <f>(L120+N120)*'Capital Structure '!$H$34/12</f>
        <v>4580.3367404973396</v>
      </c>
      <c r="BE120" s="412">
        <f>(L120+N120)*'Capital Structure '!$H$18/12</f>
        <v>6632.237899643027</v>
      </c>
      <c r="BF120" s="412">
        <f>'RGGI II On Bill Fin''g'!L63*'Capital Structure '!$H$34/12</f>
        <v>18672.042023450424</v>
      </c>
      <c r="BG120" s="412">
        <f>'RGGI II On Bill Fin''g'!L63*('Capital Structure '!$H$18+'Capital Structure '!$H$21)/12</f>
        <v>36389.929134991085</v>
      </c>
      <c r="BH120" s="415">
        <f t="shared" ref="BH120:BH130" si="120">SUM(BC120:BG120)</f>
        <v>68568.922845057823</v>
      </c>
      <c r="BI120" s="412"/>
      <c r="BJ120" s="556">
        <v>0</v>
      </c>
      <c r="BK120" s="431">
        <f t="shared" si="106"/>
        <v>300185.07084505784</v>
      </c>
      <c r="BM120" s="412">
        <f>'2013 program Invest Amort Def'!AW45</f>
        <v>425089.54450000002</v>
      </c>
      <c r="BN120" s="412"/>
      <c r="BO120" s="412">
        <f>(S120)*'Capital Structure '!$J$21/12</f>
        <v>11120.119955276197</v>
      </c>
      <c r="BP120" s="412">
        <f>(S120)*'Capital Structure '!$J$34/12</f>
        <v>23787.142789905065</v>
      </c>
      <c r="BQ120" s="412">
        <f>(S120)*'Capital Structure '!$J$18/12</f>
        <v>34443.316916104894</v>
      </c>
      <c r="BR120" s="412">
        <f>('2013 program 10 yr On Bill Fin'!M45+'2013 program 5 yr On Bill Fin'!L43+'2013 program 2 yr On Bill Fin'!M33)*'Capital Structure '!$J$34/12</f>
        <v>97671.705096802689</v>
      </c>
      <c r="BS120" s="412">
        <f>('2013 program 10 yr On Bill Fin'!M45+'2013 program 5 yr On Bill Fin'!L43+'2013 program 2 yr On Bill Fin'!M33)*('Capital Structure '!$J$18+'Capital Structure '!$J$21)/12</f>
        <v>187086.72195750006</v>
      </c>
      <c r="BT120" s="431">
        <f t="shared" ref="BT120:BT130" si="121">SUM(BO120:BS120)</f>
        <v>354109.00671558885</v>
      </c>
      <c r="BU120" s="412"/>
      <c r="BV120" s="425">
        <v>0</v>
      </c>
      <c r="BW120" s="431">
        <f t="shared" si="48"/>
        <v>779198.55121558881</v>
      </c>
      <c r="BY120" s="412">
        <f>'2015 Program Invest Amort Def'!BR20</f>
        <v>74626.195166666672</v>
      </c>
      <c r="CA120" s="412">
        <f>X120*'Capital Structure '!$N$21/12</f>
        <v>4161.4230961474395</v>
      </c>
      <c r="CB120" s="412">
        <f>(X120)*'Capital Structure '!$N$34/12</f>
        <v>8266.6422578801685</v>
      </c>
      <c r="CC120" s="412">
        <f>(X120)*'Capital Structure '!$N$18/12</f>
        <v>11969.936096783647</v>
      </c>
      <c r="CD120" s="412">
        <f>('2015 Program 10-Year OBRP'!P20+'2015 Program 7-Year OBRP'!M20+'2015 Program 5-Year OBRP'!K20+'2015 Program 3-Year OBRP'!K20)*('Capital Structure '!$N$34/12)</f>
        <v>30001.387595631448</v>
      </c>
      <c r="CE120" s="412">
        <f>('2015 Program 10-Year OBRP'!P20+'2015 Program 7-Year OBRP'!M20+'2015 Program 5-Year OBRP'!K20+'2015 Program 3-Year OBRP'!K20)*(('Capital Structure '!$N$21/12)+('Capital Structure '!$N$18/12))</f>
        <v>58544.103457500001</v>
      </c>
      <c r="CF120" s="431">
        <f t="shared" ref="CF120:CF130" si="122">SUM(CA120:CE120)</f>
        <v>112943.4925039427</v>
      </c>
      <c r="CG120" s="412">
        <v>-4610.63</v>
      </c>
      <c r="CI120" s="393">
        <v>311751.18</v>
      </c>
      <c r="CJ120" s="431">
        <f t="shared" ref="CJ120:CJ130" si="123">BY120+CF120+CG120+CI120</f>
        <v>494710.23767060938</v>
      </c>
      <c r="CK120" s="431"/>
      <c r="CL120" s="431"/>
      <c r="CM120" s="431"/>
      <c r="CN120" s="431"/>
      <c r="CO120" s="431"/>
      <c r="CP120" s="431"/>
      <c r="CQ120" s="431"/>
      <c r="CR120" s="431"/>
      <c r="CS120" s="431"/>
      <c r="CT120" s="431"/>
      <c r="CU120" s="431"/>
      <c r="CV120" s="431"/>
      <c r="CW120" s="431"/>
      <c r="CY120" s="412">
        <f t="shared" si="110"/>
        <v>-218018.56152687222</v>
      </c>
      <c r="CZ120" s="412">
        <f t="shared" ref="CZ120:CZ130" si="124">+CZ119+CY120</f>
        <v>1409832.1958862867</v>
      </c>
      <c r="DA120" s="412">
        <f t="shared" ref="DA120:DA130" si="125">(CZ119+CZ120)/2*(1-0.4085)</f>
        <v>898394.73343831103</v>
      </c>
      <c r="DB120" s="417">
        <v>4.3E-3</v>
      </c>
      <c r="DC120" s="418">
        <f>(DA120)*DB120/12</f>
        <v>321.92477948206147</v>
      </c>
      <c r="DE120" s="420">
        <f t="shared" si="111"/>
        <v>6.9000000000000006E-2</v>
      </c>
      <c r="DF120" s="420">
        <f t="shared" si="112"/>
        <v>0.10502258664412507</v>
      </c>
      <c r="DG120" s="420">
        <f t="shared" si="113"/>
        <v>6.9000000000000006E-2</v>
      </c>
      <c r="DH120" s="420">
        <f t="shared" si="114"/>
        <v>0.10435959425190194</v>
      </c>
      <c r="DI120" s="393"/>
      <c r="DJ120" s="393"/>
    </row>
    <row r="121" spans="1:173" s="351" customFormat="1" hidden="1" outlineLevel="1">
      <c r="A121" s="430" t="s">
        <v>52</v>
      </c>
      <c r="B121" s="430">
        <v>2016</v>
      </c>
      <c r="C121" s="411" t="s">
        <v>47</v>
      </c>
      <c r="E121" s="412"/>
      <c r="F121" s="413"/>
      <c r="G121" s="435"/>
      <c r="H121" s="412">
        <f>'RGGI - Invest Amort deferred'!AI76</f>
        <v>31162.579666653648</v>
      </c>
      <c r="I121" s="412">
        <f>'RGGI - Invest Amort deferred'!AI76</f>
        <v>31162.579666653648</v>
      </c>
      <c r="J121" s="413">
        <f>'RGGI - Invest Amort deferred'!BL76</f>
        <v>-12729.91379383298</v>
      </c>
      <c r="K121" s="435"/>
      <c r="L121" s="414">
        <f>'RGGI II Invest Amort Def'!AI64</f>
        <v>2317707.6559999995</v>
      </c>
      <c r="M121" s="414">
        <f>'RGGI II Invest Amort Def'!AI64</f>
        <v>2317707.6559999995</v>
      </c>
      <c r="N121" s="413">
        <f>'RGGI II Invest Amort Def'!BK64</f>
        <v>-946783.57747600577</v>
      </c>
      <c r="O121" s="435"/>
      <c r="P121" s="425">
        <f>'2013 program Invest Amort Def'!AY46</f>
        <v>12955287.883166661</v>
      </c>
      <c r="Q121" s="425">
        <f>'2013 program Invest Amort Def'!AY46</f>
        <v>12955287.883166661</v>
      </c>
      <c r="R121" s="425">
        <f>'2013 program Invest Amort Def'!CQ46</f>
        <v>-5287196.933606918</v>
      </c>
      <c r="S121" s="373">
        <f>+P121+R121</f>
        <v>7668090.9495597435</v>
      </c>
      <c r="T121" s="435"/>
      <c r="U121" s="414">
        <f>'2015 Program Invest Amort Def'!BT21</f>
        <v>3846138.3986666668</v>
      </c>
      <c r="V121" s="414">
        <f>'2015 Program Invest Amort Def'!BT21</f>
        <v>3846138.3986666668</v>
      </c>
      <c r="W121" s="414">
        <f>'2015 Program Invest Amort Def'!EG21</f>
        <v>-1102803.5848853334</v>
      </c>
      <c r="X121" s="397">
        <f t="shared" si="115"/>
        <v>2743334.8137813332</v>
      </c>
      <c r="Y121" s="435"/>
      <c r="Z121" s="547">
        <v>107530183.33</v>
      </c>
      <c r="AA121" s="548">
        <v>3.0599999999999999E-2</v>
      </c>
      <c r="AB121" s="439">
        <f t="shared" si="116"/>
        <v>3290423.609898</v>
      </c>
      <c r="AD121" s="415">
        <f>'E3 - Invest Amort deferred tax'!AL99</f>
        <v>0</v>
      </c>
      <c r="AE121" s="412"/>
      <c r="AF121" s="416">
        <f>(D120+F120)*'Capital Structure '!$F$21/12</f>
        <v>0</v>
      </c>
      <c r="AG121" s="416">
        <f>(D120+F120)*'Capital Structure '!$E$34/12</f>
        <v>0</v>
      </c>
      <c r="AH121" s="416">
        <f>(D120+F120)*'Capital Structure '!$F$18/12</f>
        <v>0</v>
      </c>
      <c r="AI121" s="415">
        <f t="shared" si="117"/>
        <v>0</v>
      </c>
      <c r="AJ121" s="412"/>
      <c r="AK121" s="415">
        <v>0</v>
      </c>
      <c r="AL121" s="415">
        <v>0</v>
      </c>
      <c r="AM121" s="412">
        <f t="shared" si="118"/>
        <v>0</v>
      </c>
      <c r="AO121" s="372">
        <f>'RGGI - Invest Amort deferred'!AG76+'RGGI CHP'!V31</f>
        <v>50567.887333333332</v>
      </c>
      <c r="AP121" s="412"/>
      <c r="AQ121" s="412">
        <f>(H121+J121)*'Capital Structure '!$F$21/12</f>
        <v>38.092115622883412</v>
      </c>
      <c r="AR121" s="412">
        <f>(H121+J121)*'Capital Structure '!$E$34/12</f>
        <v>55.989399366158814</v>
      </c>
      <c r="AS121" s="412">
        <f>(H121+J121)*'Capital Structure '!$F$18/12</f>
        <v>81.071553794572679</v>
      </c>
      <c r="AT121" s="412">
        <f>'RGGI - On-bill financing'!J76*'Capital Structure '!$E$34/12</f>
        <v>5613.0365712544472</v>
      </c>
      <c r="AU121" s="412">
        <f>'RGGI - On-bill financing'!J76*('Capital Structure '!$F$18+'Capital Structure '!$F$21)/12</f>
        <v>11946.369169470598</v>
      </c>
      <c r="AV121" s="415">
        <f t="shared" si="119"/>
        <v>17734.55880950866</v>
      </c>
      <c r="AW121" s="412"/>
      <c r="AX121" s="415">
        <v>0</v>
      </c>
      <c r="AY121" s="431">
        <f t="shared" si="58"/>
        <v>68302.446142841989</v>
      </c>
      <c r="BA121" s="412">
        <f>'RGGI II Invest Amort Def'!AG64</f>
        <v>231616.14799999999</v>
      </c>
      <c r="BB121" s="412"/>
      <c r="BC121" s="412">
        <f>(L121+N121)*'Capital Structure '!$H$21/12</f>
        <v>2085.9238194945219</v>
      </c>
      <c r="BD121" s="412">
        <f>(L121+N121)*'Capital Structure '!$H$34/12</f>
        <v>4164.19503628844</v>
      </c>
      <c r="BE121" s="412">
        <f>(L121+N121)*'Capital Structure '!$H$18/12</f>
        <v>6029.6728616024784</v>
      </c>
      <c r="BF121" s="412">
        <f>'RGGI II On Bill Fin''g'!L64*'Capital Structure '!$H$34/12</f>
        <v>18348.554572466161</v>
      </c>
      <c r="BG121" s="412">
        <f>'RGGI II On Bill Fin''g'!L64*('Capital Structure '!$H$18+'Capital Structure '!$H$21)/12</f>
        <v>35759.484676768894</v>
      </c>
      <c r="BH121" s="415">
        <f t="shared" si="120"/>
        <v>66387.830966620502</v>
      </c>
      <c r="BI121" s="412"/>
      <c r="BJ121" s="556">
        <v>0</v>
      </c>
      <c r="BK121" s="431">
        <f t="shared" si="106"/>
        <v>298003.97896662052</v>
      </c>
      <c r="BM121" s="412">
        <f>'2013 program Invest Amort Def'!AW46</f>
        <v>425089.54450000002</v>
      </c>
      <c r="BN121" s="412"/>
      <c r="BO121" s="412">
        <f>(S121)*'Capital Structure '!$J$21/12</f>
        <v>10760.88763254884</v>
      </c>
      <c r="BP121" s="412">
        <f>(S121)*'Capital Structure '!$J$34/12</f>
        <v>23018.705885462277</v>
      </c>
      <c r="BQ121" s="412">
        <f>(S121)*'Capital Structure '!$J$18/12</f>
        <v>33330.635327419681</v>
      </c>
      <c r="BR121" s="412">
        <f>('2013 program 10 yr On Bill Fin'!M46+'2013 program 5 yr On Bill Fin'!L44+'2013 program 2 yr On Bill Fin'!M34)*'Capital Structure '!$J$34/12</f>
        <v>96161.858903024156</v>
      </c>
      <c r="BS121" s="412">
        <f>('2013 program 10 yr On Bill Fin'!M46+'2013 program 5 yr On Bill Fin'!L44+'2013 program 2 yr On Bill Fin'!M34)*('Capital Structure '!$J$18+'Capital Structure '!$J$21)/12</f>
        <v>184194.6645825</v>
      </c>
      <c r="BT121" s="431">
        <f t="shared" si="121"/>
        <v>347466.75233095494</v>
      </c>
      <c r="BU121" s="412"/>
      <c r="BV121" s="425">
        <v>0</v>
      </c>
      <c r="BW121" s="431">
        <f t="shared" si="48"/>
        <v>772556.29683095496</v>
      </c>
      <c r="BY121" s="412">
        <f>'2015 Program Invest Amort Def'!BR21</f>
        <v>76244.5285</v>
      </c>
      <c r="CA121" s="412">
        <f>X121*'Capital Structure '!$N$21/12</f>
        <v>4069.2799737756445</v>
      </c>
      <c r="CB121" s="412">
        <f>(X121)*'Capital Structure '!$N$34/12</f>
        <v>8083.6004927020767</v>
      </c>
      <c r="CC121" s="412">
        <f>(X121)*'Capital Structure '!$N$18/12</f>
        <v>11704.895205467023</v>
      </c>
      <c r="CD121" s="412">
        <f>('2015 Program 10-Year OBRP'!P21+'2015 Program 7-Year OBRP'!M21+'2015 Program 5-Year OBRP'!K21+'2015 Program 3-Year OBRP'!K21)*('Capital Structure '!$N$34/12)</f>
        <v>33217.538025133843</v>
      </c>
      <c r="CE121" s="412">
        <f>('2015 Program 10-Year OBRP'!P21+'2015 Program 7-Year OBRP'!M21+'2015 Program 5-Year OBRP'!K21+'2015 Program 3-Year OBRP'!K21)*(('Capital Structure '!$N$21/12)+('Capital Structure '!$N$18/12))</f>
        <v>64820.034625</v>
      </c>
      <c r="CF121" s="431">
        <f t="shared" si="122"/>
        <v>121895.34832207859</v>
      </c>
      <c r="CG121" s="412">
        <v>-5105.41</v>
      </c>
      <c r="CI121" s="393">
        <v>382613.43</v>
      </c>
      <c r="CJ121" s="431">
        <f t="shared" si="123"/>
        <v>575647.89682207862</v>
      </c>
      <c r="CK121" s="431"/>
      <c r="CL121" s="431"/>
      <c r="CM121" s="431"/>
      <c r="CN121" s="431"/>
      <c r="CO121" s="431"/>
      <c r="CP121" s="431"/>
      <c r="CQ121" s="431"/>
      <c r="CR121" s="431"/>
      <c r="CS121" s="431"/>
      <c r="CT121" s="431"/>
      <c r="CU121" s="431"/>
      <c r="CV121" s="431"/>
      <c r="CW121" s="431"/>
      <c r="CY121" s="412">
        <f t="shared" si="110"/>
        <v>-1575912.9911355039</v>
      </c>
      <c r="CZ121" s="412">
        <f t="shared" si="124"/>
        <v>-166080.79524921719</v>
      </c>
      <c r="DA121" s="412">
        <f t="shared" si="125"/>
        <v>367839.47673841333</v>
      </c>
      <c r="DB121" s="417">
        <v>4.3E-3</v>
      </c>
      <c r="DC121" s="418">
        <f t="shared" ref="DC121:DC130" si="126">(DA121)*DB121/12</f>
        <v>131.80914583126477</v>
      </c>
      <c r="DE121" s="420">
        <f t="shared" si="111"/>
        <v>6.8999999999999992E-2</v>
      </c>
      <c r="DF121" s="420">
        <f t="shared" si="112"/>
        <v>0.10502258664412509</v>
      </c>
      <c r="DG121" s="420">
        <f t="shared" si="113"/>
        <v>6.9000000000000006E-2</v>
      </c>
      <c r="DH121" s="420">
        <f t="shared" si="114"/>
        <v>0.10435959425190194</v>
      </c>
      <c r="DI121" s="393"/>
      <c r="DJ121" s="393"/>
    </row>
    <row r="122" spans="1:173" s="351" customFormat="1" hidden="1" outlineLevel="1">
      <c r="A122" s="430" t="s">
        <v>53</v>
      </c>
      <c r="B122" s="411">
        <v>2017</v>
      </c>
      <c r="C122" s="411" t="s">
        <v>47</v>
      </c>
      <c r="E122" s="412"/>
      <c r="F122" s="413"/>
      <c r="G122" s="435"/>
      <c r="H122" s="412">
        <f>'RGGI - Invest Amort deferred'!AI77</f>
        <v>6644.4373333211988</v>
      </c>
      <c r="I122" s="412">
        <f>'RGGI - Invest Amort deferred'!AI77</f>
        <v>6644.4373333211988</v>
      </c>
      <c r="J122" s="413">
        <f>'RGGI - Invest Amort deferred'!BL77</f>
        <v>-2714.2526506663144</v>
      </c>
      <c r="K122" s="435"/>
      <c r="L122" s="414">
        <f>'RGGI II Invest Amort Def'!AI65</f>
        <v>2086091.5079999994</v>
      </c>
      <c r="M122" s="414">
        <f>'RGGI II Invest Amort Def'!AI65</f>
        <v>2086091.5079999994</v>
      </c>
      <c r="N122" s="413">
        <f>'RGGI II Invest Amort Def'!BK65</f>
        <v>-852168.38101800578</v>
      </c>
      <c r="O122" s="435"/>
      <c r="P122" s="425">
        <f>'2013 program Invest Amort Def'!AY47</f>
        <v>12530198.338666661</v>
      </c>
      <c r="Q122" s="425">
        <f>'2013 program Invest Amort Def'!AY47</f>
        <v>12530198.338666661</v>
      </c>
      <c r="R122" s="425">
        <f>'2013 program Invest Amort Def'!CQ47</f>
        <v>-5116373.3130120011</v>
      </c>
      <c r="S122" s="373">
        <f t="shared" ref="S122:S130" si="127">+P122+R122</f>
        <v>7413825.0256546596</v>
      </c>
      <c r="T122" s="435"/>
      <c r="U122" s="414">
        <f>'2015 Program Invest Amort Def'!BT22</f>
        <v>3921130.5368333333</v>
      </c>
      <c r="V122" s="414">
        <f>'2015 Program Invest Amort Def'!BT22</f>
        <v>3921130.5368333333</v>
      </c>
      <c r="W122" s="414">
        <f>'2015 Program Invest Amort Def'!EG22</f>
        <v>-1173177.4923710001</v>
      </c>
      <c r="X122" s="397">
        <f t="shared" si="115"/>
        <v>2747953.0444623334</v>
      </c>
      <c r="Y122" s="435"/>
      <c r="Z122" s="547">
        <v>111963805.23999995</v>
      </c>
      <c r="AA122" s="548">
        <v>3.0599999999999999E-2</v>
      </c>
      <c r="AB122" s="439">
        <f t="shared" si="116"/>
        <v>3426092.4403439984</v>
      </c>
      <c r="AD122" s="415">
        <f>'E3 - Invest Amort deferred tax'!AL100</f>
        <v>0</v>
      </c>
      <c r="AE122" s="412"/>
      <c r="AF122" s="416">
        <f>(D121+F121)*'Capital Structure '!$F$21/12</f>
        <v>0</v>
      </c>
      <c r="AG122" s="416">
        <f>(D121+F121)*'Capital Structure '!$E$34/12</f>
        <v>0</v>
      </c>
      <c r="AH122" s="416">
        <f>(D121+F121)*'Capital Structure '!$F$18/12</f>
        <v>0</v>
      </c>
      <c r="AI122" s="415">
        <f t="shared" si="117"/>
        <v>0</v>
      </c>
      <c r="AJ122" s="412"/>
      <c r="AK122" s="415">
        <v>0</v>
      </c>
      <c r="AL122" s="415">
        <v>0</v>
      </c>
      <c r="AM122" s="412">
        <f t="shared" si="118"/>
        <v>0</v>
      </c>
      <c r="AO122" s="372">
        <f>'RGGI - Invest Amort deferred'!AG77+'RGGI CHP'!V32</f>
        <v>37018.142333333337</v>
      </c>
      <c r="AP122" s="412"/>
      <c r="AQ122" s="412">
        <f>(H122+J122)*'Capital Structure '!$F$21/12</f>
        <v>8.1219423377995579</v>
      </c>
      <c r="AR122" s="412">
        <f>(H122+J122)*'Capital Structure '!$E$34/12</f>
        <v>11.937973665783778</v>
      </c>
      <c r="AS122" s="412">
        <f>(H122+J122)*'Capital Structure '!$F$18/12</f>
        <v>17.285952076648972</v>
      </c>
      <c r="AT122" s="412">
        <f>'RGGI - On-bill financing'!J77*'Capital Structure '!$E$34/12</f>
        <v>5508.6462665339568</v>
      </c>
      <c r="AU122" s="412">
        <f>'RGGI - On-bill financing'!J77*('Capital Structure '!$F$18+'Capital Structure '!$F$21)/12</f>
        <v>11724.192616356531</v>
      </c>
      <c r="AV122" s="415">
        <f t="shared" si="119"/>
        <v>17270.184750970722</v>
      </c>
      <c r="AW122" s="412"/>
      <c r="AX122" s="415">
        <v>0</v>
      </c>
      <c r="AY122" s="431">
        <f t="shared" si="58"/>
        <v>54288.327084304059</v>
      </c>
      <c r="BA122" s="412">
        <f>'RGGI II Invest Amort Def'!AG65</f>
        <v>231616.14799999999</v>
      </c>
      <c r="BB122" s="412"/>
      <c r="BC122" s="412">
        <f>(L122+N122)*'Capital Structure '!$H$21/12</f>
        <v>1877.47059251309</v>
      </c>
      <c r="BD122" s="412">
        <f>(L122+N122)*'Capital Structure '!$H$34/12</f>
        <v>3748.0533320795407</v>
      </c>
      <c r="BE122" s="412">
        <f>(L122+N122)*'Capital Structure '!$H$18/12</f>
        <v>5427.1078235619307</v>
      </c>
      <c r="BF122" s="412">
        <f>'RGGI II On Bill Fin''g'!L65*'Capital Structure '!$H$34/12</f>
        <v>18079.708152502102</v>
      </c>
      <c r="BG122" s="412">
        <f>'RGGI II On Bill Fin''g'!L65*('Capital Structure '!$H$18+'Capital Structure '!$H$21)/12</f>
        <v>35235.530084207399</v>
      </c>
      <c r="BH122" s="415">
        <f t="shared" si="120"/>
        <v>64367.869984864061</v>
      </c>
      <c r="BI122" s="412"/>
      <c r="BJ122" s="556">
        <v>0</v>
      </c>
      <c r="BK122" s="431">
        <f t="shared" si="106"/>
        <v>295984.01798486407</v>
      </c>
      <c r="BM122" s="412">
        <f>'2013 program Invest Amort Def'!AW47</f>
        <v>425089.54450000002</v>
      </c>
      <c r="BN122" s="412"/>
      <c r="BO122" s="412">
        <f>(S122)*'Capital Structure '!$J$21/12</f>
        <v>10404.067786002039</v>
      </c>
      <c r="BP122" s="412">
        <f>(S122)*'Capital Structure '!$J$34/12</f>
        <v>22255.429529252327</v>
      </c>
      <c r="BQ122" s="412">
        <f>(S122)*'Capital Structure '!$J$18/12</f>
        <v>32225.426111512254</v>
      </c>
      <c r="BR122" s="412">
        <f>('2013 program 10 yr On Bill Fin'!M47+'2013 program 5 yr On Bill Fin'!L45+'2013 program 2 yr On Bill Fin'!M35)*'Capital Structure '!$J$34/12</f>
        <v>94567.824261962014</v>
      </c>
      <c r="BS122" s="412">
        <f>('2013 program 10 yr On Bill Fin'!M47+'2013 program 5 yr On Bill Fin'!L45+'2013 program 2 yr On Bill Fin'!M35)*('Capital Structure '!$J$18+'Capital Structure '!$J$21)/12</f>
        <v>181141.34719250005</v>
      </c>
      <c r="BT122" s="431">
        <f t="shared" si="121"/>
        <v>340594.09488122864</v>
      </c>
      <c r="BU122" s="412"/>
      <c r="BV122" s="425">
        <v>0</v>
      </c>
      <c r="BW122" s="431">
        <f t="shared" si="48"/>
        <v>765683.63938122871</v>
      </c>
      <c r="BY122" s="412">
        <f>'2015 Program Invest Amort Def'!BR22</f>
        <v>78807.861833333329</v>
      </c>
      <c r="CA122" s="412">
        <f>X122*'Capital Structure '!$N$21/12</f>
        <v>4076.1303492857946</v>
      </c>
      <c r="CB122" s="412">
        <f>(X122)*'Capital Structure '!$N$34/12</f>
        <v>8097.2087229555646</v>
      </c>
      <c r="CC122" s="412">
        <f>(X122)*'Capital Structure '!$N$18/12</f>
        <v>11724.599656372622</v>
      </c>
      <c r="CD122" s="412">
        <f>('2015 Program 10-Year OBRP'!P22+'2015 Program 7-Year OBRP'!M22+'2015 Program 5-Year OBRP'!K22+'2015 Program 3-Year OBRP'!K22)*('Capital Structure '!$N$34/12)</f>
        <v>36080.915624538749</v>
      </c>
      <c r="CE122" s="412">
        <f>('2015 Program 10-Year OBRP'!P22+'2015 Program 7-Year OBRP'!M22+'2015 Program 5-Year OBRP'!K22+'2015 Program 3-Year OBRP'!K22)*(('Capital Structure '!$N$21/12)+('Capital Structure '!$N$18/12))</f>
        <v>70407.57199750001</v>
      </c>
      <c r="CF122" s="431">
        <f t="shared" si="122"/>
        <v>130386.42635065273</v>
      </c>
      <c r="CG122" s="412">
        <v>-5713.79</v>
      </c>
      <c r="CI122" s="393">
        <v>280919.58000000007</v>
      </c>
      <c r="CJ122" s="431">
        <f t="shared" si="123"/>
        <v>484400.07818398613</v>
      </c>
      <c r="CK122" s="431"/>
      <c r="CL122" s="431"/>
      <c r="CM122" s="431"/>
      <c r="CN122" s="431"/>
      <c r="CO122" s="431"/>
      <c r="CP122" s="431"/>
      <c r="CQ122" s="431"/>
      <c r="CR122" s="431"/>
      <c r="CS122" s="431"/>
      <c r="CT122" s="431"/>
      <c r="CU122" s="431"/>
      <c r="CV122" s="431"/>
      <c r="CW122" s="431"/>
      <c r="CY122" s="412">
        <f t="shared" si="110"/>
        <v>-1825736.3777096155</v>
      </c>
      <c r="CZ122" s="412">
        <f t="shared" si="124"/>
        <v>-1991817.1729588327</v>
      </c>
      <c r="DA122" s="412">
        <f t="shared" si="125"/>
        <v>-638198.3240975308</v>
      </c>
      <c r="DB122" s="417">
        <v>4.3E-3</v>
      </c>
      <c r="DC122" s="418">
        <f t="shared" si="126"/>
        <v>-228.6877328016152</v>
      </c>
      <c r="DE122" s="420">
        <f t="shared" si="111"/>
        <v>6.9000000000000006E-2</v>
      </c>
      <c r="DF122" s="420">
        <f t="shared" si="112"/>
        <v>0.10502258664412509</v>
      </c>
      <c r="DG122" s="420">
        <f t="shared" si="113"/>
        <v>6.9000000000000006E-2</v>
      </c>
      <c r="DH122" s="420">
        <f t="shared" si="114"/>
        <v>0.10435959425190194</v>
      </c>
      <c r="DI122" s="393"/>
      <c r="DJ122" s="393"/>
    </row>
    <row r="123" spans="1:173" s="351" customFormat="1" hidden="1" outlineLevel="1">
      <c r="A123" s="430" t="s">
        <v>54</v>
      </c>
      <c r="B123" s="430">
        <v>2017</v>
      </c>
      <c r="C123" s="411" t="s">
        <v>47</v>
      </c>
      <c r="E123" s="412"/>
      <c r="F123" s="413"/>
      <c r="G123" s="435"/>
      <c r="H123" s="412">
        <f>'RGGI - Invest Amort deferred'!AI78</f>
        <v>757.4099999871105</v>
      </c>
      <c r="I123" s="412">
        <f>'RGGI - Invest Amort deferred'!AI78</f>
        <v>757.4099999871105</v>
      </c>
      <c r="J123" s="413">
        <f>'RGGI - Invest Amort deferred'!BL78</f>
        <v>-309.40198499964754</v>
      </c>
      <c r="K123" s="435"/>
      <c r="L123" s="414">
        <f>'RGGI II Invest Amort Def'!AI66</f>
        <v>1854625.3599999994</v>
      </c>
      <c r="M123" s="414">
        <f>'RGGI II Invest Amort Def'!AI66</f>
        <v>1854625.3599999994</v>
      </c>
      <c r="N123" s="413">
        <f>'RGGI II Invest Amort Def'!BK66</f>
        <v>-757614.45956000581</v>
      </c>
      <c r="O123" s="435"/>
      <c r="P123" s="425">
        <f>'2013 program Invest Amort Def'!AY48</f>
        <v>12105108.79416666</v>
      </c>
      <c r="Q123" s="425">
        <f>'2013 program Invest Amort Def'!AY48</f>
        <v>12105108.79416666</v>
      </c>
      <c r="R123" s="425">
        <f>'2013 program Invest Amort Def'!CQ48</f>
        <v>-4944460.3590837512</v>
      </c>
      <c r="S123" s="373">
        <f t="shared" si="127"/>
        <v>7160648.4350829087</v>
      </c>
      <c r="T123" s="435"/>
      <c r="U123" s="414">
        <f>'2015 Program Invest Amort Def'!BT23</f>
        <v>3979104.3416666668</v>
      </c>
      <c r="V123" s="414">
        <f>'2015 Program Invest Amort Def'!BT23</f>
        <v>3979104.3416666668</v>
      </c>
      <c r="W123" s="414">
        <f>'2015 Program Invest Amort Def'!EG23</f>
        <v>-1233552.6815233335</v>
      </c>
      <c r="X123" s="397">
        <f t="shared" si="115"/>
        <v>2745551.6601433335</v>
      </c>
      <c r="Y123" s="435"/>
      <c r="Z123" s="547">
        <v>88661747.549999982</v>
      </c>
      <c r="AA123" s="548">
        <v>3.0599999999999999E-2</v>
      </c>
      <c r="AB123" s="439">
        <f t="shared" si="116"/>
        <v>2713049.4750299994</v>
      </c>
      <c r="AD123" s="415">
        <f>'E3 - Invest Amort deferred tax'!AL101</f>
        <v>0</v>
      </c>
      <c r="AE123" s="412"/>
      <c r="AF123" s="416">
        <f>(D122+F122)*'Capital Structure '!$F$21/12</f>
        <v>0</v>
      </c>
      <c r="AG123" s="416">
        <f>(D122+F122)*'Capital Structure '!$E$34/12</f>
        <v>0</v>
      </c>
      <c r="AH123" s="416">
        <f>(D122+F122)*'Capital Structure '!$F$18/12</f>
        <v>0</v>
      </c>
      <c r="AI123" s="415">
        <f t="shared" si="117"/>
        <v>0</v>
      </c>
      <c r="AJ123" s="412"/>
      <c r="AK123" s="415">
        <v>0</v>
      </c>
      <c r="AL123" s="415">
        <v>0</v>
      </c>
      <c r="AM123" s="412">
        <f t="shared" si="118"/>
        <v>0</v>
      </c>
      <c r="AO123" s="372">
        <f>'RGGI - Invest Amort deferred'!AG78+'RGGI CHP'!V33</f>
        <v>18387.027333333335</v>
      </c>
      <c r="AP123" s="412"/>
      <c r="AQ123" s="412">
        <f>(H123+J123)*'Capital Structure '!$F$21/12</f>
        <v>0.92583314994302868</v>
      </c>
      <c r="AR123" s="412">
        <f>(H123+J123)*'Capital Structure '!$E$34/12</f>
        <v>1.360828642120592</v>
      </c>
      <c r="AS123" s="412">
        <f>(H123+J123)*'Capital Structure '!$F$18/12</f>
        <v>1.9704532235356922</v>
      </c>
      <c r="AT123" s="412">
        <f>'RGGI - On-bill financing'!J78*'Capital Structure '!$E$34/12</f>
        <v>5423.6914973030243</v>
      </c>
      <c r="AU123" s="412">
        <f>'RGGI - On-bill financing'!J78*('Capital Structure '!$F$18+'Capital Structure '!$F$21)/12</f>
        <v>11543.381210078254</v>
      </c>
      <c r="AV123" s="415">
        <f t="shared" si="119"/>
        <v>16971.329822396878</v>
      </c>
      <c r="AW123" s="412"/>
      <c r="AX123" s="415">
        <v>0</v>
      </c>
      <c r="AY123" s="431">
        <f t="shared" si="58"/>
        <v>35358.357155730213</v>
      </c>
      <c r="BA123" s="412">
        <f>'RGGI II Invest Amort Def'!AG66</f>
        <v>231466.14799999999</v>
      </c>
      <c r="BB123" s="412"/>
      <c r="BC123" s="412">
        <f>(L123+N123)*'Capital Structure '!$H$21/12</f>
        <v>1669.1523646857202</v>
      </c>
      <c r="BD123" s="412">
        <f>(L123+N123)*'Capital Structure '!$H$34/12</f>
        <v>3332.1811309090531</v>
      </c>
      <c r="BE123" s="412">
        <f>(L123+N123)*'Capital Structure '!$H$18/12</f>
        <v>4824.9330206430968</v>
      </c>
      <c r="BF123" s="412">
        <f>'RGGI II On Bill Fin''g'!L66*'Capital Structure '!$H$34/12</f>
        <v>17828.669952639622</v>
      </c>
      <c r="BG123" s="412">
        <f>'RGGI II On Bill Fin''g'!L66*('Capital Structure '!$H$18+'Capital Structure '!$H$21)/12</f>
        <v>34746.281918864879</v>
      </c>
      <c r="BH123" s="415">
        <f t="shared" si="120"/>
        <v>62401.218387742367</v>
      </c>
      <c r="BI123" s="412"/>
      <c r="BJ123" s="556">
        <v>0</v>
      </c>
      <c r="BK123" s="431">
        <f t="shared" si="106"/>
        <v>293867.36638774234</v>
      </c>
      <c r="BM123" s="412">
        <f>'2013 program Invest Amort Def'!AW48</f>
        <v>425089.54450000002</v>
      </c>
      <c r="BN123" s="412"/>
      <c r="BO123" s="412">
        <f>(S123)*'Capital Structure '!$J$21/12</f>
        <v>10048.776637233015</v>
      </c>
      <c r="BP123" s="412">
        <f>(S123)*'Capital Structure '!$J$34/12</f>
        <v>21495.423223407739</v>
      </c>
      <c r="BQ123" s="412">
        <f>(S123)*'Capital Structure '!$J$18/12</f>
        <v>31124.951864493709</v>
      </c>
      <c r="BR123" s="412">
        <f>('2013 program 10 yr On Bill Fin'!M48+'2013 program 5 yr On Bill Fin'!L46+'2013 program 2 yr On Bill Fin'!M36)*'Capital Structure '!$J$34/12</f>
        <v>93425.613420471564</v>
      </c>
      <c r="BS123" s="412">
        <f>('2013 program 10 yr On Bill Fin'!M48+'2013 program 5 yr On Bill Fin'!L46+'2013 program 2 yr On Bill Fin'!M36)*('Capital Structure '!$J$18+'Capital Structure '!$J$21)/12</f>
        <v>178953.48242750007</v>
      </c>
      <c r="BT123" s="431">
        <f t="shared" si="121"/>
        <v>335048.24757310608</v>
      </c>
      <c r="BU123" s="412"/>
      <c r="BV123" s="425">
        <v>0</v>
      </c>
      <c r="BW123" s="431">
        <f t="shared" si="48"/>
        <v>760137.79207310616</v>
      </c>
      <c r="BY123" s="412">
        <f>'2015 Program Invest Amort Def'!BR23</f>
        <v>81126.195166666657</v>
      </c>
      <c r="CA123" s="412">
        <f>X123*'Capital Structure '!$N$21/12</f>
        <v>4072.5682958792781</v>
      </c>
      <c r="CB123" s="412">
        <f>(X123)*'Capital Structure '!$N$34/12</f>
        <v>8090.132725025338</v>
      </c>
      <c r="CC123" s="412">
        <f>(X123)*'Capital Structure '!$N$18/12</f>
        <v>11714.353749944888</v>
      </c>
      <c r="CD123" s="412">
        <f>('2015 Program 10-Year OBRP'!P23+'2015 Program 7-Year OBRP'!M23+'2015 Program 5-Year OBRP'!K23+'2015 Program 3-Year OBRP'!K23)*('Capital Structure '!$N$34/12)</f>
        <v>38014.036163624689</v>
      </c>
      <c r="CE123" s="412">
        <f>('2015 Program 10-Year OBRP'!P23+'2015 Program 7-Year OBRP'!M23+'2015 Program 5-Year OBRP'!K23+'2015 Program 3-Year OBRP'!K23)*(('Capital Structure '!$N$21/12)+('Capital Structure '!$N$18/12))</f>
        <v>74179.82448000001</v>
      </c>
      <c r="CF123" s="431">
        <f t="shared" si="122"/>
        <v>136070.91541447421</v>
      </c>
      <c r="CG123" s="412">
        <v>-7099.65</v>
      </c>
      <c r="CI123" s="393">
        <v>248186.76999999996</v>
      </c>
      <c r="CJ123" s="431">
        <f t="shared" si="123"/>
        <v>458284.23058114084</v>
      </c>
      <c r="CK123" s="431"/>
      <c r="CL123" s="431"/>
      <c r="CM123" s="431"/>
      <c r="CN123" s="431"/>
      <c r="CO123" s="431"/>
      <c r="CP123" s="431"/>
      <c r="CQ123" s="431"/>
      <c r="CR123" s="431"/>
      <c r="CS123" s="431"/>
      <c r="CT123" s="431"/>
      <c r="CU123" s="431"/>
      <c r="CV123" s="431"/>
      <c r="CW123" s="431"/>
      <c r="CY123" s="412">
        <f t="shared" si="110"/>
        <v>-1165401.7288322798</v>
      </c>
      <c r="CZ123" s="412">
        <f t="shared" si="124"/>
        <v>-3157218.9017911125</v>
      </c>
      <c r="DA123" s="412">
        <f t="shared" si="125"/>
        <v>-1522827.4191072963</v>
      </c>
      <c r="DB123" s="417">
        <v>4.3E-3</v>
      </c>
      <c r="DC123" s="418">
        <f t="shared" si="126"/>
        <v>-545.67982518011456</v>
      </c>
      <c r="DE123" s="420">
        <f t="shared" si="111"/>
        <v>6.9000000000000006E-2</v>
      </c>
      <c r="DF123" s="420">
        <f t="shared" si="112"/>
        <v>0.10502258664412509</v>
      </c>
      <c r="DG123" s="420">
        <f t="shared" si="113"/>
        <v>6.9000000000000006E-2</v>
      </c>
      <c r="DH123" s="420">
        <f t="shared" si="114"/>
        <v>0.10435959425190194</v>
      </c>
      <c r="DI123" s="393"/>
      <c r="DJ123" s="393"/>
    </row>
    <row r="124" spans="1:173" s="351" customFormat="1" hidden="1" outlineLevel="1">
      <c r="A124" s="430" t="s">
        <v>55</v>
      </c>
      <c r="B124" s="430">
        <v>2017</v>
      </c>
      <c r="C124" s="411" t="s">
        <v>47</v>
      </c>
      <c r="E124" s="412"/>
      <c r="F124" s="413"/>
      <c r="G124" s="435"/>
      <c r="H124" s="412">
        <f>'RGGI - Invest Amort deferred'!AI79</f>
        <v>916.66666665300727</v>
      </c>
      <c r="I124" s="412">
        <f>'RGGI - Invest Amort deferred'!AI79</f>
        <v>916.66666665300727</v>
      </c>
      <c r="J124" s="413">
        <f>'RGGI - Invest Amort deferred'!BL79</f>
        <v>-374.45833333298094</v>
      </c>
      <c r="K124" s="435"/>
      <c r="L124" s="414">
        <f>'RGGI II Invest Amort Def'!AI67</f>
        <v>1640522.5453333333</v>
      </c>
      <c r="M124" s="414">
        <f>'RGGI II Invest Amort Def'!AI67</f>
        <v>1640522.5453333333</v>
      </c>
      <c r="N124" s="413">
        <f>'RGGI II Invest Amort Def'!BK67</f>
        <v>-670153.45976867247</v>
      </c>
      <c r="O124" s="435"/>
      <c r="P124" s="425">
        <f>'2013 program Invest Amort Def'!AY49</f>
        <v>11680019.249666659</v>
      </c>
      <c r="Q124" s="425">
        <f>'2013 program Invest Amort Def'!AY49</f>
        <v>11680019.249666659</v>
      </c>
      <c r="R124" s="425">
        <f>'2013 program Invest Amort Def'!CQ49</f>
        <v>-4771287.8634888344</v>
      </c>
      <c r="S124" s="373">
        <f t="shared" si="127"/>
        <v>6908731.3861778248</v>
      </c>
      <c r="T124" s="435"/>
      <c r="U124" s="414">
        <f>'2015 Program Invest Amort Def'!BT24</f>
        <v>4019321.4798333333</v>
      </c>
      <c r="V124" s="414">
        <f>'2015 Program Invest Amort Def'!BT24</f>
        <v>4019321.4798333333</v>
      </c>
      <c r="W124" s="414">
        <f>'2015 Program Invest Amort Def'!EG24</f>
        <v>-1283215.6390090003</v>
      </c>
      <c r="X124" s="397">
        <f t="shared" si="115"/>
        <v>2736105.840824333</v>
      </c>
      <c r="Y124" s="435"/>
      <c r="Z124" s="547">
        <v>99819071.390000015</v>
      </c>
      <c r="AA124" s="548">
        <v>3.0599999999999999E-2</v>
      </c>
      <c r="AB124" s="439">
        <f t="shared" si="116"/>
        <v>3054463.5845340001</v>
      </c>
      <c r="AD124" s="415">
        <f>'E3 - Invest Amort deferred tax'!AL102</f>
        <v>0</v>
      </c>
      <c r="AE124" s="412"/>
      <c r="AF124" s="416">
        <f>(D123+F123)*'Capital Structure '!$F$21/12</f>
        <v>0</v>
      </c>
      <c r="AG124" s="416">
        <f>(D123+F123)*'Capital Structure '!$E$34/12</f>
        <v>0</v>
      </c>
      <c r="AH124" s="416">
        <f>(D123+F123)*'Capital Structure '!$F$18/12</f>
        <v>0</v>
      </c>
      <c r="AI124" s="415">
        <f t="shared" si="117"/>
        <v>0</v>
      </c>
      <c r="AJ124" s="412"/>
      <c r="AK124" s="415">
        <v>0</v>
      </c>
      <c r="AL124" s="415">
        <v>0</v>
      </c>
      <c r="AM124" s="412">
        <f t="shared" si="118"/>
        <v>0</v>
      </c>
      <c r="AO124" s="372">
        <f>'RGGI - Invest Amort deferred'!AG79+'RGGI CHP'!V34</f>
        <v>12340.743333333334</v>
      </c>
      <c r="AP124" s="412"/>
      <c r="AQ124" s="412">
        <f>(H124+J124)*'Capital Structure '!$F$21/12</f>
        <v>1.1205032775520487</v>
      </c>
      <c r="AR124" s="412">
        <f>(H124+J124)*'Capital Structure '!$E$34/12</f>
        <v>1.6469630124787138</v>
      </c>
      <c r="AS124" s="412">
        <f>(H124+J124)*'Capital Structure '!$F$18/12</f>
        <v>2.3847701882035723</v>
      </c>
      <c r="AT124" s="412">
        <f>'RGGI - On-bill financing'!J79*'Capital Structure '!$E$34/12</f>
        <v>5307.7493917345919</v>
      </c>
      <c r="AU124" s="412">
        <f>'RGGI - On-bill financing'!J79*('Capital Structure '!$F$18+'Capital Structure '!$F$21)/12</f>
        <v>11296.618664026168</v>
      </c>
      <c r="AV124" s="415">
        <f t="shared" si="119"/>
        <v>16609.520292238994</v>
      </c>
      <c r="AW124" s="412"/>
      <c r="AX124" s="415">
        <v>0</v>
      </c>
      <c r="AY124" s="431">
        <f t="shared" si="58"/>
        <v>28950.263625572326</v>
      </c>
      <c r="BA124" s="412">
        <f>'RGGI II Invest Amort Def'!AG67</f>
        <v>214102.81466666664</v>
      </c>
      <c r="BB124" s="412"/>
      <c r="BC124" s="412">
        <f>(L124+N124)*'Capital Structure '!$H$21/12</f>
        <v>1476.4610389363863</v>
      </c>
      <c r="BD124" s="412">
        <f>(L124+N124)*'Capital Structure '!$H$34/12</f>
        <v>2947.5054036738852</v>
      </c>
      <c r="BE124" s="412">
        <f>(L124+N124)*'Capital Structure '!$H$18/12</f>
        <v>4267.9301010357485</v>
      </c>
      <c r="BF124" s="412">
        <f>'RGGI II On Bill Fin''g'!L67*'Capital Structure '!$H$34/12</f>
        <v>17392.384309638324</v>
      </c>
      <c r="BG124" s="412">
        <f>'RGGI II On Bill Fin''g'!L67*('Capital Structure '!$H$18+'Capital Structure '!$H$21)/12</f>
        <v>33896.005146164178</v>
      </c>
      <c r="BH124" s="415">
        <f t="shared" si="120"/>
        <v>59980.285999448519</v>
      </c>
      <c r="BI124" s="412"/>
      <c r="BJ124" s="556">
        <v>0</v>
      </c>
      <c r="BK124" s="431">
        <f t="shared" si="106"/>
        <v>274083.10066611518</v>
      </c>
      <c r="BM124" s="412">
        <f>'2013 program Invest Amort Def'!AW49</f>
        <v>425089.54450000002</v>
      </c>
      <c r="BN124" s="412"/>
      <c r="BO124" s="412">
        <f>(S124)*'Capital Structure '!$J$21/12</f>
        <v>9695.2530452695482</v>
      </c>
      <c r="BP124" s="412">
        <f>(S124)*'Capital Structure '!$J$34/12</f>
        <v>20739.197913298096</v>
      </c>
      <c r="BQ124" s="412">
        <f>(S124)*'Capital Structure '!$J$18/12</f>
        <v>30029.952425252941</v>
      </c>
      <c r="BR124" s="412">
        <f>('2013 program 10 yr On Bill Fin'!M49+'2013 program 5 yr On Bill Fin'!L47+'2013 program 2 yr On Bill Fin'!M37)*'Capital Structure '!$J$34/12</f>
        <v>91888.322638568832</v>
      </c>
      <c r="BS124" s="412">
        <f>('2013 program 10 yr On Bill Fin'!M49+'2013 program 5 yr On Bill Fin'!L47+'2013 program 2 yr On Bill Fin'!M37)*('Capital Structure '!$J$18+'Capital Structure '!$J$21)/12</f>
        <v>176008.85590750005</v>
      </c>
      <c r="BT124" s="431">
        <f t="shared" si="121"/>
        <v>328361.58192988951</v>
      </c>
      <c r="BU124" s="412"/>
      <c r="BV124" s="425">
        <v>0</v>
      </c>
      <c r="BW124" s="431">
        <f t="shared" si="48"/>
        <v>753451.12642988958</v>
      </c>
      <c r="BY124" s="412">
        <f>'2015 Program Invest Amort Def'!BR24</f>
        <v>83182.861833333329</v>
      </c>
      <c r="CA124" s="412">
        <f>X124*'Capital Structure '!$N$21/12</f>
        <v>4058.5569972227604</v>
      </c>
      <c r="CB124" s="412">
        <f>(X124)*'Capital Structure '!$N$34/12</f>
        <v>8062.2993634839522</v>
      </c>
      <c r="CC124" s="412">
        <f>(X124)*'Capital Structure '!$N$18/12</f>
        <v>11674.051587517155</v>
      </c>
      <c r="CD124" s="412">
        <f>('2015 Program 10-Year OBRP'!P24+'2015 Program 7-Year OBRP'!M24+'2015 Program 5-Year OBRP'!K24+'2015 Program 3-Year OBRP'!K24)*('Capital Structure '!$N$34/12)</f>
        <v>40064.26025335813</v>
      </c>
      <c r="CE124" s="412">
        <f>('2015 Program 10-Year OBRP'!P24+'2015 Program 7-Year OBRP'!M24+'2015 Program 5-Year OBRP'!K24+'2015 Program 3-Year OBRP'!K24)*(('Capital Structure '!$N$21/12)+('Capital Structure '!$N$18/12))</f>
        <v>78180.5904725</v>
      </c>
      <c r="CF124" s="431">
        <f t="shared" si="122"/>
        <v>142039.758674082</v>
      </c>
      <c r="CG124" s="412">
        <v>-7381.76</v>
      </c>
      <c r="CI124" s="393">
        <v>263719.7</v>
      </c>
      <c r="CJ124" s="431">
        <f t="shared" si="123"/>
        <v>481560.56050741533</v>
      </c>
      <c r="CK124" s="431"/>
      <c r="CL124" s="431"/>
      <c r="CM124" s="431"/>
      <c r="CN124" s="431"/>
      <c r="CO124" s="431"/>
      <c r="CP124" s="431"/>
      <c r="CQ124" s="431"/>
      <c r="CR124" s="431"/>
      <c r="CS124" s="431"/>
      <c r="CT124" s="431"/>
      <c r="CU124" s="431"/>
      <c r="CV124" s="431"/>
      <c r="CW124" s="431"/>
      <c r="CY124" s="412">
        <f t="shared" si="110"/>
        <v>-1516418.5333050077</v>
      </c>
      <c r="CZ124" s="412">
        <f t="shared" si="124"/>
        <v>-4673637.4350961205</v>
      </c>
      <c r="DA124" s="412">
        <f t="shared" si="125"/>
        <v>-2315975.7616343992</v>
      </c>
      <c r="DB124" s="417">
        <v>4.3E-3</v>
      </c>
      <c r="DC124" s="418">
        <f t="shared" si="126"/>
        <v>-829.89131458565964</v>
      </c>
      <c r="DE124" s="420">
        <f t="shared" si="111"/>
        <v>6.8999999999999992E-2</v>
      </c>
      <c r="DF124" s="420">
        <f t="shared" si="112"/>
        <v>0.10502258664412507</v>
      </c>
      <c r="DG124" s="420">
        <f t="shared" si="113"/>
        <v>6.9000000000000006E-2</v>
      </c>
      <c r="DH124" s="420">
        <f t="shared" si="114"/>
        <v>0.10435959425190194</v>
      </c>
      <c r="DI124" s="393"/>
    </row>
    <row r="125" spans="1:173" s="351" customFormat="1" hidden="1" outlineLevel="1">
      <c r="A125" s="430" t="s">
        <v>56</v>
      </c>
      <c r="B125" s="430">
        <v>2017</v>
      </c>
      <c r="C125" s="411" t="s">
        <v>47</v>
      </c>
      <c r="E125" s="412"/>
      <c r="F125" s="413"/>
      <c r="G125" s="435"/>
      <c r="H125" s="412">
        <f>'RGGI - Invest Amort deferred'!AI80</f>
        <v>499.99999998696148</v>
      </c>
      <c r="I125" s="412">
        <f>'RGGI - Invest Amort deferred'!AI80</f>
        <v>499.99999998696148</v>
      </c>
      <c r="J125" s="413">
        <f>'RGGI - Invest Amort deferred'!BL80</f>
        <v>-204.2499999996476</v>
      </c>
      <c r="K125" s="435"/>
      <c r="L125" s="414">
        <f>'RGGI II Invest Amort Def'!AI68</f>
        <v>1438613.8973333333</v>
      </c>
      <c r="M125" s="414">
        <f>'RGGI II Invest Amort Def'!AI68</f>
        <v>1438613.8973333333</v>
      </c>
      <c r="N125" s="413">
        <f>'RGGI II Invest Amort Def'!BK68</f>
        <v>-587673.77706067241</v>
      </c>
      <c r="O125" s="435"/>
      <c r="P125" s="425">
        <f>'2013 program Invest Amort Def'!AY50</f>
        <v>11254929.705166658</v>
      </c>
      <c r="Q125" s="425">
        <f>'2013 program Invest Amort Def'!AY50</f>
        <v>11254929.705166658</v>
      </c>
      <c r="R125" s="425">
        <f>'2013 program Invest Amort Def'!CQ50</f>
        <v>-4597638.7845605845</v>
      </c>
      <c r="S125" s="373">
        <f t="shared" si="127"/>
        <v>6657290.9206060739</v>
      </c>
      <c r="T125" s="435"/>
      <c r="U125" s="414">
        <f>'2015 Program Invest Amort Def'!BT25</f>
        <v>4052270.2846666668</v>
      </c>
      <c r="V125" s="414">
        <f>'2015 Program Invest Amort Def'!BT25</f>
        <v>4052270.2846666668</v>
      </c>
      <c r="W125" s="414">
        <f>'2015 Program Invest Amort Def'!EG25</f>
        <v>-1324238.1406613337</v>
      </c>
      <c r="X125" s="397">
        <f t="shared" si="115"/>
        <v>2728032.1440053331</v>
      </c>
      <c r="Y125" s="435"/>
      <c r="Z125" s="547">
        <v>39998489.070000008</v>
      </c>
      <c r="AA125" s="548">
        <v>3.0599999999999999E-2</v>
      </c>
      <c r="AB125" s="439">
        <f t="shared" si="116"/>
        <v>1223953.7655420003</v>
      </c>
      <c r="AD125" s="415">
        <f>'E3 - Invest Amort deferred tax'!AL103</f>
        <v>0</v>
      </c>
      <c r="AE125" s="412"/>
      <c r="AF125" s="416">
        <f>(D124+F124)*'Capital Structure '!$F$21/12</f>
        <v>0</v>
      </c>
      <c r="AG125" s="416">
        <f>(D124+F124)*'Capital Structure '!$E$34/12</f>
        <v>0</v>
      </c>
      <c r="AH125" s="416">
        <f>(D124+F124)*'Capital Structure '!$F$18/12</f>
        <v>0</v>
      </c>
      <c r="AI125" s="415">
        <f t="shared" si="117"/>
        <v>0</v>
      </c>
      <c r="AJ125" s="412"/>
      <c r="AK125" s="415">
        <v>0</v>
      </c>
      <c r="AL125" s="415">
        <v>0</v>
      </c>
      <c r="AM125" s="412">
        <f t="shared" si="118"/>
        <v>0</v>
      </c>
      <c r="AO125" s="372">
        <f>'RGGI - Invest Amort deferred'!AG80+'RGGI CHP'!V35</f>
        <v>12916.666666666666</v>
      </c>
      <c r="AP125" s="412"/>
      <c r="AQ125" s="412">
        <f>(H125+J125)*'Capital Structure '!$F$21/12</f>
        <v>0.61118360592626442</v>
      </c>
      <c r="AR125" s="412">
        <f>(H125+J125)*'Capital Structure '!$E$34/12</f>
        <v>0.89834346133553911</v>
      </c>
      <c r="AS125" s="412">
        <f>(H125+J125)*'Capital Structure '!$F$18/12</f>
        <v>1.300783738996258</v>
      </c>
      <c r="AT125" s="412">
        <f>'RGGI - On-bill financing'!J80*'Capital Structure '!$E$34/12</f>
        <v>5219.4862885581288</v>
      </c>
      <c r="AU125" s="412">
        <f>'RGGI - On-bill financing'!J80*('Capital Structure '!$F$18+'Capital Structure '!$F$21)/12</f>
        <v>11108.766046070848</v>
      </c>
      <c r="AV125" s="415">
        <f t="shared" si="119"/>
        <v>16331.062645435235</v>
      </c>
      <c r="AW125" s="412"/>
      <c r="AX125" s="415">
        <v>0</v>
      </c>
      <c r="AY125" s="431">
        <f t="shared" si="58"/>
        <v>29247.729312101903</v>
      </c>
      <c r="BA125" s="412">
        <f>'RGGI II Invest Amort Def'!AG68</f>
        <v>201908.64800000002</v>
      </c>
      <c r="BB125" s="412"/>
      <c r="BC125" s="412">
        <f>(L125+N125)*'Capital Structure '!$H$21/12</f>
        <v>1294.7443944170325</v>
      </c>
      <c r="BD125" s="412">
        <f>(L125+N125)*'Capital Structure '!$H$34/12</f>
        <v>2584.7387762225267</v>
      </c>
      <c r="BE125" s="412">
        <f>(L125+N125)*'Capital Structure '!$H$18/12</f>
        <v>3742.6511288509778</v>
      </c>
      <c r="BF125" s="412">
        <f>'RGGI II On Bill Fin''g'!L68*'Capital Structure '!$H$34/12</f>
        <v>17170.56160601904</v>
      </c>
      <c r="BG125" s="412">
        <f>'RGGI II On Bill Fin''g'!L68*('Capital Structure '!$H$18+'Capital Structure '!$H$21)/12</f>
        <v>33463.695040226121</v>
      </c>
      <c r="BH125" s="415">
        <f t="shared" si="120"/>
        <v>58256.3909457357</v>
      </c>
      <c r="BI125" s="412"/>
      <c r="BJ125" s="556">
        <v>0</v>
      </c>
      <c r="BK125" s="431">
        <f t="shared" si="106"/>
        <v>260165.03894573572</v>
      </c>
      <c r="BM125" s="412">
        <f>'2013 program Invest Amort Def'!AW50</f>
        <v>425089.54450000002</v>
      </c>
      <c r="BN125" s="412"/>
      <c r="BO125" s="412">
        <f>(S125)*'Capital Structure '!$J$21/12</f>
        <v>9342.3982585838585</v>
      </c>
      <c r="BP125" s="412">
        <f>(S125)*'Capital Structure '!$J$34/12</f>
        <v>19984.403250223302</v>
      </c>
      <c r="BQ125" s="412">
        <f>(S125)*'Capital Structure '!$J$18/12</f>
        <v>28937.024534901066</v>
      </c>
      <c r="BR125" s="412">
        <f>('2013 program 10 yr On Bill Fin'!M50+'2013 program 5 yr On Bill Fin'!L48+'2013 program 2 yr On Bill Fin'!M38)*'Capital Structure '!$J$34/12</f>
        <v>90763.287036183247</v>
      </c>
      <c r="BS125" s="412">
        <f>('2013 program 10 yr On Bill Fin'!M50+'2013 program 5 yr On Bill Fin'!L48+'2013 program 2 yr On Bill Fin'!M38)*('Capital Structure '!$J$18+'Capital Structure '!$J$21)/12</f>
        <v>173853.88971000005</v>
      </c>
      <c r="BT125" s="431">
        <f t="shared" si="121"/>
        <v>322881.00278989156</v>
      </c>
      <c r="BU125" s="412"/>
      <c r="BV125" s="425">
        <v>0</v>
      </c>
      <c r="BW125" s="431">
        <f t="shared" si="48"/>
        <v>747970.54728989163</v>
      </c>
      <c r="BY125" s="412">
        <f>'2015 Program Invest Amort Def'!BR25</f>
        <v>85151.195166666657</v>
      </c>
      <c r="CA125" s="412">
        <f>X125*'Capital Structure '!$N$21/12</f>
        <v>4046.5810136079108</v>
      </c>
      <c r="CB125" s="412">
        <f>(X125)*'Capital Structure '!$N$34/12</f>
        <v>8038.5091431812261</v>
      </c>
      <c r="CC125" s="412">
        <f>(X125)*'Capital Structure '!$N$18/12</f>
        <v>11639.603814422755</v>
      </c>
      <c r="CD125" s="412">
        <f>('2015 Program 10-Year OBRP'!P25+'2015 Program 7-Year OBRP'!M25+'2015 Program 5-Year OBRP'!K25+'2015 Program 3-Year OBRP'!K25)*('Capital Structure '!$N$34/12)</f>
        <v>42090.286682490849</v>
      </c>
      <c r="CE125" s="412">
        <f>('2015 Program 10-Year OBRP'!P25+'2015 Program 7-Year OBRP'!M25+'2015 Program 5-Year OBRP'!K25+'2015 Program 3-Year OBRP'!K25)*(('Capital Structure '!$N$21/12)+('Capital Structure '!$N$18/12))</f>
        <v>82134.137637500011</v>
      </c>
      <c r="CF125" s="431">
        <f t="shared" si="122"/>
        <v>147949.11829120276</v>
      </c>
      <c r="CG125" s="412">
        <v>-8385.48</v>
      </c>
      <c r="CI125" s="393">
        <v>250276.33000000002</v>
      </c>
      <c r="CJ125" s="431">
        <f t="shared" si="123"/>
        <v>474991.16345786944</v>
      </c>
      <c r="CK125" s="431"/>
      <c r="CL125" s="431"/>
      <c r="CM125" s="431"/>
      <c r="CN125" s="431"/>
      <c r="CO125" s="431"/>
      <c r="CP125" s="431"/>
      <c r="CQ125" s="431"/>
      <c r="CR125" s="431"/>
      <c r="CS125" s="431"/>
      <c r="CT125" s="431"/>
      <c r="CU125" s="431"/>
      <c r="CV125" s="431"/>
      <c r="CW125" s="431"/>
      <c r="CY125" s="412">
        <f t="shared" si="110"/>
        <v>288420.71346359816</v>
      </c>
      <c r="CZ125" s="412">
        <f t="shared" si="124"/>
        <v>-4385216.7216325225</v>
      </c>
      <c r="DA125" s="412">
        <f t="shared" si="125"/>
        <v>-2679156.1168524968</v>
      </c>
      <c r="DB125" s="417">
        <v>4.3E-3</v>
      </c>
      <c r="DC125" s="418">
        <f t="shared" si="126"/>
        <v>-960.03094187214458</v>
      </c>
      <c r="DE125" s="420">
        <f t="shared" si="111"/>
        <v>6.9000000000000006E-2</v>
      </c>
      <c r="DF125" s="420">
        <f t="shared" si="112"/>
        <v>0.10502258664412509</v>
      </c>
      <c r="DG125" s="420">
        <f t="shared" si="113"/>
        <v>6.9000000000000006E-2</v>
      </c>
      <c r="DH125" s="420">
        <f t="shared" si="114"/>
        <v>0.10435959425190194</v>
      </c>
      <c r="DI125" s="393"/>
    </row>
    <row r="126" spans="1:173" s="351" customFormat="1" hidden="1" outlineLevel="1">
      <c r="A126" s="430" t="s">
        <v>57</v>
      </c>
      <c r="B126" s="430">
        <v>2017</v>
      </c>
      <c r="C126" s="411" t="s">
        <v>47</v>
      </c>
      <c r="E126" s="412"/>
      <c r="F126" s="413"/>
      <c r="G126" s="435"/>
      <c r="H126" s="412">
        <f>'RGGI - Invest Amort deferred'!AI81</f>
        <v>99.999999986961484</v>
      </c>
      <c r="I126" s="412">
        <f>'RGGI - Invest Amort deferred'!AI81</f>
        <v>99.999999986961484</v>
      </c>
      <c r="J126" s="413">
        <f>'RGGI - Invest Amort deferred'!BL81</f>
        <v>-40.849999999647622</v>
      </c>
      <c r="K126" s="435"/>
      <c r="L126" s="414">
        <f>'RGGI II Invest Amort Def'!AI69</f>
        <v>1252269.924333334</v>
      </c>
      <c r="M126" s="414">
        <f>'RGGI II Invest Amort Def'!AI69</f>
        <v>1252269.924333334</v>
      </c>
      <c r="N126" s="413">
        <f>'RGGI II Invest Amort Def'!BK69</f>
        <v>-511552.26409017242</v>
      </c>
      <c r="O126" s="435"/>
      <c r="P126" s="425">
        <f>'2013 program Invest Amort Def'!AY51</f>
        <v>10829840.160666658</v>
      </c>
      <c r="Q126" s="425">
        <f>'2013 program Invest Amort Def'!AY51</f>
        <v>10829840.160666658</v>
      </c>
      <c r="R126" s="425">
        <f>'2013 program Invest Amort Def'!CQ51</f>
        <v>-4423989.7056323346</v>
      </c>
      <c r="S126" s="373">
        <f t="shared" si="127"/>
        <v>6405850.455034323</v>
      </c>
      <c r="T126" s="435"/>
      <c r="U126" s="414">
        <f>'2015 Program Invest Amort Def'!BT26</f>
        <v>4110784.0894999998</v>
      </c>
      <c r="V126" s="414">
        <f>'2015 Program Invest Amort Def'!BT26</f>
        <v>4110784.0894999998</v>
      </c>
      <c r="W126" s="414">
        <f>'2015 Program Invest Amort Def'!EG26</f>
        <v>-1357840.4369149171</v>
      </c>
      <c r="X126" s="397">
        <f t="shared" si="115"/>
        <v>2752943.6525850827</v>
      </c>
      <c r="Y126" s="435"/>
      <c r="Z126" s="547">
        <v>33068764.560000002</v>
      </c>
      <c r="AA126" s="548">
        <v>3.0599999999999999E-2</v>
      </c>
      <c r="AB126" s="439">
        <f t="shared" si="116"/>
        <v>1011904.1955360001</v>
      </c>
      <c r="AD126" s="415">
        <f>'E3 - Invest Amort deferred tax'!AL104</f>
        <v>0</v>
      </c>
      <c r="AE126" s="412"/>
      <c r="AF126" s="416">
        <f>(D125+F125)*'Capital Structure '!$F$21/12</f>
        <v>0</v>
      </c>
      <c r="AG126" s="416">
        <f>(D125+F125)*'Capital Structure '!$E$34/12</f>
        <v>0</v>
      </c>
      <c r="AH126" s="416">
        <f>(D125+F125)*'Capital Structure '!$F$18/12</f>
        <v>0</v>
      </c>
      <c r="AI126" s="415">
        <f t="shared" si="117"/>
        <v>0</v>
      </c>
      <c r="AJ126" s="412"/>
      <c r="AK126" s="415">
        <v>0</v>
      </c>
      <c r="AL126" s="415">
        <v>0</v>
      </c>
      <c r="AM126" s="412">
        <f t="shared" si="118"/>
        <v>0</v>
      </c>
      <c r="AO126" s="372">
        <f>'RGGI - Invest Amort deferred'!AG81+'RGGI CHP'!V36</f>
        <v>12900</v>
      </c>
      <c r="AP126" s="412"/>
      <c r="AQ126" s="412">
        <f>(H126+J126)*'Capital Structure '!$F$21/12</f>
        <v>0.12223672116427958</v>
      </c>
      <c r="AR126" s="412">
        <f>(H126+J126)*'Capital Structure '!$E$34/12</f>
        <v>0.17966869223628035</v>
      </c>
      <c r="AS126" s="412">
        <f>(H126+J126)*'Capital Structure '!$F$18/12</f>
        <v>0.26015674775461406</v>
      </c>
      <c r="AT126" s="412">
        <f>'RGGI - On-bill financing'!J81*'Capital Structure '!$E$34/12</f>
        <v>5048.0511609044615</v>
      </c>
      <c r="AU126" s="412">
        <f>'RGGI - On-bill financing'!J81*('Capital Structure '!$F$18+'Capital Structure '!$F$21)/12</f>
        <v>10743.896283052662</v>
      </c>
      <c r="AV126" s="415">
        <f t="shared" si="119"/>
        <v>15792.509506118278</v>
      </c>
      <c r="AW126" s="412"/>
      <c r="AX126" s="415">
        <v>0</v>
      </c>
      <c r="AY126" s="431">
        <f t="shared" si="58"/>
        <v>28692.50950611828</v>
      </c>
      <c r="BA126" s="412">
        <f>'RGGI II Invest Amort Def'!AG69</f>
        <v>186343.97300000003</v>
      </c>
      <c r="BB126" s="412"/>
      <c r="BC126" s="412">
        <f>(L126+N126)*'Capital Structure '!$H$21/12</f>
        <v>1127.0358696193978</v>
      </c>
      <c r="BD126" s="412">
        <f>(L126+N126)*'Capital Structure '!$H$34/12</f>
        <v>2249.9369968004949</v>
      </c>
      <c r="BE126" s="412">
        <f>(L126+N126)*'Capital Structure '!$H$18/12</f>
        <v>3257.8647089534711</v>
      </c>
      <c r="BF126" s="412">
        <f>'RGGI II On Bill Fin''g'!L69*'Capital Structure '!$H$34/12</f>
        <v>16873.865414873839</v>
      </c>
      <c r="BG126" s="412">
        <f>'RGGI II On Bill Fin''g'!L69*('Capital Structure '!$H$18+'Capital Structure '!$H$21)/12</f>
        <v>32885.464048841466</v>
      </c>
      <c r="BH126" s="415">
        <f t="shared" si="120"/>
        <v>56394.167039088672</v>
      </c>
      <c r="BI126" s="412"/>
      <c r="BJ126" s="556">
        <v>0</v>
      </c>
      <c r="BK126" s="431">
        <f t="shared" si="106"/>
        <v>242738.1400390887</v>
      </c>
      <c r="BM126" s="412">
        <f>'2013 program Invest Amort Def'!AW51</f>
        <v>425089.54450000002</v>
      </c>
      <c r="BN126" s="412"/>
      <c r="BO126" s="412">
        <f>(S126)*'Capital Structure '!$J$21/12</f>
        <v>8989.5434718981669</v>
      </c>
      <c r="BP126" s="412">
        <f>(S126)*'Capital Structure '!$J$34/12</f>
        <v>19229.608587148508</v>
      </c>
      <c r="BQ126" s="412">
        <f>(S126)*'Capital Structure '!$J$18/12</f>
        <v>27844.09664454919</v>
      </c>
      <c r="BR126" s="412">
        <f>('2013 program 10 yr On Bill Fin'!M51+'2013 program 5 yr On Bill Fin'!L49+'2013 program 2 yr On Bill Fin'!M39)*'Capital Structure '!$J$34/12</f>
        <v>89241.524780874606</v>
      </c>
      <c r="BS126" s="412">
        <f>('2013 program 10 yr On Bill Fin'!M51+'2013 program 5 yr On Bill Fin'!L49+'2013 program 2 yr On Bill Fin'!M39)*('Capital Structure '!$J$18+'Capital Structure '!$J$21)/12</f>
        <v>170939.00753750003</v>
      </c>
      <c r="BT126" s="431">
        <f t="shared" si="121"/>
        <v>316243.7810219705</v>
      </c>
      <c r="BU126" s="412"/>
      <c r="BV126" s="425">
        <v>0</v>
      </c>
      <c r="BW126" s="431">
        <f t="shared" si="48"/>
        <v>741333.32552197052</v>
      </c>
      <c r="BY126" s="412">
        <f>'2015 Program Invest Amort Def'!BR26</f>
        <v>87586.195166666657</v>
      </c>
      <c r="CA126" s="412">
        <f>X126*'Capital Structure '!$N$21/12</f>
        <v>4083.533084667873</v>
      </c>
      <c r="CB126" s="412">
        <f>(X126)*'Capital Structure '!$N$34/12</f>
        <v>8111.9142128131198</v>
      </c>
      <c r="CC126" s="412">
        <f>(X126)*'Capital Structure '!$N$18/12</f>
        <v>11745.892917696352</v>
      </c>
      <c r="CD126" s="412">
        <f>('2015 Program 10-Year OBRP'!P26+'2015 Program 7-Year OBRP'!M26+'2015 Program 5-Year OBRP'!K26+'2015 Program 3-Year OBRP'!K26)*('Capital Structure '!$N$34/12)</f>
        <v>45278.392710600172</v>
      </c>
      <c r="CE126" s="412">
        <f>('2015 Program 10-Year OBRP'!P26+'2015 Program 7-Year OBRP'!M26+'2015 Program 5-Year OBRP'!K26+'2015 Program 3-Year OBRP'!K26)*(('Capital Structure '!$N$21/12)+('Capital Structure '!$N$18/12))</f>
        <v>88355.343525000004</v>
      </c>
      <c r="CF126" s="431">
        <f t="shared" si="122"/>
        <v>157575.07645077753</v>
      </c>
      <c r="CG126" s="412">
        <v>-6865.4</v>
      </c>
      <c r="CI126" s="393">
        <v>224014.74</v>
      </c>
      <c r="CJ126" s="431">
        <f t="shared" si="123"/>
        <v>462310.6116174442</v>
      </c>
      <c r="CK126" s="431"/>
      <c r="CL126" s="431"/>
      <c r="CM126" s="431"/>
      <c r="CN126" s="431"/>
      <c r="CO126" s="431"/>
      <c r="CP126" s="431"/>
      <c r="CQ126" s="431"/>
      <c r="CR126" s="431"/>
      <c r="CS126" s="431"/>
      <c r="CT126" s="431"/>
      <c r="CU126" s="431"/>
      <c r="CV126" s="431"/>
      <c r="CW126" s="431"/>
      <c r="CY126" s="412">
        <f>+BW126+BK126+AY126+AM126+CJ126-AB126</f>
        <v>463170.39114862157</v>
      </c>
      <c r="CZ126" s="412">
        <f t="shared" si="124"/>
        <v>-3922046.3304839008</v>
      </c>
      <c r="DA126" s="412">
        <f t="shared" si="125"/>
        <v>-2456873.0476634325</v>
      </c>
      <c r="DB126" s="417">
        <v>4.3E-3</v>
      </c>
      <c r="DC126" s="418">
        <f t="shared" si="126"/>
        <v>-880.37950874606338</v>
      </c>
      <c r="DE126" s="420">
        <f t="shared" si="111"/>
        <v>6.9000000000000006E-2</v>
      </c>
      <c r="DF126" s="420">
        <f t="shared" si="112"/>
        <v>0.10502258664412509</v>
      </c>
      <c r="DG126" s="420">
        <f t="shared" si="113"/>
        <v>6.9000000000000006E-2</v>
      </c>
      <c r="DH126" s="420">
        <f t="shared" si="114"/>
        <v>0.10435959425190194</v>
      </c>
    </row>
    <row r="127" spans="1:173" s="351" customFormat="1" hidden="1" outlineLevel="1">
      <c r="A127" s="430" t="s">
        <v>58</v>
      </c>
      <c r="B127" s="430">
        <v>2017</v>
      </c>
      <c r="C127" s="411" t="s">
        <v>47</v>
      </c>
      <c r="E127" s="412"/>
      <c r="F127" s="413"/>
      <c r="G127" s="435"/>
      <c r="H127" s="412">
        <f>'RGGI - Invest Amort deferred'!AI82</f>
        <v>0</v>
      </c>
      <c r="I127" s="412">
        <f>'RGGI - Invest Amort deferred'!AI82</f>
        <v>0</v>
      </c>
      <c r="J127" s="413">
        <f>'RGGI - Invest Amort deferred'!BL82</f>
        <v>3.5237235351814888E-10</v>
      </c>
      <c r="K127" s="435"/>
      <c r="L127" s="414">
        <f>'RGGI II Invest Amort Def'!AI70</f>
        <v>1077362.6180000007</v>
      </c>
      <c r="M127" s="414">
        <f>'RGGI II Invest Amort Def'!AI70</f>
        <v>1077362.6180000007</v>
      </c>
      <c r="N127" s="413">
        <f>'RGGI II Invest Amort Def'!BK70</f>
        <v>-440102.62945300573</v>
      </c>
      <c r="O127" s="435"/>
      <c r="P127" s="425">
        <f>'2013 program Invest Amort Def'!AY52</f>
        <v>10404750.616166657</v>
      </c>
      <c r="Q127" s="425">
        <f>'2013 program Invest Amort Def'!AY52</f>
        <v>10404750.616166657</v>
      </c>
      <c r="R127" s="425">
        <f>'2013 program Invest Amort Def'!CQ52</f>
        <v>-4250340.6267040847</v>
      </c>
      <c r="S127" s="373">
        <f t="shared" si="127"/>
        <v>6154409.9894625721</v>
      </c>
      <c r="T127" s="435"/>
      <c r="U127" s="414">
        <f>'2015 Program Invest Amort Def'!BT27</f>
        <v>4109829.5609999998</v>
      </c>
      <c r="V127" s="414">
        <f>'2015 Program Invest Amort Def'!BT27</f>
        <v>4109829.5609999998</v>
      </c>
      <c r="W127" s="414">
        <f>'2015 Program Invest Amort Def'!EG27</f>
        <v>-1385483.9096268339</v>
      </c>
      <c r="X127" s="397">
        <f t="shared" si="115"/>
        <v>2724345.6513731657</v>
      </c>
      <c r="Y127" s="435"/>
      <c r="Z127" s="547">
        <v>22453883.75</v>
      </c>
      <c r="AA127" s="548">
        <v>3.0599999999999999E-2</v>
      </c>
      <c r="AB127" s="439">
        <f t="shared" si="116"/>
        <v>687088.84274999995</v>
      </c>
      <c r="AD127" s="415"/>
      <c r="AE127" s="412"/>
      <c r="AF127" s="412">
        <v>0</v>
      </c>
      <c r="AG127" s="412">
        <v>0</v>
      </c>
      <c r="AH127" s="412">
        <v>0</v>
      </c>
      <c r="AI127" s="415">
        <v>0</v>
      </c>
      <c r="AJ127" s="412"/>
      <c r="AK127" s="415">
        <v>0</v>
      </c>
      <c r="AL127" s="415">
        <v>0</v>
      </c>
      <c r="AM127" s="412">
        <v>0</v>
      </c>
      <c r="AO127" s="372">
        <f>'RGGI - Invest Amort deferred'!AG82+'RGGI CHP'!V37</f>
        <v>12600</v>
      </c>
      <c r="AP127" s="412"/>
      <c r="AQ127" s="418">
        <f>(H127+J127)*'Capital Structure '!$F$21/12</f>
        <v>7.2819680696934779E-13</v>
      </c>
      <c r="AR127" s="412">
        <f>(H127+J127)*'Capital Structure '!$E$34/12</f>
        <v>1.0703344032190108E-12</v>
      </c>
      <c r="AS127" s="412">
        <f>(H127+J127)*'Capital Structure '!$F$18/12</f>
        <v>1.5498232545998652E-12</v>
      </c>
      <c r="AT127" s="412">
        <f>'RGGI - On-bill financing'!J82*'Capital Structure '!$E$34/12</f>
        <v>4923.1818146497117</v>
      </c>
      <c r="AU127" s="412">
        <f>'RGGI - On-bill financing'!J82*('Capital Structure '!$F$18+'Capital Structure '!$F$21)/12</f>
        <v>10478.133662522238</v>
      </c>
      <c r="AV127" s="415">
        <f t="shared" si="119"/>
        <v>15401.315477171953</v>
      </c>
      <c r="AW127" s="412"/>
      <c r="AX127" s="415">
        <v>0</v>
      </c>
      <c r="AY127" s="431">
        <f t="shared" si="58"/>
        <v>28001.315477171953</v>
      </c>
      <c r="BA127" s="412">
        <f>'RGGI II Invest Amort Def'!AG70</f>
        <v>174907.30633333334</v>
      </c>
      <c r="BB127" s="412"/>
      <c r="BC127" s="412">
        <f>(L127+N127)*'Capital Structure '!$H$21/12</f>
        <v>969.62028032372791</v>
      </c>
      <c r="BD127" s="412">
        <f>(L127+N127)*'Capital Structure '!$H$34/12</f>
        <v>1935.6833268182911</v>
      </c>
      <c r="BE127" s="412">
        <f>(L127+N127)*'Capital Structure '!$H$18/12</f>
        <v>2802.8315491138787</v>
      </c>
      <c r="BF127" s="412">
        <f>'RGGI II On Bill Fin''g'!L70*'Capital Structure '!$H$34/12</f>
        <v>16505.143219193189</v>
      </c>
      <c r="BG127" s="412">
        <f>'RGGI II On Bill Fin''g'!L70*('Capital Structure '!$H$18+'Capital Structure '!$H$21)/12</f>
        <v>32166.861629541763</v>
      </c>
      <c r="BH127" s="415">
        <f t="shared" si="120"/>
        <v>54380.140004990855</v>
      </c>
      <c r="BI127" s="412"/>
      <c r="BJ127" s="556">
        <v>0</v>
      </c>
      <c r="BK127" s="431">
        <f t="shared" si="106"/>
        <v>229287.4463383242</v>
      </c>
      <c r="BM127" s="412">
        <f>'2013 program Invest Amort Def'!AW52</f>
        <v>425089.54450000002</v>
      </c>
      <c r="BN127" s="412"/>
      <c r="BO127" s="412">
        <f>(S127)*'Capital Structure '!$J$21/12</f>
        <v>8636.6886852124771</v>
      </c>
      <c r="BP127" s="412">
        <f>(S127)*'Capital Structure '!$J$34/12</f>
        <v>18474.813924073711</v>
      </c>
      <c r="BQ127" s="412">
        <f>(S127)*'Capital Structure '!$J$18/12</f>
        <v>26751.168754197312</v>
      </c>
      <c r="BR127" s="412">
        <f>('2013 program 10 yr On Bill Fin'!M52+'2013 program 5 yr On Bill Fin'!L50+'2013 program 2 yr On Bill Fin'!M40)*'Capital Structure '!$J$34/12</f>
        <v>87734.019274738559</v>
      </c>
      <c r="BS127" s="412">
        <f>('2013 program 10 yr On Bill Fin'!M52+'2013 program 5 yr On Bill Fin'!L50+'2013 program 2 yr On Bill Fin'!M40)*('Capital Structure '!$J$18+'Capital Structure '!$J$21)/12</f>
        <v>168051.43366750004</v>
      </c>
      <c r="BT127" s="431">
        <f t="shared" si="121"/>
        <v>309648.12430572207</v>
      </c>
      <c r="BU127" s="412"/>
      <c r="BV127" s="425">
        <v>0</v>
      </c>
      <c r="BW127" s="431">
        <f t="shared" si="48"/>
        <v>734737.66880572215</v>
      </c>
      <c r="BY127" s="412">
        <f>'2015 Program Invest Amort Def'!BR27</f>
        <v>89054.528499999986</v>
      </c>
      <c r="CA127" s="412">
        <f>X127*'Capital Structure '!$N$21/12</f>
        <v>4041.1127162035286</v>
      </c>
      <c r="CB127" s="412">
        <f>(X127)*'Capital Structure '!$N$34/12</f>
        <v>8027.6464028740547</v>
      </c>
      <c r="CC127" s="412">
        <f>(X127)*'Capital Structure '!$N$18/12</f>
        <v>11623.874779192172</v>
      </c>
      <c r="CD127" s="412">
        <f>('2015 Program 10-Year OBRP'!P27+'2015 Program 7-Year OBRP'!M27+'2015 Program 5-Year OBRP'!K27+'2015 Program 3-Year OBRP'!K27)*('Capital Structure '!$N$34/12)</f>
        <v>46677.020039213297</v>
      </c>
      <c r="CE127" s="412">
        <f>('2015 Program 10-Year OBRP'!P27+'2015 Program 7-Year OBRP'!M27+'2015 Program 5-Year OBRP'!K27+'2015 Program 3-Year OBRP'!K27)*(('Capital Structure '!$N$21/12)+('Capital Structure '!$N$18/12))</f>
        <v>91084.596722499991</v>
      </c>
      <c r="CF127" s="431">
        <f t="shared" si="122"/>
        <v>161454.25065998305</v>
      </c>
      <c r="CG127" s="412">
        <v>-9499.11</v>
      </c>
      <c r="CI127" s="393">
        <v>283945.65999999997</v>
      </c>
      <c r="CJ127" s="431">
        <f t="shared" si="123"/>
        <v>524955.32915998297</v>
      </c>
      <c r="CK127" s="431"/>
      <c r="CL127" s="431"/>
      <c r="CM127" s="431"/>
      <c r="CN127" s="431"/>
      <c r="CO127" s="431"/>
      <c r="CP127" s="431"/>
      <c r="CQ127" s="431"/>
      <c r="CR127" s="431"/>
      <c r="CS127" s="431"/>
      <c r="CT127" s="431"/>
      <c r="CU127" s="431"/>
      <c r="CV127" s="431"/>
      <c r="CW127" s="431"/>
      <c r="CY127" s="412">
        <f t="shared" si="110"/>
        <v>829892.91703120142</v>
      </c>
      <c r="CZ127" s="412">
        <f t="shared" si="124"/>
        <v>-3092153.4134526993</v>
      </c>
      <c r="DA127" s="412">
        <f t="shared" si="125"/>
        <v>-2074449.5742692496</v>
      </c>
      <c r="DB127" s="417">
        <v>4.3E-3</v>
      </c>
      <c r="DC127" s="418">
        <f t="shared" si="126"/>
        <v>-743.3444307798145</v>
      </c>
      <c r="DE127" s="420">
        <f t="shared" si="111"/>
        <v>6.9000000000000006E-2</v>
      </c>
      <c r="DF127" s="420">
        <f t="shared" si="112"/>
        <v>0.10502258664412509</v>
      </c>
      <c r="DG127" s="420">
        <f t="shared" si="113"/>
        <v>6.8999999999999992E-2</v>
      </c>
      <c r="DH127" s="420">
        <f t="shared" si="114"/>
        <v>0.10435959425190194</v>
      </c>
    </row>
    <row r="128" spans="1:173" s="351" customFormat="1" hidden="1" collapsed="1">
      <c r="A128" s="430" t="s">
        <v>59</v>
      </c>
      <c r="B128" s="430">
        <v>2017</v>
      </c>
      <c r="C128" s="411" t="s">
        <v>47</v>
      </c>
      <c r="E128" s="412"/>
      <c r="F128" s="413"/>
      <c r="G128" s="435"/>
      <c r="H128" s="412">
        <f>'RGGI - Invest Amort deferred'!AI83</f>
        <v>0</v>
      </c>
      <c r="I128" s="412">
        <f>'RGGI - Invest Amort deferred'!AI83</f>
        <v>0</v>
      </c>
      <c r="J128" s="413">
        <f>'RGGI - Invest Amort deferred'!BL83</f>
        <v>0</v>
      </c>
      <c r="K128" s="435"/>
      <c r="L128" s="414">
        <f>'RGGI II Invest Amort Def'!AI71</f>
        <v>914518.64500000142</v>
      </c>
      <c r="M128" s="414">
        <f>'RGGI II Invest Amort Def'!AI71</f>
        <v>914518.64500000142</v>
      </c>
      <c r="N128" s="413">
        <f>'RGGI II Invest Amort Def'!BK71</f>
        <v>-373580.86648250575</v>
      </c>
      <c r="O128" s="435"/>
      <c r="P128" s="425">
        <f>'2013 program Invest Amort Def'!AY53</f>
        <v>9979661.0716666561</v>
      </c>
      <c r="Q128" s="425">
        <f>'2013 program Invest Amort Def'!AY53</f>
        <v>9979661.0716666561</v>
      </c>
      <c r="R128" s="425">
        <f>'2013 program Invest Amort Def'!CQ53</f>
        <v>-4076691.5477758348</v>
      </c>
      <c r="S128" s="373">
        <f t="shared" si="127"/>
        <v>5902969.5238908213</v>
      </c>
      <c r="T128" s="435"/>
      <c r="U128" s="414">
        <f>'2015 Program Invest Amort Def'!BT28</f>
        <v>4099048.3658333328</v>
      </c>
      <c r="V128" s="414">
        <f>'2015 Program Invest Amort Def'!BT28</f>
        <v>4099048.3658333328</v>
      </c>
      <c r="W128" s="414">
        <f>'2015 Program Invest Amort Def'!EG28</f>
        <v>-1408364.2723387505</v>
      </c>
      <c r="X128" s="397">
        <f t="shared" si="115"/>
        <v>2690684.093494582</v>
      </c>
      <c r="Y128" s="435"/>
      <c r="Z128" s="547">
        <v>19215349.039999999</v>
      </c>
      <c r="AA128" s="548">
        <v>3.0599999999999999E-2</v>
      </c>
      <c r="AB128" s="439">
        <f t="shared" si="116"/>
        <v>587989.68062399991</v>
      </c>
      <c r="AD128" s="415"/>
      <c r="AE128" s="412"/>
      <c r="AF128" s="412">
        <v>0</v>
      </c>
      <c r="AG128" s="412">
        <v>0</v>
      </c>
      <c r="AH128" s="412">
        <v>0</v>
      </c>
      <c r="AI128" s="415">
        <v>0</v>
      </c>
      <c r="AJ128" s="412"/>
      <c r="AK128" s="415">
        <v>0</v>
      </c>
      <c r="AL128" s="415">
        <v>0</v>
      </c>
      <c r="AM128" s="412">
        <v>0</v>
      </c>
      <c r="AO128" s="372">
        <f>'RGGI - Invest Amort deferred'!AG83+'RGGI CHP'!V38</f>
        <v>12500</v>
      </c>
      <c r="AP128" s="412"/>
      <c r="AQ128" s="412">
        <f>(H128+J128)*'Capital Structure '!$F$21/12</f>
        <v>0</v>
      </c>
      <c r="AR128" s="412">
        <f>(H128+J128)*'Capital Structure '!$E$34/12</f>
        <v>0</v>
      </c>
      <c r="AS128" s="412">
        <f>(H128+J128)*'Capital Structure '!$F$18/12</f>
        <v>0</v>
      </c>
      <c r="AT128" s="412">
        <f>'RGGI - On-bill financing'!J83*'Capital Structure '!$E$34/12</f>
        <v>4821.4097520708965</v>
      </c>
      <c r="AU128" s="412">
        <f>'RGGI - On-bill financing'!J83*('Capital Structure '!$F$18+'Capital Structure '!$F$21)/12</f>
        <v>10261.529581064548</v>
      </c>
      <c r="AV128" s="415">
        <f t="shared" si="119"/>
        <v>15082.939333135444</v>
      </c>
      <c r="AW128" s="412"/>
      <c r="AX128" s="415">
        <v>0</v>
      </c>
      <c r="AY128" s="431">
        <f t="shared" si="58"/>
        <v>27582.939333135444</v>
      </c>
      <c r="BA128" s="412">
        <f>'RGGI II Invest Amort Def'!AG71</f>
        <v>162843.97300000003</v>
      </c>
      <c r="BB128" s="412"/>
      <c r="BC128" s="412">
        <f>(L128+N128)*'Capital Structure '!$H$21/12</f>
        <v>823.06162299588493</v>
      </c>
      <c r="BD128" s="412">
        <f>(L128+N128)*'Capital Structure '!$H$34/12</f>
        <v>1643.103690080841</v>
      </c>
      <c r="BE128" s="412">
        <f>(L128+N128)*'Capital Structure '!$H$18/12</f>
        <v>2379.1819649518179</v>
      </c>
      <c r="BF128" s="412">
        <f>'RGGI II On Bill Fin''g'!L71*'Capital Structure '!$H$34/12</f>
        <v>16151.340845369459</v>
      </c>
      <c r="BG128" s="412">
        <f>'RGGI II On Bill Fin''g'!L71*('Capital Structure '!$H$18+'Capital Structure '!$H$21)/12</f>
        <v>31477.336440220344</v>
      </c>
      <c r="BH128" s="415">
        <f t="shared" si="120"/>
        <v>52474.024563618346</v>
      </c>
      <c r="BI128" s="412"/>
      <c r="BJ128" s="556">
        <v>0</v>
      </c>
      <c r="BK128" s="431">
        <f t="shared" si="106"/>
        <v>215317.99756361838</v>
      </c>
      <c r="BM128" s="412">
        <f>'2013 program Invest Amort Def'!AW53</f>
        <v>425089.54450000002</v>
      </c>
      <c r="BN128" s="412"/>
      <c r="BO128" s="412">
        <f>(S128)*'Capital Structure '!$J$21/12</f>
        <v>8283.8338985267856</v>
      </c>
      <c r="BP128" s="412">
        <f>(S128)*'Capital Structure '!$J$34/12</f>
        <v>17720.019260998914</v>
      </c>
      <c r="BQ128" s="412">
        <f>(S128)*'Capital Structure '!$J$18/12</f>
        <v>25658.240863845436</v>
      </c>
      <c r="BR128" s="412">
        <f>('2013 program 10 yr On Bill Fin'!M53+'2013 program 5 yr On Bill Fin'!L51+'2013 program 2 yr On Bill Fin'!M41)*'Capital Structure '!$J$34/12</f>
        <v>86150.707567099234</v>
      </c>
      <c r="BS128" s="412">
        <f>('2013 program 10 yr On Bill Fin'!M53+'2013 program 5 yr On Bill Fin'!L51+'2013 program 2 yr On Bill Fin'!M41)*('Capital Structure '!$J$18+'Capital Structure '!$J$21)/12</f>
        <v>165018.65568000005</v>
      </c>
      <c r="BT128" s="431">
        <f t="shared" si="121"/>
        <v>302831.45727047045</v>
      </c>
      <c r="BU128" s="412"/>
      <c r="BV128" s="425">
        <v>0</v>
      </c>
      <c r="BW128" s="431">
        <f t="shared" si="48"/>
        <v>727921.00177047052</v>
      </c>
      <c r="BY128" s="412">
        <f>'2015 Program Invest Amort Def'!BR28</f>
        <v>90381.195166666657</v>
      </c>
      <c r="CA128" s="412">
        <f>X128*'Capital Structure '!$N$21/12</f>
        <v>3991.1814053502967</v>
      </c>
      <c r="CB128" s="412">
        <f>(X128)*'Capital Structure '!$N$34/12</f>
        <v>7928.4581505012511</v>
      </c>
      <c r="CC128" s="412">
        <f>(X128)*'Capital Structure '!$N$18/12</f>
        <v>11480.25213224355</v>
      </c>
      <c r="CD128" s="412">
        <f>('2015 Program 10-Year OBRP'!P28+'2015 Program 7-Year OBRP'!M28+'2015 Program 5-Year OBRP'!K28+'2015 Program 3-Year OBRP'!K28)*('Capital Structure '!$N$34/12)</f>
        <v>48383.389076918567</v>
      </c>
      <c r="CE128" s="412">
        <f>('2015 Program 10-Year OBRP'!P28+'2015 Program 7-Year OBRP'!M28+'2015 Program 5-Year OBRP'!K28+'2015 Program 3-Year OBRP'!K28)*(('Capital Structure '!$N$21/12)+('Capital Structure '!$N$18/12))</f>
        <v>94414.370892499996</v>
      </c>
      <c r="CF128" s="431">
        <f t="shared" si="122"/>
        <v>166197.65165751366</v>
      </c>
      <c r="CG128" s="412">
        <v>-10930.09</v>
      </c>
      <c r="CI128" s="393">
        <v>395336.82</v>
      </c>
      <c r="CJ128" s="431">
        <f t="shared" si="123"/>
        <v>640985.57682418032</v>
      </c>
      <c r="CK128" s="431"/>
      <c r="CL128" s="431"/>
      <c r="CM128" s="431"/>
      <c r="CN128" s="431"/>
      <c r="CO128" s="431"/>
      <c r="CP128" s="431"/>
      <c r="CQ128" s="431"/>
      <c r="CR128" s="431"/>
      <c r="CS128" s="431"/>
      <c r="CT128" s="431"/>
      <c r="CU128" s="431"/>
      <c r="CV128" s="431"/>
      <c r="CW128" s="431"/>
      <c r="CY128" s="412">
        <f t="shared" si="110"/>
        <v>1023817.8348674047</v>
      </c>
      <c r="CZ128" s="412">
        <f t="shared" si="124"/>
        <v>-2068335.5785852945</v>
      </c>
      <c r="DA128" s="412">
        <f t="shared" si="125"/>
        <v>-1526214.6193952367</v>
      </c>
      <c r="DB128" s="417">
        <v>4.3E-3</v>
      </c>
      <c r="DC128" s="418">
        <f t="shared" si="126"/>
        <v>-546.89357194995989</v>
      </c>
      <c r="DE128" s="420">
        <f t="shared" si="111"/>
        <v>6.9000000000000006E-2</v>
      </c>
      <c r="DF128" s="420">
        <f t="shared" si="112"/>
        <v>0.10502258664412509</v>
      </c>
      <c r="DG128" s="420">
        <f t="shared" si="113"/>
        <v>6.9000000000000006E-2</v>
      </c>
      <c r="DH128" s="420">
        <f t="shared" si="114"/>
        <v>0.10435959425190194</v>
      </c>
    </row>
    <row r="129" spans="1:173" s="351" customFormat="1" hidden="1">
      <c r="A129" s="430" t="s">
        <v>46</v>
      </c>
      <c r="B129" s="430">
        <v>2017</v>
      </c>
      <c r="C129" s="411" t="s">
        <v>47</v>
      </c>
      <c r="E129" s="412"/>
      <c r="F129" s="413"/>
      <c r="G129" s="435"/>
      <c r="H129" s="412">
        <f>'RGGI - Invest Amort deferred'!AI84</f>
        <v>0</v>
      </c>
      <c r="I129" s="412">
        <f>'RGGI - Invest Amort deferred'!AI84</f>
        <v>0</v>
      </c>
      <c r="J129" s="413">
        <f>'RGGI - Invest Amort deferred'!BL84</f>
        <v>0</v>
      </c>
      <c r="K129" s="435"/>
      <c r="L129" s="414">
        <f>'RGGI II Invest Amort Def'!AI72</f>
        <v>765093.40533333458</v>
      </c>
      <c r="M129" s="414">
        <f>'RGGI II Invest Amort Def'!AI72</f>
        <v>765093.40533333458</v>
      </c>
      <c r="N129" s="413">
        <f>'RGGI II Invest Amort Def'!BK72</f>
        <v>-312540.65607867239</v>
      </c>
      <c r="O129" s="435"/>
      <c r="P129" s="425">
        <f>'2013 program Invest Amort Def'!AY54</f>
        <v>9554571.5271666553</v>
      </c>
      <c r="Q129" s="425">
        <f>'2013 program Invest Amort Def'!AY54</f>
        <v>9554571.5271666553</v>
      </c>
      <c r="R129" s="425">
        <f>'2013 program Invest Amort Def'!CQ54</f>
        <v>-3903042.4688475849</v>
      </c>
      <c r="S129" s="373">
        <f t="shared" si="127"/>
        <v>5651529.0583190704</v>
      </c>
      <c r="T129" s="435"/>
      <c r="U129" s="414">
        <f>'2015 Program Invest Amort Def'!BT29</f>
        <v>4114768.8373333327</v>
      </c>
      <c r="V129" s="414">
        <f>'2015 Program Invest Amort Def'!BT29</f>
        <v>4114768.8373333327</v>
      </c>
      <c r="W129" s="414">
        <f>'2015 Program Invest Amort Def'!EG29</f>
        <v>-1423456.5825506672</v>
      </c>
      <c r="X129" s="397">
        <f t="shared" si="115"/>
        <v>2691312.2547826655</v>
      </c>
      <c r="Y129" s="435"/>
      <c r="Z129" s="547">
        <v>19108216.23</v>
      </c>
      <c r="AA129" s="549">
        <v>3.0599999999999999E-2</v>
      </c>
      <c r="AB129" s="439">
        <f t="shared" si="116"/>
        <v>584711.41663799994</v>
      </c>
      <c r="AD129" s="415"/>
      <c r="AE129" s="412"/>
      <c r="AF129" s="412">
        <v>0</v>
      </c>
      <c r="AG129" s="412">
        <v>0</v>
      </c>
      <c r="AH129" s="412">
        <v>0</v>
      </c>
      <c r="AI129" s="415">
        <v>0</v>
      </c>
      <c r="AJ129" s="412"/>
      <c r="AK129" s="415">
        <v>0</v>
      </c>
      <c r="AL129" s="415">
        <v>0</v>
      </c>
      <c r="AM129" s="412">
        <v>0</v>
      </c>
      <c r="AO129" s="372">
        <f>'RGGI - Invest Amort deferred'!AG84+'RGGI CHP'!V39</f>
        <v>12500</v>
      </c>
      <c r="AP129" s="412"/>
      <c r="AQ129" s="412">
        <f>(H129+J129)*'Capital Structure '!$F$21/12</f>
        <v>0</v>
      </c>
      <c r="AR129" s="412">
        <f>(H129+J129)*'Capital Structure '!$E$34/12</f>
        <v>0</v>
      </c>
      <c r="AS129" s="412">
        <f>(H129+J129)*'Capital Structure '!$F$18/12</f>
        <v>0</v>
      </c>
      <c r="AT129" s="412">
        <f>'RGGI - On-bill financing'!J84*'Capital Structure '!$E$34/12</f>
        <v>4698.8987282621683</v>
      </c>
      <c r="AU129" s="412">
        <f>'RGGI - On-bill financing'!J84*('Capital Structure '!$F$18+'Capital Structure '!$F$21)/12</f>
        <v>10000.786238460281</v>
      </c>
      <c r="AV129" s="415">
        <f t="shared" si="119"/>
        <v>14699.684966722449</v>
      </c>
      <c r="AW129" s="412"/>
      <c r="AX129" s="415">
        <v>0</v>
      </c>
      <c r="AY129" s="431">
        <f t="shared" si="58"/>
        <v>27199.684966722449</v>
      </c>
      <c r="BA129" s="412">
        <f>'RGGI II Invest Amort Def'!AG72</f>
        <v>149425.23966666669</v>
      </c>
      <c r="BB129" s="412"/>
      <c r="BC129" s="412">
        <f>(L129+N129)*'Capital Structure '!$H$21/12</f>
        <v>688.57974999197597</v>
      </c>
      <c r="BD129" s="412">
        <f>(L129+N129)*'Capital Structure '!$H$34/12</f>
        <v>1374.6333160432332</v>
      </c>
      <c r="BE129" s="412">
        <f>(L129+N129)*'Capital Structure '!$H$18/12</f>
        <v>1990.4421210271055</v>
      </c>
      <c r="BF129" s="412">
        <f>'RGGI II On Bill Fin''g'!L72*'Capital Structure '!$H$34/12</f>
        <v>15759.115645856875</v>
      </c>
      <c r="BG129" s="412">
        <f>'RGGI II On Bill Fin''g'!L72*('Capital Structure '!$H$18+'Capital Structure '!$H$21)/12</f>
        <v>30712.929033826604</v>
      </c>
      <c r="BH129" s="415">
        <f t="shared" si="120"/>
        <v>50525.699866745796</v>
      </c>
      <c r="BI129" s="412"/>
      <c r="BJ129" s="556">
        <v>0</v>
      </c>
      <c r="BK129" s="431">
        <f t="shared" si="106"/>
        <v>199950.93953341249</v>
      </c>
      <c r="BM129" s="412">
        <f>'2013 program Invest Amort Def'!AW54</f>
        <v>425089.54450000002</v>
      </c>
      <c r="BN129" s="412"/>
      <c r="BO129" s="412">
        <f>(S129)*'Capital Structure '!$J$21/12</f>
        <v>7930.9791118410967</v>
      </c>
      <c r="BP129" s="412">
        <f>(S129)*'Capital Structure '!$J$34/12</f>
        <v>16965.22459792412</v>
      </c>
      <c r="BQ129" s="412">
        <f>(S129)*'Capital Structure '!$J$18/12</f>
        <v>24565.312973493561</v>
      </c>
      <c r="BR129" s="412">
        <f>('2013 program 10 yr On Bill Fin'!M54+'2013 program 5 yr On Bill Fin'!L52+'2013 program 2 yr On Bill Fin'!M42)*'Capital Structure '!$J$34/12</f>
        <v>84342.24109440764</v>
      </c>
      <c r="BS129" s="412">
        <f>('2013 program 10 yr On Bill Fin'!M54+'2013 program 5 yr On Bill Fin'!L52+'2013 program 2 yr On Bill Fin'!M42)*('Capital Structure '!$J$18+'Capital Structure '!$J$21)/12</f>
        <v>161554.60164500002</v>
      </c>
      <c r="BT129" s="431">
        <f t="shared" si="121"/>
        <v>295358.35942266643</v>
      </c>
      <c r="BU129" s="412"/>
      <c r="BV129" s="425">
        <v>0</v>
      </c>
      <c r="BW129" s="431">
        <f t="shared" si="48"/>
        <v>720447.90392266645</v>
      </c>
      <c r="BY129" s="412">
        <f>'2015 Program Invest Amort Def'!BR29</f>
        <v>92179.528499999986</v>
      </c>
      <c r="CA129" s="412">
        <f>X129*'Capital Structure '!$N$21/12</f>
        <v>3992.1131779276202</v>
      </c>
      <c r="CB129" s="412">
        <f>(X129)*'Capital Structure '!$N$34/12</f>
        <v>7930.3091111905333</v>
      </c>
      <c r="CC129" s="412">
        <f>(X129)*'Capital Structure '!$N$18/12</f>
        <v>11482.932287072706</v>
      </c>
      <c r="CD129" s="412">
        <f>('2015 Program 10-Year OBRP'!P29+'2015 Program 7-Year OBRP'!M29+'2015 Program 5-Year OBRP'!K29+'2015 Program 3-Year OBRP'!K29)*('Capital Structure '!$N$34/12)</f>
        <v>50422.002519749796</v>
      </c>
      <c r="CE129" s="412">
        <f>('2015 Program 10-Year OBRP'!P29+'2015 Program 7-Year OBRP'!M29+'2015 Program 5-Year OBRP'!K29+'2015 Program 3-Year OBRP'!K29)*(('Capital Structure '!$N$21/12)+('Capital Structure '!$N$18/12))</f>
        <v>98392.480102500005</v>
      </c>
      <c r="CF129" s="431">
        <f t="shared" si="122"/>
        <v>172219.83719844065</v>
      </c>
      <c r="CG129" s="412">
        <v>-10534.23</v>
      </c>
      <c r="CI129" s="393">
        <v>286229.56</v>
      </c>
      <c r="CJ129" s="431">
        <f t="shared" si="123"/>
        <v>540094.69569844066</v>
      </c>
      <c r="CK129" s="431"/>
      <c r="CL129" s="431"/>
      <c r="CM129" s="431"/>
      <c r="CN129" s="431"/>
      <c r="CO129" s="431"/>
      <c r="CP129" s="431"/>
      <c r="CQ129" s="431"/>
      <c r="CR129" s="431"/>
      <c r="CS129" s="431"/>
      <c r="CT129" s="431"/>
      <c r="CU129" s="431"/>
      <c r="CV129" s="431"/>
      <c r="CW129" s="431"/>
      <c r="CY129" s="412">
        <f t="shared" si="110"/>
        <v>902981.80748324213</v>
      </c>
      <c r="CZ129" s="412">
        <f t="shared" si="124"/>
        <v>-1165353.7711020524</v>
      </c>
      <c r="DA129" s="412">
        <f t="shared" si="125"/>
        <v>-956363.62517003296</v>
      </c>
      <c r="DB129" s="417">
        <v>4.3E-3</v>
      </c>
      <c r="DC129" s="418">
        <f t="shared" si="126"/>
        <v>-342.69696568592849</v>
      </c>
      <c r="DE129" s="420">
        <f t="shared" si="111"/>
        <v>6.9000000000000006E-2</v>
      </c>
      <c r="DF129" s="420">
        <f t="shared" si="112"/>
        <v>0.10502258664412512</v>
      </c>
      <c r="DG129" s="420">
        <f t="shared" si="113"/>
        <v>6.9000000000000006E-2</v>
      </c>
      <c r="DH129" s="420">
        <f t="shared" si="114"/>
        <v>0.10435959425190194</v>
      </c>
    </row>
    <row r="130" spans="1:173" s="351" customFormat="1" ht="17.25" hidden="1">
      <c r="A130" s="430" t="s">
        <v>48</v>
      </c>
      <c r="B130" s="430">
        <v>2017</v>
      </c>
      <c r="C130" s="411" t="s">
        <v>47</v>
      </c>
      <c r="E130" s="412"/>
      <c r="F130" s="551"/>
      <c r="G130" s="435"/>
      <c r="H130" s="412">
        <f>'RGGI - Invest Amort deferred'!AI85</f>
        <v>0</v>
      </c>
      <c r="I130" s="412">
        <f>'RGGI - Invest Amort deferred'!AI85</f>
        <v>0</v>
      </c>
      <c r="J130" s="413">
        <f>'RGGI - Invest Amort deferred'!BL85</f>
        <v>0</v>
      </c>
      <c r="K130" s="435"/>
      <c r="L130" s="414">
        <f>'RGGI II Invest Amort Def'!AI73</f>
        <v>626359.83233333379</v>
      </c>
      <c r="M130" s="414">
        <f>'RGGI II Invest Amort Def'!AI73</f>
        <v>626359.83233333379</v>
      </c>
      <c r="N130" s="413">
        <f>'RGGI II Invest Amort Def'!BK73</f>
        <v>-255867.99150817239</v>
      </c>
      <c r="O130" s="435"/>
      <c r="P130" s="425">
        <f>'2013 program Invest Amort Def'!AY55</f>
        <v>9129481.9826666545</v>
      </c>
      <c r="Q130" s="425">
        <f>'2013 program Invest Amort Def'!AY55</f>
        <v>9129481.9826666545</v>
      </c>
      <c r="R130" s="425">
        <f>'2013 program Invest Amort Def'!CQ55</f>
        <v>-3729393.389919335</v>
      </c>
      <c r="S130" s="373">
        <f t="shared" si="127"/>
        <v>5400088.5927473195</v>
      </c>
      <c r="T130" s="435"/>
      <c r="U130" s="414">
        <f>'2015 Program Invest Amort Def'!BT30</f>
        <v>4110302.6421666662</v>
      </c>
      <c r="V130" s="414">
        <f>'2015 Program Invest Amort Def'!BT30</f>
        <v>4110302.6421666662</v>
      </c>
      <c r="W130" s="414">
        <f>'2015 Program Invest Amort Def'!EG30</f>
        <v>-1434428.4043250838</v>
      </c>
      <c r="X130" s="397">
        <f t="shared" si="115"/>
        <v>2675874.2378415824</v>
      </c>
      <c r="Y130" s="435"/>
      <c r="Z130" s="552">
        <v>19289465.859999999</v>
      </c>
      <c r="AA130" s="549">
        <v>3.0599999999999999E-2</v>
      </c>
      <c r="AB130" s="482">
        <f t="shared" si="116"/>
        <v>590257.65531599999</v>
      </c>
      <c r="AD130" s="440"/>
      <c r="AE130" s="423"/>
      <c r="AF130" s="424">
        <v>0</v>
      </c>
      <c r="AG130" s="424">
        <v>0</v>
      </c>
      <c r="AH130" s="424">
        <v>0</v>
      </c>
      <c r="AI130" s="440">
        <v>0</v>
      </c>
      <c r="AJ130" s="423"/>
      <c r="AK130" s="440">
        <v>0</v>
      </c>
      <c r="AL130" s="440">
        <v>0</v>
      </c>
      <c r="AM130" s="424">
        <v>0</v>
      </c>
      <c r="AO130" s="383">
        <f>'RGGI - Invest Amort deferred'!AG85+'RGGI CHP'!V40</f>
        <v>12500</v>
      </c>
      <c r="AP130" s="423"/>
      <c r="AQ130" s="424">
        <f>(H130+J130)*'Capital Structure '!$F$21/12</f>
        <v>0</v>
      </c>
      <c r="AR130" s="424">
        <f>(H130+J130)*'Capital Structure '!$E$34/12</f>
        <v>0</v>
      </c>
      <c r="AS130" s="424">
        <f>(H130+J130)*'Capital Structure '!$F$18/12</f>
        <v>0</v>
      </c>
      <c r="AT130" s="424">
        <f>'RGGI - On-bill financing'!J85*'Capital Structure '!$E$34/12</f>
        <v>4614.4097915020257</v>
      </c>
      <c r="AU130" s="424">
        <f>'RGGI - On-bill financing'!J85*('Capital Structure '!$F$18+'Capital Structure '!$F$21)/12</f>
        <v>9820.966275333416</v>
      </c>
      <c r="AV130" s="440">
        <f t="shared" si="119"/>
        <v>14435.376066835441</v>
      </c>
      <c r="AW130" s="423"/>
      <c r="AX130" s="440">
        <v>0</v>
      </c>
      <c r="AY130" s="441">
        <f t="shared" si="58"/>
        <v>26935.376066835441</v>
      </c>
      <c r="BA130" s="424">
        <f>'RGGI II Invest Amort Def'!AG73</f>
        <v>138733.573</v>
      </c>
      <c r="BB130" s="423"/>
      <c r="BC130" s="424">
        <f>(L130+N130)*'Capital Structure '!$H$21/12</f>
        <v>563.72031669152091</v>
      </c>
      <c r="BD130" s="424">
        <f>(L130+N130)*'Capital Structure '!$H$34/12</f>
        <v>1125.3725196880057</v>
      </c>
      <c r="BE130" s="424">
        <f>(L130+N130)*'Capital Structure '!$H$18/12</f>
        <v>1629.5173693891195</v>
      </c>
      <c r="BF130" s="424">
        <f>'RGGI II On Bill Fin''g'!L73*'Capital Structure '!$H$34/12</f>
        <v>15472.565890997406</v>
      </c>
      <c r="BG130" s="424">
        <f>'RGGI II On Bill Fin''g'!L73*('Capital Structure '!$H$18+'Capital Structure '!$H$21)/12</f>
        <v>30154.472424748223</v>
      </c>
      <c r="BH130" s="440">
        <f t="shared" si="120"/>
        <v>48945.648521514275</v>
      </c>
      <c r="BI130" s="423"/>
      <c r="BJ130" s="557">
        <v>0</v>
      </c>
      <c r="BK130" s="441">
        <f t="shared" si="106"/>
        <v>187679.22152151429</v>
      </c>
      <c r="BM130" s="424">
        <f>'2013 program Invest Amort Def'!AW55</f>
        <v>425089.54450000002</v>
      </c>
      <c r="BN130" s="424"/>
      <c r="BO130" s="424">
        <f>(S130)*'Capital Structure '!$J$21/12</f>
        <v>7578.1243251554051</v>
      </c>
      <c r="BP130" s="424">
        <f>(S130)*'Capital Structure '!$J$34/12</f>
        <v>16210.429934849322</v>
      </c>
      <c r="BQ130" s="424">
        <f>(S130)*'Capital Structure '!$J$18/12</f>
        <v>23472.385083141682</v>
      </c>
      <c r="BR130" s="424">
        <f>('2013 program 10 yr On Bill Fin'!M55+'2013 program 5 yr On Bill Fin'!L53+'2013 program 2 yr On Bill Fin'!M43)*'Capital Structure '!$J$34/12</f>
        <v>82975.546198409458</v>
      </c>
      <c r="BS130" s="424">
        <f>('2013 program 10 yr On Bill Fin'!M55+'2013 program 5 yr On Bill Fin'!L53+'2013 program 2 yr On Bill Fin'!M43)*('Capital Structure '!$J$18+'Capital Structure '!$J$21)/12</f>
        <v>158936.74555500003</v>
      </c>
      <c r="BT130" s="441">
        <f t="shared" si="121"/>
        <v>289173.23109655589</v>
      </c>
      <c r="BU130" s="423"/>
      <c r="BV130" s="555">
        <v>0</v>
      </c>
      <c r="BW130" s="441">
        <f t="shared" si="48"/>
        <v>714262.7755965559</v>
      </c>
      <c r="BY130" s="424">
        <f>'2015 Program Invest Amort Def'!BR30</f>
        <v>93666.195166666657</v>
      </c>
      <c r="CA130" s="424">
        <f>X130*'Capital Structure '!$N$21/12</f>
        <v>3969.2134527983471</v>
      </c>
      <c r="CB130" s="424">
        <f>(X130)*'Capital Structure '!$N$34/12</f>
        <v>7884.8189432663094</v>
      </c>
      <c r="CC130" s="424">
        <f>(X130)*'Capital Structure '!$N$18/12</f>
        <v>11417.063414790753</v>
      </c>
      <c r="CD130" s="424">
        <f>('2015 Program 10-Year OBRP'!P30+'2015 Program 7-Year OBRP'!M30+'2015 Program 5-Year OBRP'!K30+'2015 Program 3-Year OBRP'!K30)*('Capital Structure '!$N$34/12)</f>
        <v>51891.94932491181</v>
      </c>
      <c r="CE130" s="424">
        <f>('2015 Program 10-Year OBRP'!P30+'2015 Program 7-Year OBRP'!M30+'2015 Program 5-Year OBRP'!K30+'2015 Program 3-Year OBRP'!K30)*(('Capital Structure '!$N$21/12)+('Capital Structure '!$N$18/12))</f>
        <v>101260.90469000001</v>
      </c>
      <c r="CF130" s="441">
        <f t="shared" si="122"/>
        <v>176423.94982576725</v>
      </c>
      <c r="CG130" s="424">
        <v>-9787.94</v>
      </c>
      <c r="CI130" s="481">
        <v>315065.98</v>
      </c>
      <c r="CJ130" s="441">
        <f t="shared" si="123"/>
        <v>575368.18499243387</v>
      </c>
      <c r="CK130" s="431"/>
      <c r="CL130" s="431"/>
      <c r="CM130" s="431"/>
      <c r="CN130" s="431"/>
      <c r="CO130" s="431"/>
      <c r="CP130" s="431"/>
      <c r="CQ130" s="431"/>
      <c r="CR130" s="431"/>
      <c r="CS130" s="431"/>
      <c r="CT130" s="431"/>
      <c r="CU130" s="431"/>
      <c r="CV130" s="431"/>
      <c r="CW130" s="431"/>
      <c r="CY130" s="412">
        <f t="shared" si="110"/>
        <v>913987.90286133962</v>
      </c>
      <c r="CZ130" s="412">
        <f t="shared" si="124"/>
        <v>-251365.86824071279</v>
      </c>
      <c r="DA130" s="412">
        <f t="shared" si="125"/>
        <v>-418994.83333562285</v>
      </c>
      <c r="DB130" s="417">
        <v>1.14E-2</v>
      </c>
      <c r="DC130" s="432">
        <f t="shared" si="126"/>
        <v>-398.04509166884174</v>
      </c>
      <c r="DE130" s="420">
        <f t="shared" si="111"/>
        <v>6.9000000000000006E-2</v>
      </c>
      <c r="DF130" s="420">
        <f t="shared" si="112"/>
        <v>0.10502258664412509</v>
      </c>
      <c r="DG130" s="420">
        <f t="shared" si="113"/>
        <v>6.9000000000000006E-2</v>
      </c>
      <c r="DH130" s="420">
        <f t="shared" si="114"/>
        <v>0.10435959425190197</v>
      </c>
    </row>
    <row r="131" spans="1:173" s="351" customFormat="1" hidden="1">
      <c r="F131" s="370"/>
      <c r="G131" s="435"/>
      <c r="H131" s="384"/>
      <c r="I131" s="384"/>
      <c r="J131" s="384"/>
      <c r="K131" s="384"/>
      <c r="L131" s="384"/>
      <c r="M131" s="384"/>
      <c r="N131" s="384"/>
      <c r="O131" s="384"/>
      <c r="P131" s="384"/>
      <c r="Q131" s="384"/>
      <c r="R131" s="384"/>
      <c r="S131" s="384"/>
      <c r="T131" s="384">
        <f t="shared" ref="T131:AX131" si="128">SUM(T119:T130)</f>
        <v>0</v>
      </c>
      <c r="U131" s="384"/>
      <c r="V131" s="384"/>
      <c r="W131" s="384"/>
      <c r="X131" s="384"/>
      <c r="Y131" s="384"/>
      <c r="Z131" s="384">
        <f>SUM(Z119:Z130)</f>
        <v>652499352.18999994</v>
      </c>
      <c r="AA131" s="384"/>
      <c r="AB131" s="384">
        <f t="shared" si="128"/>
        <v>19966480.177013997</v>
      </c>
      <c r="AC131" s="384"/>
      <c r="AD131" s="384">
        <f t="shared" si="128"/>
        <v>0</v>
      </c>
      <c r="AE131" s="384">
        <f t="shared" si="128"/>
        <v>0</v>
      </c>
      <c r="AF131" s="384">
        <f t="shared" si="128"/>
        <v>0</v>
      </c>
      <c r="AG131" s="384">
        <f t="shared" si="128"/>
        <v>0</v>
      </c>
      <c r="AH131" s="384">
        <f t="shared" si="128"/>
        <v>0</v>
      </c>
      <c r="AI131" s="384">
        <f t="shared" si="128"/>
        <v>0</v>
      </c>
      <c r="AJ131" s="384">
        <f t="shared" si="128"/>
        <v>0</v>
      </c>
      <c r="AK131" s="384">
        <f t="shared" si="128"/>
        <v>0</v>
      </c>
      <c r="AL131" s="384">
        <f t="shared" si="128"/>
        <v>0</v>
      </c>
      <c r="AM131" s="384">
        <f t="shared" si="128"/>
        <v>0</v>
      </c>
      <c r="AN131" s="384"/>
      <c r="AO131" s="384">
        <f t="shared" si="128"/>
        <v>337083.52500000002</v>
      </c>
      <c r="AP131" s="384"/>
      <c r="AQ131" s="384">
        <f t="shared" si="128"/>
        <v>281.68902129356047</v>
      </c>
      <c r="AR131" s="384">
        <f t="shared" si="128"/>
        <v>414.03841326137734</v>
      </c>
      <c r="AS131" s="384">
        <f t="shared" si="128"/>
        <v>599.51951393905699</v>
      </c>
      <c r="AT131" s="384">
        <f t="shared" si="128"/>
        <v>62716.244039514291</v>
      </c>
      <c r="AU131" s="384">
        <f t="shared" si="128"/>
        <v>133480.58483274822</v>
      </c>
      <c r="AV131" s="384">
        <f t="shared" si="128"/>
        <v>197492.07582075649</v>
      </c>
      <c r="AW131" s="384"/>
      <c r="AX131" s="558">
        <f t="shared" si="128"/>
        <v>0</v>
      </c>
      <c r="AY131" s="384">
        <f t="shared" si="58"/>
        <v>534575.60082075652</v>
      </c>
      <c r="AZ131" s="384">
        <f t="shared" ref="AZ131:DC131" si="129">SUM(AZ119:AZ130)</f>
        <v>0</v>
      </c>
      <c r="BA131" s="384">
        <f t="shared" si="129"/>
        <v>2386196.2676666668</v>
      </c>
      <c r="BB131" s="384"/>
      <c r="BC131" s="384">
        <f t="shared" si="129"/>
        <v>17372.977369602599</v>
      </c>
      <c r="BD131" s="384">
        <f t="shared" si="129"/>
        <v>34682.218713807881</v>
      </c>
      <c r="BE131" s="384">
        <f t="shared" si="129"/>
        <v>50219.173486456224</v>
      </c>
      <c r="BF131" s="384">
        <f t="shared" si="129"/>
        <v>207185.77711980612</v>
      </c>
      <c r="BG131" s="384">
        <f t="shared" si="129"/>
        <v>403784.21051639086</v>
      </c>
      <c r="BH131" s="384">
        <f t="shared" si="129"/>
        <v>713244.35720606346</v>
      </c>
      <c r="BI131" s="384"/>
      <c r="BJ131" s="558">
        <f>SUM(BJ119:BJ130)</f>
        <v>0</v>
      </c>
      <c r="BK131" s="384">
        <f t="shared" si="106"/>
        <v>3099440.6248727301</v>
      </c>
      <c r="BL131" s="384"/>
      <c r="BM131" s="384">
        <f t="shared" si="129"/>
        <v>5101074.5339999991</v>
      </c>
      <c r="BN131" s="384">
        <f t="shared" si="129"/>
        <v>0</v>
      </c>
      <c r="BO131" s="384">
        <f t="shared" si="129"/>
        <v>114285.31445191904</v>
      </c>
      <c r="BP131" s="384">
        <f t="shared" si="129"/>
        <v>244468.68420399856</v>
      </c>
      <c r="BQ131" s="384">
        <f t="shared" si="129"/>
        <v>353985.86709097965</v>
      </c>
      <c r="BR131" s="384">
        <f t="shared" si="129"/>
        <v>1094078.9493996787</v>
      </c>
      <c r="BS131" s="384">
        <f t="shared" si="129"/>
        <v>2095669.8155625006</v>
      </c>
      <c r="BT131" s="559">
        <f t="shared" si="129"/>
        <v>3902488.6307090763</v>
      </c>
      <c r="BU131" s="384"/>
      <c r="BV131" s="558">
        <f t="shared" si="129"/>
        <v>0</v>
      </c>
      <c r="BW131" s="384">
        <f t="shared" si="48"/>
        <v>9003563.1647090763</v>
      </c>
      <c r="BX131" s="384"/>
      <c r="BY131" s="384">
        <f t="shared" si="129"/>
        <v>1004224.3419999999</v>
      </c>
      <c r="BZ131" s="384">
        <f t="shared" si="129"/>
        <v>0</v>
      </c>
      <c r="CA131" s="384">
        <f t="shared" si="129"/>
        <v>48764.086440246829</v>
      </c>
      <c r="CB131" s="384">
        <f t="shared" si="129"/>
        <v>96869.568010775372</v>
      </c>
      <c r="CC131" s="384">
        <f t="shared" si="129"/>
        <v>140265.23740115945</v>
      </c>
      <c r="CD131" s="384">
        <f t="shared" si="129"/>
        <v>489089.26385786198</v>
      </c>
      <c r="CE131" s="384">
        <f t="shared" si="129"/>
        <v>954398.93811500003</v>
      </c>
      <c r="CF131" s="384">
        <f t="shared" si="129"/>
        <v>1729387.0938250436</v>
      </c>
      <c r="CG131" s="384">
        <f t="shared" si="129"/>
        <v>-89488.1</v>
      </c>
      <c r="CH131" s="384">
        <f t="shared" si="129"/>
        <v>0</v>
      </c>
      <c r="CI131" s="384">
        <f t="shared" si="129"/>
        <v>3484672.62</v>
      </c>
      <c r="CJ131" s="384">
        <f t="shared" si="129"/>
        <v>6128795.9558250438</v>
      </c>
      <c r="CK131" s="384"/>
      <c r="CL131" s="384"/>
      <c r="CM131" s="384"/>
      <c r="CN131" s="384"/>
      <c r="CO131" s="384"/>
      <c r="CP131" s="384"/>
      <c r="CQ131" s="384"/>
      <c r="CR131" s="384"/>
      <c r="CS131" s="384"/>
      <c r="CT131" s="384"/>
      <c r="CU131" s="384"/>
      <c r="CV131" s="384"/>
      <c r="CW131" s="384"/>
      <c r="CX131" s="384"/>
      <c r="CY131" s="384"/>
      <c r="CZ131" s="384"/>
      <c r="DA131" s="384"/>
      <c r="DB131" s="409"/>
      <c r="DC131" s="384">
        <f t="shared" si="129"/>
        <v>-4748.8559944889284</v>
      </c>
      <c r="DE131" s="420"/>
      <c r="DF131" s="420"/>
      <c r="DG131" s="420"/>
      <c r="DH131" s="420"/>
      <c r="DI131" s="353"/>
      <c r="DJ131" s="353"/>
      <c r="DK131" s="353"/>
      <c r="DL131" s="353"/>
      <c r="DM131" s="353"/>
      <c r="DN131" s="353"/>
      <c r="DO131" s="353"/>
      <c r="DP131" s="353"/>
      <c r="DQ131" s="353"/>
      <c r="DR131" s="353"/>
      <c r="DS131" s="353"/>
      <c r="DT131" s="353"/>
      <c r="DU131" s="353"/>
      <c r="DV131" s="353"/>
      <c r="DW131" s="353"/>
      <c r="DX131" s="353"/>
      <c r="DY131" s="353"/>
      <c r="DZ131" s="353"/>
      <c r="EA131" s="353"/>
      <c r="EB131" s="353"/>
      <c r="EC131" s="353"/>
      <c r="ED131" s="353"/>
      <c r="EE131" s="353"/>
      <c r="EF131" s="353"/>
      <c r="EG131" s="353"/>
      <c r="EH131" s="353"/>
      <c r="EI131" s="353"/>
      <c r="EJ131" s="353"/>
      <c r="EK131" s="353"/>
      <c r="EL131" s="353"/>
      <c r="EM131" s="353"/>
      <c r="EN131" s="353"/>
      <c r="EO131" s="353"/>
      <c r="EP131" s="353"/>
      <c r="EQ131" s="353"/>
      <c r="ER131" s="353"/>
      <c r="ES131" s="353"/>
      <c r="ET131" s="353"/>
      <c r="EU131" s="353"/>
      <c r="EV131" s="353"/>
      <c r="EW131" s="353"/>
      <c r="EX131" s="353"/>
      <c r="EY131" s="353"/>
      <c r="EZ131" s="353"/>
      <c r="FA131" s="353"/>
      <c r="FB131" s="353"/>
      <c r="FC131" s="353"/>
      <c r="FD131" s="353"/>
      <c r="FE131" s="353"/>
      <c r="FF131" s="353"/>
      <c r="FG131" s="353"/>
      <c r="FH131" s="353"/>
      <c r="FI131" s="353"/>
      <c r="FJ131" s="353"/>
      <c r="FK131" s="353"/>
      <c r="FL131" s="353"/>
      <c r="FM131" s="353"/>
      <c r="FN131" s="353"/>
      <c r="FO131" s="353"/>
      <c r="FP131" s="353"/>
      <c r="FQ131" s="353"/>
    </row>
    <row r="132" spans="1:173" s="351" customFormat="1" hidden="1">
      <c r="F132" s="370"/>
      <c r="G132" s="435"/>
      <c r="H132" s="435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5"/>
      <c r="Y132" s="435"/>
      <c r="Z132" s="435"/>
      <c r="AA132" s="435"/>
      <c r="DB132" s="409"/>
      <c r="DE132" s="420"/>
      <c r="DF132" s="420"/>
      <c r="DG132" s="420"/>
      <c r="DH132" s="420"/>
      <c r="DI132" s="353"/>
      <c r="DJ132" s="353"/>
      <c r="DK132" s="353"/>
      <c r="DL132" s="353"/>
      <c r="DM132" s="353"/>
      <c r="DN132" s="353"/>
      <c r="DO132" s="353"/>
      <c r="DP132" s="353"/>
      <c r="DQ132" s="353"/>
      <c r="DR132" s="353"/>
      <c r="DS132" s="353"/>
      <c r="DT132" s="353"/>
      <c r="DU132" s="353"/>
      <c r="DV132" s="353"/>
      <c r="DW132" s="353"/>
      <c r="DX132" s="353"/>
      <c r="DY132" s="353"/>
      <c r="DZ132" s="353"/>
      <c r="EA132" s="353"/>
      <c r="EB132" s="353"/>
      <c r="EC132" s="353"/>
      <c r="ED132" s="353"/>
      <c r="EE132" s="353"/>
      <c r="EF132" s="353"/>
      <c r="EG132" s="353"/>
      <c r="EH132" s="353"/>
      <c r="EI132" s="353"/>
      <c r="EJ132" s="353"/>
      <c r="EK132" s="353"/>
      <c r="EL132" s="353"/>
      <c r="EM132" s="353"/>
      <c r="EN132" s="353"/>
      <c r="EO132" s="353"/>
      <c r="EP132" s="353"/>
      <c r="EQ132" s="353"/>
      <c r="ER132" s="353"/>
      <c r="ES132" s="353"/>
      <c r="ET132" s="353"/>
      <c r="EU132" s="353"/>
      <c r="EV132" s="353"/>
      <c r="EW132" s="353"/>
      <c r="EX132" s="353"/>
      <c r="EY132" s="353"/>
      <c r="EZ132" s="353"/>
      <c r="FA132" s="353"/>
      <c r="FB132" s="353"/>
      <c r="FC132" s="353"/>
      <c r="FD132" s="353"/>
      <c r="FE132" s="353"/>
      <c r="FF132" s="353"/>
      <c r="FG132" s="353"/>
      <c r="FH132" s="353"/>
      <c r="FI132" s="353"/>
      <c r="FJ132" s="353"/>
      <c r="FK132" s="353"/>
      <c r="FL132" s="353"/>
      <c r="FM132" s="353"/>
      <c r="FN132" s="353"/>
      <c r="FO132" s="353"/>
      <c r="FP132" s="353"/>
      <c r="FQ132" s="353"/>
    </row>
    <row r="133" spans="1:173" s="351" customFormat="1" ht="30" hidden="1">
      <c r="C133" s="353"/>
      <c r="F133" s="370"/>
      <c r="G133" s="435"/>
      <c r="H133" s="435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5"/>
      <c r="Y133" s="435"/>
      <c r="Z133" s="435"/>
      <c r="AA133" s="435"/>
      <c r="BO133" s="412"/>
      <c r="BP133" s="412"/>
      <c r="BQ133" s="412"/>
      <c r="BR133" s="412"/>
      <c r="BS133" s="412"/>
      <c r="BT133" s="396"/>
      <c r="CY133" s="410" t="s">
        <v>49</v>
      </c>
      <c r="CZ133" s="384">
        <f>CZ130+DC131</f>
        <v>-256114.72423520172</v>
      </c>
      <c r="DB133" s="409"/>
      <c r="DE133" s="420"/>
      <c r="DF133" s="420"/>
      <c r="DG133" s="420"/>
      <c r="DH133" s="420"/>
      <c r="DI133" s="353"/>
      <c r="DJ133" s="353"/>
      <c r="DK133" s="353"/>
      <c r="DL133" s="353"/>
      <c r="DM133" s="353"/>
      <c r="DN133" s="353"/>
      <c r="DO133" s="353"/>
      <c r="DP133" s="353"/>
      <c r="DQ133" s="353"/>
      <c r="DR133" s="353"/>
      <c r="DS133" s="353"/>
      <c r="DT133" s="353"/>
      <c r="DU133" s="353"/>
      <c r="DV133" s="353"/>
      <c r="DW133" s="353"/>
      <c r="DX133" s="353"/>
      <c r="DY133" s="353"/>
      <c r="DZ133" s="353"/>
      <c r="EA133" s="353"/>
      <c r="EB133" s="353"/>
      <c r="EC133" s="353"/>
      <c r="ED133" s="353"/>
      <c r="EE133" s="353"/>
      <c r="EF133" s="353"/>
      <c r="EG133" s="353"/>
      <c r="EH133" s="353"/>
      <c r="EI133" s="353"/>
      <c r="EJ133" s="353"/>
      <c r="EK133" s="353"/>
      <c r="EL133" s="353"/>
      <c r="EM133" s="353"/>
      <c r="EN133" s="353"/>
      <c r="EO133" s="353"/>
      <c r="EP133" s="353"/>
      <c r="EQ133" s="353"/>
      <c r="ER133" s="353"/>
      <c r="ES133" s="353"/>
      <c r="ET133" s="353"/>
      <c r="EU133" s="353"/>
      <c r="EV133" s="353"/>
      <c r="EW133" s="353"/>
      <c r="EX133" s="353"/>
      <c r="EY133" s="353"/>
      <c r="EZ133" s="353"/>
      <c r="FA133" s="353"/>
      <c r="FB133" s="353"/>
      <c r="FC133" s="353"/>
      <c r="FD133" s="353"/>
      <c r="FE133" s="353"/>
      <c r="FF133" s="353"/>
      <c r="FG133" s="353"/>
      <c r="FH133" s="353"/>
      <c r="FI133" s="353"/>
      <c r="FJ133" s="353"/>
      <c r="FK133" s="353"/>
      <c r="FL133" s="353"/>
      <c r="FM133" s="353"/>
      <c r="FN133" s="353"/>
      <c r="FO133" s="353"/>
      <c r="FP133" s="353"/>
      <c r="FQ133" s="353"/>
    </row>
    <row r="134" spans="1:173" s="351" customFormat="1" hidden="1">
      <c r="A134" s="430" t="s">
        <v>50</v>
      </c>
      <c r="B134" s="351">
        <v>2017</v>
      </c>
      <c r="C134" s="411" t="s">
        <v>47</v>
      </c>
      <c r="F134" s="370"/>
      <c r="G134" s="435"/>
      <c r="H134" s="412">
        <f>'RGGI - Invest Amort deferred'!AI86</f>
        <v>0</v>
      </c>
      <c r="I134" s="412">
        <f>'RGGI - Invest Amort deferred'!AI86</f>
        <v>0</v>
      </c>
      <c r="J134" s="413">
        <f>'RGGI - Invest Amort deferred'!BL86</f>
        <v>0</v>
      </c>
      <c r="K134" s="435"/>
      <c r="L134" s="414">
        <f>'RGGI II Invest Amort Def'!AI74</f>
        <v>499081.6006666664</v>
      </c>
      <c r="M134" s="414">
        <f>'RGGI II Invest Amort Def'!AI74</f>
        <v>499081.6006666664</v>
      </c>
      <c r="N134" s="413">
        <f>'RGGI II Invest Amort Def'!BK74</f>
        <v>-203874.83387233905</v>
      </c>
      <c r="O134" s="435"/>
      <c r="P134" s="425">
        <f>'2013 program Invest Amort Def'!AY56</f>
        <v>8704392.4381666556</v>
      </c>
      <c r="Q134" s="425">
        <f>'2013 program Invest Amort Def'!AY56</f>
        <v>8704392.4381666556</v>
      </c>
      <c r="R134" s="425">
        <f>'2013 program Invest Amort Def'!CQ56</f>
        <v>-3555744.3109910851</v>
      </c>
      <c r="S134" s="373">
        <f t="shared" ref="S134:S145" si="130">+P134+R134</f>
        <v>5148648.1271755705</v>
      </c>
      <c r="T134" s="435"/>
      <c r="U134" s="414">
        <f>'2015 Program Invest Amort Def'!BT31</f>
        <v>4107398.1136666662</v>
      </c>
      <c r="V134" s="414">
        <f>'2015 Program Invest Amort Def'!BT31</f>
        <v>4107398.1136666662</v>
      </c>
      <c r="W134" s="414">
        <f>'2015 Program Invest Amort Def'!EG31</f>
        <v>-1442487.6210995005</v>
      </c>
      <c r="X134" s="397">
        <f t="shared" ref="X134:X145" si="131">U134+W134</f>
        <v>2664910.4925671658</v>
      </c>
      <c r="Y134" s="435"/>
      <c r="Z134" s="394">
        <f t="array" ref="Z134:Z139">TRANSPOSE('Schedule NJNG-3 - Page 3'!C28:H28)</f>
        <v>24779509.010000002</v>
      </c>
      <c r="AA134" s="480">
        <v>3.0599999999999999E-2</v>
      </c>
      <c r="AB134" s="439">
        <f t="shared" ref="AB134:AB145" si="132">+Z134*AA134</f>
        <v>758252.975706</v>
      </c>
      <c r="AO134" s="372">
        <f>'RGGI - Invest Amort deferred'!AG86+'RGGI CHP'!V41</f>
        <v>12500</v>
      </c>
      <c r="AQ134" s="412">
        <f>(H134+J134)*'Capital Structure '!$F$21/12</f>
        <v>0</v>
      </c>
      <c r="AR134" s="412">
        <f>(H134+J134)*'Capital Structure '!$E$34/12</f>
        <v>0</v>
      </c>
      <c r="AS134" s="412">
        <f>(H134+J134)*'Capital Structure '!$F$18/12</f>
        <v>0</v>
      </c>
      <c r="AT134" s="412">
        <f>'RGGI - On-bill financing'!J86*'Capital Structure '!$E$34/12</f>
        <v>4490.0176076288399</v>
      </c>
      <c r="AU134" s="412">
        <f>'RGGI - On-bill financing'!J86*('Capital Structure '!$F$18+'Capital Structure '!$F$21)/12</f>
        <v>9556.2192116930255</v>
      </c>
      <c r="AV134" s="415">
        <f t="shared" ref="AV134:AV145" si="133">SUM(AQ134:AU134)</f>
        <v>14046.236819321864</v>
      </c>
      <c r="AX134" s="415">
        <v>0</v>
      </c>
      <c r="AY134" s="431">
        <f t="shared" ref="AY134:AY145" si="134">+AX134+AV134+AO134</f>
        <v>26546.236819321864</v>
      </c>
      <c r="BA134" s="412">
        <f>'RGGI II Invest Amort Def'!AG74</f>
        <v>127278.23166666669</v>
      </c>
      <c r="BC134" s="412">
        <f>(L134+N134)*'Capital Structure '!$H$21/12</f>
        <v>449.17062598771378</v>
      </c>
      <c r="BD134" s="412">
        <f>(L134+N134)*'Capital Structure '!$H$34/12</f>
        <v>896.69338530199423</v>
      </c>
      <c r="BE134" s="412">
        <f>(L134+N134)*'Capital Structure '!$H$18/12</f>
        <v>1298.3944612145158</v>
      </c>
      <c r="BF134" s="412">
        <f>'RGGI II On Bill Fin''g'!L74*'Capital Structure '!$H$34/12</f>
        <v>15135.243130580386</v>
      </c>
      <c r="BG134" s="412">
        <f>'RGGI II On Bill Fin''g'!L74*('Capital Structure '!$H$18+'Capital Structure '!$H$21)/12</f>
        <v>29497.064342023343</v>
      </c>
      <c r="BH134" s="415">
        <f t="shared" ref="BH134:BH145" si="135">SUM(BC134:BG134)</f>
        <v>47276.565945107955</v>
      </c>
      <c r="BJ134" s="558">
        <v>0</v>
      </c>
      <c r="BK134" s="431">
        <f t="shared" ref="BK134:BK145" si="136">+BJ134+BH134+BA134</f>
        <v>174554.79761177464</v>
      </c>
      <c r="BM134" s="412">
        <f>'2013 program Invest Amort Def'!AW56</f>
        <v>425089.54450000002</v>
      </c>
      <c r="BO134" s="412">
        <f>(S134)*'Capital Structure '!$J$21/12</f>
        <v>7225.2695384697181</v>
      </c>
      <c r="BP134" s="412">
        <f>(S134)*'Capital Structure '!$J$34/12</f>
        <v>15455.635271774532</v>
      </c>
      <c r="BQ134" s="412">
        <f>(S134)*'Capital Structure '!$J$18/12</f>
        <v>22379.457192789811</v>
      </c>
      <c r="BR134" s="412">
        <f>('2013 program 10 yr On Bill Fin'!M56+'2013 program 5 yr On Bill Fin'!L54+'2013 program 2 yr On Bill Fin'!M44)*'Capital Structure '!$J$34/12</f>
        <v>81665.113839775469</v>
      </c>
      <c r="BS134" s="412">
        <f>('2013 program 10 yr On Bill Fin'!M56+'2013 program 5 yr On Bill Fin'!L54+'2013 program 2 yr On Bill Fin'!M44)*('Capital Structure '!$J$18+'Capital Structure '!$J$21)/12</f>
        <v>156426.65838000001</v>
      </c>
      <c r="BT134" s="431">
        <f t="shared" ref="BT134:BT145" si="137">SUM(BO134:BS134)</f>
        <v>283152.13422280957</v>
      </c>
      <c r="BV134" s="560">
        <v>0</v>
      </c>
      <c r="BW134" s="431">
        <f t="shared" ref="BW134:BW145" si="138">+BV134+BT134+BM134</f>
        <v>708241.67872280953</v>
      </c>
      <c r="BY134" s="412">
        <f>'2015 Program Invest Amort Def'!BR31</f>
        <v>95204.528499999986</v>
      </c>
      <c r="CA134" s="412">
        <f>X134*'Capital Structure '!$N$21/12</f>
        <v>3952.9505639746294</v>
      </c>
      <c r="CB134" s="412">
        <f>(X134)*'Capital Structure '!$N$34/12</f>
        <v>7852.5128112342609</v>
      </c>
      <c r="CC134" s="412">
        <f>(X134)*'Capital Structure '!$N$18/12</f>
        <v>11370.284768286574</v>
      </c>
      <c r="CD134" s="412">
        <f>('2015 Program 10-Year OBRP'!P31+'2015 Program 7-Year OBRP'!M31+'2015 Program 5-Year OBRP'!K31+'2015 Program 3-Year OBRP'!K31)*('Capital Structure '!$N$34/12)</f>
        <v>54599.983828864475</v>
      </c>
      <c r="CE134" s="412">
        <f>('2015 Program 10-Year OBRP'!P31+'2015 Program 7-Year OBRP'!M31+'2015 Program 5-Year OBRP'!K31+'2015 Program 3-Year OBRP'!K31)*(('Capital Structure '!$N$21/12)+('Capital Structure '!$N$18/12))</f>
        <v>106545.30867500001</v>
      </c>
      <c r="CF134" s="431">
        <f t="shared" ref="CF134:CF145" si="139">SUM(CA134:CE134)</f>
        <v>184321.04064735994</v>
      </c>
      <c r="CG134" s="412">
        <v>-11035.67</v>
      </c>
      <c r="CI134" s="393">
        <v>434312.79</v>
      </c>
      <c r="CJ134" s="431">
        <f t="shared" ref="CJ134:CJ146" si="140">BY134+CF134+CG134+CI134</f>
        <v>702802.68914735992</v>
      </c>
      <c r="CK134" s="431"/>
      <c r="CL134" s="431"/>
      <c r="CM134" s="431"/>
      <c r="CN134" s="431"/>
      <c r="CO134" s="431"/>
      <c r="CP134" s="431"/>
      <c r="CQ134" s="431"/>
      <c r="CR134" s="431"/>
      <c r="CS134" s="431"/>
      <c r="CT134" s="431"/>
      <c r="CU134" s="431"/>
      <c r="CV134" s="431"/>
      <c r="CW134" s="431"/>
      <c r="CY134" s="412">
        <f t="shared" ref="CY134:CY139" si="141">+BW134+BK134+AY134+AM134+CJ134-AB134</f>
        <v>853892.42659526586</v>
      </c>
      <c r="CZ134" s="412">
        <f t="shared" ref="CZ134:CZ145" si="142">+CZ133+CY134</f>
        <v>597777.70236006414</v>
      </c>
      <c r="DA134" s="412">
        <f>(CZ133+CZ134)/2*(1-0.4085)</f>
        <v>101046.82578042806</v>
      </c>
      <c r="DB134" s="417">
        <v>1.15E-2</v>
      </c>
      <c r="DC134" s="434">
        <f t="shared" ref="DC134:DC145" si="143">(DA134)*DB134/12</f>
        <v>96.836541372910219</v>
      </c>
      <c r="DE134" s="420">
        <f t="shared" ref="DE134:DE175" si="144">(BO134+BQ134)/(S134)*12</f>
        <v>6.9000000000000006E-2</v>
      </c>
      <c r="DF134" s="420">
        <f t="shared" ref="DF134:DF175" si="145">(BO134+BP134+BQ134)/(S134)*12</f>
        <v>0.10502258664412509</v>
      </c>
      <c r="DG134" s="420">
        <f t="shared" ref="DG134:DG175" si="146">(CA134+CC134)/(X134)*12</f>
        <v>6.9000000000000006E-2</v>
      </c>
      <c r="DH134" s="420">
        <f t="shared" ref="DH134:DH175" si="147">(CA134+CB134+CC134)/(X134)*12</f>
        <v>0.10435959425190194</v>
      </c>
      <c r="DI134" s="394"/>
      <c r="DJ134" s="353"/>
      <c r="DK134" s="353"/>
      <c r="DL134" s="353"/>
      <c r="DM134" s="353"/>
      <c r="DN134" s="353"/>
      <c r="DO134" s="353"/>
      <c r="DP134" s="353"/>
      <c r="DQ134" s="353"/>
      <c r="DR134" s="353"/>
      <c r="DS134" s="353"/>
      <c r="DT134" s="353"/>
      <c r="DU134" s="353"/>
      <c r="DV134" s="353"/>
      <c r="DW134" s="353"/>
      <c r="DX134" s="353"/>
      <c r="DY134" s="353"/>
      <c r="DZ134" s="353"/>
      <c r="EA134" s="353"/>
      <c r="EB134" s="353"/>
      <c r="EC134" s="353"/>
      <c r="ED134" s="353"/>
      <c r="EE134" s="353"/>
      <c r="EF134" s="353"/>
      <c r="EG134" s="353"/>
      <c r="EH134" s="353"/>
      <c r="EI134" s="353"/>
      <c r="EJ134" s="353"/>
      <c r="EK134" s="353"/>
      <c r="EL134" s="353"/>
      <c r="EM134" s="353"/>
      <c r="EN134" s="353"/>
      <c r="EO134" s="353"/>
      <c r="EP134" s="353"/>
      <c r="EQ134" s="353"/>
      <c r="ER134" s="353"/>
      <c r="ES134" s="353"/>
      <c r="ET134" s="353"/>
      <c r="EU134" s="353"/>
      <c r="EV134" s="353"/>
      <c r="EW134" s="353"/>
      <c r="EX134" s="353"/>
      <c r="EY134" s="353"/>
      <c r="EZ134" s="353"/>
      <c r="FA134" s="353"/>
      <c r="FB134" s="353"/>
      <c r="FC134" s="353"/>
      <c r="FD134" s="353"/>
      <c r="FE134" s="353"/>
      <c r="FF134" s="353"/>
      <c r="FG134" s="353"/>
      <c r="FH134" s="353"/>
      <c r="FI134" s="353"/>
      <c r="FJ134" s="353"/>
      <c r="FK134" s="353"/>
      <c r="FL134" s="353"/>
      <c r="FM134" s="353"/>
      <c r="FN134" s="353"/>
      <c r="FO134" s="353"/>
      <c r="FP134" s="353"/>
      <c r="FQ134" s="353"/>
    </row>
    <row r="135" spans="1:173" s="351" customFormat="1" hidden="1">
      <c r="A135" s="430" t="s">
        <v>51</v>
      </c>
      <c r="B135" s="351">
        <v>2017</v>
      </c>
      <c r="C135" s="411" t="s">
        <v>47</v>
      </c>
      <c r="F135" s="370"/>
      <c r="G135" s="435"/>
      <c r="H135" s="412">
        <f>'RGGI - Invest Amort deferred'!AI87</f>
        <v>0</v>
      </c>
      <c r="I135" s="412">
        <f>'RGGI - Invest Amort deferred'!AI87</f>
        <v>0</v>
      </c>
      <c r="J135" s="413">
        <f>'RGGI - Invest Amort deferred'!BL87</f>
        <v>0</v>
      </c>
      <c r="K135" s="435"/>
      <c r="L135" s="414">
        <f>'RGGI II Invest Amort Def'!AI75</f>
        <v>380616.70233333297</v>
      </c>
      <c r="M135" s="414">
        <f>'RGGI II Invest Amort Def'!AI75</f>
        <v>380616.70233333297</v>
      </c>
      <c r="N135" s="413">
        <f>'RGGI II Invest Amort Def'!BK75</f>
        <v>-155481.92290317238</v>
      </c>
      <c r="O135" s="435"/>
      <c r="P135" s="425">
        <f>'2013 program Invest Amort Def'!AY57</f>
        <v>8279302.8936666548</v>
      </c>
      <c r="Q135" s="425">
        <f>'2013 program Invest Amort Def'!AY57</f>
        <v>8279302.8936666548</v>
      </c>
      <c r="R135" s="425">
        <f>'2013 program Invest Amort Def'!CQ57</f>
        <v>-3382095.2320628352</v>
      </c>
      <c r="S135" s="373">
        <f t="shared" si="130"/>
        <v>4897207.6616038196</v>
      </c>
      <c r="T135" s="435"/>
      <c r="U135" s="414">
        <f>'2015 Program Invest Amort Def'!BT32</f>
        <v>4079256.9184999997</v>
      </c>
      <c r="V135" s="414">
        <f>'2015 Program Invest Amort Def'!BT32</f>
        <v>4079256.9184999997</v>
      </c>
      <c r="W135" s="414">
        <f>'2015 Program Invest Amort Def'!EG32</f>
        <v>-1447485.1303739171</v>
      </c>
      <c r="X135" s="397">
        <f t="shared" si="131"/>
        <v>2631771.7881260826</v>
      </c>
      <c r="Y135" s="435"/>
      <c r="Z135" s="394">
        <v>67692585.429999992</v>
      </c>
      <c r="AA135" s="480">
        <v>2.4899999999999999E-2</v>
      </c>
      <c r="AB135" s="439">
        <f t="shared" si="132"/>
        <v>1685545.3772069998</v>
      </c>
      <c r="AO135" s="372">
        <f>'RGGI - Invest Amort deferred'!AG87+'RGGI CHP'!V42</f>
        <v>12500</v>
      </c>
      <c r="AQ135" s="412">
        <f>(H135+J135)*'Capital Structure '!$F$21/12</f>
        <v>0</v>
      </c>
      <c r="AR135" s="412">
        <f>(H135+J135)*'Capital Structure '!$E$34/12</f>
        <v>0</v>
      </c>
      <c r="AS135" s="412">
        <f>(H135+J135)*'Capital Structure '!$F$18/12</f>
        <v>0</v>
      </c>
      <c r="AT135" s="412">
        <f>'RGGI - On-bill financing'!J87*'Capital Structure '!$E$34/12</f>
        <v>4394.6986126745405</v>
      </c>
      <c r="AU135" s="412">
        <f>'RGGI - On-bill financing'!J87*('Capital Structure '!$F$18+'Capital Structure '!$F$21)/12</f>
        <v>9353.3493589615173</v>
      </c>
      <c r="AV135" s="415">
        <f t="shared" si="133"/>
        <v>13748.047971636057</v>
      </c>
      <c r="AX135" s="415">
        <v>0</v>
      </c>
      <c r="AY135" s="431">
        <f t="shared" si="134"/>
        <v>26248.047971636057</v>
      </c>
      <c r="BA135" s="412">
        <f>'RGGI II Invest Amort Def'!AG75</f>
        <v>118464.89833333335</v>
      </c>
      <c r="BC135" s="412">
        <f>(L135+N135)*'Capital Structure '!$H$21/12</f>
        <v>342.55288558037984</v>
      </c>
      <c r="BD135" s="412">
        <f>(L135+N135)*'Capital Structure '!$H$34/12</f>
        <v>683.84905166180533</v>
      </c>
      <c r="BE135" s="412">
        <f>(L135+N135)*'Capital Structure '!$H$18/12</f>
        <v>990.20003441360575</v>
      </c>
      <c r="BF135" s="412">
        <f>'RGGI II On Bill Fin''g'!L75*'Capital Structure '!$H$34/12</f>
        <v>14853.962148731216</v>
      </c>
      <c r="BG135" s="412">
        <f>'RGGI II On Bill Fin''g'!L75*('Capital Structure '!$H$18+'Capital Structure '!$H$21)/12</f>
        <v>28948.876040837175</v>
      </c>
      <c r="BH135" s="415">
        <f t="shared" si="135"/>
        <v>45819.440161224178</v>
      </c>
      <c r="BJ135" s="558">
        <v>0</v>
      </c>
      <c r="BK135" s="431">
        <f t="shared" si="136"/>
        <v>164284.33849455754</v>
      </c>
      <c r="BM135" s="412">
        <f>'2013 program Invest Amort Def'!AW57</f>
        <v>425089.54450000002</v>
      </c>
      <c r="BO135" s="412">
        <f>(S135)*'Capital Structure '!$J$21/12</f>
        <v>6872.4147517840274</v>
      </c>
      <c r="BP135" s="412">
        <f>(S135)*'Capital Structure '!$J$34/12</f>
        <v>14700.840608699737</v>
      </c>
      <c r="BQ135" s="412">
        <f>(S135)*'Capital Structure '!$J$18/12</f>
        <v>21286.529302437935</v>
      </c>
      <c r="BR135" s="412">
        <f>('2013 program 10 yr On Bill Fin'!M57+'2013 program 5 yr On Bill Fin'!L55+'2013 program 2 yr On Bill Fin'!M45)*'Capital Structure '!$J$34/12</f>
        <v>80511.69138845554</v>
      </c>
      <c r="BS135" s="412">
        <f>('2013 program 10 yr On Bill Fin'!M57+'2013 program 5 yr On Bill Fin'!L55+'2013 program 2 yr On Bill Fin'!M45)*('Capital Structure '!$J$18+'Capital Structure '!$J$21)/12</f>
        <v>154217.31817000001</v>
      </c>
      <c r="BT135" s="431">
        <f t="shared" si="137"/>
        <v>277588.79422137723</v>
      </c>
      <c r="BV135" s="560">
        <v>0</v>
      </c>
      <c r="BW135" s="431">
        <f t="shared" si="138"/>
        <v>702678.33872137731</v>
      </c>
      <c r="BY135" s="412">
        <f>'2015 Program Invest Amort Def'!BR32</f>
        <v>96341.195166666657</v>
      </c>
      <c r="CA135" s="412">
        <f>X135*'Capital Structure '!$N$21/12</f>
        <v>3903.7948190536895</v>
      </c>
      <c r="CB135" s="412">
        <f>(X135)*'Capital Structure '!$N$34/12</f>
        <v>7754.8652159783951</v>
      </c>
      <c r="CC135" s="412">
        <f>(X135)*'Capital Structure '!$N$18/12</f>
        <v>11228.892962671285</v>
      </c>
      <c r="CD135" s="412">
        <f>('2015 Program 10-Year OBRP'!P32+'2015 Program 7-Year OBRP'!M32+'2015 Program 5-Year OBRP'!K32+'2015 Program 3-Year OBRP'!K32)*('Capital Structure '!$N$34/12)</f>
        <v>56490.083322012957</v>
      </c>
      <c r="CE135" s="412">
        <f>('2015 Program 10-Year OBRP'!P32+'2015 Program 7-Year OBRP'!M32+'2015 Program 5-Year OBRP'!K32+'2015 Program 3-Year OBRP'!K32)*(('Capital Structure '!$N$21/12)+('Capital Structure '!$N$18/12))</f>
        <v>110233.61075499999</v>
      </c>
      <c r="CF135" s="431">
        <f t="shared" si="139"/>
        <v>189611.24707471632</v>
      </c>
      <c r="CG135" s="412">
        <v>-11507.67</v>
      </c>
      <c r="CI135" s="393">
        <v>253234.13000000003</v>
      </c>
      <c r="CJ135" s="431">
        <f t="shared" si="140"/>
        <v>527678.90224138298</v>
      </c>
      <c r="CK135" s="431"/>
      <c r="CL135" s="431"/>
      <c r="CM135" s="431"/>
      <c r="CN135" s="431"/>
      <c r="CO135" s="431"/>
      <c r="CP135" s="431"/>
      <c r="CQ135" s="431"/>
      <c r="CR135" s="431"/>
      <c r="CS135" s="431"/>
      <c r="CT135" s="431"/>
      <c r="CU135" s="431"/>
      <c r="CV135" s="431"/>
      <c r="CW135" s="431"/>
      <c r="CY135" s="412">
        <f t="shared" si="141"/>
        <v>-264655.74977804581</v>
      </c>
      <c r="CZ135" s="412">
        <f t="shared" si="142"/>
        <v>333121.95258201833</v>
      </c>
      <c r="DA135" s="412">
        <f>(CZ134+CZ135)/2*(1-0.4085)</f>
        <v>275313.57294912089</v>
      </c>
      <c r="DB135" s="417">
        <v>1.15E-2</v>
      </c>
      <c r="DC135" s="434">
        <f t="shared" si="143"/>
        <v>263.84217407624084</v>
      </c>
      <c r="DE135" s="420">
        <f t="shared" si="144"/>
        <v>6.9000000000000006E-2</v>
      </c>
      <c r="DF135" s="420">
        <f t="shared" si="145"/>
        <v>0.10502258664412507</v>
      </c>
      <c r="DG135" s="420">
        <f t="shared" si="146"/>
        <v>6.9000000000000006E-2</v>
      </c>
      <c r="DH135" s="420">
        <f t="shared" si="147"/>
        <v>0.10435959425190194</v>
      </c>
      <c r="DI135" s="394"/>
      <c r="DJ135" s="353"/>
      <c r="DK135" s="353"/>
      <c r="DL135" s="353"/>
      <c r="DM135" s="353"/>
      <c r="DN135" s="353"/>
      <c r="DO135" s="353"/>
      <c r="DP135" s="353"/>
      <c r="DQ135" s="353"/>
      <c r="DR135" s="353"/>
      <c r="DS135" s="353"/>
      <c r="DT135" s="353"/>
      <c r="DU135" s="353"/>
      <c r="DV135" s="353"/>
      <c r="DW135" s="353"/>
      <c r="DX135" s="353"/>
      <c r="DY135" s="353"/>
      <c r="DZ135" s="353"/>
      <c r="EA135" s="353"/>
      <c r="EB135" s="353"/>
      <c r="EC135" s="353"/>
      <c r="ED135" s="353"/>
      <c r="EE135" s="353"/>
      <c r="EF135" s="353"/>
      <c r="EG135" s="353"/>
      <c r="EH135" s="353"/>
      <c r="EI135" s="353"/>
      <c r="EJ135" s="353"/>
      <c r="EK135" s="353"/>
      <c r="EL135" s="353"/>
      <c r="EM135" s="353"/>
      <c r="EN135" s="353"/>
      <c r="EO135" s="353"/>
      <c r="EP135" s="353"/>
      <c r="EQ135" s="353"/>
      <c r="ER135" s="353"/>
      <c r="ES135" s="353"/>
      <c r="ET135" s="353"/>
      <c r="EU135" s="353"/>
      <c r="EV135" s="353"/>
      <c r="EW135" s="353"/>
      <c r="EX135" s="353"/>
      <c r="EY135" s="353"/>
      <c r="EZ135" s="353"/>
      <c r="FA135" s="353"/>
      <c r="FB135" s="353"/>
      <c r="FC135" s="353"/>
      <c r="FD135" s="353"/>
      <c r="FE135" s="353"/>
      <c r="FF135" s="353"/>
      <c r="FG135" s="353"/>
      <c r="FH135" s="353"/>
      <c r="FI135" s="353"/>
      <c r="FJ135" s="353"/>
      <c r="FK135" s="353"/>
      <c r="FL135" s="353"/>
      <c r="FM135" s="353"/>
      <c r="FN135" s="353"/>
      <c r="FO135" s="353"/>
      <c r="FP135" s="353"/>
      <c r="FQ135" s="353"/>
    </row>
    <row r="136" spans="1:173" s="351" customFormat="1" hidden="1">
      <c r="A136" s="430" t="s">
        <v>52</v>
      </c>
      <c r="B136" s="351">
        <v>2017</v>
      </c>
      <c r="C136" s="411" t="s">
        <v>47</v>
      </c>
      <c r="F136" s="370"/>
      <c r="G136" s="435"/>
      <c r="H136" s="412">
        <f>'RGGI - Invest Amort deferred'!AI88</f>
        <v>0</v>
      </c>
      <c r="I136" s="412">
        <f>'RGGI - Invest Amort deferred'!AI88</f>
        <v>0</v>
      </c>
      <c r="J136" s="413">
        <f>'RGGI - Invest Amort deferred'!BL88</f>
        <v>0</v>
      </c>
      <c r="K136" s="435"/>
      <c r="L136" s="414">
        <f>'RGGI II Invest Amort Def'!AI76</f>
        <v>274976.80399999954</v>
      </c>
      <c r="M136" s="414">
        <f>'RGGI II Invest Amort Def'!AI76</f>
        <v>274976.80399999954</v>
      </c>
      <c r="N136" s="413">
        <f>'RGGI II Invest Amort Def'!BK76</f>
        <v>-112328.02443400571</v>
      </c>
      <c r="O136" s="435"/>
      <c r="P136" s="425">
        <f>'2013 program Invest Amort Def'!AY58</f>
        <v>7854213.3491666541</v>
      </c>
      <c r="Q136" s="425">
        <f>'2013 program Invest Amort Def'!AY58</f>
        <v>7854213.3491666541</v>
      </c>
      <c r="R136" s="425">
        <f>'2013 program Invest Amort Def'!CQ58</f>
        <v>-3208446.1531345854</v>
      </c>
      <c r="S136" s="373">
        <f t="shared" si="130"/>
        <v>4645767.1960320687</v>
      </c>
      <c r="T136" s="435"/>
      <c r="U136" s="414">
        <f>'2015 Program Invest Amort Def'!BT33</f>
        <v>4049684.0566666662</v>
      </c>
      <c r="V136" s="414">
        <f>'2015 Program Invest Amort Def'!BT33</f>
        <v>4049684.0566666662</v>
      </c>
      <c r="W136" s="414">
        <f>'2015 Program Invest Amort Def'!EG33</f>
        <v>-1451026.3371483337</v>
      </c>
      <c r="X136" s="397">
        <f t="shared" si="131"/>
        <v>2598657.7195183327</v>
      </c>
      <c r="Y136" s="435"/>
      <c r="Z136" s="394">
        <v>119292949.16000001</v>
      </c>
      <c r="AA136" s="480">
        <v>2.4899999999999999E-2</v>
      </c>
      <c r="AB136" s="439">
        <f t="shared" si="132"/>
        <v>2970394.4340840001</v>
      </c>
      <c r="AO136" s="372">
        <f>'RGGI - Invest Amort deferred'!AG88+'RGGI CHP'!V43</f>
        <v>12500</v>
      </c>
      <c r="AQ136" s="412">
        <f>(H136+J136)*'Capital Structure '!$F$21/12</f>
        <v>0</v>
      </c>
      <c r="AR136" s="412">
        <f>(H136+J136)*'Capital Structure '!$E$34/12</f>
        <v>0</v>
      </c>
      <c r="AS136" s="412">
        <f>(H136+J136)*'Capital Structure '!$F$18/12</f>
        <v>0</v>
      </c>
      <c r="AT136" s="412">
        <f>'RGGI - On-bill financing'!J88*'Capital Structure '!$E$34/12</f>
        <v>4293.8352514648041</v>
      </c>
      <c r="AU136" s="412">
        <f>'RGGI - On-bill financing'!J88*('Capital Structure '!$F$18+'Capital Structure '!$F$21)/12</f>
        <v>9138.6792898484837</v>
      </c>
      <c r="AV136" s="415">
        <f t="shared" si="133"/>
        <v>13432.514541313289</v>
      </c>
      <c r="AX136" s="415">
        <v>0</v>
      </c>
      <c r="AY136" s="431">
        <f t="shared" si="134"/>
        <v>25932.514541313289</v>
      </c>
      <c r="BA136" s="412">
        <f>'RGGI II Invest Amort Def'!AG76</f>
        <v>105639.89833333335</v>
      </c>
      <c r="BC136" s="412">
        <f>(L136+N136)*'Capital Structure '!$H$21/12</f>
        <v>247.47757284538966</v>
      </c>
      <c r="BD136" s="412">
        <f>(L136+N136)*'Capital Structure '!$H$34/12</f>
        <v>494.04722780586138</v>
      </c>
      <c r="BE136" s="412">
        <f>(L136+N136)*'Capital Structure '!$H$18/12</f>
        <v>715.37071051938074</v>
      </c>
      <c r="BF136" s="412">
        <f>'RGGI II On Bill Fin''g'!L76*'Capital Structure '!$H$34/12</f>
        <v>14573.260176960175</v>
      </c>
      <c r="BG136" s="412">
        <f>'RGGI II On Bill Fin''g'!L76*('Capital Structure '!$H$18+'Capital Structure '!$H$21)/12</f>
        <v>28401.816171971645</v>
      </c>
      <c r="BH136" s="415">
        <f t="shared" si="135"/>
        <v>44431.971860102451</v>
      </c>
      <c r="BJ136" s="558">
        <v>0</v>
      </c>
      <c r="BK136" s="431">
        <f t="shared" si="136"/>
        <v>150071.87019343581</v>
      </c>
      <c r="BM136" s="412">
        <f>'2013 program Invest Amort Def'!AW58</f>
        <v>425089.54450000002</v>
      </c>
      <c r="BO136" s="412">
        <f>(S136)*'Capital Structure '!$J$21/12</f>
        <v>6519.5599650983359</v>
      </c>
      <c r="BP136" s="412">
        <f>(S136)*'Capital Structure '!$J$34/12</f>
        <v>13946.045945624943</v>
      </c>
      <c r="BQ136" s="412">
        <f>(S136)*'Capital Structure '!$J$18/12</f>
        <v>20193.60141208606</v>
      </c>
      <c r="BR136" s="412">
        <f>('2013 program 10 yr On Bill Fin'!M58+'2013 program 5 yr On Bill Fin'!L56+'2013 program 2 yr On Bill Fin'!M46)*'Capital Structure '!$J$34/12</f>
        <v>79240.307843950839</v>
      </c>
      <c r="BS136" s="412">
        <f>('2013 program 10 yr On Bill Fin'!M58+'2013 program 5 yr On Bill Fin'!L56+'2013 program 2 yr On Bill Fin'!M46)*('Capital Structure '!$J$18+'Capital Structure '!$J$21)/12</f>
        <v>151782.02762750004</v>
      </c>
      <c r="BT136" s="431">
        <f t="shared" si="137"/>
        <v>271681.5427942602</v>
      </c>
      <c r="BV136" s="560">
        <v>0</v>
      </c>
      <c r="BW136" s="431">
        <f t="shared" si="138"/>
        <v>696771.08729426027</v>
      </c>
      <c r="BY136" s="412">
        <f>'2015 Program Invest Amort Def'!BR33</f>
        <v>97472.861833333329</v>
      </c>
      <c r="CA136" s="412">
        <f>X136*'Capital Structure '!$N$21/12</f>
        <v>3854.6756172855271</v>
      </c>
      <c r="CB136" s="412">
        <f>(X136)*'Capital Structure '!$N$34/12</f>
        <v>7657.2902134784208</v>
      </c>
      <c r="CC136" s="412">
        <f>(X136)*'Capital Structure '!$N$18/12</f>
        <v>11087.606269944887</v>
      </c>
      <c r="CD136" s="412">
        <f>('2015 Program 10-Year OBRP'!P33+'2015 Program 7-Year OBRP'!M33+'2015 Program 5-Year OBRP'!K33+'2015 Program 3-Year OBRP'!K33)*('Capital Structure '!$N$34/12)</f>
        <v>58488.672650783883</v>
      </c>
      <c r="CE136" s="412">
        <f>('2015 Program 10-Year OBRP'!P33+'2015 Program 7-Year OBRP'!M33+'2015 Program 5-Year OBRP'!K33+'2015 Program 3-Year OBRP'!K33)*(('Capital Structure '!$N$21/12)+('Capital Structure '!$N$18/12))</f>
        <v>114133.617715</v>
      </c>
      <c r="CF136" s="431">
        <f t="shared" si="139"/>
        <v>195221.86246649272</v>
      </c>
      <c r="CG136" s="412">
        <v>-11986.51</v>
      </c>
      <c r="CI136" s="393">
        <v>268219.15000000002</v>
      </c>
      <c r="CJ136" s="431">
        <f t="shared" si="140"/>
        <v>548927.36429982609</v>
      </c>
      <c r="CK136" s="431"/>
      <c r="CL136" s="431"/>
      <c r="CM136" s="431"/>
      <c r="CN136" s="431"/>
      <c r="CO136" s="431"/>
      <c r="CP136" s="431"/>
      <c r="CQ136" s="431"/>
      <c r="CR136" s="431"/>
      <c r="CS136" s="431"/>
      <c r="CT136" s="431"/>
      <c r="CU136" s="431"/>
      <c r="CV136" s="431"/>
      <c r="CW136" s="431"/>
      <c r="CY136" s="412">
        <f t="shared" si="141"/>
        <v>-1548691.5977551646</v>
      </c>
      <c r="CZ136" s="412">
        <f t="shared" si="142"/>
        <v>-1215569.6451731464</v>
      </c>
      <c r="DA136" s="412">
        <f>(CZ135+CZ136)/2*(1-0.4085)</f>
        <v>-260983.90508382613</v>
      </c>
      <c r="DB136" s="417">
        <v>1.67E-2</v>
      </c>
      <c r="DC136" s="434">
        <f t="shared" si="143"/>
        <v>-363.20260124165799</v>
      </c>
      <c r="DE136" s="420">
        <f t="shared" si="144"/>
        <v>6.9000000000000006E-2</v>
      </c>
      <c r="DF136" s="420">
        <f t="shared" si="145"/>
        <v>0.10502258664412509</v>
      </c>
      <c r="DG136" s="420">
        <f t="shared" si="146"/>
        <v>6.9000000000000006E-2</v>
      </c>
      <c r="DH136" s="420">
        <f t="shared" si="147"/>
        <v>0.10435959425190194</v>
      </c>
      <c r="DI136" s="394"/>
      <c r="DJ136" s="353"/>
      <c r="DK136" s="353"/>
      <c r="DL136" s="353"/>
      <c r="DM136" s="353"/>
      <c r="DN136" s="353"/>
      <c r="DO136" s="353"/>
      <c r="DP136" s="353"/>
      <c r="DQ136" s="353"/>
      <c r="DR136" s="353"/>
      <c r="DS136" s="353"/>
      <c r="DT136" s="353"/>
      <c r="DU136" s="353"/>
      <c r="DV136" s="353"/>
      <c r="DW136" s="353"/>
      <c r="DX136" s="353"/>
      <c r="DY136" s="353"/>
      <c r="DZ136" s="353"/>
      <c r="EA136" s="353"/>
      <c r="EB136" s="353"/>
      <c r="EC136" s="353"/>
      <c r="ED136" s="353"/>
      <c r="EE136" s="353"/>
      <c r="EF136" s="353"/>
      <c r="EG136" s="353"/>
      <c r="EH136" s="353"/>
      <c r="EI136" s="353"/>
      <c r="EJ136" s="353"/>
      <c r="EK136" s="353"/>
      <c r="EL136" s="353"/>
      <c r="EM136" s="353"/>
      <c r="EN136" s="353"/>
      <c r="EO136" s="353"/>
      <c r="EP136" s="353"/>
      <c r="EQ136" s="353"/>
      <c r="ER136" s="353"/>
      <c r="ES136" s="353"/>
      <c r="ET136" s="353"/>
      <c r="EU136" s="353"/>
      <c r="EV136" s="353"/>
      <c r="EW136" s="353"/>
      <c r="EX136" s="353"/>
      <c r="EY136" s="353"/>
      <c r="EZ136" s="353"/>
      <c r="FA136" s="353"/>
      <c r="FB136" s="353"/>
      <c r="FC136" s="353"/>
      <c r="FD136" s="353"/>
      <c r="FE136" s="353"/>
      <c r="FF136" s="353"/>
      <c r="FG136" s="353"/>
      <c r="FH136" s="353"/>
      <c r="FI136" s="353"/>
      <c r="FJ136" s="353"/>
      <c r="FK136" s="353"/>
      <c r="FL136" s="353"/>
      <c r="FM136" s="353"/>
      <c r="FN136" s="353"/>
      <c r="FO136" s="353"/>
      <c r="FP136" s="353"/>
      <c r="FQ136" s="353"/>
    </row>
    <row r="137" spans="1:173" s="351" customFormat="1" hidden="1">
      <c r="A137" s="430" t="s">
        <v>53</v>
      </c>
      <c r="B137" s="351">
        <v>2018</v>
      </c>
      <c r="C137" s="411" t="s">
        <v>47</v>
      </c>
      <c r="F137" s="370"/>
      <c r="G137" s="435"/>
      <c r="H137" s="412">
        <f>'RGGI - Invest Amort deferred'!AI89</f>
        <v>0</v>
      </c>
      <c r="I137" s="412">
        <f>'RGGI - Invest Amort deferred'!AI89</f>
        <v>0</v>
      </c>
      <c r="J137" s="413">
        <f>'RGGI - Invest Amort deferred'!BL89</f>
        <v>0</v>
      </c>
      <c r="K137" s="435"/>
      <c r="L137" s="414">
        <f>'RGGI II Invest Amort Def'!AI77</f>
        <v>182910.06399999931</v>
      </c>
      <c r="M137" s="414">
        <f>'RGGI II Invest Amort Def'!AI77</f>
        <v>182910.06399999931</v>
      </c>
      <c r="N137" s="413">
        <f>'RGGI II Invest Amort Def'!BK77</f>
        <v>-74718.761144005723</v>
      </c>
      <c r="O137" s="435"/>
      <c r="P137" s="425">
        <f>'2013 program Invest Amort Def'!AY59</f>
        <v>7429123.8046666533</v>
      </c>
      <c r="Q137" s="425">
        <f>'2013 program Invest Amort Def'!AY59</f>
        <v>7429123.8046666533</v>
      </c>
      <c r="R137" s="425">
        <f>'2013 program Invest Amort Def'!CQ59</f>
        <v>-2088326.7014917952</v>
      </c>
      <c r="S137" s="373">
        <f t="shared" si="130"/>
        <v>5340797.1031748578</v>
      </c>
      <c r="T137" s="435"/>
      <c r="U137" s="414">
        <f>'2015 Program Invest Amort Def'!BT34</f>
        <v>4027436.1948333327</v>
      </c>
      <c r="V137" s="414">
        <f>'2015 Program Invest Amort Def'!BT34</f>
        <v>4027436.1948333327</v>
      </c>
      <c r="W137" s="414">
        <f>'2015 Program Invest Amort Def'!EG34</f>
        <v>-998758.47436764964</v>
      </c>
      <c r="X137" s="397">
        <f t="shared" si="131"/>
        <v>3028677.7204656829</v>
      </c>
      <c r="Y137" s="435"/>
      <c r="Z137" s="394">
        <v>140248225.676</v>
      </c>
      <c r="AA137" s="480">
        <v>2.4899999999999999E-2</v>
      </c>
      <c r="AB137" s="439">
        <f t="shared" si="132"/>
        <v>3492180.8193323999</v>
      </c>
      <c r="AO137" s="372">
        <f>'RGGI - Invest Amort deferred'!AG89+'RGGI CHP'!V44</f>
        <v>12500</v>
      </c>
      <c r="AQ137" s="412">
        <f>(H137+J137)*'Capital Structure '!$F$21/12</f>
        <v>0</v>
      </c>
      <c r="AR137" s="412">
        <f>(H137+J137)*'Capital Structure '!$E$34/12</f>
        <v>0</v>
      </c>
      <c r="AS137" s="412">
        <f>(H137+J137)*'Capital Structure '!$F$18/12</f>
        <v>0</v>
      </c>
      <c r="AT137" s="412">
        <f>'RGGI - On-bill financing'!J89*'Capital Structure '!$P$34/12</f>
        <v>2300.0193619897054</v>
      </c>
      <c r="AU137" s="412">
        <f>'RGGI - On-bill financing'!J89*('Capital Structure '!$F$18+'Capital Structure '!$F$21)/12</f>
        <v>8912.6352292298507</v>
      </c>
      <c r="AV137" s="415">
        <f t="shared" si="133"/>
        <v>11212.654591219556</v>
      </c>
      <c r="AX137" s="415">
        <v>0</v>
      </c>
      <c r="AY137" s="431">
        <f t="shared" si="134"/>
        <v>23712.654591219558</v>
      </c>
      <c r="BA137" s="412">
        <f>'RGGI II Invest Amort Def'!AG77</f>
        <v>92066.739999999991</v>
      </c>
      <c r="BC137" s="412">
        <f>(L137+N137)*'Capital Structure '!$H$21/12</f>
        <v>164.61802606344182</v>
      </c>
      <c r="BD137" s="412">
        <f>(L137+N137)*'Capital Structure '!$W$34/12</f>
        <v>186.06515907497558</v>
      </c>
      <c r="BE137" s="412">
        <f>(L137+N137)*'Capital Structure '!$H$18/12</f>
        <v>475.85287392031302</v>
      </c>
      <c r="BF137" s="412">
        <f>'RGGI II On Bill Fin''g'!L77*'Capital Structure '!$W$34/12</f>
        <v>8077.4592418630091</v>
      </c>
      <c r="BG137" s="412">
        <f>'RGGI II On Bill Fin''g'!L77*('Capital Structure '!$H$18+'Capital Structure '!$H$21)/12</f>
        <v>27804.117739922865</v>
      </c>
      <c r="BH137" s="415">
        <f t="shared" si="135"/>
        <v>36708.113040844604</v>
      </c>
      <c r="BJ137" s="558">
        <v>0</v>
      </c>
      <c r="BK137" s="431">
        <f t="shared" si="136"/>
        <v>128774.85304084459</v>
      </c>
      <c r="BM137" s="412">
        <f>'2013 program Invest Amort Def'!AW59</f>
        <v>425089.54450000002</v>
      </c>
      <c r="BO137" s="412">
        <f>(S137)*'Capital Structure '!$J$21/12</f>
        <v>7494.9186014553843</v>
      </c>
      <c r="BP137" s="412">
        <f>(S137)*'Capital Structure '!$V$34/12</f>
        <v>9077.2600624843399</v>
      </c>
      <c r="BQ137" s="412">
        <f>(S137)*'Capital Structure '!$J$18/12</f>
        <v>23214.664741800047</v>
      </c>
      <c r="BR137" s="412">
        <f>('2013 program 10 yr On Bill Fin'!M59+'2013 program 5 yr On Bill Fin'!L57+'2013 program 2 yr On Bill Fin'!M47)*'Capital Structure '!$V$34/12</f>
        <v>44042.97190486308</v>
      </c>
      <c r="BS137" s="412">
        <f>('2013 program 10 yr On Bill Fin'!M59+'2013 program 5 yr On Bill Fin'!L57+'2013 program 2 yr On Bill Fin'!M47)*('Capital Structure '!$J$18+'Capital Structure '!$J$21)/12</f>
        <v>149003.25727000003</v>
      </c>
      <c r="BT137" s="431">
        <f t="shared" si="137"/>
        <v>232833.07258060289</v>
      </c>
      <c r="BV137" s="560">
        <v>0</v>
      </c>
      <c r="BW137" s="431">
        <f t="shared" si="138"/>
        <v>657922.61708060291</v>
      </c>
      <c r="BY137" s="412">
        <f>'2015 Program Invest Amort Def'!BR34</f>
        <v>98747.861833333329</v>
      </c>
      <c r="CA137" s="412">
        <f>X137*'Capital Structure '!$P$21/12</f>
        <v>4492.5386186907626</v>
      </c>
      <c r="CB137" s="412">
        <f>(X137)*'Capital Structure '!$P$34/12</f>
        <v>5052.8236344661582</v>
      </c>
      <c r="CC137" s="412">
        <f>(X137)*'Capital Structure '!$N$18/12</f>
        <v>12922.358273986914</v>
      </c>
      <c r="CD137" s="412">
        <f>('2015 Program 10-Year OBRP'!P34+'2015 Program 7-Year OBRP'!M34+'2015 Program 5-Year OBRP'!K34+'2015 Program 3-Year OBRP'!K34)*('Capital Structure '!$P$34/12)</f>
        <v>34100.107057355403</v>
      </c>
      <c r="CE137" s="412">
        <f>('2015 Program 10-Year OBRP'!P34+'2015 Program 7-Year OBRP'!M34+'2015 Program 5-Year OBRP'!K34+'2015 Program 3-Year OBRP'!K34)*(('Capital Structure '!$N$21/12)+('Capital Structure '!$N$18/12))</f>
        <v>117528.315135</v>
      </c>
      <c r="CF137" s="431">
        <f t="shared" si="139"/>
        <v>174096.14271949924</v>
      </c>
      <c r="CG137" s="412">
        <v>-11596.76</v>
      </c>
      <c r="CI137" s="393">
        <v>341805.82</v>
      </c>
      <c r="CJ137" s="431">
        <f t="shared" si="140"/>
        <v>603053.06455283263</v>
      </c>
      <c r="CK137" s="431"/>
      <c r="CL137" s="431"/>
      <c r="CM137" s="431"/>
      <c r="CN137" s="431"/>
      <c r="CO137" s="431"/>
      <c r="CP137" s="431"/>
      <c r="CQ137" s="431"/>
      <c r="CR137" s="431"/>
      <c r="CS137" s="431"/>
      <c r="CT137" s="431"/>
      <c r="CU137" s="431"/>
      <c r="CV137" s="431"/>
      <c r="CW137" s="431"/>
      <c r="CY137" s="412">
        <f>+BW137+BK137+AY137+AM137+CJ137-AB137</f>
        <v>-2078717.6300669003</v>
      </c>
      <c r="CZ137" s="412">
        <f t="shared" si="142"/>
        <v>-3294287.2752400469</v>
      </c>
      <c r="DA137" s="412">
        <f>(CZ136+CZ137)/2*(1-0.2811)</f>
        <v>-1621068.0700425224</v>
      </c>
      <c r="DB137" s="417">
        <v>1.55E-2</v>
      </c>
      <c r="DC137" s="434">
        <f t="shared" si="143"/>
        <v>-2093.8795904715912</v>
      </c>
      <c r="DE137" s="420">
        <f t="shared" si="144"/>
        <v>6.9000000000000006E-2</v>
      </c>
      <c r="DF137" s="420">
        <f t="shared" si="145"/>
        <v>8.9395292808457358E-2</v>
      </c>
      <c r="DG137" s="420">
        <f t="shared" si="146"/>
        <v>6.9000000000000006E-2</v>
      </c>
      <c r="DH137" s="420">
        <f t="shared" si="147"/>
        <v>8.9019919321185151E-2</v>
      </c>
      <c r="DI137" s="394"/>
      <c r="DJ137" s="353"/>
      <c r="DK137" s="353"/>
      <c r="DL137" s="353"/>
      <c r="DM137" s="353"/>
      <c r="DN137" s="353"/>
      <c r="DO137" s="353"/>
      <c r="DP137" s="353"/>
      <c r="DQ137" s="353"/>
      <c r="DR137" s="353"/>
      <c r="DS137" s="353"/>
      <c r="DT137" s="353"/>
      <c r="DU137" s="353"/>
      <c r="DV137" s="353"/>
      <c r="DW137" s="353"/>
      <c r="DX137" s="353"/>
      <c r="DY137" s="353"/>
      <c r="DZ137" s="353"/>
      <c r="EA137" s="353"/>
      <c r="EB137" s="353"/>
      <c r="EC137" s="353"/>
      <c r="ED137" s="353"/>
      <c r="EE137" s="353"/>
      <c r="EF137" s="353"/>
      <c r="EG137" s="353"/>
      <c r="EH137" s="353"/>
      <c r="EI137" s="353"/>
      <c r="EJ137" s="353"/>
      <c r="EK137" s="353"/>
      <c r="EL137" s="353"/>
      <c r="EM137" s="353"/>
      <c r="EN137" s="353"/>
      <c r="EO137" s="353"/>
      <c r="EP137" s="353"/>
      <c r="EQ137" s="353"/>
      <c r="ER137" s="353"/>
      <c r="ES137" s="353"/>
      <c r="ET137" s="353"/>
      <c r="EU137" s="353"/>
      <c r="EV137" s="353"/>
      <c r="EW137" s="353"/>
      <c r="EX137" s="353"/>
      <c r="EY137" s="353"/>
      <c r="EZ137" s="353"/>
      <c r="FA137" s="353"/>
      <c r="FB137" s="353"/>
      <c r="FC137" s="353"/>
      <c r="FD137" s="353"/>
      <c r="FE137" s="353"/>
      <c r="FF137" s="353"/>
      <c r="FG137" s="353"/>
      <c r="FH137" s="353"/>
      <c r="FI137" s="353"/>
      <c r="FJ137" s="353"/>
      <c r="FK137" s="353"/>
      <c r="FL137" s="353"/>
      <c r="FM137" s="353"/>
      <c r="FN137" s="353"/>
      <c r="FO137" s="353"/>
      <c r="FP137" s="353"/>
      <c r="FQ137" s="353"/>
    </row>
    <row r="138" spans="1:173" s="351" customFormat="1" hidden="1">
      <c r="A138" s="430" t="s">
        <v>54</v>
      </c>
      <c r="B138" s="351">
        <v>2018</v>
      </c>
      <c r="C138" s="411" t="s">
        <v>47</v>
      </c>
      <c r="F138" s="370"/>
      <c r="G138" s="435"/>
      <c r="H138" s="412">
        <f>'RGGI - Invest Amort deferred'!AI90</f>
        <v>0</v>
      </c>
      <c r="I138" s="412">
        <f>'RGGI - Invest Amort deferred'!AI90</f>
        <v>0</v>
      </c>
      <c r="J138" s="413">
        <f>'RGGI - Invest Amort deferred'!BL90</f>
        <v>0</v>
      </c>
      <c r="K138" s="435"/>
      <c r="L138" s="414">
        <f>'RGGI II Invest Amort Def'!AI78</f>
        <v>107304.99066666514</v>
      </c>
      <c r="M138" s="414">
        <f>'RGGI II Invest Amort Def'!AI78</f>
        <v>107304.99066666514</v>
      </c>
      <c r="N138" s="413">
        <f>'RGGI II Invest Amort Def'!BK78</f>
        <v>-43834.088687339055</v>
      </c>
      <c r="O138" s="435"/>
      <c r="P138" s="425">
        <f>'2013 program Invest Amort Def'!AY60</f>
        <v>7004034.2601666525</v>
      </c>
      <c r="Q138" s="425">
        <f>'2013 program Invest Amort Def'!AY60</f>
        <v>7004034.2601666525</v>
      </c>
      <c r="R138" s="425">
        <f>'2013 program Invest Amort Def'!CQ60</f>
        <v>-1968834.0305328453</v>
      </c>
      <c r="S138" s="373">
        <f t="shared" si="130"/>
        <v>5035200.2296338072</v>
      </c>
      <c r="T138" s="435"/>
      <c r="U138" s="414">
        <f>'2015 Program Invest Amort Def'!BT35</f>
        <v>4013648.3329999996</v>
      </c>
      <c r="V138" s="414">
        <f>'2015 Program Invest Amort Def'!BT35</f>
        <v>4013648.3329999996</v>
      </c>
      <c r="W138" s="414">
        <f>'2015 Program Invest Amort Def'!EG35</f>
        <v>-997386.83890629967</v>
      </c>
      <c r="X138" s="397">
        <f t="shared" si="131"/>
        <v>3016261.4940936998</v>
      </c>
      <c r="Y138" s="435"/>
      <c r="Z138" s="394">
        <v>89983764.620000005</v>
      </c>
      <c r="AA138" s="480">
        <v>2.4899999999999999E-2</v>
      </c>
      <c r="AB138" s="439">
        <f t="shared" si="132"/>
        <v>2240595.7390379999</v>
      </c>
      <c r="AO138" s="372">
        <f>'RGGI - Invest Amort deferred'!AG90+'RGGI CHP'!V45</f>
        <v>12500</v>
      </c>
      <c r="AQ138" s="412">
        <f>(H138+J138)*'Capital Structure '!$F$21/12</f>
        <v>0</v>
      </c>
      <c r="AR138" s="412">
        <f>(H138+J138)*'Capital Structure '!$E$34/12</f>
        <v>0</v>
      </c>
      <c r="AS138" s="412">
        <f>(H138+J138)*'Capital Structure '!$F$18/12</f>
        <v>0</v>
      </c>
      <c r="AT138" s="412">
        <f>'RGGI - On-bill financing'!J90*'Capital Structure '!$P$34/12</f>
        <v>2237.1411997841137</v>
      </c>
      <c r="AU138" s="412">
        <f>'RGGI - On-bill financing'!J90*('Capital Structure '!$F$18+'Capital Structure '!$F$21)/12</f>
        <v>8668.9807048879393</v>
      </c>
      <c r="AV138" s="415">
        <f t="shared" si="133"/>
        <v>10906.121904672053</v>
      </c>
      <c r="AX138" s="415">
        <v>0</v>
      </c>
      <c r="AY138" s="431">
        <f t="shared" si="134"/>
        <v>23406.121904672051</v>
      </c>
      <c r="BA138" s="412">
        <f>'RGGI II Invest Amort Def'!AG78</f>
        <v>75605.073333333334</v>
      </c>
      <c r="BC138" s="412">
        <f>(L138+N138)*'Capital Structure '!$H$21/12</f>
        <v>96.573886444552002</v>
      </c>
      <c r="BD138" s="412">
        <f>(L138+N138)*'Capital Structure '!$W$34/12</f>
        <v>109.15594101990477</v>
      </c>
      <c r="BE138" s="412">
        <f>(L138+N138)*'Capital Structure '!$H$18/12</f>
        <v>279.16117395663304</v>
      </c>
      <c r="BF138" s="412">
        <f>'RGGI II On Bill Fin''g'!L78*'Capital Structure '!$W$34/12</f>
        <v>7938.648514099058</v>
      </c>
      <c r="BG138" s="412">
        <f>'RGGI II On Bill Fin''g'!L78*('Capital Structure '!$H$18+'Capital Structure '!$H$21)/12</f>
        <v>27326.305385474745</v>
      </c>
      <c r="BH138" s="415">
        <f t="shared" si="135"/>
        <v>35749.844900994896</v>
      </c>
      <c r="BJ138" s="558">
        <v>0</v>
      </c>
      <c r="BK138" s="431">
        <f t="shared" si="136"/>
        <v>111354.91823432823</v>
      </c>
      <c r="BM138" s="412">
        <f>'2013 program Invest Amort Def'!AW60</f>
        <v>425089.54450000002</v>
      </c>
      <c r="BO138" s="412">
        <f>(S138)*'Capital Structure '!$J$21/12</f>
        <v>7066.064322252776</v>
      </c>
      <c r="BP138" s="412">
        <f>(S138)*'Capital Structure '!$V$34/12</f>
        <v>8557.865252716103</v>
      </c>
      <c r="BQ138" s="412">
        <f>(S138)*'Capital Structure '!$J$18/12</f>
        <v>21886.336998141614</v>
      </c>
      <c r="BR138" s="412">
        <f>('2013 program 10 yr On Bill Fin'!M60+'2013 program 5 yr On Bill Fin'!L58+'2013 program 2 yr On Bill Fin'!M48)*'Capital Structure '!$V$34/12</f>
        <v>43428.450906043006</v>
      </c>
      <c r="BS138" s="412">
        <f>('2013 program 10 yr On Bill Fin'!M60+'2013 program 5 yr On Bill Fin'!L58+'2013 program 2 yr On Bill Fin'!M48)*('Capital Structure '!$J$18+'Capital Structure '!$J$21)/12</f>
        <v>146924.25064250006</v>
      </c>
      <c r="BT138" s="431">
        <f t="shared" si="137"/>
        <v>227862.96812165357</v>
      </c>
      <c r="BV138" s="560">
        <v>0</v>
      </c>
      <c r="BW138" s="431">
        <f t="shared" si="138"/>
        <v>652952.51262165362</v>
      </c>
      <c r="BY138" s="412">
        <f>'2015 Program Invest Amort Def'!BR35</f>
        <v>100187.86183333333</v>
      </c>
      <c r="CA138" s="412">
        <f>X138*'Capital Structure '!$P$21/12</f>
        <v>4474.1212162389884</v>
      </c>
      <c r="CB138" s="412">
        <f>(X138)*'Capital Structure '!$P$34/12</f>
        <v>5032.1093136127683</v>
      </c>
      <c r="CC138" s="412">
        <f>(X138)*'Capital Structure '!$N$18/12</f>
        <v>12869.382374799787</v>
      </c>
      <c r="CD138" s="412">
        <f>('2015 Program 10-Year OBRP'!P35+'2015 Program 7-Year OBRP'!M35+'2015 Program 5-Year OBRP'!K35+'2015 Program 3-Year OBRP'!K35)*('Capital Structure '!$P$34/12)</f>
        <v>34991.252741786615</v>
      </c>
      <c r="CE138" s="412">
        <f>('2015 Program 10-Year OBRP'!P35+'2015 Program 7-Year OBRP'!M35+'2015 Program 5-Year OBRP'!K35+'2015 Program 3-Year OBRP'!K35)*(('Capital Structure '!$N$21/12)+('Capital Structure '!$N$18/12))</f>
        <v>120599.70874250001</v>
      </c>
      <c r="CF138" s="431">
        <f t="shared" si="139"/>
        <v>177966.57438893817</v>
      </c>
      <c r="CG138" s="412">
        <v>-13282.39</v>
      </c>
      <c r="CI138" s="393">
        <v>382639.60000000015</v>
      </c>
      <c r="CJ138" s="431">
        <f t="shared" si="140"/>
        <v>647511.64622227172</v>
      </c>
      <c r="CK138" s="431"/>
      <c r="CL138" s="431"/>
      <c r="CM138" s="431"/>
      <c r="CN138" s="431"/>
      <c r="CO138" s="431"/>
      <c r="CP138" s="431"/>
      <c r="CQ138" s="431"/>
      <c r="CR138" s="431"/>
      <c r="CS138" s="431"/>
      <c r="CT138" s="431"/>
      <c r="CU138" s="431"/>
      <c r="CV138" s="431"/>
      <c r="CW138" s="431"/>
      <c r="CY138" s="412">
        <f t="shared" si="141"/>
        <v>-805370.54005507426</v>
      </c>
      <c r="CZ138" s="412">
        <f t="shared" si="142"/>
        <v>-4099657.8152951212</v>
      </c>
      <c r="DA138" s="412">
        <f t="shared" ref="DA138:DA145" si="148">(CZ137+CZ138)/2*(1-0.2811)</f>
        <v>-2657753.562792866</v>
      </c>
      <c r="DB138" s="417">
        <v>1.5299999999999999E-2</v>
      </c>
      <c r="DC138" s="434">
        <f t="shared" si="143"/>
        <v>-3388.6357925609041</v>
      </c>
      <c r="DE138" s="420">
        <f t="shared" si="144"/>
        <v>6.9000000000000006E-2</v>
      </c>
      <c r="DF138" s="420">
        <f t="shared" si="145"/>
        <v>8.9395292808457358E-2</v>
      </c>
      <c r="DG138" s="420">
        <f t="shared" si="146"/>
        <v>6.9000000000000006E-2</v>
      </c>
      <c r="DH138" s="420">
        <f t="shared" si="147"/>
        <v>8.9019919321185137E-2</v>
      </c>
      <c r="DI138" s="394"/>
      <c r="DJ138" s="353"/>
      <c r="DK138" s="353"/>
      <c r="DL138" s="353"/>
      <c r="DM138" s="353"/>
      <c r="DN138" s="353"/>
      <c r="DO138" s="353"/>
      <c r="DP138" s="353"/>
      <c r="DQ138" s="353"/>
      <c r="DR138" s="353"/>
      <c r="DS138" s="353"/>
      <c r="DT138" s="353"/>
      <c r="DU138" s="353"/>
      <c r="DV138" s="353"/>
      <c r="DW138" s="353"/>
      <c r="DX138" s="353"/>
      <c r="DY138" s="353"/>
      <c r="DZ138" s="353"/>
      <c r="EA138" s="353"/>
      <c r="EB138" s="353"/>
      <c r="EC138" s="353"/>
      <c r="ED138" s="353"/>
      <c r="EE138" s="353"/>
      <c r="EF138" s="353"/>
      <c r="EG138" s="353"/>
      <c r="EH138" s="353"/>
      <c r="EI138" s="353"/>
      <c r="EJ138" s="353"/>
      <c r="EK138" s="353"/>
      <c r="EL138" s="353"/>
      <c r="EM138" s="353"/>
      <c r="EN138" s="353"/>
      <c r="EO138" s="353"/>
      <c r="EP138" s="353"/>
      <c r="EQ138" s="353"/>
      <c r="ER138" s="353"/>
      <c r="ES138" s="353"/>
      <c r="ET138" s="353"/>
      <c r="EU138" s="353"/>
      <c r="EV138" s="353"/>
      <c r="EW138" s="353"/>
      <c r="EX138" s="353"/>
      <c r="EY138" s="353"/>
      <c r="EZ138" s="353"/>
      <c r="FA138" s="353"/>
      <c r="FB138" s="353"/>
      <c r="FC138" s="353"/>
      <c r="FD138" s="353"/>
      <c r="FE138" s="353"/>
      <c r="FF138" s="353"/>
      <c r="FG138" s="353"/>
      <c r="FH138" s="353"/>
      <c r="FI138" s="353"/>
      <c r="FJ138" s="353"/>
      <c r="FK138" s="353"/>
      <c r="FL138" s="353"/>
      <c r="FM138" s="353"/>
      <c r="FN138" s="353"/>
      <c r="FO138" s="353"/>
      <c r="FP138" s="353"/>
      <c r="FQ138" s="353"/>
    </row>
    <row r="139" spans="1:173" s="351" customFormat="1" hidden="1">
      <c r="A139" s="430" t="s">
        <v>55</v>
      </c>
      <c r="B139" s="351">
        <v>2018</v>
      </c>
      <c r="C139" s="411" t="s">
        <v>47</v>
      </c>
      <c r="F139" s="370"/>
      <c r="G139" s="435"/>
      <c r="H139" s="412">
        <f>'RGGI - Invest Amort deferred'!AI91</f>
        <v>0</v>
      </c>
      <c r="I139" s="412">
        <f>'RGGI - Invest Amort deferred'!AI91</f>
        <v>0</v>
      </c>
      <c r="J139" s="413">
        <f>'RGGI - Invest Amort deferred'!BL91</f>
        <v>0</v>
      </c>
      <c r="K139" s="435"/>
      <c r="L139" s="414">
        <f>'RGGI II Invest Amort Def'!AI79</f>
        <v>49798.342333331704</v>
      </c>
      <c r="M139" s="414">
        <f>'RGGI II Invest Amort Def'!AI79</f>
        <v>49798.342333331704</v>
      </c>
      <c r="N139" s="413">
        <f>'RGGI II Invest Amort Def'!BK79</f>
        <v>-20342.62284317239</v>
      </c>
      <c r="O139" s="435"/>
      <c r="P139" s="425">
        <f>'2013 program Invest Amort Def'!AY61</f>
        <v>6578944.7156666517</v>
      </c>
      <c r="Q139" s="425">
        <f>'2013 program Invest Amort Def'!AY61</f>
        <v>6578944.7156666517</v>
      </c>
      <c r="R139" s="425">
        <f>'2013 program Invest Amort Def'!CQ61</f>
        <v>-1849341.3595738953</v>
      </c>
      <c r="S139" s="373">
        <f t="shared" si="130"/>
        <v>4729603.3560927566</v>
      </c>
      <c r="T139" s="435"/>
      <c r="U139" s="414">
        <f>'2015 Program Invest Amort Def'!BT36</f>
        <v>4002255.4711666661</v>
      </c>
      <c r="V139" s="414">
        <f>'2015 Program Invest Amort Def'!BT36</f>
        <v>4002255.4711666661</v>
      </c>
      <c r="W139" s="414">
        <f>'2015 Program Invest Amort Def'!EG36</f>
        <v>-994816.78044494963</v>
      </c>
      <c r="X139" s="397">
        <f t="shared" si="131"/>
        <v>3007438.6907217167</v>
      </c>
      <c r="Y139" s="435"/>
      <c r="Z139" s="394">
        <v>106014206.13</v>
      </c>
      <c r="AA139" s="480">
        <v>2.4899999999999999E-2</v>
      </c>
      <c r="AB139" s="439">
        <f t="shared" si="132"/>
        <v>2639753.7326369998</v>
      </c>
      <c r="AO139" s="372">
        <f>'RGGI - Invest Amort deferred'!AG91+'RGGI CHP'!V46</f>
        <v>12500</v>
      </c>
      <c r="AQ139" s="412">
        <f>(H139+J139)*'Capital Structure '!$F$21/12</f>
        <v>0</v>
      </c>
      <c r="AR139" s="412">
        <f>(H139+J139)*'Capital Structure '!$E$34/12</f>
        <v>0</v>
      </c>
      <c r="AS139" s="412">
        <f>(H139+J139)*'Capital Structure '!$F$18/12</f>
        <v>0</v>
      </c>
      <c r="AT139" s="412">
        <f>'RGGI - On-bill financing'!J91*'Capital Structure '!$P$34/12</f>
        <v>2176.6137097721517</v>
      </c>
      <c r="AU139" s="412">
        <f>'RGGI - On-bill financing'!J91*('Capital Structure '!$F$18+'Capital Structure '!$F$21)/12</f>
        <v>8434.4350968236686</v>
      </c>
      <c r="AV139" s="415">
        <f t="shared" si="133"/>
        <v>10611.04880659582</v>
      </c>
      <c r="AX139" s="415">
        <v>0</v>
      </c>
      <c r="AY139" s="431">
        <f t="shared" si="134"/>
        <v>23111.04880659582</v>
      </c>
      <c r="BA139" s="412">
        <f>'RGGI II Invest Amort Def'!AG79</f>
        <v>57506.648333333331</v>
      </c>
      <c r="BC139" s="412">
        <f>(L139+N139)*'Capital Structure '!$H$21/12</f>
        <v>44.818227258087354</v>
      </c>
      <c r="BD139" s="412">
        <f>(L139+N139)*'Capital Structure '!$W$34/12</f>
        <v>50.657335552186964</v>
      </c>
      <c r="BE139" s="412">
        <f>(L139+N139)*'Capital Structure '!$H$18/12</f>
        <v>129.55374787786278</v>
      </c>
      <c r="BF139" s="412">
        <f>'RGGI II On Bill Fin''g'!L79*'Capital Structure '!$W$34/12</f>
        <v>7792.5553122553001</v>
      </c>
      <c r="BG139" s="412">
        <f>'RGGI II On Bill Fin''g'!L79*('Capital Structure '!$H$18+'Capital Structure '!$H$21)/12</f>
        <v>26823.425400142965</v>
      </c>
      <c r="BH139" s="415">
        <f t="shared" si="135"/>
        <v>34841.010023086405</v>
      </c>
      <c r="BJ139" s="558">
        <v>0</v>
      </c>
      <c r="BK139" s="431">
        <f t="shared" si="136"/>
        <v>92347.658356419735</v>
      </c>
      <c r="BM139" s="412">
        <f>'2013 program Invest Amort Def'!AW61</f>
        <v>425089.54450000002</v>
      </c>
      <c r="BO139" s="412">
        <f>(S139)*'Capital Structure '!$J$21/12</f>
        <v>6637.2100430501696</v>
      </c>
      <c r="BP139" s="412">
        <f>(S139)*'Capital Structure '!$V$34/12</f>
        <v>8038.4704429478661</v>
      </c>
      <c r="BQ139" s="412">
        <f>(S139)*'Capital Structure '!$J$18/12</f>
        <v>20558.009254483182</v>
      </c>
      <c r="BR139" s="412">
        <f>('2013 program 10 yr On Bill Fin'!M61+'2013 program 5 yr On Bill Fin'!L59+'2013 program 2 yr On Bill Fin'!M49)*'Capital Structure '!$V$34/12</f>
        <v>42733.063166100088</v>
      </c>
      <c r="BS139" s="412">
        <f>('2013 program 10 yr On Bill Fin'!M61+'2013 program 5 yr On Bill Fin'!L59+'2013 program 2 yr On Bill Fin'!M49)*('Capital Structure '!$J$18+'Capital Structure '!$J$21)/12</f>
        <v>144571.66102750003</v>
      </c>
      <c r="BT139" s="431">
        <f t="shared" si="137"/>
        <v>222538.41393408133</v>
      </c>
      <c r="BV139" s="560">
        <v>0</v>
      </c>
      <c r="BW139" s="431">
        <f t="shared" si="138"/>
        <v>647627.9584340814</v>
      </c>
      <c r="BY139" s="412">
        <f>'2015 Program Invest Amort Def'!BR36</f>
        <v>101692.86183333333</v>
      </c>
      <c r="CA139" s="412">
        <f>X139*'Capital Structure '!$P$21/12</f>
        <v>4461.0340579038793</v>
      </c>
      <c r="CB139" s="412">
        <f>(X139)*'Capital Structure '!$P$34/12</f>
        <v>5017.38999597162</v>
      </c>
      <c r="CC139" s="412">
        <f>(X139)*'Capital Structure '!$N$18/12</f>
        <v>12831.73841374599</v>
      </c>
      <c r="CD139" s="412">
        <f>('2015 Program 10-Year OBRP'!P36+'2015 Program 7-Year OBRP'!M36+'2015 Program 5-Year OBRP'!K36+'2015 Program 3-Year OBRP'!K36)*('Capital Structure '!$P$34/12)</f>
        <v>35797.138427976068</v>
      </c>
      <c r="CE139" s="412">
        <f>('2015 Program 10-Year OBRP'!P36+'2015 Program 7-Year OBRP'!M36+'2015 Program 5-Year OBRP'!K36+'2015 Program 3-Year OBRP'!K36)*(('Capital Structure '!$N$21/12)+('Capital Structure '!$N$18/12))</f>
        <v>123377.24802499999</v>
      </c>
      <c r="CF139" s="431">
        <f t="shared" si="139"/>
        <v>181484.54892059756</v>
      </c>
      <c r="CG139" s="412">
        <v>-11949.96</v>
      </c>
      <c r="CI139" s="393">
        <v>302363.78000000003</v>
      </c>
      <c r="CJ139" s="431">
        <f t="shared" si="140"/>
        <v>573591.23075393098</v>
      </c>
      <c r="CK139" s="431"/>
      <c r="CL139" s="431"/>
      <c r="CM139" s="431"/>
      <c r="CN139" s="431"/>
      <c r="CO139" s="431"/>
      <c r="CP139" s="431"/>
      <c r="CQ139" s="431"/>
      <c r="CR139" s="431"/>
      <c r="CS139" s="431"/>
      <c r="CT139" s="431"/>
      <c r="CU139" s="431"/>
      <c r="CV139" s="431"/>
      <c r="CW139" s="431"/>
      <c r="CY139" s="412">
        <f t="shared" si="141"/>
        <v>-1303075.8362859718</v>
      </c>
      <c r="CZ139" s="412">
        <f t="shared" si="142"/>
        <v>-5402733.6515810927</v>
      </c>
      <c r="DA139" s="412">
        <f t="shared" si="148"/>
        <v>-3415634.6127686552</v>
      </c>
      <c r="DB139" s="417">
        <v>1.55E-2</v>
      </c>
      <c r="DC139" s="434">
        <f t="shared" si="143"/>
        <v>-4411.8613748261796</v>
      </c>
      <c r="DE139" s="420">
        <f t="shared" si="144"/>
        <v>6.9000000000000006E-2</v>
      </c>
      <c r="DF139" s="420">
        <f t="shared" si="145"/>
        <v>8.9395292808457372E-2</v>
      </c>
      <c r="DG139" s="420">
        <f t="shared" si="146"/>
        <v>6.9000000000000006E-2</v>
      </c>
      <c r="DH139" s="420">
        <f t="shared" si="147"/>
        <v>8.9019919321185137E-2</v>
      </c>
      <c r="DI139" s="394"/>
      <c r="DJ139" s="353"/>
      <c r="DK139" s="353"/>
      <c r="DL139" s="353"/>
      <c r="DM139" s="353"/>
      <c r="DN139" s="353"/>
      <c r="DO139" s="353"/>
      <c r="DP139" s="353"/>
      <c r="DQ139" s="353"/>
      <c r="DR139" s="353"/>
      <c r="DS139" s="353"/>
      <c r="DT139" s="353"/>
      <c r="DU139" s="353"/>
      <c r="DV139" s="353"/>
      <c r="DW139" s="353"/>
      <c r="DX139" s="353"/>
      <c r="DY139" s="353"/>
      <c r="DZ139" s="353"/>
      <c r="EA139" s="353"/>
      <c r="EB139" s="353"/>
      <c r="EC139" s="353"/>
      <c r="ED139" s="353"/>
      <c r="EE139" s="353"/>
      <c r="EF139" s="353"/>
      <c r="EG139" s="353"/>
      <c r="EH139" s="353"/>
      <c r="EI139" s="353"/>
      <c r="EJ139" s="353"/>
      <c r="EK139" s="353"/>
      <c r="EL139" s="353"/>
      <c r="EM139" s="353"/>
      <c r="EN139" s="353"/>
      <c r="EO139" s="353"/>
      <c r="EP139" s="353"/>
      <c r="EQ139" s="353"/>
      <c r="ER139" s="353"/>
      <c r="ES139" s="353"/>
      <c r="ET139" s="353"/>
      <c r="EU139" s="353"/>
      <c r="EV139" s="353"/>
      <c r="EW139" s="353"/>
      <c r="EX139" s="353"/>
      <c r="EY139" s="353"/>
      <c r="EZ139" s="353"/>
      <c r="FA139" s="353"/>
      <c r="FB139" s="353"/>
      <c r="FC139" s="353"/>
      <c r="FD139" s="353"/>
      <c r="FE139" s="353"/>
      <c r="FF139" s="353"/>
      <c r="FG139" s="353"/>
      <c r="FH139" s="353"/>
      <c r="FI139" s="353"/>
      <c r="FJ139" s="353"/>
      <c r="FK139" s="353"/>
      <c r="FL139" s="353"/>
      <c r="FM139" s="353"/>
      <c r="FN139" s="353"/>
      <c r="FO139" s="353"/>
      <c r="FP139" s="353"/>
      <c r="FQ139" s="353"/>
    </row>
    <row r="140" spans="1:173" s="351" customFormat="1" hidden="1">
      <c r="A140" s="430" t="s">
        <v>56</v>
      </c>
      <c r="B140" s="351">
        <v>2018</v>
      </c>
      <c r="C140" s="411" t="s">
        <v>47</v>
      </c>
      <c r="F140" s="370"/>
      <c r="G140" s="435"/>
      <c r="H140" s="412">
        <f>'RGGI - Invest Amort deferred'!AI92</f>
        <v>0</v>
      </c>
      <c r="I140" s="412">
        <f>'RGGI - Invest Amort deferred'!AI92</f>
        <v>0</v>
      </c>
      <c r="J140" s="413">
        <f>'RGGI - Invest Amort deferred'!BL92</f>
        <v>0</v>
      </c>
      <c r="K140" s="435"/>
      <c r="L140" s="414">
        <f>'RGGI II Invest Amort Def'!AI80</f>
        <v>14761.285666665062</v>
      </c>
      <c r="M140" s="414">
        <f>'RGGI II Invest Amort Def'!AI80</f>
        <v>14761.285666665062</v>
      </c>
      <c r="N140" s="413">
        <f>'RGGI II Invest Amort Def'!BK80</f>
        <v>-6029.9851948390569</v>
      </c>
      <c r="O140" s="435"/>
      <c r="P140" s="425">
        <f>'2013 program Invest Amort Def'!AY62</f>
        <v>6153855.171166651</v>
      </c>
      <c r="Q140" s="425">
        <f>'2013 program Invest Amort Def'!AY62</f>
        <v>6153855.171166651</v>
      </c>
      <c r="R140" s="425">
        <f>'2013 program Invest Amort Def'!CQ62</f>
        <v>-1729848.6886149454</v>
      </c>
      <c r="S140" s="373">
        <f t="shared" si="130"/>
        <v>4424006.4825517051</v>
      </c>
      <c r="T140" s="435"/>
      <c r="U140" s="414">
        <f>'2015 Program Invest Amort Def'!BT37</f>
        <v>4023479.2759999996</v>
      </c>
      <c r="V140" s="414">
        <f>'2015 Program Invest Amort Def'!BT37</f>
        <v>4023479.2759999996</v>
      </c>
      <c r="W140" s="414">
        <f>'2015 Program Invest Amort Def'!EG37</f>
        <v>-991822.72948359966</v>
      </c>
      <c r="X140" s="373">
        <f t="shared" si="131"/>
        <v>3031656.5465163998</v>
      </c>
      <c r="Y140" s="435"/>
      <c r="Z140" s="394">
        <v>63455548.480000004</v>
      </c>
      <c r="AA140" s="480">
        <v>2.4899999999999999E-2</v>
      </c>
      <c r="AB140" s="439">
        <f t="shared" si="132"/>
        <v>1580043.1571520001</v>
      </c>
      <c r="AO140" s="372">
        <f>'RGGI - Invest Amort deferred'!AG92+'RGGI CHP'!V47</f>
        <v>12500</v>
      </c>
      <c r="AQ140" s="412">
        <f>(H140+J140)*'Capital Structure '!$F$21/12</f>
        <v>0</v>
      </c>
      <c r="AR140" s="412">
        <f>(H140+J140)*'Capital Structure '!$E$34/12</f>
        <v>0</v>
      </c>
      <c r="AS140" s="412">
        <f>(H140+J140)*'Capital Structure '!$F$18/12</f>
        <v>0</v>
      </c>
      <c r="AT140" s="412">
        <f>'RGGI - On-bill financing'!J92*'Capital Structure '!$P$34/12</f>
        <v>2117.9383625961877</v>
      </c>
      <c r="AU140" s="412">
        <f>'RGGI - On-bill financing'!J92*('Capital Structure '!$F$18+'Capital Structure '!$F$21)/12</f>
        <v>8207.0665907275343</v>
      </c>
      <c r="AV140" s="415">
        <f t="shared" si="133"/>
        <v>10325.004953323722</v>
      </c>
      <c r="AX140" s="415">
        <v>0</v>
      </c>
      <c r="AY140" s="431">
        <f t="shared" si="134"/>
        <v>22825.004953323722</v>
      </c>
      <c r="BA140" s="412">
        <f>'RGGI II Invest Amort Def'!AG80</f>
        <v>35037.056666666671</v>
      </c>
      <c r="BC140" s="412">
        <f>(L140+N140)*'Capital Structure '!$H$21/12</f>
        <v>13.285073852488225</v>
      </c>
      <c r="BD140" s="412">
        <f>(L140+N140)*'Capital Structure '!$W$34/12</f>
        <v>15.015909489361656</v>
      </c>
      <c r="BE140" s="412">
        <f>(L140+N140)*'Capital Structure '!$H$18/12</f>
        <v>38.402480725372101</v>
      </c>
      <c r="BF140" s="412">
        <f>'RGGI II On Bill Fin''g'!L80*'Capital Structure '!$W$34/12</f>
        <v>7620.2005135403115</v>
      </c>
      <c r="BG140" s="412">
        <f>'RGGI II On Bill Fin''g'!L80*('Capital Structure '!$H$18+'Capital Structure '!$H$21)/12</f>
        <v>26230.148111701088</v>
      </c>
      <c r="BH140" s="415">
        <f t="shared" si="135"/>
        <v>33917.052089308621</v>
      </c>
      <c r="BJ140" s="558">
        <v>0</v>
      </c>
      <c r="BK140" s="431">
        <f t="shared" si="136"/>
        <v>68954.108755975292</v>
      </c>
      <c r="BM140" s="412">
        <f>'2013 program Invest Amort Def'!AW62</f>
        <v>425089.54450000002</v>
      </c>
      <c r="BO140" s="412">
        <f>(S140)*'Capital Structure '!$J$21/12</f>
        <v>6208.3557638475604</v>
      </c>
      <c r="BP140" s="412">
        <f>(S140)*'Capital Structure '!$V$34/12</f>
        <v>7519.0756331796265</v>
      </c>
      <c r="BQ140" s="412">
        <f>(S140)*'Capital Structure '!$J$18/12</f>
        <v>19229.681510824743</v>
      </c>
      <c r="BR140" s="412">
        <f>('2013 program 10 yr On Bill Fin'!M62+'2013 program 5 yr On Bill Fin'!L60+'2013 program 2 yr On Bill Fin'!M50)*'Capital Structure '!$V$34/12</f>
        <v>41987.177038081063</v>
      </c>
      <c r="BS140" s="412">
        <f>('2013 program 10 yr On Bill Fin'!M62+'2013 program 5 yr On Bill Fin'!L60+'2013 program 2 yr On Bill Fin'!M50)*('Capital Structure '!$J$18+'Capital Structure '!$J$21)/12</f>
        <v>142048.22862000004</v>
      </c>
      <c r="BT140" s="431">
        <f t="shared" si="137"/>
        <v>216992.51856593305</v>
      </c>
      <c r="BV140" s="560">
        <v>0</v>
      </c>
      <c r="BW140" s="431">
        <f t="shared" si="138"/>
        <v>642082.06306593306</v>
      </c>
      <c r="BY140" s="412">
        <f>'2015 Program Invest Amort Def'!BR37</f>
        <v>103776.19516666666</v>
      </c>
      <c r="CA140" s="412">
        <f>X140*'Capital Structure '!$P$21/12</f>
        <v>4496.9572106659934</v>
      </c>
      <c r="CB140" s="412">
        <f>(X140)*'Capital Structure '!$P$34/12</f>
        <v>5057.7932892334247</v>
      </c>
      <c r="CC140" s="412">
        <f>(X140)*'Capital Structure '!$N$18/12</f>
        <v>12935.067931803307</v>
      </c>
      <c r="CD140" s="412">
        <f>('2015 Program 10-Year OBRP'!P37+'2015 Program 7-Year OBRP'!M37+'2015 Program 5-Year OBRP'!K37+'2015 Program 3-Year OBRP'!K37)*('Capital Structure '!$P$34/12)</f>
        <v>36847.227824109053</v>
      </c>
      <c r="CE140" s="412">
        <f>('2015 Program 10-Year OBRP'!P37+'2015 Program 7-Year OBRP'!M37+'2015 Program 5-Year OBRP'!K37+'2015 Program 3-Year OBRP'!K37)*(('Capital Structure '!$N$21/12)+('Capital Structure '!$N$18/12))</f>
        <v>126996.45183749999</v>
      </c>
      <c r="CF140" s="431">
        <f t="shared" si="139"/>
        <v>186333.49809331176</v>
      </c>
      <c r="CG140" s="412">
        <v>-14622.68</v>
      </c>
      <c r="CI140" s="393">
        <v>353020.86</v>
      </c>
      <c r="CJ140" s="431">
        <f t="shared" si="140"/>
        <v>628507.87325997837</v>
      </c>
      <c r="CK140" s="431"/>
      <c r="CL140" s="431"/>
      <c r="CM140" s="431"/>
      <c r="CN140" s="431"/>
      <c r="CO140" s="431"/>
      <c r="CP140" s="431"/>
      <c r="CQ140" s="431"/>
      <c r="CR140" s="431"/>
      <c r="CS140" s="431"/>
      <c r="CT140" s="431"/>
      <c r="CU140" s="431"/>
      <c r="CV140" s="431"/>
      <c r="CW140" s="431"/>
      <c r="CY140" s="412">
        <f t="shared" ref="CY140:CY145" si="149">+BW140+BK140+AY140+CJ140-AB140</f>
        <v>-217674.10711678979</v>
      </c>
      <c r="CZ140" s="412">
        <f t="shared" si="142"/>
        <v>-5620407.7586978823</v>
      </c>
      <c r="DA140" s="412">
        <f t="shared" si="148"/>
        <v>-3962268.1799247777</v>
      </c>
      <c r="DB140" s="417">
        <v>1.55E-2</v>
      </c>
      <c r="DC140" s="434">
        <f t="shared" si="143"/>
        <v>-5117.9297324028375</v>
      </c>
      <c r="DE140" s="420">
        <f t="shared" si="144"/>
        <v>6.9000000000000006E-2</v>
      </c>
      <c r="DF140" s="420">
        <f t="shared" si="145"/>
        <v>8.9395292808457358E-2</v>
      </c>
      <c r="DG140" s="420">
        <f t="shared" si="146"/>
        <v>6.9000000000000006E-2</v>
      </c>
      <c r="DH140" s="420">
        <f t="shared" si="147"/>
        <v>8.9019919321185151E-2</v>
      </c>
      <c r="DI140" s="394"/>
      <c r="DJ140" s="353"/>
      <c r="DK140" s="353"/>
      <c r="DL140" s="353"/>
      <c r="DM140" s="353"/>
      <c r="DN140" s="353"/>
      <c r="DO140" s="353"/>
      <c r="DP140" s="353"/>
      <c r="DQ140" s="353"/>
      <c r="DR140" s="353"/>
      <c r="DS140" s="353"/>
      <c r="DT140" s="353"/>
      <c r="DU140" s="353"/>
      <c r="DV140" s="353"/>
      <c r="DW140" s="353"/>
      <c r="DX140" s="353"/>
      <c r="DY140" s="353"/>
      <c r="DZ140" s="353"/>
      <c r="EA140" s="353"/>
      <c r="EB140" s="353"/>
      <c r="EC140" s="353"/>
      <c r="ED140" s="353"/>
      <c r="EE140" s="353"/>
      <c r="EF140" s="353"/>
      <c r="EG140" s="353"/>
      <c r="EH140" s="353"/>
      <c r="EI140" s="353"/>
      <c r="EJ140" s="353"/>
      <c r="EK140" s="353"/>
      <c r="EL140" s="353"/>
      <c r="EM140" s="353"/>
      <c r="EN140" s="353"/>
      <c r="EO140" s="353"/>
      <c r="EP140" s="353"/>
      <c r="EQ140" s="353"/>
      <c r="ER140" s="353"/>
      <c r="ES140" s="353"/>
      <c r="ET140" s="353"/>
      <c r="EU140" s="353"/>
      <c r="EV140" s="353"/>
      <c r="EW140" s="353"/>
      <c r="EX140" s="353"/>
      <c r="EY140" s="353"/>
      <c r="EZ140" s="353"/>
      <c r="FA140" s="353"/>
      <c r="FB140" s="353"/>
      <c r="FC140" s="353"/>
      <c r="FD140" s="353"/>
      <c r="FE140" s="353"/>
      <c r="FF140" s="353"/>
      <c r="FG140" s="353"/>
      <c r="FH140" s="353"/>
      <c r="FI140" s="353"/>
      <c r="FJ140" s="353"/>
      <c r="FK140" s="353"/>
      <c r="FL140" s="353"/>
      <c r="FM140" s="353"/>
      <c r="FN140" s="353"/>
      <c r="FO140" s="353"/>
      <c r="FP140" s="353"/>
      <c r="FQ140" s="353"/>
    </row>
    <row r="141" spans="1:173" s="351" customFormat="1" hidden="1">
      <c r="A141" s="430" t="s">
        <v>57</v>
      </c>
      <c r="B141" s="351">
        <v>2018</v>
      </c>
      <c r="C141" s="411" t="s">
        <v>47</v>
      </c>
      <c r="F141" s="370"/>
      <c r="G141" s="435"/>
      <c r="H141" s="412">
        <f>'RGGI - Invest Amort deferred'!AI93</f>
        <v>0</v>
      </c>
      <c r="I141" s="412">
        <f>'RGGI - Invest Amort deferred'!AI93</f>
        <v>0</v>
      </c>
      <c r="J141" s="413">
        <f>'RGGI - Invest Amort deferred'!BL93</f>
        <v>0</v>
      </c>
      <c r="K141" s="435"/>
      <c r="L141" s="414">
        <f>'RGGI II Invest Amort Def'!AI81</f>
        <v>-45.000000001862645</v>
      </c>
      <c r="M141" s="414">
        <f>'RGGI II Invest Amort Def'!AI81</f>
        <v>-45.000000001862645</v>
      </c>
      <c r="N141" s="413">
        <f>'RGGI II Invest Amort Def'!BK81</f>
        <v>18.382499994276259</v>
      </c>
      <c r="O141" s="435"/>
      <c r="P141" s="425">
        <f>'2013 program Invest Amort Def'!AY63</f>
        <v>5728765.6266666502</v>
      </c>
      <c r="Q141" s="425">
        <f>'2013 program Invest Amort Def'!AY63</f>
        <v>5728765.6266666502</v>
      </c>
      <c r="R141" s="425">
        <f>'2013 program Invest Amort Def'!CQ63</f>
        <v>-1610356.0176559954</v>
      </c>
      <c r="S141" s="373">
        <f t="shared" si="130"/>
        <v>4118409.6090106545</v>
      </c>
      <c r="T141" s="435"/>
      <c r="U141" s="414">
        <f>'2015 Program Invest Amort Def'!BT38</f>
        <v>4006433.0808333331</v>
      </c>
      <c r="V141" s="414">
        <f>'2015 Program Invest Amort Def'!BT38</f>
        <v>4006433.0808333331</v>
      </c>
      <c r="W141" s="414">
        <f>'2015 Program Invest Amort Def'!EG38</f>
        <v>-987059.15402224963</v>
      </c>
      <c r="X141" s="373">
        <f t="shared" si="131"/>
        <v>3019373.9268110832</v>
      </c>
      <c r="Y141" s="435"/>
      <c r="Z141" s="394">
        <f t="array" ref="Z141:Z145">TRANSPOSE('Schedule NJNG-3 - Page 3'!J28:N28)</f>
        <v>25481630.199999999</v>
      </c>
      <c r="AA141" s="480">
        <v>2.4899999999999999E-2</v>
      </c>
      <c r="AB141" s="439">
        <f t="shared" si="132"/>
        <v>634492.59197999991</v>
      </c>
      <c r="AO141" s="372">
        <f>'RGGI - Invest Amort deferred'!AG93+'RGGI CHP'!V48</f>
        <v>12500</v>
      </c>
      <c r="AQ141" s="412">
        <f>(H141+J141)*'Capital Structure '!$F$21/12</f>
        <v>0</v>
      </c>
      <c r="AR141" s="412">
        <f>(H141+J141)*'Capital Structure '!$E$34/12</f>
        <v>0</v>
      </c>
      <c r="AS141" s="412">
        <f>(H141+J141)*'Capital Structure '!$F$18/12</f>
        <v>0</v>
      </c>
      <c r="AT141" s="412">
        <f>'RGGI - On-bill financing'!J93*'Capital Structure '!$P$34/12</f>
        <v>2063.0996327589364</v>
      </c>
      <c r="AU141" s="412">
        <f>'RGGI - On-bill financing'!J93*('Capital Structure '!$F$18+'Capital Structure '!$F$21)/12</f>
        <v>7994.5650772398867</v>
      </c>
      <c r="AV141" s="415">
        <f t="shared" si="133"/>
        <v>10057.664709998822</v>
      </c>
      <c r="AX141" s="415">
        <v>0</v>
      </c>
      <c r="AY141" s="431">
        <f t="shared" si="134"/>
        <v>22557.664709998822</v>
      </c>
      <c r="BA141" s="412">
        <f>'RGGI II Invest Amort Def'!AG81</f>
        <v>14806.285666666667</v>
      </c>
      <c r="BC141" s="412">
        <f>(L141+N141)*'Capital Structure '!$H$21/12</f>
        <v>-4.0499746230293031E-2</v>
      </c>
      <c r="BD141" s="412">
        <f>(L141+N141)*'Capital Structure '!$W$34/12</f>
        <v>-4.5776224542575239E-2</v>
      </c>
      <c r="BE141" s="412">
        <f>(L141+N141)*'Capital Structure '!$H$18/12</f>
        <v>-0.11707053654805177</v>
      </c>
      <c r="BF141" s="412">
        <f>'RGGI II On Bill Fin''g'!L81*'Capital Structure '!$W$34/12</f>
        <v>7413.8285154012738</v>
      </c>
      <c r="BG141" s="412">
        <f>'RGGI II On Bill Fin''g'!L81*('Capital Structure '!$H$18+'Capital Structure '!$H$21)/12</f>
        <v>25519.777293023024</v>
      </c>
      <c r="BH141" s="415">
        <f t="shared" si="135"/>
        <v>32933.40246191698</v>
      </c>
      <c r="BJ141" s="558">
        <v>0</v>
      </c>
      <c r="BK141" s="431">
        <f t="shared" si="136"/>
        <v>47739.688128583643</v>
      </c>
      <c r="BM141" s="412">
        <f>'2013 program Invest Amort Def'!AW63</f>
        <v>425089.54450000002</v>
      </c>
      <c r="BO141" s="412">
        <f>(S141)*'Capital Structure '!$J$21/12</f>
        <v>5779.5014846449521</v>
      </c>
      <c r="BP141" s="412">
        <f>(S141)*'Capital Structure '!$V$34/12</f>
        <v>6999.6808234113896</v>
      </c>
      <c r="BQ141" s="412">
        <f>(S141)*'Capital Structure '!$J$18/12</f>
        <v>17901.353767166311</v>
      </c>
      <c r="BR141" s="412">
        <f>('2013 program 10 yr On Bill Fin'!M63+'2013 program 5 yr On Bill Fin'!L61+'2013 program 2 yr On Bill Fin'!M51)*'Capital Structure '!$V$34/12</f>
        <v>41166.551832687044</v>
      </c>
      <c r="BS141" s="412">
        <f>('2013 program 10 yr On Bill Fin'!M63+'2013 program 5 yr On Bill Fin'!L61+'2013 program 2 yr On Bill Fin'!M51)*('Capital Structure '!$J$18+'Capital Structure '!$J$21)/12</f>
        <v>139271.94393000004</v>
      </c>
      <c r="BT141" s="431">
        <f t="shared" si="137"/>
        <v>211119.03183790972</v>
      </c>
      <c r="BV141" s="560">
        <v>0</v>
      </c>
      <c r="BW141" s="431">
        <f t="shared" si="138"/>
        <v>636208.57633790979</v>
      </c>
      <c r="BY141" s="412">
        <f>'2015 Program Invest Amort Def'!BR38</f>
        <v>105246.19516666666</v>
      </c>
      <c r="CA141" s="412">
        <f>X141*'Capital Structure '!$P$21/12</f>
        <v>4478.7379914364401</v>
      </c>
      <c r="CB141" s="412">
        <f>(X141)*'Capital Structure '!$P$34/12</f>
        <v>5037.3018679373208</v>
      </c>
      <c r="CC141" s="412">
        <f>(X141)*'Capital Structure '!$N$18/12</f>
        <v>12882.662087727289</v>
      </c>
      <c r="CD141" s="412">
        <f>('2015 Program 10-Year OBRP'!P38+'2015 Program 7-Year OBRP'!M38+'2015 Program 5-Year OBRP'!K38+'2015 Program 3-Year OBRP'!K38)*('Capital Structure '!$P$34/12)</f>
        <v>37728.194597443871</v>
      </c>
      <c r="CE141" s="412">
        <f>('2015 Program 10-Year OBRP'!P38+'2015 Program 7-Year OBRP'!M38+'2015 Program 5-Year OBRP'!K38+'2015 Program 3-Year OBRP'!K38)*(('Capital Structure '!$N$21/12)+('Capital Structure '!$N$18/12))</f>
        <v>130032.7631425</v>
      </c>
      <c r="CF141" s="431">
        <f t="shared" si="139"/>
        <v>190159.65968704491</v>
      </c>
      <c r="CG141" s="412">
        <v>-13442</v>
      </c>
      <c r="CI141" s="393">
        <v>435872</v>
      </c>
      <c r="CJ141" s="431">
        <f t="shared" si="140"/>
        <v>717835.85485371156</v>
      </c>
      <c r="CK141" s="431"/>
      <c r="CL141" s="431"/>
      <c r="CM141" s="431"/>
      <c r="CN141" s="431"/>
      <c r="CO141" s="431"/>
      <c r="CP141" s="431"/>
      <c r="CQ141" s="431"/>
      <c r="CR141" s="431"/>
      <c r="CS141" s="431"/>
      <c r="CT141" s="431"/>
      <c r="CU141" s="431"/>
      <c r="CV141" s="431"/>
      <c r="CW141" s="431"/>
      <c r="CY141" s="412">
        <f t="shared" si="149"/>
        <v>789849.1920502038</v>
      </c>
      <c r="CZ141" s="412">
        <f t="shared" si="142"/>
        <v>-4830558.5666476786</v>
      </c>
      <c r="DA141" s="412">
        <f t="shared" si="148"/>
        <v>-3756599.8456454617</v>
      </c>
      <c r="DB141" s="417">
        <v>1.55E-2</v>
      </c>
      <c r="DC141" s="434">
        <f t="shared" si="143"/>
        <v>-4852.2748006253878</v>
      </c>
      <c r="DE141" s="420">
        <f t="shared" si="144"/>
        <v>6.9000000000000006E-2</v>
      </c>
      <c r="DF141" s="420">
        <f t="shared" si="145"/>
        <v>8.9395292808457358E-2</v>
      </c>
      <c r="DG141" s="420">
        <f t="shared" si="146"/>
        <v>6.9000000000000006E-2</v>
      </c>
      <c r="DH141" s="420">
        <f t="shared" si="147"/>
        <v>8.9019919321185137E-2</v>
      </c>
      <c r="DI141" s="353"/>
      <c r="DJ141" s="353"/>
      <c r="DK141" s="353"/>
      <c r="DL141" s="353"/>
      <c r="DM141" s="353"/>
      <c r="DN141" s="353"/>
      <c r="DO141" s="353"/>
      <c r="DP141" s="353"/>
      <c r="DQ141" s="353"/>
      <c r="DR141" s="353"/>
      <c r="DS141" s="353"/>
      <c r="DT141" s="353"/>
      <c r="DU141" s="353"/>
      <c r="DV141" s="353"/>
      <c r="DW141" s="353"/>
      <c r="DX141" s="353"/>
      <c r="DY141" s="353"/>
      <c r="DZ141" s="353"/>
      <c r="EA141" s="353"/>
      <c r="EB141" s="353"/>
      <c r="EC141" s="353"/>
      <c r="ED141" s="353"/>
      <c r="EE141" s="353"/>
      <c r="EF141" s="353"/>
      <c r="EG141" s="353"/>
      <c r="EH141" s="353"/>
      <c r="EI141" s="353"/>
      <c r="EJ141" s="353"/>
      <c r="EK141" s="353"/>
      <c r="EL141" s="353"/>
      <c r="EM141" s="353"/>
      <c r="EN141" s="353"/>
      <c r="EO141" s="353"/>
      <c r="EP141" s="353"/>
      <c r="EQ141" s="353"/>
      <c r="ER141" s="353"/>
      <c r="ES141" s="353"/>
      <c r="ET141" s="353"/>
      <c r="EU141" s="353"/>
      <c r="EV141" s="353"/>
      <c r="EW141" s="353"/>
      <c r="EX141" s="353"/>
      <c r="EY141" s="353"/>
      <c r="EZ141" s="353"/>
      <c r="FA141" s="353"/>
      <c r="FB141" s="353"/>
      <c r="FC141" s="353"/>
      <c r="FD141" s="353"/>
      <c r="FE141" s="353"/>
      <c r="FF141" s="353"/>
      <c r="FG141" s="353"/>
      <c r="FH141" s="353"/>
      <c r="FI141" s="353"/>
      <c r="FJ141" s="353"/>
      <c r="FK141" s="353"/>
      <c r="FL141" s="353"/>
      <c r="FM141" s="353"/>
      <c r="FN141" s="353"/>
      <c r="FO141" s="353"/>
      <c r="FP141" s="353"/>
      <c r="FQ141" s="353"/>
    </row>
    <row r="142" spans="1:173" s="351" customFormat="1" hidden="1">
      <c r="A142" s="430" t="s">
        <v>58</v>
      </c>
      <c r="B142" s="351">
        <v>2018</v>
      </c>
      <c r="C142" s="411" t="s">
        <v>47</v>
      </c>
      <c r="F142" s="370"/>
      <c r="G142" s="435"/>
      <c r="H142" s="412">
        <f>'RGGI - Invest Amort deferred'!AI94</f>
        <v>0</v>
      </c>
      <c r="I142" s="412">
        <f>'RGGI - Invest Amort deferred'!AI94</f>
        <v>0</v>
      </c>
      <c r="J142" s="413">
        <f>'RGGI - Invest Amort deferred'!BL94</f>
        <v>0</v>
      </c>
      <c r="K142" s="435"/>
      <c r="L142" s="414">
        <f>'RGGI II Invest Amort Def'!AI82</f>
        <v>0</v>
      </c>
      <c r="M142" s="414">
        <f>'RGGI II Invest Amort Def'!AI82</f>
        <v>0</v>
      </c>
      <c r="N142" s="413">
        <f>'RGGI II Invest Amort Def'!BK82</f>
        <v>-5.723741480778699E-9</v>
      </c>
      <c r="O142" s="435"/>
      <c r="P142" s="425">
        <f>'2013 program Invest Amort Def'!AY64</f>
        <v>5303676.0821666494</v>
      </c>
      <c r="Q142" s="425">
        <f>'2013 program Invest Amort Def'!AY64</f>
        <v>5303676.0821666494</v>
      </c>
      <c r="R142" s="425">
        <f>'2013 program Invest Amort Def'!CQ64</f>
        <v>-1490863.3466970455</v>
      </c>
      <c r="S142" s="373">
        <f t="shared" si="130"/>
        <v>3812812.7354696039</v>
      </c>
      <c r="T142" s="435"/>
      <c r="U142" s="414">
        <f>'2015 Program Invest Amort Def'!BT39</f>
        <v>3990178.5523333331</v>
      </c>
      <c r="V142" s="414">
        <f>'2015 Program Invest Amort Def'!BT39</f>
        <v>3990178.5523333331</v>
      </c>
      <c r="W142" s="414">
        <f>'2015 Program Invest Amort Def'!EG39</f>
        <v>-981927.80606089963</v>
      </c>
      <c r="X142" s="373">
        <f t="shared" si="131"/>
        <v>3008250.7462724335</v>
      </c>
      <c r="Y142" s="435"/>
      <c r="Z142" s="394">
        <v>21709412.289999999</v>
      </c>
      <c r="AA142" s="480">
        <v>2.4899999999999999E-2</v>
      </c>
      <c r="AB142" s="439">
        <f t="shared" si="132"/>
        <v>540564.36602099997</v>
      </c>
      <c r="AO142" s="372">
        <f>'RGGI - Invest Amort deferred'!AG94+'RGGI CHP'!V49</f>
        <v>12500</v>
      </c>
      <c r="AQ142" s="412">
        <f>(H142+J142)*'Capital Structure '!$F$21/12</f>
        <v>0</v>
      </c>
      <c r="AR142" s="412">
        <f>(H142+J142)*'Capital Structure '!$E$34/12</f>
        <v>0</v>
      </c>
      <c r="AS142" s="412">
        <f>(H142+J142)*'Capital Structure '!$F$18/12</f>
        <v>0</v>
      </c>
      <c r="AT142" s="412">
        <f>'RGGI - On-bill financing'!J94*'Capital Structure '!$P$34/12</f>
        <v>2004.4414693470574</v>
      </c>
      <c r="AU142" s="412">
        <f>'RGGI - On-bill financing'!J94*('Capital Structure '!$F$18+'Capital Structure '!$F$21)/12</f>
        <v>7767.2631586793532</v>
      </c>
      <c r="AV142" s="415">
        <f t="shared" si="133"/>
        <v>9771.7046280264112</v>
      </c>
      <c r="AX142" s="415">
        <v>0</v>
      </c>
      <c r="AY142" s="431">
        <f t="shared" si="134"/>
        <v>22271.704628026411</v>
      </c>
      <c r="BA142" s="412">
        <f>'RGGI II Invest Amort Def'!AG82</f>
        <v>-45</v>
      </c>
      <c r="BC142" s="412">
        <f>(L142+N142)*'Capital Structure '!$H$21/12</f>
        <v>-8.708935001155992E-12</v>
      </c>
      <c r="BD142" s="412">
        <f>(L142+N142)*'Capital Structure '!$W$34/12</f>
        <v>-9.8435719046905508E-12</v>
      </c>
      <c r="BE142" s="412">
        <f>(L142+N142)*'Capital Structure '!$H$18/12</f>
        <v>-2.5174471157175517E-11</v>
      </c>
      <c r="BF142" s="412">
        <f>'RGGI II On Bill Fin''g'!L82*'Capital Structure '!$W$34/12</f>
        <v>7243.4084339614319</v>
      </c>
      <c r="BG142" s="412">
        <f>'RGGI II On Bill Fin''g'!L82*('Capital Structure '!$H$18+'Capital Structure '!$H$21)/12</f>
        <v>24933.159661448601</v>
      </c>
      <c r="BH142" s="415">
        <f t="shared" si="135"/>
        <v>32176.568095409988</v>
      </c>
      <c r="BJ142" s="558">
        <v>0</v>
      </c>
      <c r="BK142" s="431">
        <f t="shared" si="136"/>
        <v>32131.568095409988</v>
      </c>
      <c r="BM142" s="412">
        <f>'2013 program Invest Amort Def'!AW64</f>
        <v>425089.54450000002</v>
      </c>
      <c r="BO142" s="412">
        <f>(S142)*'Capital Structure '!$J$21/12</f>
        <v>5350.6472054423439</v>
      </c>
      <c r="BP142" s="412">
        <f>(S142)*'Capital Structure '!$V$34/12</f>
        <v>6480.2860136431527</v>
      </c>
      <c r="BQ142" s="412">
        <f>(S142)*'Capital Structure '!$J$18/12</f>
        <v>16573.026023507879</v>
      </c>
      <c r="BR142" s="412">
        <f>('2013 program 10 yr On Bill Fin'!M64+'2013 program 5 yr On Bill Fin'!L62+'2013 program 2 yr On Bill Fin'!M52)*'Capital Structure '!$V$34/12</f>
        <v>40367.888958432268</v>
      </c>
      <c r="BS142" s="412">
        <f>('2013 program 10 yr On Bill Fin'!M64+'2013 program 5 yr On Bill Fin'!L62+'2013 program 2 yr On Bill Fin'!M52)*('Capital Structure '!$J$18+'Capital Structure '!$J$21)/12</f>
        <v>136569.96074000004</v>
      </c>
      <c r="BT142" s="431">
        <f t="shared" si="137"/>
        <v>205341.80894102569</v>
      </c>
      <c r="BV142" s="560">
        <v>0</v>
      </c>
      <c r="BW142" s="431">
        <f t="shared" si="138"/>
        <v>630431.35344102571</v>
      </c>
      <c r="BY142" s="412">
        <f>'2015 Program Invest Amort Def'!BR39</f>
        <v>106754.52849999999</v>
      </c>
      <c r="CA142" s="412">
        <f>X142*'Capital Structure '!$P$21/12</f>
        <v>4462.2386069707763</v>
      </c>
      <c r="CB142" s="412">
        <f>(X142)*'Capital Structure '!$P$34/12</f>
        <v>5018.7447698557598</v>
      </c>
      <c r="CC142" s="412">
        <f>(X142)*'Capital Structure '!$N$18/12</f>
        <v>12835.203184095719</v>
      </c>
      <c r="CD142" s="412">
        <f>('2015 Program 10-Year OBRP'!P39+'2015 Program 7-Year OBRP'!M39+'2015 Program 5-Year OBRP'!K39+'2015 Program 3-Year OBRP'!K39)*('Capital Structure '!$P$34/12)</f>
        <v>38308.21066565474</v>
      </c>
      <c r="CE142" s="412">
        <f>('2015 Program 10-Year OBRP'!P39+'2015 Program 7-Year OBRP'!M39+'2015 Program 5-Year OBRP'!K39+'2015 Program 3-Year OBRP'!K39)*(('Capital Structure '!$N$21/12)+('Capital Structure '!$N$18/12))</f>
        <v>132031.82757749999</v>
      </c>
      <c r="CF142" s="431">
        <f t="shared" si="139"/>
        <v>192656.22480407701</v>
      </c>
      <c r="CG142" s="412">
        <v>-13429</v>
      </c>
      <c r="CI142" s="393">
        <v>329336</v>
      </c>
      <c r="CJ142" s="431">
        <f t="shared" si="140"/>
        <v>615317.75330407696</v>
      </c>
      <c r="CK142" s="431"/>
      <c r="CL142" s="431"/>
      <c r="CM142" s="431"/>
      <c r="CN142" s="431"/>
      <c r="CO142" s="431"/>
      <c r="CP142" s="431"/>
      <c r="CQ142" s="431"/>
      <c r="CR142" s="431"/>
      <c r="CS142" s="431"/>
      <c r="CT142" s="431"/>
      <c r="CU142" s="431"/>
      <c r="CV142" s="431"/>
      <c r="CW142" s="431"/>
      <c r="CY142" s="412">
        <f t="shared" si="149"/>
        <v>759588.0134475393</v>
      </c>
      <c r="CZ142" s="412">
        <f t="shared" si="142"/>
        <v>-4070970.5532001392</v>
      </c>
      <c r="DA142" s="412">
        <f t="shared" si="148"/>
        <v>-3199654.6421292978</v>
      </c>
      <c r="DB142" s="417">
        <v>1.9699999999999999E-2</v>
      </c>
      <c r="DC142" s="434">
        <f t="shared" si="143"/>
        <v>-5252.7663708289301</v>
      </c>
      <c r="DE142" s="420">
        <f t="shared" si="144"/>
        <v>6.9000000000000006E-2</v>
      </c>
      <c r="DF142" s="420">
        <f t="shared" si="145"/>
        <v>8.9395292808457358E-2</v>
      </c>
      <c r="DG142" s="420">
        <f t="shared" si="146"/>
        <v>6.9000000000000006E-2</v>
      </c>
      <c r="DH142" s="420">
        <f t="shared" si="147"/>
        <v>8.9019919321185151E-2</v>
      </c>
      <c r="DI142" s="353"/>
      <c r="DJ142" s="353"/>
      <c r="DK142" s="353"/>
      <c r="DL142" s="353"/>
      <c r="DM142" s="353"/>
      <c r="DN142" s="353"/>
      <c r="DO142" s="353"/>
      <c r="DP142" s="353"/>
      <c r="DQ142" s="353"/>
      <c r="DR142" s="353"/>
      <c r="DS142" s="353"/>
      <c r="DT142" s="353"/>
      <c r="DU142" s="353"/>
      <c r="DV142" s="353"/>
      <c r="DW142" s="353"/>
      <c r="DX142" s="353"/>
      <c r="DY142" s="353"/>
      <c r="DZ142" s="353"/>
      <c r="EA142" s="353"/>
      <c r="EB142" s="353"/>
      <c r="EC142" s="353"/>
      <c r="ED142" s="353"/>
      <c r="EE142" s="353"/>
      <c r="EF142" s="353"/>
      <c r="EG142" s="353"/>
      <c r="EH142" s="353"/>
      <c r="EI142" s="353"/>
      <c r="EJ142" s="353"/>
      <c r="EK142" s="353"/>
      <c r="EL142" s="353"/>
      <c r="EM142" s="353"/>
      <c r="EN142" s="353"/>
      <c r="EO142" s="353"/>
      <c r="EP142" s="353"/>
      <c r="EQ142" s="353"/>
      <c r="ER142" s="353"/>
      <c r="ES142" s="353"/>
      <c r="ET142" s="353"/>
      <c r="EU142" s="353"/>
      <c r="EV142" s="353"/>
      <c r="EW142" s="353"/>
      <c r="EX142" s="353"/>
      <c r="EY142" s="353"/>
      <c r="EZ142" s="353"/>
      <c r="FA142" s="353"/>
      <c r="FB142" s="353"/>
      <c r="FC142" s="353"/>
      <c r="FD142" s="353"/>
      <c r="FE142" s="353"/>
      <c r="FF142" s="353"/>
      <c r="FG142" s="353"/>
      <c r="FH142" s="353"/>
      <c r="FI142" s="353"/>
      <c r="FJ142" s="353"/>
      <c r="FK142" s="353"/>
      <c r="FL142" s="353"/>
      <c r="FM142" s="353"/>
      <c r="FN142" s="353"/>
      <c r="FO142" s="353"/>
      <c r="FP142" s="353"/>
      <c r="FQ142" s="353"/>
    </row>
    <row r="143" spans="1:173" s="351" customFormat="1" hidden="1">
      <c r="A143" s="430" t="s">
        <v>59</v>
      </c>
      <c r="B143" s="351">
        <v>2018</v>
      </c>
      <c r="C143" s="411" t="s">
        <v>47</v>
      </c>
      <c r="F143" s="370"/>
      <c r="G143" s="435"/>
      <c r="H143" s="412">
        <f>'RGGI - Invest Amort deferred'!AI95</f>
        <v>0</v>
      </c>
      <c r="I143" s="412">
        <f>'RGGI - Invest Amort deferred'!AI95</f>
        <v>0</v>
      </c>
      <c r="J143" s="413">
        <f>'RGGI - Invest Amort deferred'!BL95</f>
        <v>0</v>
      </c>
      <c r="K143" s="435"/>
      <c r="L143" s="414">
        <f>'RGGI II Invest Amort Def'!AI83</f>
        <v>0</v>
      </c>
      <c r="M143" s="414">
        <f>'RGGI II Invest Amort Def'!AI83</f>
        <v>0</v>
      </c>
      <c r="N143" s="413">
        <f>'RGGI II Invest Amort Def'!BK83</f>
        <v>0</v>
      </c>
      <c r="O143" s="435"/>
      <c r="P143" s="425">
        <f>'2013 program Invest Amort Def'!AY65</f>
        <v>4900898.5876666494</v>
      </c>
      <c r="Q143" s="425">
        <f>'2013 program Invest Amort Def'!AY65</f>
        <v>4900898.5876666494</v>
      </c>
      <c r="R143" s="425">
        <f>'2013 program Invest Amort Def'!CQ65</f>
        <v>-1377642.5929930955</v>
      </c>
      <c r="S143" s="373">
        <f t="shared" si="130"/>
        <v>3523255.9946735539</v>
      </c>
      <c r="T143" s="435"/>
      <c r="U143" s="414">
        <f>'2015 Program Invest Amort Def'!BT40</f>
        <v>3984314.023833333</v>
      </c>
      <c r="V143" s="414">
        <f>'2015 Program Invest Amort Def'!BT40</f>
        <v>3984314.023833333</v>
      </c>
      <c r="W143" s="414">
        <f>'2015 Program Invest Amort Def'!EG40</f>
        <v>-976854.55209954968</v>
      </c>
      <c r="X143" s="373">
        <f t="shared" si="131"/>
        <v>3007459.4717337834</v>
      </c>
      <c r="Y143" s="435"/>
      <c r="Z143" s="394">
        <v>19001380.640000001</v>
      </c>
      <c r="AA143" s="480">
        <v>2.4899999999999999E-2</v>
      </c>
      <c r="AB143" s="439">
        <f t="shared" si="132"/>
        <v>473134.377936</v>
      </c>
      <c r="AO143" s="372">
        <f>'RGGI - Invest Amort deferred'!AG95+'RGGI CHP'!V50</f>
        <v>12500</v>
      </c>
      <c r="AQ143" s="412">
        <f>(H143+J143)*'Capital Structure '!$F$21/12</f>
        <v>0</v>
      </c>
      <c r="AR143" s="412">
        <f>(H143+J143)*'Capital Structure '!$E$34/12</f>
        <v>0</v>
      </c>
      <c r="AS143" s="412">
        <f>(H143+J143)*'Capital Structure '!$F$18/12</f>
        <v>0</v>
      </c>
      <c r="AT143" s="412">
        <f>'RGGI - On-bill financing'!J95*'Capital Structure '!$P$34/12</f>
        <v>1950.0301647873137</v>
      </c>
      <c r="AU143" s="412">
        <f>'RGGI - On-bill financing'!J95*('Capital Structure '!$F$18+'Capital Structure '!$F$21)/12</f>
        <v>7556.4179293296284</v>
      </c>
      <c r="AV143" s="415">
        <f t="shared" si="133"/>
        <v>9506.4480941169422</v>
      </c>
      <c r="AX143" s="415">
        <v>0</v>
      </c>
      <c r="AY143" s="431">
        <f t="shared" si="134"/>
        <v>22006.448094116942</v>
      </c>
      <c r="BA143" s="412">
        <f>'RGGI II Invest Amort Def'!AG83</f>
        <v>0</v>
      </c>
      <c r="BC143" s="412">
        <f>(L143+N143)*'Capital Structure '!$H$21/12</f>
        <v>0</v>
      </c>
      <c r="BD143" s="412">
        <f>(L143+N143)*'Capital Structure '!$W$34/12</f>
        <v>0</v>
      </c>
      <c r="BE143" s="412">
        <f>(L143+N143)*'Capital Structure '!$H$18/12</f>
        <v>0</v>
      </c>
      <c r="BF143" s="412">
        <f>'RGGI II On Bill Fin''g'!L83*'Capital Structure '!$W$34/12</f>
        <v>7068.638119282773</v>
      </c>
      <c r="BG143" s="412">
        <f>'RGGI II On Bill Fin''g'!L83*('Capital Structure '!$H$18+'Capital Structure '!$H$21)/12</f>
        <v>24331.567717587794</v>
      </c>
      <c r="BH143" s="415">
        <f t="shared" si="135"/>
        <v>31400.205836870566</v>
      </c>
      <c r="BJ143" s="558">
        <v>0</v>
      </c>
      <c r="BK143" s="431">
        <f t="shared" si="136"/>
        <v>31400.205836870566</v>
      </c>
      <c r="BM143" s="412">
        <f>'2013 program Invest Amort Def'!AW65</f>
        <v>402777.49450000003</v>
      </c>
      <c r="BO143" s="412">
        <f>(S143)*'Capital Structure '!$J$21/12</f>
        <v>4944.3025791918872</v>
      </c>
      <c r="BP143" s="412">
        <f>(S143)*'Capital Structure '!$V$34/12</f>
        <v>5988.1531375433178</v>
      </c>
      <c r="BQ143" s="412">
        <f>(S143)*'Capital Structure '!$J$18/12</f>
        <v>15314.419390181049</v>
      </c>
      <c r="BR143" s="412">
        <f>('2013 program 10 yr On Bill Fin'!M65+'2013 program 5 yr On Bill Fin'!L63+'2013 program 2 yr On Bill Fin'!M53)*'Capital Structure '!$V$34/12</f>
        <v>39583.246250352029</v>
      </c>
      <c r="BS143" s="412">
        <f>('2013 program 10 yr On Bill Fin'!M65+'2013 program 5 yr On Bill Fin'!L63+'2013 program 2 yr On Bill Fin'!M53)*('Capital Structure '!$J$18+'Capital Structure '!$J$21)/12</f>
        <v>133915.40964500001</v>
      </c>
      <c r="BT143" s="431">
        <f t="shared" si="137"/>
        <v>199745.53100226828</v>
      </c>
      <c r="BV143" s="560">
        <v>0</v>
      </c>
      <c r="BW143" s="431">
        <f t="shared" si="138"/>
        <v>602523.02550226834</v>
      </c>
      <c r="BY143" s="412">
        <f>'2015 Program Invest Amort Def'!BR40</f>
        <v>108464.52849999999</v>
      </c>
      <c r="CA143" s="412">
        <f>X143*'Capital Structure '!$P$21/12</f>
        <v>4461.0648830717791</v>
      </c>
      <c r="CB143" s="412">
        <f>(X143)*'Capital Structure '!$P$34/12</f>
        <v>5017.4246654870358</v>
      </c>
      <c r="CC143" s="412">
        <f>(X143)*'Capital Structure '!$N$18/12</f>
        <v>12831.827079397475</v>
      </c>
      <c r="CD143" s="412">
        <f>('2015 Program 10-Year OBRP'!P40+'2015 Program 7-Year OBRP'!M40+'2015 Program 5-Year OBRP'!K40+'2015 Program 3-Year OBRP'!K40)*('Capital Structure '!$P$34/12)</f>
        <v>39883.140514968974</v>
      </c>
      <c r="CE143" s="412">
        <f>('2015 Program 10-Year OBRP'!P40+'2015 Program 7-Year OBRP'!M40+'2015 Program 5-Year OBRP'!K40+'2015 Program 3-Year OBRP'!K40)*(('Capital Structure '!$N$21/12)+('Capital Structure '!$N$18/12))</f>
        <v>137459.92935249998</v>
      </c>
      <c r="CF143" s="431">
        <f t="shared" si="139"/>
        <v>199653.38649542525</v>
      </c>
      <c r="CG143" s="412">
        <v>-13946</v>
      </c>
      <c r="CI143" s="393">
        <v>586330</v>
      </c>
      <c r="CJ143" s="431">
        <f t="shared" si="140"/>
        <v>880501.91499542526</v>
      </c>
      <c r="CK143" s="431"/>
      <c r="CL143" s="431"/>
      <c r="CM143" s="431"/>
      <c r="CN143" s="431"/>
      <c r="CO143" s="431"/>
      <c r="CP143" s="431"/>
      <c r="CQ143" s="431"/>
      <c r="CR143" s="431"/>
      <c r="CS143" s="431"/>
      <c r="CT143" s="431"/>
      <c r="CU143" s="431"/>
      <c r="CV143" s="431"/>
      <c r="CW143" s="431"/>
      <c r="CY143" s="412">
        <f t="shared" si="149"/>
        <v>1063297.2164926813</v>
      </c>
      <c r="CZ143" s="412">
        <f t="shared" si="142"/>
        <v>-3007673.3367074579</v>
      </c>
      <c r="DA143" s="412">
        <f t="shared" si="148"/>
        <v>-2544418.5462272856</v>
      </c>
      <c r="DB143" s="417">
        <v>1.9900000000000001E-2</v>
      </c>
      <c r="DC143" s="434">
        <f t="shared" si="143"/>
        <v>-4219.4940891602491</v>
      </c>
      <c r="DE143" s="420">
        <f t="shared" si="144"/>
        <v>6.9000000000000006E-2</v>
      </c>
      <c r="DF143" s="420">
        <f t="shared" si="145"/>
        <v>8.9395292808457372E-2</v>
      </c>
      <c r="DG143" s="420">
        <f t="shared" si="146"/>
        <v>6.9000000000000006E-2</v>
      </c>
      <c r="DH143" s="420">
        <f t="shared" si="147"/>
        <v>8.9019919321185137E-2</v>
      </c>
      <c r="DI143" s="353"/>
      <c r="DJ143" s="353"/>
      <c r="DK143" s="353"/>
      <c r="DL143" s="353"/>
      <c r="DM143" s="353"/>
      <c r="DN143" s="353"/>
      <c r="DO143" s="353"/>
      <c r="DP143" s="353"/>
      <c r="DQ143" s="353"/>
      <c r="DR143" s="353"/>
      <c r="DS143" s="353"/>
      <c r="DT143" s="353"/>
      <c r="DU143" s="353"/>
      <c r="DV143" s="353"/>
      <c r="DW143" s="353"/>
      <c r="DX143" s="353"/>
      <c r="DY143" s="353"/>
      <c r="DZ143" s="353"/>
      <c r="EA143" s="353"/>
      <c r="EB143" s="353"/>
      <c r="EC143" s="353"/>
      <c r="ED143" s="353"/>
      <c r="EE143" s="353"/>
      <c r="EF143" s="353"/>
      <c r="EG143" s="353"/>
      <c r="EH143" s="353"/>
      <c r="EI143" s="353"/>
      <c r="EJ143" s="353"/>
      <c r="EK143" s="353"/>
      <c r="EL143" s="353"/>
      <c r="EM143" s="353"/>
      <c r="EN143" s="353"/>
      <c r="EO143" s="353"/>
      <c r="EP143" s="353"/>
      <c r="EQ143" s="353"/>
      <c r="ER143" s="353"/>
      <c r="ES143" s="353"/>
      <c r="ET143" s="353"/>
      <c r="EU143" s="353"/>
      <c r="EV143" s="353"/>
      <c r="EW143" s="353"/>
      <c r="EX143" s="353"/>
      <c r="EY143" s="353"/>
      <c r="EZ143" s="353"/>
      <c r="FA143" s="353"/>
      <c r="FB143" s="353"/>
      <c r="FC143" s="353"/>
      <c r="FD143" s="353"/>
      <c r="FE143" s="353"/>
      <c r="FF143" s="353"/>
      <c r="FG143" s="353"/>
      <c r="FH143" s="353"/>
      <c r="FI143" s="353"/>
      <c r="FJ143" s="353"/>
      <c r="FK143" s="353"/>
      <c r="FL143" s="353"/>
      <c r="FM143" s="353"/>
      <c r="FN143" s="353"/>
      <c r="FO143" s="353"/>
      <c r="FP143" s="353"/>
      <c r="FQ143" s="353"/>
    </row>
    <row r="144" spans="1:173" s="351" customFormat="1" hidden="1">
      <c r="A144" s="430" t="s">
        <v>46</v>
      </c>
      <c r="B144" s="351">
        <v>2018</v>
      </c>
      <c r="C144" s="411" t="s">
        <v>47</v>
      </c>
      <c r="F144" s="370"/>
      <c r="G144" s="435"/>
      <c r="H144" s="412">
        <f>'RGGI - Invest Amort deferred'!AI96</f>
        <v>0</v>
      </c>
      <c r="I144" s="412">
        <f>'RGGI - Invest Amort deferred'!AI96</f>
        <v>0</v>
      </c>
      <c r="J144" s="413">
        <f>'RGGI - Invest Amort deferred'!BL96</f>
        <v>0</v>
      </c>
      <c r="K144" s="435"/>
      <c r="L144" s="414">
        <f>'RGGI II Invest Amort Def'!AI84</f>
        <v>0</v>
      </c>
      <c r="M144" s="414">
        <f>'RGGI II Invest Amort Def'!AI84</f>
        <v>0</v>
      </c>
      <c r="N144" s="413">
        <f>'RGGI II Invest Amort Def'!BK84</f>
        <v>0</v>
      </c>
      <c r="O144" s="435"/>
      <c r="P144" s="425">
        <f>'2013 program Invest Amort Def'!AY66</f>
        <v>4514657.2098333165</v>
      </c>
      <c r="Q144" s="425">
        <f>'2013 program Invest Amort Def'!AY66</f>
        <v>4514657.2098333165</v>
      </c>
      <c r="R144" s="425">
        <f>'2013 program Invest Amort Def'!CQ66</f>
        <v>-1269070.1416841454</v>
      </c>
      <c r="S144" s="373">
        <f t="shared" si="130"/>
        <v>3245587.0681491708</v>
      </c>
      <c r="T144" s="435"/>
      <c r="U144" s="414">
        <f>'2015 Program Invest Amort Def'!BT41</f>
        <v>3969266.1619999995</v>
      </c>
      <c r="V144" s="414">
        <f>'2015 Program Invest Amort Def'!BT41</f>
        <v>3969266.1619999995</v>
      </c>
      <c r="W144" s="414">
        <f>'2015 Program Invest Amort Def'!EG41</f>
        <v>-971034.04063819966</v>
      </c>
      <c r="X144" s="373">
        <f t="shared" si="131"/>
        <v>2998232.1213618</v>
      </c>
      <c r="Y144" s="435"/>
      <c r="Z144" s="394">
        <v>17990821.544999998</v>
      </c>
      <c r="AA144" s="480">
        <v>2.4899999999999999E-2</v>
      </c>
      <c r="AB144" s="439">
        <f t="shared" si="132"/>
        <v>447971.45647049992</v>
      </c>
      <c r="AO144" s="372">
        <f>'RGGI - Invest Amort deferred'!AG96+'RGGI CHP'!V51</f>
        <v>12500</v>
      </c>
      <c r="AQ144" s="412">
        <f>(H144+J144)*'Capital Structure '!$F$21/12</f>
        <v>0</v>
      </c>
      <c r="AR144" s="412">
        <f>(H144+J144)*'Capital Structure '!$E$34/12</f>
        <v>0</v>
      </c>
      <c r="AS144" s="412">
        <f>(H144+J144)*'Capital Structure '!$F$18/12</f>
        <v>0</v>
      </c>
      <c r="AT144" s="412">
        <f>'RGGI - On-bill financing'!J96*'Capital Structure '!$P$34/12</f>
        <v>1874.8679636021695</v>
      </c>
      <c r="AU144" s="412">
        <f>'RGGI - On-bill financing'!J96*('Capital Structure '!$F$18+'Capital Structure '!$F$21)/12</f>
        <v>7265.1624324151735</v>
      </c>
      <c r="AV144" s="415">
        <f t="shared" si="133"/>
        <v>9140.0303960173424</v>
      </c>
      <c r="AX144" s="415">
        <v>0</v>
      </c>
      <c r="AY144" s="431">
        <f t="shared" si="134"/>
        <v>21640.030396017341</v>
      </c>
      <c r="BA144" s="412">
        <f>'RGGI II Invest Amort Def'!AG84</f>
        <v>0</v>
      </c>
      <c r="BC144" s="412">
        <f>(L144+N144)*'Capital Structure '!$H$21/12</f>
        <v>0</v>
      </c>
      <c r="BD144" s="412">
        <f>(L144+N144)*'Capital Structure '!$W$34/12</f>
        <v>0</v>
      </c>
      <c r="BE144" s="412">
        <f>(L144+N144)*'Capital Structure '!$H$18/12</f>
        <v>0</v>
      </c>
      <c r="BF144" s="412">
        <f>'RGGI II On Bill Fin''g'!L84*'Capital Structure '!$W$34/12</f>
        <v>6867.2818057705272</v>
      </c>
      <c r="BG144" s="412">
        <f>'RGGI II On Bill Fin''g'!L84*('Capital Structure '!$H$18+'Capital Structure '!$H$21)/12</f>
        <v>23638.461818698721</v>
      </c>
      <c r="BH144" s="415">
        <f t="shared" si="135"/>
        <v>30505.743624469247</v>
      </c>
      <c r="BJ144" s="558">
        <v>0</v>
      </c>
      <c r="BK144" s="431">
        <f t="shared" si="136"/>
        <v>30505.743624469247</v>
      </c>
      <c r="BM144" s="412">
        <f>'2013 program Invest Amort Def'!AW66</f>
        <v>386241.37783333333</v>
      </c>
      <c r="BO144" s="412">
        <f>(S144)*'Capital Structure '!$J$21/12</f>
        <v>4554.6405189693369</v>
      </c>
      <c r="BP144" s="412">
        <f>(S144)*'Capital Structure '!$V$34/12</f>
        <v>5516.2248825204151</v>
      </c>
      <c r="BQ144" s="412">
        <f>(S144)*'Capital Structure '!$J$18/12</f>
        <v>14107.485122888394</v>
      </c>
      <c r="BR144" s="412">
        <f>('2013 program 10 yr On Bill Fin'!M66+'2013 program 5 yr On Bill Fin'!L64+'2013 program 2 yr On Bill Fin'!M54)*'Capital Structure '!$V$34/12</f>
        <v>38723.214687864005</v>
      </c>
      <c r="BS144" s="412">
        <f>('2013 program 10 yr On Bill Fin'!M66+'2013 program 5 yr On Bill Fin'!L64+'2013 program 2 yr On Bill Fin'!M54)*('Capital Structure '!$J$18+'Capital Structure '!$J$21)/12</f>
        <v>131005.80798500002</v>
      </c>
      <c r="BT144" s="431">
        <f t="shared" si="137"/>
        <v>193907.37319724218</v>
      </c>
      <c r="BV144" s="560">
        <v>0</v>
      </c>
      <c r="BW144" s="431">
        <f t="shared" si="138"/>
        <v>580148.75103057548</v>
      </c>
      <c r="BY144" s="412">
        <f>'2015 Program Invest Amort Def'!BR41</f>
        <v>110047.86183333331</v>
      </c>
      <c r="CA144" s="412">
        <f>X144*'Capital Structure '!$P$21/12</f>
        <v>4447.3776466866702</v>
      </c>
      <c r="CB144" s="412">
        <f>(X144)*'Capital Structure '!$P$34/12</f>
        <v>5002.0304313207516</v>
      </c>
      <c r="CC144" s="412">
        <f>(X144)*'Capital Structure '!$N$18/12</f>
        <v>12792.457051143681</v>
      </c>
      <c r="CD144" s="412">
        <f>('2015 Program 10-Year OBRP'!P41+'2015 Program 7-Year OBRP'!M41+'2015 Program 5-Year OBRP'!K41+'2015 Program 3-Year OBRP'!K41)*('Capital Structure '!$P$34/12)</f>
        <v>40264.167810973428</v>
      </c>
      <c r="CE144" s="412">
        <f>('2015 Program 10-Year OBRP'!P41+'2015 Program 7-Year OBRP'!M41+'2015 Program 5-Year OBRP'!K41+'2015 Program 3-Year OBRP'!K41)*(('Capital Structure '!$N$21/12)+('Capital Structure '!$N$18/12))</f>
        <v>138773.16558500001</v>
      </c>
      <c r="CF144" s="431">
        <f t="shared" si="139"/>
        <v>201279.19852512455</v>
      </c>
      <c r="CG144" s="412">
        <v>-15524.06</v>
      </c>
      <c r="CI144" s="393">
        <v>328868.57999999996</v>
      </c>
      <c r="CJ144" s="431">
        <f t="shared" si="140"/>
        <v>624671.58035845775</v>
      </c>
      <c r="CK144" s="431"/>
      <c r="CL144" s="431"/>
      <c r="CM144" s="431"/>
      <c r="CN144" s="431"/>
      <c r="CO144" s="431"/>
      <c r="CP144" s="431"/>
      <c r="CQ144" s="431"/>
      <c r="CR144" s="431"/>
      <c r="CS144" s="431"/>
      <c r="CT144" s="431"/>
      <c r="CU144" s="431"/>
      <c r="CV144" s="431"/>
      <c r="CW144" s="431"/>
      <c r="CY144" s="412">
        <f t="shared" si="149"/>
        <v>808994.64893901977</v>
      </c>
      <c r="CZ144" s="412">
        <f t="shared" si="142"/>
        <v>-2198678.6877684379</v>
      </c>
      <c r="DA144" s="412">
        <f t="shared" si="148"/>
        <v>-1871423.2351978607</v>
      </c>
      <c r="DB144" s="417">
        <v>2.0299999999999999E-2</v>
      </c>
      <c r="DC144" s="434">
        <f t="shared" si="143"/>
        <v>-3165.824306209714</v>
      </c>
      <c r="DE144" s="420">
        <f t="shared" si="144"/>
        <v>6.9000000000000006E-2</v>
      </c>
      <c r="DF144" s="420">
        <f t="shared" si="145"/>
        <v>8.9395292808457358E-2</v>
      </c>
      <c r="DG144" s="420">
        <f t="shared" si="146"/>
        <v>6.9000000000000006E-2</v>
      </c>
      <c r="DH144" s="420">
        <f t="shared" si="147"/>
        <v>8.9019919321185165E-2</v>
      </c>
      <c r="DI144" s="353"/>
      <c r="DJ144" s="353"/>
      <c r="DK144" s="353"/>
      <c r="DL144" s="353"/>
      <c r="DM144" s="353"/>
      <c r="DN144" s="353"/>
      <c r="DO144" s="353"/>
      <c r="DP144" s="353"/>
      <c r="DQ144" s="353"/>
      <c r="DR144" s="353"/>
      <c r="DS144" s="353"/>
      <c r="DT144" s="353"/>
      <c r="DU144" s="353"/>
      <c r="DV144" s="353"/>
      <c r="DW144" s="353"/>
      <c r="DX144" s="353"/>
      <c r="DY144" s="353"/>
      <c r="DZ144" s="353"/>
      <c r="EA144" s="353"/>
      <c r="EB144" s="353"/>
      <c r="EC144" s="353"/>
      <c r="ED144" s="353"/>
      <c r="EE144" s="353"/>
      <c r="EF144" s="353"/>
      <c r="EG144" s="353"/>
      <c r="EH144" s="353"/>
      <c r="EI144" s="353"/>
      <c r="EJ144" s="353"/>
      <c r="EK144" s="353"/>
      <c r="EL144" s="353"/>
      <c r="EM144" s="353"/>
      <c r="EN144" s="353"/>
      <c r="EO144" s="353"/>
      <c r="EP144" s="353"/>
      <c r="EQ144" s="353"/>
      <c r="ER144" s="353"/>
      <c r="ES144" s="353"/>
      <c r="ET144" s="353"/>
      <c r="EU144" s="353"/>
      <c r="EV144" s="353"/>
      <c r="EW144" s="353"/>
      <c r="EX144" s="353"/>
      <c r="EY144" s="353"/>
      <c r="EZ144" s="353"/>
      <c r="FA144" s="353"/>
      <c r="FB144" s="353"/>
      <c r="FC144" s="353"/>
      <c r="FD144" s="353"/>
      <c r="FE144" s="353"/>
      <c r="FF144" s="353"/>
      <c r="FG144" s="353"/>
      <c r="FH144" s="353"/>
      <c r="FI144" s="353"/>
      <c r="FJ144" s="353"/>
      <c r="FK144" s="353"/>
      <c r="FL144" s="353"/>
      <c r="FM144" s="353"/>
      <c r="FN144" s="353"/>
      <c r="FO144" s="353"/>
      <c r="FP144" s="353"/>
      <c r="FQ144" s="353"/>
    </row>
    <row r="145" spans="1:173" s="351" customFormat="1" hidden="1">
      <c r="A145" s="430" t="s">
        <v>48</v>
      </c>
      <c r="B145" s="351">
        <v>2018</v>
      </c>
      <c r="C145" s="411" t="s">
        <v>47</v>
      </c>
      <c r="F145" s="370"/>
      <c r="G145" s="435"/>
      <c r="H145" s="412">
        <f>'RGGI - Invest Amort deferred'!AI97</f>
        <v>0</v>
      </c>
      <c r="I145" s="412">
        <f>'RGGI - Invest Amort deferred'!AI97</f>
        <v>0</v>
      </c>
      <c r="J145" s="413">
        <f>'RGGI - Invest Amort deferred'!BL97</f>
        <v>0</v>
      </c>
      <c r="K145" s="435"/>
      <c r="L145" s="414">
        <f>'RGGI II Invest Amort Def'!AI85</f>
        <v>0</v>
      </c>
      <c r="M145" s="414">
        <f>'RGGI II Invest Amort Def'!AI85</f>
        <v>0</v>
      </c>
      <c r="N145" s="413">
        <f>'RGGI II Invest Amort Def'!BK85</f>
        <v>0</v>
      </c>
      <c r="O145" s="435"/>
      <c r="P145" s="425">
        <f>'2013 program Invest Amort Def'!AY67</f>
        <v>4149011.8631666489</v>
      </c>
      <c r="Q145" s="425">
        <f>'2013 program Invest Amort Def'!AY67</f>
        <v>4149011.8631666489</v>
      </c>
      <c r="R145" s="425">
        <f>'2013 program Invest Amort Def'!CQ67</f>
        <v>-1166287.2347361455</v>
      </c>
      <c r="S145" s="373">
        <f t="shared" si="130"/>
        <v>2982724.6284305034</v>
      </c>
      <c r="T145" s="435"/>
      <c r="U145" s="414">
        <f>'2015 Program Invest Amort Def'!BT42</f>
        <v>3924904.966833333</v>
      </c>
      <c r="V145" s="414">
        <f>'2015 Program Invest Amort Def'!BT42</f>
        <v>3924904.966833333</v>
      </c>
      <c r="W145" s="414">
        <f>'2015 Program Invest Amort Def'!EG42</f>
        <v>-964375.85117684968</v>
      </c>
      <c r="X145" s="373">
        <f t="shared" si="131"/>
        <v>2960529.1156564835</v>
      </c>
      <c r="Y145" s="435"/>
      <c r="Z145" s="481">
        <v>17190014.129999999</v>
      </c>
      <c r="AA145" s="480">
        <v>2.4899999999999999E-2</v>
      </c>
      <c r="AB145" s="482">
        <f t="shared" si="132"/>
        <v>428031.35183699994</v>
      </c>
      <c r="AO145" s="383">
        <f>'RGGI - Invest Amort deferred'!AG97+'RGGI CHP'!V52</f>
        <v>12500</v>
      </c>
      <c r="AQ145" s="424">
        <f>(H145+J145)*'Capital Structure '!$F$21/12</f>
        <v>0</v>
      </c>
      <c r="AR145" s="424">
        <f>(H145+J145)*'Capital Structure '!$E$34/12</f>
        <v>0</v>
      </c>
      <c r="AS145" s="424">
        <f>(H145+J145)*'Capital Structure '!$F$18/12</f>
        <v>0</v>
      </c>
      <c r="AT145" s="424">
        <f>'RGGI - On-bill financing'!J97*'Capital Structure '!$P$34/12</f>
        <v>1801.5162304543046</v>
      </c>
      <c r="AU145" s="424">
        <f>'RGGI - On-bill financing'!J97*('Capital Structure '!$F$18+'Capital Structure '!$F$21)/12</f>
        <v>6980.9225465330064</v>
      </c>
      <c r="AV145" s="440">
        <f t="shared" si="133"/>
        <v>8782.4387769873101</v>
      </c>
      <c r="AX145" s="440">
        <v>0</v>
      </c>
      <c r="AY145" s="441">
        <f t="shared" si="134"/>
        <v>21282.43877698731</v>
      </c>
      <c r="BA145" s="424">
        <f>'RGGI II Invest Amort Def'!AG85</f>
        <v>0</v>
      </c>
      <c r="BB145" s="353"/>
      <c r="BC145" s="424">
        <f>(L145+N145)*'Capital Structure '!$H$21/12</f>
        <v>0</v>
      </c>
      <c r="BD145" s="424">
        <f>(L145+N145)*'Capital Structure '!$W$34/12</f>
        <v>0</v>
      </c>
      <c r="BE145" s="424">
        <f>(L145+N145)*'Capital Structure '!$H$18/12</f>
        <v>0</v>
      </c>
      <c r="BF145" s="424">
        <f>'RGGI II On Bill Fin''g'!L85*'Capital Structure '!$W$34/12</f>
        <v>6740.9796173104032</v>
      </c>
      <c r="BG145" s="424">
        <f>'RGGI II On Bill Fin''g'!L85*('Capital Structure '!$H$18+'Capital Structure '!$H$21)/12</f>
        <v>23203.706184085913</v>
      </c>
      <c r="BH145" s="440">
        <f t="shared" si="135"/>
        <v>29944.685801396317</v>
      </c>
      <c r="BJ145" s="442">
        <v>0</v>
      </c>
      <c r="BK145" s="441">
        <f t="shared" si="136"/>
        <v>29944.685801396317</v>
      </c>
      <c r="BM145" s="424">
        <f>'2013 program Invest Amort Def'!AW67</f>
        <v>365645.34666666668</v>
      </c>
      <c r="BN145" s="444"/>
      <c r="BO145" s="424">
        <f>(S145)*'Capital Structure '!$J$21/12</f>
        <v>4185.7568952308065</v>
      </c>
      <c r="BP145" s="424">
        <f>(S145)*'Capital Structure '!$V$34/12</f>
        <v>5069.4618469864408</v>
      </c>
      <c r="BQ145" s="424">
        <f>(S145)*'Capital Structure '!$J$18/12</f>
        <v>12964.909718244589</v>
      </c>
      <c r="BR145" s="424">
        <f>('2013 program 10 yr On Bill Fin'!M67+'2013 program 5 yr On Bill Fin'!L65+'2013 program 2 yr On Bill Fin'!M55)*'Capital Structure '!$V$34/12</f>
        <v>38035.860007907402</v>
      </c>
      <c r="BS145" s="424">
        <f>('2013 program 10 yr On Bill Fin'!M67+'2013 program 5 yr On Bill Fin'!L65+'2013 program 2 yr On Bill Fin'!M55)*('Capital Structure '!$J$18+'Capital Structure '!$J$21)/12</f>
        <v>128680.39528500002</v>
      </c>
      <c r="BT145" s="441">
        <f t="shared" si="137"/>
        <v>188936.38375336927</v>
      </c>
      <c r="BV145" s="443">
        <v>0</v>
      </c>
      <c r="BW145" s="441">
        <f t="shared" si="138"/>
        <v>554581.73042003601</v>
      </c>
      <c r="BY145" s="424">
        <f>'2015 Program Invest Amort Def'!BR42</f>
        <v>111161.19516666664</v>
      </c>
      <c r="CA145" s="424">
        <f>X145*'Capital Structure '!$P$21/12</f>
        <v>4391.4515215571173</v>
      </c>
      <c r="CB145" s="424">
        <f>(X145)*'Capital Structure '!$P$34/12</f>
        <v>4939.1295036218662</v>
      </c>
      <c r="CC145" s="424">
        <f>(X145)*'Capital Structure '!$N$18/12</f>
        <v>12631.590893467663</v>
      </c>
      <c r="CD145" s="424">
        <f>('2015 Program 10-Year OBRP'!P42+'2015 Program 7-Year OBRP'!M42+'2015 Program 5-Year OBRP'!K42+'2015 Program 3-Year OBRP'!K42)*('Capital Structure '!$P$34/12)</f>
        <v>40793.268653135616</v>
      </c>
      <c r="CE145" s="424">
        <f>('2015 Program 10-Year OBRP'!P42+'2015 Program 7-Year OBRP'!M42+'2015 Program 5-Year OBRP'!K42+'2015 Program 3-Year OBRP'!K42)*(('Capital Structure '!$N$21/12)+('Capital Structure '!$N$18/12))</f>
        <v>140596.74726499998</v>
      </c>
      <c r="CF145" s="441">
        <f t="shared" si="139"/>
        <v>203352.18783678225</v>
      </c>
      <c r="CG145" s="412">
        <v>-15697.21</v>
      </c>
      <c r="CI145" s="481">
        <v>387424.01</v>
      </c>
      <c r="CJ145" s="441">
        <f t="shared" si="140"/>
        <v>686240.18300344888</v>
      </c>
      <c r="CK145" s="431"/>
      <c r="CL145" s="431"/>
      <c r="CM145" s="431"/>
      <c r="CN145" s="431"/>
      <c r="CO145" s="431"/>
      <c r="CP145" s="431"/>
      <c r="CQ145" s="431"/>
      <c r="CR145" s="431"/>
      <c r="CS145" s="431"/>
      <c r="CT145" s="431"/>
      <c r="CU145" s="431"/>
      <c r="CV145" s="431"/>
      <c r="CW145" s="431"/>
      <c r="CY145" s="412">
        <f t="shared" si="149"/>
        <v>864017.68616486853</v>
      </c>
      <c r="CZ145" s="412">
        <f t="shared" si="142"/>
        <v>-1334661.0016035694</v>
      </c>
      <c r="DA145" s="412">
        <f t="shared" si="148"/>
        <v>-1270058.9513447681</v>
      </c>
      <c r="DB145" s="417">
        <v>2.18E-2</v>
      </c>
      <c r="DC145" s="432">
        <f t="shared" si="143"/>
        <v>-2307.273761609662</v>
      </c>
      <c r="DE145" s="420">
        <f t="shared" si="144"/>
        <v>6.9000000000000006E-2</v>
      </c>
      <c r="DF145" s="420">
        <f t="shared" si="145"/>
        <v>8.9395292808457358E-2</v>
      </c>
      <c r="DG145" s="420">
        <f t="shared" si="146"/>
        <v>6.8999999999999992E-2</v>
      </c>
      <c r="DH145" s="420">
        <f t="shared" si="147"/>
        <v>8.9019919321185151E-2</v>
      </c>
      <c r="DI145" s="353"/>
      <c r="DJ145" s="353"/>
      <c r="DK145" s="353"/>
      <c r="DL145" s="353"/>
      <c r="DM145" s="353"/>
      <c r="DN145" s="353"/>
      <c r="DO145" s="353"/>
      <c r="DP145" s="353"/>
      <c r="DQ145" s="353"/>
      <c r="DR145" s="353"/>
      <c r="DS145" s="353"/>
      <c r="DT145" s="353"/>
      <c r="DU145" s="353"/>
      <c r="DV145" s="353"/>
      <c r="DW145" s="353"/>
      <c r="DX145" s="353"/>
      <c r="DY145" s="353"/>
      <c r="DZ145" s="353"/>
      <c r="EA145" s="353"/>
      <c r="EB145" s="353"/>
      <c r="EC145" s="353"/>
      <c r="ED145" s="353"/>
      <c r="EE145" s="353"/>
      <c r="EF145" s="353"/>
      <c r="EG145" s="353"/>
      <c r="EH145" s="353"/>
      <c r="EI145" s="353"/>
      <c r="EJ145" s="353"/>
      <c r="EK145" s="353"/>
      <c r="EL145" s="353"/>
      <c r="EM145" s="353"/>
      <c r="EN145" s="353"/>
      <c r="EO145" s="353"/>
      <c r="EP145" s="353"/>
      <c r="EQ145" s="353"/>
      <c r="ER145" s="353"/>
      <c r="ES145" s="353"/>
      <c r="ET145" s="353"/>
      <c r="EU145" s="353"/>
      <c r="EV145" s="353"/>
      <c r="EW145" s="353"/>
      <c r="EX145" s="353"/>
      <c r="EY145" s="353"/>
      <c r="EZ145" s="353"/>
      <c r="FA145" s="353"/>
      <c r="FB145" s="353"/>
      <c r="FC145" s="353"/>
      <c r="FD145" s="353"/>
      <c r="FE145" s="353"/>
      <c r="FF145" s="353"/>
      <c r="FG145" s="353"/>
      <c r="FH145" s="353"/>
      <c r="FI145" s="353"/>
      <c r="FJ145" s="353"/>
      <c r="FK145" s="353"/>
      <c r="FL145" s="353"/>
      <c r="FM145" s="353"/>
      <c r="FN145" s="353"/>
      <c r="FO145" s="353"/>
      <c r="FP145" s="353"/>
      <c r="FQ145" s="353"/>
    </row>
    <row r="146" spans="1:173" s="351" customFormat="1" hidden="1">
      <c r="F146" s="370"/>
      <c r="G146" s="435"/>
      <c r="H146" s="435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5"/>
      <c r="Y146" s="435"/>
      <c r="Z146" s="397">
        <f>SUM(Z134:Z145)</f>
        <v>712840047.31099999</v>
      </c>
      <c r="AA146" s="435"/>
      <c r="AB146" s="390">
        <f>SUM(AB134:AB145)</f>
        <v>17890960.379400901</v>
      </c>
      <c r="AO146" s="390">
        <f>SUM(AO134:AO145)</f>
        <v>150000</v>
      </c>
      <c r="AQ146" s="384">
        <f t="shared" ref="AQ146:AV146" si="150">SUM(AQ134:AQ145)</f>
        <v>0</v>
      </c>
      <c r="AR146" s="384">
        <f t="shared" si="150"/>
        <v>0</v>
      </c>
      <c r="AS146" s="384">
        <f t="shared" si="150"/>
        <v>0</v>
      </c>
      <c r="AT146" s="384">
        <f t="shared" si="150"/>
        <v>31704.219566860123</v>
      </c>
      <c r="AU146" s="384">
        <f t="shared" si="150"/>
        <v>99835.69662636907</v>
      </c>
      <c r="AV146" s="390">
        <f t="shared" si="150"/>
        <v>131539.9161932292</v>
      </c>
      <c r="AX146" s="390">
        <f>SUM(AX134:AX145)</f>
        <v>0</v>
      </c>
      <c r="AY146" s="373">
        <f>SUM(AY134:AY145)</f>
        <v>281539.91619322915</v>
      </c>
      <c r="BA146" s="384">
        <f>SUM(BA134:BA145)</f>
        <v>626359.83233333332</v>
      </c>
      <c r="BC146" s="384">
        <f t="shared" ref="BC146:BH146" si="151">SUM(BC134:BC145)</f>
        <v>1358.4557982858139</v>
      </c>
      <c r="BD146" s="384">
        <f t="shared" si="151"/>
        <v>2435.4382336815374</v>
      </c>
      <c r="BE146" s="384">
        <f t="shared" si="151"/>
        <v>3926.8184120911101</v>
      </c>
      <c r="BF146" s="384">
        <f t="shared" si="151"/>
        <v>111325.46552975585</v>
      </c>
      <c r="BG146" s="384">
        <f t="shared" si="151"/>
        <v>316658.42586691788</v>
      </c>
      <c r="BH146" s="390">
        <f t="shared" si="151"/>
        <v>435704.60384073225</v>
      </c>
      <c r="BJ146" s="558">
        <f>SUM(BJ134:BJ145)</f>
        <v>0</v>
      </c>
      <c r="BK146" s="373">
        <f>SUM(BK134:BK145)</f>
        <v>1062064.4361740656</v>
      </c>
      <c r="BM146" s="384">
        <f>SUM(BM134:BM145)</f>
        <v>4980470.1194999991</v>
      </c>
      <c r="BO146" s="384">
        <f t="shared" ref="BO146:BT146" si="152">SUM(BO134:BO145)</f>
        <v>72838.641669437289</v>
      </c>
      <c r="BP146" s="384">
        <f t="shared" si="152"/>
        <v>107348.99992153185</v>
      </c>
      <c r="BQ146" s="384">
        <f t="shared" si="152"/>
        <v>225609.47443455167</v>
      </c>
      <c r="BR146" s="384">
        <f t="shared" si="152"/>
        <v>611485.53782451188</v>
      </c>
      <c r="BS146" s="384">
        <f t="shared" si="152"/>
        <v>1714416.9193225005</v>
      </c>
      <c r="BT146" s="390">
        <f t="shared" si="152"/>
        <v>2731699.5731725325</v>
      </c>
      <c r="BV146" s="558">
        <f>SUM(BV134:BV145)</f>
        <v>0</v>
      </c>
      <c r="BW146" s="373">
        <f>SUM(BW134:BW145)</f>
        <v>7712169.6926725339</v>
      </c>
      <c r="BY146" s="384">
        <f>SUM(BY134:BY145)</f>
        <v>1235097.6753333332</v>
      </c>
      <c r="CA146" s="384">
        <f t="shared" ref="CA146:CG146" si="153">SUM(CA134:CA145)</f>
        <v>51876.942753536256</v>
      </c>
      <c r="CB146" s="384">
        <f t="shared" si="153"/>
        <v>68439.415712197777</v>
      </c>
      <c r="CC146" s="384">
        <f t="shared" si="153"/>
        <v>149219.07129107058</v>
      </c>
      <c r="CD146" s="384">
        <f t="shared" si="153"/>
        <v>508291.44809506502</v>
      </c>
      <c r="CE146" s="384">
        <f t="shared" si="153"/>
        <v>1498308.6938074999</v>
      </c>
      <c r="CF146" s="373">
        <f t="shared" si="153"/>
        <v>2276135.5716593694</v>
      </c>
      <c r="CG146" s="384">
        <f t="shared" si="153"/>
        <v>-158019.90999999997</v>
      </c>
      <c r="CI146" s="384">
        <f>SUM(CI134:CI145)</f>
        <v>4403426.7200000007</v>
      </c>
      <c r="CJ146" s="373">
        <f t="shared" si="140"/>
        <v>7756640.0569927031</v>
      </c>
      <c r="CK146" s="373"/>
      <c r="CL146" s="373"/>
      <c r="CM146" s="373"/>
      <c r="CN146" s="373"/>
      <c r="CO146" s="373"/>
      <c r="CP146" s="373"/>
      <c r="CQ146" s="373"/>
      <c r="CR146" s="373"/>
      <c r="CS146" s="373"/>
      <c r="CT146" s="373"/>
      <c r="CU146" s="373"/>
      <c r="CV146" s="373"/>
      <c r="CW146" s="373"/>
      <c r="DB146" s="409"/>
      <c r="DC146" s="384">
        <f>SUM(DC134:DC145)</f>
        <v>-34812.463704487956</v>
      </c>
      <c r="DE146" s="420"/>
      <c r="DF146" s="420"/>
      <c r="DG146" s="420"/>
      <c r="DH146" s="420"/>
      <c r="DI146" s="353"/>
      <c r="DJ146" s="353"/>
      <c r="DK146" s="353"/>
      <c r="DL146" s="353"/>
      <c r="DM146" s="353"/>
      <c r="DN146" s="353"/>
      <c r="DO146" s="353"/>
      <c r="DP146" s="353"/>
      <c r="DQ146" s="353"/>
      <c r="DR146" s="353"/>
      <c r="DS146" s="353"/>
      <c r="DT146" s="353"/>
      <c r="DU146" s="353"/>
      <c r="DV146" s="353"/>
      <c r="DW146" s="353"/>
      <c r="DX146" s="353"/>
      <c r="DY146" s="353"/>
      <c r="DZ146" s="353"/>
      <c r="EA146" s="353"/>
      <c r="EB146" s="353"/>
      <c r="EC146" s="353"/>
      <c r="ED146" s="353"/>
      <c r="EE146" s="353"/>
      <c r="EF146" s="353"/>
      <c r="EG146" s="353"/>
      <c r="EH146" s="353"/>
      <c r="EI146" s="353"/>
      <c r="EJ146" s="353"/>
      <c r="EK146" s="353"/>
      <c r="EL146" s="353"/>
      <c r="EM146" s="353"/>
      <c r="EN146" s="353"/>
      <c r="EO146" s="353"/>
      <c r="EP146" s="353"/>
      <c r="EQ146" s="353"/>
      <c r="ER146" s="353"/>
      <c r="ES146" s="353"/>
      <c r="ET146" s="353"/>
      <c r="EU146" s="353"/>
      <c r="EV146" s="353"/>
      <c r="EW146" s="353"/>
      <c r="EX146" s="353"/>
      <c r="EY146" s="353"/>
      <c r="EZ146" s="353"/>
      <c r="FA146" s="353"/>
      <c r="FB146" s="353"/>
      <c r="FC146" s="353"/>
      <c r="FD146" s="353"/>
      <c r="FE146" s="353"/>
      <c r="FF146" s="353"/>
      <c r="FG146" s="353"/>
      <c r="FH146" s="353"/>
      <c r="FI146" s="353"/>
      <c r="FJ146" s="353"/>
      <c r="FK146" s="353"/>
      <c r="FL146" s="353"/>
      <c r="FM146" s="353"/>
      <c r="FN146" s="353"/>
      <c r="FO146" s="353"/>
      <c r="FP146" s="353"/>
      <c r="FQ146" s="353"/>
    </row>
    <row r="147" spans="1:173" s="351" customFormat="1" hidden="1">
      <c r="F147" s="370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  <c r="Z147" s="435"/>
      <c r="AA147" s="435"/>
      <c r="DB147" s="409"/>
      <c r="DE147" s="420"/>
      <c r="DF147" s="420"/>
      <c r="DG147" s="420"/>
      <c r="DH147" s="420"/>
      <c r="DI147" s="353"/>
      <c r="DJ147" s="353"/>
      <c r="DK147" s="353"/>
      <c r="DL147" s="353"/>
      <c r="DM147" s="353"/>
      <c r="DN147" s="353"/>
      <c r="DO147" s="353"/>
      <c r="DP147" s="353"/>
      <c r="DQ147" s="353"/>
      <c r="DR147" s="353"/>
      <c r="DS147" s="353"/>
      <c r="DT147" s="353"/>
      <c r="DU147" s="353"/>
      <c r="DV147" s="353"/>
      <c r="DW147" s="353"/>
      <c r="DX147" s="353"/>
      <c r="DY147" s="353"/>
      <c r="DZ147" s="353"/>
      <c r="EA147" s="353"/>
      <c r="EB147" s="353"/>
      <c r="EC147" s="353"/>
      <c r="ED147" s="353"/>
      <c r="EE147" s="353"/>
      <c r="EF147" s="353"/>
      <c r="EG147" s="353"/>
      <c r="EH147" s="353"/>
      <c r="EI147" s="353"/>
      <c r="EJ147" s="353"/>
      <c r="EK147" s="353"/>
      <c r="EL147" s="353"/>
      <c r="EM147" s="353"/>
      <c r="EN147" s="353"/>
      <c r="EO147" s="353"/>
      <c r="EP147" s="353"/>
      <c r="EQ147" s="353"/>
      <c r="ER147" s="353"/>
      <c r="ES147" s="353"/>
      <c r="ET147" s="353"/>
      <c r="EU147" s="353"/>
      <c r="EV147" s="353"/>
      <c r="EW147" s="353"/>
      <c r="EX147" s="353"/>
      <c r="EY147" s="353"/>
      <c r="EZ147" s="353"/>
      <c r="FA147" s="353"/>
      <c r="FB147" s="353"/>
      <c r="FC147" s="353"/>
      <c r="FD147" s="353"/>
      <c r="FE147" s="353"/>
      <c r="FF147" s="353"/>
      <c r="FG147" s="353"/>
      <c r="FH147" s="353"/>
      <c r="FI147" s="353"/>
      <c r="FJ147" s="353"/>
      <c r="FK147" s="353"/>
      <c r="FL147" s="353"/>
      <c r="FM147" s="353"/>
      <c r="FN147" s="353"/>
      <c r="FO147" s="353"/>
      <c r="FP147" s="353"/>
      <c r="FQ147" s="353"/>
    </row>
    <row r="148" spans="1:173" s="351" customFormat="1" ht="30" hidden="1">
      <c r="F148" s="370"/>
      <c r="G148" s="435"/>
      <c r="H148" s="435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5"/>
      <c r="Y148" s="435"/>
      <c r="Z148" s="435"/>
      <c r="AA148" s="435"/>
      <c r="CY148" s="410" t="s">
        <v>49</v>
      </c>
      <c r="CZ148" s="384">
        <f>CZ145+DC146</f>
        <v>-1369473.4653080574</v>
      </c>
      <c r="DB148" s="409"/>
      <c r="DE148" s="420"/>
      <c r="DF148" s="420"/>
      <c r="DG148" s="420"/>
      <c r="DH148" s="420"/>
      <c r="DI148" s="353"/>
      <c r="DJ148" s="353"/>
      <c r="DK148" s="353"/>
      <c r="DL148" s="353"/>
      <c r="DM148" s="353"/>
      <c r="DN148" s="353"/>
      <c r="DO148" s="353"/>
      <c r="DP148" s="353"/>
      <c r="DQ148" s="353"/>
      <c r="DR148" s="353"/>
      <c r="DS148" s="353"/>
      <c r="DT148" s="353"/>
      <c r="DU148" s="353"/>
      <c r="DV148" s="353"/>
      <c r="DW148" s="353"/>
      <c r="DX148" s="353"/>
      <c r="DY148" s="353"/>
      <c r="DZ148" s="353"/>
      <c r="EA148" s="353"/>
      <c r="EB148" s="353"/>
      <c r="EC148" s="353"/>
      <c r="ED148" s="353"/>
      <c r="EE148" s="353"/>
      <c r="EF148" s="353"/>
      <c r="EG148" s="353"/>
      <c r="EH148" s="353"/>
      <c r="EI148" s="353"/>
      <c r="EJ148" s="353"/>
      <c r="EK148" s="353"/>
      <c r="EL148" s="353"/>
      <c r="EM148" s="353"/>
      <c r="EN148" s="353"/>
      <c r="EO148" s="353"/>
      <c r="EP148" s="353"/>
      <c r="EQ148" s="353"/>
      <c r="ER148" s="353"/>
      <c r="ES148" s="353"/>
      <c r="ET148" s="353"/>
      <c r="EU148" s="353"/>
      <c r="EV148" s="353"/>
      <c r="EW148" s="353"/>
      <c r="EX148" s="353"/>
      <c r="EY148" s="353"/>
      <c r="EZ148" s="353"/>
      <c r="FA148" s="353"/>
      <c r="FB148" s="353"/>
      <c r="FC148" s="353"/>
      <c r="FD148" s="353"/>
      <c r="FE148" s="353"/>
      <c r="FF148" s="353"/>
      <c r="FG148" s="353"/>
      <c r="FH148" s="353"/>
      <c r="FI148" s="353"/>
      <c r="FJ148" s="353"/>
      <c r="FK148" s="353"/>
      <c r="FL148" s="353"/>
      <c r="FM148" s="353"/>
      <c r="FN148" s="353"/>
      <c r="FO148" s="353"/>
      <c r="FP148" s="353"/>
      <c r="FQ148" s="353"/>
    </row>
    <row r="149" spans="1:173" s="351" customFormat="1" hidden="1">
      <c r="A149" s="430" t="s">
        <v>50</v>
      </c>
      <c r="B149" s="351">
        <v>2018</v>
      </c>
      <c r="C149" s="411" t="s">
        <v>47</v>
      </c>
      <c r="F149" s="370"/>
      <c r="G149" s="435"/>
      <c r="H149" s="412">
        <f>'RGGI - Invest Amort deferred'!AI98</f>
        <v>0</v>
      </c>
      <c r="I149" s="412">
        <f>'RGGI - Invest Amort deferred'!AI98</f>
        <v>0</v>
      </c>
      <c r="J149" s="413">
        <f>'RGGI - Invest Amort deferred'!BL98</f>
        <v>0</v>
      </c>
      <c r="K149" s="435"/>
      <c r="L149" s="414">
        <f>'RGGI II Invest Amort Def'!AI86</f>
        <v>0</v>
      </c>
      <c r="M149" s="414">
        <f>'RGGI II Invest Amort Def'!AI86</f>
        <v>0</v>
      </c>
      <c r="N149" s="413">
        <f>'RGGI II Invest Amort Def'!BK86</f>
        <v>0</v>
      </c>
      <c r="O149" s="435"/>
      <c r="P149" s="425">
        <f>'2013 program Invest Amort Def'!AY68</f>
        <v>3807144.8498333171</v>
      </c>
      <c r="Q149" s="425">
        <f>'2013 program Invest Amort Def'!AY68</f>
        <v>3807144.8498333171</v>
      </c>
      <c r="R149" s="425">
        <f>'2013 program Invest Amort Def'!CQ68</f>
        <v>-1070188.4172881455</v>
      </c>
      <c r="S149" s="373">
        <f>+P149+R149</f>
        <v>2736956.4325451716</v>
      </c>
      <c r="T149" s="435"/>
      <c r="U149" s="414">
        <f>'2015 Program Invest Amort Def'!BT43</f>
        <v>3910897.1049999995</v>
      </c>
      <c r="V149" s="414">
        <f>'2015 Program Invest Amort Def'!BT43</f>
        <v>3910897.1049999995</v>
      </c>
      <c r="W149" s="414">
        <f>'2015 Program Invest Amort Def'!EG43</f>
        <v>-957407.04621549963</v>
      </c>
      <c r="X149" s="373">
        <f>U149+W149</f>
        <v>2953490.0587844998</v>
      </c>
      <c r="Y149" s="435"/>
      <c r="Z149" s="394">
        <f t="array" ref="Z149:Z160">TRANSPOSE('Schedule NJNG-3 - Page 3'!C55:N55)</f>
        <v>36245332.330000006</v>
      </c>
      <c r="AA149" s="480">
        <v>2.4899999999999999E-2</v>
      </c>
      <c r="AB149" s="439">
        <f t="shared" ref="AB149:AB160" si="154">+Z149*AA149</f>
        <v>902508.77501700004</v>
      </c>
      <c r="AC149" s="353"/>
      <c r="AD149" s="353"/>
      <c r="AE149" s="353"/>
      <c r="AF149" s="353"/>
      <c r="AG149" s="353"/>
      <c r="AH149" s="353"/>
      <c r="AI149" s="353"/>
      <c r="AJ149" s="353"/>
      <c r="AK149" s="353"/>
      <c r="AL149" s="353"/>
      <c r="AM149" s="353"/>
      <c r="AN149" s="353"/>
      <c r="AO149" s="439">
        <f>'RGGI - Invest Amort deferred'!AG98+'RGGI CHP'!V53</f>
        <v>12500</v>
      </c>
      <c r="AQ149" s="412">
        <f>(H149+J149)*'Capital Structure '!$F$21/12</f>
        <v>0</v>
      </c>
      <c r="AR149" s="412">
        <f>(H149+J149)*'Capital Structure '!$E$34/12</f>
        <v>0</v>
      </c>
      <c r="AS149" s="412">
        <f>(H149+J149)*'Capital Structure '!$F$18/12</f>
        <v>0</v>
      </c>
      <c r="AT149" s="412">
        <f>'RGGI - On-bill financing'!J98*'Capital Structure '!$P$34/12</f>
        <v>1745.5534155137011</v>
      </c>
      <c r="AU149" s="412">
        <f>'RGGI - On-bill financing'!J98*('Capital Structure '!$F$18+'Capital Structure '!$F$21)/12</f>
        <v>6764.0651738476699</v>
      </c>
      <c r="AV149" s="415">
        <f>SUM(AQ149:AU149)</f>
        <v>8509.6185893613711</v>
      </c>
      <c r="AX149" s="415">
        <v>0</v>
      </c>
      <c r="AY149" s="431">
        <f>+AX149+AV149+AO149</f>
        <v>21009.618589361373</v>
      </c>
      <c r="BA149" s="412">
        <f>'RGGI II Invest Amort Def'!AG86</f>
        <v>0</v>
      </c>
      <c r="BB149" s="353"/>
      <c r="BC149" s="412">
        <f>(L149+N149)*'Capital Structure '!$H$21/12</f>
        <v>0</v>
      </c>
      <c r="BD149" s="412">
        <f>(L149+N149)*'Capital Structure '!$W$34/12</f>
        <v>0</v>
      </c>
      <c r="BE149" s="412">
        <f>(L149+N149)*'Capital Structure '!$H$18/12</f>
        <v>0</v>
      </c>
      <c r="BF149" s="412">
        <f>'RGGI II On Bill Fin''g'!L86*'Capital Structure '!$W$34/12</f>
        <v>6578.153186810192</v>
      </c>
      <c r="BG149" s="412">
        <f>'RGGI II On Bill Fin''g'!L86*('Capital Structure '!$H$18+'Capital Structure '!$H$21)/12</f>
        <v>22643.227312049534</v>
      </c>
      <c r="BH149" s="415">
        <f>SUM(BC149:BG149)</f>
        <v>29221.380498859726</v>
      </c>
      <c r="BI149" s="353"/>
      <c r="BJ149" s="437">
        <v>0</v>
      </c>
      <c r="BK149" s="431">
        <f>+BJ149+BH149+BA149</f>
        <v>29221.380498859726</v>
      </c>
      <c r="BM149" s="412">
        <f>'2013 program Invest Amort Def'!AW68</f>
        <v>341867.01333333325</v>
      </c>
      <c r="BN149" s="353"/>
      <c r="BO149" s="412">
        <f>(S149)*'Capital Structure '!$J$21/12</f>
        <v>3840.8621936717245</v>
      </c>
      <c r="BP149" s="412">
        <f>(S149)*'Capital Structure '!$V$34/12</f>
        <v>4651.7523204791369</v>
      </c>
      <c r="BQ149" s="412">
        <f>(S149)*'Capital Structure '!$J$18/12</f>
        <v>11896.637293463013</v>
      </c>
      <c r="BR149" s="412">
        <f>('2013 program 10 yr On Bill Fin'!M68+'2013 program 5 yr On Bill Fin'!L66+'2013 program 2 yr On Bill Fin'!M56)*'Capital Structure '!$V$34/12</f>
        <v>37258.057932023359</v>
      </c>
      <c r="BS149" s="412">
        <f>('2013 program 10 yr On Bill Fin'!M68+'2013 program 5 yr On Bill Fin'!L66+'2013 program 2 yr On Bill Fin'!M56)*('Capital Structure '!$J$18+'Capital Structure '!$J$21)/12</f>
        <v>126048.98696250001</v>
      </c>
      <c r="BT149" s="431">
        <f>SUM(BO149:BS149)</f>
        <v>183696.29670213725</v>
      </c>
      <c r="BU149" s="353"/>
      <c r="BV149" s="438">
        <v>0</v>
      </c>
      <c r="BW149" s="431">
        <f t="shared" ref="BW149:BW160" si="155">+BV149+BT149+BM149</f>
        <v>525563.31003547052</v>
      </c>
      <c r="BY149" s="412">
        <f>'2015 Program Invest Amort Def'!BR43</f>
        <v>112807.86183333331</v>
      </c>
      <c r="BZ149" s="353"/>
      <c r="CA149" s="412">
        <f>X149*'Capital Structure '!$N$21/12</f>
        <v>4381.0102538636747</v>
      </c>
      <c r="CB149" s="412">
        <f>(X149)*'Capital Structure '!$P$34/12</f>
        <v>4927.3860577323367</v>
      </c>
      <c r="CC149" s="412">
        <f>(X149)*'Capital Structure '!$N$18/12</f>
        <v>12601.5575841472</v>
      </c>
      <c r="CD149" s="412">
        <f>('2015 Program 10-Year OBRP'!P43+'2015 Program 7-Year OBRP'!M43+'2015 Program 5-Year OBRP'!K43+'2015 Program 3-Year OBRP'!K43)*('Capital Structure '!$P$34/12)</f>
        <v>42049.270059924886</v>
      </c>
      <c r="CE149" s="412">
        <f>('2015 Program 10-Year OBRP'!P43+'2015 Program 7-Year OBRP'!M43+'2015 Program 5-Year OBRP'!K43+'2015 Program 3-Year OBRP'!K43)*(('Capital Structure '!$N$21/12)+('Capital Structure '!$N$18/12))</f>
        <v>144925.64068750001</v>
      </c>
      <c r="CF149" s="431">
        <f>SUM(CA149:CE149)</f>
        <v>208884.86464316811</v>
      </c>
      <c r="CG149" s="412">
        <v>-14234.36</v>
      </c>
      <c r="CH149" s="353"/>
      <c r="CI149" s="394">
        <v>510933</v>
      </c>
      <c r="CJ149" s="431">
        <f>BY149+CF149+CG149+CI149</f>
        <v>818391.36647650145</v>
      </c>
      <c r="CK149" s="431"/>
      <c r="CL149" s="431">
        <f>'2018 SUMMARY'!Q23</f>
        <v>0</v>
      </c>
      <c r="CM149" s="431"/>
      <c r="CN149" s="431">
        <f>'2018 SUMMARY'!S23</f>
        <v>0</v>
      </c>
      <c r="CO149" s="431">
        <f>'2018 SUMMARY'!T23</f>
        <v>0</v>
      </c>
      <c r="CP149" s="431">
        <f>'2018 SUMMARY'!U23</f>
        <v>0</v>
      </c>
      <c r="CQ149" s="431">
        <f>'2018 SUMMARY'!V23</f>
        <v>0</v>
      </c>
      <c r="CR149" s="431">
        <f>'2018 SUMMARY'!W23</f>
        <v>0</v>
      </c>
      <c r="CS149" s="431">
        <f>SUM(CN149:CR149)</f>
        <v>0</v>
      </c>
      <c r="CT149" s="431">
        <f>'2018 SUMMARY'!Z23</f>
        <v>0</v>
      </c>
      <c r="CU149" s="431"/>
      <c r="CV149" s="431">
        <f>'2018 SUMMARY'!AB23</f>
        <v>0</v>
      </c>
      <c r="CW149" s="431">
        <f>CL149+SUM(CS149:CV149)</f>
        <v>0</v>
      </c>
      <c r="CY149" s="412">
        <f>+BW149+BK149+AY149+CJ149-AB149+CW149</f>
        <v>491676.90058319294</v>
      </c>
      <c r="CZ149" s="412">
        <f>+CZ148+CY149</f>
        <v>-877796.56472486444</v>
      </c>
      <c r="DA149" s="412">
        <f>(CZ148+CZ149)/2*(1-0.2811)</f>
        <v>-807781.21229533362</v>
      </c>
      <c r="DB149" s="417">
        <v>2.41E-2</v>
      </c>
      <c r="DC149" s="434">
        <f>(DA149)*DB149/12</f>
        <v>-1622.2939346931282</v>
      </c>
      <c r="DE149" s="420">
        <f t="shared" si="144"/>
        <v>6.9000000000000006E-2</v>
      </c>
      <c r="DF149" s="420">
        <f t="shared" si="145"/>
        <v>8.9395292808457358E-2</v>
      </c>
      <c r="DG149" s="420">
        <f t="shared" si="146"/>
        <v>6.9000000000000006E-2</v>
      </c>
      <c r="DH149" s="420">
        <f t="shared" si="147"/>
        <v>8.9019919321185137E-2</v>
      </c>
      <c r="DI149" s="353"/>
      <c r="DJ149" s="353"/>
      <c r="DK149" s="353"/>
      <c r="DL149" s="353"/>
      <c r="DM149" s="353"/>
      <c r="DN149" s="353"/>
      <c r="DO149" s="353"/>
      <c r="DP149" s="353"/>
      <c r="DQ149" s="353"/>
      <c r="DR149" s="353"/>
      <c r="DS149" s="353"/>
      <c r="DT149" s="353"/>
      <c r="DU149" s="353"/>
      <c r="DV149" s="353"/>
      <c r="DW149" s="353"/>
      <c r="DX149" s="353"/>
      <c r="DY149" s="353"/>
      <c r="DZ149" s="353"/>
      <c r="EA149" s="353"/>
      <c r="EB149" s="353"/>
      <c r="EC149" s="353"/>
      <c r="ED149" s="353"/>
      <c r="EE149" s="353"/>
      <c r="EF149" s="353"/>
      <c r="EG149" s="353"/>
      <c r="EH149" s="353"/>
      <c r="EI149" s="353"/>
      <c r="EJ149" s="353"/>
      <c r="EK149" s="353"/>
      <c r="EL149" s="353"/>
      <c r="EM149" s="353"/>
      <c r="EN149" s="353"/>
      <c r="EO149" s="353"/>
      <c r="EP149" s="353"/>
      <c r="EQ149" s="353"/>
      <c r="ER149" s="353"/>
      <c r="ES149" s="353"/>
      <c r="ET149" s="353"/>
      <c r="EU149" s="353"/>
      <c r="EV149" s="353"/>
      <c r="EW149" s="353"/>
      <c r="EX149" s="353"/>
      <c r="EY149" s="353"/>
      <c r="EZ149" s="353"/>
      <c r="FA149" s="353"/>
      <c r="FB149" s="353"/>
      <c r="FC149" s="353"/>
      <c r="FD149" s="353"/>
      <c r="FE149" s="353"/>
      <c r="FF149" s="353"/>
      <c r="FG149" s="353"/>
      <c r="FH149" s="353"/>
      <c r="FI149" s="353"/>
      <c r="FJ149" s="353"/>
      <c r="FK149" s="353"/>
      <c r="FL149" s="353"/>
      <c r="FM149" s="353"/>
      <c r="FN149" s="353"/>
      <c r="FO149" s="353"/>
      <c r="FP149" s="353"/>
      <c r="FQ149" s="353"/>
    </row>
    <row r="150" spans="1:173" s="351" customFormat="1" hidden="1">
      <c r="A150" s="430" t="s">
        <v>51</v>
      </c>
      <c r="B150" s="351">
        <v>2018</v>
      </c>
      <c r="C150" s="411" t="s">
        <v>47</v>
      </c>
      <c r="F150" s="370"/>
      <c r="G150" s="435"/>
      <c r="H150" s="412">
        <f>'RGGI - Invest Amort deferred'!AI99</f>
        <v>0</v>
      </c>
      <c r="I150" s="412">
        <f>'RGGI - Invest Amort deferred'!AI99</f>
        <v>0</v>
      </c>
      <c r="J150" s="413">
        <f>'RGGI - Invest Amort deferred'!BL99</f>
        <v>0</v>
      </c>
      <c r="K150" s="435"/>
      <c r="L150" s="414">
        <f>'RGGI II Invest Amort Def'!AI87</f>
        <v>0</v>
      </c>
      <c r="M150" s="414">
        <f>'RGGI II Invest Amort Def'!AI87</f>
        <v>0</v>
      </c>
      <c r="N150" s="413">
        <f>'RGGI II Invest Amort Def'!BK87</f>
        <v>0</v>
      </c>
      <c r="O150" s="435"/>
      <c r="P150" s="425">
        <f>'2013 program Invest Amort Def'!AY69</f>
        <v>3485093.6698333174</v>
      </c>
      <c r="Q150" s="425">
        <f>'2013 program Invest Amort Def'!AY69</f>
        <v>3485093.6698333174</v>
      </c>
      <c r="R150" s="425">
        <f>'2013 program Invest Amort Def'!CQ69</f>
        <v>-979659.83059014555</v>
      </c>
      <c r="S150" s="373">
        <f t="shared" ref="S150:S160" si="156">+P150+R150</f>
        <v>2505433.8392431717</v>
      </c>
      <c r="T150" s="435"/>
      <c r="U150" s="414">
        <f>'2015 Program Invest Amort Def'!BT44</f>
        <v>3865152.5764999995</v>
      </c>
      <c r="V150" s="414">
        <f>'2015 Program Invest Amort Def'!BT44</f>
        <v>3865152.5764999995</v>
      </c>
      <c r="W150" s="414">
        <f>'2015 Program Invest Amort Def'!EG44</f>
        <v>-950118.72425414959</v>
      </c>
      <c r="X150" s="373">
        <f t="shared" ref="X150:X160" si="157">U150+W150</f>
        <v>2915033.85224585</v>
      </c>
      <c r="Y150" s="435"/>
      <c r="Z150" s="394">
        <v>79204889.569999993</v>
      </c>
      <c r="AA150" s="480">
        <v>2.4899999999999999E-2</v>
      </c>
      <c r="AB150" s="439">
        <f t="shared" si="154"/>
        <v>1972201.7502929997</v>
      </c>
      <c r="AO150" s="439">
        <f>'RGGI - Invest Amort deferred'!AG99+'RGGI CHP'!V54</f>
        <v>12500</v>
      </c>
      <c r="AQ150" s="412">
        <f>(H150+J150)*'Capital Structure '!$F$21/12</f>
        <v>0</v>
      </c>
      <c r="AR150" s="412">
        <f>(H150+J150)*'Capital Structure '!$E$34/12</f>
        <v>0</v>
      </c>
      <c r="AS150" s="412">
        <f>(H150+J150)*'Capital Structure '!$F$18/12</f>
        <v>0</v>
      </c>
      <c r="AT150" s="412">
        <f>'RGGI - On-bill financing'!J99*'Capital Structure '!$P$34/12</f>
        <v>1691.2998345516762</v>
      </c>
      <c r="AU150" s="412">
        <f>'RGGI - On-bill financing'!J99*('Capital Structure '!$F$18+'Capital Structure '!$F$21)/12</f>
        <v>6553.8311275674196</v>
      </c>
      <c r="AV150" s="415">
        <f t="shared" ref="AV150:AV160" si="158">SUM(AQ150:AU150)</f>
        <v>8245.1309621190958</v>
      </c>
      <c r="AX150" s="415">
        <v>0</v>
      </c>
      <c r="AY150" s="431">
        <f t="shared" ref="AY150:AY160" si="159">+AX150+AV150+AO150</f>
        <v>20745.130962119096</v>
      </c>
      <c r="BA150" s="412">
        <f>'RGGI II Invest Amort Def'!AG87</f>
        <v>0</v>
      </c>
      <c r="BC150" s="412">
        <f>(L150+N150)*'Capital Structure '!$H$21/12</f>
        <v>0</v>
      </c>
      <c r="BD150" s="412">
        <f>(L150+N150)*'Capital Structure '!$W$34/12</f>
        <v>0</v>
      </c>
      <c r="BE150" s="412">
        <f>(L150+N150)*'Capital Structure '!$H$18/12</f>
        <v>0</v>
      </c>
      <c r="BF150" s="412">
        <f>'RGGI II On Bill Fin''g'!L87*'Capital Structure '!$W$34/12</f>
        <v>6417.8872324677177</v>
      </c>
      <c r="BG150" s="412">
        <f>'RGGI II On Bill Fin''g'!L87*('Capital Structure '!$H$18+'Capital Structure '!$H$21)/12</f>
        <v>22091.562075393816</v>
      </c>
      <c r="BH150" s="415">
        <f t="shared" ref="BH150:BH160" si="160">SUM(BC150:BG150)</f>
        <v>28509.449307861534</v>
      </c>
      <c r="BJ150" s="437">
        <v>0</v>
      </c>
      <c r="BK150" s="431">
        <f t="shared" ref="BK150:BK160" si="161">+BJ150+BH150+BA150</f>
        <v>28509.449307861534</v>
      </c>
      <c r="BM150" s="412">
        <f>'2013 program Invest Amort Def'!AW69</f>
        <v>322051.17999999993</v>
      </c>
      <c r="BO150" s="412">
        <f>(S150)*'Capital Structure '!$J$21/12</f>
        <v>3515.9588210712514</v>
      </c>
      <c r="BP150" s="412">
        <f>(S150)*'Capital Structure '!$V$34/12</f>
        <v>4258.2547302984976</v>
      </c>
      <c r="BQ150" s="412">
        <f>(S150)*'Capital Structure '!$J$18/12</f>
        <v>10890.285754576986</v>
      </c>
      <c r="BR150" s="412">
        <f>('2013 program 10 yr On Bill Fin'!M69+'2013 program 5 yr On Bill Fin'!L67+'2013 program 2 yr On Bill Fin'!M57)*'Capital Structure '!$V$34/12</f>
        <v>36607.0035760268</v>
      </c>
      <c r="BS150" s="412">
        <f>('2013 program 10 yr On Bill Fin'!M69+'2013 program 5 yr On Bill Fin'!L67+'2013 program 2 yr On Bill Fin'!M57)*('Capital Structure '!$J$18+'Capital Structure '!$J$21)/12</f>
        <v>123846.38310749999</v>
      </c>
      <c r="BT150" s="431">
        <f t="shared" ref="BT150:BT160" si="162">SUM(BO150:BS150)</f>
        <v>179117.88598947352</v>
      </c>
      <c r="BV150" s="438">
        <v>0</v>
      </c>
      <c r="BW150" s="431">
        <f t="shared" si="155"/>
        <v>501169.06598947349</v>
      </c>
      <c r="BY150" s="412">
        <f>'2015 Program Invest Amort Def'!BR44</f>
        <v>113944.52849999999</v>
      </c>
      <c r="CA150" s="412">
        <f>X150*'Capital Structure '!$N$21/12</f>
        <v>4323.9668808313445</v>
      </c>
      <c r="CB150" s="412">
        <f>(X150)*'Capital Structure '!$P$34/12</f>
        <v>4863.2285450404534</v>
      </c>
      <c r="CC150" s="412">
        <f>(X150)*'Capital Structure '!$N$18/12</f>
        <v>12437.477769582294</v>
      </c>
      <c r="CD150" s="412">
        <f>('2015 Program 10-Year OBRP'!P44+'2015 Program 7-Year OBRP'!M44+'2015 Program 5-Year OBRP'!K44+'2015 Program 3-Year OBRP'!K44)*('Capital Structure '!$P$34/12)</f>
        <v>42727.666931251624</v>
      </c>
      <c r="CE150" s="412">
        <f>('2015 Program 10-Year OBRP'!P44+'2015 Program 7-Year OBRP'!M44+'2015 Program 5-Year OBRP'!K44+'2015 Program 3-Year OBRP'!K44)*(('Capital Structure '!$N$21/12)+('Capital Structure '!$N$18/12))</f>
        <v>147263.78118499997</v>
      </c>
      <c r="CF150" s="431">
        <f t="shared" ref="CF150:CF160" si="163">SUM(CA150:CE150)</f>
        <v>211616.12131170568</v>
      </c>
      <c r="CG150" s="412">
        <v>-16429</v>
      </c>
      <c r="CI150" s="393">
        <v>362165</v>
      </c>
      <c r="CJ150" s="431">
        <f t="shared" ref="CJ150:CJ160" si="164">BY150+CF150+CG150+CI150</f>
        <v>671296.64981170569</v>
      </c>
      <c r="CK150" s="431"/>
      <c r="CL150" s="431">
        <f>'2018 SUMMARY'!Q24</f>
        <v>0</v>
      </c>
      <c r="CM150" s="431"/>
      <c r="CN150" s="431">
        <f>'2018 SUMMARY'!S24</f>
        <v>0</v>
      </c>
      <c r="CO150" s="431">
        <f>'2018 SUMMARY'!T24</f>
        <v>0</v>
      </c>
      <c r="CP150" s="431">
        <f>'2018 SUMMARY'!U24</f>
        <v>0</v>
      </c>
      <c r="CQ150" s="431">
        <f>'2018 SUMMARY'!V24</f>
        <v>0</v>
      </c>
      <c r="CR150" s="431">
        <f>'2018 SUMMARY'!W24</f>
        <v>0</v>
      </c>
      <c r="CS150" s="431">
        <f t="shared" ref="CS150:CS160" si="165">SUM(CN150:CR150)</f>
        <v>0</v>
      </c>
      <c r="CT150" s="431">
        <f>'2018 SUMMARY'!Z24</f>
        <v>0</v>
      </c>
      <c r="CU150" s="431"/>
      <c r="CV150" s="431">
        <f>'2018 SUMMARY'!AB24</f>
        <v>0</v>
      </c>
      <c r="CW150" s="431">
        <f t="shared" ref="CW150:CW160" si="166">CL150+SUM(CS150:CV150)</f>
        <v>0</v>
      </c>
      <c r="CY150" s="412">
        <f t="shared" ref="CY150:CY160" si="167">+BW150+BK150+AY150+CJ150-AB150+CW150</f>
        <v>-750481.45422184002</v>
      </c>
      <c r="CZ150" s="412">
        <f t="shared" ref="CZ150:CZ160" si="168">+CZ149+CY150</f>
        <v>-1628278.0189467045</v>
      </c>
      <c r="DA150" s="412">
        <f t="shared" ref="DA150:DA160" si="169">(CZ149+CZ150)/2*(1-0.2811)</f>
        <v>-900808.50910074543</v>
      </c>
      <c r="DB150" s="417">
        <v>2.5000000000000001E-2</v>
      </c>
      <c r="DC150" s="434">
        <f t="shared" ref="DC150:DC160" si="170">(DA150)*DB150/12</f>
        <v>-1876.6843939598864</v>
      </c>
      <c r="DE150" s="420">
        <f t="shared" si="144"/>
        <v>6.9000000000000006E-2</v>
      </c>
      <c r="DF150" s="420">
        <f t="shared" si="145"/>
        <v>8.9395292808457358E-2</v>
      </c>
      <c r="DG150" s="420">
        <f t="shared" si="146"/>
        <v>6.9000000000000006E-2</v>
      </c>
      <c r="DH150" s="420">
        <f t="shared" si="147"/>
        <v>8.9019919321185137E-2</v>
      </c>
      <c r="DI150" s="353"/>
      <c r="DJ150" s="353"/>
      <c r="DK150" s="353"/>
      <c r="DL150" s="353"/>
      <c r="DM150" s="353"/>
      <c r="DN150" s="353"/>
      <c r="DO150" s="353"/>
      <c r="DP150" s="353"/>
      <c r="DQ150" s="353"/>
      <c r="DR150" s="353"/>
      <c r="DS150" s="353"/>
      <c r="DT150" s="353"/>
      <c r="DU150" s="353"/>
      <c r="DV150" s="353"/>
      <c r="DW150" s="353"/>
      <c r="DX150" s="353"/>
      <c r="DY150" s="353"/>
      <c r="DZ150" s="353"/>
      <c r="EA150" s="353"/>
      <c r="EB150" s="353"/>
      <c r="EC150" s="353"/>
      <c r="ED150" s="353"/>
      <c r="EE150" s="353"/>
      <c r="EF150" s="353"/>
      <c r="EG150" s="353"/>
      <c r="EH150" s="353"/>
      <c r="EI150" s="353"/>
      <c r="EJ150" s="353"/>
      <c r="EK150" s="353"/>
      <c r="EL150" s="353"/>
      <c r="EM150" s="353"/>
      <c r="EN150" s="353"/>
      <c r="EO150" s="353"/>
      <c r="EP150" s="353"/>
      <c r="EQ150" s="353"/>
      <c r="ER150" s="353"/>
      <c r="ES150" s="353"/>
      <c r="ET150" s="353"/>
      <c r="EU150" s="353"/>
      <c r="EV150" s="353"/>
      <c r="EW150" s="353"/>
      <c r="EX150" s="353"/>
      <c r="EY150" s="353"/>
      <c r="EZ150" s="353"/>
      <c r="FA150" s="353"/>
      <c r="FB150" s="353"/>
      <c r="FC150" s="353"/>
      <c r="FD150" s="353"/>
      <c r="FE150" s="353"/>
      <c r="FF150" s="353"/>
      <c r="FG150" s="353"/>
      <c r="FH150" s="353"/>
      <c r="FI150" s="353"/>
      <c r="FJ150" s="353"/>
      <c r="FK150" s="353"/>
      <c r="FL150" s="353"/>
      <c r="FM150" s="353"/>
      <c r="FN150" s="353"/>
      <c r="FO150" s="353"/>
      <c r="FP150" s="353"/>
      <c r="FQ150" s="353"/>
    </row>
    <row r="151" spans="1:173" s="351" customFormat="1" hidden="1">
      <c r="A151" s="430" t="s">
        <v>52</v>
      </c>
      <c r="B151" s="351">
        <v>2018</v>
      </c>
      <c r="C151" s="411" t="s">
        <v>47</v>
      </c>
      <c r="F151" s="370"/>
      <c r="G151" s="435"/>
      <c r="H151" s="412">
        <f>'RGGI - Invest Amort deferred'!AI100</f>
        <v>0</v>
      </c>
      <c r="I151" s="412">
        <f>'RGGI - Invest Amort deferred'!AI100</f>
        <v>0</v>
      </c>
      <c r="J151" s="413">
        <f>'RGGI - Invest Amort deferred'!BL100</f>
        <v>0</v>
      </c>
      <c r="K151" s="435"/>
      <c r="L151" s="414">
        <f>'RGGI II Invest Amort Def'!AI88</f>
        <v>0</v>
      </c>
      <c r="M151" s="414">
        <f>'RGGI II Invest Amort Def'!AI88</f>
        <v>0</v>
      </c>
      <c r="N151" s="413">
        <f>'RGGI II Invest Amort Def'!BK88</f>
        <v>0</v>
      </c>
      <c r="O151" s="435"/>
      <c r="P151" s="425">
        <f>'2013 program Invest Amort Def'!AY70</f>
        <v>3183321.9898333177</v>
      </c>
      <c r="Q151" s="425">
        <f>'2013 program Invest Amort Def'!AY70</f>
        <v>3183321.9898333177</v>
      </c>
      <c r="R151" s="425">
        <f>'2013 program Invest Amort Def'!CQ70</f>
        <v>-894831.81134214555</v>
      </c>
      <c r="S151" s="373">
        <f t="shared" si="156"/>
        <v>2288490.1784911724</v>
      </c>
      <c r="T151" s="435"/>
      <c r="U151" s="414">
        <f>'2015 Program Invest Amort Def'!BT45</f>
        <v>3823384.714666666</v>
      </c>
      <c r="V151" s="414">
        <f>'2015 Program Invest Amort Def'!BT45</f>
        <v>3823384.714666666</v>
      </c>
      <c r="W151" s="414">
        <f>'2015 Program Invest Amort Def'!EG45</f>
        <v>-942615.36079279962</v>
      </c>
      <c r="X151" s="373">
        <f t="shared" si="157"/>
        <v>2880769.3538738666</v>
      </c>
      <c r="Y151" s="435"/>
      <c r="Z151" s="394">
        <v>106360202.47999999</v>
      </c>
      <c r="AA151" s="480">
        <v>2.4899999999999999E-2</v>
      </c>
      <c r="AB151" s="439">
        <f t="shared" si="154"/>
        <v>2648369.0417519994</v>
      </c>
      <c r="AO151" s="439">
        <f>'RGGI - Invest Amort deferred'!AG100+'RGGI CHP'!V55</f>
        <v>12500</v>
      </c>
      <c r="AQ151" s="412">
        <f>(H151+J151)*'Capital Structure '!$F$21/12</f>
        <v>0</v>
      </c>
      <c r="AR151" s="412">
        <f>(H151+J151)*'Capital Structure '!$E$34/12</f>
        <v>0</v>
      </c>
      <c r="AS151" s="412">
        <f>(H151+J151)*'Capital Structure '!$F$18/12</f>
        <v>0</v>
      </c>
      <c r="AT151" s="412">
        <f>'RGGI - On-bill financing'!J100*'Capital Structure '!$P$34/12</f>
        <v>1650.3189929681457</v>
      </c>
      <c r="AU151" s="412">
        <f>'RGGI - On-bill financing'!J100*('Capital Structure '!$F$18+'Capital Structure '!$F$21)/12</f>
        <v>6395.0292937842059</v>
      </c>
      <c r="AV151" s="415">
        <f t="shared" si="158"/>
        <v>8045.3482867523517</v>
      </c>
      <c r="AX151" s="415">
        <v>0</v>
      </c>
      <c r="AY151" s="431">
        <f t="shared" si="159"/>
        <v>20545.348286752353</v>
      </c>
      <c r="BA151" s="412">
        <f>'RGGI II Invest Amort Def'!AG88</f>
        <v>0</v>
      </c>
      <c r="BC151" s="412">
        <f>(L151+N151)*'Capital Structure '!$H$21/12</f>
        <v>0</v>
      </c>
      <c r="BD151" s="412">
        <f>(L151+N151)*'Capital Structure '!$W$34/12</f>
        <v>0</v>
      </c>
      <c r="BE151" s="412">
        <f>(L151+N151)*'Capital Structure '!$H$18/12</f>
        <v>0</v>
      </c>
      <c r="BF151" s="412">
        <f>'RGGI II On Bill Fin''g'!L88*'Capital Structure '!$W$34/12</f>
        <v>6255.5773892624893</v>
      </c>
      <c r="BG151" s="412">
        <f>'RGGI II On Bill Fin''g'!L88*('Capital Structure '!$H$18+'Capital Structure '!$H$21)/12</f>
        <v>21532.861392951781</v>
      </c>
      <c r="BH151" s="415">
        <f t="shared" si="160"/>
        <v>27788.438782214271</v>
      </c>
      <c r="BJ151" s="437">
        <v>0</v>
      </c>
      <c r="BK151" s="431">
        <f t="shared" si="161"/>
        <v>27788.438782214271</v>
      </c>
      <c r="BM151" s="412">
        <f>'2013 program Invest Amort Def'!AW70</f>
        <v>301771.67999999993</v>
      </c>
      <c r="BO151" s="412">
        <f>(S151)*'Capital Structure '!$J$21/12</f>
        <v>3211.5145504826123</v>
      </c>
      <c r="BP151" s="412">
        <f>(S151)*'Capital Structure '!$V$34/12</f>
        <v>3889.5356066338591</v>
      </c>
      <c r="BQ151" s="412">
        <f>(S151)*'Capital Structure '!$J$18/12</f>
        <v>9947.3039758416289</v>
      </c>
      <c r="BR151" s="412">
        <f>('2013 program 10 yr On Bill Fin'!M70+'2013 program 5 yr On Bill Fin'!L68+'2013 program 2 yr On Bill Fin'!M58)*'Capital Structure '!$V$34/12</f>
        <v>35911.278175015374</v>
      </c>
      <c r="BS151" s="412">
        <f>('2013 program 10 yr On Bill Fin'!M70+'2013 program 5 yr On Bill Fin'!L68+'2013 program 2 yr On Bill Fin'!M58)*('Capital Structure '!$J$18+'Capital Structure '!$J$21)/12</f>
        <v>121492.65114000002</v>
      </c>
      <c r="BT151" s="431">
        <f t="shared" si="162"/>
        <v>174452.28344797349</v>
      </c>
      <c r="BV151" s="438">
        <v>0</v>
      </c>
      <c r="BW151" s="431">
        <f t="shared" si="155"/>
        <v>476223.96344797342</v>
      </c>
      <c r="BY151" s="412">
        <f>'2015 Program Invest Amort Def'!BR45</f>
        <v>115167.86183333331</v>
      </c>
      <c r="CA151" s="412">
        <f>X151*'Capital Structure '!$N$21/12</f>
        <v>4273.1412082462357</v>
      </c>
      <c r="CB151" s="412">
        <f>(X151)*'Capital Structure '!$P$34/12</f>
        <v>4806.0641706247879</v>
      </c>
      <c r="CC151" s="412">
        <f>(X151)*'Capital Structure '!$N$18/12</f>
        <v>12291.2825765285</v>
      </c>
      <c r="CD151" s="412">
        <f>('2015 Program 10-Year OBRP'!P45+'2015 Program 7-Year OBRP'!M45+'2015 Program 5-Year OBRP'!K45+'2015 Program 3-Year OBRP'!K45)*('Capital Structure '!$P$34/12)</f>
        <v>44228.234291741268</v>
      </c>
      <c r="CE151" s="412">
        <f>('2015 Program 10-Year OBRP'!P45+'2015 Program 7-Year OBRP'!M45+'2015 Program 5-Year OBRP'!K45+'2015 Program 3-Year OBRP'!K45)*(('Capital Structure '!$N$21/12)+('Capital Structure '!$N$18/12))</f>
        <v>152435.587635</v>
      </c>
      <c r="CF151" s="431">
        <f t="shared" si="163"/>
        <v>218034.30988214078</v>
      </c>
      <c r="CG151" s="412">
        <v>-14747</v>
      </c>
      <c r="CI151" s="393">
        <v>332473</v>
      </c>
      <c r="CJ151" s="431">
        <f t="shared" si="164"/>
        <v>650928.17171547411</v>
      </c>
      <c r="CK151" s="431"/>
      <c r="CL151" s="431">
        <f>'2018 SUMMARY'!Q25</f>
        <v>0</v>
      </c>
      <c r="CM151" s="431"/>
      <c r="CN151" s="431">
        <f>'2018 SUMMARY'!S25</f>
        <v>0</v>
      </c>
      <c r="CO151" s="431">
        <f>'2018 SUMMARY'!T25</f>
        <v>0</v>
      </c>
      <c r="CP151" s="431">
        <f>'2018 SUMMARY'!U25</f>
        <v>0</v>
      </c>
      <c r="CQ151" s="431">
        <f>'2018 SUMMARY'!V25</f>
        <v>0</v>
      </c>
      <c r="CR151" s="431">
        <f>'2018 SUMMARY'!W25</f>
        <v>0</v>
      </c>
      <c r="CS151" s="431">
        <f t="shared" si="165"/>
        <v>0</v>
      </c>
      <c r="CT151" s="431">
        <f>'2018 SUMMARY'!Z25</f>
        <v>0</v>
      </c>
      <c r="CU151" s="431"/>
      <c r="CV151" s="431">
        <f>'2018 SUMMARY'!AB25</f>
        <v>0</v>
      </c>
      <c r="CW151" s="431">
        <f t="shared" si="166"/>
        <v>0</v>
      </c>
      <c r="CY151" s="412">
        <f t="shared" si="167"/>
        <v>-1472883.1195195853</v>
      </c>
      <c r="CZ151" s="412">
        <f t="shared" si="168"/>
        <v>-3101161.1384662897</v>
      </c>
      <c r="DA151" s="412">
        <f t="shared" si="169"/>
        <v>-1699996.9051321009</v>
      </c>
      <c r="DB151" s="417">
        <v>2.7099999999999999E-2</v>
      </c>
      <c r="DC151" s="434">
        <f t="shared" si="170"/>
        <v>-3839.1596774233276</v>
      </c>
      <c r="DE151" s="420">
        <f t="shared" si="144"/>
        <v>6.9000000000000006E-2</v>
      </c>
      <c r="DF151" s="420">
        <f t="shared" si="145"/>
        <v>8.9395292808457358E-2</v>
      </c>
      <c r="DG151" s="420">
        <f t="shared" si="146"/>
        <v>6.9000000000000006E-2</v>
      </c>
      <c r="DH151" s="420">
        <f t="shared" si="147"/>
        <v>8.9019919321185151E-2</v>
      </c>
      <c r="DI151" s="353"/>
      <c r="DJ151" s="353"/>
      <c r="DK151" s="353"/>
      <c r="DL151" s="353"/>
      <c r="DM151" s="353"/>
      <c r="DN151" s="353"/>
      <c r="DO151" s="353"/>
      <c r="DP151" s="353"/>
      <c r="DQ151" s="353"/>
      <c r="DR151" s="353"/>
      <c r="DS151" s="353"/>
      <c r="DT151" s="353"/>
      <c r="DU151" s="353"/>
      <c r="DV151" s="353"/>
      <c r="DW151" s="353"/>
      <c r="DX151" s="353"/>
      <c r="DY151" s="353"/>
      <c r="DZ151" s="353"/>
      <c r="EA151" s="353"/>
      <c r="EB151" s="353"/>
      <c r="EC151" s="353"/>
      <c r="ED151" s="353"/>
      <c r="EE151" s="353"/>
      <c r="EF151" s="353"/>
      <c r="EG151" s="353"/>
      <c r="EH151" s="353"/>
      <c r="EI151" s="353"/>
      <c r="EJ151" s="353"/>
      <c r="EK151" s="353"/>
      <c r="EL151" s="353"/>
      <c r="EM151" s="353"/>
      <c r="EN151" s="353"/>
      <c r="EO151" s="353"/>
      <c r="EP151" s="353"/>
      <c r="EQ151" s="353"/>
      <c r="ER151" s="353"/>
      <c r="ES151" s="353"/>
      <c r="ET151" s="353"/>
      <c r="EU151" s="353"/>
      <c r="EV151" s="353"/>
      <c r="EW151" s="353"/>
      <c r="EX151" s="353"/>
      <c r="EY151" s="353"/>
      <c r="EZ151" s="353"/>
      <c r="FA151" s="353"/>
      <c r="FB151" s="353"/>
      <c r="FC151" s="353"/>
      <c r="FD151" s="353"/>
      <c r="FE151" s="353"/>
      <c r="FF151" s="353"/>
      <c r="FG151" s="353"/>
      <c r="FH151" s="353"/>
      <c r="FI151" s="353"/>
      <c r="FJ151" s="353"/>
      <c r="FK151" s="353"/>
      <c r="FL151" s="353"/>
      <c r="FM151" s="353"/>
      <c r="FN151" s="353"/>
      <c r="FO151" s="353"/>
      <c r="FP151" s="353"/>
      <c r="FQ151" s="353"/>
    </row>
    <row r="152" spans="1:173" s="351" customFormat="1" hidden="1">
      <c r="A152" s="430" t="s">
        <v>53</v>
      </c>
      <c r="B152" s="351">
        <v>2019</v>
      </c>
      <c r="C152" s="411" t="s">
        <v>47</v>
      </c>
      <c r="F152" s="370"/>
      <c r="G152" s="435"/>
      <c r="H152" s="412">
        <f>'RGGI - Invest Amort deferred'!AI101</f>
        <v>0</v>
      </c>
      <c r="I152" s="412">
        <f>'RGGI - Invest Amort deferred'!AI101</f>
        <v>0</v>
      </c>
      <c r="J152" s="413">
        <f>'RGGI - Invest Amort deferred'!BL101</f>
        <v>0</v>
      </c>
      <c r="K152" s="435"/>
      <c r="L152" s="414">
        <f>'RGGI II Invest Amort Def'!AI89</f>
        <v>0</v>
      </c>
      <c r="M152" s="414">
        <f>'RGGI II Invest Amort Def'!AI89</f>
        <v>0</v>
      </c>
      <c r="N152" s="413">
        <f>'RGGI II Invest Amort Def'!BK89</f>
        <v>0</v>
      </c>
      <c r="O152" s="435"/>
      <c r="P152" s="425">
        <f>'2013 program Invest Amort Def'!AY71</f>
        <v>2896540.9681666493</v>
      </c>
      <c r="Q152" s="425">
        <f>'2013 program Invest Amort Def'!AY71</f>
        <v>2896540.9681666493</v>
      </c>
      <c r="R152" s="425">
        <f>'2013 program Invest Amort Def'!CQ71</f>
        <v>-814217.66615164559</v>
      </c>
      <c r="S152" s="373">
        <f t="shared" si="156"/>
        <v>2082323.3020150037</v>
      </c>
      <c r="T152" s="435"/>
      <c r="U152" s="414">
        <f>'2015 Program Invest Amort Def'!BT46</f>
        <v>3802518.5194999995</v>
      </c>
      <c r="V152" s="414">
        <f>'2015 Program Invest Amort Def'!BT46</f>
        <v>3802518.5194999995</v>
      </c>
      <c r="W152" s="414">
        <f>'2015 Program Invest Amort Def'!EG46</f>
        <v>-935117.15083144966</v>
      </c>
      <c r="X152" s="373">
        <f t="shared" si="157"/>
        <v>2867401.3686685497</v>
      </c>
      <c r="Y152" s="435"/>
      <c r="Z152" s="394">
        <v>133854471.44</v>
      </c>
      <c r="AA152" s="480">
        <v>1.2500000000000001E-2</v>
      </c>
      <c r="AB152" s="439">
        <f t="shared" si="154"/>
        <v>1673180.8930000002</v>
      </c>
      <c r="AO152" s="439">
        <f>'RGGI - Invest Amort deferred'!AG101+'RGGI CHP'!V56</f>
        <v>12500</v>
      </c>
      <c r="AQ152" s="412">
        <f>(H152+J152)*'Capital Structure '!$F$21/12</f>
        <v>0</v>
      </c>
      <c r="AR152" s="412">
        <f>(H152+J152)*'Capital Structure '!$E$34/12</f>
        <v>0</v>
      </c>
      <c r="AS152" s="412">
        <f>(H152+J152)*'Capital Structure '!$F$18/12</f>
        <v>0</v>
      </c>
      <c r="AT152" s="412">
        <f>'RGGI - On-bill financing'!J101*'Capital Structure '!$P$34/12</f>
        <v>1600.1968560233693</v>
      </c>
      <c r="AU152" s="412">
        <f>'RGGI - On-bill financing'!J101*('Capital Structure '!$F$18+'Capital Structure '!$F$21)/12</f>
        <v>6200.8047012086681</v>
      </c>
      <c r="AV152" s="415">
        <f t="shared" si="158"/>
        <v>7801.0015572320372</v>
      </c>
      <c r="AX152" s="415">
        <v>0</v>
      </c>
      <c r="AY152" s="431">
        <f t="shared" si="159"/>
        <v>20301.001557232037</v>
      </c>
      <c r="BA152" s="412">
        <f>'RGGI II Invest Amort Def'!AG89</f>
        <v>0</v>
      </c>
      <c r="BC152" s="412">
        <f>(L152+N152)*'Capital Structure '!$H$21/12</f>
        <v>0</v>
      </c>
      <c r="BD152" s="412">
        <f>(L152+N152)*'Capital Structure '!$W$34/12</f>
        <v>0</v>
      </c>
      <c r="BE152" s="412">
        <f>(L152+N152)*'Capital Structure '!$H$18/12</f>
        <v>0</v>
      </c>
      <c r="BF152" s="412">
        <f>'RGGI II On Bill Fin''g'!L89*'Capital Structure '!$W$34/12</f>
        <v>6114.5353166961295</v>
      </c>
      <c r="BG152" s="412">
        <f>'RGGI II On Bill Fin''g'!L89*('Capital Structure '!$H$18+'Capital Structure '!$H$21)/12</f>
        <v>21047.368334491814</v>
      </c>
      <c r="BH152" s="415">
        <f t="shared" si="160"/>
        <v>27161.903651187942</v>
      </c>
      <c r="BJ152" s="437">
        <v>0</v>
      </c>
      <c r="BK152" s="431">
        <f t="shared" si="161"/>
        <v>27161.903651187942</v>
      </c>
      <c r="BM152" s="412">
        <f>'2013 program Invest Amort Def'!AW71</f>
        <v>286781.02166666661</v>
      </c>
      <c r="BO152" s="412">
        <f>(S152)*'Capital Structure '!$J$21/12</f>
        <v>2922.1937004943888</v>
      </c>
      <c r="BP152" s="412">
        <f>(S152)*'Capital Structure '!$V$34/12</f>
        <v>3539.1327888724823</v>
      </c>
      <c r="BQ152" s="412">
        <f>(S152)*'Capital Structure '!$J$18/12</f>
        <v>9051.1652860918821</v>
      </c>
      <c r="BR152" s="412">
        <f>('2013 program 10 yr On Bill Fin'!M71+'2013 program 5 yr On Bill Fin'!L69+'2013 program 2 yr On Bill Fin'!M59)*'Capital Structure '!$V$34/12</f>
        <v>35188.152055033388</v>
      </c>
      <c r="BS152" s="412">
        <f>('2013 program 10 yr On Bill Fin'!M71+'2013 program 5 yr On Bill Fin'!L69+'2013 program 2 yr On Bill Fin'!M59)*('Capital Structure '!$J$18+'Capital Structure '!$J$21)/12</f>
        <v>119046.21887999999</v>
      </c>
      <c r="BT152" s="431">
        <f t="shared" si="162"/>
        <v>169746.86271049213</v>
      </c>
      <c r="BV152" s="438">
        <v>0</v>
      </c>
      <c r="BW152" s="431">
        <f t="shared" si="155"/>
        <v>456527.88437715871</v>
      </c>
      <c r="BY152" s="412">
        <f>'2015 Program Invest Amort Def'!BR46</f>
        <v>116766.19516666664</v>
      </c>
      <c r="CA152" s="412">
        <f>X152*'Capital Structure '!$N$21/12</f>
        <v>4253.3120301916815</v>
      </c>
      <c r="CB152" s="412">
        <f>(X152)*'Capital Structure '!$P$34/12</f>
        <v>4783.7620051833519</v>
      </c>
      <c r="CC152" s="412">
        <f>(X152)*'Capital Structure '!$N$18/12</f>
        <v>12234.24583965248</v>
      </c>
      <c r="CD152" s="412">
        <f>('2015 Program 10-Year OBRP'!P46+'2015 Program 7-Year OBRP'!M46+'2015 Program 5-Year OBRP'!K46+'2015 Program 3-Year OBRP'!K46)*('Capital Structure '!$P$34/12)</f>
        <v>44618.230494918338</v>
      </c>
      <c r="CE152" s="412">
        <f>('2015 Program 10-Year OBRP'!P46+'2015 Program 7-Year OBRP'!M46+'2015 Program 5-Year OBRP'!K46+'2015 Program 3-Year OBRP'!K46)*(('Capital Structure '!$N$21/12)+('Capital Structure '!$N$18/12))</f>
        <v>153779.73580999998</v>
      </c>
      <c r="CF152" s="431">
        <f t="shared" si="163"/>
        <v>219669.28617994583</v>
      </c>
      <c r="CG152" s="412">
        <v>-16124</v>
      </c>
      <c r="CJ152" s="431">
        <f t="shared" si="164"/>
        <v>320311.48134661245</v>
      </c>
      <c r="CK152" s="431"/>
      <c r="CL152" s="431">
        <f>'2018 SUMMARY'!Q26</f>
        <v>4042.6151190476189</v>
      </c>
      <c r="CM152" s="431"/>
      <c r="CN152" s="431">
        <f>'2018 SUMMARY'!S26</f>
        <v>431.32067736233199</v>
      </c>
      <c r="CO152" s="431">
        <f>'2018 SUMMARY'!T26</f>
        <v>548.27639905164131</v>
      </c>
      <c r="CP152" s="431">
        <f>'2018 SUMMARY'!U26</f>
        <v>1402.1910468809142</v>
      </c>
      <c r="CQ152" s="431">
        <f>'2018 SUMMARY'!V26</f>
        <v>0</v>
      </c>
      <c r="CR152" s="431">
        <f>'2018 SUMMARY'!W26</f>
        <v>0</v>
      </c>
      <c r="CS152" s="431">
        <f t="shared" si="165"/>
        <v>2381.7881232948876</v>
      </c>
      <c r="CT152" s="431">
        <v>0</v>
      </c>
      <c r="CU152" s="431"/>
      <c r="CV152" s="561">
        <v>112726</v>
      </c>
      <c r="CW152" s="431">
        <f t="shared" si="166"/>
        <v>119150.40324234251</v>
      </c>
      <c r="CY152" s="412">
        <f t="shared" si="167"/>
        <v>-729728.21882546647</v>
      </c>
      <c r="CZ152" s="412">
        <f t="shared" si="168"/>
        <v>-3830889.3572917562</v>
      </c>
      <c r="DA152" s="412">
        <f t="shared" si="169"/>
        <v>-2491725.5507002296</v>
      </c>
      <c r="DB152" s="417">
        <v>2.8199999999999999E-2</v>
      </c>
      <c r="DC152" s="434">
        <f t="shared" si="170"/>
        <v>-5855.5550441455389</v>
      </c>
      <c r="DE152" s="420">
        <f t="shared" si="144"/>
        <v>6.9000000000000006E-2</v>
      </c>
      <c r="DF152" s="420">
        <f t="shared" si="145"/>
        <v>8.9395292808457358E-2</v>
      </c>
      <c r="DG152" s="420">
        <f t="shared" si="146"/>
        <v>6.9000000000000006E-2</v>
      </c>
      <c r="DH152" s="420">
        <f t="shared" si="147"/>
        <v>8.9019919321185137E-2</v>
      </c>
      <c r="DI152" s="353"/>
      <c r="DJ152" s="353"/>
      <c r="DK152" s="353"/>
      <c r="DL152" s="353"/>
      <c r="DM152" s="353"/>
      <c r="DN152" s="353"/>
      <c r="DO152" s="353"/>
      <c r="DP152" s="353"/>
      <c r="DQ152" s="353"/>
      <c r="DR152" s="353"/>
      <c r="DS152" s="353"/>
      <c r="DT152" s="353"/>
      <c r="DU152" s="353"/>
      <c r="DV152" s="353"/>
      <c r="DW152" s="353"/>
      <c r="DX152" s="353"/>
      <c r="DY152" s="353"/>
      <c r="DZ152" s="353"/>
      <c r="EA152" s="353"/>
      <c r="EB152" s="353"/>
      <c r="EC152" s="353"/>
      <c r="ED152" s="353"/>
      <c r="EE152" s="353"/>
      <c r="EF152" s="353"/>
      <c r="EG152" s="353"/>
      <c r="EH152" s="353"/>
      <c r="EI152" s="353"/>
      <c r="EJ152" s="353"/>
      <c r="EK152" s="353"/>
      <c r="EL152" s="353"/>
      <c r="EM152" s="353"/>
      <c r="EN152" s="353"/>
      <c r="EO152" s="353"/>
      <c r="EP152" s="353"/>
      <c r="EQ152" s="353"/>
      <c r="ER152" s="353"/>
      <c r="ES152" s="353"/>
      <c r="ET152" s="353"/>
      <c r="EU152" s="353"/>
      <c r="EV152" s="353"/>
      <c r="EW152" s="353"/>
      <c r="EX152" s="353"/>
      <c r="EY152" s="353"/>
      <c r="EZ152" s="353"/>
      <c r="FA152" s="353"/>
      <c r="FB152" s="353"/>
      <c r="FC152" s="353"/>
      <c r="FD152" s="353"/>
      <c r="FE152" s="353"/>
      <c r="FF152" s="353"/>
      <c r="FG152" s="353"/>
      <c r="FH152" s="353"/>
      <c r="FI152" s="353"/>
      <c r="FJ152" s="353"/>
      <c r="FK152" s="353"/>
      <c r="FL152" s="353"/>
      <c r="FM152" s="353"/>
      <c r="FN152" s="353"/>
      <c r="FO152" s="353"/>
      <c r="FP152" s="353"/>
      <c r="FQ152" s="353"/>
    </row>
    <row r="153" spans="1:173" s="351" customFormat="1" hidden="1">
      <c r="A153" s="430" t="s">
        <v>54</v>
      </c>
      <c r="B153" s="351">
        <v>2019</v>
      </c>
      <c r="C153" s="411" t="s">
        <v>47</v>
      </c>
      <c r="F153" s="370"/>
      <c r="G153" s="435"/>
      <c r="H153" s="412">
        <f>'RGGI - Invest Amort deferred'!AI102</f>
        <v>0</v>
      </c>
      <c r="I153" s="412">
        <f>'RGGI - Invest Amort deferred'!AI102</f>
        <v>0</v>
      </c>
      <c r="J153" s="413">
        <f>'RGGI - Invest Amort deferred'!BL102</f>
        <v>0</v>
      </c>
      <c r="K153" s="435"/>
      <c r="L153" s="414">
        <f>'RGGI II Invest Amort Def'!AI90</f>
        <v>0</v>
      </c>
      <c r="M153" s="414">
        <f>'RGGI II Invest Amort Def'!AI90</f>
        <v>0</v>
      </c>
      <c r="N153" s="413">
        <f>'RGGI II Invest Amort Def'!BK90</f>
        <v>0</v>
      </c>
      <c r="O153" s="435"/>
      <c r="P153" s="425">
        <f>'2013 program Invest Amort Def'!AY72</f>
        <v>2629139.9798333161</v>
      </c>
      <c r="Q153" s="425">
        <f>'2013 program Invest Amort Def'!AY72</f>
        <v>2629139.9798333161</v>
      </c>
      <c r="R153" s="425">
        <f>'2013 program Invest Amort Def'!CQ72</f>
        <v>-739051.24833114562</v>
      </c>
      <c r="S153" s="373">
        <f t="shared" si="156"/>
        <v>1890088.7315021704</v>
      </c>
      <c r="T153" s="435"/>
      <c r="U153" s="414">
        <f>'2015 Program Invest Amort Def'!BT47</f>
        <v>3695388.9909999995</v>
      </c>
      <c r="V153" s="414">
        <f>'2015 Program Invest Amort Def'!BT47</f>
        <v>3695388.9909999995</v>
      </c>
      <c r="W153" s="414">
        <f>'2015 Program Invest Amort Def'!EG47</f>
        <v>-925778.67287009966</v>
      </c>
      <c r="X153" s="373">
        <f t="shared" si="157"/>
        <v>2769610.3181298999</v>
      </c>
      <c r="Y153" s="435"/>
      <c r="Z153" s="394">
        <v>108210106.86000001</v>
      </c>
      <c r="AA153" s="480">
        <v>1.2500000000000001E-2</v>
      </c>
      <c r="AB153" s="439">
        <f t="shared" si="154"/>
        <v>1352626.3357500003</v>
      </c>
      <c r="AO153" s="439">
        <f>'RGGI - Invest Amort deferred'!AG102+'RGGI CHP'!V57</f>
        <v>12500</v>
      </c>
      <c r="AQ153" s="412">
        <f>(H153+J153)*'Capital Structure '!$F$21/12</f>
        <v>0</v>
      </c>
      <c r="AR153" s="412">
        <f>(H153+J153)*'Capital Structure '!$E$34/12</f>
        <v>0</v>
      </c>
      <c r="AS153" s="412">
        <f>(H153+J153)*'Capital Structure '!$F$18/12</f>
        <v>0</v>
      </c>
      <c r="AT153" s="412">
        <f>'RGGI - On-bill financing'!J102*'Capital Structure '!$P$34/12</f>
        <v>1556.1997633451103</v>
      </c>
      <c r="AU153" s="412">
        <f>'RGGI - On-bill financing'!J102*('Capital Structure '!$F$18+'Capital Structure '!$F$21)/12</f>
        <v>6030.3148154849614</v>
      </c>
      <c r="AV153" s="415">
        <f t="shared" si="158"/>
        <v>7586.5145788300715</v>
      </c>
      <c r="AX153" s="415">
        <v>0</v>
      </c>
      <c r="AY153" s="431">
        <f t="shared" si="159"/>
        <v>20086.514578830072</v>
      </c>
      <c r="BA153" s="412">
        <f>'RGGI II Invest Amort Def'!AG90</f>
        <v>0</v>
      </c>
      <c r="BC153" s="412">
        <f>(L153+N153)*'Capital Structure '!$H$21/12</f>
        <v>0</v>
      </c>
      <c r="BD153" s="412">
        <f>(L153+N153)*'Capital Structure '!$W$34/12</f>
        <v>0</v>
      </c>
      <c r="BE153" s="412">
        <f>(L153+N153)*'Capital Structure '!$H$18/12</f>
        <v>0</v>
      </c>
      <c r="BF153" s="412">
        <f>'RGGI II On Bill Fin''g'!L90*'Capital Structure '!$W$34/12</f>
        <v>5993.7743086143601</v>
      </c>
      <c r="BG153" s="412">
        <f>'RGGI II On Bill Fin''g'!L90*('Capital Structure '!$H$18+'Capital Structure '!$H$21)/12</f>
        <v>20631.686473827558</v>
      </c>
      <c r="BH153" s="415">
        <f t="shared" si="160"/>
        <v>26625.460782441918</v>
      </c>
      <c r="BJ153" s="437">
        <v>0</v>
      </c>
      <c r="BK153" s="431">
        <f t="shared" si="161"/>
        <v>26625.460782441918</v>
      </c>
      <c r="BM153" s="412">
        <f>'2013 program Invest Amort Def'!AW72</f>
        <v>267400.98833333328</v>
      </c>
      <c r="BO153" s="412">
        <f>(S153)*'Capital Structure '!$J$21/12</f>
        <v>2652.4245198747126</v>
      </c>
      <c r="BP153" s="412">
        <f>(S153)*'Capital Structure '!$V$34/12</f>
        <v>3212.4094260793759</v>
      </c>
      <c r="BQ153" s="412">
        <f>(S153)*'Capital Structure '!$J$18/12</f>
        <v>8215.5856862627679</v>
      </c>
      <c r="BR153" s="412">
        <f>('2013 program 10 yr On Bill Fin'!M72+'2013 program 5 yr On Bill Fin'!L70+'2013 program 2 yr On Bill Fin'!M60)*'Capital Structure '!$V$34/12</f>
        <v>34641.812707028832</v>
      </c>
      <c r="BS153" s="412">
        <f>('2013 program 10 yr On Bill Fin'!M72+'2013 program 5 yr On Bill Fin'!L70+'2013 program 2 yr On Bill Fin'!M60)*('Capital Structure '!$J$18+'Capital Structure '!$J$21)/12</f>
        <v>117197.87988499999</v>
      </c>
      <c r="BT153" s="431">
        <f t="shared" si="162"/>
        <v>165920.11222424568</v>
      </c>
      <c r="BV153" s="438">
        <v>0</v>
      </c>
      <c r="BW153" s="431">
        <f t="shared" si="155"/>
        <v>433321.10055757896</v>
      </c>
      <c r="BY153" s="412">
        <f>'2015 Program Invest Amort Def'!BR47</f>
        <v>116929.52849999997</v>
      </c>
      <c r="CA153" s="412">
        <f>X153*'Capital Structure '!$N$21/12</f>
        <v>4108.2553052260182</v>
      </c>
      <c r="CB153" s="412">
        <f>(X153)*'Capital Structure '!$P$34/12</f>
        <v>4620.6145933402086</v>
      </c>
      <c r="CC153" s="412">
        <f>(X153)*'Capital Structure '!$N$18/12</f>
        <v>11817.004024020907</v>
      </c>
      <c r="CD153" s="412">
        <f>('2015 Program 10-Year OBRP'!P47+'2015 Program 7-Year OBRP'!M47+'2015 Program 5-Year OBRP'!K47+'2015 Program 3-Year OBRP'!K47)*('Capital Structure '!$P$34/12)</f>
        <v>45079.072704774509</v>
      </c>
      <c r="CE153" s="412">
        <f>('2015 Program 10-Year OBRP'!P47+'2015 Program 7-Year OBRP'!M47+'2015 Program 5-Year OBRP'!K47+'2015 Program 3-Year OBRP'!K47)*(('Capital Structure '!$N$21/12)+('Capital Structure '!$N$18/12))</f>
        <v>155368.05951749999</v>
      </c>
      <c r="CF153" s="431">
        <f t="shared" si="163"/>
        <v>220993.00614486163</v>
      </c>
      <c r="CG153" s="412">
        <v>-17712</v>
      </c>
      <c r="CJ153" s="431">
        <f t="shared" si="164"/>
        <v>320210.53464486159</v>
      </c>
      <c r="CK153" s="431"/>
      <c r="CL153" s="431">
        <f>'2018 SUMMARY'!Q27</f>
        <v>12176.193095238097</v>
      </c>
      <c r="CM153" s="431"/>
      <c r="CN153" s="431">
        <f>'2018 SUMMARY'!S27</f>
        <v>1284.8695574360156</v>
      </c>
      <c r="CO153" s="431">
        <f>'2018 SUMMARY'!T27</f>
        <v>1633.2712322305574</v>
      </c>
      <c r="CP153" s="431">
        <f>'2018 SUMMARY'!U27</f>
        <v>4177.0141901478046</v>
      </c>
      <c r="CQ153" s="431">
        <f>'2018 SUMMARY'!V27</f>
        <v>214.10960012658231</v>
      </c>
      <c r="CR153" s="431">
        <f>'2018 SUMMARY'!W27</f>
        <v>716.0119654688001</v>
      </c>
      <c r="CS153" s="431">
        <f t="shared" si="165"/>
        <v>8025.2765454097607</v>
      </c>
      <c r="CT153" s="431">
        <v>0</v>
      </c>
      <c r="CU153" s="431"/>
      <c r="CV153" s="561">
        <v>127588</v>
      </c>
      <c r="CW153" s="431">
        <f t="shared" si="166"/>
        <v>147789.46964064785</v>
      </c>
      <c r="CY153" s="436">
        <f t="shared" si="167"/>
        <v>-404593.2555456399</v>
      </c>
      <c r="CZ153" s="412">
        <f t="shared" si="168"/>
        <v>-4235482.6128373966</v>
      </c>
      <c r="DA153" s="412">
        <f t="shared" si="169"/>
        <v>-2899457.4046629239</v>
      </c>
      <c r="DB153" s="417">
        <v>2.75E-2</v>
      </c>
      <c r="DC153" s="434">
        <f t="shared" si="170"/>
        <v>-6644.5898856858666</v>
      </c>
      <c r="DE153" s="420">
        <f t="shared" si="144"/>
        <v>6.9000000000000006E-2</v>
      </c>
      <c r="DF153" s="420">
        <f t="shared" si="145"/>
        <v>8.9395292808457372E-2</v>
      </c>
      <c r="DG153" s="420">
        <f t="shared" si="146"/>
        <v>6.9000000000000006E-2</v>
      </c>
      <c r="DH153" s="420">
        <f t="shared" si="147"/>
        <v>8.9019919321185137E-2</v>
      </c>
      <c r="DI153" s="353"/>
      <c r="DJ153" s="353"/>
      <c r="DK153" s="353"/>
      <c r="DL153" s="353"/>
      <c r="DM153" s="353"/>
      <c r="DN153" s="353"/>
      <c r="DO153" s="353"/>
      <c r="DP153" s="353"/>
      <c r="DQ153" s="353"/>
      <c r="DR153" s="353"/>
      <c r="DS153" s="353"/>
      <c r="DT153" s="353"/>
      <c r="DU153" s="353"/>
      <c r="DV153" s="353"/>
      <c r="DW153" s="353"/>
      <c r="DX153" s="353"/>
      <c r="DY153" s="353"/>
      <c r="DZ153" s="353"/>
      <c r="EA153" s="353"/>
      <c r="EB153" s="353"/>
      <c r="EC153" s="353"/>
      <c r="ED153" s="353"/>
      <c r="EE153" s="353"/>
      <c r="EF153" s="353"/>
      <c r="EG153" s="353"/>
      <c r="EH153" s="353"/>
      <c r="EI153" s="353"/>
      <c r="EJ153" s="353"/>
      <c r="EK153" s="353"/>
      <c r="EL153" s="353"/>
      <c r="EM153" s="353"/>
      <c r="EN153" s="353"/>
      <c r="EO153" s="353"/>
      <c r="EP153" s="353"/>
      <c r="EQ153" s="353"/>
      <c r="ER153" s="353"/>
      <c r="ES153" s="353"/>
      <c r="ET153" s="353"/>
      <c r="EU153" s="353"/>
      <c r="EV153" s="353"/>
      <c r="EW153" s="353"/>
      <c r="EX153" s="353"/>
      <c r="EY153" s="353"/>
      <c r="EZ153" s="353"/>
      <c r="FA153" s="353"/>
      <c r="FB153" s="353"/>
      <c r="FC153" s="353"/>
      <c r="FD153" s="353"/>
      <c r="FE153" s="353"/>
      <c r="FF153" s="353"/>
      <c r="FG153" s="353"/>
      <c r="FH153" s="353"/>
      <c r="FI153" s="353"/>
      <c r="FJ153" s="353"/>
      <c r="FK153" s="353"/>
      <c r="FL153" s="353"/>
      <c r="FM153" s="353"/>
      <c r="FN153" s="353"/>
      <c r="FO153" s="353"/>
      <c r="FP153" s="353"/>
      <c r="FQ153" s="353"/>
    </row>
    <row r="154" spans="1:173" s="351" customFormat="1" hidden="1">
      <c r="A154" s="430" t="s">
        <v>55</v>
      </c>
      <c r="B154" s="351">
        <v>2019</v>
      </c>
      <c r="C154" s="411" t="s">
        <v>47</v>
      </c>
      <c r="F154" s="370"/>
      <c r="G154" s="435"/>
      <c r="H154" s="412">
        <f>'RGGI - Invest Amort deferred'!AI103</f>
        <v>0</v>
      </c>
      <c r="I154" s="412">
        <f>'RGGI - Invest Amort deferred'!AI103</f>
        <v>0</v>
      </c>
      <c r="J154" s="413">
        <f>'RGGI - Invest Amort deferred'!BL103</f>
        <v>0</v>
      </c>
      <c r="K154" s="435"/>
      <c r="L154" s="414">
        <f>'RGGI II Invest Amort Def'!AI91</f>
        <v>0</v>
      </c>
      <c r="M154" s="414">
        <f>'RGGI II Invest Amort Def'!AI91</f>
        <v>0</v>
      </c>
      <c r="N154" s="413">
        <f>'RGGI II Invest Amort Def'!BK91</f>
        <v>0</v>
      </c>
      <c r="O154" s="435"/>
      <c r="P154" s="425">
        <f>'2013 program Invest Amort Def'!AY73</f>
        <v>2375840.7914999835</v>
      </c>
      <c r="Q154" s="425">
        <f>'2013 program Invest Amort Def'!AY73</f>
        <v>2375840.7914999835</v>
      </c>
      <c r="R154" s="425">
        <f>'2013 program Invest Amort Def'!CQ73</f>
        <v>-667848.84649064566</v>
      </c>
      <c r="S154" s="373">
        <f t="shared" si="156"/>
        <v>1707991.9450093377</v>
      </c>
      <c r="T154" s="435"/>
      <c r="U154" s="414">
        <f>'2015 Program Invest Amort Def'!BT48</f>
        <v>3583867.7958333329</v>
      </c>
      <c r="V154" s="414">
        <f>'2015 Program Invest Amort Def'!BT48</f>
        <v>3583867.7958333329</v>
      </c>
      <c r="W154" s="414">
        <f>'2015 Program Invest Amort Def'!EG48</f>
        <v>-914427.98740874964</v>
      </c>
      <c r="X154" s="373">
        <f t="shared" si="157"/>
        <v>2669439.8084245832</v>
      </c>
      <c r="Y154" s="435"/>
      <c r="Z154" s="394">
        <v>89372212.689999983</v>
      </c>
      <c r="AA154" s="480">
        <v>1.2500000000000001E-2</v>
      </c>
      <c r="AB154" s="439">
        <f t="shared" si="154"/>
        <v>1117152.6586249999</v>
      </c>
      <c r="AO154" s="439">
        <f>'RGGI - Invest Amort deferred'!AG103+'RGGI CHP'!V58</f>
        <v>12500</v>
      </c>
      <c r="AQ154" s="412">
        <f>(H154+J154)*'Capital Structure '!$F$21/12</f>
        <v>0</v>
      </c>
      <c r="AR154" s="412">
        <f>(H154+J154)*'Capital Structure '!$E$34/12</f>
        <v>0</v>
      </c>
      <c r="AS154" s="412">
        <f>(H154+J154)*'Capital Structure '!$F$18/12</f>
        <v>0</v>
      </c>
      <c r="AT154" s="412">
        <f>'RGGI - On-bill financing'!J103*'Capital Structure '!$P$34/12</f>
        <v>1501.3888445124494</v>
      </c>
      <c r="AU154" s="412">
        <f>'RGGI - On-bill financing'!J103*('Capital Structure '!$F$18+'Capital Structure '!$F$21)/12</f>
        <v>5817.9210703680365</v>
      </c>
      <c r="AV154" s="415">
        <f t="shared" si="158"/>
        <v>7319.3099148804858</v>
      </c>
      <c r="AX154" s="415">
        <v>0</v>
      </c>
      <c r="AY154" s="431">
        <f t="shared" si="159"/>
        <v>19819.309914880487</v>
      </c>
      <c r="BA154" s="412">
        <f>'RGGI II Invest Amort Def'!AG91</f>
        <v>0</v>
      </c>
      <c r="BC154" s="412">
        <f>(L154+N154)*'Capital Structure '!$H$21/12</f>
        <v>0</v>
      </c>
      <c r="BD154" s="412">
        <f>(L154+N154)*'Capital Structure '!$W$34/12</f>
        <v>0</v>
      </c>
      <c r="BE154" s="412">
        <f>(L154+N154)*'Capital Structure '!$H$18/12</f>
        <v>0</v>
      </c>
      <c r="BF154" s="412">
        <f>'RGGI II On Bill Fin''g'!L91*'Capital Structure '!$W$34/12</f>
        <v>5851.4796864152659</v>
      </c>
      <c r="BG154" s="412">
        <f>'RGGI II On Bill Fin''g'!L91*('Capital Structure '!$H$18+'Capital Structure '!$H$21)/12</f>
        <v>20141.881906461029</v>
      </c>
      <c r="BH154" s="415">
        <f t="shared" si="160"/>
        <v>25993.361592876296</v>
      </c>
      <c r="BJ154" s="437">
        <v>0</v>
      </c>
      <c r="BK154" s="431">
        <f t="shared" si="161"/>
        <v>25993.361592876296</v>
      </c>
      <c r="BM154" s="412">
        <f>'2013 program Invest Amort Def'!AW73</f>
        <v>253299.18833333327</v>
      </c>
      <c r="BO154" s="412">
        <f>(S154)*'Capital Structure '!$J$21/12</f>
        <v>2396.8820294964376</v>
      </c>
      <c r="BP154" s="412">
        <f>(S154)*'Capital Structure '!$V$34/12</f>
        <v>2902.9163194126704</v>
      </c>
      <c r="BQ154" s="412">
        <f>(S154)*'Capital Structure '!$J$18/12</f>
        <v>7424.0716543072549</v>
      </c>
      <c r="BR154" s="412">
        <f>('2013 program 10 yr On Bill Fin'!M73+'2013 program 5 yr On Bill Fin'!L71+'2013 program 2 yr On Bill Fin'!M61)*'Capital Structure '!$V$34/12</f>
        <v>34008.021657696685</v>
      </c>
      <c r="BS154" s="412">
        <f>('2013 program 10 yr On Bill Fin'!M73+'2013 program 5 yr On Bill Fin'!L71+'2013 program 2 yr On Bill Fin'!M61)*('Capital Structure '!$J$18+'Capital Structure '!$J$21)/12</f>
        <v>115053.6801025</v>
      </c>
      <c r="BT154" s="431">
        <f t="shared" si="162"/>
        <v>161785.57176341306</v>
      </c>
      <c r="BV154" s="438">
        <v>0</v>
      </c>
      <c r="BW154" s="431">
        <f t="shared" si="155"/>
        <v>415084.76009674632</v>
      </c>
      <c r="BY154" s="412">
        <f>'2015 Program Invest Amort Def'!BR48</f>
        <v>117021.19516666664</v>
      </c>
      <c r="CA154" s="412">
        <f>X154*'Capital Structure '!$N$21/12</f>
        <v>3959.6690491631321</v>
      </c>
      <c r="CB154" s="412">
        <f>(X154)*'Capital Structure '!$P$34/12</f>
        <v>4453.4974664516731</v>
      </c>
      <c r="CC154" s="412">
        <f>(X154)*'Capital Structure '!$N$18/12</f>
        <v>11389.60984927822</v>
      </c>
      <c r="CD154" s="412">
        <f>('2015 Program 10-Year OBRP'!P48+'2015 Program 7-Year OBRP'!M48+'2015 Program 5-Year OBRP'!K48+'2015 Program 3-Year OBRP'!K48)*('Capital Structure '!$P$34/12)</f>
        <v>45352.911150542212</v>
      </c>
      <c r="CE154" s="412">
        <f>('2015 Program 10-Year OBRP'!P48+'2015 Program 7-Year OBRP'!M48+'2015 Program 5-Year OBRP'!K48+'2015 Program 3-Year OBRP'!K48)*(('Capital Structure '!$N$21/12)+('Capital Structure '!$N$18/12))</f>
        <v>156311.86215999999</v>
      </c>
      <c r="CF154" s="431">
        <f t="shared" si="163"/>
        <v>221467.54967543524</v>
      </c>
      <c r="CG154" s="412">
        <v>-17791</v>
      </c>
      <c r="CJ154" s="431">
        <f t="shared" si="164"/>
        <v>320697.74484210188</v>
      </c>
      <c r="CK154" s="431"/>
      <c r="CL154" s="431">
        <f>'2018 SUMMARY'!Q28</f>
        <v>23507.399404761905</v>
      </c>
      <c r="CM154" s="431"/>
      <c r="CN154" s="431">
        <f>'2018 SUMMARY'!S28</f>
        <v>2450.9123740364716</v>
      </c>
      <c r="CO154" s="431">
        <f>'2018 SUMMARY'!T28</f>
        <v>3115.4949932970235</v>
      </c>
      <c r="CP154" s="431">
        <f>'2018 SUMMARY'!U28</f>
        <v>7967.731592604875</v>
      </c>
      <c r="CQ154" s="431">
        <f>'2018 SUMMARY'!V28</f>
        <v>1163.7345187025317</v>
      </c>
      <c r="CR154" s="431">
        <f>'2018 SUMMARY'!W28</f>
        <v>3891.6883667405336</v>
      </c>
      <c r="CS154" s="431">
        <f t="shared" si="165"/>
        <v>18589.561845381435</v>
      </c>
      <c r="CT154" s="431">
        <v>0</v>
      </c>
      <c r="CU154" s="431"/>
      <c r="CV154" s="561">
        <v>76651</v>
      </c>
      <c r="CW154" s="431">
        <f t="shared" si="166"/>
        <v>118747.96125014334</v>
      </c>
      <c r="CY154" s="412">
        <f t="shared" si="167"/>
        <v>-216809.52092825156</v>
      </c>
      <c r="CZ154" s="412">
        <f t="shared" si="168"/>
        <v>-4452292.1337656481</v>
      </c>
      <c r="DA154" s="412">
        <f t="shared" si="169"/>
        <v>-3122820.6326664649</v>
      </c>
      <c r="DB154" s="417">
        <v>2.7199999999999998E-2</v>
      </c>
      <c r="DC154" s="434">
        <f t="shared" si="170"/>
        <v>-7078.3934340439873</v>
      </c>
      <c r="DE154" s="420">
        <f t="shared" si="144"/>
        <v>6.9000000000000006E-2</v>
      </c>
      <c r="DF154" s="420">
        <f t="shared" si="145"/>
        <v>8.9395292808457358E-2</v>
      </c>
      <c r="DG154" s="420">
        <f t="shared" si="146"/>
        <v>6.9000000000000006E-2</v>
      </c>
      <c r="DH154" s="420">
        <f t="shared" si="147"/>
        <v>8.9019919321185137E-2</v>
      </c>
      <c r="DI154" s="353"/>
      <c r="DJ154" s="353"/>
      <c r="DK154" s="353"/>
      <c r="DL154" s="353"/>
      <c r="DM154" s="353"/>
      <c r="DN154" s="353"/>
      <c r="DO154" s="353"/>
      <c r="DP154" s="353"/>
      <c r="DQ154" s="353"/>
      <c r="DR154" s="353"/>
      <c r="DS154" s="353"/>
      <c r="DT154" s="353"/>
      <c r="DU154" s="353"/>
      <c r="DV154" s="353"/>
      <c r="DW154" s="353"/>
      <c r="DX154" s="353"/>
      <c r="DY154" s="353"/>
      <c r="DZ154" s="353"/>
      <c r="EA154" s="353"/>
      <c r="EB154" s="353"/>
      <c r="EC154" s="353"/>
      <c r="ED154" s="353"/>
      <c r="EE154" s="353"/>
      <c r="EF154" s="353"/>
      <c r="EG154" s="353"/>
      <c r="EH154" s="353"/>
      <c r="EI154" s="353"/>
      <c r="EJ154" s="353"/>
      <c r="EK154" s="353"/>
      <c r="EL154" s="353"/>
      <c r="EM154" s="353"/>
      <c r="EN154" s="353"/>
      <c r="EO154" s="353"/>
      <c r="EP154" s="353"/>
      <c r="EQ154" s="353"/>
      <c r="ER154" s="353"/>
      <c r="ES154" s="353"/>
      <c r="ET154" s="353"/>
      <c r="EU154" s="353"/>
      <c r="EV154" s="353"/>
      <c r="EW154" s="353"/>
      <c r="EX154" s="353"/>
      <c r="EY154" s="353"/>
      <c r="EZ154" s="353"/>
      <c r="FA154" s="353"/>
      <c r="FB154" s="353"/>
      <c r="FC154" s="353"/>
      <c r="FD154" s="353"/>
      <c r="FE154" s="353"/>
      <c r="FF154" s="353"/>
      <c r="FG154" s="353"/>
      <c r="FH154" s="353"/>
      <c r="FI154" s="353"/>
      <c r="FJ154" s="353"/>
      <c r="FK154" s="353"/>
      <c r="FL154" s="353"/>
      <c r="FM154" s="353"/>
      <c r="FN154" s="353"/>
      <c r="FO154" s="353"/>
      <c r="FP154" s="353"/>
      <c r="FQ154" s="353"/>
    </row>
    <row r="155" spans="1:173" s="351" customFormat="1" hidden="1">
      <c r="A155" s="430" t="s">
        <v>56</v>
      </c>
      <c r="B155" s="351">
        <v>2019</v>
      </c>
      <c r="C155" s="411" t="s">
        <v>47</v>
      </c>
      <c r="F155" s="370"/>
      <c r="G155" s="435"/>
      <c r="H155" s="412">
        <f>'RGGI - Invest Amort deferred'!AI104</f>
        <v>0</v>
      </c>
      <c r="I155" s="412">
        <f>'RGGI - Invest Amort deferred'!AI104</f>
        <v>0</v>
      </c>
      <c r="J155" s="413">
        <f>'RGGI - Invest Amort deferred'!BL104</f>
        <v>0</v>
      </c>
      <c r="K155" s="435"/>
      <c r="L155" s="414">
        <f>'RGGI II Invest Amort Def'!AI92</f>
        <v>0</v>
      </c>
      <c r="M155" s="414">
        <f>'RGGI II Invest Amort Def'!AI92</f>
        <v>0</v>
      </c>
      <c r="N155" s="413">
        <f>'RGGI II Invest Amort Def'!BK92</f>
        <v>0</v>
      </c>
      <c r="O155" s="435"/>
      <c r="P155" s="425">
        <f>'2013 program Invest Amort Def'!AY74</f>
        <v>2143413.5208333172</v>
      </c>
      <c r="Q155" s="425">
        <f>'2013 program Invest Amort Def'!AY74</f>
        <v>2143413.5208333172</v>
      </c>
      <c r="R155" s="425">
        <f>'2013 program Invest Amort Def'!CQ74</f>
        <v>-602513.54070624569</v>
      </c>
      <c r="S155" s="373">
        <f t="shared" si="156"/>
        <v>1540899.9801270715</v>
      </c>
      <c r="T155" s="435"/>
      <c r="U155" s="414">
        <f>'2015 Program Invest Amort Def'!BT49</f>
        <v>3467928.2673333329</v>
      </c>
      <c r="V155" s="414">
        <f>'2015 Program Invest Amort Def'!BT49</f>
        <v>3467928.2673333329</v>
      </c>
      <c r="W155" s="414">
        <f>'2015 Program Invest Amort Def'!EG49</f>
        <v>-900169.79094739968</v>
      </c>
      <c r="X155" s="373">
        <f t="shared" si="157"/>
        <v>2567758.4763859333</v>
      </c>
      <c r="Y155" s="435"/>
      <c r="Z155" s="394">
        <v>47369639</v>
      </c>
      <c r="AA155" s="480">
        <v>1.2500000000000001E-2</v>
      </c>
      <c r="AB155" s="439">
        <f t="shared" si="154"/>
        <v>592120.48750000005</v>
      </c>
      <c r="AO155" s="439">
        <f>'RGGI - Invest Amort deferred'!AG104+'RGGI CHP'!V59</f>
        <v>12500</v>
      </c>
      <c r="AQ155" s="412">
        <f>(H155+J155)*'Capital Structure '!$F$21/12</f>
        <v>0</v>
      </c>
      <c r="AR155" s="412">
        <f>(H155+J155)*'Capital Structure '!$E$34/12</f>
        <v>0</v>
      </c>
      <c r="AS155" s="412">
        <f>(H155+J155)*'Capital Structure '!$F$18/12</f>
        <v>0</v>
      </c>
      <c r="AT155" s="412">
        <f>'RGGI - On-bill financing'!J104*'Capital Structure '!$P$34/12</f>
        <v>1449.2183528390597</v>
      </c>
      <c r="AU155" s="412">
        <f>'RGGI - On-bill financing'!J104*('Capital Structure '!$F$18+'Capital Structure '!$F$21)/12</f>
        <v>5615.7590496047624</v>
      </c>
      <c r="AV155" s="415">
        <f t="shared" si="158"/>
        <v>7064.977402443822</v>
      </c>
      <c r="AX155" s="415">
        <v>0</v>
      </c>
      <c r="AY155" s="431">
        <f t="shared" si="159"/>
        <v>19564.977402443823</v>
      </c>
      <c r="BA155" s="412">
        <f>'RGGI II Invest Amort Def'!AG92</f>
        <v>0</v>
      </c>
      <c r="BC155" s="412">
        <f>(L155+N155)*'Capital Structure '!$H$21/12</f>
        <v>0</v>
      </c>
      <c r="BD155" s="412">
        <f>(L155+N155)*'Capital Structure '!$W$34/12</f>
        <v>0</v>
      </c>
      <c r="BE155" s="412">
        <f>(L155+N155)*'Capital Structure '!$H$18/12</f>
        <v>0</v>
      </c>
      <c r="BF155" s="412">
        <f>'RGGI II On Bill Fin''g'!L92*'Capital Structure '!$W$34/12</f>
        <v>5721.349940029897</v>
      </c>
      <c r="BG155" s="412">
        <f>'RGGI II On Bill Fin''g'!L92*('Capital Structure '!$H$18+'Capital Structure '!$H$21)/12</f>
        <v>19693.951105249016</v>
      </c>
      <c r="BH155" s="415">
        <f t="shared" si="160"/>
        <v>25415.301045278913</v>
      </c>
      <c r="BJ155" s="437">
        <v>0</v>
      </c>
      <c r="BK155" s="431">
        <f t="shared" si="161"/>
        <v>25415.301045278913</v>
      </c>
      <c r="BM155" s="412">
        <f>'2013 program Invest Amort Def'!AW74</f>
        <v>232427.27066666665</v>
      </c>
      <c r="BO155" s="412">
        <f>(S155)*'Capital Structure '!$J$21/12</f>
        <v>2162.3963054449905</v>
      </c>
      <c r="BP155" s="412">
        <f>(S155)*'Capital Structure '!$V$34/12</f>
        <v>2618.9255236031458</v>
      </c>
      <c r="BQ155" s="412">
        <f>(S155)*'Capital Structure '!$J$18/12</f>
        <v>6697.7785802856706</v>
      </c>
      <c r="BR155" s="412">
        <f>('2013 program 10 yr On Bill Fin'!M74+'2013 program 5 yr On Bill Fin'!L72+'2013 program 2 yr On Bill Fin'!M62)*'Capital Structure '!$V$34/12</f>
        <v>33336.932835613617</v>
      </c>
      <c r="BS155" s="412">
        <f>('2013 program 10 yr On Bill Fin'!M74+'2013 program 5 yr On Bill Fin'!L72+'2013 program 2 yr On Bill Fin'!M62)*('Capital Structure '!$J$18+'Capital Structure '!$J$21)/12</f>
        <v>112783.29697249999</v>
      </c>
      <c r="BT155" s="431">
        <f t="shared" si="162"/>
        <v>157599.33021744742</v>
      </c>
      <c r="BV155" s="438">
        <v>0</v>
      </c>
      <c r="BW155" s="431">
        <f t="shared" si="155"/>
        <v>390026.60088411404</v>
      </c>
      <c r="BY155" s="412">
        <f>'2015 Program Invest Amort Def'!BR49</f>
        <v>117039.52849999997</v>
      </c>
      <c r="CA155" s="412">
        <f>X155*'Capital Structure '!$N$21/12</f>
        <v>3808.8417399724676</v>
      </c>
      <c r="CB155" s="412">
        <f>(X155)*'Capital Structure '!$P$34/12</f>
        <v>4283.8597944613057</v>
      </c>
      <c r="CC155" s="412">
        <f>(X155)*'Capital Structure '!$N$18/12</f>
        <v>10955.76949924665</v>
      </c>
      <c r="CD155" s="412">
        <f>('2015 Program 10-Year OBRP'!P49+'2015 Program 7-Year OBRP'!M49+'2015 Program 5-Year OBRP'!K49+'2015 Program 3-Year OBRP'!K49)*('Capital Structure '!$P$34/12)</f>
        <v>44996.691070433153</v>
      </c>
      <c r="CE155" s="412">
        <f>('2015 Program 10-Year OBRP'!P49+'2015 Program 7-Year OBRP'!M49+'2015 Program 5-Year OBRP'!K49+'2015 Program 3-Year OBRP'!K49)*(('Capital Structure '!$N$21/12)+('Capital Structure '!$N$18/12))</f>
        <v>155084.12566749999</v>
      </c>
      <c r="CF155" s="431">
        <f t="shared" si="163"/>
        <v>219129.28777161357</v>
      </c>
      <c r="CG155" s="412">
        <v>-17795</v>
      </c>
      <c r="CJ155" s="431">
        <f t="shared" si="164"/>
        <v>318373.81627161353</v>
      </c>
      <c r="CK155" s="431"/>
      <c r="CL155" s="431">
        <f>'2018 SUMMARY'!Q29</f>
        <v>38987.912261904756</v>
      </c>
      <c r="CM155" s="431"/>
      <c r="CN155" s="431">
        <f>'2018 SUMMARY'!S29</f>
        <v>4019.7148382540836</v>
      </c>
      <c r="CO155" s="431">
        <f>'2018 SUMMARY'!T29</f>
        <v>5109.6895938540774</v>
      </c>
      <c r="CP155" s="431">
        <f>'2018 SUMMARY'!U29</f>
        <v>13067.790284673414</v>
      </c>
      <c r="CQ155" s="431">
        <f>'2018 SUMMARY'!V29</f>
        <v>2595.302284948576</v>
      </c>
      <c r="CR155" s="431">
        <f>'2018 SUMMARY'!W29</f>
        <v>8679.0479685781665</v>
      </c>
      <c r="CS155" s="431">
        <f t="shared" si="165"/>
        <v>33471.544970308314</v>
      </c>
      <c r="CT155" s="431">
        <v>0</v>
      </c>
      <c r="CU155" s="431"/>
      <c r="CV155" s="561">
        <v>72867</v>
      </c>
      <c r="CW155" s="431">
        <f t="shared" si="166"/>
        <v>145326.45723221306</v>
      </c>
      <c r="CY155" s="412">
        <f t="shared" si="167"/>
        <v>306586.6653356633</v>
      </c>
      <c r="CZ155" s="412">
        <f t="shared" si="168"/>
        <v>-4145705.468429985</v>
      </c>
      <c r="DA155" s="412">
        <f t="shared" si="169"/>
        <v>-3090550.2381092203</v>
      </c>
      <c r="DB155" s="417">
        <f t="shared" ref="DB155:DB160" si="171">DB154</f>
        <v>2.7199999999999998E-2</v>
      </c>
      <c r="DC155" s="434">
        <f t="shared" si="170"/>
        <v>-7005.2472063808991</v>
      </c>
      <c r="DE155" s="420">
        <f t="shared" si="144"/>
        <v>6.9000000000000006E-2</v>
      </c>
      <c r="DF155" s="420">
        <f t="shared" si="145"/>
        <v>8.9395292808457372E-2</v>
      </c>
      <c r="DG155" s="420">
        <f t="shared" si="146"/>
        <v>6.9000000000000006E-2</v>
      </c>
      <c r="DH155" s="420">
        <f t="shared" si="147"/>
        <v>8.9019919321185151E-2</v>
      </c>
      <c r="DI155" s="353"/>
      <c r="DJ155" s="353"/>
      <c r="DK155" s="353"/>
      <c r="DL155" s="353"/>
      <c r="DM155" s="353"/>
      <c r="DN155" s="353"/>
      <c r="DO155" s="353"/>
      <c r="DP155" s="353"/>
      <c r="DQ155" s="353"/>
      <c r="DR155" s="353"/>
      <c r="DS155" s="353"/>
      <c r="DT155" s="353"/>
      <c r="DU155" s="353"/>
      <c r="DV155" s="353"/>
      <c r="DW155" s="353"/>
      <c r="DX155" s="353"/>
      <c r="DY155" s="353"/>
      <c r="DZ155" s="353"/>
      <c r="EA155" s="353"/>
      <c r="EB155" s="353"/>
      <c r="EC155" s="353"/>
      <c r="ED155" s="353"/>
      <c r="EE155" s="353"/>
      <c r="EF155" s="353"/>
      <c r="EG155" s="353"/>
      <c r="EH155" s="353"/>
      <c r="EI155" s="353"/>
      <c r="EJ155" s="353"/>
      <c r="EK155" s="353"/>
      <c r="EL155" s="353"/>
      <c r="EM155" s="353"/>
      <c r="EN155" s="353"/>
      <c r="EO155" s="353"/>
      <c r="EP155" s="353"/>
      <c r="EQ155" s="353"/>
      <c r="ER155" s="353"/>
      <c r="ES155" s="353"/>
      <c r="ET155" s="353"/>
      <c r="EU155" s="353"/>
      <c r="EV155" s="353"/>
      <c r="EW155" s="353"/>
      <c r="EX155" s="353"/>
      <c r="EY155" s="353"/>
      <c r="EZ155" s="353"/>
      <c r="FA155" s="353"/>
      <c r="FB155" s="353"/>
      <c r="FC155" s="353"/>
      <c r="FD155" s="353"/>
      <c r="FE155" s="353"/>
      <c r="FF155" s="353"/>
      <c r="FG155" s="353"/>
      <c r="FH155" s="353"/>
      <c r="FI155" s="353"/>
      <c r="FJ155" s="353"/>
      <c r="FK155" s="353"/>
      <c r="FL155" s="353"/>
      <c r="FM155" s="353"/>
      <c r="FN155" s="353"/>
      <c r="FO155" s="353"/>
      <c r="FP155" s="353"/>
      <c r="FQ155" s="353"/>
    </row>
    <row r="156" spans="1:173" s="351" customFormat="1" hidden="1">
      <c r="A156" s="430" t="s">
        <v>57</v>
      </c>
      <c r="B156" s="351">
        <v>2019</v>
      </c>
      <c r="C156" s="411" t="s">
        <v>47</v>
      </c>
      <c r="F156" s="370"/>
      <c r="G156" s="435"/>
      <c r="H156" s="412">
        <f>'RGGI - Invest Amort deferred'!AI105</f>
        <v>0</v>
      </c>
      <c r="I156" s="412">
        <f>'RGGI - Invest Amort deferred'!AI105</f>
        <v>0</v>
      </c>
      <c r="J156" s="413">
        <f>'RGGI - Invest Amort deferred'!BL105</f>
        <v>0</v>
      </c>
      <c r="K156" s="435"/>
      <c r="L156" s="414">
        <f>'RGGI II Invest Amort Def'!AI93</f>
        <v>0</v>
      </c>
      <c r="M156" s="414">
        <f>'RGGI II Invest Amort Def'!AI93</f>
        <v>0</v>
      </c>
      <c r="N156" s="413">
        <f>'RGGI II Invest Amort Def'!BK93</f>
        <v>0</v>
      </c>
      <c r="O156" s="435"/>
      <c r="P156" s="425">
        <f>'2013 program Invest Amort Def'!AY75</f>
        <v>1923801.2501666509</v>
      </c>
      <c r="Q156" s="425">
        <f>'2013 program Invest Amort Def'!AY75</f>
        <v>1923801.2501666509</v>
      </c>
      <c r="R156" s="425">
        <f>'2013 program Invest Amort Def'!CQ75</f>
        <v>-540780.53142184566</v>
      </c>
      <c r="S156" s="373">
        <f t="shared" si="156"/>
        <v>1383020.7187448051</v>
      </c>
      <c r="T156" s="435"/>
      <c r="U156" s="414">
        <f>'2015 Program Invest Amort Def'!BT50</f>
        <v>3351380.4054999994</v>
      </c>
      <c r="V156" s="414">
        <f>'2015 Program Invest Amort Def'!BT50</f>
        <v>3351380.4054999994</v>
      </c>
      <c r="W156" s="414">
        <f>'2015 Program Invest Amort Def'!EG50</f>
        <v>-883854.87948604964</v>
      </c>
      <c r="X156" s="373">
        <f t="shared" si="157"/>
        <v>2467525.5260139499</v>
      </c>
      <c r="Y156" s="435"/>
      <c r="Z156" s="394">
        <v>30013522.739999998</v>
      </c>
      <c r="AA156" s="480">
        <v>1.2500000000000001E-2</v>
      </c>
      <c r="AB156" s="439">
        <f t="shared" si="154"/>
        <v>375169.03425000003</v>
      </c>
      <c r="AO156" s="439">
        <f>'RGGI - Invest Amort deferred'!AG105+'RGGI CHP'!V60</f>
        <v>12500</v>
      </c>
      <c r="AQ156" s="412">
        <f>(H156+J156)*'Capital Structure '!$F$21/12</f>
        <v>0</v>
      </c>
      <c r="AR156" s="412">
        <f>(H156+J156)*'Capital Structure '!$E$34/12</f>
        <v>0</v>
      </c>
      <c r="AS156" s="412">
        <f>(H156+J156)*'Capital Structure '!$F$18/12</f>
        <v>0</v>
      </c>
      <c r="AT156" s="412">
        <f>'RGGI - On-bill financing'!J105*'Capital Structure '!$P$34/12</f>
        <v>1389.6395734371954</v>
      </c>
      <c r="AU156" s="412">
        <f>'RGGI - On-bill financing'!J105*('Capital Structure '!$F$18+'Capital Structure '!$F$21)/12</f>
        <v>5384.8897199865069</v>
      </c>
      <c r="AV156" s="415">
        <f t="shared" si="158"/>
        <v>6774.5292934237023</v>
      </c>
      <c r="AX156" s="415">
        <v>0</v>
      </c>
      <c r="AY156" s="431">
        <f t="shared" si="159"/>
        <v>19274.5292934237</v>
      </c>
      <c r="BA156" s="412">
        <f>'RGGI II Invest Amort Def'!AG93</f>
        <v>0</v>
      </c>
      <c r="BC156" s="412">
        <f>(L156+N156)*'Capital Structure '!$H$21/12</f>
        <v>0</v>
      </c>
      <c r="BD156" s="412">
        <f>(L156+N156)*'Capital Structure '!$W$34/12</f>
        <v>0</v>
      </c>
      <c r="BE156" s="412">
        <f>(L156+N156)*'Capital Structure '!$H$18/12</f>
        <v>0</v>
      </c>
      <c r="BF156" s="412">
        <f>'RGGI II On Bill Fin''g'!L93*'Capital Structure '!$W$34/12</f>
        <v>5559.7266671019925</v>
      </c>
      <c r="BG156" s="412">
        <f>'RGGI II On Bill Fin''g'!L93*('Capital Structure '!$H$18+'Capital Structure '!$H$21)/12</f>
        <v>19137.613725456471</v>
      </c>
      <c r="BH156" s="415">
        <f t="shared" si="160"/>
        <v>24697.340392558464</v>
      </c>
      <c r="BJ156" s="437">
        <v>0</v>
      </c>
      <c r="BK156" s="431">
        <f t="shared" si="161"/>
        <v>24697.340392558464</v>
      </c>
      <c r="BM156" s="412">
        <f>'2013 program Invest Amort Def'!AW75</f>
        <v>219612.27066666665</v>
      </c>
      <c r="BO156" s="412">
        <f>(S156)*'Capital Structure '!$J$21/12</f>
        <v>1940.8390753052099</v>
      </c>
      <c r="BP156" s="412">
        <f>(S156)*'Capital Structure '!$V$34/12</f>
        <v>2350.5927099136211</v>
      </c>
      <c r="BQ156" s="412">
        <f>(S156)*'Capital Structure '!$J$18/12</f>
        <v>6011.5300574774192</v>
      </c>
      <c r="BR156" s="412">
        <f>('2013 program 10 yr On Bill Fin'!M75+'2013 program 5 yr On Bill Fin'!L73+'2013 program 2 yr On Bill Fin'!M63)*'Capital Structure '!$V$34/12</f>
        <v>32485.25924712242</v>
      </c>
      <c r="BS156" s="412">
        <f>('2013 program 10 yr On Bill Fin'!M75+'2013 program 5 yr On Bill Fin'!L73+'2013 program 2 yr On Bill Fin'!M63)*('Capital Structure '!$J$18+'Capital Structure '!$J$21)/12</f>
        <v>109901.97145499999</v>
      </c>
      <c r="BT156" s="431">
        <f t="shared" si="162"/>
        <v>152690.19254481865</v>
      </c>
      <c r="BV156" s="438">
        <v>0</v>
      </c>
      <c r="BW156" s="431">
        <f t="shared" si="155"/>
        <v>372302.4632114853</v>
      </c>
      <c r="BY156" s="412">
        <f>'2015 Program Invest Amort Def'!BR50</f>
        <v>117047.8618333333</v>
      </c>
      <c r="CA156" s="412">
        <f>X156*'Capital Structure '!$N$21/12</f>
        <v>3660.162863587359</v>
      </c>
      <c r="CB156" s="412">
        <f>(X156)*'Capital Structure '!$P$34/12</f>
        <v>4116.6384961470167</v>
      </c>
      <c r="CC156" s="412">
        <f>(X156)*'Capital Structure '!$N$18/12</f>
        <v>10528.108910992853</v>
      </c>
      <c r="CD156" s="412">
        <f>('2015 Program 10-Year OBRP'!P50+'2015 Program 7-Year OBRP'!M50+'2015 Program 5-Year OBRP'!K50+'2015 Program 3-Year OBRP'!K50)*('Capital Structure '!$P$34/12)</f>
        <v>44214.611020258722</v>
      </c>
      <c r="CE156" s="412">
        <f>('2015 Program 10-Year OBRP'!P50+'2015 Program 7-Year OBRP'!M50+'2015 Program 5-Year OBRP'!K50+'2015 Program 3-Year OBRP'!K50)*(('Capital Structure '!$N$21/12)+('Capital Structure '!$N$18/12))</f>
        <v>152388.63411249997</v>
      </c>
      <c r="CF156" s="431">
        <f t="shared" si="163"/>
        <v>214908.15540348593</v>
      </c>
      <c r="CG156" s="373">
        <v>-18322</v>
      </c>
      <c r="CJ156" s="431">
        <f t="shared" si="164"/>
        <v>313634.01723681926</v>
      </c>
      <c r="CK156" s="431"/>
      <c r="CL156" s="431">
        <f>'2018 SUMMARY'!Q30</f>
        <v>50571.30333333333</v>
      </c>
      <c r="CM156" s="431"/>
      <c r="CN156" s="431">
        <f>'2018 SUMMARY'!S30</f>
        <v>5118.1485382273459</v>
      </c>
      <c r="CO156" s="431">
        <f>'2018 SUMMARY'!T30</f>
        <v>6505.9715372592473</v>
      </c>
      <c r="CP156" s="431">
        <f>'2018 SUMMARY'!U30</f>
        <v>16638.715539436758</v>
      </c>
      <c r="CQ156" s="431">
        <f>'2018 SUMMARY'!V30</f>
        <v>3666.4190627432754</v>
      </c>
      <c r="CR156" s="431">
        <f>'2018 SUMMARY'!W30</f>
        <v>12261.009865018019</v>
      </c>
      <c r="CS156" s="431">
        <f t="shared" si="165"/>
        <v>44190.264542684643</v>
      </c>
      <c r="CT156" s="431">
        <v>0</v>
      </c>
      <c r="CU156" s="431"/>
      <c r="CV156" s="561">
        <v>57284</v>
      </c>
      <c r="CW156" s="431">
        <f t="shared" si="166"/>
        <v>152045.56787601797</v>
      </c>
      <c r="CY156" s="412">
        <f t="shared" si="167"/>
        <v>506784.88376030477</v>
      </c>
      <c r="CZ156" s="412">
        <f t="shared" si="168"/>
        <v>-3638920.5846696803</v>
      </c>
      <c r="DA156" s="412">
        <f t="shared" si="169"/>
        <v>-2798183.8347866749</v>
      </c>
      <c r="DB156" s="417">
        <v>2.6599999999999999E-2</v>
      </c>
      <c r="DC156" s="434">
        <f t="shared" si="170"/>
        <v>-6202.640833777129</v>
      </c>
      <c r="DE156" s="420">
        <f t="shared" si="144"/>
        <v>6.9000000000000006E-2</v>
      </c>
      <c r="DF156" s="420">
        <f t="shared" si="145"/>
        <v>8.9395292808457358E-2</v>
      </c>
      <c r="DG156" s="420">
        <f t="shared" si="146"/>
        <v>6.9000000000000006E-2</v>
      </c>
      <c r="DH156" s="420">
        <f t="shared" si="147"/>
        <v>8.9019919321185137E-2</v>
      </c>
      <c r="DI156" s="353"/>
      <c r="DJ156" s="353"/>
      <c r="DK156" s="353"/>
      <c r="DL156" s="353"/>
      <c r="DM156" s="353"/>
      <c r="DN156" s="353"/>
      <c r="DO156" s="353"/>
      <c r="DP156" s="353"/>
      <c r="DQ156" s="353"/>
      <c r="DR156" s="353"/>
      <c r="DS156" s="353"/>
      <c r="DT156" s="353"/>
      <c r="DU156" s="353"/>
      <c r="DV156" s="353"/>
      <c r="DW156" s="353"/>
      <c r="DX156" s="353"/>
      <c r="DY156" s="353"/>
      <c r="DZ156" s="353"/>
      <c r="EA156" s="353"/>
      <c r="EB156" s="353"/>
      <c r="EC156" s="353"/>
      <c r="ED156" s="353"/>
      <c r="EE156" s="353"/>
      <c r="EF156" s="353"/>
      <c r="EG156" s="353"/>
      <c r="EH156" s="353"/>
      <c r="EI156" s="353"/>
      <c r="EJ156" s="353"/>
      <c r="EK156" s="353"/>
      <c r="EL156" s="353"/>
      <c r="EM156" s="353"/>
      <c r="EN156" s="353"/>
      <c r="EO156" s="353"/>
      <c r="EP156" s="353"/>
      <c r="EQ156" s="353"/>
      <c r="ER156" s="353"/>
      <c r="ES156" s="353"/>
      <c r="ET156" s="353"/>
      <c r="EU156" s="353"/>
      <c r="EV156" s="353"/>
      <c r="EW156" s="353"/>
      <c r="EX156" s="353"/>
      <c r="EY156" s="353"/>
      <c r="EZ156" s="353"/>
      <c r="FA156" s="353"/>
      <c r="FB156" s="353"/>
      <c r="FC156" s="353"/>
      <c r="FD156" s="353"/>
      <c r="FE156" s="353"/>
      <c r="FF156" s="353"/>
      <c r="FG156" s="353"/>
      <c r="FH156" s="353"/>
      <c r="FI156" s="353"/>
      <c r="FJ156" s="353"/>
      <c r="FK156" s="353"/>
      <c r="FL156" s="353"/>
      <c r="FM156" s="353"/>
      <c r="FN156" s="353"/>
      <c r="FO156" s="353"/>
      <c r="FP156" s="353"/>
      <c r="FQ156" s="353"/>
    </row>
    <row r="157" spans="1:173" s="351" customFormat="1" hidden="1">
      <c r="A157" s="430" t="s">
        <v>58</v>
      </c>
      <c r="B157" s="351">
        <v>2019</v>
      </c>
      <c r="C157" s="411" t="s">
        <v>47</v>
      </c>
      <c r="F157" s="370"/>
      <c r="G157" s="435"/>
      <c r="H157" s="412">
        <f>'RGGI - Invest Amort deferred'!AI106</f>
        <v>0</v>
      </c>
      <c r="I157" s="412">
        <f>'RGGI - Invest Amort deferred'!AI106</f>
        <v>0</v>
      </c>
      <c r="J157" s="413">
        <f>'RGGI - Invest Amort deferred'!BL106</f>
        <v>0</v>
      </c>
      <c r="K157" s="435"/>
      <c r="L157" s="414">
        <f>'RGGI II Invest Amort Def'!AI94</f>
        <v>0</v>
      </c>
      <c r="M157" s="414">
        <f>'RGGI II Invest Amort Def'!AI94</f>
        <v>0</v>
      </c>
      <c r="N157" s="413">
        <f>'RGGI II Invest Amort Def'!BK94</f>
        <v>0</v>
      </c>
      <c r="O157" s="435"/>
      <c r="P157" s="425">
        <f>'2013 program Invest Amort Def'!AY76</f>
        <v>1714121.4794999845</v>
      </c>
      <c r="Q157" s="425">
        <f>'2013 program Invest Amort Def'!AY76</f>
        <v>1714121.4794999845</v>
      </c>
      <c r="R157" s="425">
        <f>'2013 program Invest Amort Def'!CQ76</f>
        <v>-481839.54788744566</v>
      </c>
      <c r="S157" s="373">
        <f t="shared" si="156"/>
        <v>1232281.9316125389</v>
      </c>
      <c r="T157" s="435"/>
      <c r="U157" s="414">
        <f>'2015 Program Invest Amort Def'!BT51</f>
        <v>3234332.5436666659</v>
      </c>
      <c r="V157" s="414">
        <f>'2015 Program Invest Amort Def'!BT51</f>
        <v>3234332.5436666659</v>
      </c>
      <c r="W157" s="414">
        <f>'2015 Program Invest Amort Def'!EG51</f>
        <v>-865420.00552469969</v>
      </c>
      <c r="X157" s="373">
        <f t="shared" si="157"/>
        <v>2368912.5381419663</v>
      </c>
      <c r="Y157" s="435"/>
      <c r="Z157" s="394">
        <v>22183946.630000003</v>
      </c>
      <c r="AA157" s="480">
        <v>1.2500000000000001E-2</v>
      </c>
      <c r="AB157" s="439">
        <f t="shared" si="154"/>
        <v>277299.33287500002</v>
      </c>
      <c r="AO157" s="439">
        <f>'RGGI - Invest Amort deferred'!AG106+'RGGI CHP'!V61</f>
        <v>12500</v>
      </c>
      <c r="AQ157" s="412">
        <f>(H157+J157)*'Capital Structure '!$F$21/12</f>
        <v>0</v>
      </c>
      <c r="AR157" s="412">
        <f>(H157+J157)*'Capital Structure '!$E$34/12</f>
        <v>0</v>
      </c>
      <c r="AS157" s="412">
        <f>(H157+J157)*'Capital Structure '!$F$18/12</f>
        <v>0</v>
      </c>
      <c r="AT157" s="412">
        <f>'RGGI - On-bill financing'!J106*'Capital Structure '!$P$34/12</f>
        <v>1335.7736948960908</v>
      </c>
      <c r="AU157" s="412">
        <f>'RGGI - On-bill financing'!J106*('Capital Structure '!$F$18+'Capital Structure '!$F$21)/12</f>
        <v>5176.1580307351824</v>
      </c>
      <c r="AV157" s="415">
        <f t="shared" si="158"/>
        <v>6511.9317256312734</v>
      </c>
      <c r="AX157" s="415">
        <v>0</v>
      </c>
      <c r="AY157" s="431">
        <f t="shared" si="159"/>
        <v>19011.931725631272</v>
      </c>
      <c r="BA157" s="412">
        <f>'RGGI II Invest Amort Def'!AG94</f>
        <v>0</v>
      </c>
      <c r="BC157" s="412">
        <f>(L157+N157)*'Capital Structure '!$H$21/12</f>
        <v>0</v>
      </c>
      <c r="BD157" s="412">
        <f>(L157+N157)*'Capital Structure '!$W$34/12</f>
        <v>0</v>
      </c>
      <c r="BE157" s="412">
        <f>(L157+N157)*'Capital Structure '!$H$18/12</f>
        <v>0</v>
      </c>
      <c r="BF157" s="412">
        <f>'RGGI II On Bill Fin''g'!L94*'Capital Structure '!$W$34/12</f>
        <v>5429.3095627995908</v>
      </c>
      <c r="BG157" s="412">
        <f>'RGGI II On Bill Fin''g'!L94*('Capital Structure '!$H$18+'Capital Structure '!$H$21)/12</f>
        <v>18688.693784823328</v>
      </c>
      <c r="BH157" s="415">
        <f t="shared" si="160"/>
        <v>24118.003347622918</v>
      </c>
      <c r="BJ157" s="437">
        <v>0</v>
      </c>
      <c r="BK157" s="431">
        <f t="shared" si="161"/>
        <v>24118.003347622918</v>
      </c>
      <c r="BM157" s="412">
        <f>'2013 program Invest Amort Def'!AW76</f>
        <v>209679.77066666665</v>
      </c>
      <c r="BO157" s="412">
        <f>(S157)*'Capital Structure '!$J$21/12</f>
        <v>1729.302310696263</v>
      </c>
      <c r="BP157" s="412">
        <f>(S157)*'Capital Structure '!$V$34/12</f>
        <v>2094.3959014840962</v>
      </c>
      <c r="BQ157" s="412">
        <f>(S157)*'Capital Structure '!$J$18/12</f>
        <v>5356.318796075836</v>
      </c>
      <c r="BR157" s="412">
        <f>('2013 program 10 yr On Bill Fin'!M76+'2013 program 5 yr On Bill Fin'!L74+'2013 program 2 yr On Bill Fin'!M64)*'Capital Structure '!$V$34/12</f>
        <v>31776.464780424405</v>
      </c>
      <c r="BS157" s="412">
        <f>('2013 program 10 yr On Bill Fin'!M76+'2013 program 5 yr On Bill Fin'!L74+'2013 program 2 yr On Bill Fin'!M64)*('Capital Structure '!$J$18+'Capital Structure '!$J$21)/12</f>
        <v>107504.02509249997</v>
      </c>
      <c r="BT157" s="431">
        <f t="shared" si="162"/>
        <v>148460.50688118057</v>
      </c>
      <c r="BV157" s="438">
        <v>0</v>
      </c>
      <c r="BW157" s="431">
        <f t="shared" si="155"/>
        <v>358140.27754784725</v>
      </c>
      <c r="BY157" s="412">
        <f>'2015 Program Invest Amort Def'!BR51</f>
        <v>117047.8618333333</v>
      </c>
      <c r="CA157" s="412">
        <f>X157*'Capital Structure '!$N$21/12</f>
        <v>3513.8869315772499</v>
      </c>
      <c r="CB157" s="412">
        <f>(X157)*'Capital Structure '!$P$34/12</f>
        <v>3952.1198243788403</v>
      </c>
      <c r="CC157" s="412">
        <f>(X157)*'Capital Structure '!$N$18/12</f>
        <v>10107.360162739056</v>
      </c>
      <c r="CD157" s="412">
        <f>('2015 Program 10-Year OBRP'!P51+'2015 Program 7-Year OBRP'!M51+'2015 Program 5-Year OBRP'!K51+'2015 Program 3-Year OBRP'!K51)*('Capital Structure '!$P$34/12)</f>
        <v>43573.433748173033</v>
      </c>
      <c r="CE157" s="412">
        <f>('2015 Program 10-Year OBRP'!P51+'2015 Program 7-Year OBRP'!M51+'2015 Program 5-Year OBRP'!K51+'2015 Program 3-Year OBRP'!K51)*(('Capital Structure '!$N$21/12)+('Capital Structure '!$N$18/12))</f>
        <v>150178.77346999999</v>
      </c>
      <c r="CF157" s="431">
        <f t="shared" si="163"/>
        <v>211325.57413686818</v>
      </c>
      <c r="CG157" s="373">
        <v>-18491.259999999998</v>
      </c>
      <c r="CJ157" s="431">
        <f t="shared" si="164"/>
        <v>309882.1759702015</v>
      </c>
      <c r="CK157" s="431"/>
      <c r="CL157" s="431">
        <f>'2018 SUMMARY'!Q31</f>
        <v>55521.206666666665</v>
      </c>
      <c r="CM157" s="431"/>
      <c r="CN157" s="431">
        <f>'2018 SUMMARY'!S31</f>
        <v>5467.9990424782918</v>
      </c>
      <c r="CO157" s="431">
        <f>'2018 SUMMARY'!T31</f>
        <v>6950.6865364336909</v>
      </c>
      <c r="CP157" s="431">
        <f>'2018 SUMMARY'!U31</f>
        <v>17776.053187627822</v>
      </c>
      <c r="CQ157" s="431">
        <f>'2018 SUMMARY'!V31</f>
        <v>5152.3805296281644</v>
      </c>
      <c r="CR157" s="431">
        <f>'2018 SUMMARY'!W31</f>
        <v>17230.269486661004</v>
      </c>
      <c r="CS157" s="431">
        <f t="shared" si="165"/>
        <v>52577.388782828973</v>
      </c>
      <c r="CT157" s="431">
        <v>0</v>
      </c>
      <c r="CU157" s="431"/>
      <c r="CV157" s="431">
        <v>-6614</v>
      </c>
      <c r="CW157" s="431">
        <f t="shared" si="166"/>
        <v>101484.59544949564</v>
      </c>
      <c r="CY157" s="412">
        <f t="shared" si="167"/>
        <v>535337.65116579866</v>
      </c>
      <c r="CZ157" s="412">
        <f t="shared" si="168"/>
        <v>-3103582.9335038816</v>
      </c>
      <c r="DA157" s="412">
        <f t="shared" si="169"/>
        <v>-2423592.8896074868</v>
      </c>
      <c r="DB157" s="417">
        <v>2.6200000000000001E-2</v>
      </c>
      <c r="DC157" s="434">
        <f t="shared" si="170"/>
        <v>-5291.5111423096796</v>
      </c>
      <c r="DE157" s="420">
        <f t="shared" si="144"/>
        <v>6.9000000000000006E-2</v>
      </c>
      <c r="DF157" s="420">
        <f t="shared" si="145"/>
        <v>8.9395292808457372E-2</v>
      </c>
      <c r="DG157" s="420">
        <f t="shared" si="146"/>
        <v>6.9000000000000006E-2</v>
      </c>
      <c r="DH157" s="420">
        <f t="shared" si="147"/>
        <v>8.9019919321185137E-2</v>
      </c>
      <c r="DI157" s="353"/>
      <c r="DJ157" s="353"/>
      <c r="DK157" s="353"/>
      <c r="DL157" s="353"/>
      <c r="DM157" s="353"/>
      <c r="DN157" s="353"/>
      <c r="DO157" s="353"/>
      <c r="DP157" s="353"/>
      <c r="DQ157" s="353"/>
      <c r="DR157" s="353"/>
      <c r="DS157" s="353"/>
      <c r="DT157" s="353"/>
      <c r="DU157" s="353"/>
      <c r="DV157" s="353"/>
      <c r="DW157" s="353"/>
      <c r="DX157" s="353"/>
      <c r="DY157" s="353"/>
      <c r="DZ157" s="353"/>
      <c r="EA157" s="353"/>
      <c r="EB157" s="353"/>
      <c r="EC157" s="353"/>
      <c r="ED157" s="353"/>
      <c r="EE157" s="353"/>
      <c r="EF157" s="353"/>
      <c r="EG157" s="353"/>
      <c r="EH157" s="353"/>
      <c r="EI157" s="353"/>
      <c r="EJ157" s="353"/>
      <c r="EK157" s="353"/>
      <c r="EL157" s="353"/>
      <c r="EM157" s="353"/>
      <c r="EN157" s="353"/>
      <c r="EO157" s="353"/>
      <c r="EP157" s="353"/>
      <c r="EQ157" s="353"/>
      <c r="ER157" s="353"/>
      <c r="ES157" s="353"/>
      <c r="ET157" s="353"/>
      <c r="EU157" s="353"/>
      <c r="EV157" s="353"/>
      <c r="EW157" s="353"/>
      <c r="EX157" s="353"/>
      <c r="EY157" s="353"/>
      <c r="EZ157" s="353"/>
      <c r="FA157" s="353"/>
      <c r="FB157" s="353"/>
      <c r="FC157" s="353"/>
      <c r="FD157" s="353"/>
      <c r="FE157" s="353"/>
      <c r="FF157" s="353"/>
      <c r="FG157" s="353"/>
      <c r="FH157" s="353"/>
      <c r="FI157" s="353"/>
      <c r="FJ157" s="353"/>
      <c r="FK157" s="353"/>
      <c r="FL157" s="353"/>
      <c r="FM157" s="353"/>
      <c r="FN157" s="353"/>
      <c r="FO157" s="353"/>
      <c r="FP157" s="353"/>
      <c r="FQ157" s="353"/>
    </row>
    <row r="158" spans="1:173" s="351" customFormat="1" hidden="1">
      <c r="A158" s="430" t="s">
        <v>59</v>
      </c>
      <c r="B158" s="351">
        <v>2019</v>
      </c>
      <c r="C158" s="411" t="s">
        <v>47</v>
      </c>
      <c r="F158" s="370"/>
      <c r="G158" s="435"/>
      <c r="H158" s="412">
        <f>'RGGI - Invest Amort deferred'!AI107</f>
        <v>0</v>
      </c>
      <c r="I158" s="412">
        <f>'RGGI - Invest Amort deferred'!AI107</f>
        <v>0</v>
      </c>
      <c r="J158" s="413">
        <f>'RGGI - Invest Amort deferred'!BL107</f>
        <v>0</v>
      </c>
      <c r="K158" s="435"/>
      <c r="L158" s="414">
        <f>'RGGI II Invest Amort Def'!AI95</f>
        <v>0</v>
      </c>
      <c r="M158" s="414">
        <f>'RGGI II Invest Amort Def'!AI95</f>
        <v>0</v>
      </c>
      <c r="N158" s="413">
        <f>'RGGI II Invest Amort Def'!BK95</f>
        <v>0</v>
      </c>
      <c r="O158" s="435"/>
      <c r="P158" s="425">
        <f>'2013 program Invest Amort Def'!AY77</f>
        <v>1515398.6254999861</v>
      </c>
      <c r="Q158" s="425">
        <f>'2013 program Invest Amort Def'!AY77</f>
        <v>1515398.6254999861</v>
      </c>
      <c r="R158" s="425">
        <f>'2013 program Invest Amort Def'!CQ77</f>
        <v>-425978.55362804566</v>
      </c>
      <c r="S158" s="373">
        <f t="shared" si="156"/>
        <v>1089420.0718719405</v>
      </c>
      <c r="T158" s="435"/>
      <c r="U158" s="414">
        <f>'2015 Program Invest Amort Def'!BT52</f>
        <v>3117284.6818333324</v>
      </c>
      <c r="V158" s="414">
        <f>'2015 Program Invest Amort Def'!BT52</f>
        <v>3117284.6818333324</v>
      </c>
      <c r="W158" s="414">
        <f>'2015 Program Invest Amort Def'!EG52</f>
        <v>-844581.72656334972</v>
      </c>
      <c r="X158" s="373">
        <f t="shared" si="157"/>
        <v>2272702.9552699826</v>
      </c>
      <c r="Y158" s="435"/>
      <c r="Z158" s="394">
        <v>20031738.289999999</v>
      </c>
      <c r="AA158" s="480">
        <v>1.2500000000000001E-2</v>
      </c>
      <c r="AB158" s="439">
        <f t="shared" si="154"/>
        <v>250396.72862499999</v>
      </c>
      <c r="AO158" s="439">
        <f>'RGGI - Invest Amort deferred'!AG107+'RGGI CHP'!V62</f>
        <v>12500</v>
      </c>
      <c r="AQ158" s="412">
        <f>(H158+J158)*'Capital Structure '!$F$21/12</f>
        <v>0</v>
      </c>
      <c r="AR158" s="412">
        <f>(H158+J158)*'Capital Structure '!$E$34/12</f>
        <v>0</v>
      </c>
      <c r="AS158" s="412">
        <f>(H158+J158)*'Capital Structure '!$F$18/12</f>
        <v>0</v>
      </c>
      <c r="AT158" s="412">
        <f>'RGGI - On-bill financing'!J107*'Capital Structure '!$P$34/12</f>
        <v>1284.9884481735978</v>
      </c>
      <c r="AU158" s="412">
        <f>'RGGI - On-bill financing'!J107*('Capital Structure '!$F$18+'Capital Structure '!$F$21)/12</f>
        <v>4979.3638704145242</v>
      </c>
      <c r="AV158" s="415">
        <f t="shared" si="158"/>
        <v>6264.3523185881222</v>
      </c>
      <c r="AX158" s="415">
        <v>0</v>
      </c>
      <c r="AY158" s="431">
        <f t="shared" si="159"/>
        <v>18764.35231858812</v>
      </c>
      <c r="BA158" s="412">
        <f>'RGGI II Invest Amort Def'!AG95</f>
        <v>0</v>
      </c>
      <c r="BC158" s="412">
        <f>(L158+N158)*'Capital Structure '!$H$21/12</f>
        <v>0</v>
      </c>
      <c r="BD158" s="412">
        <f>(L158+N158)*'Capital Structure '!$W$34/12</f>
        <v>0</v>
      </c>
      <c r="BE158" s="412">
        <f>(L158+N158)*'Capital Structure '!$H$18/12</f>
        <v>0</v>
      </c>
      <c r="BF158" s="412">
        <f>'RGGI II On Bill Fin''g'!L95*'Capital Structure '!$W$34/12</f>
        <v>5253.4479449918845</v>
      </c>
      <c r="BG158" s="412">
        <f>'RGGI II On Bill Fin''g'!L95*('Capital Structure '!$H$18+'Capital Structure '!$H$21)/12</f>
        <v>18083.345372525921</v>
      </c>
      <c r="BH158" s="415">
        <f t="shared" si="160"/>
        <v>23336.793317517804</v>
      </c>
      <c r="BJ158" s="437">
        <v>0</v>
      </c>
      <c r="BK158" s="431">
        <f t="shared" si="161"/>
        <v>23336.793317517804</v>
      </c>
      <c r="BM158" s="412">
        <f>'2013 program Invest Amort Def'!AW77</f>
        <v>198722.85399999999</v>
      </c>
      <c r="BO158" s="412">
        <f>(S158)*'Capital Structure '!$J$21/12</f>
        <v>1528.81950086029</v>
      </c>
      <c r="BP158" s="412">
        <f>(S158)*'Capital Structure '!$V$34/12</f>
        <v>1851.5867797699073</v>
      </c>
      <c r="BQ158" s="412">
        <f>(S158)*'Capital Structure '!$J$18/12</f>
        <v>4735.3459124033679</v>
      </c>
      <c r="BR158" s="412">
        <f>('2013 program 10 yr On Bill Fin'!M77+'2013 program 5 yr On Bill Fin'!L75+'2013 program 2 yr On Bill Fin'!M65)*'Capital Structure '!$V$34/12</f>
        <v>31075.230814778344</v>
      </c>
      <c r="BS158" s="412">
        <f>('2013 program 10 yr On Bill Fin'!M77+'2013 program 5 yr On Bill Fin'!L75+'2013 program 2 yr On Bill Fin'!M65)*('Capital Structure '!$J$18+'Capital Structure '!$J$21)/12</f>
        <v>105131.656915</v>
      </c>
      <c r="BT158" s="431">
        <f t="shared" si="162"/>
        <v>144322.63992281191</v>
      </c>
      <c r="BV158" s="438">
        <v>0</v>
      </c>
      <c r="BW158" s="431">
        <f t="shared" si="155"/>
        <v>343045.49392281193</v>
      </c>
      <c r="BY158" s="412">
        <f>'2015 Program Invest Amort Def'!BR52</f>
        <v>117047.8618333333</v>
      </c>
      <c r="CA158" s="412">
        <f>X158*'Capital Structure '!$N$21/12</f>
        <v>3371.1760503171408</v>
      </c>
      <c r="CB158" s="412">
        <f>(X158)*'Capital Structure '!$P$34/12</f>
        <v>3791.610817127008</v>
      </c>
      <c r="CC158" s="412">
        <f>(X158)*'Capital Structure '!$N$18/12</f>
        <v>9696.8659424852594</v>
      </c>
      <c r="CD158" s="412">
        <f>('2015 Program 10-Year OBRP'!P52+'2015 Program 7-Year OBRP'!M52+'2015 Program 5-Year OBRP'!K52+'2015 Program 3-Year OBRP'!K52)*('Capital Structure '!$P$34/12)</f>
        <v>43105.010061602996</v>
      </c>
      <c r="CE158" s="412">
        <f>('2015 Program 10-Year OBRP'!P52+'2015 Program 7-Year OBRP'!M52+'2015 Program 5-Year OBRP'!K52+'2015 Program 3-Year OBRP'!K52)*(('Capital Structure '!$N$21/12)+('Capital Structure '!$N$18/12))</f>
        <v>148564.31969249999</v>
      </c>
      <c r="CF158" s="431">
        <f t="shared" si="163"/>
        <v>208528.9825640324</v>
      </c>
      <c r="CG158" s="373">
        <f>-16819.81+62.37</f>
        <v>-16757.440000000002</v>
      </c>
      <c r="CJ158" s="431">
        <f t="shared" si="164"/>
        <v>308819.4043973657</v>
      </c>
      <c r="CK158" s="431"/>
      <c r="CL158" s="431">
        <f>'2018 SUMMARY'!Q32</f>
        <v>67777.846071428561</v>
      </c>
      <c r="CM158" s="431"/>
      <c r="CN158" s="431">
        <f>'2018 SUMMARY'!S32</f>
        <v>6579.9814504925826</v>
      </c>
      <c r="CO158" s="431">
        <f>'2018 SUMMARY'!T32</f>
        <v>8364.1910180718169</v>
      </c>
      <c r="CP158" s="431">
        <f>'2018 SUMMARY'!U32</f>
        <v>21391.024272116076</v>
      </c>
      <c r="CQ158" s="431">
        <f>'2018 SUMMARY'!V32</f>
        <v>6440.6929919204895</v>
      </c>
      <c r="CR158" s="431">
        <f>'2018 SUMMARY'!W32</f>
        <v>21538.563639368418</v>
      </c>
      <c r="CS158" s="431">
        <f t="shared" si="165"/>
        <v>64314.453371969386</v>
      </c>
      <c r="CT158" s="431">
        <v>-62.37</v>
      </c>
      <c r="CU158" s="431"/>
      <c r="CV158" s="431">
        <v>30196</v>
      </c>
      <c r="CW158" s="431">
        <f t="shared" si="166"/>
        <v>162225.92944339794</v>
      </c>
      <c r="CY158" s="412">
        <f t="shared" si="167"/>
        <v>605795.2447746814</v>
      </c>
      <c r="CZ158" s="412">
        <f t="shared" si="168"/>
        <v>-2497787.6887292</v>
      </c>
      <c r="DA158" s="412">
        <f t="shared" si="169"/>
        <v>-2013412.6701616812</v>
      </c>
      <c r="DB158" s="417">
        <v>2.5999999999999999E-2</v>
      </c>
      <c r="DC158" s="434">
        <f t="shared" si="170"/>
        <v>-4362.3941186836428</v>
      </c>
      <c r="DE158" s="420">
        <f t="shared" si="144"/>
        <v>6.9000000000000006E-2</v>
      </c>
      <c r="DF158" s="420">
        <f t="shared" si="145"/>
        <v>8.9395292808457358E-2</v>
      </c>
      <c r="DG158" s="420">
        <f t="shared" si="146"/>
        <v>6.9000000000000006E-2</v>
      </c>
      <c r="DH158" s="420">
        <f t="shared" si="147"/>
        <v>8.9019919321185137E-2</v>
      </c>
      <c r="DI158" s="353"/>
      <c r="DJ158" s="353"/>
      <c r="DK158" s="353"/>
      <c r="DL158" s="353"/>
      <c r="DM158" s="353"/>
      <c r="DN158" s="353"/>
      <c r="DO158" s="353"/>
      <c r="DP158" s="353"/>
      <c r="DQ158" s="353"/>
      <c r="DR158" s="353"/>
      <c r="DS158" s="353"/>
      <c r="DT158" s="353"/>
      <c r="DU158" s="353"/>
      <c r="DV158" s="353"/>
      <c r="DW158" s="353"/>
      <c r="DX158" s="353"/>
      <c r="DY158" s="353"/>
      <c r="DZ158" s="353"/>
      <c r="EA158" s="353"/>
      <c r="EB158" s="353"/>
      <c r="EC158" s="353"/>
      <c r="ED158" s="353"/>
      <c r="EE158" s="353"/>
      <c r="EF158" s="353"/>
      <c r="EG158" s="353"/>
      <c r="EH158" s="353"/>
      <c r="EI158" s="353"/>
      <c r="EJ158" s="353"/>
      <c r="EK158" s="353"/>
      <c r="EL158" s="353"/>
      <c r="EM158" s="353"/>
      <c r="EN158" s="353"/>
      <c r="EO158" s="353"/>
      <c r="EP158" s="353"/>
      <c r="EQ158" s="353"/>
      <c r="ER158" s="353"/>
      <c r="ES158" s="353"/>
      <c r="ET158" s="353"/>
      <c r="EU158" s="353"/>
      <c r="EV158" s="353"/>
      <c r="EW158" s="353"/>
      <c r="EX158" s="353"/>
      <c r="EY158" s="353"/>
      <c r="EZ158" s="353"/>
      <c r="FA158" s="353"/>
      <c r="FB158" s="353"/>
      <c r="FC158" s="353"/>
      <c r="FD158" s="353"/>
      <c r="FE158" s="353"/>
      <c r="FF158" s="353"/>
      <c r="FG158" s="353"/>
      <c r="FH158" s="353"/>
      <c r="FI158" s="353"/>
      <c r="FJ158" s="353"/>
      <c r="FK158" s="353"/>
      <c r="FL158" s="353"/>
      <c r="FM158" s="353"/>
      <c r="FN158" s="353"/>
      <c r="FO158" s="353"/>
      <c r="FP158" s="353"/>
      <c r="FQ158" s="353"/>
    </row>
    <row r="159" spans="1:173" s="351" customFormat="1" hidden="1">
      <c r="A159" s="430" t="s">
        <v>46</v>
      </c>
      <c r="B159" s="351">
        <v>2019</v>
      </c>
      <c r="C159" s="411" t="s">
        <v>47</v>
      </c>
      <c r="F159" s="370"/>
      <c r="G159" s="435"/>
      <c r="H159" s="412">
        <f>'RGGI - Invest Amort deferred'!AI108</f>
        <v>0</v>
      </c>
      <c r="I159" s="412">
        <f>'RGGI - Invest Amort deferred'!AI108</f>
        <v>0</v>
      </c>
      <c r="J159" s="413">
        <f>'RGGI - Invest Amort deferred'!BL108</f>
        <v>0</v>
      </c>
      <c r="K159" s="435"/>
      <c r="L159" s="414">
        <f>'RGGI II Invest Amort Def'!AI96</f>
        <v>0</v>
      </c>
      <c r="M159" s="414">
        <f>'RGGI II Invest Amort Def'!AI96</f>
        <v>0</v>
      </c>
      <c r="N159" s="413">
        <f>'RGGI II Invest Amort Def'!BK96</f>
        <v>0</v>
      </c>
      <c r="O159" s="435"/>
      <c r="P159" s="425">
        <f>'2013 program Invest Amort Def'!AY78</f>
        <v>1327442.3298333213</v>
      </c>
      <c r="Q159" s="425">
        <f>'2013 program Invest Amort Def'!AY78</f>
        <v>1327442.3298333213</v>
      </c>
      <c r="R159" s="425">
        <f>'2013 program Invest Amort Def'!CQ78</f>
        <v>-373144.03891614568</v>
      </c>
      <c r="S159" s="373">
        <f t="shared" si="156"/>
        <v>954298.29091717559</v>
      </c>
      <c r="T159" s="435"/>
      <c r="U159" s="414">
        <f>'2015 Program Invest Amort Def'!BT53</f>
        <v>3000728.4866666659</v>
      </c>
      <c r="V159" s="414">
        <f>'2015 Program Invest Amort Def'!BT53</f>
        <v>3000728.4866666659</v>
      </c>
      <c r="W159" s="414">
        <f>'2015 Program Invest Amort Def'!EG53</f>
        <v>-821527.44260199973</v>
      </c>
      <c r="X159" s="373">
        <f t="shared" si="157"/>
        <v>2179201.0440646661</v>
      </c>
      <c r="Y159" s="435"/>
      <c r="Z159" s="394">
        <v>18398386.52</v>
      </c>
      <c r="AA159" s="480">
        <v>1.2500000000000001E-2</v>
      </c>
      <c r="AB159" s="439">
        <f t="shared" si="154"/>
        <v>229979.8315</v>
      </c>
      <c r="AO159" s="439">
        <f>'RGGI - Invest Amort deferred'!AG108+'RGGI CHP'!V63</f>
        <v>12500</v>
      </c>
      <c r="AQ159" s="412">
        <f>(H159+J159)*'Capital Structure '!$F$21/12</f>
        <v>0</v>
      </c>
      <c r="AR159" s="412">
        <f>(H159+J159)*'Capital Structure '!$E$34/12</f>
        <v>0</v>
      </c>
      <c r="AS159" s="412">
        <f>(H159+J159)*'Capital Structure '!$F$18/12</f>
        <v>0</v>
      </c>
      <c r="AT159" s="412">
        <f>'RGGI - On-bill financing'!J108*'Capital Structure '!$P$34/12</f>
        <v>1221.1759396500199</v>
      </c>
      <c r="AU159" s="412">
        <f>'RGGI - On-bill financing'!J108*('Capital Structure '!$F$18+'Capital Structure '!$F$21)/12</f>
        <v>4732.0887296345072</v>
      </c>
      <c r="AV159" s="415">
        <f t="shared" si="158"/>
        <v>5953.2646692845274</v>
      </c>
      <c r="AX159" s="415">
        <v>0</v>
      </c>
      <c r="AY159" s="431">
        <f t="shared" si="159"/>
        <v>18453.264669284526</v>
      </c>
      <c r="BA159" s="412">
        <f>'RGGI II Invest Amort Def'!AG96</f>
        <v>0</v>
      </c>
      <c r="BC159" s="412">
        <f>(L159+N159)*'Capital Structure '!$H$21/12</f>
        <v>0</v>
      </c>
      <c r="BD159" s="412">
        <f>(L159+N159)*'Capital Structure '!$W$34/12</f>
        <v>0</v>
      </c>
      <c r="BE159" s="412">
        <f>(L159+N159)*'Capital Structure '!$H$18/12</f>
        <v>0</v>
      </c>
      <c r="BF159" s="412">
        <f>'RGGI II On Bill Fin''g'!L96*'Capital Structure '!$W$34/12</f>
        <v>5072.9463455351524</v>
      </c>
      <c r="BG159" s="412">
        <f>'RGGI II On Bill Fin''g'!L96*('Capital Structure '!$H$18+'Capital Structure '!$H$21)/12</f>
        <v>17462.025279998677</v>
      </c>
      <c r="BH159" s="415">
        <f t="shared" si="160"/>
        <v>22534.971625533828</v>
      </c>
      <c r="BJ159" s="437">
        <v>0</v>
      </c>
      <c r="BK159" s="431">
        <f t="shared" si="161"/>
        <v>22534.971625533828</v>
      </c>
      <c r="BM159" s="412">
        <f>'2013 program Invest Amort Def'!AW78</f>
        <v>187956.29566666667</v>
      </c>
      <c r="BO159" s="412">
        <f>(S159)*'Capital Structure '!$J$21/12</f>
        <v>1339.1986015871032</v>
      </c>
      <c r="BP159" s="412">
        <f>(S159)*'Capital Structure '!$V$34/12</f>
        <v>1621.9327558221848</v>
      </c>
      <c r="BQ159" s="412">
        <f>(S159)*'Capital Structure '!$J$18/12</f>
        <v>4148.0165711866566</v>
      </c>
      <c r="BR159" s="412">
        <f>('2013 program 10 yr On Bill Fin'!M78+'2013 program 5 yr On Bill Fin'!L76+'2013 program 2 yr On Bill Fin'!M66)*'Capital Structure '!$V$34/12</f>
        <v>30279.171824552497</v>
      </c>
      <c r="BS159" s="412">
        <f>('2013 program 10 yr On Bill Fin'!M78+'2013 program 5 yr On Bill Fin'!L76+'2013 program 2 yr On Bill Fin'!M66)*('Capital Structure '!$J$18+'Capital Structure '!$J$21)/12</f>
        <v>102438.48301249999</v>
      </c>
      <c r="BT159" s="431">
        <f t="shared" si="162"/>
        <v>139826.80276564843</v>
      </c>
      <c r="BV159" s="438">
        <v>0</v>
      </c>
      <c r="BW159" s="431">
        <f t="shared" si="155"/>
        <v>327783.09843231511</v>
      </c>
      <c r="BY159" s="412">
        <f>'2015 Program Invest Amort Def'!BR53</f>
        <v>117056.19516666663</v>
      </c>
      <c r="CA159" s="412">
        <f>X159*'Capital Structure '!$N$21/12</f>
        <v>3232.4815486959214</v>
      </c>
      <c r="CB159" s="412">
        <f>(X159)*'Capital Structure '!$P$34/12</f>
        <v>3635.6190905680869</v>
      </c>
      <c r="CC159" s="412">
        <f>(X159)*'Capital Structure '!$N$18/12</f>
        <v>9297.9244546759091</v>
      </c>
      <c r="CD159" s="412">
        <f>('2015 Program 10-Year OBRP'!P53+'2015 Program 7-Year OBRP'!M53+'2015 Program 5-Year OBRP'!K53+'2015 Program 3-Year OBRP'!K53)*('Capital Structure '!$P$34/12)</f>
        <v>42201.506714938929</v>
      </c>
      <c r="CE159" s="412">
        <f>('2015 Program 10-Year OBRP'!P53+'2015 Program 7-Year OBRP'!M53+'2015 Program 5-Year OBRP'!K53+'2015 Program 3-Year OBRP'!K53)*(('Capital Structure '!$N$21/12)+('Capital Structure '!$N$18/12))</f>
        <v>145450.33457000001</v>
      </c>
      <c r="CF159" s="431">
        <f t="shared" si="163"/>
        <v>203817.86637887885</v>
      </c>
      <c r="CG159" s="373">
        <f>-20024.07+470.27</f>
        <v>-19553.8</v>
      </c>
      <c r="CJ159" s="431">
        <f t="shared" si="164"/>
        <v>301320.26154554548</v>
      </c>
      <c r="CK159" s="431"/>
      <c r="CL159" s="431">
        <f>'2018 SUMMARY'!Q33</f>
        <v>74777.00392857143</v>
      </c>
      <c r="CM159" s="431"/>
      <c r="CN159" s="431">
        <f>'2018 SUMMARY'!S33</f>
        <v>7087.8182446724377</v>
      </c>
      <c r="CO159" s="431">
        <f>'2018 SUMMARY'!T33</f>
        <v>9009.7314325068073</v>
      </c>
      <c r="CP159" s="431">
        <f>'2018 SUMMARY'!U33</f>
        <v>23041.963453678916</v>
      </c>
      <c r="CQ159" s="431">
        <f>'2018 SUMMARY'!V33</f>
        <v>8101.8808069165343</v>
      </c>
      <c r="CR159" s="431">
        <f>'2018 SUMMARY'!W33</f>
        <v>27093.80428119365</v>
      </c>
      <c r="CS159" s="431">
        <f t="shared" si="165"/>
        <v>74335.198218968348</v>
      </c>
      <c r="CT159" s="431">
        <v>-470.27</v>
      </c>
      <c r="CU159" s="431"/>
      <c r="CV159" s="431">
        <v>39582</v>
      </c>
      <c r="CW159" s="431">
        <f t="shared" si="166"/>
        <v>188223.93214753977</v>
      </c>
      <c r="CY159" s="412">
        <f t="shared" si="167"/>
        <v>628335.69692021876</v>
      </c>
      <c r="CZ159" s="412">
        <f t="shared" si="168"/>
        <v>-1869451.9918089812</v>
      </c>
      <c r="DA159" s="412">
        <f t="shared" si="169"/>
        <v>-1569804.3031694491</v>
      </c>
      <c r="DB159" s="417">
        <f t="shared" si="171"/>
        <v>2.5999999999999999E-2</v>
      </c>
      <c r="DC159" s="434">
        <f t="shared" si="170"/>
        <v>-3401.2426568671394</v>
      </c>
      <c r="DE159" s="420">
        <f t="shared" si="144"/>
        <v>6.9000000000000006E-2</v>
      </c>
      <c r="DF159" s="420">
        <f t="shared" si="145"/>
        <v>8.9395292808457372E-2</v>
      </c>
      <c r="DG159" s="420">
        <f t="shared" si="146"/>
        <v>6.9000000000000006E-2</v>
      </c>
      <c r="DH159" s="420">
        <f t="shared" si="147"/>
        <v>8.9019919321185137E-2</v>
      </c>
      <c r="DI159" s="353"/>
      <c r="DJ159" s="353"/>
      <c r="DK159" s="353"/>
      <c r="DL159" s="353"/>
      <c r="DM159" s="353"/>
      <c r="DN159" s="353"/>
      <c r="DO159" s="353"/>
      <c r="DP159" s="353"/>
      <c r="DQ159" s="353"/>
      <c r="DR159" s="353"/>
      <c r="DS159" s="353"/>
      <c r="DT159" s="353"/>
      <c r="DU159" s="353"/>
      <c r="DV159" s="353"/>
      <c r="DW159" s="353"/>
      <c r="DX159" s="353"/>
      <c r="DY159" s="353"/>
      <c r="DZ159" s="353"/>
      <c r="EA159" s="353"/>
      <c r="EB159" s="353"/>
      <c r="EC159" s="353"/>
      <c r="ED159" s="353"/>
      <c r="EE159" s="353"/>
      <c r="EF159" s="353"/>
      <c r="EG159" s="353"/>
      <c r="EH159" s="353"/>
      <c r="EI159" s="353"/>
      <c r="EJ159" s="353"/>
      <c r="EK159" s="353"/>
      <c r="EL159" s="353"/>
      <c r="EM159" s="353"/>
      <c r="EN159" s="353"/>
      <c r="EO159" s="353"/>
      <c r="EP159" s="353"/>
      <c r="EQ159" s="353"/>
      <c r="ER159" s="353"/>
      <c r="ES159" s="353"/>
      <c r="ET159" s="353"/>
      <c r="EU159" s="353"/>
      <c r="EV159" s="353"/>
      <c r="EW159" s="353"/>
      <c r="EX159" s="353"/>
      <c r="EY159" s="353"/>
      <c r="EZ159" s="353"/>
      <c r="FA159" s="353"/>
      <c r="FB159" s="353"/>
      <c r="FC159" s="353"/>
      <c r="FD159" s="353"/>
      <c r="FE159" s="353"/>
      <c r="FF159" s="353"/>
      <c r="FG159" s="353"/>
      <c r="FH159" s="353"/>
      <c r="FI159" s="353"/>
      <c r="FJ159" s="353"/>
      <c r="FK159" s="353"/>
      <c r="FL159" s="353"/>
      <c r="FM159" s="353"/>
      <c r="FN159" s="353"/>
      <c r="FO159" s="353"/>
      <c r="FP159" s="353"/>
      <c r="FQ159" s="353"/>
    </row>
    <row r="160" spans="1:173" s="351" customFormat="1" hidden="1">
      <c r="A160" s="430" t="s">
        <v>48</v>
      </c>
      <c r="B160" s="351">
        <v>2019</v>
      </c>
      <c r="C160" s="411" t="s">
        <v>47</v>
      </c>
      <c r="F160" s="370"/>
      <c r="G160" s="435"/>
      <c r="H160" s="412">
        <f>'RGGI - Invest Amort deferred'!AI109</f>
        <v>0</v>
      </c>
      <c r="I160" s="412">
        <f>'RGGI - Invest Amort deferred'!AI109</f>
        <v>0</v>
      </c>
      <c r="J160" s="413">
        <f>'RGGI - Invest Amort deferred'!BL109</f>
        <v>0</v>
      </c>
      <c r="K160" s="435"/>
      <c r="L160" s="414">
        <f>'RGGI II Invest Amort Def'!AI97</f>
        <v>0</v>
      </c>
      <c r="M160" s="414">
        <f>'RGGI II Invest Amort Def'!AI97</f>
        <v>0</v>
      </c>
      <c r="N160" s="413">
        <f>'RGGI II Invest Amort Def'!BK97</f>
        <v>0</v>
      </c>
      <c r="O160" s="435"/>
      <c r="P160" s="425">
        <f>'2013 program Invest Amort Def'!AY79</f>
        <v>1155984.0341666564</v>
      </c>
      <c r="Q160" s="425">
        <f>'2013 program Invest Amort Def'!AY79</f>
        <v>1155984.0341666564</v>
      </c>
      <c r="R160" s="425">
        <f>'2013 program Invest Amort Def'!CQ79</f>
        <v>-324947.11200424569</v>
      </c>
      <c r="S160" s="373">
        <f t="shared" si="156"/>
        <v>831036.9221624108</v>
      </c>
      <c r="T160" s="435"/>
      <c r="U160" s="414">
        <f>'2015 Program Invest Amort Def'!BT54</f>
        <v>2883672.2914999994</v>
      </c>
      <c r="V160" s="414">
        <f>'2015 Program Invest Amort Def'!BT54</f>
        <v>2883672.2914999994</v>
      </c>
      <c r="W160" s="414">
        <f>'2015 Program Invest Amort Def'!EG54</f>
        <v>-796908.36864064971</v>
      </c>
      <c r="X160" s="397">
        <f t="shared" si="157"/>
        <v>2086763.9228593498</v>
      </c>
      <c r="Y160" s="435"/>
      <c r="Z160" s="481">
        <v>17965816.859999999</v>
      </c>
      <c r="AA160" s="480">
        <v>1.2500000000000001E-2</v>
      </c>
      <c r="AB160" s="482">
        <f t="shared" si="154"/>
        <v>224572.71075</v>
      </c>
      <c r="AO160" s="482">
        <f>'RGGI - Invest Amort deferred'!AG109+'RGGI CHP'!V64</f>
        <v>12500</v>
      </c>
      <c r="AQ160" s="424">
        <f>(H160+J160)*'Capital Structure '!$F$21/12</f>
        <v>0</v>
      </c>
      <c r="AR160" s="424">
        <f>(H160+J160)*'Capital Structure '!$E$34/12</f>
        <v>0</v>
      </c>
      <c r="AS160" s="424">
        <f>(H160+J160)*'Capital Structure '!$F$18/12</f>
        <v>0</v>
      </c>
      <c r="AT160" s="424">
        <f>'RGGI - On-bill financing'!J109*'Capital Structure '!$P$34/12</f>
        <v>1169.8911292073992</v>
      </c>
      <c r="AU160" s="424">
        <f>'RGGI - On-bill financing'!J109*('Capital Structure '!$F$18+'Capital Structure '!$F$21)/12</f>
        <v>4533.358746822596</v>
      </c>
      <c r="AV160" s="440">
        <f t="shared" si="158"/>
        <v>5703.249876029995</v>
      </c>
      <c r="AX160" s="440">
        <v>0</v>
      </c>
      <c r="AY160" s="441">
        <f t="shared" si="159"/>
        <v>18203.249876029993</v>
      </c>
      <c r="BA160" s="424">
        <f>'RGGI II Invest Amort Def'!AG97</f>
        <v>0</v>
      </c>
      <c r="BC160" s="424">
        <f>(L160+N160)*'Capital Structure '!$H$21/12</f>
        <v>0</v>
      </c>
      <c r="BD160" s="424">
        <f>(L160+N160)*'Capital Structure '!$W$34/12</f>
        <v>0</v>
      </c>
      <c r="BE160" s="424">
        <f>(L160+N160)*'Capital Structure '!$H$18/12</f>
        <v>0</v>
      </c>
      <c r="BF160" s="424">
        <f>'RGGI II On Bill Fin''g'!L97*'Capital Structure '!$W$34/12</f>
        <v>4916.3170192241569</v>
      </c>
      <c r="BG160" s="424">
        <f>'RGGI II On Bill Fin''g'!L97*('Capital Structure '!$H$18+'Capital Structure '!$H$21)/12</f>
        <v>16922.877993720165</v>
      </c>
      <c r="BH160" s="440">
        <f t="shared" si="160"/>
        <v>21839.195012944321</v>
      </c>
      <c r="BJ160" s="442">
        <v>0</v>
      </c>
      <c r="BK160" s="441">
        <f t="shared" si="161"/>
        <v>21839.195012944321</v>
      </c>
      <c r="BM160" s="424">
        <f>'2013 program Invest Amort Def'!AW79</f>
        <v>171458.29566666667</v>
      </c>
      <c r="BO160" s="424">
        <f>(S160)*'Capital Structure '!$J$21/12</f>
        <v>1166.2218141012499</v>
      </c>
      <c r="BP160" s="424">
        <f>(S160)*'Capital Structure '!$V$34/12</f>
        <v>1412.4367801784629</v>
      </c>
      <c r="BQ160" s="424">
        <f>(S160)*'Capital Structure '!$J$18/12</f>
        <v>3612.2404883326121</v>
      </c>
      <c r="BR160" s="424">
        <f>('2013 program 10 yr On Bill Fin'!M79+'2013 program 5 yr On Bill Fin'!L77+'2013 program 2 yr On Bill Fin'!M67)*'Capital Structure '!$V$34/12</f>
        <v>29627.827243539283</v>
      </c>
      <c r="BS160" s="424">
        <f>('2013 program 10 yr On Bill Fin'!M79+'2013 program 5 yr On Bill Fin'!L77+'2013 program 2 yr On Bill Fin'!M67)*('Capital Structure '!$J$18+'Capital Structure '!$J$21)/12</f>
        <v>100234.89728749999</v>
      </c>
      <c r="BT160" s="441">
        <f t="shared" si="162"/>
        <v>136053.62361365161</v>
      </c>
      <c r="BV160" s="443">
        <v>0</v>
      </c>
      <c r="BW160" s="441">
        <f t="shared" si="155"/>
        <v>307511.91928031831</v>
      </c>
      <c r="BY160" s="424">
        <f>'2015 Program Invest Amort Def'!BR54</f>
        <v>117056.19516666663</v>
      </c>
      <c r="CA160" s="424">
        <f>X160*'Capital Structure '!$N$21/12</f>
        <v>3095.3664855747024</v>
      </c>
      <c r="CB160" s="424">
        <f>(X160)*'Capital Structure '!$P$34/12</f>
        <v>3481.4037815003335</v>
      </c>
      <c r="CC160" s="424">
        <f>(X160)*'Capital Structure '!$N$18/12</f>
        <v>8903.5260708665592</v>
      </c>
      <c r="CD160" s="424">
        <f>('2015 Program 10-Year OBRP'!P54+'2015 Program 7-Year OBRP'!M54+'2015 Program 5-Year OBRP'!K54+'2015 Program 3-Year OBRP'!K54)*('Capital Structure '!$P$34/12)</f>
        <v>41422.256713926268</v>
      </c>
      <c r="CE160" s="424">
        <f>('2015 Program 10-Year OBRP'!P54+'2015 Program 7-Year OBRP'!M54+'2015 Program 5-Year OBRP'!K54+'2015 Program 3-Year OBRP'!K54)*(('Capital Structure '!$N$21/12)+('Capital Structure '!$N$18/12))</f>
        <v>142764.59696999998</v>
      </c>
      <c r="CF160" s="441">
        <f t="shared" si="163"/>
        <v>199667.15002186786</v>
      </c>
      <c r="CG160" s="373">
        <f>-18495.12+1074.9</f>
        <v>-17420.219999999998</v>
      </c>
      <c r="CI160" s="444"/>
      <c r="CJ160" s="441">
        <f t="shared" si="164"/>
        <v>299303.1251885345</v>
      </c>
      <c r="CK160" s="431"/>
      <c r="CL160" s="441">
        <f>'2018 SUMMARY'!Q34</f>
        <v>84192.015595238088</v>
      </c>
      <c r="CM160" s="431"/>
      <c r="CN160" s="441">
        <f>'2018 SUMMARY'!S34</f>
        <v>7828.7377423323569</v>
      </c>
      <c r="CO160" s="441">
        <f>'2018 SUMMARY'!T34</f>
        <v>9951.5566115090132</v>
      </c>
      <c r="CP160" s="441">
        <f>'2018 SUMMARY'!U34</f>
        <v>25450.636954869547</v>
      </c>
      <c r="CQ160" s="441">
        <f>'2018 SUMMARY'!V34</f>
        <v>10651.217270714005</v>
      </c>
      <c r="CR160" s="441">
        <f>'2018 SUMMARY'!W34</f>
        <v>35619.136218695523</v>
      </c>
      <c r="CS160" s="441">
        <f t="shared" si="165"/>
        <v>89501.28479812044</v>
      </c>
      <c r="CT160" s="441">
        <v>-1074.9000000000001</v>
      </c>
      <c r="CU160" s="431"/>
      <c r="CV160" s="441">
        <v>65408</v>
      </c>
      <c r="CW160" s="441">
        <f t="shared" si="166"/>
        <v>238026.40039335855</v>
      </c>
      <c r="CY160" s="412">
        <f t="shared" si="167"/>
        <v>660311.17900118569</v>
      </c>
      <c r="CZ160" s="412">
        <f t="shared" si="168"/>
        <v>-1209140.8128077956</v>
      </c>
      <c r="DA160" s="412">
        <f t="shared" si="169"/>
        <v>-1106600.1836195004</v>
      </c>
      <c r="DB160" s="417">
        <f t="shared" si="171"/>
        <v>2.5999999999999999E-2</v>
      </c>
      <c r="DC160" s="432">
        <f t="shared" si="170"/>
        <v>-2397.6337311755838</v>
      </c>
      <c r="DE160" s="420">
        <f t="shared" si="144"/>
        <v>6.8999999999999992E-2</v>
      </c>
      <c r="DF160" s="420">
        <f t="shared" si="145"/>
        <v>8.9395292808457358E-2</v>
      </c>
      <c r="DG160" s="420">
        <f t="shared" si="146"/>
        <v>6.9000000000000006E-2</v>
      </c>
      <c r="DH160" s="420">
        <f t="shared" si="147"/>
        <v>8.9019919321185151E-2</v>
      </c>
      <c r="DI160" s="353"/>
      <c r="DJ160" s="353"/>
      <c r="DK160" s="353"/>
      <c r="DL160" s="353"/>
      <c r="DM160" s="353"/>
      <c r="DN160" s="353"/>
      <c r="DO160" s="353"/>
      <c r="DP160" s="353"/>
      <c r="DQ160" s="353"/>
      <c r="DR160" s="353"/>
      <c r="DS160" s="353"/>
      <c r="DT160" s="353"/>
      <c r="DU160" s="353"/>
      <c r="DV160" s="353"/>
      <c r="DW160" s="353"/>
      <c r="DX160" s="353"/>
      <c r="DY160" s="353"/>
      <c r="DZ160" s="353"/>
      <c r="EA160" s="353"/>
      <c r="EB160" s="353"/>
      <c r="EC160" s="353"/>
      <c r="ED160" s="353"/>
      <c r="EE160" s="353"/>
      <c r="EF160" s="353"/>
      <c r="EG160" s="353"/>
      <c r="EH160" s="353"/>
      <c r="EI160" s="353"/>
      <c r="EJ160" s="353"/>
      <c r="EK160" s="353"/>
      <c r="EL160" s="353"/>
      <c r="EM160" s="353"/>
      <c r="EN160" s="353"/>
      <c r="EO160" s="353"/>
      <c r="EP160" s="353"/>
      <c r="EQ160" s="353"/>
      <c r="ER160" s="353"/>
      <c r="ES160" s="353"/>
      <c r="ET160" s="353"/>
      <c r="EU160" s="353"/>
      <c r="EV160" s="353"/>
      <c r="EW160" s="353"/>
      <c r="EX160" s="353"/>
      <c r="EY160" s="353"/>
      <c r="EZ160" s="353"/>
      <c r="FA160" s="353"/>
      <c r="FB160" s="353"/>
      <c r="FC160" s="353"/>
      <c r="FD160" s="353"/>
      <c r="FE160" s="353"/>
      <c r="FF160" s="353"/>
      <c r="FG160" s="353"/>
      <c r="FH160" s="353"/>
      <c r="FI160" s="353"/>
      <c r="FJ160" s="353"/>
      <c r="FK160" s="353"/>
      <c r="FL160" s="353"/>
      <c r="FM160" s="353"/>
      <c r="FN160" s="353"/>
      <c r="FO160" s="353"/>
      <c r="FP160" s="353"/>
      <c r="FQ160" s="353"/>
    </row>
    <row r="161" spans="1:173" s="351" customFormat="1" hidden="1">
      <c r="F161" s="370"/>
      <c r="G161" s="435"/>
      <c r="H161" s="435"/>
      <c r="I161" s="435"/>
      <c r="J161" s="435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5"/>
      <c r="Y161" s="435"/>
      <c r="Z161" s="397">
        <f>SUM(Z149:Z160)</f>
        <v>709210265.40999997</v>
      </c>
      <c r="AA161" s="435"/>
      <c r="AB161" s="390">
        <f>SUM(AB149:AB160)</f>
        <v>11615577.579937</v>
      </c>
      <c r="AO161" s="390">
        <f>SUM(AO149:AO160)</f>
        <v>150000</v>
      </c>
      <c r="AQ161" s="384">
        <f t="shared" ref="AQ161:AV161" si="172">SUM(AQ149:AQ160)</f>
        <v>0</v>
      </c>
      <c r="AR161" s="384">
        <f t="shared" si="172"/>
        <v>0</v>
      </c>
      <c r="AS161" s="384">
        <f t="shared" si="172"/>
        <v>0</v>
      </c>
      <c r="AT161" s="384">
        <f t="shared" si="172"/>
        <v>17595.644845117811</v>
      </c>
      <c r="AU161" s="384">
        <f t="shared" si="172"/>
        <v>68183.58432945906</v>
      </c>
      <c r="AV161" s="390">
        <f t="shared" si="172"/>
        <v>85779.22917457686</v>
      </c>
      <c r="AX161" s="390">
        <f>SUM(AX149:AX160)</f>
        <v>0</v>
      </c>
      <c r="AY161" s="390">
        <f>SUM(AY149:AY160)</f>
        <v>235779.22917457682</v>
      </c>
      <c r="BA161" s="384">
        <f>SUM(BA149:BA160)</f>
        <v>0</v>
      </c>
      <c r="BC161" s="384">
        <f t="shared" ref="BC161:BH161" si="173">SUM(BC149:BC160)</f>
        <v>0</v>
      </c>
      <c r="BD161" s="384">
        <f t="shared" si="173"/>
        <v>0</v>
      </c>
      <c r="BE161" s="384">
        <f t="shared" si="173"/>
        <v>0</v>
      </c>
      <c r="BF161" s="384">
        <f t="shared" si="173"/>
        <v>69164.504599948821</v>
      </c>
      <c r="BG161" s="384">
        <f t="shared" si="173"/>
        <v>238077.09475694911</v>
      </c>
      <c r="BH161" s="390">
        <f t="shared" si="173"/>
        <v>307241.59935689793</v>
      </c>
      <c r="BJ161" s="437">
        <f>SUM(BJ149:BJ160)</f>
        <v>0</v>
      </c>
      <c r="BK161" s="431">
        <f>SUM(BK149:BK160)</f>
        <v>307241.59935689793</v>
      </c>
      <c r="BM161" s="384">
        <f>SUM(BM149:BM160)</f>
        <v>2993027.8289999994</v>
      </c>
      <c r="BO161" s="384">
        <f t="shared" ref="BO161:BT161" si="174">SUM(BO149:BO160)</f>
        <v>28406.61342308623</v>
      </c>
      <c r="BP161" s="384">
        <f t="shared" si="174"/>
        <v>34403.871642547434</v>
      </c>
      <c r="BQ161" s="384">
        <f t="shared" si="174"/>
        <v>87986.280056305099</v>
      </c>
      <c r="BR161" s="384">
        <f t="shared" si="174"/>
        <v>402195.21284885507</v>
      </c>
      <c r="BS161" s="384">
        <f t="shared" si="174"/>
        <v>1360680.1308124999</v>
      </c>
      <c r="BT161" s="390">
        <f t="shared" si="174"/>
        <v>1913672.1087832935</v>
      </c>
      <c r="BV161" s="446">
        <f>SUM(BV149:BV160)</f>
        <v>0</v>
      </c>
      <c r="BW161" s="390">
        <f>SUM(BW149:BW160)</f>
        <v>4906699.9377832934</v>
      </c>
      <c r="BY161" s="384">
        <f>SUM(BY149:BY160)</f>
        <v>1394932.6753333327</v>
      </c>
      <c r="CA161" s="384">
        <f t="shared" ref="CA161:CG161" si="175">SUM(CA149:CA160)</f>
        <v>45981.270347246922</v>
      </c>
      <c r="CB161" s="384">
        <f t="shared" si="175"/>
        <v>51715.804642555398</v>
      </c>
      <c r="CC161" s="384">
        <f t="shared" si="175"/>
        <v>132260.73268421588</v>
      </c>
      <c r="CD161" s="384">
        <f t="shared" si="175"/>
        <v>523568.894962486</v>
      </c>
      <c r="CE161" s="384">
        <f t="shared" si="175"/>
        <v>1804515.4514774997</v>
      </c>
      <c r="CF161" s="384">
        <f t="shared" si="175"/>
        <v>2558042.1541140038</v>
      </c>
      <c r="CG161" s="384">
        <f t="shared" si="175"/>
        <v>-205377.08</v>
      </c>
      <c r="CI161" s="384">
        <f>SUM(CI149:CI160)</f>
        <v>1205571</v>
      </c>
      <c r="CJ161" s="384">
        <f>SUM(CJ149:CJ160)</f>
        <v>4953168.7494473364</v>
      </c>
      <c r="CK161" s="384"/>
      <c r="CL161" s="384">
        <f>SUM(CL149:CL160)</f>
        <v>411553.49547619041</v>
      </c>
      <c r="CM161" s="384"/>
      <c r="CN161" s="384">
        <f t="shared" ref="CN161:CT161" si="176">SUM(CN149:CN160)</f>
        <v>40269.502465291916</v>
      </c>
      <c r="CO161" s="384">
        <f t="shared" si="176"/>
        <v>51188.869354213872</v>
      </c>
      <c r="CP161" s="384">
        <f t="shared" si="176"/>
        <v>130913.12052203613</v>
      </c>
      <c r="CQ161" s="384">
        <f t="shared" si="176"/>
        <v>37985.737065700159</v>
      </c>
      <c r="CR161" s="384">
        <f t="shared" si="176"/>
        <v>127029.53179172412</v>
      </c>
      <c r="CS161" s="384">
        <f t="shared" si="176"/>
        <v>387386.76119896618</v>
      </c>
      <c r="CT161" s="384">
        <f t="shared" si="176"/>
        <v>-1607.54</v>
      </c>
      <c r="CU161" s="384"/>
      <c r="CV161" s="384">
        <f>SUM(CV149:CV160)</f>
        <v>575688</v>
      </c>
      <c r="CW161" s="384">
        <f>SUM(CW149:CW160)</f>
        <v>1373020.7166751567</v>
      </c>
      <c r="DB161" s="409"/>
      <c r="DC161" s="384">
        <f>SUM(DC149:DC160)</f>
        <v>-55577.346059145813</v>
      </c>
      <c r="DE161" s="420"/>
      <c r="DF161" s="420"/>
      <c r="DG161" s="420"/>
      <c r="DH161" s="420"/>
      <c r="DI161" s="353"/>
      <c r="DJ161" s="353"/>
      <c r="DK161" s="353"/>
      <c r="DL161" s="353"/>
      <c r="DM161" s="353"/>
      <c r="DN161" s="353"/>
      <c r="DO161" s="353"/>
      <c r="DP161" s="353"/>
      <c r="DQ161" s="353"/>
      <c r="DR161" s="353"/>
      <c r="DS161" s="353"/>
      <c r="DT161" s="353"/>
      <c r="DU161" s="353"/>
      <c r="DV161" s="353"/>
      <c r="DW161" s="353"/>
      <c r="DX161" s="353"/>
      <c r="DY161" s="353"/>
      <c r="DZ161" s="353"/>
      <c r="EA161" s="353"/>
      <c r="EB161" s="353"/>
      <c r="EC161" s="353"/>
      <c r="ED161" s="353"/>
      <c r="EE161" s="353"/>
      <c r="EF161" s="353"/>
      <c r="EG161" s="353"/>
      <c r="EH161" s="353"/>
      <c r="EI161" s="353"/>
      <c r="EJ161" s="353"/>
      <c r="EK161" s="353"/>
      <c r="EL161" s="353"/>
      <c r="EM161" s="353"/>
      <c r="EN161" s="353"/>
      <c r="EO161" s="353"/>
      <c r="EP161" s="353"/>
      <c r="EQ161" s="353"/>
      <c r="ER161" s="353"/>
      <c r="ES161" s="353"/>
      <c r="ET161" s="353"/>
      <c r="EU161" s="353"/>
      <c r="EV161" s="353"/>
      <c r="EW161" s="353"/>
      <c r="EX161" s="353"/>
      <c r="EY161" s="353"/>
      <c r="EZ161" s="353"/>
      <c r="FA161" s="353"/>
      <c r="FB161" s="353"/>
      <c r="FC161" s="353"/>
      <c r="FD161" s="353"/>
      <c r="FE161" s="353"/>
      <c r="FF161" s="353"/>
      <c r="FG161" s="353"/>
      <c r="FH161" s="353"/>
      <c r="FI161" s="353"/>
      <c r="FJ161" s="353"/>
      <c r="FK161" s="353"/>
      <c r="FL161" s="353"/>
      <c r="FM161" s="353"/>
      <c r="FN161" s="353"/>
      <c r="FO161" s="353"/>
      <c r="FP161" s="353"/>
      <c r="FQ161" s="353"/>
    </row>
    <row r="162" spans="1:173" s="351" customFormat="1" hidden="1">
      <c r="F162" s="370"/>
      <c r="G162" s="435"/>
      <c r="H162" s="435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5"/>
      <c r="Y162" s="435"/>
      <c r="Z162" s="435"/>
      <c r="AA162" s="435"/>
      <c r="DB162" s="409"/>
      <c r="DE162" s="420"/>
      <c r="DF162" s="420"/>
      <c r="DG162" s="420"/>
      <c r="DH162" s="420"/>
      <c r="DI162" s="353"/>
      <c r="DJ162" s="353"/>
      <c r="DK162" s="353"/>
      <c r="DL162" s="353"/>
      <c r="DM162" s="353"/>
      <c r="DN162" s="353"/>
      <c r="DO162" s="353"/>
      <c r="DP162" s="353"/>
      <c r="DQ162" s="353"/>
      <c r="DR162" s="353"/>
      <c r="DS162" s="353"/>
      <c r="DT162" s="353"/>
      <c r="DU162" s="353"/>
      <c r="DV162" s="353"/>
      <c r="DW162" s="353"/>
      <c r="DX162" s="353"/>
      <c r="DY162" s="353"/>
      <c r="DZ162" s="353"/>
      <c r="EA162" s="353"/>
      <c r="EB162" s="353"/>
      <c r="EC162" s="353"/>
      <c r="ED162" s="353"/>
      <c r="EE162" s="353"/>
      <c r="EF162" s="353"/>
      <c r="EG162" s="353"/>
      <c r="EH162" s="353"/>
      <c r="EI162" s="353"/>
      <c r="EJ162" s="353"/>
      <c r="EK162" s="353"/>
      <c r="EL162" s="353"/>
      <c r="EM162" s="353"/>
      <c r="EN162" s="353"/>
      <c r="EO162" s="353"/>
      <c r="EP162" s="353"/>
      <c r="EQ162" s="353"/>
      <c r="ER162" s="353"/>
      <c r="ES162" s="353"/>
      <c r="ET162" s="353"/>
      <c r="EU162" s="353"/>
      <c r="EV162" s="353"/>
      <c r="EW162" s="353"/>
      <c r="EX162" s="353"/>
      <c r="EY162" s="353"/>
      <c r="EZ162" s="353"/>
      <c r="FA162" s="353"/>
      <c r="FB162" s="353"/>
      <c r="FC162" s="353"/>
      <c r="FD162" s="353"/>
      <c r="FE162" s="353"/>
      <c r="FF162" s="353"/>
      <c r="FG162" s="353"/>
      <c r="FH162" s="353"/>
      <c r="FI162" s="353"/>
      <c r="FJ162" s="353"/>
      <c r="FK162" s="353"/>
      <c r="FL162" s="353"/>
      <c r="FM162" s="353"/>
      <c r="FN162" s="353"/>
      <c r="FO162" s="353"/>
      <c r="FP162" s="353"/>
      <c r="FQ162" s="353"/>
    </row>
    <row r="163" spans="1:173" s="351" customFormat="1" ht="30" hidden="1">
      <c r="F163" s="370"/>
      <c r="G163" s="435"/>
      <c r="H163" s="435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5"/>
      <c r="Y163" s="435"/>
      <c r="Z163" s="435"/>
      <c r="AA163" s="435"/>
      <c r="CY163" s="410" t="s">
        <v>49</v>
      </c>
      <c r="CZ163" s="384">
        <f>CZ160+DC161</f>
        <v>-1264718.1588669415</v>
      </c>
      <c r="DB163" s="409"/>
      <c r="DE163" s="420"/>
      <c r="DF163" s="420"/>
      <c r="DG163" s="420"/>
      <c r="DH163" s="420"/>
      <c r="DI163" s="353"/>
      <c r="DJ163" s="353"/>
      <c r="DK163" s="353"/>
      <c r="DL163" s="353"/>
      <c r="DM163" s="353"/>
      <c r="DN163" s="353"/>
      <c r="DO163" s="353"/>
      <c r="DP163" s="353"/>
      <c r="DQ163" s="353"/>
      <c r="DR163" s="353"/>
      <c r="DS163" s="353"/>
      <c r="DT163" s="353"/>
      <c r="DU163" s="353"/>
      <c r="DV163" s="353"/>
      <c r="DW163" s="353"/>
      <c r="DX163" s="353"/>
      <c r="DY163" s="353"/>
      <c r="DZ163" s="353"/>
      <c r="EA163" s="353"/>
      <c r="EB163" s="353"/>
      <c r="EC163" s="353"/>
      <c r="ED163" s="353"/>
      <c r="EE163" s="353"/>
      <c r="EF163" s="353"/>
      <c r="EG163" s="353"/>
      <c r="EH163" s="353"/>
      <c r="EI163" s="353"/>
      <c r="EJ163" s="353"/>
      <c r="EK163" s="353"/>
      <c r="EL163" s="353"/>
      <c r="EM163" s="353"/>
      <c r="EN163" s="353"/>
      <c r="EO163" s="353"/>
      <c r="EP163" s="353"/>
      <c r="EQ163" s="353"/>
      <c r="ER163" s="353"/>
      <c r="ES163" s="353"/>
      <c r="ET163" s="353"/>
      <c r="EU163" s="353"/>
      <c r="EV163" s="353"/>
      <c r="EW163" s="353"/>
      <c r="EX163" s="353"/>
      <c r="EY163" s="353"/>
      <c r="EZ163" s="353"/>
      <c r="FA163" s="353"/>
      <c r="FB163" s="353"/>
      <c r="FC163" s="353"/>
      <c r="FD163" s="353"/>
      <c r="FE163" s="353"/>
      <c r="FF163" s="353"/>
      <c r="FG163" s="353"/>
      <c r="FH163" s="353"/>
      <c r="FI163" s="353"/>
      <c r="FJ163" s="353"/>
      <c r="FK163" s="353"/>
      <c r="FL163" s="353"/>
      <c r="FM163" s="353"/>
      <c r="FN163" s="353"/>
      <c r="FO163" s="353"/>
      <c r="FP163" s="353"/>
      <c r="FQ163" s="353"/>
    </row>
    <row r="164" spans="1:173" s="351" customFormat="1" hidden="1">
      <c r="A164" s="430" t="s">
        <v>50</v>
      </c>
      <c r="B164" s="351">
        <v>2019</v>
      </c>
      <c r="C164" s="411" t="s">
        <v>47</v>
      </c>
      <c r="F164" s="370"/>
      <c r="G164" s="435"/>
      <c r="H164" s="412">
        <f>'RGGI - Invest Amort deferred'!AI110</f>
        <v>0</v>
      </c>
      <c r="I164" s="412">
        <f>'RGGI - Invest Amort deferred'!AI110</f>
        <v>0</v>
      </c>
      <c r="J164" s="413">
        <f>'RGGI - Invest Amort deferred'!BL110</f>
        <v>0</v>
      </c>
      <c r="K164" s="435"/>
      <c r="L164" s="414">
        <f>'RGGI II Invest Amort Def'!AI98</f>
        <v>0</v>
      </c>
      <c r="M164" s="414">
        <f>'RGGI II Invest Amort Def'!AI98</f>
        <v>0</v>
      </c>
      <c r="N164" s="413">
        <f>'RGGI II Invest Amort Def'!BK98</f>
        <v>0</v>
      </c>
      <c r="O164" s="435"/>
      <c r="P164" s="425">
        <f>'2013 program Invest Amort Def'!AY80</f>
        <v>995108.29999998957</v>
      </c>
      <c r="Q164" s="425">
        <f>'2013 program Invest Amort Def'!AY80</f>
        <v>995108.29999998957</v>
      </c>
      <c r="R164" s="425">
        <f>'2013 program Invest Amort Def'!CQ80</f>
        <v>-279724.94312999572</v>
      </c>
      <c r="S164" s="373">
        <f>+P164+R164</f>
        <v>715383.35686999385</v>
      </c>
      <c r="T164" s="435"/>
      <c r="U164" s="414">
        <f>'2015 Program Invest Amort Def'!BT55</f>
        <v>2767206.0963333324</v>
      </c>
      <c r="V164" s="414">
        <f>'2015 Program Invest Amort Def'!BT55</f>
        <v>2767206.0963333324</v>
      </c>
      <c r="W164" s="414">
        <f>'2015 Program Invest Amort Def'!EG55</f>
        <v>-769986.14867929975</v>
      </c>
      <c r="X164" s="373">
        <f>U164+W164</f>
        <v>1997219.9476540326</v>
      </c>
      <c r="Y164" s="435"/>
      <c r="Z164" s="394">
        <f t="array" ref="Z164:Z175">TRANSPOSE('Schedule NJNG-3 - Page 3'!C81:N81)</f>
        <v>28517804.439999998</v>
      </c>
      <c r="AA164" s="480">
        <v>1.2500000000000001E-2</v>
      </c>
      <c r="AB164" s="439">
        <f t="shared" ref="AB164:AB175" si="177">+Z164*AA164</f>
        <v>356472.55550000002</v>
      </c>
      <c r="AC164" s="353"/>
      <c r="AD164" s="353"/>
      <c r="AE164" s="353"/>
      <c r="AF164" s="353"/>
      <c r="AG164" s="353"/>
      <c r="AH164" s="353"/>
      <c r="AI164" s="353"/>
      <c r="AJ164" s="353"/>
      <c r="AK164" s="353"/>
      <c r="AL164" s="353"/>
      <c r="AM164" s="353"/>
      <c r="AN164" s="353"/>
      <c r="AO164" s="439">
        <f>'RGGI - Invest Amort deferred'!AG110+'RGGI CHP'!V65</f>
        <v>12500</v>
      </c>
      <c r="AQ164" s="412">
        <f>(H164+J164)*'Capital Structure '!$F$21/12</f>
        <v>0</v>
      </c>
      <c r="AR164" s="412">
        <f>(H164+J164)*'Capital Structure '!$E$34/12</f>
        <v>0</v>
      </c>
      <c r="AS164" s="412">
        <f>(H164+J164)*'Capital Structure '!$F$18/12</f>
        <v>0</v>
      </c>
      <c r="AT164" s="412">
        <f>'RGGI - On-bill financing'!J110*'Capital Structure '!$P$34/12</f>
        <v>1115.0703338812066</v>
      </c>
      <c r="AU164" s="412">
        <f>'RGGI - On-bill financing'!J110*('Capital Structure '!$F$18+'Capital Structure '!$F$21)/12</f>
        <v>4320.9267300347246</v>
      </c>
      <c r="AV164" s="415">
        <f>SUM(AQ164:AU164)</f>
        <v>5435.997063915931</v>
      </c>
      <c r="AX164" s="415">
        <v>0</v>
      </c>
      <c r="AY164" s="431">
        <f>+AX164+AV164+AO164</f>
        <v>17935.997063915929</v>
      </c>
      <c r="BA164" s="412">
        <f>'RGGI II Invest Amort Def'!AG98</f>
        <v>0</v>
      </c>
      <c r="BB164" s="353"/>
      <c r="BC164" s="412">
        <f>(L164+N164)*'Capital Structure '!$H$21/12</f>
        <v>0</v>
      </c>
      <c r="BD164" s="412">
        <f>(L164+N164)*'Capital Structure '!$W$34/12</f>
        <v>0</v>
      </c>
      <c r="BE164" s="412">
        <f>(L164+N164)*'Capital Structure '!$H$18/12</f>
        <v>0</v>
      </c>
      <c r="BF164" s="412">
        <f>'RGGI II On Bill Fin''g'!L98*'Capital Structure '!$W$34/12</f>
        <v>4755.4583429587328</v>
      </c>
      <c r="BG164" s="412">
        <f>'RGGI II On Bill Fin''g'!L98*('Capital Structure '!$H$18+'Capital Structure '!$H$21)/12</f>
        <v>16369.172497913736</v>
      </c>
      <c r="BH164" s="415">
        <f>SUM(BC164:BG164)</f>
        <v>21124.630840872469</v>
      </c>
      <c r="BI164" s="353"/>
      <c r="BJ164" s="437">
        <v>0</v>
      </c>
      <c r="BK164" s="431">
        <f>+BJ164+BH164+BA164</f>
        <v>21124.630840872469</v>
      </c>
      <c r="BM164" s="412">
        <f>'2013 program Invest Amort Def'!AW80</f>
        <v>160875.73416666669</v>
      </c>
      <c r="BN164" s="353"/>
      <c r="BO164" s="412">
        <f>(S164)*'Capital Structure '!$J$21/12</f>
        <v>1003.9213108075581</v>
      </c>
      <c r="BP164" s="412">
        <f>(S164)*'Capital Structure '!$V$34/12</f>
        <v>1215.871086138389</v>
      </c>
      <c r="BQ164" s="412">
        <f>(S164)*'Capital Structure '!$J$18/12</f>
        <v>3109.5329911949066</v>
      </c>
      <c r="BR164" s="412">
        <f>('2013 program 10 yr On Bill Fin'!M80+'2013 program 5 yr On Bill Fin'!L78+'2013 program 2 yr On Bill Fin'!M68)*'Capital Structure '!$V$34/12</f>
        <v>28892.067565356501</v>
      </c>
      <c r="BS164" s="412">
        <f>('2013 program 10 yr On Bill Fin'!M80+'2013 program 5 yr On Bill Fin'!L78+'2013 program 2 yr On Bill Fin'!M68)*('Capital Structure '!$J$18+'Capital Structure '!$J$21)/12</f>
        <v>97745.72401250001</v>
      </c>
      <c r="BT164" s="431">
        <f>SUM(BO164:BS164)</f>
        <v>131967.11696599738</v>
      </c>
      <c r="BV164" s="438">
        <v>0</v>
      </c>
      <c r="BW164" s="431">
        <f t="shared" ref="BW164:BW175" si="178">+BV164+BT164+BM164</f>
        <v>292842.85113266407</v>
      </c>
      <c r="BY164" s="412">
        <f>'2015 Program Invest Amort Def'!BR55</f>
        <v>117066.19516666663</v>
      </c>
      <c r="BZ164" s="353"/>
      <c r="CA164" s="412">
        <f>X164*'Capital Structure '!$N$21/12</f>
        <v>2962.5429223534816</v>
      </c>
      <c r="CB164" s="412">
        <f>(X164)*'Capital Structure '!$P$34/12</f>
        <v>3332.0151848912788</v>
      </c>
      <c r="CC164" s="412">
        <f>(X164)*'Capital Structure '!$N$18/12</f>
        <v>8521.4717766572066</v>
      </c>
      <c r="CD164" s="412">
        <f>('2015 Program 10-Year OBRP'!P55+'2015 Program 7-Year OBRP'!M55+'2015 Program 5-Year OBRP'!K55+'2015 Program 3-Year OBRP'!K55)*('Capital Structure '!$P$34/12)</f>
        <v>40534.315067433017</v>
      </c>
      <c r="CE164" s="412">
        <f>('2015 Program 10-Year OBRP'!P55+'2015 Program 7-Year OBRP'!M55+'2015 Program 5-Year OBRP'!K55+'2015 Program 3-Year OBRP'!K55)*(('Capital Structure '!$N$21/12)+('Capital Structure '!$N$18/12))</f>
        <v>139704.24629499999</v>
      </c>
      <c r="CF164" s="431">
        <f>SUM(CA164:CE164)</f>
        <v>195054.59124633498</v>
      </c>
      <c r="CG164" s="373">
        <v>-17203</v>
      </c>
      <c r="CH164" s="353"/>
      <c r="CI164" s="394"/>
      <c r="CJ164" s="431">
        <f t="shared" ref="CJ164:CJ175" si="179">BY164+CF164+CG164+CI164</f>
        <v>294917.7864130016</v>
      </c>
      <c r="CK164" s="431"/>
      <c r="CL164" s="431">
        <f>'2018 SUMMARY'!Q35</f>
        <v>91046.131071428565</v>
      </c>
      <c r="CM164" s="431"/>
      <c r="CN164" s="431">
        <f>'2018 SUMMARY'!S35</f>
        <v>8263.2368943935417</v>
      </c>
      <c r="CO164" s="431">
        <f>'2018 SUMMARY'!T35</f>
        <v>10503.873351666072</v>
      </c>
      <c r="CP164" s="431">
        <f>'2018 SUMMARY'!U35</f>
        <v>26863.160983681038</v>
      </c>
      <c r="CQ164" s="431">
        <f>'2018 SUMMARY'!V35</f>
        <v>12471.95212504747</v>
      </c>
      <c r="CR164" s="431">
        <f>'2018 SUMMARY'!W35</f>
        <v>41707.924114605477</v>
      </c>
      <c r="CS164" s="431">
        <f>SUM(CN164:CR164)</f>
        <v>99810.147469393603</v>
      </c>
      <c r="CT164" s="431">
        <v>-1007</v>
      </c>
      <c r="CU164" s="431"/>
      <c r="CV164" s="431">
        <v>43762</v>
      </c>
      <c r="CW164" s="431">
        <f t="shared" ref="CW164:CW175" si="180">CL164+SUM(CS164:CV164)</f>
        <v>233611.27854082218</v>
      </c>
      <c r="CY164" s="412">
        <f>+BW164+BK164+AY164+CJ164+CW164-AB164</f>
        <v>503959.98849127628</v>
      </c>
      <c r="CZ164" s="412">
        <f>+CZ163+CY164</f>
        <v>-760758.17037566518</v>
      </c>
      <c r="DA164" s="412">
        <f>(CZ163+CZ164)/2*(1-0.2811)</f>
        <v>-728057.46654625493</v>
      </c>
      <c r="DB164" s="417">
        <v>2.1299999999999999E-2</v>
      </c>
      <c r="DC164" s="434">
        <f>(DA164)*DB164/12</f>
        <v>-1292.3020031196024</v>
      </c>
      <c r="DE164" s="420">
        <f t="shared" si="144"/>
        <v>6.9000000000000006E-2</v>
      </c>
      <c r="DF164" s="420">
        <f t="shared" si="145"/>
        <v>8.9395292808457358E-2</v>
      </c>
      <c r="DG164" s="420">
        <f t="shared" si="146"/>
        <v>6.9000000000000006E-2</v>
      </c>
      <c r="DH164" s="420">
        <f t="shared" si="147"/>
        <v>8.9019919321185151E-2</v>
      </c>
      <c r="DI164" s="353"/>
      <c r="DJ164" s="353"/>
      <c r="DK164" s="353"/>
      <c r="DL164" s="353"/>
      <c r="DM164" s="353"/>
      <c r="DN164" s="353"/>
      <c r="DO164" s="353"/>
      <c r="DP164" s="353"/>
      <c r="DQ164" s="353"/>
      <c r="DR164" s="353"/>
      <c r="DS164" s="353"/>
      <c r="DT164" s="353"/>
      <c r="DU164" s="353"/>
      <c r="DV164" s="353"/>
      <c r="DW164" s="353"/>
      <c r="DX164" s="353"/>
      <c r="DY164" s="353"/>
      <c r="DZ164" s="353"/>
      <c r="EA164" s="353"/>
      <c r="EB164" s="353"/>
      <c r="EC164" s="353"/>
      <c r="ED164" s="353"/>
      <c r="EE164" s="353"/>
      <c r="EF164" s="353"/>
      <c r="EG164" s="353"/>
      <c r="EH164" s="353"/>
      <c r="EI164" s="353"/>
      <c r="EJ164" s="353"/>
      <c r="EK164" s="353"/>
      <c r="EL164" s="353"/>
      <c r="EM164" s="353"/>
      <c r="EN164" s="353"/>
      <c r="EO164" s="353"/>
      <c r="EP164" s="353"/>
      <c r="EQ164" s="353"/>
      <c r="ER164" s="353"/>
      <c r="ES164" s="353"/>
      <c r="ET164" s="353"/>
      <c r="EU164" s="353"/>
      <c r="EV164" s="353"/>
      <c r="EW164" s="353"/>
      <c r="EX164" s="353"/>
      <c r="EY164" s="353"/>
      <c r="EZ164" s="353"/>
      <c r="FA164" s="353"/>
      <c r="FB164" s="353"/>
      <c r="FC164" s="353"/>
      <c r="FD164" s="353"/>
      <c r="FE164" s="353"/>
      <c r="FF164" s="353"/>
      <c r="FG164" s="353"/>
      <c r="FH164" s="353"/>
      <c r="FI164" s="353"/>
      <c r="FJ164" s="353"/>
      <c r="FK164" s="353"/>
      <c r="FL164" s="353"/>
      <c r="FM164" s="353"/>
      <c r="FN164" s="353"/>
      <c r="FO164" s="353"/>
      <c r="FP164" s="353"/>
      <c r="FQ164" s="353"/>
    </row>
    <row r="165" spans="1:173" s="351" customFormat="1" hidden="1">
      <c r="A165" s="430" t="s">
        <v>51</v>
      </c>
      <c r="B165" s="351">
        <v>2019</v>
      </c>
      <c r="C165" s="411" t="s">
        <v>47</v>
      </c>
      <c r="F165" s="370"/>
      <c r="G165" s="435"/>
      <c r="H165" s="412">
        <f>'RGGI - Invest Amort deferred'!AI111</f>
        <v>0</v>
      </c>
      <c r="I165" s="412">
        <f>'RGGI - Invest Amort deferred'!AI111</f>
        <v>0</v>
      </c>
      <c r="J165" s="413">
        <f>'RGGI - Invest Amort deferred'!BL111</f>
        <v>0</v>
      </c>
      <c r="K165" s="435"/>
      <c r="L165" s="414">
        <f>'RGGI II Invest Amort Def'!AI99</f>
        <v>0</v>
      </c>
      <c r="M165" s="414">
        <f>'RGGI II Invest Amort Def'!AI99</f>
        <v>0</v>
      </c>
      <c r="N165" s="413">
        <f>'RGGI II Invest Amort Def'!BK99</f>
        <v>0</v>
      </c>
      <c r="O165" s="435"/>
      <c r="P165" s="425">
        <f>'2013 program Invest Amort Def'!AY81</f>
        <v>846024.23249999061</v>
      </c>
      <c r="Q165" s="425">
        <f>'2013 program Invest Amort Def'!AY81</f>
        <v>846024.23249999061</v>
      </c>
      <c r="R165" s="425">
        <f>'2013 program Invest Amort Def'!CQ81</f>
        <v>-237817.41175574574</v>
      </c>
      <c r="S165" s="373">
        <f t="shared" ref="S165:S175" si="181">+P165+R165</f>
        <v>608206.82074424485</v>
      </c>
      <c r="T165" s="435"/>
      <c r="U165" s="414">
        <f>'2015 Program Invest Amort Def'!BT56</f>
        <v>2650139.9011666654</v>
      </c>
      <c r="V165" s="414">
        <f>'2015 Program Invest Amort Def'!BT56</f>
        <v>2650139.9011666654</v>
      </c>
      <c r="W165" s="414">
        <f>'2015 Program Invest Amort Def'!EG56</f>
        <v>-741466.34371794981</v>
      </c>
      <c r="X165" s="373">
        <f t="shared" ref="X165:X175" si="182">U165+W165</f>
        <v>1908673.5574487154</v>
      </c>
      <c r="Y165" s="435"/>
      <c r="Z165" s="394">
        <v>79315477.359999999</v>
      </c>
      <c r="AA165" s="480">
        <v>1.6E-2</v>
      </c>
      <c r="AB165" s="439">
        <f t="shared" si="177"/>
        <v>1269047.6377600001</v>
      </c>
      <c r="AO165" s="439">
        <f>'RGGI - Invest Amort deferred'!AG111+'RGGI CHP'!V66</f>
        <v>12500</v>
      </c>
      <c r="AQ165" s="412">
        <f>(H165+J165)*'Capital Structure '!$F$21/12</f>
        <v>0</v>
      </c>
      <c r="AR165" s="412">
        <f>(H165+J165)*'Capital Structure '!$E$34/12</f>
        <v>0</v>
      </c>
      <c r="AS165" s="412">
        <f>(H165+J165)*'Capital Structure '!$F$18/12</f>
        <v>0</v>
      </c>
      <c r="AT165" s="412">
        <f>'RGGI - On-bill financing'!J111*'Capital Structure '!$P$34/12</f>
        <v>1070.7358888791198</v>
      </c>
      <c r="AU165" s="412">
        <f>'RGGI - On-bill financing'!J111*('Capital Structure '!$F$18+'Capital Structure '!$F$21)/12</f>
        <v>4149.1295952262053</v>
      </c>
      <c r="AV165" s="415">
        <f t="shared" ref="AV165:AV175" si="183">SUM(AQ165:AU165)</f>
        <v>5219.8654841053249</v>
      </c>
      <c r="AX165" s="415">
        <v>0</v>
      </c>
      <c r="AY165" s="431">
        <f t="shared" ref="AY165:AY175" si="184">+AX165+AV165+AO165</f>
        <v>17719.865484105325</v>
      </c>
      <c r="BA165" s="412">
        <f>'RGGI II Invest Amort Def'!AG99</f>
        <v>0</v>
      </c>
      <c r="BC165" s="412">
        <f>(L165+N165)*'Capital Structure '!$H$21/12</f>
        <v>0</v>
      </c>
      <c r="BD165" s="412">
        <f>(L165+N165)*'Capital Structure '!$W$34/12</f>
        <v>0</v>
      </c>
      <c r="BE165" s="412">
        <f>(L165+N165)*'Capital Structure '!$H$18/12</f>
        <v>0</v>
      </c>
      <c r="BF165" s="412">
        <f>'RGGI II On Bill Fin''g'!L99*'Capital Structure '!$W$34/12</f>
        <v>4645.3173329788506</v>
      </c>
      <c r="BG165" s="412">
        <f>'RGGI II On Bill Fin''g'!L99*('Capital Structure '!$H$18+'Capital Structure '!$H$21)/12</f>
        <v>15990.046646853623</v>
      </c>
      <c r="BH165" s="415">
        <f t="shared" ref="BH165:BH175" si="185">SUM(BC165:BG165)</f>
        <v>20635.363979832473</v>
      </c>
      <c r="BJ165" s="437">
        <v>0</v>
      </c>
      <c r="BK165" s="431">
        <f t="shared" ref="BK165:BK175" si="186">+BJ165+BH165+BA165</f>
        <v>20635.363979832473</v>
      </c>
      <c r="BM165" s="412">
        <f>'2013 program Invest Amort Def'!AW81</f>
        <v>149084.0675</v>
      </c>
      <c r="BO165" s="412">
        <f>(S165)*'Capital Structure '!$J$21/12</f>
        <v>853.5169051110903</v>
      </c>
      <c r="BP165" s="412">
        <f>(S165)*'Capital Structure '!$V$34/12</f>
        <v>1033.7130164316509</v>
      </c>
      <c r="BQ165" s="412">
        <f>(S165)*'Capital Structure '!$J$18/12</f>
        <v>2643.6723141683174</v>
      </c>
      <c r="BR165" s="412">
        <f>('2013 program 10 yr On Bill Fin'!M81+'2013 program 5 yr On Bill Fin'!L79+'2013 program 2 yr On Bill Fin'!M69)*'Capital Structure '!$V$34/12</f>
        <v>28351.544971856991</v>
      </c>
      <c r="BS165" s="412">
        <f>('2013 program 10 yr On Bill Fin'!M81+'2013 program 5 yr On Bill Fin'!L79+'2013 program 2 yr On Bill Fin'!M69)*('Capital Structure '!$J$18+'Capital Structure '!$J$21)/12</f>
        <v>95917.063874999993</v>
      </c>
      <c r="BT165" s="431">
        <f t="shared" ref="BT165:BT175" si="187">SUM(BO165:BS165)</f>
        <v>128799.51108256805</v>
      </c>
      <c r="BV165" s="438">
        <v>0</v>
      </c>
      <c r="BW165" s="431">
        <f t="shared" si="178"/>
        <v>277883.57858256804</v>
      </c>
      <c r="BY165" s="412">
        <f>'2015 Program Invest Amort Def'!BR56</f>
        <v>117066.19516666663</v>
      </c>
      <c r="CA165" s="412">
        <f>X165*'Capital Structure '!$R$21/12</f>
        <v>2804.3119757353002</v>
      </c>
      <c r="CB165" s="412">
        <f>(X165)*'Capital Structure '!$R$34/12</f>
        <v>3224.0945219571054</v>
      </c>
      <c r="CC165" s="412">
        <f>(X165)*'Capital Structure '!$R$18/12</f>
        <v>8245.469768178451</v>
      </c>
      <c r="CD165" s="412">
        <f>('2015 Program 10-Year OBRP'!P56+'2015 Program 7-Year OBRP'!M56+'2015 Program 5-Year OBRP'!K56+'2015 Program 3-Year OBRP'!K56)*('Capital Structure '!$R$34/12)</f>
        <v>40458.576175162947</v>
      </c>
      <c r="CE165" s="412">
        <f>('2015 Program 10-Year OBRP'!P56+'2015 Program 7-Year OBRP'!M56+'2015 Program 5-Year OBRP'!K56+'2015 Program 3-Year OBRP'!K56)*(('Capital Structure '!$R$21/12)+('Capital Structure '!$R$18/12))</f>
        <v>138661.70280072431</v>
      </c>
      <c r="CF165" s="431">
        <f t="shared" ref="CF165:CF175" si="188">SUM(CA165:CE165)</f>
        <v>193394.1552417581</v>
      </c>
      <c r="CG165" s="373">
        <v>-18238</v>
      </c>
      <c r="CJ165" s="431">
        <f t="shared" si="179"/>
        <v>292222.35040842474</v>
      </c>
      <c r="CK165" s="431"/>
      <c r="CL165" s="431">
        <f>'2018 SUMMARY'!Q36</f>
        <v>105913.72595238095</v>
      </c>
      <c r="CM165" s="431"/>
      <c r="CN165" s="431">
        <f>'2018 SUMMARY'!S36</f>
        <v>10669.552144098156</v>
      </c>
      <c r="CO165" s="431">
        <f>'2018 SUMMARY'!T36</f>
        <v>12266.696757411537</v>
      </c>
      <c r="CP165" s="431">
        <f>'2018 SUMMARY'!U36</f>
        <v>31371.498750989518</v>
      </c>
      <c r="CQ165" s="431">
        <f>'2018 SUMMARY'!V36</f>
        <v>15088.731249976579</v>
      </c>
      <c r="CR165" s="431">
        <f>'2018 SUMMARY'!W36</f>
        <v>51712.871930195332</v>
      </c>
      <c r="CS165" s="431">
        <f t="shared" ref="CS165:CS175" si="189">SUM(CN165:CR165)</f>
        <v>121109.35083267113</v>
      </c>
      <c r="CT165" s="431">
        <v>-1473</v>
      </c>
      <c r="CU165" s="431"/>
      <c r="CV165" s="431">
        <v>56606</v>
      </c>
      <c r="CW165" s="431">
        <f t="shared" si="180"/>
        <v>282156.07678505208</v>
      </c>
      <c r="CY165" s="412">
        <f t="shared" ref="CY165:CY175" si="190">+BW165+BK165+AY165+CJ165+CW165-AB165</f>
        <v>-378430.40252001747</v>
      </c>
      <c r="CZ165" s="412">
        <f t="shared" ref="CZ165:CZ175" si="191">+CZ164+CY165</f>
        <v>-1139188.5728956826</v>
      </c>
      <c r="DA165" s="412">
        <f t="shared" ref="DA165:DA175" si="192">(CZ164+CZ165)/2*(1-0.2811)</f>
        <v>-682935.85686888592</v>
      </c>
      <c r="DB165" s="417">
        <v>1.8499999999999999E-2</v>
      </c>
      <c r="DC165" s="434">
        <f t="shared" ref="DC165:DC175" si="193">(DA165)*DB165/12</f>
        <v>-1052.8594460061991</v>
      </c>
      <c r="DE165" s="420">
        <f t="shared" si="144"/>
        <v>6.9000000000000006E-2</v>
      </c>
      <c r="DF165" s="420">
        <f t="shared" si="145"/>
        <v>8.9395292808457372E-2</v>
      </c>
      <c r="DG165" s="420">
        <f t="shared" si="146"/>
        <v>6.9470958200000002E-2</v>
      </c>
      <c r="DH165" s="420">
        <f t="shared" si="147"/>
        <v>8.974112651269997E-2</v>
      </c>
      <c r="DI165" s="353"/>
      <c r="DJ165" s="353"/>
      <c r="DK165" s="353"/>
      <c r="DL165" s="353"/>
      <c r="DM165" s="353"/>
      <c r="DN165" s="353"/>
      <c r="DO165" s="353"/>
      <c r="DP165" s="353"/>
      <c r="DQ165" s="353"/>
      <c r="DR165" s="353"/>
      <c r="DS165" s="353"/>
      <c r="DT165" s="353"/>
      <c r="DU165" s="353"/>
      <c r="DV165" s="353"/>
      <c r="DW165" s="353"/>
      <c r="DX165" s="353"/>
      <c r="DY165" s="353"/>
      <c r="DZ165" s="353"/>
      <c r="EA165" s="353"/>
      <c r="EB165" s="353"/>
      <c r="EC165" s="353"/>
      <c r="ED165" s="353"/>
      <c r="EE165" s="353"/>
      <c r="EF165" s="353"/>
      <c r="EG165" s="353"/>
      <c r="EH165" s="353"/>
      <c r="EI165" s="353"/>
      <c r="EJ165" s="353"/>
      <c r="EK165" s="353"/>
      <c r="EL165" s="353"/>
      <c r="EM165" s="353"/>
      <c r="EN165" s="353"/>
      <c r="EO165" s="353"/>
      <c r="EP165" s="353"/>
      <c r="EQ165" s="353"/>
      <c r="ER165" s="353"/>
      <c r="ES165" s="353"/>
      <c r="ET165" s="353"/>
      <c r="EU165" s="353"/>
      <c r="EV165" s="353"/>
      <c r="EW165" s="353"/>
      <c r="EX165" s="353"/>
      <c r="EY165" s="353"/>
      <c r="EZ165" s="353"/>
      <c r="FA165" s="353"/>
      <c r="FB165" s="353"/>
      <c r="FC165" s="353"/>
      <c r="FD165" s="353"/>
      <c r="FE165" s="353"/>
      <c r="FF165" s="353"/>
      <c r="FG165" s="353"/>
      <c r="FH165" s="353"/>
      <c r="FI165" s="353"/>
      <c r="FJ165" s="353"/>
      <c r="FK165" s="353"/>
      <c r="FL165" s="353"/>
      <c r="FM165" s="353"/>
      <c r="FN165" s="353"/>
      <c r="FO165" s="353"/>
      <c r="FP165" s="353"/>
      <c r="FQ165" s="353"/>
    </row>
    <row r="166" spans="1:173" s="351" customFormat="1" hidden="1">
      <c r="A166" s="430" t="s">
        <v>52</v>
      </c>
      <c r="B166" s="351">
        <v>2019</v>
      </c>
      <c r="C166" s="411" t="s">
        <v>47</v>
      </c>
      <c r="F166" s="370"/>
      <c r="G166" s="435"/>
      <c r="H166" s="412">
        <f>'RGGI - Invest Amort deferred'!AI112</f>
        <v>0</v>
      </c>
      <c r="I166" s="412">
        <f>'RGGI - Invest Amort deferred'!AI112</f>
        <v>0</v>
      </c>
      <c r="J166" s="413">
        <f>'RGGI - Invest Amort deferred'!BL112</f>
        <v>0</v>
      </c>
      <c r="K166" s="435"/>
      <c r="L166" s="414">
        <f>'RGGI II Invest Amort Def'!AI100</f>
        <v>0</v>
      </c>
      <c r="M166" s="414">
        <f>'RGGI II Invest Amort Def'!AI100</f>
        <v>0</v>
      </c>
      <c r="N166" s="413">
        <f>'RGGI II Invest Amort Def'!BK100</f>
        <v>0</v>
      </c>
      <c r="O166" s="435"/>
      <c r="P166" s="425">
        <f>'2013 program Invest Amort Def'!AY82</f>
        <v>710449.33166665584</v>
      </c>
      <c r="Q166" s="425">
        <f>'2013 program Invest Amort Def'!AY82</f>
        <v>710449.33166665584</v>
      </c>
      <c r="R166" s="425">
        <f>'2013 program Invest Amort Def'!CQ82</f>
        <v>-199707.30713149573</v>
      </c>
      <c r="S166" s="373">
        <f t="shared" si="181"/>
        <v>510742.0245351601</v>
      </c>
      <c r="T166" s="435"/>
      <c r="U166" s="414">
        <f>'2015 Program Invest Amort Def'!BT57</f>
        <v>2533073.7059999984</v>
      </c>
      <c r="V166" s="414">
        <f>'2015 Program Invest Amort Def'!BT57</f>
        <v>2533073.7059999984</v>
      </c>
      <c r="W166" s="414">
        <f>'2015 Program Invest Amort Def'!EG57</f>
        <v>-711227.14375659986</v>
      </c>
      <c r="X166" s="373">
        <f t="shared" si="182"/>
        <v>1821846.5622433985</v>
      </c>
      <c r="Y166" s="435"/>
      <c r="Z166" s="394">
        <v>113275852.20999998</v>
      </c>
      <c r="AA166" s="480">
        <v>1.6E-2</v>
      </c>
      <c r="AB166" s="439">
        <f t="shared" si="177"/>
        <v>1812413.6353599997</v>
      </c>
      <c r="AO166" s="439">
        <f>'RGGI - Invest Amort deferred'!AG112+'RGGI CHP'!V67</f>
        <v>0</v>
      </c>
      <c r="AQ166" s="412">
        <f>(H166+J166)*'Capital Structure '!$F$21/12</f>
        <v>0</v>
      </c>
      <c r="AR166" s="412">
        <f>(H166+J166)*'Capital Structure '!$E$34/12</f>
        <v>0</v>
      </c>
      <c r="AS166" s="412">
        <f>(H166+J166)*'Capital Structure '!$F$18/12</f>
        <v>0</v>
      </c>
      <c r="AT166" s="412">
        <f>'RGGI - On-bill financing'!J112*'Capital Structure '!$P$34/12</f>
        <v>1025.3679655918754</v>
      </c>
      <c r="AU166" s="412">
        <f>'RGGI - On-bill financing'!J112*('Capital Structure '!$F$18+'Capital Structure '!$F$21)/12</f>
        <v>3973.3277050120737</v>
      </c>
      <c r="AV166" s="415">
        <f t="shared" si="183"/>
        <v>4998.6956706039491</v>
      </c>
      <c r="AX166" s="415">
        <v>0</v>
      </c>
      <c r="AY166" s="431">
        <f t="shared" si="184"/>
        <v>4998.6956706039491</v>
      </c>
      <c r="BA166" s="412">
        <f>'RGGI II Invest Amort Def'!AG100</f>
        <v>0</v>
      </c>
      <c r="BC166" s="412">
        <f>(L166+N166)*'Capital Structure '!$H$21/12</f>
        <v>0</v>
      </c>
      <c r="BD166" s="412">
        <f>(L166+N166)*'Capital Structure '!$W$34/12</f>
        <v>0</v>
      </c>
      <c r="BE166" s="412">
        <f>(L166+N166)*'Capital Structure '!$H$18/12</f>
        <v>0</v>
      </c>
      <c r="BF166" s="412">
        <f>'RGGI II On Bill Fin''g'!L100*'Capital Structure '!$W$34/12</f>
        <v>4504.2838593088045</v>
      </c>
      <c r="BG166" s="412">
        <f>'RGGI II On Bill Fin''g'!L100*('Capital Structure '!$H$18+'Capital Structure '!$H$21)/12</f>
        <v>15504.583187394826</v>
      </c>
      <c r="BH166" s="415">
        <f t="shared" si="185"/>
        <v>20008.867046703632</v>
      </c>
      <c r="BJ166" s="437">
        <v>0</v>
      </c>
      <c r="BK166" s="431">
        <f t="shared" si="186"/>
        <v>20008.867046703632</v>
      </c>
      <c r="BM166" s="412">
        <f>'2013 program Invest Amort Def'!AW82</f>
        <v>135574.90083333332</v>
      </c>
      <c r="BO166" s="412">
        <f>(S166)*'Capital Structure '!$J$21/12</f>
        <v>716.7413077643414</v>
      </c>
      <c r="BP166" s="412">
        <f>(S166)*'Capital Structure '!$V$34/12</f>
        <v>868.06109499824197</v>
      </c>
      <c r="BQ166" s="412">
        <f>(S166)*'Capital Structure '!$J$18/12</f>
        <v>2220.0253333128289</v>
      </c>
      <c r="BR166" s="412">
        <f>('2013 program 10 yr On Bill Fin'!M82+'2013 program 5 yr On Bill Fin'!L80+'2013 program 2 yr On Bill Fin'!M70)*'Capital Structure '!$V$34/12</f>
        <v>27684.540783048982</v>
      </c>
      <c r="BS166" s="412">
        <f>('2013 program 10 yr On Bill Fin'!M82+'2013 program 5 yr On Bill Fin'!L80+'2013 program 2 yr On Bill Fin'!M70)*('Capital Structure '!$J$18+'Capital Structure '!$J$21)/12</f>
        <v>93660.499605000005</v>
      </c>
      <c r="BT166" s="431">
        <f t="shared" si="187"/>
        <v>125149.86812412439</v>
      </c>
      <c r="BV166" s="438">
        <v>0</v>
      </c>
      <c r="BW166" s="431">
        <f t="shared" si="178"/>
        <v>260724.76895745771</v>
      </c>
      <c r="BY166" s="412">
        <f>'2015 Program Invest Amort Def'!BR57</f>
        <v>117066.19516666663</v>
      </c>
      <c r="CA166" s="412">
        <f>X166*'Capital Structure '!$R$21/12</f>
        <v>2676.7417154772552</v>
      </c>
      <c r="CB166" s="412">
        <f>(X166)*'Capital Structure '!$R$34/12</f>
        <v>3077.4280380489581</v>
      </c>
      <c r="CC166" s="412">
        <f>(X166)*'Capital Structure '!$R$18/12</f>
        <v>7870.3771488914826</v>
      </c>
      <c r="CD166" s="412">
        <f>('2015 Program 10-Year OBRP'!P57+'2015 Program 7-Year OBRP'!M57+'2015 Program 5-Year OBRP'!K57+'2015 Program 3-Year OBRP'!K57)*('Capital Structure '!$R$34/12)</f>
        <v>39458.838923368043</v>
      </c>
      <c r="CE166" s="412">
        <f>('2015 Program 10-Year OBRP'!P57+'2015 Program 7-Year OBRP'!M57+'2015 Program 5-Year OBRP'!K57+'2015 Program 3-Year OBRP'!K57)*(('Capital Structure '!$R$21/12)+('Capital Structure '!$R$18/12))</f>
        <v>135235.35212819869</v>
      </c>
      <c r="CF166" s="431">
        <f t="shared" si="188"/>
        <v>188318.73795398441</v>
      </c>
      <c r="CG166" s="373">
        <v>-15647</v>
      </c>
      <c r="CJ166" s="431">
        <f t="shared" si="179"/>
        <v>289737.93312065105</v>
      </c>
      <c r="CK166" s="431"/>
      <c r="CL166" s="431">
        <f>'2018 SUMMARY'!Q37</f>
        <v>126146.20285714285</v>
      </c>
      <c r="CM166" s="431"/>
      <c r="CN166" s="431">
        <f>'2018 SUMMARY'!S37</f>
        <v>12668.643733802697</v>
      </c>
      <c r="CO166" s="431">
        <f>'2018 SUMMARY'!T37</f>
        <v>14565.035993211777</v>
      </c>
      <c r="CP166" s="431">
        <f>'2018 SUMMARY'!U37</f>
        <v>37249.393011454806</v>
      </c>
      <c r="CQ166" s="431">
        <f>'2018 SUMMARY'!V37</f>
        <v>17669.916476249608</v>
      </c>
      <c r="CR166" s="431">
        <f>'2018 SUMMARY'!W37</f>
        <v>60559.242034015464</v>
      </c>
      <c r="CS166" s="431">
        <f t="shared" si="189"/>
        <v>142712.23124873434</v>
      </c>
      <c r="CT166" s="431">
        <v>-1559</v>
      </c>
      <c r="CU166" s="431"/>
      <c r="CV166" s="431">
        <v>44437</v>
      </c>
      <c r="CW166" s="431">
        <f t="shared" si="180"/>
        <v>311736.43410587718</v>
      </c>
      <c r="CY166" s="412">
        <f t="shared" si="190"/>
        <v>-925206.93645870627</v>
      </c>
      <c r="CZ166" s="412">
        <f t="shared" si="191"/>
        <v>-2064395.5093543888</v>
      </c>
      <c r="DA166" s="412">
        <f t="shared" si="192"/>
        <v>-1151528.2983647883</v>
      </c>
      <c r="DB166" s="417">
        <v>1.83E-2</v>
      </c>
      <c r="DC166" s="434">
        <f t="shared" si="193"/>
        <v>-1756.0806550063023</v>
      </c>
      <c r="DE166" s="420">
        <f t="shared" si="144"/>
        <v>6.9000000000000006E-2</v>
      </c>
      <c r="DF166" s="420">
        <f t="shared" si="145"/>
        <v>8.9395292808457358E-2</v>
      </c>
      <c r="DG166" s="420">
        <f t="shared" si="146"/>
        <v>6.9470958200000016E-2</v>
      </c>
      <c r="DH166" s="420">
        <f t="shared" si="147"/>
        <v>8.974112651269997E-2</v>
      </c>
      <c r="DI166" s="353"/>
      <c r="DJ166" s="353"/>
      <c r="DK166" s="353"/>
      <c r="DL166" s="353"/>
      <c r="DM166" s="353"/>
      <c r="DN166" s="353"/>
      <c r="DO166" s="353"/>
      <c r="DP166" s="353"/>
      <c r="DQ166" s="353"/>
      <c r="DR166" s="353"/>
      <c r="DS166" s="353"/>
      <c r="DT166" s="353"/>
      <c r="DU166" s="353"/>
      <c r="DV166" s="353"/>
      <c r="DW166" s="353"/>
      <c r="DX166" s="353"/>
      <c r="DY166" s="353"/>
      <c r="DZ166" s="353"/>
      <c r="EA166" s="353"/>
      <c r="EB166" s="353"/>
      <c r="EC166" s="353"/>
      <c r="ED166" s="353"/>
      <c r="EE166" s="353"/>
      <c r="EF166" s="353"/>
      <c r="EG166" s="353"/>
      <c r="EH166" s="353"/>
      <c r="EI166" s="353"/>
      <c r="EJ166" s="353"/>
      <c r="EK166" s="353"/>
      <c r="EL166" s="353"/>
      <c r="EM166" s="353"/>
      <c r="EN166" s="353"/>
      <c r="EO166" s="353"/>
      <c r="EP166" s="353"/>
      <c r="EQ166" s="353"/>
      <c r="ER166" s="353"/>
      <c r="ES166" s="353"/>
      <c r="ET166" s="353"/>
      <c r="EU166" s="353"/>
      <c r="EV166" s="353"/>
      <c r="EW166" s="353"/>
      <c r="EX166" s="353"/>
      <c r="EY166" s="353"/>
      <c r="EZ166" s="353"/>
      <c r="FA166" s="353"/>
      <c r="FB166" s="353"/>
      <c r="FC166" s="353"/>
      <c r="FD166" s="353"/>
      <c r="FE166" s="353"/>
      <c r="FF166" s="353"/>
      <c r="FG166" s="353"/>
      <c r="FH166" s="353"/>
      <c r="FI166" s="353"/>
      <c r="FJ166" s="353"/>
      <c r="FK166" s="353"/>
      <c r="FL166" s="353"/>
      <c r="FM166" s="353"/>
      <c r="FN166" s="353"/>
      <c r="FO166" s="353"/>
      <c r="FP166" s="353"/>
      <c r="FQ166" s="353"/>
    </row>
    <row r="167" spans="1:173" s="351" customFormat="1" hidden="1" outlineLevel="1">
      <c r="A167" s="430" t="s">
        <v>53</v>
      </c>
      <c r="B167" s="351">
        <v>2020</v>
      </c>
      <c r="C167" s="411" t="s">
        <v>47</v>
      </c>
      <c r="F167" s="370"/>
      <c r="G167" s="435"/>
      <c r="H167" s="412">
        <f>'RGGI - Invest Amort deferred'!AI113</f>
        <v>0</v>
      </c>
      <c r="I167" s="412">
        <f>'RGGI - Invest Amort deferred'!AI113</f>
        <v>0</v>
      </c>
      <c r="J167" s="413">
        <f>'RGGI - Invest Amort deferred'!BL113</f>
        <v>0</v>
      </c>
      <c r="K167" s="435"/>
      <c r="L167" s="414">
        <f>'RGGI II Invest Amort Def'!AI101</f>
        <v>0</v>
      </c>
      <c r="M167" s="414">
        <f>'RGGI II Invest Amort Def'!AI101</f>
        <v>0</v>
      </c>
      <c r="N167" s="413">
        <f>'RGGI II Invest Amort Def'!BK101</f>
        <v>0</v>
      </c>
      <c r="O167" s="435"/>
      <c r="P167" s="425">
        <f>'2013 program Invest Amort Def'!AY83</f>
        <v>588422.85583332181</v>
      </c>
      <c r="Q167" s="425">
        <f>'2013 program Invest Amort Def'!AY83</f>
        <v>588422.85583332181</v>
      </c>
      <c r="R167" s="425">
        <f>'2013 program Invest Amort Def'!CQ83</f>
        <v>-165405.66477474573</v>
      </c>
      <c r="S167" s="373">
        <f t="shared" si="181"/>
        <v>423017.19105857611</v>
      </c>
      <c r="T167" s="435"/>
      <c r="U167" s="414">
        <f>'2015 Program Invest Amort Def'!BT58</f>
        <v>2416007.5108333314</v>
      </c>
      <c r="V167" s="414">
        <f>'2015 Program Invest Amort Def'!BT58</f>
        <v>2416007.5108333314</v>
      </c>
      <c r="W167" s="414">
        <f>'2015 Program Invest Amort Def'!EG58</f>
        <v>-678741.4862952499</v>
      </c>
      <c r="X167" s="397">
        <f t="shared" si="182"/>
        <v>1737266.0245380816</v>
      </c>
      <c r="Y167" s="435"/>
      <c r="Z167" s="394">
        <v>111862290.14999998</v>
      </c>
      <c r="AA167" s="480">
        <v>1.6E-2</v>
      </c>
      <c r="AB167" s="439">
        <f t="shared" si="177"/>
        <v>1789796.6423999995</v>
      </c>
      <c r="AO167" s="372">
        <f>'RGGI - Invest Amort deferred'!AG113+'RGGI CHP'!V68</f>
        <v>0</v>
      </c>
      <c r="AQ167" s="412">
        <f>(H167+J167)*'Capital Structure '!$F$21/12</f>
        <v>0</v>
      </c>
      <c r="AR167" s="412">
        <f>(H167+J167)*'Capital Structure '!$E$34/12</f>
        <v>0</v>
      </c>
      <c r="AS167" s="412">
        <f>(H167+J167)*'Capital Structure '!$F$18/12</f>
        <v>0</v>
      </c>
      <c r="AT167" s="412">
        <f>'RGGI - On-bill financing'!J113*'Capital Structure '!$P$34/12</f>
        <v>971.74688061427059</v>
      </c>
      <c r="AU167" s="412">
        <f>'RGGI - On-bill financing'!J113*('Capital Structure '!$F$18+'Capital Structure '!$F$21)/12</f>
        <v>3765.5445972266239</v>
      </c>
      <c r="AV167" s="415">
        <f t="shared" si="183"/>
        <v>4737.291477840894</v>
      </c>
      <c r="AX167" s="415">
        <v>0</v>
      </c>
      <c r="AY167" s="431">
        <f t="shared" si="184"/>
        <v>4737.291477840894</v>
      </c>
      <c r="BA167" s="412">
        <f>'RGGI II Invest Amort Def'!AG101</f>
        <v>0</v>
      </c>
      <c r="BC167" s="412">
        <f>(L167+N167)*'Capital Structure '!$H$21/12</f>
        <v>0</v>
      </c>
      <c r="BD167" s="412">
        <f>(L167+N167)*'Capital Structure '!$W$34/12</f>
        <v>0</v>
      </c>
      <c r="BE167" s="412">
        <f>(L167+N167)*'Capital Structure '!$H$18/12</f>
        <v>0</v>
      </c>
      <c r="BF167" s="412">
        <f>'RGGI II On Bill Fin''g'!L101*'Capital Structure '!$W$34/12</f>
        <v>4355.3765998549998</v>
      </c>
      <c r="BG167" s="412">
        <f>'RGGI II On Bill Fin''g'!L101*('Capital Structure '!$H$18+'Capital Structure '!$H$21)/12</f>
        <v>14992.016692137846</v>
      </c>
      <c r="BH167" s="415">
        <f t="shared" si="185"/>
        <v>19347.393291992845</v>
      </c>
      <c r="BJ167" s="437">
        <v>0</v>
      </c>
      <c r="BK167" s="431">
        <f t="shared" si="186"/>
        <v>19347.393291992845</v>
      </c>
      <c r="BM167" s="412">
        <f>'2013 program Invest Amort Def'!AW83</f>
        <v>122026.47583333333</v>
      </c>
      <c r="BO167" s="412">
        <f>(S167)*'Capital Structure '!$J$21/12</f>
        <v>593.63412478553516</v>
      </c>
      <c r="BP167" s="412">
        <f>(S167)*'Capital Structure '!$V$34/12</f>
        <v>718.96328955423417</v>
      </c>
      <c r="BQ167" s="412">
        <f>(S167)*'Capital Structure '!$J$18/12</f>
        <v>1838.7147238012774</v>
      </c>
      <c r="BR167" s="412">
        <f>('2013 program 10 yr On Bill Fin'!M83+'2013 program 5 yr On Bill Fin'!L81+'2013 program 2 yr On Bill Fin'!M71)*'Capital Structure '!$V$34/12</f>
        <v>27044.486594236518</v>
      </c>
      <c r="BS167" s="412">
        <f>('2013 program 10 yr On Bill Fin'!M83+'2013 program 5 yr On Bill Fin'!L81+'2013 program 2 yr On Bill Fin'!M71)*('Capital Structure '!$J$18+'Capital Structure '!$J$21)/12</f>
        <v>91495.110785000012</v>
      </c>
      <c r="BT167" s="431">
        <f t="shared" si="187"/>
        <v>121690.90951737757</v>
      </c>
      <c r="BV167" s="438">
        <v>0</v>
      </c>
      <c r="BW167" s="431">
        <f t="shared" si="178"/>
        <v>243717.38535071089</v>
      </c>
      <c r="BY167" s="412">
        <f>'2015 Program Invest Amort Def'!BR58</f>
        <v>117066.19516666663</v>
      </c>
      <c r="CA167" s="412">
        <f>X167*'Capital Structure '!$R$21/12</f>
        <v>2552.4720550759243</v>
      </c>
      <c r="CB167" s="412">
        <f>(X167)*'Capital Structure '!$R$34/12</f>
        <v>2934.5562267768382</v>
      </c>
      <c r="CC167" s="412">
        <f>(X167)*'Capital Structure '!$R$18/12</f>
        <v>7504.9892260045126</v>
      </c>
      <c r="CD167" s="412">
        <f>('2015 Program 10-Year OBRP'!P58+'2015 Program 7-Year OBRP'!M58+'2015 Program 5-Year OBRP'!K58+'2015 Program 3-Year OBRP'!K58)*('Capital Structure '!$R$34/12)</f>
        <v>38555.093249552818</v>
      </c>
      <c r="CE167" s="412">
        <f>('2015 Program 10-Year OBRP'!P58+'2015 Program 7-Year OBRP'!M58+'2015 Program 5-Year OBRP'!K58+'2015 Program 3-Year OBRP'!K58)*(('Capital Structure '!$R$21/12)+('Capital Structure '!$R$18/12))</f>
        <v>132137.98870424961</v>
      </c>
      <c r="CF167" s="431">
        <f t="shared" si="188"/>
        <v>183685.0994616597</v>
      </c>
      <c r="CG167" s="373">
        <v>-15749</v>
      </c>
      <c r="CJ167" s="431">
        <f t="shared" si="179"/>
        <v>285002.29462832632</v>
      </c>
      <c r="CK167" s="431"/>
      <c r="CL167" s="431">
        <f>'2018 SUMMARY'!Q38</f>
        <v>134982.29785714287</v>
      </c>
      <c r="CM167" s="431"/>
      <c r="CN167" s="431">
        <f>'2018 SUMMARY'!S38</f>
        <v>13238.040219216036</v>
      </c>
      <c r="CO167" s="431">
        <f>'2018 SUMMARY'!T38</f>
        <v>15219.666471320914</v>
      </c>
      <c r="CP167" s="431">
        <f>'2018 SUMMARY'!U38</f>
        <v>38923.579602392754</v>
      </c>
      <c r="CQ167" s="431">
        <f>'2018 SUMMARY'!V38</f>
        <v>19494.756503509256</v>
      </c>
      <c r="CR167" s="431">
        <f>'2018 SUMMARY'!W38</f>
        <v>66813.427164585592</v>
      </c>
      <c r="CS167" s="431">
        <f t="shared" si="189"/>
        <v>153689.46996102453</v>
      </c>
      <c r="CT167" s="431">
        <v>-2061</v>
      </c>
      <c r="CU167" s="431"/>
      <c r="CV167" s="431">
        <v>39246</v>
      </c>
      <c r="CW167" s="431">
        <f t="shared" si="180"/>
        <v>325856.7678181674</v>
      </c>
      <c r="CY167" s="412">
        <f t="shared" si="190"/>
        <v>-911135.50983296125</v>
      </c>
      <c r="CZ167" s="412">
        <f t="shared" si="191"/>
        <v>-2975531.0191873498</v>
      </c>
      <c r="DA167" s="412">
        <f t="shared" si="192"/>
        <v>-1811601.5906843278</v>
      </c>
      <c r="DB167" s="417">
        <v>1.8100000000000002E-2</v>
      </c>
      <c r="DC167" s="434">
        <f t="shared" si="193"/>
        <v>-2732.4990659488612</v>
      </c>
      <c r="DE167" s="420">
        <f t="shared" si="144"/>
        <v>6.9000000000000006E-2</v>
      </c>
      <c r="DF167" s="420">
        <f t="shared" si="145"/>
        <v>8.9395292808457358E-2</v>
      </c>
      <c r="DG167" s="420">
        <f t="shared" si="146"/>
        <v>6.9470958200000016E-2</v>
      </c>
      <c r="DH167" s="420">
        <f t="shared" si="147"/>
        <v>8.974112651269997E-2</v>
      </c>
      <c r="DI167" s="353"/>
      <c r="DJ167" s="353"/>
      <c r="DK167" s="353"/>
      <c r="DL167" s="353"/>
      <c r="DM167" s="353"/>
      <c r="DN167" s="353"/>
      <c r="DO167" s="353"/>
      <c r="DP167" s="353"/>
      <c r="DQ167" s="353"/>
      <c r="DR167" s="353"/>
      <c r="DS167" s="353"/>
      <c r="DT167" s="353"/>
      <c r="DU167" s="353"/>
      <c r="DV167" s="353"/>
      <c r="DW167" s="353"/>
      <c r="DX167" s="353"/>
      <c r="DY167" s="353"/>
      <c r="DZ167" s="353"/>
      <c r="EA167" s="353"/>
      <c r="EB167" s="353"/>
      <c r="EC167" s="353"/>
      <c r="ED167" s="353"/>
      <c r="EE167" s="353"/>
      <c r="EF167" s="353"/>
      <c r="EG167" s="353"/>
      <c r="EH167" s="353"/>
      <c r="EI167" s="353"/>
      <c r="EJ167" s="353"/>
      <c r="EK167" s="353"/>
      <c r="EL167" s="353"/>
      <c r="EM167" s="353"/>
      <c r="EN167" s="353"/>
      <c r="EO167" s="353"/>
      <c r="EP167" s="353"/>
      <c r="EQ167" s="353"/>
      <c r="ER167" s="353"/>
      <c r="ES167" s="353"/>
      <c r="ET167" s="353"/>
      <c r="EU167" s="353"/>
      <c r="EV167" s="353"/>
      <c r="EW167" s="353"/>
      <c r="EX167" s="353"/>
      <c r="EY167" s="353"/>
      <c r="EZ167" s="353"/>
      <c r="FA167" s="353"/>
      <c r="FB167" s="353"/>
      <c r="FC167" s="353"/>
      <c r="FD167" s="353"/>
      <c r="FE167" s="353"/>
      <c r="FF167" s="353"/>
      <c r="FG167" s="353"/>
      <c r="FH167" s="353"/>
      <c r="FI167" s="353"/>
      <c r="FJ167" s="353"/>
      <c r="FK167" s="353"/>
      <c r="FL167" s="353"/>
      <c r="FM167" s="353"/>
      <c r="FN167" s="353"/>
      <c r="FO167" s="353"/>
      <c r="FP167" s="353"/>
      <c r="FQ167" s="353"/>
    </row>
    <row r="168" spans="1:173" s="351" customFormat="1" hidden="1" outlineLevel="1">
      <c r="A168" s="430" t="s">
        <v>54</v>
      </c>
      <c r="B168" s="351">
        <v>2020</v>
      </c>
      <c r="C168" s="411" t="s">
        <v>47</v>
      </c>
      <c r="F168" s="370"/>
      <c r="G168" s="435"/>
      <c r="H168" s="412">
        <f>'RGGI - Invest Amort deferred'!AI114</f>
        <v>0</v>
      </c>
      <c r="I168" s="412">
        <f>'RGGI - Invest Amort deferred'!AI114</f>
        <v>0</v>
      </c>
      <c r="J168" s="413">
        <f>'RGGI - Invest Amort deferred'!BL114</f>
        <v>0</v>
      </c>
      <c r="K168" s="435"/>
      <c r="L168" s="414">
        <f>'RGGI II Invest Amort Def'!AI102</f>
        <v>0</v>
      </c>
      <c r="M168" s="414">
        <f>'RGGI II Invest Amort Def'!AI102</f>
        <v>0</v>
      </c>
      <c r="N168" s="413">
        <f>'RGGI II Invest Amort Def'!BK102</f>
        <v>0</v>
      </c>
      <c r="O168" s="435"/>
      <c r="P168" s="425">
        <f>'2013 program Invest Amort Def'!AY84</f>
        <v>477712.54666665569</v>
      </c>
      <c r="Q168" s="425">
        <f>'2013 program Invest Amort Def'!AY84</f>
        <v>477712.54666665569</v>
      </c>
      <c r="R168" s="425">
        <f>'2013 program Invest Amort Def'!CQ84</f>
        <v>-134284.99686799574</v>
      </c>
      <c r="S168" s="373">
        <f t="shared" si="181"/>
        <v>343427.54979865998</v>
      </c>
      <c r="T168" s="435"/>
      <c r="U168" s="414">
        <f>'2015 Program Invest Amort Def'!BT59</f>
        <v>2298941.3156666644</v>
      </c>
      <c r="V168" s="414">
        <f>'2015 Program Invest Amort Def'!BT59</f>
        <v>2298941.3156666644</v>
      </c>
      <c r="W168" s="414">
        <f>'2015 Program Invest Amort Def'!EG59</f>
        <v>-646026.26383389987</v>
      </c>
      <c r="X168" s="397">
        <f t="shared" si="182"/>
        <v>1652915.0518327644</v>
      </c>
      <c r="Y168" s="435"/>
      <c r="Z168" s="394">
        <v>94707107.010000005</v>
      </c>
      <c r="AA168" s="480">
        <v>1.6E-2</v>
      </c>
      <c r="AB168" s="439">
        <f t="shared" si="177"/>
        <v>1515313.7121600001</v>
      </c>
      <c r="AO168" s="372">
        <f>'RGGI - Invest Amort deferred'!AG114+'RGGI CHP'!V69</f>
        <v>0</v>
      </c>
      <c r="AQ168" s="412">
        <f>(H168+J168)*'Capital Structure '!$F$21/12</f>
        <v>0</v>
      </c>
      <c r="AR168" s="412">
        <f>(H168+J168)*'Capital Structure '!$E$34/12</f>
        <v>0</v>
      </c>
      <c r="AS168" s="412">
        <f>(H168+J168)*'Capital Structure '!$F$18/12</f>
        <v>0</v>
      </c>
      <c r="AT168" s="412">
        <f>'RGGI - On-bill financing'!J114*'Capital Structure '!$P$34/12</f>
        <v>927.52242838558777</v>
      </c>
      <c r="AU168" s="412">
        <f>'RGGI - On-bill financing'!J114*('Capital Structure '!$F$18+'Capital Structure '!$F$21)/12</f>
        <v>3594.1736872940342</v>
      </c>
      <c r="AV168" s="415">
        <f t="shared" si="183"/>
        <v>4521.6961156796224</v>
      </c>
      <c r="AX168" s="415">
        <v>0</v>
      </c>
      <c r="AY168" s="431">
        <f t="shared" si="184"/>
        <v>4521.6961156796224</v>
      </c>
      <c r="BA168" s="412">
        <f>'RGGI II Invest Amort Def'!AG102</f>
        <v>0</v>
      </c>
      <c r="BC168" s="412">
        <f>(L168+N168)*'Capital Structure '!$H$21/12</f>
        <v>0</v>
      </c>
      <c r="BD168" s="412">
        <f>(L168+N168)*'Capital Structure '!$W$34/12</f>
        <v>0</v>
      </c>
      <c r="BE168" s="412">
        <f>(L168+N168)*'Capital Structure '!$H$18/12</f>
        <v>0</v>
      </c>
      <c r="BF168" s="412">
        <f>'RGGI II On Bill Fin''g'!L102*'Capital Structure '!$W$34/12</f>
        <v>4226.8526973563394</v>
      </c>
      <c r="BG168" s="412">
        <f>'RGGI II On Bill Fin''g'!L102*('Capital Structure '!$H$18+'Capital Structure '!$H$21)/12</f>
        <v>14549.613504394503</v>
      </c>
      <c r="BH168" s="415">
        <f t="shared" si="185"/>
        <v>18776.466201750842</v>
      </c>
      <c r="BJ168" s="437">
        <v>0</v>
      </c>
      <c r="BK168" s="431">
        <f t="shared" si="186"/>
        <v>18776.466201750842</v>
      </c>
      <c r="BM168" s="412">
        <f>'2013 program Invest Amort Def'!AW84</f>
        <v>110710.30916666666</v>
      </c>
      <c r="BO168" s="412">
        <f>(S168)*'Capital Structure '!$J$21/12</f>
        <v>481.94332821745292</v>
      </c>
      <c r="BP168" s="412">
        <f>(S168)*'Capital Structure '!$V$34/12</f>
        <v>583.69211971956179</v>
      </c>
      <c r="BQ168" s="412">
        <f>(S168)*'Capital Structure '!$J$18/12</f>
        <v>1492.765083124842</v>
      </c>
      <c r="BR168" s="412">
        <f>('2013 program 10 yr On Bill Fin'!M84+'2013 program 5 yr On Bill Fin'!L82+'2013 program 2 yr On Bill Fin'!M72)*'Capital Structure '!$V$34/12</f>
        <v>26555.38672047928</v>
      </c>
      <c r="BS168" s="412">
        <f>('2013 program 10 yr On Bill Fin'!M84+'2013 program 5 yr On Bill Fin'!L82+'2013 program 2 yr On Bill Fin'!M72)*('Capital Structure '!$J$18+'Capital Structure '!$J$21)/12</f>
        <v>89840.420577500015</v>
      </c>
      <c r="BT168" s="431">
        <f t="shared" si="187"/>
        <v>118954.20782904114</v>
      </c>
      <c r="BV168" s="438">
        <v>0</v>
      </c>
      <c r="BW168" s="431">
        <f t="shared" si="178"/>
        <v>229664.51699570782</v>
      </c>
      <c r="BY168" s="412">
        <f>'2015 Program Invest Amort Def'!BR59</f>
        <v>117066.19516666663</v>
      </c>
      <c r="CA168" s="412">
        <f>X168*'Capital Structure '!$R$21/12</f>
        <v>2428.5396822511921</v>
      </c>
      <c r="CB168" s="412">
        <f>(X168)*'Capital Structure '!$R$34/12</f>
        <v>2792.0721922704429</v>
      </c>
      <c r="CC168" s="412">
        <f>(X168)*'Capital Structure '!$R$18/12</f>
        <v>7140.5930239175432</v>
      </c>
      <c r="CD168" s="412">
        <f>('2015 Program 10-Year OBRP'!P59+'2015 Program 7-Year OBRP'!M59+'2015 Program 5-Year OBRP'!K59+'2015 Program 3-Year OBRP'!K59)*('Capital Structure '!$R$34/12)</f>
        <v>37509.056163075358</v>
      </c>
      <c r="CE168" s="412">
        <f>('2015 Program 10-Year OBRP'!P59+'2015 Program 7-Year OBRP'!M59+'2015 Program 5-Year OBRP'!K59+'2015 Program 3-Year OBRP'!K59)*(('Capital Structure '!$R$21/12)+('Capital Structure '!$R$18/12))</f>
        <v>128552.95686883089</v>
      </c>
      <c r="CF168" s="431">
        <f t="shared" si="188"/>
        <v>178423.21793034545</v>
      </c>
      <c r="CG168" s="373">
        <f>-18301.06+1275.7+1080.64</f>
        <v>-15944.720000000001</v>
      </c>
      <c r="CJ168" s="431">
        <f t="shared" si="179"/>
        <v>279544.69309701212</v>
      </c>
      <c r="CK168" s="431"/>
      <c r="CL168" s="431">
        <f>'2018 SUMMARY'!Q39</f>
        <v>139625.29845238096</v>
      </c>
      <c r="CM168" s="431"/>
      <c r="CN168" s="431">
        <f>'2018 SUMMARY'!S39</f>
        <v>13295.126056458546</v>
      </c>
      <c r="CO168" s="431">
        <f>'2018 SUMMARY'!T39</f>
        <v>15285.297591084845</v>
      </c>
      <c r="CP168" s="431">
        <f>'2018 SUMMARY'!U39</f>
        <v>39091.428097584117</v>
      </c>
      <c r="CQ168" s="431">
        <f>'2018 SUMMARY'!V39</f>
        <v>20705.504146638923</v>
      </c>
      <c r="CR168" s="431">
        <f>'2018 SUMMARY'!W39</f>
        <v>70962.963449092465</v>
      </c>
      <c r="CS168" s="431">
        <f t="shared" si="189"/>
        <v>159340.3193408589</v>
      </c>
      <c r="CT168" s="431">
        <f>-1275.27-1080.64</f>
        <v>-2355.91</v>
      </c>
      <c r="CU168" s="431"/>
      <c r="CV168" s="431">
        <v>45642</v>
      </c>
      <c r="CW168" s="431">
        <f t="shared" si="180"/>
        <v>342251.70779323985</v>
      </c>
      <c r="CY168" s="412">
        <f t="shared" si="190"/>
        <v>-640554.63195660978</v>
      </c>
      <c r="CZ168" s="412">
        <f t="shared" si="191"/>
        <v>-3616085.6511439597</v>
      </c>
      <c r="DA168" s="412">
        <f t="shared" si="192"/>
        <v>-2369356.612150589</v>
      </c>
      <c r="DB168" s="417">
        <v>1.7299999999999999E-2</v>
      </c>
      <c r="DC168" s="434">
        <f t="shared" si="193"/>
        <v>-3415.8224491837659</v>
      </c>
      <c r="DE168" s="420">
        <f t="shared" si="144"/>
        <v>6.9000000000000006E-2</v>
      </c>
      <c r="DF168" s="420">
        <f t="shared" si="145"/>
        <v>8.9395292808457372E-2</v>
      </c>
      <c r="DG168" s="420">
        <f t="shared" si="146"/>
        <v>6.9470958200000016E-2</v>
      </c>
      <c r="DH168" s="420">
        <f t="shared" si="147"/>
        <v>8.974112651269997E-2</v>
      </c>
      <c r="DI168" s="353"/>
      <c r="DJ168" s="353"/>
      <c r="DK168" s="353"/>
      <c r="DL168" s="353"/>
      <c r="DM168" s="353"/>
      <c r="DN168" s="353"/>
      <c r="DO168" s="353"/>
      <c r="DP168" s="353"/>
      <c r="DQ168" s="353"/>
      <c r="DR168" s="353"/>
      <c r="DS168" s="353"/>
      <c r="DT168" s="353"/>
      <c r="DU168" s="353"/>
      <c r="DV168" s="353"/>
      <c r="DW168" s="353"/>
      <c r="DX168" s="353"/>
      <c r="DY168" s="353"/>
      <c r="DZ168" s="353"/>
      <c r="EA168" s="353"/>
      <c r="EB168" s="353"/>
      <c r="EC168" s="353"/>
      <c r="ED168" s="353"/>
      <c r="EE168" s="353"/>
      <c r="EF168" s="353"/>
      <c r="EG168" s="353"/>
      <c r="EH168" s="353"/>
      <c r="EI168" s="353"/>
      <c r="EJ168" s="353"/>
      <c r="EK168" s="353"/>
      <c r="EL168" s="353"/>
      <c r="EM168" s="353"/>
      <c r="EN168" s="353"/>
      <c r="EO168" s="353"/>
      <c r="EP168" s="353"/>
      <c r="EQ168" s="353"/>
      <c r="ER168" s="353"/>
      <c r="ES168" s="353"/>
      <c r="ET168" s="353"/>
      <c r="EU168" s="353"/>
      <c r="EV168" s="353"/>
      <c r="EW168" s="353"/>
      <c r="EX168" s="353"/>
      <c r="EY168" s="353"/>
      <c r="EZ168" s="353"/>
      <c r="FA168" s="353"/>
      <c r="FB168" s="353"/>
      <c r="FC168" s="353"/>
      <c r="FD168" s="353"/>
      <c r="FE168" s="353"/>
      <c r="FF168" s="353"/>
      <c r="FG168" s="353"/>
      <c r="FH168" s="353"/>
      <c r="FI168" s="353"/>
      <c r="FJ168" s="353"/>
      <c r="FK168" s="353"/>
      <c r="FL168" s="353"/>
      <c r="FM168" s="353"/>
      <c r="FN168" s="353"/>
      <c r="FO168" s="353"/>
      <c r="FP168" s="353"/>
      <c r="FQ168" s="353"/>
    </row>
    <row r="169" spans="1:173" s="351" customFormat="1" hidden="1" outlineLevel="1">
      <c r="A169" s="430" t="s">
        <v>55</v>
      </c>
      <c r="B169" s="351">
        <v>2020</v>
      </c>
      <c r="C169" s="411" t="s">
        <v>47</v>
      </c>
      <c r="F169" s="370"/>
      <c r="G169" s="435"/>
      <c r="H169" s="412">
        <f>'RGGI - Invest Amort deferred'!AI115</f>
        <v>0</v>
      </c>
      <c r="I169" s="412">
        <f>'RGGI - Invest Amort deferred'!AI115</f>
        <v>0</v>
      </c>
      <c r="J169" s="413">
        <f>'RGGI - Invest Amort deferred'!BL115</f>
        <v>0</v>
      </c>
      <c r="K169" s="435"/>
      <c r="L169" s="414">
        <f>'RGGI II Invest Amort Def'!AI103</f>
        <v>0</v>
      </c>
      <c r="M169" s="414">
        <f>'RGGI II Invest Amort Def'!AI103</f>
        <v>0</v>
      </c>
      <c r="N169" s="413">
        <f>'RGGI II Invest Amort Def'!BK103</f>
        <v>0</v>
      </c>
      <c r="O169" s="435"/>
      <c r="P169" s="425">
        <f>'2013 program Invest Amort Def'!AY85</f>
        <v>380670.78749999031</v>
      </c>
      <c r="Q169" s="425">
        <f>'2013 program Invest Amort Def'!AY85</f>
        <v>380670.78749999031</v>
      </c>
      <c r="R169" s="425">
        <f>'2013 program Invest Amort Def'!CQ85</f>
        <v>-107006.55836624574</v>
      </c>
      <c r="S169" s="373">
        <f t="shared" si="181"/>
        <v>273664.22913374461</v>
      </c>
      <c r="T169" s="435"/>
      <c r="U169" s="414">
        <f>'2015 Program Invest Amort Def'!BT60</f>
        <v>2182366.7871666644</v>
      </c>
      <c r="V169" s="414">
        <f>'2015 Program Invest Amort Def'!BT60</f>
        <v>2182366.7871666644</v>
      </c>
      <c r="W169" s="414">
        <f>'2015 Program Invest Amort Def'!EG60</f>
        <v>-613191.57387254992</v>
      </c>
      <c r="X169" s="397">
        <f t="shared" si="182"/>
        <v>1569175.2132941145</v>
      </c>
      <c r="Y169" s="435"/>
      <c r="Z169" s="394">
        <v>72845010.840000004</v>
      </c>
      <c r="AA169" s="480">
        <v>1.6E-2</v>
      </c>
      <c r="AB169" s="439">
        <f t="shared" si="177"/>
        <v>1165520.17344</v>
      </c>
      <c r="AO169" s="372">
        <f>'RGGI - Invest Amort deferred'!AG115+'RGGI CHP'!V70</f>
        <v>0</v>
      </c>
      <c r="AQ169" s="412">
        <f>(H169+J169)*'Capital Structure '!$F$21/12</f>
        <v>0</v>
      </c>
      <c r="AR169" s="412">
        <f>(H169+J169)*'Capital Structure '!$E$34/12</f>
        <v>0</v>
      </c>
      <c r="AS169" s="412">
        <f>(H169+J169)*'Capital Structure '!$F$18/12</f>
        <v>0</v>
      </c>
      <c r="AT169" s="412">
        <f>'RGGI - On-bill financing'!J115*'Capital Structure '!$P$34/12</f>
        <v>875.47657739323847</v>
      </c>
      <c r="AU169" s="412">
        <f>'RGGI - On-bill financing'!J115*('Capital Structure '!$F$18+'Capital Structure '!$F$21)/12</f>
        <v>3392.4946524321804</v>
      </c>
      <c r="AV169" s="415">
        <f t="shared" si="183"/>
        <v>4267.971229825419</v>
      </c>
      <c r="AX169" s="415">
        <v>0</v>
      </c>
      <c r="AY169" s="431">
        <f t="shared" si="184"/>
        <v>4267.971229825419</v>
      </c>
      <c r="BA169" s="412">
        <f>'RGGI II Invest Amort Def'!AG103</f>
        <v>0</v>
      </c>
      <c r="BC169" s="412">
        <f>(L169+N169)*'Capital Structure '!$H$21/12</f>
        <v>0</v>
      </c>
      <c r="BD169" s="412">
        <f>(L169+N169)*'Capital Structure '!$W$34/12</f>
        <v>0</v>
      </c>
      <c r="BE169" s="412">
        <f>(L169+N169)*'Capital Structure '!$H$18/12</f>
        <v>0</v>
      </c>
      <c r="BF169" s="412">
        <f>'RGGI II On Bill Fin''g'!L103*'Capital Structure '!$W$34/12</f>
        <v>4085.7093125936058</v>
      </c>
      <c r="BG169" s="412">
        <f>'RGGI II On Bill Fin''g'!L103*('Capital Structure '!$H$18+'Capital Structure '!$H$21)/12</f>
        <v>14063.771710502746</v>
      </c>
      <c r="BH169" s="415">
        <f t="shared" si="185"/>
        <v>18149.481023096352</v>
      </c>
      <c r="BJ169" s="437">
        <v>0</v>
      </c>
      <c r="BK169" s="431">
        <f t="shared" si="186"/>
        <v>18149.481023096352</v>
      </c>
      <c r="BM169" s="412">
        <f>'2013 program Invest Amort Def'!AW85</f>
        <v>97041.75916666667</v>
      </c>
      <c r="BO169" s="412">
        <f>(S169)*'Capital Structure '!$J$21/12</f>
        <v>384.04213488435494</v>
      </c>
      <c r="BP169" s="412">
        <f>(S169)*'Capital Structure '!$V$34/12</f>
        <v>465.12184036529067</v>
      </c>
      <c r="BQ169" s="412">
        <f>(S169)*'Capital Structure '!$J$18/12</f>
        <v>1189.5271826346766</v>
      </c>
      <c r="BR169" s="412">
        <f>('2013 program 10 yr On Bill Fin'!M85+'2013 program 5 yr On Bill Fin'!L83+'2013 program 2 yr On Bill Fin'!M73)*'Capital Structure '!$V$34/12</f>
        <v>25948.742808643754</v>
      </c>
      <c r="BS169" s="412">
        <f>('2013 program 10 yr On Bill Fin'!M85+'2013 program 5 yr On Bill Fin'!L83+'2013 program 2 yr On Bill Fin'!M73)*('Capital Structure '!$J$18+'Capital Structure '!$J$21)/12</f>
        <v>87788.063187500011</v>
      </c>
      <c r="BT169" s="431">
        <f t="shared" si="187"/>
        <v>115775.49715402808</v>
      </c>
      <c r="BV169" s="438">
        <v>0</v>
      </c>
      <c r="BW169" s="431">
        <f t="shared" si="178"/>
        <v>212817.25632069475</v>
      </c>
      <c r="BY169" s="412">
        <f>'2015 Program Invest Amort Def'!BR60</f>
        <v>117074.52849999996</v>
      </c>
      <c r="CA169" s="412">
        <f>X169*'Capital Structure '!$R$21/12</f>
        <v>2305.5052161720514</v>
      </c>
      <c r="CB169" s="412">
        <f>(X169)*'Capital Structure '!$R$34/12</f>
        <v>2650.620473799047</v>
      </c>
      <c r="CC169" s="412">
        <f>(X169)*'Capital Structure '!$R$18/12</f>
        <v>6778.8369214305749</v>
      </c>
      <c r="CD169" s="412">
        <f>('2015 Program 10-Year OBRP'!P60+'2015 Program 7-Year OBRP'!M60+'2015 Program 5-Year OBRP'!K60+'2015 Program 3-Year OBRP'!K60)*('Capital Structure '!$R$34/12)</f>
        <v>36583.863029571847</v>
      </c>
      <c r="CE169" s="412">
        <f>('2015 Program 10-Year OBRP'!P60+'2015 Program 7-Year OBRP'!M60+'2015 Program 5-Year OBRP'!K60+'2015 Program 3-Year OBRP'!K60)*(('Capital Structure '!$R$21/12)+('Capital Structure '!$R$18/12))</f>
        <v>125382.08761342961</v>
      </c>
      <c r="CF169" s="431">
        <f t="shared" si="188"/>
        <v>173700.91325440313</v>
      </c>
      <c r="CG169" s="373">
        <f>-16927+1016.68+1296.08</f>
        <v>-14614.24</v>
      </c>
      <c r="CJ169" s="431">
        <f t="shared" si="179"/>
        <v>276161.20175440307</v>
      </c>
      <c r="CK169" s="431"/>
      <c r="CL169" s="431">
        <f>'2018 SUMMARY'!Q40</f>
        <v>149521.68726190476</v>
      </c>
      <c r="CM169" s="431"/>
      <c r="CN169" s="431">
        <f>'2018 SUMMARY'!S40</f>
        <v>13994.262904592557</v>
      </c>
      <c r="CO169" s="431">
        <f>'2018 SUMMARY'!T40</f>
        <v>16089.089502138604</v>
      </c>
      <c r="CP169" s="431">
        <f>'2018 SUMMARY'!U40</f>
        <v>41147.088022367279</v>
      </c>
      <c r="CQ169" s="431">
        <f>'2018 SUMMARY'!V40</f>
        <v>22768.043890447301</v>
      </c>
      <c r="CR169" s="431">
        <f>'2018 SUMMARY'!W40</f>
        <v>78031.805212886611</v>
      </c>
      <c r="CS169" s="431">
        <f t="shared" si="189"/>
        <v>172030.28953243233</v>
      </c>
      <c r="CT169" s="431">
        <f>-1016.68-1296.09</f>
        <v>-2312.77</v>
      </c>
      <c r="CU169" s="431"/>
      <c r="CV169" s="562">
        <v>75380</v>
      </c>
      <c r="CW169" s="431">
        <f t="shared" si="180"/>
        <v>394619.20679433714</v>
      </c>
      <c r="CY169" s="412">
        <f t="shared" si="190"/>
        <v>-259505.05631764326</v>
      </c>
      <c r="CZ169" s="412">
        <f t="shared" si="191"/>
        <v>-3875590.707461603</v>
      </c>
      <c r="DA169" s="412">
        <f t="shared" si="192"/>
        <v>-2692883.0671007694</v>
      </c>
      <c r="DB169" s="417">
        <v>1.6799999999999999E-2</v>
      </c>
      <c r="DC169" s="434">
        <f t="shared" si="193"/>
        <v>-3770.036293941077</v>
      </c>
      <c r="DE169" s="420">
        <f t="shared" si="144"/>
        <v>6.9000000000000006E-2</v>
      </c>
      <c r="DF169" s="420">
        <f t="shared" si="145"/>
        <v>8.9395292808457358E-2</v>
      </c>
      <c r="DG169" s="420">
        <f t="shared" si="146"/>
        <v>6.9470958200000016E-2</v>
      </c>
      <c r="DH169" s="420">
        <f t="shared" si="147"/>
        <v>8.974112651269997E-2</v>
      </c>
      <c r="DI169" s="353"/>
      <c r="DJ169" s="353"/>
      <c r="DK169" s="353"/>
      <c r="DL169" s="353"/>
      <c r="DM169" s="353"/>
      <c r="DN169" s="353"/>
      <c r="DO169" s="353"/>
      <c r="DP169" s="353"/>
      <c r="DQ169" s="353"/>
      <c r="DR169" s="353"/>
      <c r="DS169" s="353"/>
      <c r="DT169" s="353"/>
      <c r="DU169" s="353"/>
      <c r="DV169" s="353"/>
      <c r="DW169" s="353"/>
      <c r="DX169" s="353"/>
      <c r="DY169" s="353"/>
      <c r="DZ169" s="353"/>
      <c r="EA169" s="353"/>
      <c r="EB169" s="353"/>
      <c r="EC169" s="353"/>
      <c r="ED169" s="353"/>
      <c r="EE169" s="353"/>
      <c r="EF169" s="353"/>
      <c r="EG169" s="353"/>
      <c r="EH169" s="353"/>
      <c r="EI169" s="353"/>
      <c r="EJ169" s="353"/>
      <c r="EK169" s="353"/>
      <c r="EL169" s="353"/>
      <c r="EM169" s="353"/>
      <c r="EN169" s="353"/>
      <c r="EO169" s="353"/>
      <c r="EP169" s="353"/>
      <c r="EQ169" s="353"/>
      <c r="ER169" s="353"/>
      <c r="ES169" s="353"/>
      <c r="ET169" s="353"/>
      <c r="EU169" s="353"/>
      <c r="EV169" s="353"/>
      <c r="EW169" s="353"/>
      <c r="EX169" s="353"/>
      <c r="EY169" s="353"/>
      <c r="EZ169" s="353"/>
      <c r="FA169" s="353"/>
      <c r="FB169" s="353"/>
      <c r="FC169" s="353"/>
      <c r="FD169" s="353"/>
      <c r="FE169" s="353"/>
      <c r="FF169" s="353"/>
      <c r="FG169" s="353"/>
      <c r="FH169" s="353"/>
      <c r="FI169" s="353"/>
      <c r="FJ169" s="353"/>
      <c r="FK169" s="353"/>
      <c r="FL169" s="353"/>
      <c r="FM169" s="353"/>
      <c r="FN169" s="353"/>
      <c r="FO169" s="353"/>
      <c r="FP169" s="353"/>
      <c r="FQ169" s="353"/>
    </row>
    <row r="170" spans="1:173" s="351" customFormat="1" hidden="1" outlineLevel="1">
      <c r="A170" s="430" t="s">
        <v>56</v>
      </c>
      <c r="B170" s="351">
        <v>2020</v>
      </c>
      <c r="C170" s="411" t="s">
        <v>47</v>
      </c>
      <c r="F170" s="370"/>
      <c r="G170" s="435"/>
      <c r="H170" s="412">
        <f>'RGGI - Invest Amort deferred'!AI116</f>
        <v>0</v>
      </c>
      <c r="I170" s="412">
        <f>'RGGI - Invest Amort deferred'!AI116</f>
        <v>0</v>
      </c>
      <c r="J170" s="413">
        <f>'RGGI - Invest Amort deferred'!BL116</f>
        <v>0</v>
      </c>
      <c r="K170" s="435"/>
      <c r="L170" s="414">
        <f>'RGGI II Invest Amort Def'!AI104</f>
        <v>0</v>
      </c>
      <c r="M170" s="414">
        <f>'RGGI II Invest Amort Def'!AI104</f>
        <v>0</v>
      </c>
      <c r="N170" s="413">
        <f>'RGGI II Invest Amort Def'!BK104</f>
        <v>0</v>
      </c>
      <c r="O170" s="435"/>
      <c r="P170" s="425">
        <f>'2013 program Invest Amort Def'!AY86</f>
        <v>294990.21166665852</v>
      </c>
      <c r="Q170" s="425">
        <f>'2013 program Invest Amort Def'!AY86</f>
        <v>294990.21166665852</v>
      </c>
      <c r="R170" s="425">
        <f>'2013 program Invest Amort Def'!CQ86</f>
        <v>-82921.748499495734</v>
      </c>
      <c r="S170" s="373">
        <f t="shared" si="181"/>
        <v>212068.46316716279</v>
      </c>
      <c r="T170" s="435"/>
      <c r="U170" s="414">
        <f>'2015 Program Invest Amort Def'!BT61</f>
        <v>2065292.2586666644</v>
      </c>
      <c r="V170" s="414">
        <f>'2015 Program Invest Amort Def'!BT61</f>
        <v>2065292.2586666644</v>
      </c>
      <c r="W170" s="414">
        <f>'2015 Program Invest Amort Def'!EG61</f>
        <v>-580331.11641119991</v>
      </c>
      <c r="X170" s="397">
        <f t="shared" si="182"/>
        <v>1484961.1422554646</v>
      </c>
      <c r="Y170" s="435"/>
      <c r="Z170" s="394">
        <v>58740200.610000007</v>
      </c>
      <c r="AA170" s="480">
        <v>1.6E-2</v>
      </c>
      <c r="AB170" s="439">
        <f t="shared" si="177"/>
        <v>939843.20976000011</v>
      </c>
      <c r="AO170" s="372">
        <f>'RGGI - Invest Amort deferred'!AG116+'RGGI CHP'!V71</f>
        <v>0</v>
      </c>
      <c r="AQ170" s="412">
        <f>(H170+J170)*'Capital Structure '!$F$21/12</f>
        <v>0</v>
      </c>
      <c r="AR170" s="412">
        <f>(H170+J170)*'Capital Structure '!$E$34/12</f>
        <v>0</v>
      </c>
      <c r="AS170" s="412">
        <f>(H170+J170)*'Capital Structure '!$F$18/12</f>
        <v>0</v>
      </c>
      <c r="AT170" s="412">
        <f>'RGGI - On-bill financing'!J116*'Capital Structure '!$P$34/12</f>
        <v>827.84989002531518</v>
      </c>
      <c r="AU170" s="412">
        <f>'RGGI - On-bill financing'!J116*('Capital Structure '!$F$18+'Capital Structure '!$F$21)/12</f>
        <v>3207.9399922837279</v>
      </c>
      <c r="AV170" s="415">
        <f t="shared" si="183"/>
        <v>4035.7898823090432</v>
      </c>
      <c r="AX170" s="415">
        <v>0</v>
      </c>
      <c r="AY170" s="431">
        <f t="shared" si="184"/>
        <v>4035.7898823090432</v>
      </c>
      <c r="BA170" s="412">
        <f>'RGGI II Invest Amort Def'!AG104</f>
        <v>0</v>
      </c>
      <c r="BC170" s="412">
        <f>(L170+N170)*'Capital Structure '!$H$21/12</f>
        <v>0</v>
      </c>
      <c r="BD170" s="412">
        <f>(L170+N170)*'Capital Structure '!$W$34/12</f>
        <v>0</v>
      </c>
      <c r="BE170" s="412">
        <f>(L170+N170)*'Capital Structure '!$H$18/12</f>
        <v>0</v>
      </c>
      <c r="BF170" s="412">
        <f>'RGGI II On Bill Fin''g'!L104*'Capital Structure '!$W$34/12</f>
        <v>3939.6838356572193</v>
      </c>
      <c r="BG170" s="412">
        <f>'RGGI II On Bill Fin''g'!L104*('Capital Structure '!$H$18+'Capital Structure '!$H$21)/12</f>
        <v>13561.124846904182</v>
      </c>
      <c r="BH170" s="415">
        <f t="shared" si="185"/>
        <v>17500.808682561401</v>
      </c>
      <c r="BJ170" s="437">
        <v>0</v>
      </c>
      <c r="BK170" s="431">
        <f t="shared" si="186"/>
        <v>17500.808682561401</v>
      </c>
      <c r="BM170" s="412">
        <f>'2013 program Invest Amort Def'!AW86</f>
        <v>85680.575833333336</v>
      </c>
      <c r="BO170" s="412">
        <f>(S170)*'Capital Structure '!$J$21/12</f>
        <v>297.6027433112518</v>
      </c>
      <c r="BP170" s="412">
        <f>(S170)*'Capital Structure '!$V$34/12</f>
        <v>360.43320014448659</v>
      </c>
      <c r="BQ170" s="412">
        <f>(S170)*'Capital Structure '!$J$18/12</f>
        <v>921.79091989993424</v>
      </c>
      <c r="BR170" s="412">
        <f>('2013 program 10 yr On Bill Fin'!M86+'2013 program 5 yr On Bill Fin'!L84+'2013 program 2 yr On Bill Fin'!M74)*'Capital Structure '!$V$34/12</f>
        <v>25374.966998918007</v>
      </c>
      <c r="BS170" s="412">
        <f>('2013 program 10 yr On Bill Fin'!M86+'2013 program 5 yr On Bill Fin'!L84+'2013 program 2 yr On Bill Fin'!M74)*('Capital Structure '!$J$18+'Capital Structure '!$J$21)/12</f>
        <v>85846.902977500009</v>
      </c>
      <c r="BT170" s="431">
        <f t="shared" si="187"/>
        <v>112801.69683977369</v>
      </c>
      <c r="BV170" s="438">
        <v>0</v>
      </c>
      <c r="BW170" s="431">
        <f t="shared" si="178"/>
        <v>198482.27267310704</v>
      </c>
      <c r="BY170" s="412">
        <f>'2015 Program Invest Amort Def'!BR61</f>
        <v>117074.52849999996</v>
      </c>
      <c r="CA170" s="412">
        <f>X170*'Capital Structure '!$R$21/12</f>
        <v>2181.7739856441958</v>
      </c>
      <c r="CB170" s="412">
        <f>(X170)*'Capital Structure '!$R$34/12</f>
        <v>2508.3676909447881</v>
      </c>
      <c r="CC170" s="412">
        <f>(X170)*'Capital Structure '!$R$18/12</f>
        <v>6415.0321345436068</v>
      </c>
      <c r="CD170" s="412">
        <f>('2015 Program 10-Year OBRP'!P61+'2015 Program 7-Year OBRP'!M61+'2015 Program 5-Year OBRP'!K61+'2015 Program 3-Year OBRP'!K61)*('Capital Structure '!$R$34/12)</f>
        <v>35669.384825281071</v>
      </c>
      <c r="CE170" s="412">
        <f>('2015 Program 10-Year OBRP'!P61+'2015 Program 7-Year OBRP'!M61+'2015 Program 5-Year OBRP'!K61+'2015 Program 3-Year OBRP'!K61)*(('Capital Structure '!$R$21/12)+('Capital Structure '!$R$18/12))</f>
        <v>122247.94111178008</v>
      </c>
      <c r="CF170" s="431">
        <f t="shared" si="188"/>
        <v>169022.49974819375</v>
      </c>
      <c r="CG170" s="373">
        <f>-19290.34+922.25+1479.37</f>
        <v>-16888.72</v>
      </c>
      <c r="CJ170" s="431">
        <f t="shared" si="179"/>
        <v>269208.3082481937</v>
      </c>
      <c r="CK170" s="431"/>
      <c r="CL170" s="431">
        <f>'2018 SUMMARY'!Q41</f>
        <v>160685.29107142857</v>
      </c>
      <c r="CM170" s="431"/>
      <c r="CN170" s="431">
        <f>'2018 SUMMARY'!S41</f>
        <v>14850.484137027743</v>
      </c>
      <c r="CO170" s="431">
        <f>'2018 SUMMARY'!T41</f>
        <v>17073.480043905565</v>
      </c>
      <c r="CP170" s="431">
        <f>'2018 SUMMARY'!U41</f>
        <v>43664.620432457166</v>
      </c>
      <c r="CQ170" s="431">
        <f>'2018 SUMMARY'!V41</f>
        <v>24018.794068853418</v>
      </c>
      <c r="CR170" s="431">
        <f>'2018 SUMMARY'!W41</f>
        <v>82318.44023348749</v>
      </c>
      <c r="CS170" s="431">
        <f t="shared" si="189"/>
        <v>181925.81891573139</v>
      </c>
      <c r="CT170" s="431">
        <f>-922.25-1479.7</f>
        <v>-2401.9499999999998</v>
      </c>
      <c r="CU170" s="431"/>
      <c r="CV170" s="431">
        <v>44761</v>
      </c>
      <c r="CW170" s="431">
        <f t="shared" si="180"/>
        <v>384970.15998715995</v>
      </c>
      <c r="CY170" s="412">
        <f t="shared" si="190"/>
        <v>-65645.870286669</v>
      </c>
      <c r="CZ170" s="412">
        <f t="shared" si="191"/>
        <v>-3941236.5777482721</v>
      </c>
      <c r="DA170" s="412">
        <f t="shared" si="192"/>
        <v>-2809758.5676686899</v>
      </c>
      <c r="DB170" s="417">
        <v>1.6799999999999999E-2</v>
      </c>
      <c r="DC170" s="434">
        <f t="shared" si="193"/>
        <v>-3933.6619947361655</v>
      </c>
      <c r="DE170" s="420">
        <f t="shared" si="144"/>
        <v>6.9000000000000006E-2</v>
      </c>
      <c r="DF170" s="420">
        <f t="shared" si="145"/>
        <v>8.9395292808457372E-2</v>
      </c>
      <c r="DG170" s="420">
        <f t="shared" si="146"/>
        <v>6.9470958200000002E-2</v>
      </c>
      <c r="DH170" s="420">
        <f t="shared" si="147"/>
        <v>8.9741126512699956E-2</v>
      </c>
      <c r="DI170" s="353"/>
      <c r="DJ170" s="353"/>
      <c r="DK170" s="353"/>
      <c r="DL170" s="353"/>
      <c r="DM170" s="353"/>
      <c r="DN170" s="353"/>
      <c r="DO170" s="353"/>
      <c r="DP170" s="353"/>
      <c r="DQ170" s="353"/>
      <c r="DR170" s="353"/>
      <c r="DS170" s="353"/>
      <c r="DT170" s="353"/>
      <c r="DU170" s="353"/>
      <c r="DV170" s="353"/>
      <c r="DW170" s="353"/>
      <c r="DX170" s="353"/>
      <c r="DY170" s="353"/>
      <c r="DZ170" s="353"/>
      <c r="EA170" s="353"/>
      <c r="EB170" s="353"/>
      <c r="EC170" s="353"/>
      <c r="ED170" s="353"/>
      <c r="EE170" s="353"/>
      <c r="EF170" s="353"/>
      <c r="EG170" s="353"/>
      <c r="EH170" s="353"/>
      <c r="EI170" s="353"/>
      <c r="EJ170" s="353"/>
      <c r="EK170" s="353"/>
      <c r="EL170" s="353"/>
      <c r="EM170" s="353"/>
      <c r="EN170" s="353"/>
      <c r="EO170" s="353"/>
      <c r="EP170" s="353"/>
      <c r="EQ170" s="353"/>
      <c r="ER170" s="353"/>
      <c r="ES170" s="353"/>
      <c r="ET170" s="353"/>
      <c r="EU170" s="353"/>
      <c r="EV170" s="353"/>
      <c r="EW170" s="353"/>
      <c r="EX170" s="353"/>
      <c r="EY170" s="353"/>
      <c r="EZ170" s="353"/>
      <c r="FA170" s="353"/>
      <c r="FB170" s="353"/>
      <c r="FC170" s="353"/>
      <c r="FD170" s="353"/>
      <c r="FE170" s="353"/>
      <c r="FF170" s="353"/>
      <c r="FG170" s="353"/>
      <c r="FH170" s="353"/>
      <c r="FI170" s="353"/>
      <c r="FJ170" s="353"/>
      <c r="FK170" s="353"/>
      <c r="FL170" s="353"/>
      <c r="FM170" s="353"/>
      <c r="FN170" s="353"/>
      <c r="FO170" s="353"/>
      <c r="FP170" s="353"/>
      <c r="FQ170" s="353"/>
    </row>
    <row r="171" spans="1:173" s="351" customFormat="1" hidden="1" outlineLevel="1">
      <c r="A171" s="430" t="s">
        <v>57</v>
      </c>
      <c r="B171" s="351">
        <v>2020</v>
      </c>
      <c r="C171" s="411" t="s">
        <v>47</v>
      </c>
      <c r="F171" s="370"/>
      <c r="G171" s="435"/>
      <c r="H171" s="412">
        <f>'RGGI - Invest Amort deferred'!AI117</f>
        <v>0</v>
      </c>
      <c r="I171" s="412">
        <f>'RGGI - Invest Amort deferred'!AI117</f>
        <v>0</v>
      </c>
      <c r="J171" s="413">
        <f>'RGGI - Invest Amort deferred'!BL117</f>
        <v>0</v>
      </c>
      <c r="K171" s="435"/>
      <c r="L171" s="414">
        <f>'RGGI II Invest Amort Def'!AI105</f>
        <v>0</v>
      </c>
      <c r="M171" s="414">
        <f>'RGGI II Invest Amort Def'!AI105</f>
        <v>0</v>
      </c>
      <c r="N171" s="413">
        <f>'RGGI II Invest Amort Def'!BK105</f>
        <v>0</v>
      </c>
      <c r="O171" s="435"/>
      <c r="P171" s="425">
        <f>'2013 program Invest Amort Def'!AY87</f>
        <v>221010.42249999195</v>
      </c>
      <c r="Q171" s="425">
        <f>'2013 program Invest Amort Def'!AY87</f>
        <v>221010.42249999195</v>
      </c>
      <c r="R171" s="425">
        <f>'2013 program Invest Amort Def'!CQ87</f>
        <v>-62126.029764745734</v>
      </c>
      <c r="S171" s="373">
        <f t="shared" si="181"/>
        <v>158884.39273524622</v>
      </c>
      <c r="T171" s="435"/>
      <c r="U171" s="414">
        <f>'2015 Program Invest Amort Def'!BT62</f>
        <v>1948217.7301666643</v>
      </c>
      <c r="V171" s="414">
        <f>'2015 Program Invest Amort Def'!BT62</f>
        <v>1948217.7301666643</v>
      </c>
      <c r="W171" s="414">
        <f>'2015 Program Invest Amort Def'!EG62</f>
        <v>-547458.94644984987</v>
      </c>
      <c r="X171" s="397">
        <f t="shared" si="182"/>
        <v>1400758.7837168146</v>
      </c>
      <c r="Y171" s="435"/>
      <c r="Z171" s="394">
        <v>32158508.440000001</v>
      </c>
      <c r="AA171" s="480">
        <v>1.6E-2</v>
      </c>
      <c r="AB171" s="439">
        <f t="shared" si="177"/>
        <v>514536.13504000002</v>
      </c>
      <c r="AO171" s="372">
        <f>'RGGI - Invest Amort deferred'!AG117+'RGGI CHP'!V72</f>
        <v>0</v>
      </c>
      <c r="AQ171" s="412">
        <f>(H171+J171)*'Capital Structure '!$F$21/12</f>
        <v>0</v>
      </c>
      <c r="AR171" s="412">
        <f>(H171+J171)*'Capital Structure '!$E$34/12</f>
        <v>0</v>
      </c>
      <c r="AS171" s="412">
        <f>(H171+J171)*'Capital Structure '!$F$18/12</f>
        <v>0</v>
      </c>
      <c r="AT171" s="412">
        <f>'RGGI - On-bill financing'!J117*'Capital Structure '!$P$34/12</f>
        <v>779.13713871748405</v>
      </c>
      <c r="AU171" s="412">
        <f>'RGGI - On-bill financing'!J117*('Capital Structure '!$F$18+'Capital Structure '!$F$21)/12</f>
        <v>3019.176805941112</v>
      </c>
      <c r="AV171" s="415">
        <f t="shared" si="183"/>
        <v>3798.313944658596</v>
      </c>
      <c r="AX171" s="415">
        <v>0</v>
      </c>
      <c r="AY171" s="431">
        <f t="shared" si="184"/>
        <v>3798.313944658596</v>
      </c>
      <c r="BA171" s="412">
        <f>'RGGI II Invest Amort Def'!AG105</f>
        <v>0</v>
      </c>
      <c r="BC171" s="412">
        <f>(L171+N171)*'Capital Structure '!$H$21/12</f>
        <v>0</v>
      </c>
      <c r="BD171" s="412">
        <f>(L171+N171)*'Capital Structure '!$W$34/12</f>
        <v>0</v>
      </c>
      <c r="BE171" s="412">
        <f>(L171+N171)*'Capital Structure '!$H$18/12</f>
        <v>0</v>
      </c>
      <c r="BF171" s="412">
        <f>'RGGI II On Bill Fin''g'!L105*'Capital Structure '!$W$34/12</f>
        <v>3816.180536354042</v>
      </c>
      <c r="BG171" s="412">
        <f>'RGGI II On Bill Fin''g'!L105*('Capital Structure '!$H$18+'Capital Structure '!$H$21)/12</f>
        <v>13136.003509578499</v>
      </c>
      <c r="BH171" s="415">
        <f t="shared" si="185"/>
        <v>16952.184045932539</v>
      </c>
      <c r="BJ171" s="437">
        <v>0</v>
      </c>
      <c r="BK171" s="431">
        <f t="shared" si="186"/>
        <v>16952.184045932539</v>
      </c>
      <c r="BM171" s="412">
        <f>'2013 program Invest Amort Def'!AW87</f>
        <v>73979.789166666669</v>
      </c>
      <c r="BO171" s="412">
        <f>(S171)*'Capital Structure '!$J$21/12</f>
        <v>222.96776447179556</v>
      </c>
      <c r="BP171" s="412">
        <f>(S171)*'Capital Structure '!$V$34/12</f>
        <v>270.0411427107735</v>
      </c>
      <c r="BQ171" s="412">
        <f>(S171)*'Capital Structure '!$J$18/12</f>
        <v>690.61749375587021</v>
      </c>
      <c r="BR171" s="412">
        <f>('2013 program 10 yr On Bill Fin'!M87+'2013 program 5 yr On Bill Fin'!L85+'2013 program 2 yr On Bill Fin'!M75)*'Capital Structure '!$V$34/12</f>
        <v>24889.917817269379</v>
      </c>
      <c r="BS171" s="412">
        <f>('2013 program 10 yr On Bill Fin'!M87+'2013 program 5 yr On Bill Fin'!L85+'2013 program 2 yr On Bill Fin'!M75)*('Capital Structure '!$J$18+'Capital Structure '!$J$21)/12</f>
        <v>84205.916802500025</v>
      </c>
      <c r="BT171" s="431">
        <f t="shared" si="187"/>
        <v>110279.46102070785</v>
      </c>
      <c r="BV171" s="438">
        <v>0</v>
      </c>
      <c r="BW171" s="431">
        <f t="shared" si="178"/>
        <v>184259.25018737454</v>
      </c>
      <c r="BY171" s="412">
        <f>'2015 Program Invest Amort Def'!BR62</f>
        <v>117074.52849999996</v>
      </c>
      <c r="CA171" s="412">
        <f>X171*'Capital Structure '!$R$21/12</f>
        <v>2058.0599636661668</v>
      </c>
      <c r="CB171" s="412">
        <f>(X171)*'Capital Structure '!$R$34/12</f>
        <v>2366.1346926193928</v>
      </c>
      <c r="CC171" s="412">
        <f>(X171)*'Capital Structure '!$R$18/12</f>
        <v>6051.2779456566395</v>
      </c>
      <c r="CD171" s="412">
        <f>('2015 Program 10-Year OBRP'!P62+'2015 Program 7-Year OBRP'!M62+'2015 Program 5-Year OBRP'!K62+'2015 Program 3-Year OBRP'!K62)*('Capital Structure '!$R$34/12)</f>
        <v>34824.321677242675</v>
      </c>
      <c r="CE171" s="412">
        <f>('2015 Program 10-Year OBRP'!P62+'2015 Program 7-Year OBRP'!M62+'2015 Program 5-Year OBRP'!K62+'2015 Program 3-Year OBRP'!K62)*(('Capital Structure '!$R$21/12)+('Capital Structure '!$R$18/12))</f>
        <v>119351.69744334674</v>
      </c>
      <c r="CF171" s="431">
        <f t="shared" si="188"/>
        <v>164651.49172253162</v>
      </c>
      <c r="CG171" s="373">
        <f>-19218.94+1413.02+1763.94</f>
        <v>-16041.979999999998</v>
      </c>
      <c r="CJ171" s="431">
        <f t="shared" si="179"/>
        <v>265684.04022253159</v>
      </c>
      <c r="CK171" s="431"/>
      <c r="CL171" s="431">
        <f>'2018 SUMMARY'!Q42</f>
        <v>171108.38007593818</v>
      </c>
      <c r="CM171" s="431"/>
      <c r="CN171" s="431">
        <f>'2018 SUMMARY'!S42</f>
        <v>15607.658648626475</v>
      </c>
      <c r="CO171" s="431">
        <f>'2018 SUMMARY'!T42</f>
        <v>17943.997381539131</v>
      </c>
      <c r="CP171" s="431">
        <f>'2018 SUMMARY'!U42</f>
        <v>45890.927490531765</v>
      </c>
      <c r="CQ171" s="431">
        <f>'2018 SUMMARY'!V42</f>
        <v>24704.733844974267</v>
      </c>
      <c r="CR171" s="431">
        <f>'2018 SUMMARY'!W42</f>
        <v>84669.328138288605</v>
      </c>
      <c r="CS171" s="431">
        <f t="shared" si="189"/>
        <v>188816.64550396026</v>
      </c>
      <c r="CT171" s="412">
        <f>-1413.02-1763.94</f>
        <v>-3176.96</v>
      </c>
      <c r="CU171" s="431"/>
      <c r="CV171" s="562">
        <v>59087.939999999995</v>
      </c>
      <c r="CW171" s="431">
        <f t="shared" si="180"/>
        <v>415836.00557989848</v>
      </c>
      <c r="CY171" s="412">
        <f t="shared" si="190"/>
        <v>371993.65894039575</v>
      </c>
      <c r="CZ171" s="412">
        <f t="shared" si="191"/>
        <v>-3569242.9188078763</v>
      </c>
      <c r="DA171" s="412">
        <f t="shared" si="192"/>
        <v>-2699641.8550371071</v>
      </c>
      <c r="DB171" s="417">
        <f t="shared" ref="DB171:DB175" si="194">DB170</f>
        <v>1.6799999999999999E-2</v>
      </c>
      <c r="DC171" s="434">
        <f t="shared" si="193"/>
        <v>-3779.4985970519497</v>
      </c>
      <c r="DE171" s="420">
        <f t="shared" si="144"/>
        <v>6.9000000000000006E-2</v>
      </c>
      <c r="DF171" s="420">
        <f t="shared" si="145"/>
        <v>8.9395292808457358E-2</v>
      </c>
      <c r="DG171" s="420">
        <f t="shared" si="146"/>
        <v>6.9470958200000016E-2</v>
      </c>
      <c r="DH171" s="420">
        <f t="shared" si="147"/>
        <v>8.9741126512699956E-2</v>
      </c>
      <c r="DI171" s="353"/>
      <c r="DJ171" s="353"/>
      <c r="DK171" s="353"/>
      <c r="DL171" s="353"/>
      <c r="DM171" s="353"/>
      <c r="DN171" s="353"/>
      <c r="DO171" s="353"/>
      <c r="DP171" s="353"/>
      <c r="DQ171" s="353"/>
      <c r="DR171" s="353"/>
      <c r="DS171" s="353"/>
      <c r="DT171" s="353"/>
      <c r="DU171" s="353"/>
      <c r="DV171" s="353"/>
      <c r="DW171" s="353"/>
      <c r="DX171" s="353"/>
      <c r="DY171" s="353"/>
      <c r="DZ171" s="353"/>
      <c r="EA171" s="353"/>
      <c r="EB171" s="353"/>
      <c r="EC171" s="353"/>
      <c r="ED171" s="353"/>
      <c r="EE171" s="353"/>
      <c r="EF171" s="353"/>
      <c r="EG171" s="353"/>
      <c r="EH171" s="353"/>
      <c r="EI171" s="353"/>
      <c r="EJ171" s="353"/>
      <c r="EK171" s="353"/>
      <c r="EL171" s="353"/>
      <c r="EM171" s="353"/>
      <c r="EN171" s="353"/>
      <c r="EO171" s="353"/>
      <c r="EP171" s="353"/>
      <c r="EQ171" s="353"/>
      <c r="ER171" s="353"/>
      <c r="ES171" s="353"/>
      <c r="ET171" s="353"/>
      <c r="EU171" s="353"/>
      <c r="EV171" s="353"/>
      <c r="EW171" s="353"/>
      <c r="EX171" s="353"/>
      <c r="EY171" s="353"/>
      <c r="EZ171" s="353"/>
      <c r="FA171" s="353"/>
      <c r="FB171" s="353"/>
      <c r="FC171" s="353"/>
      <c r="FD171" s="353"/>
      <c r="FE171" s="353"/>
      <c r="FF171" s="353"/>
      <c r="FG171" s="353"/>
      <c r="FH171" s="353"/>
      <c r="FI171" s="353"/>
      <c r="FJ171" s="353"/>
      <c r="FK171" s="353"/>
      <c r="FL171" s="353"/>
      <c r="FM171" s="353"/>
      <c r="FN171" s="353"/>
      <c r="FO171" s="353"/>
      <c r="FP171" s="353"/>
      <c r="FQ171" s="353"/>
    </row>
    <row r="172" spans="1:173" s="351" customFormat="1" hidden="1" outlineLevel="1">
      <c r="A172" s="430" t="s">
        <v>58</v>
      </c>
      <c r="B172" s="351">
        <v>2020</v>
      </c>
      <c r="C172" s="411" t="s">
        <v>47</v>
      </c>
      <c r="F172" s="370"/>
      <c r="G172" s="435"/>
      <c r="H172" s="412">
        <f>'RGGI - Invest Amort deferred'!AI118</f>
        <v>0</v>
      </c>
      <c r="I172" s="412">
        <f>'RGGI - Invest Amort deferred'!AI118</f>
        <v>0</v>
      </c>
      <c r="J172" s="413">
        <f>'RGGI - Invest Amort deferred'!BL118</f>
        <v>0</v>
      </c>
      <c r="K172" s="435"/>
      <c r="L172" s="414">
        <f>'RGGI II Invest Amort Def'!AI106</f>
        <v>0</v>
      </c>
      <c r="M172" s="414">
        <f>'RGGI II Invest Amort Def'!AI106</f>
        <v>0</v>
      </c>
      <c r="N172" s="413">
        <f>'RGGI II Invest Amort Def'!BK106</f>
        <v>0</v>
      </c>
      <c r="O172" s="435"/>
      <c r="P172" s="425">
        <f>'2013 program Invest Amort Def'!AY88</f>
        <v>158922.29999999329</v>
      </c>
      <c r="Q172" s="425">
        <f>'2013 program Invest Amort Def'!AY88</f>
        <v>158922.29999999329</v>
      </c>
      <c r="R172" s="425">
        <f>'2013 program Invest Amort Def'!CQ88</f>
        <v>-44673.058529995731</v>
      </c>
      <c r="S172" s="373">
        <f t="shared" si="181"/>
        <v>114249.24146999756</v>
      </c>
      <c r="T172" s="435"/>
      <c r="U172" s="414">
        <f>'2015 Program Invest Amort Def'!BT63</f>
        <v>1831143.2016666643</v>
      </c>
      <c r="V172" s="414">
        <f>'2015 Program Invest Amort Def'!BT63</f>
        <v>1831143.2016666643</v>
      </c>
      <c r="W172" s="414">
        <f>'2015 Program Invest Amort Def'!EG63</f>
        <v>-514586.77648849989</v>
      </c>
      <c r="X172" s="397">
        <f t="shared" si="182"/>
        <v>1316556.4251781644</v>
      </c>
      <c r="Y172" s="435"/>
      <c r="Z172" s="394">
        <v>24661901.699999996</v>
      </c>
      <c r="AA172" s="480">
        <v>1.6E-2</v>
      </c>
      <c r="AB172" s="439">
        <f t="shared" si="177"/>
        <v>394590.42719999992</v>
      </c>
      <c r="AO172" s="372">
        <f>'RGGI - Invest Amort deferred'!AG118+'RGGI CHP'!V73</f>
        <v>0</v>
      </c>
      <c r="AQ172" s="412">
        <f>(H172+J172)*'Capital Structure '!$F$21/12</f>
        <v>0</v>
      </c>
      <c r="AR172" s="412">
        <f>(H172+J172)*'Capital Structure '!$E$34/12</f>
        <v>0</v>
      </c>
      <c r="AS172" s="412">
        <f>(H172+J172)*'Capital Structure '!$F$18/12</f>
        <v>0</v>
      </c>
      <c r="AT172" s="412">
        <f>'RGGI - On-bill financing'!J118*'Capital Structure '!$P$34/12</f>
        <v>722.84874983891916</v>
      </c>
      <c r="AU172" s="412">
        <f>'RGGI - On-bill financing'!J118*('Capital Structure '!$F$18+'Capital Structure '!$F$21)/12</f>
        <v>2801.0578257244874</v>
      </c>
      <c r="AV172" s="415">
        <f t="shared" si="183"/>
        <v>3523.9065755634065</v>
      </c>
      <c r="AX172" s="415">
        <v>0</v>
      </c>
      <c r="AY172" s="431">
        <f t="shared" si="184"/>
        <v>3523.9065755634065</v>
      </c>
      <c r="BA172" s="412">
        <f>'RGGI II Invest Amort Def'!AG106</f>
        <v>0</v>
      </c>
      <c r="BC172" s="412">
        <f>(L172+N172)*'Capital Structure '!$H$21/12</f>
        <v>0</v>
      </c>
      <c r="BD172" s="412">
        <f>(L172+N172)*'Capital Structure '!$W$34/12</f>
        <v>0</v>
      </c>
      <c r="BE172" s="412">
        <f>(L172+N172)*'Capital Structure '!$H$18/12</f>
        <v>0</v>
      </c>
      <c r="BF172" s="412">
        <f>'RGGI II On Bill Fin''g'!L106*'Capital Structure '!$W$34/12</f>
        <v>3668.2306092247086</v>
      </c>
      <c r="BG172" s="412">
        <f>'RGGI II On Bill Fin''g'!L106*('Capital Structure '!$H$18+'Capital Structure '!$H$21)/12</f>
        <v>12626.732330319881</v>
      </c>
      <c r="BH172" s="415">
        <f t="shared" si="185"/>
        <v>16294.96293954459</v>
      </c>
      <c r="BJ172" s="437">
        <v>0</v>
      </c>
      <c r="BK172" s="431">
        <f t="shared" si="186"/>
        <v>16294.96293954459</v>
      </c>
      <c r="BM172" s="412">
        <f>'2013 program Invest Amort Def'!AW88</f>
        <v>62088.122500000005</v>
      </c>
      <c r="BO172" s="412">
        <f>(S172)*'Capital Structure '!$J$21/12</f>
        <v>160.3297688628966</v>
      </c>
      <c r="BP172" s="412">
        <f>(S172)*'Capital Structure '!$V$34/12</f>
        <v>194.17889441039577</v>
      </c>
      <c r="BQ172" s="412">
        <f>(S172)*'Capital Structure '!$J$18/12</f>
        <v>496.60336958958942</v>
      </c>
      <c r="BR172" s="412">
        <f>('2013 program 10 yr On Bill Fin'!M88+'2013 program 5 yr On Bill Fin'!L86+'2013 program 2 yr On Bill Fin'!M76)*'Capital Structure '!$V$34/12</f>
        <v>24204.812857082095</v>
      </c>
      <c r="BS172" s="412">
        <f>('2013 program 10 yr On Bill Fin'!M88+'2013 program 5 yr On Bill Fin'!L86+'2013 program 2 yr On Bill Fin'!M76)*('Capital Structure '!$J$18+'Capital Structure '!$J$21)/12</f>
        <v>81888.115205000024</v>
      </c>
      <c r="BT172" s="431">
        <f t="shared" si="187"/>
        <v>106944.040094945</v>
      </c>
      <c r="BV172" s="438">
        <v>0</v>
      </c>
      <c r="BW172" s="431">
        <f t="shared" si="178"/>
        <v>169032.162594945</v>
      </c>
      <c r="BY172" s="412">
        <f>'2015 Program Invest Amort Def'!BR63</f>
        <v>117074.52849999996</v>
      </c>
      <c r="CA172" s="412">
        <f>X172*'Capital Structure '!$R$21/12</f>
        <v>1934.3459416881371</v>
      </c>
      <c r="CB172" s="412">
        <f>(X172)*'Capital Structure '!$R$34/12</f>
        <v>2223.901694293997</v>
      </c>
      <c r="CC172" s="412">
        <f>(X172)*'Capital Structure '!$R$18/12</f>
        <v>5687.5237567696704</v>
      </c>
      <c r="CD172" s="412">
        <f>('2015 Program 10-Year OBRP'!P63+'2015 Program 7-Year OBRP'!M63+'2015 Program 5-Year OBRP'!K63+'2015 Program 3-Year OBRP'!K63)*('Capital Structure '!$R$34/12)</f>
        <v>33903.764685960217</v>
      </c>
      <c r="CE172" s="412">
        <f>('2015 Program 10-Year OBRP'!P63+'2015 Program 7-Year OBRP'!M63+'2015 Program 5-Year OBRP'!K63+'2015 Program 3-Year OBRP'!K63)*(('Capital Structure '!$R$21/12)+('Capital Structure '!$R$18/12))</f>
        <v>116196.71741182754</v>
      </c>
      <c r="CF172" s="431">
        <f t="shared" si="188"/>
        <v>159946.25349053956</v>
      </c>
      <c r="CG172" s="373">
        <f>-17788.62+893.53+1754.3</f>
        <v>-15140.79</v>
      </c>
      <c r="CJ172" s="431">
        <f t="shared" si="179"/>
        <v>261879.99199053951</v>
      </c>
      <c r="CK172" s="431"/>
      <c r="CL172" s="431">
        <f>'2018 SUMMARY'!Q43</f>
        <v>185685.8544807001</v>
      </c>
      <c r="CM172" s="431"/>
      <c r="CN172" s="431">
        <f>'2018 SUMMARY'!S43</f>
        <v>16834.322738644914</v>
      </c>
      <c r="CO172" s="431">
        <f>'2018 SUMMARY'!T43</f>
        <v>19354.283044165153</v>
      </c>
      <c r="CP172" s="431">
        <f>'2018 SUMMARY'!U43</f>
        <v>49497.666597119627</v>
      </c>
      <c r="CQ172" s="431">
        <f>'2018 SUMMARY'!V43</f>
        <v>25375.500555522722</v>
      </c>
      <c r="CR172" s="431">
        <f>'2018 SUMMARY'!W43</f>
        <v>86968.214136253751</v>
      </c>
      <c r="CS172" s="431">
        <f t="shared" si="189"/>
        <v>198029.98707170616</v>
      </c>
      <c r="CT172" s="412">
        <f>-893.53-1754.3</f>
        <v>-2647.83</v>
      </c>
      <c r="CU172" s="431"/>
      <c r="CV172" s="431">
        <v>54106</v>
      </c>
      <c r="CW172" s="431">
        <f t="shared" si="180"/>
        <v>435174.01155240624</v>
      </c>
      <c r="CY172" s="412">
        <f t="shared" si="190"/>
        <v>491314.6084529988</v>
      </c>
      <c r="CZ172" s="412">
        <f t="shared" si="191"/>
        <v>-3077928.3103548773</v>
      </c>
      <c r="DA172" s="412">
        <f t="shared" si="192"/>
        <v>-2389325.6983225518</v>
      </c>
      <c r="DB172" s="417">
        <v>2.5000000000000001E-3</v>
      </c>
      <c r="DC172" s="434">
        <f t="shared" si="193"/>
        <v>-497.7761871505316</v>
      </c>
      <c r="DD172" s="384"/>
      <c r="DE172" s="420">
        <f t="shared" si="144"/>
        <v>6.9000000000000006E-2</v>
      </c>
      <c r="DF172" s="420">
        <f t="shared" si="145"/>
        <v>8.9395292808457358E-2</v>
      </c>
      <c r="DG172" s="420">
        <f t="shared" si="146"/>
        <v>6.9470958200000002E-2</v>
      </c>
      <c r="DH172" s="420">
        <f t="shared" si="147"/>
        <v>8.974112651269997E-2</v>
      </c>
      <c r="DI172" s="353"/>
      <c r="DJ172" s="353"/>
      <c r="DK172" s="353"/>
      <c r="DL172" s="353"/>
      <c r="DM172" s="353"/>
      <c r="DN172" s="353"/>
      <c r="DO172" s="353"/>
      <c r="DP172" s="353"/>
      <c r="DQ172" s="353"/>
      <c r="DR172" s="353"/>
      <c r="DS172" s="353"/>
      <c r="DT172" s="353"/>
      <c r="DU172" s="353"/>
      <c r="DV172" s="353"/>
      <c r="DW172" s="353"/>
      <c r="DX172" s="353"/>
      <c r="DY172" s="353"/>
      <c r="DZ172" s="353"/>
      <c r="EA172" s="353"/>
      <c r="EB172" s="353"/>
      <c r="EC172" s="353"/>
      <c r="ED172" s="353"/>
      <c r="EE172" s="353"/>
      <c r="EF172" s="353"/>
      <c r="EG172" s="353"/>
      <c r="EH172" s="353"/>
      <c r="EI172" s="353"/>
      <c r="EJ172" s="353"/>
      <c r="EK172" s="353"/>
      <c r="EL172" s="353"/>
      <c r="EM172" s="353"/>
      <c r="EN172" s="353"/>
      <c r="EO172" s="353"/>
      <c r="EP172" s="353"/>
      <c r="EQ172" s="353"/>
      <c r="ER172" s="353"/>
      <c r="ES172" s="353"/>
      <c r="ET172" s="353"/>
      <c r="EU172" s="353"/>
      <c r="EV172" s="353"/>
      <c r="EW172" s="353"/>
      <c r="EX172" s="353"/>
      <c r="EY172" s="353"/>
      <c r="EZ172" s="353"/>
      <c r="FA172" s="353"/>
      <c r="FB172" s="353"/>
      <c r="FC172" s="353"/>
      <c r="FD172" s="353"/>
      <c r="FE172" s="353"/>
      <c r="FF172" s="353"/>
      <c r="FG172" s="353"/>
      <c r="FH172" s="353"/>
      <c r="FI172" s="353"/>
      <c r="FJ172" s="353"/>
      <c r="FK172" s="353"/>
      <c r="FL172" s="353"/>
      <c r="FM172" s="353"/>
      <c r="FN172" s="353"/>
      <c r="FO172" s="353"/>
      <c r="FP172" s="353"/>
      <c r="FQ172" s="353"/>
    </row>
    <row r="173" spans="1:173" s="351" customFormat="1" hidden="1" outlineLevel="1">
      <c r="A173" s="430" t="s">
        <v>59</v>
      </c>
      <c r="B173" s="351">
        <v>2020</v>
      </c>
      <c r="C173" s="411" t="s">
        <v>47</v>
      </c>
      <c r="F173" s="370"/>
      <c r="G173" s="435"/>
      <c r="H173" s="412">
        <f>'RGGI - Invest Amort deferred'!AI119</f>
        <v>0</v>
      </c>
      <c r="I173" s="412">
        <f>'RGGI - Invest Amort deferred'!AI119</f>
        <v>0</v>
      </c>
      <c r="J173" s="413">
        <f>'RGGI - Invest Amort deferred'!BL119</f>
        <v>0</v>
      </c>
      <c r="K173" s="435"/>
      <c r="L173" s="414">
        <f>'RGGI II Invest Amort Def'!AI107</f>
        <v>0</v>
      </c>
      <c r="M173" s="414">
        <f>'RGGI II Invest Amort Def'!AI107</f>
        <v>0</v>
      </c>
      <c r="N173" s="413">
        <f>'RGGI II Invest Amort Def'!BK107</f>
        <v>0</v>
      </c>
      <c r="O173" s="435"/>
      <c r="P173" s="425">
        <f>'2013 program Invest Amort Def'!AY89</f>
        <v>103602.59999999404</v>
      </c>
      <c r="Q173" s="425">
        <f>'2013 program Invest Amort Def'!AY89</f>
        <v>103602.59999999404</v>
      </c>
      <c r="R173" s="425">
        <f>'2013 program Invest Amort Def'!CQ89</f>
        <v>-29122.690859995731</v>
      </c>
      <c r="S173" s="373">
        <f t="shared" si="181"/>
        <v>74479.909139998315</v>
      </c>
      <c r="T173" s="435"/>
      <c r="U173" s="414">
        <f>'2015 Program Invest Amort Def'!BT64</f>
        <v>1714068.6731666643</v>
      </c>
      <c r="V173" s="414">
        <f>'2015 Program Invest Amort Def'!BT64</f>
        <v>1714068.6731666643</v>
      </c>
      <c r="W173" s="414">
        <f>'2015 Program Invest Amort Def'!EG64</f>
        <v>-481714.60652714991</v>
      </c>
      <c r="X173" s="397">
        <f t="shared" si="182"/>
        <v>1232354.0666395144</v>
      </c>
      <c r="Y173" s="435"/>
      <c r="Z173" s="563">
        <v>20409668.52</v>
      </c>
      <c r="AA173" s="564">
        <v>1.6E-2</v>
      </c>
      <c r="AB173" s="565">
        <f t="shared" si="177"/>
        <v>326554.69631999999</v>
      </c>
      <c r="AO173" s="372">
        <f>'RGGI - Invest Amort deferred'!AG119+'RGGI CHP'!V74</f>
        <v>0</v>
      </c>
      <c r="AQ173" s="412">
        <f>(H173+J173)*'Capital Structure '!$F$21/12</f>
        <v>0</v>
      </c>
      <c r="AR173" s="412">
        <f>(H173+J173)*'Capital Structure '!$E$34/12</f>
        <v>0</v>
      </c>
      <c r="AS173" s="412">
        <f>(H173+J173)*'Capital Structure '!$F$18/12</f>
        <v>0</v>
      </c>
      <c r="AT173" s="412">
        <f>'RGGI - On-bill financing'!J119*'Capital Structure '!$P$34/12</f>
        <v>674.33639792349265</v>
      </c>
      <c r="AU173" s="412">
        <f>'RGGI - On-bill financing'!J119*('Capital Structure '!$F$18+'Capital Structure '!$F$21)/12</f>
        <v>2613.0711922727628</v>
      </c>
      <c r="AV173" s="415">
        <f t="shared" si="183"/>
        <v>3287.4075901962556</v>
      </c>
      <c r="AX173" s="415">
        <v>0</v>
      </c>
      <c r="AY173" s="431">
        <f t="shared" si="184"/>
        <v>3287.4075901962556</v>
      </c>
      <c r="BA173" s="412">
        <f>'RGGI II Invest Amort Def'!AG107</f>
        <v>0</v>
      </c>
      <c r="BC173" s="412">
        <f>(L173+N173)*'Capital Structure '!$H$21/12</f>
        <v>0</v>
      </c>
      <c r="BD173" s="412">
        <f>(L173+N173)*'Capital Structure '!$W$34/12</f>
        <v>0</v>
      </c>
      <c r="BE173" s="412">
        <f>(L173+N173)*'Capital Structure '!$H$18/12</f>
        <v>0</v>
      </c>
      <c r="BF173" s="412">
        <f>'RGGI II On Bill Fin''g'!L107*'Capital Structure '!$W$34/12</f>
        <v>3523.7576458200888</v>
      </c>
      <c r="BG173" s="412">
        <f>'RGGI II On Bill Fin''g'!L107*('Capital Structure '!$H$18+'Capital Structure '!$H$21)/12</f>
        <v>12129.429507184728</v>
      </c>
      <c r="BH173" s="415">
        <f t="shared" si="185"/>
        <v>15653.187153004817</v>
      </c>
      <c r="BJ173" s="437">
        <v>0</v>
      </c>
      <c r="BK173" s="431">
        <f t="shared" si="186"/>
        <v>15653.187153004817</v>
      </c>
      <c r="BM173" s="412">
        <f>'2013 program Invest Amort Def'!AW89</f>
        <v>55319.700000000004</v>
      </c>
      <c r="BO173" s="412">
        <f>(S173)*'Capital Structure '!$J$21/12</f>
        <v>104.52013915979764</v>
      </c>
      <c r="BP173" s="412">
        <f>(S173)*'Capital Structure '!$V$34/12</f>
        <v>126.5866296047971</v>
      </c>
      <c r="BQ173" s="412">
        <f>(S173)*'Capital Structure '!$J$18/12</f>
        <v>323.73933839519265</v>
      </c>
      <c r="BR173" s="412">
        <f>('2013 program 10 yr On Bill Fin'!M89+'2013 program 5 yr On Bill Fin'!L87+'2013 program 2 yr On Bill Fin'!M77)*'Capital Structure '!$V$34/12</f>
        <v>23576.155676863538</v>
      </c>
      <c r="BS173" s="412">
        <f>('2013 program 10 yr On Bill Fin'!M89+'2013 program 5 yr On Bill Fin'!L87+'2013 program 2 yr On Bill Fin'!M77)*('Capital Structure '!$J$18+'Capital Structure '!$J$21)/12</f>
        <v>79761.283987500021</v>
      </c>
      <c r="BT173" s="431">
        <f t="shared" si="187"/>
        <v>103892.28577152334</v>
      </c>
      <c r="BV173" s="438">
        <v>0</v>
      </c>
      <c r="BW173" s="431">
        <f t="shared" si="178"/>
        <v>159211.98577152335</v>
      </c>
      <c r="BY173" s="412">
        <f>'2015 Program Invest Amort Def'!BR64</f>
        <v>117074.52849999996</v>
      </c>
      <c r="CA173" s="412">
        <f>X173*'Capital Structure '!$R$21/12</f>
        <v>1810.6319197101077</v>
      </c>
      <c r="CB173" s="412">
        <f>(X173)*'Capital Structure '!$R$34/12</f>
        <v>2081.6686959686017</v>
      </c>
      <c r="CC173" s="412">
        <f>(X173)*'Capital Structure '!$R$18/12</f>
        <v>5323.7695678827031</v>
      </c>
      <c r="CD173" s="412">
        <f>('2015 Program 10-Year OBRP'!P64+'2015 Program 7-Year OBRP'!M64+'2015 Program 5-Year OBRP'!K64+'2015 Program 3-Year OBRP'!K64)*('Capital Structure '!$R$34/12)</f>
        <v>32965.882748037271</v>
      </c>
      <c r="CE173" s="412">
        <f>('2015 Program 10-Year OBRP'!P64+'2015 Program 7-Year OBRP'!M64+'2015 Program 5-Year OBRP'!K64+'2015 Program 3-Year OBRP'!K64)*(('Capital Structure '!$R$21/12)+('Capital Structure '!$R$18/12))</f>
        <v>112982.36043654985</v>
      </c>
      <c r="CF173" s="431">
        <f t="shared" si="188"/>
        <v>155164.31336814852</v>
      </c>
      <c r="CG173" s="373">
        <f>-17709.01-142.52-7.48+1063.53+1985.9</f>
        <v>-14809.58</v>
      </c>
      <c r="CJ173" s="431">
        <f t="shared" si="179"/>
        <v>257429.26186814849</v>
      </c>
      <c r="CK173" s="431"/>
      <c r="CL173" s="431">
        <f>'2018 SUMMARY'!Q44</f>
        <v>206192.6125759382</v>
      </c>
      <c r="CM173" s="431"/>
      <c r="CN173" s="431">
        <f>'2018 SUMMARY'!S44</f>
        <v>18747.248020528001</v>
      </c>
      <c r="CO173" s="431">
        <f>'2018 SUMMARY'!T44</f>
        <v>21553.557581234225</v>
      </c>
      <c r="CP173" s="431">
        <f>'2018 SUMMARY'!U44</f>
        <v>55122.207560118397</v>
      </c>
      <c r="CQ173" s="431">
        <f>'2018 SUMMARY'!V44</f>
        <v>26418.476525640624</v>
      </c>
      <c r="CR173" s="431">
        <f>'2018 SUMMARY'!W44</f>
        <v>90542.754757027404</v>
      </c>
      <c r="CS173" s="431">
        <f t="shared" si="189"/>
        <v>212384.24444454868</v>
      </c>
      <c r="CT173" s="561">
        <v>-3049</v>
      </c>
      <c r="CU173" s="431"/>
      <c r="CV173" s="431">
        <v>41412</v>
      </c>
      <c r="CW173" s="431">
        <f t="shared" si="180"/>
        <v>456939.85702048684</v>
      </c>
      <c r="CY173" s="412">
        <f t="shared" si="190"/>
        <v>565967.0030833598</v>
      </c>
      <c r="CZ173" s="412">
        <f t="shared" si="191"/>
        <v>-2511961.3072715173</v>
      </c>
      <c r="DA173" s="412">
        <f t="shared" si="192"/>
        <v>-2009285.8230558077</v>
      </c>
      <c r="DB173" s="417">
        <f t="shared" si="194"/>
        <v>2.5000000000000001E-3</v>
      </c>
      <c r="DC173" s="434">
        <f t="shared" si="193"/>
        <v>-418.60121313662665</v>
      </c>
      <c r="DE173" s="420">
        <f t="shared" si="144"/>
        <v>6.8999999999999992E-2</v>
      </c>
      <c r="DF173" s="420">
        <f t="shared" si="145"/>
        <v>8.9395292808457358E-2</v>
      </c>
      <c r="DG173" s="420">
        <f t="shared" si="146"/>
        <v>6.9470958200000016E-2</v>
      </c>
      <c r="DH173" s="420">
        <f t="shared" si="147"/>
        <v>8.974112651269997E-2</v>
      </c>
      <c r="DI173" s="353"/>
      <c r="DJ173" s="353"/>
      <c r="DK173" s="353"/>
      <c r="DL173" s="353"/>
      <c r="DM173" s="353"/>
      <c r="DN173" s="353"/>
      <c r="DO173" s="353"/>
      <c r="DP173" s="353"/>
      <c r="DQ173" s="353"/>
      <c r="DR173" s="353"/>
      <c r="DS173" s="353"/>
      <c r="DT173" s="353"/>
      <c r="DU173" s="353"/>
      <c r="DV173" s="353"/>
      <c r="DW173" s="353"/>
      <c r="DX173" s="353"/>
      <c r="DY173" s="353"/>
      <c r="DZ173" s="353"/>
      <c r="EA173" s="353"/>
      <c r="EB173" s="353"/>
      <c r="EC173" s="353"/>
      <c r="ED173" s="353"/>
      <c r="EE173" s="353"/>
      <c r="EF173" s="353"/>
      <c r="EG173" s="353"/>
      <c r="EH173" s="353"/>
      <c r="EI173" s="353"/>
      <c r="EJ173" s="353"/>
      <c r="EK173" s="353"/>
      <c r="EL173" s="353"/>
      <c r="EM173" s="353"/>
      <c r="EN173" s="353"/>
      <c r="EO173" s="353"/>
      <c r="EP173" s="353"/>
      <c r="EQ173" s="353"/>
      <c r="ER173" s="353"/>
      <c r="ES173" s="353"/>
      <c r="ET173" s="353"/>
      <c r="EU173" s="353"/>
      <c r="EV173" s="353"/>
      <c r="EW173" s="353"/>
      <c r="EX173" s="353"/>
      <c r="EY173" s="353"/>
      <c r="EZ173" s="353"/>
      <c r="FA173" s="353"/>
      <c r="FB173" s="353"/>
      <c r="FC173" s="353"/>
      <c r="FD173" s="353"/>
      <c r="FE173" s="353"/>
      <c r="FF173" s="353"/>
      <c r="FG173" s="353"/>
      <c r="FH173" s="353"/>
      <c r="FI173" s="353"/>
      <c r="FJ173" s="353"/>
      <c r="FK173" s="353"/>
      <c r="FL173" s="353"/>
      <c r="FM173" s="353"/>
      <c r="FN173" s="353"/>
      <c r="FO173" s="353"/>
      <c r="FP173" s="353"/>
      <c r="FQ173" s="353"/>
    </row>
    <row r="174" spans="1:173" s="351" customFormat="1" hidden="1" outlineLevel="1">
      <c r="A174" s="430" t="s">
        <v>46</v>
      </c>
      <c r="B174" s="351">
        <v>2020</v>
      </c>
      <c r="C174" s="411" t="s">
        <v>47</v>
      </c>
      <c r="F174" s="370"/>
      <c r="G174" s="435"/>
      <c r="H174" s="412">
        <f>'RGGI - Invest Amort deferred'!AI120</f>
        <v>0</v>
      </c>
      <c r="I174" s="412">
        <f>'RGGI - Invest Amort deferred'!AI120</f>
        <v>0</v>
      </c>
      <c r="J174" s="413">
        <f>'RGGI - Invest Amort deferred'!BL120</f>
        <v>0</v>
      </c>
      <c r="K174" s="435"/>
      <c r="L174" s="414">
        <f>'RGGI II Invest Amort Def'!AI108</f>
        <v>0</v>
      </c>
      <c r="M174" s="414">
        <f>'RGGI II Invest Amort Def'!AI108</f>
        <v>0</v>
      </c>
      <c r="N174" s="413">
        <f>'RGGI II Invest Amort Def'!BK108</f>
        <v>0</v>
      </c>
      <c r="O174" s="435"/>
      <c r="P174" s="425">
        <f>'2013 program Invest Amort Def'!AY90</f>
        <v>60032.899999994785</v>
      </c>
      <c r="Q174" s="425">
        <f>'2013 program Invest Amort Def'!AY90</f>
        <v>60032.899999994785</v>
      </c>
      <c r="R174" s="425">
        <f>'2013 program Invest Amort Def'!CQ90</f>
        <v>-16875.248189995731</v>
      </c>
      <c r="S174" s="373">
        <f t="shared" si="181"/>
        <v>43157.65180999905</v>
      </c>
      <c r="T174" s="435"/>
      <c r="U174" s="414">
        <f>'2015 Program Invest Amort Def'!BT65</f>
        <v>1597919.1446666643</v>
      </c>
      <c r="V174" s="414">
        <f>'2015 Program Invest Amort Def'!BT65</f>
        <v>1597919.1446666643</v>
      </c>
      <c r="W174" s="414">
        <f>'2015 Program Invest Amort Def'!EG65</f>
        <v>-449090.74156579992</v>
      </c>
      <c r="X174" s="397">
        <f t="shared" si="182"/>
        <v>1148828.4031008645</v>
      </c>
      <c r="Y174" s="435"/>
      <c r="Z174" s="563">
        <v>18808644.010000002</v>
      </c>
      <c r="AA174" s="564">
        <v>1.6E-2</v>
      </c>
      <c r="AB174" s="565">
        <f t="shared" si="177"/>
        <v>300938.30416000006</v>
      </c>
      <c r="AO174" s="372">
        <f>'RGGI - Invest Amort deferred'!AG120+'RGGI CHP'!V75</f>
        <v>0</v>
      </c>
      <c r="AQ174" s="412">
        <f>(H174+J174)*'Capital Structure '!$F$21/12</f>
        <v>0</v>
      </c>
      <c r="AR174" s="412">
        <f>(H174+J174)*'Capital Structure '!$E$34/12</f>
        <v>0</v>
      </c>
      <c r="AS174" s="412">
        <f>(H174+J174)*'Capital Structure '!$F$18/12</f>
        <v>0</v>
      </c>
      <c r="AT174" s="412">
        <f>'RGGI - On-bill financing'!J120*'Capital Structure '!$P$34/12</f>
        <v>626.71703450938787</v>
      </c>
      <c r="AU174" s="412">
        <f>'RGGI - On-bill financing'!J120*('Capital Structure '!$F$18+'Capital Structure '!$F$21)/12</f>
        <v>2428.5449126370572</v>
      </c>
      <c r="AV174" s="415">
        <f t="shared" si="183"/>
        <v>3055.261947146445</v>
      </c>
      <c r="AX174" s="415">
        <v>0</v>
      </c>
      <c r="AY174" s="431">
        <f t="shared" si="184"/>
        <v>3055.261947146445</v>
      </c>
      <c r="BA174" s="412">
        <f>'RGGI II Invest Amort Def'!AG108</f>
        <v>0</v>
      </c>
      <c r="BC174" s="412">
        <f>(L174+N174)*'Capital Structure '!$H$21/12</f>
        <v>0</v>
      </c>
      <c r="BD174" s="412">
        <f>(L174+N174)*'Capital Structure '!$W$34/12</f>
        <v>0</v>
      </c>
      <c r="BE174" s="412">
        <f>(L174+N174)*'Capital Structure '!$H$18/12</f>
        <v>0</v>
      </c>
      <c r="BF174" s="412">
        <f>'RGGI II On Bill Fin''g'!L108*'Capital Structure '!$W$34/12</f>
        <v>3380.0192517320188</v>
      </c>
      <c r="BG174" s="412">
        <f>'RGGI II On Bill Fin''g'!L108*('Capital Structure '!$H$18+'Capital Structure '!$H$21)/12</f>
        <v>11634.655208323597</v>
      </c>
      <c r="BH174" s="415">
        <f t="shared" si="185"/>
        <v>15014.674460055616</v>
      </c>
      <c r="BJ174" s="437">
        <v>0</v>
      </c>
      <c r="BK174" s="431">
        <f t="shared" si="186"/>
        <v>15014.674460055616</v>
      </c>
      <c r="BM174" s="412">
        <f>'2013 program Invest Amort Def'!AW90</f>
        <v>43569.700000000004</v>
      </c>
      <c r="BO174" s="412">
        <f>(S174)*'Capital Structure '!$J$21/12</f>
        <v>60.564571373365339</v>
      </c>
      <c r="BP174" s="412">
        <f>(S174)*'Capital Structure '!$V$34/12</f>
        <v>73.351078799198362</v>
      </c>
      <c r="BQ174" s="412">
        <f>(S174)*'Capital Structure '!$J$18/12</f>
        <v>187.59192653412921</v>
      </c>
      <c r="BR174" s="412">
        <f>('2013 program 10 yr On Bill Fin'!M90+'2013 program 5 yr On Bill Fin'!L88+'2013 program 2 yr On Bill Fin'!M78)*'Capital Structure '!$V$34/12</f>
        <v>22957.832587558096</v>
      </c>
      <c r="BS174" s="412">
        <f>('2013 program 10 yr On Bill Fin'!M90+'2013 program 5 yr On Bill Fin'!L88+'2013 program 2 yr On Bill Fin'!M78)*('Capital Structure '!$J$18+'Capital Structure '!$J$21)/12</f>
        <v>77669.414380000017</v>
      </c>
      <c r="BT174" s="431">
        <f t="shared" si="187"/>
        <v>100948.75454426481</v>
      </c>
      <c r="BV174" s="438">
        <v>0</v>
      </c>
      <c r="BW174" s="431">
        <f t="shared" si="178"/>
        <v>144518.45454426482</v>
      </c>
      <c r="BY174" s="412">
        <f>'2015 Program Invest Amort Def'!BR65</f>
        <v>116149.52849999996</v>
      </c>
      <c r="CA174" s="412">
        <f>X174*'Capital Structure '!$R$21/12</f>
        <v>1687.9121295036746</v>
      </c>
      <c r="CB174" s="412">
        <f>(X174)*'Capital Structure '!$R$34/12</f>
        <v>1940.57875777207</v>
      </c>
      <c r="CC174" s="412">
        <f>(X174)*'Capital Structure '!$R$18/12</f>
        <v>4962.9387013957348</v>
      </c>
      <c r="CD174" s="412">
        <f>('2015 Program 10-Year OBRP'!P65+'2015 Program 7-Year OBRP'!M65+'2015 Program 5-Year OBRP'!K65+'2015 Program 3-Year OBRP'!K65)*('Capital Structure '!$R$34/12)</f>
        <v>32026.393453334367</v>
      </c>
      <c r="CE174" s="412">
        <f>('2015 Program 10-Year OBRP'!P65+'2015 Program 7-Year OBRP'!M65+'2015 Program 5-Year OBRP'!K65+'2015 Program 3-Year OBRP'!K65)*(('Capital Structure '!$R$21/12)+('Capital Structure '!$R$18/12))</f>
        <v>109762.4946458568</v>
      </c>
      <c r="CF174" s="431">
        <f t="shared" si="188"/>
        <v>150380.31768786264</v>
      </c>
      <c r="CG174" s="373">
        <f>-18025.18+1052.86+2151.51</f>
        <v>-14820.81</v>
      </c>
      <c r="CJ174" s="431">
        <f t="shared" si="179"/>
        <v>251709.03618786257</v>
      </c>
      <c r="CK174" s="431"/>
      <c r="CL174" s="431">
        <f>'2018 SUMMARY'!Q45</f>
        <v>239042.82209974769</v>
      </c>
      <c r="CM174" s="431"/>
      <c r="CN174" s="431">
        <f>'2018 SUMMARY'!S45</f>
        <v>22074.127356387246</v>
      </c>
      <c r="CO174" s="431">
        <f>'2018 SUMMARY'!T45</f>
        <v>25378.443519305947</v>
      </c>
      <c r="CP174" s="431">
        <f>'2018 SUMMARY'!U45</f>
        <v>64904.173055955333</v>
      </c>
      <c r="CQ174" s="431">
        <f>'2018 SUMMARY'!V45</f>
        <v>27937.177045463912</v>
      </c>
      <c r="CR174" s="431">
        <f>'2018 SUMMARY'!W45</f>
        <v>95747.72290052622</v>
      </c>
      <c r="CS174" s="431">
        <f t="shared" si="189"/>
        <v>236041.64387763865</v>
      </c>
      <c r="CT174" s="561">
        <f>-1052.86-2151.51</f>
        <v>-3204.37</v>
      </c>
      <c r="CU174" s="431"/>
      <c r="CV174" s="431">
        <v>36013</v>
      </c>
      <c r="CW174" s="431">
        <f t="shared" si="180"/>
        <v>507893.09597738634</v>
      </c>
      <c r="CY174" s="412">
        <f t="shared" si="190"/>
        <v>621252.21895671578</v>
      </c>
      <c r="CZ174" s="412">
        <f t="shared" si="191"/>
        <v>-1890709.0883148015</v>
      </c>
      <c r="DA174" s="412">
        <f t="shared" si="192"/>
        <v>-1582539.8736935025</v>
      </c>
      <c r="DB174" s="417">
        <f t="shared" si="194"/>
        <v>2.5000000000000001E-3</v>
      </c>
      <c r="DC174" s="434">
        <f t="shared" si="193"/>
        <v>-329.69580701947967</v>
      </c>
      <c r="DE174" s="420">
        <f t="shared" si="144"/>
        <v>6.9000000000000006E-2</v>
      </c>
      <c r="DF174" s="420">
        <f t="shared" si="145"/>
        <v>8.9395292808457372E-2</v>
      </c>
      <c r="DG174" s="420">
        <f t="shared" si="146"/>
        <v>6.9470958200000016E-2</v>
      </c>
      <c r="DH174" s="420">
        <f t="shared" si="147"/>
        <v>8.9741126512699956E-2</v>
      </c>
      <c r="DI174" s="353"/>
      <c r="DJ174" s="353"/>
      <c r="DK174" s="353"/>
      <c r="DL174" s="353"/>
      <c r="DM174" s="353"/>
      <c r="DN174" s="353"/>
      <c r="DO174" s="353"/>
      <c r="DP174" s="353"/>
      <c r="DQ174" s="353"/>
      <c r="DR174" s="353"/>
      <c r="DS174" s="353"/>
      <c r="DT174" s="353"/>
      <c r="DU174" s="353"/>
      <c r="DV174" s="353"/>
      <c r="DW174" s="353"/>
      <c r="DX174" s="353"/>
      <c r="DY174" s="353"/>
      <c r="DZ174" s="353"/>
      <c r="EA174" s="353"/>
      <c r="EB174" s="353"/>
      <c r="EC174" s="353"/>
      <c r="ED174" s="353"/>
      <c r="EE174" s="353"/>
      <c r="EF174" s="353"/>
      <c r="EG174" s="353"/>
      <c r="EH174" s="353"/>
      <c r="EI174" s="353"/>
      <c r="EJ174" s="353"/>
      <c r="EK174" s="353"/>
      <c r="EL174" s="353"/>
      <c r="EM174" s="353"/>
      <c r="EN174" s="353"/>
      <c r="EO174" s="353"/>
      <c r="EP174" s="353"/>
      <c r="EQ174" s="353"/>
      <c r="ER174" s="353"/>
      <c r="ES174" s="353"/>
      <c r="ET174" s="353"/>
      <c r="EU174" s="353"/>
      <c r="EV174" s="353"/>
      <c r="EW174" s="353"/>
      <c r="EX174" s="353"/>
      <c r="EY174" s="353"/>
      <c r="EZ174" s="353"/>
      <c r="FA174" s="353"/>
      <c r="FB174" s="353"/>
      <c r="FC174" s="353"/>
      <c r="FD174" s="353"/>
      <c r="FE174" s="353"/>
      <c r="FF174" s="353"/>
      <c r="FG174" s="353"/>
      <c r="FH174" s="353"/>
      <c r="FI174" s="353"/>
      <c r="FJ174" s="353"/>
      <c r="FK174" s="353"/>
      <c r="FL174" s="353"/>
      <c r="FM174" s="353"/>
      <c r="FN174" s="353"/>
      <c r="FO174" s="353"/>
      <c r="FP174" s="353"/>
      <c r="FQ174" s="353"/>
    </row>
    <row r="175" spans="1:173" s="351" customFormat="1" hidden="1" outlineLevel="1">
      <c r="A175" s="430" t="s">
        <v>48</v>
      </c>
      <c r="B175" s="351">
        <v>2020</v>
      </c>
      <c r="C175" s="411" t="s">
        <v>47</v>
      </c>
      <c r="F175" s="370"/>
      <c r="G175" s="435"/>
      <c r="H175" s="412">
        <f>'RGGI - Invest Amort deferred'!AI121</f>
        <v>0</v>
      </c>
      <c r="I175" s="412">
        <f>'RGGI - Invest Amort deferred'!AI121</f>
        <v>0</v>
      </c>
      <c r="J175" s="413">
        <f>'RGGI - Invest Amort deferred'!BL121</f>
        <v>0</v>
      </c>
      <c r="K175" s="435"/>
      <c r="L175" s="414">
        <f>'RGGI II Invest Amort Def'!AI109</f>
        <v>0</v>
      </c>
      <c r="M175" s="414">
        <f>'RGGI II Invest Amort Def'!AI109</f>
        <v>0</v>
      </c>
      <c r="N175" s="413">
        <f>'RGGI II Invest Amort Def'!BK109</f>
        <v>0</v>
      </c>
      <c r="O175" s="435"/>
      <c r="P175" s="425">
        <f>'2013 program Invest Amort Def'!AY91</f>
        <v>30925.19999999553</v>
      </c>
      <c r="Q175" s="425">
        <f>'2013 program Invest Amort Def'!AY91</f>
        <v>30925.19999999553</v>
      </c>
      <c r="R175" s="425">
        <f>'2013 program Invest Amort Def'!CQ91</f>
        <v>-8693.073719995733</v>
      </c>
      <c r="S175" s="373">
        <f t="shared" si="181"/>
        <v>22232.126279999797</v>
      </c>
      <c r="T175" s="435"/>
      <c r="U175" s="414">
        <f>'2015 Program Invest Amort Def'!BT66</f>
        <v>1484429.6161666643</v>
      </c>
      <c r="V175" s="414">
        <f>'2015 Program Invest Amort Def'!BT66</f>
        <v>1484429.6161666643</v>
      </c>
      <c r="W175" s="414">
        <f>'2015 Program Invest Amort Def'!EG66</f>
        <v>-417214.60260444996</v>
      </c>
      <c r="X175" s="397">
        <f t="shared" si="182"/>
        <v>1067215.0135622143</v>
      </c>
      <c r="Y175" s="435"/>
      <c r="Z175" s="481">
        <v>19961673.420000006</v>
      </c>
      <c r="AA175" s="480">
        <v>1.6E-2</v>
      </c>
      <c r="AB175" s="482">
        <f t="shared" si="177"/>
        <v>319386.7747200001</v>
      </c>
      <c r="AO175" s="383">
        <f>'RGGI - Invest Amort deferred'!AG121+'RGGI CHP'!V76</f>
        <v>0</v>
      </c>
      <c r="AQ175" s="424">
        <f>(H175+J175)*'Capital Structure '!$F$21/12</f>
        <v>0</v>
      </c>
      <c r="AR175" s="424">
        <f>(H175+J175)*'Capital Structure '!$E$34/12</f>
        <v>0</v>
      </c>
      <c r="AS175" s="424">
        <f>(H175+J175)*'Capital Structure '!$F$18/12</f>
        <v>0</v>
      </c>
      <c r="AT175" s="424">
        <f>'RGGI - On-bill financing'!J121*'Capital Structure '!$P$34/12</f>
        <v>579.45994821866577</v>
      </c>
      <c r="AU175" s="424">
        <f>'RGGI - On-bill financing'!J121*('Capital Structure '!$F$18+'Capital Structure '!$F$21)/12</f>
        <v>2245.42246633683</v>
      </c>
      <c r="AV175" s="440">
        <f t="shared" si="183"/>
        <v>2824.8824145554959</v>
      </c>
      <c r="AX175" s="415">
        <v>0</v>
      </c>
      <c r="AY175" s="441">
        <f t="shared" si="184"/>
        <v>2824.8824145554959</v>
      </c>
      <c r="BA175" s="424">
        <f>'RGGI II Invest Amort Def'!AG109</f>
        <v>0</v>
      </c>
      <c r="BC175" s="424">
        <f>(L175+N175)*'Capital Structure '!$H$21/12</f>
        <v>0</v>
      </c>
      <c r="BD175" s="424">
        <f>(L175+N175)*'Capital Structure '!$W$34/12</f>
        <v>0</v>
      </c>
      <c r="BE175" s="424">
        <f>(L175+N175)*'Capital Structure '!$H$18/12</f>
        <v>0</v>
      </c>
      <c r="BF175" s="424">
        <f>'RGGI II On Bill Fin''g'!L109*'Capital Structure '!$W$34/12</f>
        <v>3233.7070359991326</v>
      </c>
      <c r="BG175" s="424">
        <f>'RGGI II On Bill Fin''g'!L109*('Capital Structure '!$H$18+'Capital Structure '!$H$21)/12</f>
        <v>11131.021336431986</v>
      </c>
      <c r="BH175" s="440">
        <f t="shared" si="185"/>
        <v>14364.728372431118</v>
      </c>
      <c r="BJ175" s="442">
        <v>0</v>
      </c>
      <c r="BK175" s="441">
        <f t="shared" si="186"/>
        <v>14364.728372431118</v>
      </c>
      <c r="BM175" s="424">
        <f>'2013 program Invest Amort Def'!AW91</f>
        <v>29107.7</v>
      </c>
      <c r="BO175" s="424">
        <f>(S175)*'Capital Structure '!$J$21/12</f>
        <v>31.199083879599716</v>
      </c>
      <c r="BP175" s="412">
        <f>(S175)*'Capital Structure '!$V$34/12</f>
        <v>37.785893769599646</v>
      </c>
      <c r="BQ175" s="424">
        <f>(S175)*'Capital Structure '!$J$18/12</f>
        <v>96.635642230399114</v>
      </c>
      <c r="BR175" s="424">
        <f>('2013 program 10 yr On Bill Fin'!M91+'2013 program 5 yr On Bill Fin'!L89+'2013 program 2 yr On Bill Fin'!M79)*'Capital Structure '!$V$34/12</f>
        <v>22321.281885148201</v>
      </c>
      <c r="BS175" s="424">
        <f>('2013 program 10 yr On Bill Fin'!M91+'2013 program 5 yr On Bill Fin'!L89+'2013 program 2 yr On Bill Fin'!M79)*('Capital Structure '!$J$18+'Capital Structure '!$J$21)/12</f>
        <v>75515.878322500022</v>
      </c>
      <c r="BT175" s="441">
        <f t="shared" si="187"/>
        <v>98002.780827527822</v>
      </c>
      <c r="BV175" s="443">
        <v>0</v>
      </c>
      <c r="BW175" s="441">
        <f t="shared" si="178"/>
        <v>127110.48082752782</v>
      </c>
      <c r="BY175" s="424">
        <f>'2015 Program Invest Amort Def'!BR66</f>
        <v>113489.52849999996</v>
      </c>
      <c r="CA175" s="424">
        <f>X175*'Capital Structure '!$R$21/12</f>
        <v>1568.0019412106531</v>
      </c>
      <c r="CB175" s="412">
        <f>(X175)*'Capital Structure '!$R$34/12</f>
        <v>1802.718995895538</v>
      </c>
      <c r="CC175" s="424">
        <f>(X175)*'Capital Structure '!$R$18/12</f>
        <v>4610.3688585887658</v>
      </c>
      <c r="CD175" s="424">
        <f>('2015 Program 10-Year OBRP'!P66+'2015 Program 7-Year OBRP'!M66+'2015 Program 5-Year OBRP'!K66+'2015 Program 3-Year OBRP'!K66)*('Capital Structure '!$R$34/12)</f>
        <v>31156.742219512929</v>
      </c>
      <c r="CE175" s="424">
        <f>('2015 Program 10-Year OBRP'!P66+'2015 Program 7-Year OBRP'!M66+'2015 Program 5-Year OBRP'!K66+'2015 Program 3-Year OBRP'!K66)*(('Capital Structure '!$R$21/12)+('Capital Structure '!$R$18/12))</f>
        <v>106781.98143149265</v>
      </c>
      <c r="CF175" s="441">
        <f t="shared" si="188"/>
        <v>145919.81344670054</v>
      </c>
      <c r="CG175" s="379">
        <f>-16529.14+992.04+2023.33</f>
        <v>-13513.769999999999</v>
      </c>
      <c r="CI175" s="444"/>
      <c r="CJ175" s="441">
        <f t="shared" si="179"/>
        <v>245895.57194670051</v>
      </c>
      <c r="CK175" s="431"/>
      <c r="CL175" s="441">
        <f>'2018 SUMMARY'!Q46</f>
        <v>254987.91067117627</v>
      </c>
      <c r="CM175" s="431"/>
      <c r="CN175" s="441">
        <f>'2018 SUMMARY'!S46</f>
        <v>23278.911774855336</v>
      </c>
      <c r="CO175" s="441">
        <f>'2018 SUMMARY'!T46</f>
        <v>26763.574302661018</v>
      </c>
      <c r="CP175" s="441">
        <f>'2018 SUMMARY'!U46</f>
        <v>68446.579744514427</v>
      </c>
      <c r="CQ175" s="441">
        <f>'2018 SUMMARY'!V46</f>
        <v>29240.878123071139</v>
      </c>
      <c r="CR175" s="441">
        <f>'2018 SUMMARY'!W46</f>
        <v>100215.83395271722</v>
      </c>
      <c r="CS175" s="441">
        <f t="shared" si="189"/>
        <v>247945.77789781915</v>
      </c>
      <c r="CT175" s="441">
        <f>-992.04-2023.33</f>
        <v>-3015.37</v>
      </c>
      <c r="CU175" s="431"/>
      <c r="CV175" s="441">
        <v>49556</v>
      </c>
      <c r="CW175" s="441">
        <f t="shared" si="180"/>
        <v>549474.31856899546</v>
      </c>
      <c r="CY175" s="412">
        <f t="shared" si="190"/>
        <v>620283.20741021028</v>
      </c>
      <c r="CZ175" s="412">
        <f t="shared" si="191"/>
        <v>-1270425.8809045912</v>
      </c>
      <c r="DA175" s="412">
        <f t="shared" si="192"/>
        <v>-1136269.9646859106</v>
      </c>
      <c r="DB175" s="417">
        <f t="shared" si="194"/>
        <v>2.5000000000000001E-3</v>
      </c>
      <c r="DC175" s="432">
        <f t="shared" si="193"/>
        <v>-236.7229093095647</v>
      </c>
      <c r="DE175" s="420">
        <f t="shared" si="144"/>
        <v>6.9000000000000006E-2</v>
      </c>
      <c r="DF175" s="420">
        <f t="shared" si="145"/>
        <v>8.9395292808457372E-2</v>
      </c>
      <c r="DG175" s="420">
        <f t="shared" si="146"/>
        <v>6.9470958200000002E-2</v>
      </c>
      <c r="DH175" s="420">
        <f t="shared" si="147"/>
        <v>8.9741126512699956E-2</v>
      </c>
      <c r="DI175" s="353"/>
      <c r="DJ175" s="353"/>
      <c r="DK175" s="353"/>
      <c r="DL175" s="353"/>
      <c r="DM175" s="353"/>
      <c r="DN175" s="353"/>
      <c r="DO175" s="353"/>
      <c r="DP175" s="353"/>
      <c r="DQ175" s="353"/>
      <c r="DR175" s="353"/>
      <c r="DS175" s="353"/>
      <c r="DT175" s="353"/>
      <c r="DU175" s="353"/>
      <c r="DV175" s="353"/>
      <c r="DW175" s="353"/>
      <c r="DX175" s="353"/>
      <c r="DY175" s="353"/>
      <c r="DZ175" s="353"/>
      <c r="EA175" s="353"/>
      <c r="EB175" s="353"/>
      <c r="EC175" s="353"/>
      <c r="ED175" s="353"/>
      <c r="EE175" s="353"/>
      <c r="EF175" s="353"/>
      <c r="EG175" s="353"/>
      <c r="EH175" s="353"/>
      <c r="EI175" s="353"/>
      <c r="EJ175" s="353"/>
      <c r="EK175" s="353"/>
      <c r="EL175" s="353"/>
      <c r="EM175" s="353"/>
      <c r="EN175" s="353"/>
      <c r="EO175" s="353"/>
      <c r="EP175" s="353"/>
      <c r="EQ175" s="353"/>
      <c r="ER175" s="353"/>
      <c r="ES175" s="353"/>
      <c r="ET175" s="353"/>
      <c r="EU175" s="353"/>
      <c r="EV175" s="353"/>
      <c r="EW175" s="353"/>
      <c r="EX175" s="353"/>
      <c r="EY175" s="353"/>
      <c r="EZ175" s="353"/>
      <c r="FA175" s="353"/>
      <c r="FB175" s="353"/>
      <c r="FC175" s="353"/>
      <c r="FD175" s="353"/>
      <c r="FE175" s="353"/>
      <c r="FF175" s="353"/>
      <c r="FG175" s="353"/>
      <c r="FH175" s="353"/>
      <c r="FI175" s="353"/>
      <c r="FJ175" s="353"/>
      <c r="FK175" s="353"/>
      <c r="FL175" s="353"/>
      <c r="FM175" s="353"/>
      <c r="FN175" s="353"/>
      <c r="FO175" s="353"/>
      <c r="FP175" s="353"/>
      <c r="FQ175" s="353"/>
    </row>
    <row r="176" spans="1:173" s="351" customFormat="1" hidden="1" outlineLevel="1">
      <c r="F176" s="370"/>
      <c r="G176" s="435"/>
      <c r="H176" s="435"/>
      <c r="I176" s="435"/>
      <c r="J176" s="435"/>
      <c r="K176" s="435"/>
      <c r="L176" s="435"/>
      <c r="M176" s="435"/>
      <c r="N176" s="435"/>
      <c r="O176" s="435"/>
      <c r="P176" s="435"/>
      <c r="Q176" s="435"/>
      <c r="R176" s="435"/>
      <c r="S176" s="435"/>
      <c r="T176" s="435"/>
      <c r="U176" s="435"/>
      <c r="V176" s="435"/>
      <c r="W176" s="435"/>
      <c r="X176" s="435"/>
      <c r="Y176" s="435"/>
      <c r="Z176" s="397">
        <f>SUM(Z164:Z175)</f>
        <v>675264138.71000004</v>
      </c>
      <c r="AA176" s="435"/>
      <c r="AB176" s="390">
        <f>SUM(AB164:AB175)</f>
        <v>10704413.903820001</v>
      </c>
      <c r="AO176" s="390">
        <f>SUM(AO164:AO175)</f>
        <v>25000</v>
      </c>
      <c r="AQ176" s="384">
        <f t="shared" ref="AQ176:AV176" si="195">SUM(AQ164:AQ175)</f>
        <v>0</v>
      </c>
      <c r="AR176" s="384">
        <f t="shared" si="195"/>
        <v>0</v>
      </c>
      <c r="AS176" s="384">
        <f t="shared" si="195"/>
        <v>0</v>
      </c>
      <c r="AT176" s="384">
        <f t="shared" si="195"/>
        <v>10196.269233978563</v>
      </c>
      <c r="AU176" s="384">
        <f t="shared" si="195"/>
        <v>39510.810162421825</v>
      </c>
      <c r="AV176" s="390">
        <f t="shared" si="195"/>
        <v>49707.079396400382</v>
      </c>
      <c r="AX176" s="390">
        <f>SUM(AX164:AX175)</f>
        <v>0</v>
      </c>
      <c r="AY176" s="390">
        <f>SUM(AY164:AY175)</f>
        <v>74707.079396400368</v>
      </c>
      <c r="BA176" s="384">
        <f>SUM(BA164:BA175)</f>
        <v>0</v>
      </c>
      <c r="BC176" s="384">
        <f t="shared" ref="BC176:BH176" si="196">SUM(BC164:BC175)</f>
        <v>0</v>
      </c>
      <c r="BD176" s="384">
        <f t="shared" si="196"/>
        <v>0</v>
      </c>
      <c r="BE176" s="384">
        <f t="shared" si="196"/>
        <v>0</v>
      </c>
      <c r="BF176" s="384">
        <f t="shared" si="196"/>
        <v>48134.577059838542</v>
      </c>
      <c r="BG176" s="384">
        <f t="shared" si="196"/>
        <v>165688.17097794014</v>
      </c>
      <c r="BH176" s="390">
        <f t="shared" si="196"/>
        <v>213822.74803777869</v>
      </c>
      <c r="BJ176" s="445">
        <f>SUM(BJ164:BJ175)</f>
        <v>0</v>
      </c>
      <c r="BK176" s="390">
        <f>SUM(BK164:BK175)</f>
        <v>213822.74803777869</v>
      </c>
      <c r="BM176" s="384">
        <f>SUM(BM164:BM175)</f>
        <v>1125058.8341666667</v>
      </c>
      <c r="BO176" s="384">
        <f t="shared" ref="BO176:BT176" si="197">SUM(BO164:BO175)</f>
        <v>4910.9831826290401</v>
      </c>
      <c r="BP176" s="384">
        <f t="shared" si="197"/>
        <v>5947.7992866466202</v>
      </c>
      <c r="BQ176" s="384">
        <f t="shared" si="197"/>
        <v>15211.216318641966</v>
      </c>
      <c r="BR176" s="384">
        <f t="shared" si="197"/>
        <v>307801.73726646131</v>
      </c>
      <c r="BS176" s="384">
        <f t="shared" si="197"/>
        <v>1041334.3937175001</v>
      </c>
      <c r="BT176" s="390">
        <f t="shared" si="197"/>
        <v>1375206.1297718792</v>
      </c>
      <c r="BV176" s="446">
        <f>SUM(BV164:BV175)</f>
        <v>0</v>
      </c>
      <c r="BW176" s="390">
        <f>SUM(BW164:BW175)</f>
        <v>2500264.9639385454</v>
      </c>
      <c r="BY176" s="384">
        <f>SUM(BY164:BY175)</f>
        <v>1400342.6753333332</v>
      </c>
      <c r="CA176" s="384">
        <f t="shared" ref="CA176:CG176" si="198">SUM(CA164:CA175)</f>
        <v>26970.839448488139</v>
      </c>
      <c r="CB176" s="384">
        <f t="shared" si="198"/>
        <v>30934.157165238055</v>
      </c>
      <c r="CC176" s="384">
        <f t="shared" si="198"/>
        <v>79112.6488299169</v>
      </c>
      <c r="CD176" s="384">
        <f t="shared" si="198"/>
        <v>433646.23221753252</v>
      </c>
      <c r="CE176" s="384">
        <f t="shared" si="198"/>
        <v>1486997.526891287</v>
      </c>
      <c r="CF176" s="384">
        <f t="shared" si="198"/>
        <v>2057661.404552462</v>
      </c>
      <c r="CG176" s="384">
        <f t="shared" si="198"/>
        <v>-188611.61</v>
      </c>
      <c r="CI176" s="384">
        <f>SUM(CI164:CI175)</f>
        <v>0</v>
      </c>
      <c r="CJ176" s="384">
        <f>SUM(CJ164:CJ175)</f>
        <v>3269392.4698857954</v>
      </c>
      <c r="CK176" s="384"/>
      <c r="CL176" s="384">
        <f>SUM(CL164:CL175)</f>
        <v>1964938.21442731</v>
      </c>
      <c r="CM176" s="384"/>
      <c r="CN176" s="384">
        <f t="shared" ref="CN176:CT176" si="199">SUM(CN164:CN175)</f>
        <v>183521.61462863124</v>
      </c>
      <c r="CO176" s="384">
        <f t="shared" si="199"/>
        <v>211996.99553964482</v>
      </c>
      <c r="CP176" s="384">
        <f t="shared" si="199"/>
        <v>542172.3233491662</v>
      </c>
      <c r="CQ176" s="384">
        <f t="shared" si="199"/>
        <v>265894.46455539519</v>
      </c>
      <c r="CR176" s="384">
        <f t="shared" si="199"/>
        <v>910250.52802368149</v>
      </c>
      <c r="CS176" s="384">
        <f t="shared" si="199"/>
        <v>2113835.926096519</v>
      </c>
      <c r="CT176" s="384">
        <f t="shared" si="199"/>
        <v>-28264.159999999996</v>
      </c>
      <c r="CU176" s="384"/>
      <c r="CV176" s="384">
        <f>SUM(CV164:CV175)</f>
        <v>590008.93999999994</v>
      </c>
      <c r="CW176" s="384">
        <f>SUM(CW164:CW175)</f>
        <v>4640518.9205238288</v>
      </c>
      <c r="DC176" s="384">
        <f>SUM(DC164:DC175)</f>
        <v>-23215.556621610125</v>
      </c>
      <c r="DE176" s="420"/>
      <c r="DF176" s="420"/>
      <c r="DG176" s="420"/>
      <c r="DH176" s="420"/>
      <c r="DI176" s="353"/>
      <c r="DJ176" s="353"/>
      <c r="DK176" s="353"/>
      <c r="DL176" s="353"/>
      <c r="DM176" s="353"/>
      <c r="DN176" s="353"/>
      <c r="DO176" s="353"/>
      <c r="DP176" s="353"/>
      <c r="DQ176" s="353"/>
      <c r="DR176" s="353"/>
      <c r="DS176" s="353"/>
      <c r="DT176" s="353"/>
      <c r="DU176" s="353"/>
      <c r="DV176" s="353"/>
      <c r="DW176" s="353"/>
      <c r="DX176" s="353"/>
      <c r="DY176" s="353"/>
      <c r="DZ176" s="353"/>
      <c r="EA176" s="353"/>
      <c r="EB176" s="353"/>
      <c r="EC176" s="353"/>
      <c r="ED176" s="353"/>
      <c r="EE176" s="353"/>
      <c r="EF176" s="353"/>
      <c r="EG176" s="353"/>
      <c r="EH176" s="353"/>
      <c r="EI176" s="353"/>
      <c r="EJ176" s="353"/>
      <c r="EK176" s="353"/>
      <c r="EL176" s="353"/>
      <c r="EM176" s="353"/>
      <c r="EN176" s="353"/>
      <c r="EO176" s="353"/>
      <c r="EP176" s="353"/>
      <c r="EQ176" s="353"/>
      <c r="ER176" s="353"/>
      <c r="ES176" s="353"/>
      <c r="ET176" s="353"/>
      <c r="EU176" s="353"/>
      <c r="EV176" s="353"/>
      <c r="EW176" s="353"/>
      <c r="EX176" s="353"/>
      <c r="EY176" s="353"/>
      <c r="EZ176" s="353"/>
      <c r="FA176" s="353"/>
      <c r="FB176" s="353"/>
      <c r="FC176" s="353"/>
      <c r="FD176" s="353"/>
      <c r="FE176" s="353"/>
      <c r="FF176" s="353"/>
      <c r="FG176" s="353"/>
      <c r="FH176" s="353"/>
      <c r="FI176" s="353"/>
      <c r="FJ176" s="353"/>
      <c r="FK176" s="353"/>
      <c r="FL176" s="353"/>
      <c r="FM176" s="353"/>
      <c r="FN176" s="353"/>
      <c r="FO176" s="353"/>
      <c r="FP176" s="353"/>
      <c r="FQ176" s="353"/>
    </row>
    <row r="177" spans="1:173" s="351" customFormat="1" hidden="1" outlineLevel="1">
      <c r="F177" s="370"/>
      <c r="G177" s="435"/>
      <c r="H177" s="435"/>
      <c r="I177" s="435"/>
      <c r="J177" s="435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5"/>
      <c r="Y177" s="435"/>
      <c r="Z177" s="435"/>
      <c r="AA177" s="435"/>
      <c r="DE177" s="353"/>
      <c r="DF177" s="353"/>
      <c r="DG177" s="353"/>
      <c r="DH177" s="353"/>
      <c r="DI177" s="353"/>
      <c r="DJ177" s="353"/>
      <c r="DK177" s="353"/>
      <c r="DL177" s="353"/>
      <c r="DM177" s="353"/>
      <c r="DN177" s="353"/>
      <c r="DO177" s="353"/>
      <c r="DP177" s="353"/>
      <c r="DQ177" s="353"/>
      <c r="DR177" s="353"/>
      <c r="DS177" s="353"/>
      <c r="DT177" s="353"/>
      <c r="DU177" s="353"/>
      <c r="DV177" s="353"/>
      <c r="DW177" s="353"/>
      <c r="DX177" s="353"/>
      <c r="DY177" s="353"/>
      <c r="DZ177" s="353"/>
      <c r="EA177" s="353"/>
      <c r="EB177" s="353"/>
      <c r="EC177" s="353"/>
      <c r="ED177" s="353"/>
      <c r="EE177" s="353"/>
      <c r="EF177" s="353"/>
      <c r="EG177" s="353"/>
      <c r="EH177" s="353"/>
      <c r="EI177" s="353"/>
      <c r="EJ177" s="353"/>
      <c r="EK177" s="353"/>
      <c r="EL177" s="353"/>
      <c r="EM177" s="353"/>
      <c r="EN177" s="353"/>
      <c r="EO177" s="353"/>
      <c r="EP177" s="353"/>
      <c r="EQ177" s="353"/>
      <c r="ER177" s="353"/>
      <c r="ES177" s="353"/>
      <c r="ET177" s="353"/>
      <c r="EU177" s="353"/>
      <c r="EV177" s="353"/>
      <c r="EW177" s="353"/>
      <c r="EX177" s="353"/>
      <c r="EY177" s="353"/>
      <c r="EZ177" s="353"/>
      <c r="FA177" s="353"/>
      <c r="FB177" s="353"/>
      <c r="FC177" s="353"/>
      <c r="FD177" s="353"/>
      <c r="FE177" s="353"/>
      <c r="FF177" s="353"/>
      <c r="FG177" s="353"/>
      <c r="FH177" s="353"/>
      <c r="FI177" s="353"/>
      <c r="FJ177" s="353"/>
      <c r="FK177" s="353"/>
      <c r="FL177" s="353"/>
      <c r="FM177" s="353"/>
      <c r="FN177" s="353"/>
      <c r="FO177" s="353"/>
      <c r="FP177" s="353"/>
      <c r="FQ177" s="353"/>
    </row>
    <row r="178" spans="1:173" s="351" customFormat="1" hidden="1" collapsed="1">
      <c r="F178" s="370"/>
      <c r="G178" s="435"/>
      <c r="H178" s="435"/>
      <c r="I178" s="435"/>
      <c r="J178" s="435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5"/>
      <c r="Y178" s="435"/>
      <c r="Z178" s="435"/>
      <c r="AA178" s="435"/>
      <c r="CZ178" s="384">
        <f>CZ175+DC176</f>
        <v>-1293641.4375262014</v>
      </c>
      <c r="DE178" s="353"/>
      <c r="DF178" s="353"/>
      <c r="DG178" s="353"/>
      <c r="DH178" s="353"/>
      <c r="DI178" s="353"/>
      <c r="DJ178" s="353"/>
      <c r="DK178" s="353"/>
      <c r="DL178" s="353"/>
      <c r="DM178" s="353"/>
      <c r="DN178" s="353"/>
      <c r="DO178" s="353"/>
      <c r="DP178" s="353"/>
      <c r="DQ178" s="353"/>
      <c r="DR178" s="353"/>
      <c r="DS178" s="353"/>
      <c r="DT178" s="353"/>
      <c r="DU178" s="353"/>
      <c r="DV178" s="353"/>
      <c r="DW178" s="353"/>
      <c r="DX178" s="353"/>
      <c r="DY178" s="353"/>
      <c r="DZ178" s="353"/>
      <c r="EA178" s="353"/>
      <c r="EB178" s="353"/>
      <c r="EC178" s="353"/>
      <c r="ED178" s="353"/>
      <c r="EE178" s="353"/>
      <c r="EF178" s="353"/>
      <c r="EG178" s="353"/>
      <c r="EH178" s="353"/>
      <c r="EI178" s="353"/>
      <c r="EJ178" s="353"/>
      <c r="EK178" s="353"/>
      <c r="EL178" s="353"/>
      <c r="EM178" s="353"/>
      <c r="EN178" s="353"/>
      <c r="EO178" s="353"/>
      <c r="EP178" s="353"/>
      <c r="EQ178" s="353"/>
      <c r="ER178" s="353"/>
      <c r="ES178" s="353"/>
      <c r="ET178" s="353"/>
      <c r="EU178" s="353"/>
      <c r="EV178" s="353"/>
      <c r="EW178" s="353"/>
      <c r="EX178" s="353"/>
      <c r="EY178" s="353"/>
      <c r="EZ178" s="353"/>
      <c r="FA178" s="353"/>
      <c r="FB178" s="353"/>
      <c r="FC178" s="353"/>
      <c r="FD178" s="353"/>
      <c r="FE178" s="353"/>
      <c r="FF178" s="353"/>
      <c r="FG178" s="353"/>
      <c r="FH178" s="353"/>
      <c r="FI178" s="353"/>
      <c r="FJ178" s="353"/>
      <c r="FK178" s="353"/>
      <c r="FL178" s="353"/>
      <c r="FM178" s="353"/>
      <c r="FN178" s="353"/>
      <c r="FO178" s="353"/>
      <c r="FP178" s="353"/>
      <c r="FQ178" s="353"/>
    </row>
    <row r="179" spans="1:173" s="351" customFormat="1" hidden="1">
      <c r="A179" s="430" t="s">
        <v>50</v>
      </c>
      <c r="B179" s="351">
        <v>2020</v>
      </c>
      <c r="C179" s="411" t="s">
        <v>47</v>
      </c>
      <c r="F179" s="370"/>
      <c r="G179" s="435"/>
      <c r="H179" s="412">
        <f>'RGGI - Invest Amort deferred'!AI125</f>
        <v>0</v>
      </c>
      <c r="I179" s="412">
        <f>'RGGI - Invest Amort deferred'!AI125</f>
        <v>0</v>
      </c>
      <c r="J179" s="413">
        <f>'RGGI - Invest Amort deferred'!BL125</f>
        <v>0</v>
      </c>
      <c r="K179" s="435"/>
      <c r="L179" s="414">
        <f>'RGGI II Invest Amort Def'!AI113</f>
        <v>0</v>
      </c>
      <c r="M179" s="414">
        <f>'RGGI II Invest Amort Def'!AI113</f>
        <v>0</v>
      </c>
      <c r="N179" s="413">
        <f>'RGGI II Invest Amort Def'!BK113</f>
        <v>0</v>
      </c>
      <c r="O179" s="435"/>
      <c r="P179" s="425">
        <f>'2013 program Invest Amort Def'!AY92</f>
        <v>12250.833333328366</v>
      </c>
      <c r="Q179" s="425">
        <f>'2013 program Invest Amort Def'!AY92</f>
        <v>12250.833333328366</v>
      </c>
      <c r="R179" s="425">
        <f>'2013 program Invest Amort Def'!CQ92</f>
        <v>-3443.7092499957334</v>
      </c>
      <c r="S179" s="373">
        <f t="shared" ref="S179:S190" si="200">+P179+R179</f>
        <v>8807.1240833326337</v>
      </c>
      <c r="T179" s="435"/>
      <c r="U179" s="414">
        <f>'2015 Program Invest Amort Def'!BT67</f>
        <v>1373403.4209999973</v>
      </c>
      <c r="V179" s="414">
        <f>'2015 Program Invest Amort Def'!BT67</f>
        <v>1373403.4209999973</v>
      </c>
      <c r="W179" s="414">
        <f>'2015 Program Invest Amort Def'!EG67</f>
        <v>-386016.85164309997</v>
      </c>
      <c r="X179" s="373">
        <f t="shared" ref="X179:X190" si="201">U179+W179</f>
        <v>987386.56935689738</v>
      </c>
      <c r="Y179" s="435"/>
      <c r="Z179" s="394">
        <f>'Schedule NJNG-3 - Page 3'!C$107</f>
        <v>31653505.439999998</v>
      </c>
      <c r="AA179" s="480">
        <v>1.6E-2</v>
      </c>
      <c r="AB179" s="439">
        <f t="shared" ref="AB179:AB190" si="202">+Z179*AA179</f>
        <v>506456.08703999995</v>
      </c>
      <c r="AC179" s="353"/>
      <c r="AD179" s="353"/>
      <c r="AE179" s="353"/>
      <c r="AF179" s="353"/>
      <c r="AG179" s="353"/>
      <c r="AH179" s="353"/>
      <c r="AI179" s="353"/>
      <c r="AJ179" s="353"/>
      <c r="AK179" s="353"/>
      <c r="AL179" s="353"/>
      <c r="AM179" s="353"/>
      <c r="AN179" s="353"/>
      <c r="AO179" s="439">
        <f>'RGGI - Invest Amort deferred'!AG125+'RGGI CHP'!V80</f>
        <v>0</v>
      </c>
      <c r="AQ179" s="412">
        <f>(H179+J179)*'Capital Structure '!$F$21/12</f>
        <v>0</v>
      </c>
      <c r="AR179" s="412">
        <f>(H179+J179)*'Capital Structure '!$E$34/12</f>
        <v>0</v>
      </c>
      <c r="AS179" s="412">
        <f>(H179+J179)*'Capital Structure '!$F$18/12</f>
        <v>0</v>
      </c>
      <c r="AT179" s="412">
        <f>'RGGI - On-bill financing'!J122*'Capital Structure '!$P$34/12</f>
        <v>529.6251638492123</v>
      </c>
      <c r="AU179" s="412">
        <f>'RGGI - On-bill financing'!J122*('Capital Structure '!$F$18+'Capital Structure '!$F$21)/12</f>
        <v>2052.311372511937</v>
      </c>
      <c r="AV179" s="415">
        <f t="shared" ref="AV179:AV190" si="203">SUM(AQ179:AU179)</f>
        <v>2581.9365363611491</v>
      </c>
      <c r="AX179" s="415">
        <v>0</v>
      </c>
      <c r="AY179" s="431">
        <f t="shared" ref="AY179:AY190" si="204">+AX179+AV179+AO179</f>
        <v>2581.9365363611491</v>
      </c>
      <c r="BA179" s="412">
        <f>'RGGI II Invest Amort Def'!AG110</f>
        <v>0</v>
      </c>
      <c r="BB179" s="353"/>
      <c r="BC179" s="412">
        <f>(L179+N179)*'Capital Structure '!$H$21/12</f>
        <v>0</v>
      </c>
      <c r="BD179" s="412">
        <f>(L179+N179)*'Capital Structure '!$W$34/12</f>
        <v>0</v>
      </c>
      <c r="BE179" s="412">
        <f>(L179+N179)*'Capital Structure '!$H$18/12</f>
        <v>0</v>
      </c>
      <c r="BF179" s="412">
        <f>'RGGI II On Bill Fin''g'!L110*'Capital Structure '!$W$34/12</f>
        <v>3090.5908924439559</v>
      </c>
      <c r="BG179" s="412">
        <f>'RGGI II On Bill Fin''g'!L110*('Capital Structure '!$H$18+'Capital Structure '!$H$21)/12</f>
        <v>10638.388939691589</v>
      </c>
      <c r="BH179" s="415">
        <f t="shared" ref="BH179:BH190" si="205">SUM(BC179:BG179)</f>
        <v>13728.979832135545</v>
      </c>
      <c r="BI179" s="353"/>
      <c r="BJ179" s="437">
        <v>0</v>
      </c>
      <c r="BK179" s="431">
        <f t="shared" ref="BK179:BK190" si="206">+BJ179+BH179+BA179</f>
        <v>13728.979832135545</v>
      </c>
      <c r="BM179" s="412">
        <f>'2013 program Invest Amort Def'!AW92</f>
        <v>18674.366666666669</v>
      </c>
      <c r="BN179" s="353"/>
      <c r="BO179" s="412">
        <f>(S179)*'Capital Structure '!$J$21/12</f>
        <v>12.359330796943462</v>
      </c>
      <c r="BP179" s="412">
        <f>(S179)*'Capital Structure '!$V$34/12</f>
        <v>14.968656206665473</v>
      </c>
      <c r="BQ179" s="412">
        <f>(S179)*'Capital Structure '!$J$18/12</f>
        <v>38.281632682219175</v>
      </c>
      <c r="BR179" s="412">
        <f>('2013 program 10 yr On Bill Fin'!M92+'2013 program 5 yr On Bill Fin'!L90+'2013 program 2 yr On Bill Fin'!M80)*'Capital Structure '!$V$34/12</f>
        <v>21646.013200768732</v>
      </c>
      <c r="BS179" s="412">
        <f>('2013 program 10 yr On Bill Fin'!M92+'2013 program 5 yr On Bill Fin'!L90+'2013 program 2 yr On Bill Fin'!M80)*('Capital Structure '!$J$18+'Capital Structure '!$J$21)/12</f>
        <v>73231.354160000032</v>
      </c>
      <c r="BT179" s="431">
        <f t="shared" ref="BT179:BT190" si="207">SUM(BO179:BS179)</f>
        <v>94942.976980454594</v>
      </c>
      <c r="BV179" s="438">
        <v>0</v>
      </c>
      <c r="BW179" s="431">
        <f t="shared" ref="BW179:BW190" si="208">+BV179+BT179+BM179</f>
        <v>113617.34364712126</v>
      </c>
      <c r="BY179" s="412">
        <f>'2015 Program Invest Amort Def'!BR67</f>
        <v>111026.19516666663</v>
      </c>
      <c r="BZ179" s="353"/>
      <c r="CA179" s="566">
        <f>X179*'Capital Structure '!$R$21/12</f>
        <v>1450.7142776310718</v>
      </c>
      <c r="CB179" s="412">
        <f>(X179)*'Capital Structure '!$R$34/12</f>
        <v>1667.8743292136421</v>
      </c>
      <c r="CC179" s="412">
        <f>(X179)*'Capital Structure '!$R$18/12</f>
        <v>4265.5099796217974</v>
      </c>
      <c r="CD179" s="412">
        <f>('2015 Program 10-Year OBRP'!P67+'2015 Program 7-Year OBRP'!M67+'2015 Program 5-Year OBRP'!K67+'2015 Program 3-Year OBRP'!K67)*('Capital Structure '!$R$34/12)</f>
        <v>30161.662241589536</v>
      </c>
      <c r="CE179" s="412">
        <f>('2015 Program 10-Year OBRP'!P67+'2015 Program 7-Year OBRP'!M67+'2015 Program 5-Year OBRP'!K67+'2015 Program 3-Year OBRP'!K67)*(('Capital Structure '!$R$21/12)+('Capital Structure '!$R$18/12))</f>
        <v>103371.59240632303</v>
      </c>
      <c r="CF179" s="431">
        <f t="shared" ref="CF179:CF190" si="209">SUM(CA179:CE179)</f>
        <v>140917.35323437909</v>
      </c>
      <c r="CG179" s="373">
        <v>-17924</v>
      </c>
      <c r="CH179" s="353"/>
      <c r="CI179" s="394"/>
      <c r="CJ179" s="431">
        <f t="shared" ref="CJ179:CJ190" si="210">BY179+CF179+CG179+CI179</f>
        <v>234019.54840104573</v>
      </c>
      <c r="CK179" s="431"/>
      <c r="CL179" s="431">
        <f>'2018 SUMMARY'!Q47</f>
        <v>269229.82186165242</v>
      </c>
      <c r="CM179" s="431"/>
      <c r="CN179" s="431">
        <f>'2018 SUMMARY'!S47</f>
        <v>24237.09436765076</v>
      </c>
      <c r="CO179" s="431">
        <f>'2018 SUMMARY'!T47</f>
        <v>27865.188985762165</v>
      </c>
      <c r="CP179" s="431">
        <f>'2018 SUMMARY'!U47</f>
        <v>71263.907370560002</v>
      </c>
      <c r="CQ179" s="431">
        <f>'2018 SUMMARY'!V47</f>
        <v>30713.874345756907</v>
      </c>
      <c r="CR179" s="431">
        <f>'2018 SUMMARY'!W47</f>
        <v>105264.16199007483</v>
      </c>
      <c r="CS179" s="431">
        <f>SUM(CN179:CR179)</f>
        <v>259344.22705980466</v>
      </c>
      <c r="CT179" s="431">
        <v>-3602</v>
      </c>
      <c r="CU179" s="431"/>
      <c r="CV179" s="431">
        <v>57807</v>
      </c>
      <c r="CW179" s="431">
        <f t="shared" ref="CW179:CW190" si="211">CL179+SUM(CS179:CV179)</f>
        <v>582779.04892145703</v>
      </c>
      <c r="CY179" s="412">
        <f>+BW179+BK179+AY179+CJ179+CW179-AB179</f>
        <v>440270.77029812074</v>
      </c>
      <c r="CZ179" s="412">
        <f t="shared" ref="CZ179:CZ190" si="212">+CZ178+CY179</f>
        <v>-853370.66722808057</v>
      </c>
      <c r="DA179" s="412">
        <f>(CZ178+CZ179)/2*(1-0.2811)</f>
        <v>-771743.50105392665</v>
      </c>
      <c r="DB179" s="417">
        <v>2.5000000000000001E-3</v>
      </c>
      <c r="DC179" s="434">
        <f t="shared" ref="DC179:DC190" si="213">(DA179)*DB179/12</f>
        <v>-160.77989605290139</v>
      </c>
      <c r="DE179" s="420">
        <f>(BO179+BQ179)/(S179)*12</f>
        <v>6.8999999999999992E-2</v>
      </c>
      <c r="DF179" s="420">
        <f>(BO179+BP179+BQ179)/(S179)*12</f>
        <v>8.9395292808457344E-2</v>
      </c>
      <c r="DG179" s="420">
        <f t="shared" ref="DG179:DG190" si="214">(CA179+CC179)/(X179)*12</f>
        <v>6.9470958200000016E-2</v>
      </c>
      <c r="DH179" s="420">
        <f t="shared" ref="DH179:DH190" si="215">(CA179+CB179+CC179)/(X179)*12</f>
        <v>8.974112651269997E-2</v>
      </c>
      <c r="DI179" s="353"/>
      <c r="DJ179" s="353"/>
      <c r="DK179" s="353"/>
      <c r="DL179" s="353"/>
      <c r="DM179" s="353"/>
      <c r="DN179" s="353"/>
      <c r="DO179" s="353"/>
      <c r="DP179" s="353"/>
      <c r="DQ179" s="353"/>
      <c r="DR179" s="353"/>
      <c r="DS179" s="353"/>
      <c r="DT179" s="353"/>
      <c r="DU179" s="353"/>
      <c r="DV179" s="353"/>
      <c r="DW179" s="353"/>
      <c r="DX179" s="353"/>
      <c r="DY179" s="353"/>
      <c r="DZ179" s="353"/>
      <c r="EA179" s="353"/>
      <c r="EB179" s="353"/>
      <c r="EC179" s="353"/>
      <c r="ED179" s="353"/>
      <c r="EE179" s="353"/>
      <c r="EF179" s="353"/>
      <c r="EG179" s="353"/>
      <c r="EH179" s="353"/>
      <c r="EI179" s="353"/>
      <c r="EJ179" s="353"/>
      <c r="EK179" s="353"/>
      <c r="EL179" s="353"/>
      <c r="EM179" s="353"/>
      <c r="EN179" s="353"/>
      <c r="EO179" s="353"/>
      <c r="EP179" s="353"/>
      <c r="EQ179" s="353"/>
      <c r="ER179" s="353"/>
      <c r="ES179" s="353"/>
      <c r="ET179" s="353"/>
      <c r="EU179" s="353"/>
      <c r="EV179" s="353"/>
      <c r="EW179" s="353"/>
      <c r="EX179" s="353"/>
      <c r="EY179" s="353"/>
      <c r="EZ179" s="353"/>
      <c r="FA179" s="353"/>
      <c r="FB179" s="353"/>
      <c r="FC179" s="353"/>
      <c r="FD179" s="353"/>
      <c r="FE179" s="353"/>
      <c r="FF179" s="353"/>
      <c r="FG179" s="353"/>
      <c r="FH179" s="353"/>
      <c r="FI179" s="353"/>
      <c r="FJ179" s="353"/>
      <c r="FK179" s="353"/>
      <c r="FL179" s="353"/>
      <c r="FM179" s="353"/>
      <c r="FN179" s="353"/>
      <c r="FO179" s="353"/>
      <c r="FP179" s="353"/>
      <c r="FQ179" s="353"/>
    </row>
    <row r="180" spans="1:173" s="351" customFormat="1" hidden="1">
      <c r="A180" s="430" t="s">
        <v>51</v>
      </c>
      <c r="B180" s="351">
        <v>2020</v>
      </c>
      <c r="C180" s="411" t="s">
        <v>47</v>
      </c>
      <c r="F180" s="370"/>
      <c r="G180" s="435"/>
      <c r="H180" s="412">
        <f>'RGGI - Invest Amort deferred'!AI126</f>
        <v>0</v>
      </c>
      <c r="I180" s="412">
        <f>'RGGI - Invest Amort deferred'!AI126</f>
        <v>0</v>
      </c>
      <c r="J180" s="413">
        <f>'RGGI - Invest Amort deferred'!BL126</f>
        <v>0</v>
      </c>
      <c r="K180" s="435"/>
      <c r="L180" s="414">
        <f>'RGGI II Invest Amort Def'!AI114</f>
        <v>0</v>
      </c>
      <c r="M180" s="414">
        <f>'RGGI II Invest Amort Def'!AI114</f>
        <v>0</v>
      </c>
      <c r="N180" s="413">
        <f>'RGGI II Invest Amort Def'!BK114</f>
        <v>0</v>
      </c>
      <c r="O180" s="435"/>
      <c r="P180" s="425">
        <f>'2013 program Invest Amort Def'!AY93</f>
        <v>4691.6666666604578</v>
      </c>
      <c r="Q180" s="425">
        <f>'2013 program Invest Amort Def'!AY93</f>
        <v>4691.6666666604578</v>
      </c>
      <c r="R180" s="425">
        <f>'2013 program Invest Amort Def'!CQ93</f>
        <v>-1318.8274999957334</v>
      </c>
      <c r="S180" s="373">
        <f t="shared" si="200"/>
        <v>3372.8391666647244</v>
      </c>
      <c r="T180" s="435"/>
      <c r="U180" s="414">
        <f>'2015 Program Invest Amort Def'!BT68</f>
        <v>1268297.2258333303</v>
      </c>
      <c r="V180" s="414">
        <f>'2015 Program Invest Amort Def'!BT68</f>
        <v>1268297.2258333303</v>
      </c>
      <c r="W180" s="414">
        <f>'2015 Program Invest Amort Def'!EG68</f>
        <v>-356483.21268175001</v>
      </c>
      <c r="X180" s="373">
        <f t="shared" si="201"/>
        <v>911814.01315158023</v>
      </c>
      <c r="Y180" s="435"/>
      <c r="Z180" s="394">
        <f>'Schedule NJNG-3 - Page 3'!D$107</f>
        <v>58677780.069999993</v>
      </c>
      <c r="AA180" s="480">
        <v>1.6E-2</v>
      </c>
      <c r="AB180" s="439">
        <f t="shared" si="202"/>
        <v>938844.48111999989</v>
      </c>
      <c r="AO180" s="439">
        <f>'RGGI - Invest Amort deferred'!AG126+'RGGI CHP'!V81</f>
        <v>0</v>
      </c>
      <c r="AQ180" s="412">
        <f>(H180+J180)*'Capital Structure '!$F$21/12</f>
        <v>0</v>
      </c>
      <c r="AR180" s="412">
        <f>(H180+J180)*'Capital Structure '!$E$34/12</f>
        <v>0</v>
      </c>
      <c r="AS180" s="412">
        <f>(H180+J180)*'Capital Structure '!$F$18/12</f>
        <v>0</v>
      </c>
      <c r="AT180" s="412">
        <f>'RGGI - On-bill financing'!J123*'Capital Structure '!$P$34/12</f>
        <v>487.24599763416126</v>
      </c>
      <c r="AU180" s="412">
        <f>'RGGI - On-bill financing'!J123*('Capital Structure '!$F$18+'Capital Structure '!$F$21)/12</f>
        <v>1888.0909941813381</v>
      </c>
      <c r="AV180" s="415">
        <f t="shared" si="203"/>
        <v>2375.3369918154995</v>
      </c>
      <c r="AX180" s="415">
        <v>0</v>
      </c>
      <c r="AY180" s="431">
        <f t="shared" si="204"/>
        <v>2375.3369918154995</v>
      </c>
      <c r="BA180" s="412">
        <f>'RGGI II Invest Amort Def'!AG114</f>
        <v>0</v>
      </c>
      <c r="BC180" s="412">
        <f>(L180+N180)*'Capital Structure '!$H$21/12</f>
        <v>0</v>
      </c>
      <c r="BD180" s="412">
        <f>(L180+N180)*'Capital Structure '!$W$34/12</f>
        <v>0</v>
      </c>
      <c r="BE180" s="412">
        <f>(L180+N180)*'Capital Structure '!$H$18/12</f>
        <v>0</v>
      </c>
      <c r="BF180" s="412">
        <f>'RGGI II On Bill Fin''g'!L111*'Capital Structure '!$W$34/12</f>
        <v>2985.4750086790186</v>
      </c>
      <c r="BG180" s="412">
        <f>'RGGI II On Bill Fin''g'!L111*('Capital Structure '!$H$18+'Capital Structure '!$H$21)/12</f>
        <v>10276.560508123757</v>
      </c>
      <c r="BH180" s="415">
        <f t="shared" si="205"/>
        <v>13262.035516802776</v>
      </c>
      <c r="BJ180" s="437">
        <v>0</v>
      </c>
      <c r="BK180" s="431">
        <f t="shared" si="206"/>
        <v>13262.035516802776</v>
      </c>
      <c r="BM180" s="412">
        <f>'2013 program Invest Amort Def'!AW93</f>
        <v>7559.166666666667</v>
      </c>
      <c r="BO180" s="412">
        <f>(S180)*'Capital Structure '!$J$21/12</f>
        <v>4.7332176305528302</v>
      </c>
      <c r="BP180" s="412">
        <f>(S180)*'Capital Structure '!$V$34/12</f>
        <v>5.7325035333300312</v>
      </c>
      <c r="BQ180" s="412">
        <f>(S180)*'Capital Structure '!$J$18/12</f>
        <v>14.660607577769335</v>
      </c>
      <c r="BR180" s="412">
        <f>('2013 program 10 yr On Bill Fin'!M93+'2013 program 5 yr On Bill Fin'!L91+'2013 program 2 yr On Bill Fin'!M81)*'Capital Structure '!$V$34/12</f>
        <v>21164.467522518738</v>
      </c>
      <c r="BS180" s="412">
        <f>('2013 program 10 yr On Bill Fin'!M93+'2013 program 5 yr On Bill Fin'!L91+'2013 program 2 yr On Bill Fin'!M81)*('Capital Structure '!$J$18+'Capital Structure '!$J$21)/12</f>
        <v>71602.220805000034</v>
      </c>
      <c r="BT180" s="431">
        <f t="shared" si="207"/>
        <v>92791.814656260423</v>
      </c>
      <c r="BV180" s="438">
        <v>0</v>
      </c>
      <c r="BW180" s="431">
        <f t="shared" si="208"/>
        <v>100350.98132292709</v>
      </c>
      <c r="BY180" s="412">
        <f>'2015 Program Invest Amort Def'!BR68</f>
        <v>105106.19516666664</v>
      </c>
      <c r="CA180" s="412">
        <f>X180*'Capital Structure '!$R$21/12</f>
        <v>1339.6795626708135</v>
      </c>
      <c r="CB180" s="412">
        <f>(X180)*'Capital Structure '!$R$34/12</f>
        <v>1540.2186263717456</v>
      </c>
      <c r="CC180" s="412">
        <f>(X180)*'Capital Structure '!$R$18/12</f>
        <v>3939.0365368148268</v>
      </c>
      <c r="CD180" s="412">
        <f>('2015 Program 10-Year OBRP'!P68+'2015 Program 7-Year OBRP'!M68+'2015 Program 5-Year OBRP'!K68+'2015 Program 3-Year OBRP'!K68)*('Capital Structure '!$R$34/12)</f>
        <v>29370.910357531338</v>
      </c>
      <c r="CE180" s="412">
        <f>('2015 Program 10-Year OBRP'!P68+'2015 Program 7-Year OBRP'!M68+'2015 Program 5-Year OBRP'!K68+'2015 Program 3-Year OBRP'!K68)*(('Capital Structure '!$R$21/12)+('Capital Structure '!$R$18/12))</f>
        <v>100661.48708126956</v>
      </c>
      <c r="CF180" s="431">
        <f t="shared" si="209"/>
        <v>136851.33216465829</v>
      </c>
      <c r="CG180" s="373">
        <f>-17815.62+177.53+975.93+2366.9</f>
        <v>-14295.26</v>
      </c>
      <c r="CJ180" s="431">
        <f t="shared" si="210"/>
        <v>227662.26733132493</v>
      </c>
      <c r="CK180" s="431"/>
      <c r="CL180" s="431">
        <f>'2018 SUMMARY'!Q48</f>
        <v>278314.72805212863</v>
      </c>
      <c r="CM180" s="431"/>
      <c r="CN180" s="431">
        <f>'2018 SUMMARY'!S48</f>
        <v>24565.938493312024</v>
      </c>
      <c r="CO180" s="431">
        <f>'2018 SUMMARY'!T48</f>
        <v>28243.258385064382</v>
      </c>
      <c r="CP180" s="431">
        <f>'2018 SUMMARY'!U48</f>
        <v>72230.802038501541</v>
      </c>
      <c r="CQ180" s="431">
        <f>'2018 SUMMARY'!V48</f>
        <v>32245.132555794247</v>
      </c>
      <c r="CR180" s="431">
        <f>'2018 SUMMARY'!W48</f>
        <v>110512.16849213537</v>
      </c>
      <c r="CS180" s="431">
        <f t="shared" ref="CS180:CS190" si="216">SUM(CN180:CR180)</f>
        <v>267797.29996480758</v>
      </c>
      <c r="CT180" s="431">
        <f>-975.93-2366.9</f>
        <v>-3342.83</v>
      </c>
      <c r="CU180" s="431"/>
      <c r="CV180" s="562">
        <v>45077</v>
      </c>
      <c r="CW180" s="431">
        <f t="shared" si="211"/>
        <v>587846.19801693619</v>
      </c>
      <c r="CY180" s="412">
        <f t="shared" ref="CY180:CY190" si="217">+BW180+BK180+AY180+CJ180+CW180-AB180</f>
        <v>-7347.6619401933858</v>
      </c>
      <c r="CZ180" s="412">
        <f t="shared" si="212"/>
        <v>-860718.32916827395</v>
      </c>
      <c r="DA180" s="412">
        <f t="shared" ref="DA180:DA190" si="218">(CZ179+CZ180)/2*(1-0.2811)</f>
        <v>-616129.28975466953</v>
      </c>
      <c r="DB180" s="417">
        <f t="shared" ref="DB180:DB189" si="219">DB179</f>
        <v>2.5000000000000001E-3</v>
      </c>
      <c r="DC180" s="434">
        <f t="shared" si="213"/>
        <v>-128.36026869888948</v>
      </c>
      <c r="DE180" s="420">
        <f>(BO180+BQ180)/(S180)*12</f>
        <v>6.9000000000000006E-2</v>
      </c>
      <c r="DF180" s="420">
        <f>(BO180+BP180+BQ180)/(S180)*12</f>
        <v>8.9395292808457358E-2</v>
      </c>
      <c r="DG180" s="420">
        <f t="shared" si="214"/>
        <v>6.9470958200000016E-2</v>
      </c>
      <c r="DH180" s="420">
        <f t="shared" si="215"/>
        <v>8.974112651269997E-2</v>
      </c>
      <c r="DI180" s="353"/>
      <c r="DJ180" s="353"/>
      <c r="DK180" s="353"/>
      <c r="DL180" s="353"/>
      <c r="DM180" s="353"/>
      <c r="DN180" s="353"/>
      <c r="DO180" s="353"/>
      <c r="DP180" s="353"/>
      <c r="DQ180" s="353"/>
      <c r="DR180" s="353"/>
      <c r="DS180" s="353"/>
      <c r="DT180" s="353"/>
      <c r="DU180" s="353"/>
      <c r="DV180" s="353"/>
      <c r="DW180" s="353"/>
      <c r="DX180" s="353"/>
      <c r="DY180" s="353"/>
      <c r="DZ180" s="353"/>
      <c r="EA180" s="353"/>
      <c r="EB180" s="353"/>
      <c r="EC180" s="353"/>
      <c r="ED180" s="353"/>
      <c r="EE180" s="353"/>
      <c r="EF180" s="353"/>
      <c r="EG180" s="353"/>
      <c r="EH180" s="353"/>
      <c r="EI180" s="353"/>
      <c r="EJ180" s="353"/>
      <c r="EK180" s="353"/>
      <c r="EL180" s="353"/>
      <c r="EM180" s="353"/>
      <c r="EN180" s="353"/>
      <c r="EO180" s="353"/>
      <c r="EP180" s="353"/>
      <c r="EQ180" s="353"/>
      <c r="ER180" s="353"/>
      <c r="ES180" s="353"/>
      <c r="ET180" s="353"/>
      <c r="EU180" s="353"/>
      <c r="EV180" s="353"/>
      <c r="EW180" s="353"/>
      <c r="EX180" s="353"/>
      <c r="EY180" s="353"/>
      <c r="EZ180" s="353"/>
      <c r="FA180" s="353"/>
      <c r="FB180" s="353"/>
      <c r="FC180" s="353"/>
      <c r="FD180" s="353"/>
      <c r="FE180" s="353"/>
      <c r="FF180" s="353"/>
      <c r="FG180" s="353"/>
      <c r="FH180" s="353"/>
      <c r="FI180" s="353"/>
      <c r="FJ180" s="353"/>
      <c r="FK180" s="353"/>
      <c r="FL180" s="353"/>
      <c r="FM180" s="353"/>
      <c r="FN180" s="353"/>
      <c r="FO180" s="353"/>
      <c r="FP180" s="353"/>
      <c r="FQ180" s="353"/>
    </row>
    <row r="181" spans="1:173" s="351" customFormat="1" hidden="1">
      <c r="A181" s="430" t="s">
        <v>52</v>
      </c>
      <c r="B181" s="351">
        <v>2020</v>
      </c>
      <c r="C181" s="411" t="s">
        <v>47</v>
      </c>
      <c r="F181" s="370"/>
      <c r="G181" s="435"/>
      <c r="H181" s="412">
        <f>'RGGI - Invest Amort deferred'!AI127</f>
        <v>0</v>
      </c>
      <c r="I181" s="412">
        <f>'RGGI - Invest Amort deferred'!AI127</f>
        <v>0</v>
      </c>
      <c r="J181" s="413">
        <f>'RGGI - Invest Amort deferred'!BL127</f>
        <v>0</v>
      </c>
      <c r="K181" s="435"/>
      <c r="L181" s="414">
        <f>'RGGI II Invest Amort Def'!AI115</f>
        <v>0</v>
      </c>
      <c r="M181" s="414">
        <f>'RGGI II Invest Amort Def'!AI115</f>
        <v>0</v>
      </c>
      <c r="N181" s="413">
        <f>'RGGI II Invest Amort Def'!BK115</f>
        <v>0</v>
      </c>
      <c r="O181" s="435"/>
      <c r="P181" s="425">
        <f>'2013 program Invest Amort Def'!AY94</f>
        <v>2466.6666666604578</v>
      </c>
      <c r="Q181" s="425">
        <f>'2013 program Invest Amort Def'!AY94</f>
        <v>2466.6666666604578</v>
      </c>
      <c r="R181" s="425">
        <f>'2013 program Invest Amort Def'!CQ94</f>
        <v>-693.37999999573356</v>
      </c>
      <c r="S181" s="373">
        <f t="shared" si="200"/>
        <v>1773.2866666647242</v>
      </c>
      <c r="T181" s="435"/>
      <c r="U181" s="414">
        <f>'2015 Program Invest Amort Def'!BT69</f>
        <v>1171594.3639999973</v>
      </c>
      <c r="V181" s="414">
        <f>'2015 Program Invest Amort Def'!BT69</f>
        <v>1171594.3639999973</v>
      </c>
      <c r="W181" s="414">
        <f>'2015 Program Invest Amort Def'!EG69</f>
        <v>-329311.75072040001</v>
      </c>
      <c r="X181" s="373">
        <f t="shared" si="201"/>
        <v>842282.61327959725</v>
      </c>
      <c r="Y181" s="435"/>
      <c r="Z181" s="394">
        <f>'Schedule NJNG-3 - Page 3'!E$107</f>
        <v>112973976.72000001</v>
      </c>
      <c r="AA181" s="480">
        <v>1.6E-2</v>
      </c>
      <c r="AB181" s="439">
        <f t="shared" si="202"/>
        <v>1807583.6275200003</v>
      </c>
      <c r="AO181" s="439">
        <f>'RGGI - Invest Amort deferred'!AG127+'RGGI CHP'!V82</f>
        <v>0</v>
      </c>
      <c r="AQ181" s="412">
        <f>(H181+J181)*'Capital Structure '!$F$21/12</f>
        <v>0</v>
      </c>
      <c r="AR181" s="412">
        <f>(H181+J181)*'Capital Structure '!$E$34/12</f>
        <v>0</v>
      </c>
      <c r="AS181" s="412">
        <f>(H181+J181)*'Capital Structure '!$F$18/12</f>
        <v>0</v>
      </c>
      <c r="AT181" s="412">
        <f>'RGGI - On-bill financing'!J124*'Capital Structure '!$P$34/12</f>
        <v>440.09072931645397</v>
      </c>
      <c r="AU181" s="412">
        <f>'RGGI - On-bill financing'!J124*('Capital Structure '!$F$18+'Capital Structure '!$F$21)/12</f>
        <v>1705.3630951915623</v>
      </c>
      <c r="AV181" s="415">
        <f t="shared" si="203"/>
        <v>2145.4538245080162</v>
      </c>
      <c r="AX181" s="415">
        <v>0</v>
      </c>
      <c r="AY181" s="431">
        <f t="shared" si="204"/>
        <v>2145.4538245080162</v>
      </c>
      <c r="BA181" s="412">
        <f>'RGGI II Invest Amort Def'!AG115</f>
        <v>0</v>
      </c>
      <c r="BC181" s="412">
        <f>(L181+N181)*'Capital Structure '!$H$21/12</f>
        <v>0</v>
      </c>
      <c r="BD181" s="412">
        <f>(L181+N181)*'Capital Structure '!$W$34/12</f>
        <v>0</v>
      </c>
      <c r="BE181" s="412">
        <f>(L181+N181)*'Capital Structure '!$H$18/12</f>
        <v>0</v>
      </c>
      <c r="BF181" s="412">
        <f>'RGGI II On Bill Fin''g'!L112*'Capital Structure '!$W$34/12</f>
        <v>2825.4212235042032</v>
      </c>
      <c r="BG181" s="412">
        <f>'RGGI II On Bill Fin''g'!L112*('Capital Structure '!$H$18+'Capital Structure '!$H$21)/12</f>
        <v>9725.6255972229283</v>
      </c>
      <c r="BH181" s="415">
        <f t="shared" si="205"/>
        <v>12551.046820727131</v>
      </c>
      <c r="BJ181" s="437">
        <v>0</v>
      </c>
      <c r="BK181" s="431">
        <f t="shared" si="206"/>
        <v>12551.046820727131</v>
      </c>
      <c r="BM181" s="412">
        <f>'2013 program Invest Amort Def'!AW94</f>
        <v>2225</v>
      </c>
      <c r="BO181" s="412">
        <f>(S181)*'Capital Structure '!$J$21/12</f>
        <v>2.488512288886163</v>
      </c>
      <c r="BP181" s="412">
        <f>(S181)*'Capital Structure '!$V$34/12</f>
        <v>3.013891733330031</v>
      </c>
      <c r="BQ181" s="412">
        <f>(S181)*'Capital Structure '!$J$18/12</f>
        <v>7.7078860444360009</v>
      </c>
      <c r="BR181" s="412">
        <f>('2013 program 10 yr On Bill Fin'!M94+'2013 program 5 yr On Bill Fin'!L92+'2013 program 2 yr On Bill Fin'!M82)*'Capital Structure '!$V$34/12</f>
        <v>20486.108883294477</v>
      </c>
      <c r="BS181" s="412">
        <f>('2013 program 10 yr On Bill Fin'!M94+'2013 program 5 yr On Bill Fin'!L92+'2013 program 2 yr On Bill Fin'!M82)*('Capital Structure '!$J$18+'Capital Structure '!$J$21)/12</f>
        <v>69307.242912500034</v>
      </c>
      <c r="BT181" s="431">
        <f t="shared" si="207"/>
        <v>89806.562085861166</v>
      </c>
      <c r="BV181" s="438">
        <v>0</v>
      </c>
      <c r="BW181" s="431">
        <f t="shared" si="208"/>
        <v>92031.562085861166</v>
      </c>
      <c r="BY181" s="412">
        <f>'2015 Program Invest Amort Def'!BR69</f>
        <v>96702.861833333314</v>
      </c>
      <c r="CA181" s="412">
        <f>X181*'Capital Structure '!$R$21/12</f>
        <v>1237.5207956099455</v>
      </c>
      <c r="CB181" s="412">
        <f>(X181)*'Capital Structure '!$R$34/12</f>
        <v>1422.7675281698505</v>
      </c>
      <c r="CC181" s="412">
        <f>(X181)*'Capital Structure '!$R$18/12</f>
        <v>3638.6608893678604</v>
      </c>
      <c r="CD181" s="412">
        <f>('2015 Program 10-Year OBRP'!P69+'2015 Program 7-Year OBRP'!M69+'2015 Program 5-Year OBRP'!K69+'2015 Program 3-Year OBRP'!K69)*('Capital Structure '!$R$34/12)</f>
        <v>28472.976715292803</v>
      </c>
      <c r="CE181" s="412">
        <f>('2015 Program 10-Year OBRP'!P69+'2015 Program 7-Year OBRP'!M69+'2015 Program 5-Year OBRP'!K69+'2015 Program 3-Year OBRP'!K69)*(('Capital Structure '!$R$21/12)+('Capital Structure '!$R$18/12))</f>
        <v>97584.042949380266</v>
      </c>
      <c r="CF181" s="431">
        <f t="shared" si="209"/>
        <v>132355.96887782073</v>
      </c>
      <c r="CG181" s="373">
        <f>-16768.81+133.79-82.29-143.53+1192.94+2183.2</f>
        <v>-13484.7</v>
      </c>
      <c r="CJ181" s="431">
        <f t="shared" si="210"/>
        <v>215574.13071115402</v>
      </c>
      <c r="CK181" s="431"/>
      <c r="CL181" s="431">
        <f>'2018 SUMMARY'!Q49</f>
        <v>287325.4523378429</v>
      </c>
      <c r="CM181" s="431"/>
      <c r="CN181" s="431">
        <f>'2018 SUMMARY'!S49</f>
        <v>24908.552328184021</v>
      </c>
      <c r="CO181" s="431">
        <f>'2018 SUMMARY'!T49</f>
        <v>28637.158706325135</v>
      </c>
      <c r="CP181" s="431">
        <f>'2018 SUMMARY'!U49</f>
        <v>73238.183543141728</v>
      </c>
      <c r="CQ181" s="431">
        <f>'2018 SUMMARY'!V49</f>
        <v>33453.870867814498</v>
      </c>
      <c r="CR181" s="431">
        <f>'2018 SUMMARY'!W49</f>
        <v>114654.81829423326</v>
      </c>
      <c r="CS181" s="431">
        <f t="shared" si="216"/>
        <v>274892.58373969863</v>
      </c>
      <c r="CT181" s="431">
        <f>-1192.94-2183.2</f>
        <v>-3376.14</v>
      </c>
      <c r="CU181" s="431"/>
      <c r="CV181" s="562">
        <v>41016</v>
      </c>
      <c r="CW181" s="431">
        <f t="shared" si="211"/>
        <v>599857.89607754152</v>
      </c>
      <c r="CY181" s="412">
        <f t="shared" si="217"/>
        <v>-885423.53800020844</v>
      </c>
      <c r="CZ181" s="412">
        <f t="shared" si="212"/>
        <v>-1746141.8671684824</v>
      </c>
      <c r="DA181" s="412">
        <f t="shared" si="218"/>
        <v>-937035.89757324709</v>
      </c>
      <c r="DB181" s="417">
        <v>1.9E-3</v>
      </c>
      <c r="DC181" s="434">
        <f t="shared" si="213"/>
        <v>-148.36401711576411</v>
      </c>
      <c r="DE181" s="420">
        <f>(BO181+BQ181)/(S181)*12</f>
        <v>6.9000000000000006E-2</v>
      </c>
      <c r="DF181" s="420">
        <f>(BO181+BP181+BQ181)/(S181)*12</f>
        <v>8.9395292808457372E-2</v>
      </c>
      <c r="DG181" s="420">
        <f t="shared" si="214"/>
        <v>6.9470958200000016E-2</v>
      </c>
      <c r="DH181" s="420">
        <f t="shared" si="215"/>
        <v>8.974112651269997E-2</v>
      </c>
      <c r="DI181" s="353"/>
      <c r="DJ181" s="353"/>
      <c r="DK181" s="353"/>
      <c r="DL181" s="353"/>
      <c r="DM181" s="353"/>
      <c r="DN181" s="353"/>
      <c r="DO181" s="353"/>
      <c r="DP181" s="353"/>
      <c r="DQ181" s="353"/>
      <c r="DR181" s="353"/>
      <c r="DS181" s="353"/>
      <c r="DT181" s="353"/>
      <c r="DU181" s="353"/>
      <c r="DV181" s="353"/>
      <c r="DW181" s="353"/>
      <c r="DX181" s="353"/>
      <c r="DY181" s="353"/>
      <c r="DZ181" s="353"/>
      <c r="EA181" s="353"/>
      <c r="EB181" s="353"/>
      <c r="EC181" s="353"/>
      <c r="ED181" s="353"/>
      <c r="EE181" s="353"/>
      <c r="EF181" s="353"/>
      <c r="EG181" s="353"/>
      <c r="EH181" s="353"/>
      <c r="EI181" s="353"/>
      <c r="EJ181" s="353"/>
      <c r="EK181" s="353"/>
      <c r="EL181" s="353"/>
      <c r="EM181" s="353"/>
      <c r="EN181" s="353"/>
      <c r="EO181" s="353"/>
      <c r="EP181" s="353"/>
      <c r="EQ181" s="353"/>
      <c r="ER181" s="353"/>
      <c r="ES181" s="353"/>
      <c r="ET181" s="353"/>
      <c r="EU181" s="353"/>
      <c r="EV181" s="353"/>
      <c r="EW181" s="353"/>
      <c r="EX181" s="353"/>
      <c r="EY181" s="353"/>
      <c r="EZ181" s="353"/>
      <c r="FA181" s="353"/>
      <c r="FB181" s="353"/>
      <c r="FC181" s="353"/>
      <c r="FD181" s="353"/>
      <c r="FE181" s="353"/>
      <c r="FF181" s="353"/>
      <c r="FG181" s="353"/>
      <c r="FH181" s="353"/>
      <c r="FI181" s="353"/>
      <c r="FJ181" s="353"/>
      <c r="FK181" s="353"/>
      <c r="FL181" s="353"/>
      <c r="FM181" s="353"/>
      <c r="FN181" s="353"/>
      <c r="FO181" s="353"/>
      <c r="FP181" s="353"/>
      <c r="FQ181" s="353"/>
    </row>
    <row r="182" spans="1:173" s="351" customFormat="1" hidden="1">
      <c r="A182" s="430" t="s">
        <v>53</v>
      </c>
      <c r="B182" s="351">
        <v>2021</v>
      </c>
      <c r="C182" s="411" t="s">
        <v>47</v>
      </c>
      <c r="F182" s="370"/>
      <c r="G182" s="435"/>
      <c r="H182" s="412">
        <f>'RGGI - Invest Amort deferred'!AI128</f>
        <v>0</v>
      </c>
      <c r="I182" s="412">
        <f>'RGGI - Invest Amort deferred'!AI128</f>
        <v>0</v>
      </c>
      <c r="J182" s="413">
        <f>'RGGI - Invest Amort deferred'!BL128</f>
        <v>0</v>
      </c>
      <c r="K182" s="435"/>
      <c r="L182" s="414">
        <f>'RGGI II Invest Amort Def'!AI116</f>
        <v>0</v>
      </c>
      <c r="M182" s="414">
        <f>'RGGI II Invest Amort Def'!AI116</f>
        <v>0</v>
      </c>
      <c r="N182" s="413">
        <f>'RGGI II Invest Amort Def'!BK116</f>
        <v>0</v>
      </c>
      <c r="O182" s="435"/>
      <c r="P182" s="425">
        <f>'2013 program Invest Amort Def'!AY95</f>
        <v>1083.3333333283663</v>
      </c>
      <c r="Q182" s="425">
        <f>'2013 program Invest Amort Def'!AY95</f>
        <v>1083.3333333283663</v>
      </c>
      <c r="R182" s="425">
        <f>'2013 program Invest Amort Def'!CQ95</f>
        <v>-304.52499999573365</v>
      </c>
      <c r="S182" s="373">
        <f t="shared" si="200"/>
        <v>778.80833333263263</v>
      </c>
      <c r="T182" s="435"/>
      <c r="U182" s="414">
        <f>'2015 Program Invest Amort Def'!BT70</f>
        <v>1083111.3354999973</v>
      </c>
      <c r="V182" s="414">
        <f>'2015 Program Invest Amort Def'!BT70</f>
        <v>1083111.3354999973</v>
      </c>
      <c r="W182" s="414">
        <f>'2015 Program Invest Amort Def'!EG70</f>
        <v>-304450.88390905003</v>
      </c>
      <c r="X182" s="397">
        <f t="shared" si="201"/>
        <v>778660.45159094722</v>
      </c>
      <c r="Y182" s="435"/>
      <c r="Z182" s="394">
        <f>'Schedule NJNG-3 - Page 3'!F$107</f>
        <v>128204280.28</v>
      </c>
      <c r="AA182" s="480">
        <v>1.6E-2</v>
      </c>
      <c r="AB182" s="439">
        <f t="shared" si="202"/>
        <v>2051268.4844800001</v>
      </c>
      <c r="AO182" s="372">
        <f>'RGGI - Invest Amort deferred'!AG128+'RGGI CHP'!V83</f>
        <v>0</v>
      </c>
      <c r="AQ182" s="412">
        <f>(H182+J182)*'Capital Structure '!$F$21/12</f>
        <v>0</v>
      </c>
      <c r="AR182" s="412">
        <f>(H182+J182)*'Capital Structure '!$E$34/12</f>
        <v>0</v>
      </c>
      <c r="AS182" s="412">
        <f>(H182+J182)*'Capital Structure '!$F$18/12</f>
        <v>0</v>
      </c>
      <c r="AT182" s="412">
        <f>'RGGI - On-bill financing'!J125*'Capital Structure '!$P$34/12</f>
        <v>398.15088354764038</v>
      </c>
      <c r="AU182" s="412">
        <f>'RGGI - On-bill financing'!J125*('Capital Structure '!$F$18+'Capital Structure '!$F$21)/12</f>
        <v>1542.8450950890622</v>
      </c>
      <c r="AV182" s="415">
        <f t="shared" si="203"/>
        <v>1940.9959786367026</v>
      </c>
      <c r="AX182" s="415">
        <v>0</v>
      </c>
      <c r="AY182" s="431">
        <f t="shared" si="204"/>
        <v>1940.9959786367026</v>
      </c>
      <c r="BA182" s="412">
        <f>'RGGI II Invest Amort Def'!AG116</f>
        <v>0</v>
      </c>
      <c r="BC182" s="412">
        <f>(L182+N182)*'Capital Structure '!$H$21/12</f>
        <v>0</v>
      </c>
      <c r="BD182" s="412">
        <f>(L182+N182)*'Capital Structure '!$W$34/12</f>
        <v>0</v>
      </c>
      <c r="BE182" s="412">
        <f>(L182+N182)*'Capital Structure '!$H$18/12</f>
        <v>0</v>
      </c>
      <c r="BF182" s="412">
        <f>'RGGI II On Bill Fin''g'!L113*'Capital Structure '!$W$34/12</f>
        <v>2702.080529330331</v>
      </c>
      <c r="BG182" s="412">
        <f>'RGGI II On Bill Fin''g'!L113*('Capital Structure '!$H$18+'Capital Structure '!$H$21)/12</f>
        <v>9301.0639770093912</v>
      </c>
      <c r="BH182" s="415">
        <f t="shared" si="205"/>
        <v>12003.144506339722</v>
      </c>
      <c r="BJ182" s="437">
        <v>0</v>
      </c>
      <c r="BK182" s="431">
        <f t="shared" si="206"/>
        <v>12003.144506339722</v>
      </c>
      <c r="BM182" s="412">
        <f>'2013 program Invest Amort Def'!AW95</f>
        <v>1383.3333333333333</v>
      </c>
      <c r="BO182" s="412">
        <f>(S182)*'Capital Structure '!$J$21/12</f>
        <v>1.0929276944434612</v>
      </c>
      <c r="BP182" s="412">
        <f>(S182)*'Capital Structure '!$V$34/12</f>
        <v>1.3236686666654753</v>
      </c>
      <c r="BQ182" s="412">
        <f>(S182)*'Capital Structure '!$J$18/12</f>
        <v>3.3852202222191763</v>
      </c>
      <c r="BR182" s="412">
        <f>('2013 program 10 yr On Bill Fin'!M95+'2013 program 5 yr On Bill Fin'!L93+'2013 program 2 yr On Bill Fin'!M83)*'Capital Structure '!$V$34/12</f>
        <v>19988.145521212075</v>
      </c>
      <c r="BS182" s="412">
        <f>('2013 program 10 yr On Bill Fin'!M95+'2013 program 5 yr On Bill Fin'!L93+'2013 program 2 yr On Bill Fin'!M83)*('Capital Structure '!$J$18+'Capital Structure '!$J$21)/12</f>
        <v>67622.566340000034</v>
      </c>
      <c r="BT182" s="431">
        <f t="shared" si="207"/>
        <v>87616.513677795432</v>
      </c>
      <c r="BV182" s="438">
        <v>0</v>
      </c>
      <c r="BW182" s="431">
        <f t="shared" si="208"/>
        <v>88999.847011128761</v>
      </c>
      <c r="BY182" s="412">
        <f>'2015 Program Invest Amort Def'!BR70</f>
        <v>88483.028499999971</v>
      </c>
      <c r="CA182" s="412">
        <f>X182*'Capital Structure '!$R$21/12</f>
        <v>1144.044156166093</v>
      </c>
      <c r="CB182" s="412">
        <f>(X182)*'Capital Structure '!$R$34/12</f>
        <v>1315.2982010159551</v>
      </c>
      <c r="CC182" s="412">
        <f>(X182)*'Capital Structure '!$R$18/12</f>
        <v>3363.8131508728925</v>
      </c>
      <c r="CD182" s="412">
        <f>('2015 Program 10-Year OBRP'!P70+'2015 Program 7-Year OBRP'!M70+'2015 Program 5-Year OBRP'!K70+'2015 Program 3-Year OBRP'!K70)*('Capital Structure '!$R$34/12)</f>
        <v>27674.440900792655</v>
      </c>
      <c r="CE182" s="412">
        <f>('2015 Program 10-Year OBRP'!P70+'2015 Program 7-Year OBRP'!M70+'2015 Program 5-Year OBRP'!K70+'2015 Program 3-Year OBRP'!K70)*(('Capital Structure '!$R$21/12)+('Capital Structure '!$R$18/12))</f>
        <v>94847.26013956088</v>
      </c>
      <c r="CF182" s="431">
        <f t="shared" si="209"/>
        <v>128344.85654840848</v>
      </c>
      <c r="CG182" s="373">
        <f>-16627.18+254.49+910.25+2532.23</f>
        <v>-12930.210000000001</v>
      </c>
      <c r="CJ182" s="431">
        <f t="shared" si="210"/>
        <v>203897.67504840848</v>
      </c>
      <c r="CK182" s="431"/>
      <c r="CL182" s="431">
        <f>'2018 SUMMARY'!Q50</f>
        <v>298129.65900450962</v>
      </c>
      <c r="CM182" s="431"/>
      <c r="CN182" s="431">
        <f>'2018 SUMMARY'!S50</f>
        <v>25455.410121362704</v>
      </c>
      <c r="CO182" s="431">
        <f>'2018 SUMMARY'!T50</f>
        <v>29265.876634477423</v>
      </c>
      <c r="CP182" s="431">
        <f>'2018 SUMMARY'!U50</f>
        <v>74846.100008985479</v>
      </c>
      <c r="CQ182" s="431">
        <f>'2018 SUMMARY'!V50</f>
        <v>34735.11602796807</v>
      </c>
      <c r="CR182" s="431">
        <f>'2018 SUMMARY'!W50</f>
        <v>119045.96727690911</v>
      </c>
      <c r="CS182" s="431">
        <f t="shared" si="216"/>
        <v>283348.47006970277</v>
      </c>
      <c r="CT182" s="431">
        <f>-910.25-2532.23</f>
        <v>-3442.48</v>
      </c>
      <c r="CU182" s="431"/>
      <c r="CV182" s="562">
        <v>56650</v>
      </c>
      <c r="CW182" s="431">
        <f t="shared" si="211"/>
        <v>634685.64907421242</v>
      </c>
      <c r="CY182" s="412">
        <f t="shared" si="217"/>
        <v>-1109741.1728612741</v>
      </c>
      <c r="CZ182" s="412">
        <f t="shared" si="212"/>
        <v>-2855883.0400297567</v>
      </c>
      <c r="DA182" s="412">
        <f t="shared" si="218"/>
        <v>-1654197.852892407</v>
      </c>
      <c r="DB182" s="417">
        <v>1.8E-3</v>
      </c>
      <c r="DC182" s="434">
        <f t="shared" si="213"/>
        <v>-248.12967793386102</v>
      </c>
      <c r="DE182" s="420">
        <f>(BO182+BQ182)/(S182)*12</f>
        <v>6.9000000000000006E-2</v>
      </c>
      <c r="DF182" s="420">
        <f>(BO182+BP182+BQ182)/(S182)*12</f>
        <v>8.9395292808457372E-2</v>
      </c>
      <c r="DG182" s="420">
        <f t="shared" si="214"/>
        <v>6.9470958200000016E-2</v>
      </c>
      <c r="DH182" s="420">
        <f t="shared" si="215"/>
        <v>8.974112651269997E-2</v>
      </c>
      <c r="DI182" s="353"/>
      <c r="DJ182" s="353"/>
      <c r="DK182" s="353"/>
      <c r="DL182" s="353"/>
      <c r="DM182" s="353"/>
      <c r="DN182" s="353"/>
      <c r="DO182" s="353"/>
      <c r="DP182" s="353"/>
      <c r="DQ182" s="353"/>
      <c r="DR182" s="353"/>
      <c r="DS182" s="353"/>
      <c r="DT182" s="353"/>
      <c r="DU182" s="353"/>
      <c r="DV182" s="353"/>
      <c r="DW182" s="353"/>
      <c r="DX182" s="353"/>
      <c r="DY182" s="353"/>
      <c r="DZ182" s="353"/>
      <c r="EA182" s="353"/>
      <c r="EB182" s="353"/>
      <c r="EC182" s="353"/>
      <c r="ED182" s="353"/>
      <c r="EE182" s="353"/>
      <c r="EF182" s="353"/>
      <c r="EG182" s="353"/>
      <c r="EH182" s="353"/>
      <c r="EI182" s="353"/>
      <c r="EJ182" s="353"/>
      <c r="EK182" s="353"/>
      <c r="EL182" s="353"/>
      <c r="EM182" s="353"/>
      <c r="EN182" s="353"/>
      <c r="EO182" s="353"/>
      <c r="EP182" s="353"/>
      <c r="EQ182" s="353"/>
      <c r="ER182" s="353"/>
      <c r="ES182" s="353"/>
      <c r="ET182" s="353"/>
      <c r="EU182" s="353"/>
      <c r="EV182" s="353"/>
      <c r="EW182" s="353"/>
      <c r="EX182" s="353"/>
      <c r="EY182" s="353"/>
      <c r="EZ182" s="353"/>
      <c r="FA182" s="353"/>
      <c r="FB182" s="353"/>
      <c r="FC182" s="353"/>
      <c r="FD182" s="353"/>
      <c r="FE182" s="353"/>
      <c r="FF182" s="353"/>
      <c r="FG182" s="353"/>
      <c r="FH182" s="353"/>
      <c r="FI182" s="353"/>
      <c r="FJ182" s="353"/>
      <c r="FK182" s="353"/>
      <c r="FL182" s="353"/>
      <c r="FM182" s="353"/>
      <c r="FN182" s="353"/>
      <c r="FO182" s="353"/>
      <c r="FP182" s="353"/>
      <c r="FQ182" s="353"/>
    </row>
    <row r="183" spans="1:173" s="351" customFormat="1" hidden="1">
      <c r="A183" s="430" t="s">
        <v>54</v>
      </c>
      <c r="B183" s="351">
        <v>2021</v>
      </c>
      <c r="C183" s="411" t="s">
        <v>47</v>
      </c>
      <c r="F183" s="370"/>
      <c r="G183" s="435"/>
      <c r="H183" s="412">
        <f>'RGGI - Invest Amort deferred'!AI129</f>
        <v>0</v>
      </c>
      <c r="I183" s="412">
        <f>'RGGI - Invest Amort deferred'!AI129</f>
        <v>0</v>
      </c>
      <c r="J183" s="413">
        <f>'RGGI - Invest Amort deferred'!BL129</f>
        <v>0</v>
      </c>
      <c r="K183" s="435"/>
      <c r="L183" s="414">
        <f>'RGGI II Invest Amort Def'!AI117</f>
        <v>0</v>
      </c>
      <c r="M183" s="414">
        <f>'RGGI II Invest Amort Def'!AI117</f>
        <v>0</v>
      </c>
      <c r="N183" s="413">
        <f>'RGGI II Invest Amort Def'!BK117</f>
        <v>0</v>
      </c>
      <c r="O183" s="435"/>
      <c r="P183" s="425">
        <f>'2013 program Invest Amort Def'!AY96</f>
        <v>233.33333332836628</v>
      </c>
      <c r="Q183" s="425">
        <f>'2013 program Invest Amort Def'!AY96</f>
        <v>233.33333332836628</v>
      </c>
      <c r="R183" s="425">
        <f>'2013 program Invest Amort Def'!CQ96</f>
        <v>-65.589999995733677</v>
      </c>
      <c r="S183" s="373">
        <f t="shared" si="200"/>
        <v>167.7433333326326</v>
      </c>
      <c r="T183" s="435"/>
      <c r="U183" s="414">
        <f>'2015 Program Invest Amort Def'!BT71</f>
        <v>1001378.3069999972</v>
      </c>
      <c r="V183" s="414">
        <f>'2015 Program Invest Amort Def'!BT71</f>
        <v>1001378.3069999972</v>
      </c>
      <c r="W183" s="414">
        <f>'2015 Program Invest Amort Def'!EG71</f>
        <v>-281487.44209770003</v>
      </c>
      <c r="X183" s="397">
        <f t="shared" si="201"/>
        <v>719890.86490229727</v>
      </c>
      <c r="Y183" s="435"/>
      <c r="Z183" s="394">
        <f>'Schedule NJNG-3 - Page 3'!G$107</f>
        <v>119877778.04000001</v>
      </c>
      <c r="AA183" s="480">
        <v>1.6E-2</v>
      </c>
      <c r="AB183" s="439">
        <f t="shared" si="202"/>
        <v>1918044.4486400001</v>
      </c>
      <c r="AO183" s="372">
        <f>'RGGI - Invest Amort deferred'!AG129+'RGGI CHP'!V84</f>
        <v>0</v>
      </c>
      <c r="AQ183" s="412">
        <f>(H183+J183)*'Capital Structure '!$F$21/12</f>
        <v>0</v>
      </c>
      <c r="AR183" s="412">
        <f>(H183+J183)*'Capital Structure '!$E$34/12</f>
        <v>0</v>
      </c>
      <c r="AS183" s="412">
        <f>(H183+J183)*'Capital Structure '!$F$18/12</f>
        <v>0</v>
      </c>
      <c r="AT183" s="412">
        <f>'RGGI - On-bill financing'!J126*'Capital Structure '!$P$34/12</f>
        <v>354.02945048713127</v>
      </c>
      <c r="AU183" s="412">
        <f>'RGGI - On-bill financing'!J126*('Capital Structure '!$F$18+'Capital Structure '!$F$21)/12</f>
        <v>1371.8733871296054</v>
      </c>
      <c r="AV183" s="415">
        <f t="shared" si="203"/>
        <v>1725.9028376167366</v>
      </c>
      <c r="AX183" s="415">
        <v>0</v>
      </c>
      <c r="AY183" s="431">
        <f t="shared" si="204"/>
        <v>1725.9028376167366</v>
      </c>
      <c r="BA183" s="412">
        <f>'RGGI II Invest Amort Def'!AG117</f>
        <v>0</v>
      </c>
      <c r="BC183" s="412">
        <f>(L183+N183)*'Capital Structure '!$H$21/12</f>
        <v>0</v>
      </c>
      <c r="BD183" s="412">
        <f>(L183+N183)*'Capital Structure '!$W$34/12</f>
        <v>0</v>
      </c>
      <c r="BE183" s="412">
        <f>(L183+N183)*'Capital Structure '!$H$18/12</f>
        <v>0</v>
      </c>
      <c r="BF183" s="412">
        <f>'RGGI II On Bill Fin''g'!L114*'Capital Structure '!$W$34/12</f>
        <v>2578.9255369212647</v>
      </c>
      <c r="BG183" s="412">
        <f>'RGGI II On Bill Fin''g'!L114*('Capital Structure '!$H$18+'Capital Structure '!$H$21)/12</f>
        <v>8877.1415768251445</v>
      </c>
      <c r="BH183" s="415">
        <f t="shared" si="205"/>
        <v>11456.067113746409</v>
      </c>
      <c r="BJ183" s="437">
        <v>0</v>
      </c>
      <c r="BK183" s="431">
        <f t="shared" si="206"/>
        <v>11456.067113746409</v>
      </c>
      <c r="BM183" s="412">
        <f>'2013 program Invest Amort Def'!AW96</f>
        <v>850</v>
      </c>
      <c r="BO183" s="412"/>
      <c r="BP183" s="412"/>
      <c r="BQ183" s="412">
        <f>(S183)*'Capital Structure '!$J$18/12</f>
        <v>0.72912435555250965</v>
      </c>
      <c r="BR183" s="412">
        <f>('2013 program 10 yr On Bill Fin'!M96+'2013 program 5 yr On Bill Fin'!L94+'2013 program 2 yr On Bill Fin'!M84)*'Capital Structure '!$V$34/12</f>
        <v>19490.262142669631</v>
      </c>
      <c r="BS183" s="412">
        <f>('2013 program 10 yr On Bill Fin'!M96+'2013 program 5 yr On Bill Fin'!L94+'2013 program 2 yr On Bill Fin'!M84)*('Capital Structure '!$J$18+'Capital Structure '!$J$21)/12</f>
        <v>65938.160362500013</v>
      </c>
      <c r="BT183" s="431">
        <f t="shared" si="207"/>
        <v>85429.151629525193</v>
      </c>
      <c r="BV183" s="438">
        <v>0</v>
      </c>
      <c r="BW183" s="431">
        <f t="shared" si="208"/>
        <v>86279.151629525193</v>
      </c>
      <c r="BY183" s="412">
        <f>'2015 Program Invest Amort Def'!BR71</f>
        <v>81733.028499999957</v>
      </c>
      <c r="CA183" s="412">
        <f>X183*'Capital Structure '!$R$21/12</f>
        <v>1057.6971456378542</v>
      </c>
      <c r="CB183" s="412">
        <f>(X183)*'Capital Structure '!$R$34/12</f>
        <v>1216.0257498620597</v>
      </c>
      <c r="CC183" s="412">
        <f>(X183)*'Capital Structure '!$R$18/12</f>
        <v>3109.928536377924</v>
      </c>
      <c r="CD183" s="412">
        <f>('2015 Program 10-Year OBRP'!P71+'2015 Program 7-Year OBRP'!M71+'2015 Program 5-Year OBRP'!K71+'2015 Program 3-Year OBRP'!K71)*('Capital Structure '!$R$34/12)</f>
        <v>26927.475941759469</v>
      </c>
      <c r="CE183" s="412">
        <f>('2015 Program 10-Year OBRP'!P71+'2015 Program 7-Year OBRP'!M71+'2015 Program 5-Year OBRP'!K71+'2015 Program 3-Year OBRP'!K71)*(('Capital Structure '!$R$21/12)+('Capital Structure '!$R$18/12))</f>
        <v>92287.22360481997</v>
      </c>
      <c r="CF183" s="431">
        <f t="shared" si="209"/>
        <v>124598.35097845728</v>
      </c>
      <c r="CG183" s="373">
        <f>-16591.38+10.62+1062.87+2831.88</f>
        <v>-12686.010000000002</v>
      </c>
      <c r="CJ183" s="431">
        <f t="shared" si="210"/>
        <v>193645.36947845723</v>
      </c>
      <c r="CK183" s="431"/>
      <c r="CL183" s="431">
        <f>'2018 SUMMARY'!Q51</f>
        <v>305407.78579022386</v>
      </c>
      <c r="CM183" s="431"/>
      <c r="CN183" s="431">
        <f>'2018 SUMMARY'!S51</f>
        <v>25551.785041697109</v>
      </c>
      <c r="CO183" s="431">
        <f>'2018 SUMMARY'!T51</f>
        <v>29376.678091445396</v>
      </c>
      <c r="CP183" s="431">
        <f>'2018 SUMMARY'!U51</f>
        <v>75129.469512415846</v>
      </c>
      <c r="CQ183" s="431">
        <f>'2018 SUMMARY'!V51</f>
        <v>36110.154398780585</v>
      </c>
      <c r="CR183" s="431">
        <f>'2018 SUMMARY'!W51</f>
        <v>123758.5691511749</v>
      </c>
      <c r="CS183" s="431">
        <f t="shared" si="216"/>
        <v>289926.65619551385</v>
      </c>
      <c r="CT183" s="431">
        <f>-1062.87-2831.88</f>
        <v>-3894.75</v>
      </c>
      <c r="CU183" s="431"/>
      <c r="CV183" s="562">
        <v>101589</v>
      </c>
      <c r="CW183" s="431">
        <f t="shared" si="211"/>
        <v>693028.69198573777</v>
      </c>
      <c r="CY183" s="412">
        <f t="shared" si="217"/>
        <v>-931909.26559491677</v>
      </c>
      <c r="CZ183" s="412">
        <f t="shared" si="212"/>
        <v>-3787792.3056246736</v>
      </c>
      <c r="DA183" s="412">
        <f t="shared" si="218"/>
        <v>-2388069.1029954846</v>
      </c>
      <c r="DB183" s="417">
        <v>1.6999999999999999E-3</v>
      </c>
      <c r="DC183" s="434">
        <f t="shared" si="213"/>
        <v>-338.30978959102697</v>
      </c>
      <c r="DE183" s="420"/>
      <c r="DF183" s="420"/>
      <c r="DG183" s="420">
        <f t="shared" si="214"/>
        <v>6.9470958199999988E-2</v>
      </c>
      <c r="DH183" s="420">
        <f t="shared" si="215"/>
        <v>8.9741126512699942E-2</v>
      </c>
      <c r="DI183" s="353"/>
      <c r="DJ183" s="353"/>
      <c r="DK183" s="353"/>
      <c r="DL183" s="353"/>
      <c r="DM183" s="353"/>
      <c r="DN183" s="353"/>
      <c r="DO183" s="353"/>
      <c r="DP183" s="353"/>
      <c r="DQ183" s="353"/>
      <c r="DR183" s="353"/>
      <c r="DS183" s="353"/>
      <c r="DT183" s="353"/>
      <c r="DU183" s="353"/>
      <c r="DV183" s="353"/>
      <c r="DW183" s="353"/>
      <c r="DX183" s="353"/>
      <c r="DY183" s="353"/>
      <c r="DZ183" s="353"/>
      <c r="EA183" s="353"/>
      <c r="EB183" s="353"/>
      <c r="EC183" s="353"/>
      <c r="ED183" s="353"/>
      <c r="EE183" s="353"/>
      <c r="EF183" s="353"/>
      <c r="EG183" s="353"/>
      <c r="EH183" s="353"/>
      <c r="EI183" s="353"/>
      <c r="EJ183" s="353"/>
      <c r="EK183" s="353"/>
      <c r="EL183" s="353"/>
      <c r="EM183" s="353"/>
      <c r="EN183" s="353"/>
      <c r="EO183" s="353"/>
      <c r="EP183" s="353"/>
      <c r="EQ183" s="353"/>
      <c r="ER183" s="353"/>
      <c r="ES183" s="353"/>
      <c r="ET183" s="353"/>
      <c r="EU183" s="353"/>
      <c r="EV183" s="353"/>
      <c r="EW183" s="353"/>
      <c r="EX183" s="353"/>
      <c r="EY183" s="353"/>
      <c r="EZ183" s="353"/>
      <c r="FA183" s="353"/>
      <c r="FB183" s="353"/>
      <c r="FC183" s="353"/>
      <c r="FD183" s="353"/>
      <c r="FE183" s="353"/>
      <c r="FF183" s="353"/>
      <c r="FG183" s="353"/>
      <c r="FH183" s="353"/>
      <c r="FI183" s="353"/>
      <c r="FJ183" s="353"/>
      <c r="FK183" s="353"/>
      <c r="FL183" s="353"/>
      <c r="FM183" s="353"/>
      <c r="FN183" s="353"/>
      <c r="FO183" s="353"/>
      <c r="FP183" s="353"/>
      <c r="FQ183" s="353"/>
    </row>
    <row r="184" spans="1:173" s="351" customFormat="1" hidden="1">
      <c r="A184" s="430" t="s">
        <v>55</v>
      </c>
      <c r="B184" s="351">
        <v>2021</v>
      </c>
      <c r="C184" s="411" t="s">
        <v>47</v>
      </c>
      <c r="F184" s="370"/>
      <c r="G184" s="435"/>
      <c r="H184" s="412">
        <f>'RGGI - Invest Amort deferred'!AI130</f>
        <v>0</v>
      </c>
      <c r="I184" s="412">
        <f>'RGGI - Invest Amort deferred'!AI130</f>
        <v>0</v>
      </c>
      <c r="J184" s="413">
        <f>'RGGI - Invest Amort deferred'!BL130</f>
        <v>0</v>
      </c>
      <c r="K184" s="435"/>
      <c r="L184" s="414">
        <f>'RGGI II Invest Amort Def'!AI118</f>
        <v>0</v>
      </c>
      <c r="M184" s="414">
        <f>'RGGI II Invest Amort Def'!AI118</f>
        <v>0</v>
      </c>
      <c r="N184" s="413">
        <f>'RGGI II Invest Amort Def'!BK118</f>
        <v>0</v>
      </c>
      <c r="O184" s="435"/>
      <c r="P184" s="425">
        <f>'2013 program Invest Amort Def'!AY97</f>
        <v>0</v>
      </c>
      <c r="Q184" s="425">
        <f>'2013 program Invest Amort Def'!AY97</f>
        <v>0</v>
      </c>
      <c r="R184" s="425"/>
      <c r="S184" s="373">
        <f t="shared" si="200"/>
        <v>0</v>
      </c>
      <c r="T184" s="435"/>
      <c r="U184" s="414">
        <f>'2015 Program Invest Amort Def'!BT72</f>
        <v>926535.27849999722</v>
      </c>
      <c r="V184" s="414">
        <f>'2015 Program Invest Amort Def'!BT72</f>
        <v>926535.27849999722</v>
      </c>
      <c r="W184" s="414">
        <f>'2015 Program Invest Amort Def'!EG72</f>
        <v>-260449.06678635004</v>
      </c>
      <c r="X184" s="397">
        <f t="shared" si="201"/>
        <v>666086.21171364724</v>
      </c>
      <c r="Y184" s="435"/>
      <c r="Z184" s="394">
        <f>'Schedule NJNG-3 - Page 3'!H$107</f>
        <v>82702361.929999992</v>
      </c>
      <c r="AA184" s="480">
        <v>1.6E-2</v>
      </c>
      <c r="AB184" s="439">
        <f t="shared" si="202"/>
        <v>1323237.79088</v>
      </c>
      <c r="AD184" s="445"/>
      <c r="AO184" s="372">
        <f>'RGGI - Invest Amort deferred'!AG130+'RGGI CHP'!V85</f>
        <v>0</v>
      </c>
      <c r="AQ184" s="412">
        <f>(H184+J184)*'Capital Structure '!$F$21/12</f>
        <v>0</v>
      </c>
      <c r="AR184" s="412">
        <f>(H184+J184)*'Capital Structure '!$E$34/12</f>
        <v>0</v>
      </c>
      <c r="AS184" s="412">
        <f>(H184+J184)*'Capital Structure '!$F$18/12</f>
        <v>0</v>
      </c>
      <c r="AT184" s="412">
        <f>'RGGI - On-bill financing'!J127*'Capital Structure '!$P$34/12</f>
        <v>308.63800379468444</v>
      </c>
      <c r="AU184" s="412">
        <f>'RGGI - On-bill financing'!J127*('Capital Structure '!$F$18+'Capital Structure '!$F$21)/12</f>
        <v>1195.9803431046041</v>
      </c>
      <c r="AV184" s="415">
        <f t="shared" si="203"/>
        <v>1504.6183468992886</v>
      </c>
      <c r="AX184" s="415">
        <v>0</v>
      </c>
      <c r="AY184" s="431">
        <f t="shared" si="204"/>
        <v>1504.6183468992886</v>
      </c>
      <c r="BA184" s="412">
        <f>'RGGI II Invest Amort Def'!AG118</f>
        <v>0</v>
      </c>
      <c r="BC184" s="412">
        <f>(L184+N184)*'Capital Structure '!$H$21/12</f>
        <v>0</v>
      </c>
      <c r="BD184" s="412">
        <f>(L184+N184)*'Capital Structure '!$W$34/12</f>
        <v>0</v>
      </c>
      <c r="BE184" s="412">
        <f>(L184+N184)*'Capital Structure '!$H$18/12</f>
        <v>0</v>
      </c>
      <c r="BF184" s="412">
        <f>'RGGI II On Bill Fin''g'!L115*'Capital Structure '!$W$34/12</f>
        <v>2422.218390598624</v>
      </c>
      <c r="BG184" s="412">
        <f>'RGGI II On Bill Fin''g'!L115*('Capital Structure '!$H$18+'Capital Structure '!$H$21)/12</f>
        <v>8337.7264195860371</v>
      </c>
      <c r="BH184" s="415">
        <f t="shared" si="205"/>
        <v>10759.944810184661</v>
      </c>
      <c r="BJ184" s="437">
        <v>0</v>
      </c>
      <c r="BK184" s="431">
        <f t="shared" si="206"/>
        <v>10759.944810184661</v>
      </c>
      <c r="BM184" s="412">
        <f>'2013 program Invest Amort Def'!AW97</f>
        <v>233.33333333333334</v>
      </c>
      <c r="BO184" s="412"/>
      <c r="BP184" s="412"/>
      <c r="BQ184" s="412"/>
      <c r="BR184" s="412">
        <f>('2013 program 10 yr On Bill Fin'!M97+'2013 program 5 yr On Bill Fin'!L95+'2013 program 2 yr On Bill Fin'!M85)*'Capital Structure '!$V$34/12</f>
        <v>18891.687288512225</v>
      </c>
      <c r="BS184" s="412">
        <f>('2013 program 10 yr On Bill Fin'!M97+'2013 program 5 yr On Bill Fin'!L95+'2013 program 2 yr On Bill Fin'!M85)*('Capital Structure '!$J$18+'Capital Structure '!$J$21)/12</f>
        <v>63913.101672500015</v>
      </c>
      <c r="BT184" s="431">
        <f t="shared" si="207"/>
        <v>82804.788961012237</v>
      </c>
      <c r="BV184" s="438">
        <v>0</v>
      </c>
      <c r="BW184" s="431">
        <f t="shared" si="208"/>
        <v>83038.122294345565</v>
      </c>
      <c r="BY184" s="412">
        <f>'2015 Program Invest Amort Def'!BR72</f>
        <v>74843.028499999986</v>
      </c>
      <c r="CA184" s="412">
        <f>X184*'Capital Structure '!$R$21/12</f>
        <v>978.64484635997212</v>
      </c>
      <c r="CB184" s="412">
        <f>(X184)*'Capital Structure '!$R$34/12</f>
        <v>1125.1399685170275</v>
      </c>
      <c r="CC184" s="412">
        <f>(X184)*'Capital Structure '!$R$18/12</f>
        <v>2877.4924346029566</v>
      </c>
      <c r="CD184" s="412">
        <f>('2015 Program 10-Year OBRP'!P72+'2015 Program 7-Year OBRP'!M72+'2015 Program 5-Year OBRP'!K72+'2015 Program 3-Year OBRP'!K72)*('Capital Structure '!$R$34/12)</f>
        <v>26131.709099818054</v>
      </c>
      <c r="CE184" s="412">
        <f>('2015 Program 10-Year OBRP'!P72+'2015 Program 7-Year OBRP'!M72+'2015 Program 5-Year OBRP'!K72+'2015 Program 3-Year OBRP'!K72)*(('Capital Structure '!$R$21/12)+('Capital Structure '!$R$18/12))</f>
        <v>89559.930759460549</v>
      </c>
      <c r="CF184" s="431">
        <f t="shared" si="209"/>
        <v>120672.91710875856</v>
      </c>
      <c r="CG184" s="373">
        <f>-14604.98+129.81+998.76+2513.46</f>
        <v>-10962.95</v>
      </c>
      <c r="CJ184" s="431">
        <f t="shared" si="210"/>
        <v>184552.99560875853</v>
      </c>
      <c r="CK184" s="431"/>
      <c r="CL184" s="431">
        <f>'2018 SUMMARY'!Q52</f>
        <v>326400.17281403334</v>
      </c>
      <c r="CM184" s="431"/>
      <c r="CN184" s="431">
        <f>'2018 SUMMARY'!S52</f>
        <v>27286.476844038203</v>
      </c>
      <c r="CO184" s="431">
        <f>'2018 SUMMARY'!T52</f>
        <v>31371.039056132773</v>
      </c>
      <c r="CP184" s="431">
        <f>'2018 SUMMARY'!U52</f>
        <v>80229.953672905904</v>
      </c>
      <c r="CQ184" s="431">
        <f>'2018 SUMMARY'!V52</f>
        <v>36965.361296472285</v>
      </c>
      <c r="CR184" s="431">
        <f>'2018 SUMMARY'!W52</f>
        <v>126689.57799754289</v>
      </c>
      <c r="CS184" s="431">
        <f t="shared" si="216"/>
        <v>302542.40886709205</v>
      </c>
      <c r="CT184" s="431">
        <f>-998.76-2513.46</f>
        <v>-3512.2200000000003</v>
      </c>
      <c r="CU184" s="431"/>
      <c r="CV184" s="562">
        <v>58221</v>
      </c>
      <c r="CW184" s="431">
        <f t="shared" si="211"/>
        <v>683651.36168112536</v>
      </c>
      <c r="CY184" s="412">
        <f t="shared" si="217"/>
        <v>-359730.74813868664</v>
      </c>
      <c r="CZ184" s="412">
        <f t="shared" si="212"/>
        <v>-4147523.0537633603</v>
      </c>
      <c r="DA184" s="412">
        <f t="shared" si="218"/>
        <v>-2852349.1059320285</v>
      </c>
      <c r="DB184" s="417">
        <f t="shared" si="219"/>
        <v>1.6999999999999999E-3</v>
      </c>
      <c r="DC184" s="434">
        <f t="shared" si="213"/>
        <v>-404.08279000703737</v>
      </c>
      <c r="DE184" s="420"/>
      <c r="DF184" s="420"/>
      <c r="DG184" s="420">
        <f t="shared" si="214"/>
        <v>6.9470958200000016E-2</v>
      </c>
      <c r="DH184" s="420">
        <f t="shared" si="215"/>
        <v>8.9741126512699956E-2</v>
      </c>
      <c r="DI184" s="353"/>
      <c r="DJ184" s="353"/>
      <c r="DK184" s="353"/>
      <c r="DL184" s="353"/>
      <c r="DM184" s="353"/>
      <c r="DN184" s="353"/>
      <c r="DO184" s="353"/>
      <c r="DP184" s="353"/>
      <c r="DQ184" s="353"/>
      <c r="DR184" s="353"/>
      <c r="DS184" s="353"/>
      <c r="DT184" s="353"/>
      <c r="DU184" s="353"/>
      <c r="DV184" s="353"/>
      <c r="DW184" s="353"/>
      <c r="DX184" s="353"/>
      <c r="DY184" s="353"/>
      <c r="DZ184" s="353"/>
      <c r="EA184" s="353"/>
      <c r="EB184" s="353"/>
      <c r="EC184" s="353"/>
      <c r="ED184" s="353"/>
      <c r="EE184" s="353"/>
      <c r="EF184" s="353"/>
      <c r="EG184" s="353"/>
      <c r="EH184" s="353"/>
      <c r="EI184" s="353"/>
      <c r="EJ184" s="353"/>
      <c r="EK184" s="353"/>
      <c r="EL184" s="353"/>
      <c r="EM184" s="353"/>
      <c r="EN184" s="353"/>
      <c r="EO184" s="353"/>
      <c r="EP184" s="353"/>
      <c r="EQ184" s="353"/>
      <c r="ER184" s="353"/>
      <c r="ES184" s="353"/>
      <c r="ET184" s="353"/>
      <c r="EU184" s="353"/>
      <c r="EV184" s="353"/>
      <c r="EW184" s="353"/>
      <c r="EX184" s="353"/>
      <c r="EY184" s="353"/>
      <c r="EZ184" s="353"/>
      <c r="FA184" s="353"/>
      <c r="FB184" s="353"/>
      <c r="FC184" s="353"/>
      <c r="FD184" s="353"/>
      <c r="FE184" s="353"/>
      <c r="FF184" s="353"/>
      <c r="FG184" s="353"/>
      <c r="FH184" s="353"/>
      <c r="FI184" s="353"/>
      <c r="FJ184" s="353"/>
      <c r="FK184" s="353"/>
      <c r="FL184" s="353"/>
      <c r="FM184" s="353"/>
      <c r="FN184" s="353"/>
      <c r="FO184" s="353"/>
      <c r="FP184" s="353"/>
      <c r="FQ184" s="353"/>
    </row>
    <row r="185" spans="1:173" s="351" customFormat="1" hidden="1">
      <c r="A185" s="430" t="s">
        <v>56</v>
      </c>
      <c r="B185" s="351">
        <v>2021</v>
      </c>
      <c r="C185" s="411" t="s">
        <v>47</v>
      </c>
      <c r="F185" s="370"/>
      <c r="G185" s="435"/>
      <c r="H185" s="412">
        <f>'RGGI - Invest Amort deferred'!AI131</f>
        <v>0</v>
      </c>
      <c r="I185" s="412">
        <f>'RGGI - Invest Amort deferred'!AI131</f>
        <v>0</v>
      </c>
      <c r="J185" s="413">
        <f>'RGGI - Invest Amort deferred'!BL131</f>
        <v>0</v>
      </c>
      <c r="K185" s="435"/>
      <c r="L185" s="414">
        <f>'RGGI II Invest Amort Def'!AI119</f>
        <v>0</v>
      </c>
      <c r="M185" s="414">
        <f>'RGGI II Invest Amort Def'!AI119</f>
        <v>0</v>
      </c>
      <c r="N185" s="413">
        <f>'RGGI II Invest Amort Def'!BK119</f>
        <v>0</v>
      </c>
      <c r="O185" s="435"/>
      <c r="P185" s="425">
        <f>'2013 program Invest Amort Def'!AY98</f>
        <v>0</v>
      </c>
      <c r="Q185" s="425">
        <f>'2013 program Invest Amort Def'!AY98</f>
        <v>0</v>
      </c>
      <c r="R185" s="425">
        <f>'2013 program Invest Amort Def'!CQ98</f>
        <v>0</v>
      </c>
      <c r="S185" s="373">
        <f t="shared" si="200"/>
        <v>0</v>
      </c>
      <c r="T185" s="435"/>
      <c r="U185" s="414">
        <f>'2015 Program Invest Amort Def'!BT73</f>
        <v>857497.24999999721</v>
      </c>
      <c r="V185" s="414">
        <f>'2015 Program Invest Amort Def'!BT73</f>
        <v>857497.24999999721</v>
      </c>
      <c r="W185" s="414">
        <f>'2015 Program Invest Amort Def'!EG73</f>
        <v>-241042.47697500006</v>
      </c>
      <c r="X185" s="397">
        <f t="shared" si="201"/>
        <v>616454.77302499721</v>
      </c>
      <c r="Y185" s="435"/>
      <c r="Z185" s="394">
        <f>'Schedule NJNG-3 - Page 3'!I107</f>
        <v>51710203.750000007</v>
      </c>
      <c r="AA185" s="480">
        <v>1.6E-2</v>
      </c>
      <c r="AB185" s="439">
        <f t="shared" si="202"/>
        <v>827363.26000000013</v>
      </c>
      <c r="AO185" s="372">
        <f>'RGGI - Invest Amort deferred'!AG131+'RGGI CHP'!V86</f>
        <v>0</v>
      </c>
      <c r="AQ185" s="412">
        <f>(H185+J185)*'Capital Structure '!$F$21/12</f>
        <v>0</v>
      </c>
      <c r="AR185" s="412">
        <f>(H185+J185)*'Capital Structure '!$E$34/12</f>
        <v>0</v>
      </c>
      <c r="AS185" s="412">
        <f>(H185+J185)*'Capital Structure '!$F$18/12</f>
        <v>0</v>
      </c>
      <c r="AT185" s="412">
        <f>'RGGI - On-bill financing'!J128*'Capital Structure '!$P$34/12</f>
        <v>267.74274736625176</v>
      </c>
      <c r="AU185" s="412">
        <f>'RGGI - On-bill financing'!J128*('Capital Structure '!$F$18+'Capital Structure '!$F$21)/12</f>
        <v>1037.510154037531</v>
      </c>
      <c r="AV185" s="415">
        <f t="shared" si="203"/>
        <v>1305.2529014037827</v>
      </c>
      <c r="AX185" s="415">
        <v>0</v>
      </c>
      <c r="AY185" s="431">
        <f t="shared" si="204"/>
        <v>1305.2529014037827</v>
      </c>
      <c r="BA185" s="412">
        <f>'RGGI II Invest Amort Def'!AG119</f>
        <v>0</v>
      </c>
      <c r="BC185" s="412">
        <f>(L185+N185)*'Capital Structure '!$H$21/12</f>
        <v>0</v>
      </c>
      <c r="BD185" s="412">
        <f>(L185+N185)*'Capital Structure '!$W$34/12</f>
        <v>0</v>
      </c>
      <c r="BE185" s="412">
        <f>(L185+N185)*'Capital Structure '!$H$18/12</f>
        <v>0</v>
      </c>
      <c r="BF185" s="412">
        <f>'RGGI II On Bill Fin''g'!L116*'Capital Structure '!$W$34/12</f>
        <v>2297.2190553146752</v>
      </c>
      <c r="BG185" s="412">
        <f>'RGGI II On Bill Fin''g'!L116*('Capital Structure '!$H$18+'Capital Structure '!$H$21)/12</f>
        <v>7907.455448036646</v>
      </c>
      <c r="BH185" s="415">
        <f t="shared" si="205"/>
        <v>10204.674503351322</v>
      </c>
      <c r="BJ185" s="437">
        <v>0</v>
      </c>
      <c r="BK185" s="431">
        <f t="shared" si="206"/>
        <v>10204.674503351322</v>
      </c>
      <c r="BM185" s="412">
        <f>'2013 program Invest Amort Def'!AW98</f>
        <v>0</v>
      </c>
      <c r="BO185" s="412">
        <f>(S185)*'Capital Structure '!$J$21/12</f>
        <v>0</v>
      </c>
      <c r="BP185" s="412">
        <f>(S185)*'Capital Structure '!$V$34/12</f>
        <v>0</v>
      </c>
      <c r="BQ185" s="412">
        <f>(S185)*'Capital Structure '!$J$18/12</f>
        <v>0</v>
      </c>
      <c r="BR185" s="412">
        <f>('2013 program 10 yr On Bill Fin'!M98+'2013 program 5 yr On Bill Fin'!L96+'2013 program 2 yr On Bill Fin'!M86)*'Capital Structure '!$V$34/12</f>
        <v>18354.862344602803</v>
      </c>
      <c r="BS185" s="412">
        <f>('2013 program 10 yr On Bill Fin'!M98+'2013 program 5 yr On Bill Fin'!L96+'2013 program 2 yr On Bill Fin'!M86)*('Capital Structure '!$J$18+'Capital Structure '!$J$21)/12</f>
        <v>62096.951177500006</v>
      </c>
      <c r="BT185" s="431">
        <f t="shared" si="207"/>
        <v>80451.813522102806</v>
      </c>
      <c r="BV185" s="438">
        <v>0</v>
      </c>
      <c r="BW185" s="431">
        <f t="shared" si="208"/>
        <v>80451.813522102806</v>
      </c>
      <c r="BY185" s="412">
        <f>'2015 Program Invest Amort Def'!BR73</f>
        <v>69038.028499999971</v>
      </c>
      <c r="CA185" s="412">
        <f>X185*'Capital Structure '!$R$21/12</f>
        <v>905.72402794951779</v>
      </c>
      <c r="CB185" s="412">
        <f>(X185)*'Capital Structure '!$R$34/12</f>
        <v>1041.3035005319955</v>
      </c>
      <c r="CC185" s="412">
        <f>(X185)*'Capital Structure '!$R$18/12</f>
        <v>2663.0846194679884</v>
      </c>
      <c r="CD185" s="412">
        <f>('2015 Program 10-Year OBRP'!P73+'2015 Program 7-Year OBRP'!M73+'2015 Program 5-Year OBRP'!K73+'2015 Program 3-Year OBRP'!K73)*('Capital Structure '!$R$34/12)</f>
        <v>25335.618239236166</v>
      </c>
      <c r="CE185" s="412">
        <f>('2015 Program 10-Year OBRP'!P73+'2015 Program 7-Year OBRP'!M73+'2015 Program 5-Year OBRP'!K73+'2015 Program 3-Year OBRP'!K73)*(('Capital Structure '!$R$21/12)+('Capital Structure '!$R$18/12))</f>
        <v>86831.527420834303</v>
      </c>
      <c r="CF185" s="431">
        <f t="shared" si="209"/>
        <v>116777.25780801997</v>
      </c>
      <c r="CG185" s="373">
        <f>-21603.03+91.77+2235.65+3297.63</f>
        <v>-15977.979999999996</v>
      </c>
      <c r="CJ185" s="431">
        <f t="shared" si="210"/>
        <v>169837.30630801996</v>
      </c>
      <c r="CK185" s="431"/>
      <c r="CL185" s="431">
        <f>'2018 SUMMARY'!Q53</f>
        <v>337088.25888546195</v>
      </c>
      <c r="CM185" s="431"/>
      <c r="CN185" s="431">
        <f>'2018 SUMMARY'!S53</f>
        <v>27739.531291704323</v>
      </c>
      <c r="CO185" s="431">
        <f>'2018 SUMMARY'!T53</f>
        <v>31891.912045838435</v>
      </c>
      <c r="CP185" s="431">
        <f>'2018 SUMMARY'!U53</f>
        <v>81562.061792078443</v>
      </c>
      <c r="CQ185" s="431">
        <f>'2018 SUMMARY'!V53</f>
        <v>37604.859042679876</v>
      </c>
      <c r="CR185" s="431">
        <f>'2018 SUMMARY'!W53</f>
        <v>128881.29740067913</v>
      </c>
      <c r="CS185" s="431">
        <f t="shared" si="216"/>
        <v>307679.66157298023</v>
      </c>
      <c r="CT185" s="431">
        <f>-2235.65-3297.63</f>
        <v>-5533.2800000000007</v>
      </c>
      <c r="CU185" s="431"/>
      <c r="CV185" s="562">
        <v>59522</v>
      </c>
      <c r="CW185" s="431">
        <f t="shared" si="211"/>
        <v>698756.64045844215</v>
      </c>
      <c r="CY185" s="412">
        <f t="shared" si="217"/>
        <v>133192.42769331986</v>
      </c>
      <c r="CZ185" s="412">
        <f t="shared" si="212"/>
        <v>-4014330.6260700403</v>
      </c>
      <c r="DA185" s="412">
        <f t="shared" si="218"/>
        <v>-2933778.3052161159</v>
      </c>
      <c r="DB185" s="417">
        <f t="shared" si="219"/>
        <v>1.6999999999999999E-3</v>
      </c>
      <c r="DC185" s="434">
        <f t="shared" si="213"/>
        <v>-415.6185932389497</v>
      </c>
      <c r="DE185" s="420"/>
      <c r="DF185" s="420"/>
      <c r="DG185" s="420">
        <f t="shared" si="214"/>
        <v>6.9470958200000016E-2</v>
      </c>
      <c r="DH185" s="420">
        <f t="shared" si="215"/>
        <v>8.974112651269997E-2</v>
      </c>
      <c r="DI185" s="353"/>
      <c r="DJ185" s="353"/>
      <c r="DK185" s="353"/>
      <c r="DL185" s="353"/>
      <c r="DM185" s="353"/>
      <c r="DN185" s="353"/>
      <c r="DO185" s="353"/>
      <c r="DP185" s="353"/>
      <c r="DQ185" s="353"/>
      <c r="DR185" s="353"/>
      <c r="DS185" s="353"/>
      <c r="DT185" s="353"/>
      <c r="DU185" s="353"/>
      <c r="DV185" s="353"/>
      <c r="DW185" s="353"/>
      <c r="DX185" s="353"/>
      <c r="DY185" s="353"/>
      <c r="DZ185" s="353"/>
      <c r="EA185" s="353"/>
      <c r="EB185" s="353"/>
      <c r="EC185" s="353"/>
      <c r="ED185" s="353"/>
      <c r="EE185" s="353"/>
      <c r="EF185" s="353"/>
      <c r="EG185" s="353"/>
      <c r="EH185" s="353"/>
      <c r="EI185" s="353"/>
      <c r="EJ185" s="353"/>
      <c r="EK185" s="353"/>
      <c r="EL185" s="353"/>
      <c r="EM185" s="353"/>
      <c r="EN185" s="353"/>
      <c r="EO185" s="353"/>
      <c r="EP185" s="353"/>
      <c r="EQ185" s="353"/>
      <c r="ER185" s="353"/>
      <c r="ES185" s="353"/>
      <c r="ET185" s="353"/>
      <c r="EU185" s="353"/>
      <c r="EV185" s="353"/>
      <c r="EW185" s="353"/>
      <c r="EX185" s="353"/>
      <c r="EY185" s="353"/>
      <c r="EZ185" s="353"/>
      <c r="FA185" s="353"/>
      <c r="FB185" s="353"/>
      <c r="FC185" s="353"/>
      <c r="FD185" s="353"/>
      <c r="FE185" s="353"/>
      <c r="FF185" s="353"/>
      <c r="FG185" s="353"/>
      <c r="FH185" s="353"/>
      <c r="FI185" s="353"/>
      <c r="FJ185" s="353"/>
      <c r="FK185" s="353"/>
      <c r="FL185" s="353"/>
      <c r="FM185" s="353"/>
      <c r="FN185" s="353"/>
      <c r="FO185" s="353"/>
      <c r="FP185" s="353"/>
      <c r="FQ185" s="353"/>
    </row>
    <row r="186" spans="1:173" s="351" customFormat="1" hidden="1">
      <c r="A186" s="430" t="s">
        <v>57</v>
      </c>
      <c r="B186" s="351">
        <v>2021</v>
      </c>
      <c r="C186" s="411" t="s">
        <v>47</v>
      </c>
      <c r="F186" s="370"/>
      <c r="G186" s="435"/>
      <c r="H186" s="412">
        <f>'RGGI - Invest Amort deferred'!AI132</f>
        <v>0</v>
      </c>
      <c r="I186" s="412">
        <f>'RGGI - Invest Amort deferred'!AI132</f>
        <v>0</v>
      </c>
      <c r="J186" s="413">
        <f>'RGGI - Invest Amort deferred'!BL132</f>
        <v>0</v>
      </c>
      <c r="K186" s="435"/>
      <c r="L186" s="414">
        <f>'RGGI II Invest Amort Def'!AI120</f>
        <v>0</v>
      </c>
      <c r="M186" s="414">
        <f>'RGGI II Invest Amort Def'!AI120</f>
        <v>0</v>
      </c>
      <c r="N186" s="413">
        <f>'RGGI II Invest Amort Def'!BK120</f>
        <v>0</v>
      </c>
      <c r="O186" s="435"/>
      <c r="P186" s="425">
        <f>'2013 program Invest Amort Def'!AY99</f>
        <v>0</v>
      </c>
      <c r="Q186" s="425">
        <f>'2013 program Invest Amort Def'!AY99</f>
        <v>0</v>
      </c>
      <c r="R186" s="425">
        <f>'2013 program Invest Amort Def'!CQ99</f>
        <v>0</v>
      </c>
      <c r="S186" s="373">
        <f t="shared" si="200"/>
        <v>0</v>
      </c>
      <c r="T186" s="435"/>
      <c r="U186" s="414">
        <f>'2015 Program Invest Amort Def'!BT74</f>
        <v>794040.12499999721</v>
      </c>
      <c r="V186" s="414">
        <f>'2015 Program Invest Amort Def'!BT74</f>
        <v>794040.12499999721</v>
      </c>
      <c r="W186" s="414">
        <f>'2015 Program Invest Amort Def'!EG74</f>
        <v>-223204.67913750006</v>
      </c>
      <c r="X186" s="397">
        <f t="shared" si="201"/>
        <v>570835.4458624972</v>
      </c>
      <c r="Y186" s="435"/>
      <c r="Z186" s="394">
        <f>'Schedule NJNG-3 - Page 3'!J$107</f>
        <v>31376416.390000004</v>
      </c>
      <c r="AA186" s="480">
        <v>1.6E-2</v>
      </c>
      <c r="AB186" s="439">
        <f t="shared" si="202"/>
        <v>502022.66224000009</v>
      </c>
      <c r="AO186" s="372">
        <f>'RGGI - Invest Amort deferred'!AG132+'RGGI CHP'!V87</f>
        <v>0</v>
      </c>
      <c r="AQ186" s="412">
        <f>(H186+J186)*'Capital Structure '!$F$21/12</f>
        <v>0</v>
      </c>
      <c r="AR186" s="412">
        <f>(H186+J186)*'Capital Structure '!$E$34/12</f>
        <v>0</v>
      </c>
      <c r="AS186" s="412">
        <f>(H186+J186)*'Capital Structure '!$F$18/12</f>
        <v>0</v>
      </c>
      <c r="AT186" s="412">
        <f>'RGGI - On-bill financing'!J129*'Capital Structure '!$P$34/12</f>
        <v>228.22150805063077</v>
      </c>
      <c r="AU186" s="412">
        <f>'RGGI - On-bill financing'!J129*('Capital Structure '!$F$18+'Capital Structure '!$F$21)/12</f>
        <v>884.36431724661281</v>
      </c>
      <c r="AV186" s="415">
        <f t="shared" si="203"/>
        <v>1112.5858252972437</v>
      </c>
      <c r="AX186" s="415">
        <v>0</v>
      </c>
      <c r="AY186" s="431">
        <f t="shared" si="204"/>
        <v>1112.5858252972437</v>
      </c>
      <c r="BA186" s="412">
        <f>'RGGI II Invest Amort Def'!AG120</f>
        <v>0</v>
      </c>
      <c r="BC186" s="412">
        <f>(L186+N186)*'Capital Structure '!$H$21/12</f>
        <v>0</v>
      </c>
      <c r="BD186" s="412">
        <f>(L186+N186)*'Capital Structure '!$W$34/12</f>
        <v>0</v>
      </c>
      <c r="BE186" s="412">
        <f>(L186+N186)*'Capital Structure '!$H$18/12</f>
        <v>0</v>
      </c>
      <c r="BF186" s="412">
        <f>'RGGI II On Bill Fin''g'!L117*'Capital Structure '!$W$34/12</f>
        <v>2169.1655812355812</v>
      </c>
      <c r="BG186" s="412">
        <f>'RGGI II On Bill Fin''g'!L117*('Capital Structure '!$H$18+'Capital Structure '!$H$21)/12</f>
        <v>7466.6715624493627</v>
      </c>
      <c r="BH186" s="415">
        <f t="shared" si="205"/>
        <v>9635.8371436849447</v>
      </c>
      <c r="BJ186" s="437">
        <v>0</v>
      </c>
      <c r="BK186" s="431">
        <f t="shared" si="206"/>
        <v>9635.8371436849447</v>
      </c>
      <c r="BM186" s="412">
        <f>'2013 program Invest Amort Def'!AW99</f>
        <v>0</v>
      </c>
      <c r="BO186" s="412">
        <f>(S186)*'Capital Structure '!$J$21/12</f>
        <v>0</v>
      </c>
      <c r="BP186" s="412">
        <f>(S186)*'Capital Structure '!$V$34/12</f>
        <v>0</v>
      </c>
      <c r="BQ186" s="412">
        <f>(S186)*'Capital Structure '!$J$18/12</f>
        <v>0</v>
      </c>
      <c r="BR186" s="412">
        <f>('2013 program 10 yr On Bill Fin'!M99+'2013 program 5 yr On Bill Fin'!L97+'2013 program 2 yr On Bill Fin'!M87)*'Capital Structure '!$V$34/12</f>
        <v>17806.563807774986</v>
      </c>
      <c r="BS186" s="412">
        <f>('2013 program 10 yr On Bill Fin'!M99+'2013 program 5 yr On Bill Fin'!L97+'2013 program 2 yr On Bill Fin'!M87)*('Capital Structure '!$J$18+'Capital Structure '!$J$21)/12</f>
        <v>60241.983985000006</v>
      </c>
      <c r="BT186" s="431">
        <f t="shared" si="207"/>
        <v>78048.547792774989</v>
      </c>
      <c r="BV186" s="438">
        <v>0</v>
      </c>
      <c r="BW186" s="431">
        <f t="shared" si="208"/>
        <v>78048.547792774989</v>
      </c>
      <c r="BY186" s="412">
        <f>'2015 Program Invest Amort Def'!BR74</f>
        <v>63457.125000000015</v>
      </c>
      <c r="CA186" s="412">
        <f>X186*'Capital Structure '!$R$21/12</f>
        <v>838.69799042333761</v>
      </c>
      <c r="CB186" s="412">
        <f>(X186)*'Capital Structure '!$R$34/12</f>
        <v>964.24421387399536</v>
      </c>
      <c r="CC186" s="412">
        <f>(X186)*'Capital Structure '!$R$18/12</f>
        <v>2466.0091261259881</v>
      </c>
      <c r="CD186" s="412">
        <f>('2015 Program 10-Year OBRP'!P74+'2015 Program 7-Year OBRP'!M74+'2015 Program 5-Year OBRP'!K74+'2015 Program 3-Year OBRP'!K74)*('Capital Structure '!$R$34/12)</f>
        <v>24522.379627068469</v>
      </c>
      <c r="CE186" s="412">
        <f>('2015 Program 10-Year OBRP'!P74+'2015 Program 7-Year OBRP'!M74+'2015 Program 5-Year OBRP'!K74+'2015 Program 3-Year OBRP'!K74)*(('Capital Structure '!$R$21/12)+('Capital Structure '!$R$18/12))</f>
        <v>84044.354430409207</v>
      </c>
      <c r="CF186" s="431">
        <f t="shared" si="209"/>
        <v>112835.685387901</v>
      </c>
      <c r="CG186" s="373">
        <f>-15881.11+71.76+928.64+2809.67</f>
        <v>-12071.04</v>
      </c>
      <c r="CJ186" s="431">
        <f t="shared" si="210"/>
        <v>164221.77038790102</v>
      </c>
      <c r="CK186" s="431"/>
      <c r="CL186" s="431">
        <f>'2018 SUMMARY'!Q54</f>
        <v>353171.45090927149</v>
      </c>
      <c r="CM186" s="431"/>
      <c r="CN186" s="431">
        <f>'2018 SUMMARY'!S54</f>
        <v>28825.080656409493</v>
      </c>
      <c r="CO186" s="431">
        <f>'2018 SUMMARY'!T54</f>
        <v>33139.95926395947</v>
      </c>
      <c r="CP186" s="431">
        <f>'2018 SUMMARY'!U54</f>
        <v>84753.883724156753</v>
      </c>
      <c r="CQ186" s="431">
        <f>'2018 SUMMARY'!V54</f>
        <v>38892.503309159889</v>
      </c>
      <c r="CR186" s="431">
        <f>'2018 SUMMARY'!W54</f>
        <v>133294.37772804161</v>
      </c>
      <c r="CS186" s="431">
        <f t="shared" si="216"/>
        <v>318905.8046817272</v>
      </c>
      <c r="CT186" s="431">
        <f>-928.64-2809.67</f>
        <v>-3738.31</v>
      </c>
      <c r="CU186" s="431"/>
      <c r="CV186" s="562">
        <v>58916</v>
      </c>
      <c r="CW186" s="431">
        <f t="shared" si="211"/>
        <v>727254.94559099874</v>
      </c>
      <c r="CY186" s="412">
        <f t="shared" si="217"/>
        <v>478251.02450065687</v>
      </c>
      <c r="CZ186" s="412">
        <f t="shared" si="212"/>
        <v>-3536079.6015693834</v>
      </c>
      <c r="DA186" s="412">
        <f t="shared" si="218"/>
        <v>-2713994.9563249908</v>
      </c>
      <c r="DB186" s="417">
        <f t="shared" si="219"/>
        <v>1.6999999999999999E-3</v>
      </c>
      <c r="DC186" s="434">
        <f t="shared" si="213"/>
        <v>-384.48261881270702</v>
      </c>
      <c r="DE186" s="420"/>
      <c r="DF186" s="420"/>
      <c r="DG186" s="420">
        <f t="shared" si="214"/>
        <v>6.9470958200000016E-2</v>
      </c>
      <c r="DH186" s="420">
        <f t="shared" si="215"/>
        <v>8.9741126512699956E-2</v>
      </c>
      <c r="DI186" s="353"/>
      <c r="DJ186" s="353"/>
      <c r="DK186" s="353"/>
      <c r="DL186" s="353"/>
      <c r="DM186" s="353"/>
      <c r="DN186" s="353"/>
      <c r="DO186" s="353"/>
      <c r="DP186" s="353"/>
      <c r="DQ186" s="353"/>
      <c r="DR186" s="353"/>
      <c r="DS186" s="353"/>
      <c r="DT186" s="353"/>
      <c r="DU186" s="353"/>
      <c r="DV186" s="353"/>
      <c r="DW186" s="353"/>
      <c r="DX186" s="353"/>
      <c r="DY186" s="353"/>
      <c r="DZ186" s="353"/>
      <c r="EA186" s="353"/>
      <c r="EB186" s="353"/>
      <c r="EC186" s="353"/>
      <c r="ED186" s="353"/>
      <c r="EE186" s="353"/>
      <c r="EF186" s="353"/>
      <c r="EG186" s="353"/>
      <c r="EH186" s="353"/>
      <c r="EI186" s="353"/>
      <c r="EJ186" s="353"/>
      <c r="EK186" s="353"/>
      <c r="EL186" s="353"/>
      <c r="EM186" s="353"/>
      <c r="EN186" s="353"/>
      <c r="EO186" s="353"/>
      <c r="EP186" s="353"/>
      <c r="EQ186" s="353"/>
      <c r="ER186" s="353"/>
      <c r="ES186" s="353"/>
      <c r="ET186" s="353"/>
      <c r="EU186" s="353"/>
      <c r="EV186" s="353"/>
      <c r="EW186" s="353"/>
      <c r="EX186" s="353"/>
      <c r="EY186" s="353"/>
      <c r="EZ186" s="353"/>
      <c r="FA186" s="353"/>
      <c r="FB186" s="353"/>
      <c r="FC186" s="353"/>
      <c r="FD186" s="353"/>
      <c r="FE186" s="353"/>
      <c r="FF186" s="353"/>
      <c r="FG186" s="353"/>
      <c r="FH186" s="353"/>
      <c r="FI186" s="353"/>
      <c r="FJ186" s="353"/>
      <c r="FK186" s="353"/>
      <c r="FL186" s="353"/>
      <c r="FM186" s="353"/>
      <c r="FN186" s="353"/>
      <c r="FO186" s="353"/>
      <c r="FP186" s="353"/>
      <c r="FQ186" s="353"/>
    </row>
    <row r="187" spans="1:173" s="351" customFormat="1" hidden="1">
      <c r="A187" s="430" t="s">
        <v>58</v>
      </c>
      <c r="B187" s="351">
        <v>2021</v>
      </c>
      <c r="C187" s="411" t="s">
        <v>47</v>
      </c>
      <c r="F187" s="370"/>
      <c r="G187" s="435"/>
      <c r="H187" s="412">
        <f>'RGGI - Invest Amort deferred'!AI133</f>
        <v>0</v>
      </c>
      <c r="I187" s="412">
        <f>'RGGI - Invest Amort deferred'!AI133</f>
        <v>0</v>
      </c>
      <c r="J187" s="413">
        <f>'RGGI - Invest Amort deferred'!BL133</f>
        <v>0</v>
      </c>
      <c r="K187" s="435"/>
      <c r="L187" s="414">
        <f>'RGGI II Invest Amort Def'!AI121</f>
        <v>0</v>
      </c>
      <c r="M187" s="414">
        <f>'RGGI II Invest Amort Def'!AI121</f>
        <v>0</v>
      </c>
      <c r="N187" s="413">
        <f>'RGGI II Invest Amort Def'!BK121</f>
        <v>0</v>
      </c>
      <c r="O187" s="435"/>
      <c r="P187" s="425">
        <f>'2013 program Invest Amort Def'!AY100</f>
        <v>0</v>
      </c>
      <c r="Q187" s="425">
        <f>'2013 program Invest Amort Def'!AY100</f>
        <v>0</v>
      </c>
      <c r="R187" s="425">
        <f>'2013 program Invest Amort Def'!CQ100</f>
        <v>0</v>
      </c>
      <c r="S187" s="373">
        <f t="shared" si="200"/>
        <v>0</v>
      </c>
      <c r="T187" s="435"/>
      <c r="U187" s="414">
        <f>'2015 Program Invest Amort Def'!BT75</f>
        <v>734675.08333333023</v>
      </c>
      <c r="V187" s="414">
        <f>'2015 Program Invest Amort Def'!BT75</f>
        <v>734675.08333333023</v>
      </c>
      <c r="W187" s="414">
        <f>'2015 Program Invest Amort Def'!EG75</f>
        <v>-206517.16592500007</v>
      </c>
      <c r="X187" s="397">
        <f t="shared" si="201"/>
        <v>528157.91740833013</v>
      </c>
      <c r="Y187" s="435"/>
      <c r="Z187" s="394">
        <f>'Schedule NJNG-3 - Page 3'!K$107</f>
        <v>22973888.490000002</v>
      </c>
      <c r="AA187" s="480">
        <v>1.6E-2</v>
      </c>
      <c r="AB187" s="439">
        <f t="shared" si="202"/>
        <v>367582.21584000002</v>
      </c>
      <c r="AO187" s="372">
        <f>'RGGI - Invest Amort deferred'!AG133+'RGGI CHP'!V88</f>
        <v>0</v>
      </c>
      <c r="AQ187" s="412">
        <f>(H187+J187)*'Capital Structure '!$F$21/12</f>
        <v>0</v>
      </c>
      <c r="AR187" s="412">
        <f>(H187+J187)*'Capital Structure '!$E$34/12</f>
        <v>0</v>
      </c>
      <c r="AS187" s="412">
        <f>(H187+J187)*'Capital Structure '!$F$18/12</f>
        <v>0</v>
      </c>
      <c r="AT187" s="412">
        <f>'RGGI - On-bill financing'!J130*'Capital Structure '!$P$34/12</f>
        <v>188.05617788064853</v>
      </c>
      <c r="AU187" s="412">
        <f>'RGGI - On-bill financing'!J130*('Capital Structure '!$F$18+'Capital Structure '!$F$21)/12</f>
        <v>728.72261153638294</v>
      </c>
      <c r="AV187" s="415">
        <f t="shared" si="203"/>
        <v>916.77878941703148</v>
      </c>
      <c r="AX187" s="415">
        <v>0</v>
      </c>
      <c r="AY187" s="431">
        <f t="shared" si="204"/>
        <v>916.77878941703148</v>
      </c>
      <c r="BA187" s="412">
        <f>'RGGI II Invest Amort Def'!AG121</f>
        <v>0</v>
      </c>
      <c r="BC187" s="412">
        <f>(L187+N187)*'Capital Structure '!$H$21/12</f>
        <v>0</v>
      </c>
      <c r="BD187" s="412">
        <f>(L187+N187)*'Capital Structure '!$W$34/12</f>
        <v>0</v>
      </c>
      <c r="BE187" s="412">
        <f>(L187+N187)*'Capital Structure '!$H$18/12</f>
        <v>0</v>
      </c>
      <c r="BF187" s="412">
        <f>'RGGI II On Bill Fin''g'!L118*'Capital Structure '!$W$34/12</f>
        <v>2019.7567481597589</v>
      </c>
      <c r="BG187" s="412">
        <f>'RGGI II On Bill Fin''g'!L118*('Capital Structure '!$H$18+'Capital Structure '!$H$21)/12</f>
        <v>6952.3785574540789</v>
      </c>
      <c r="BH187" s="415">
        <f t="shared" si="205"/>
        <v>8972.1353056138378</v>
      </c>
      <c r="BJ187" s="437">
        <v>0</v>
      </c>
      <c r="BK187" s="431">
        <f t="shared" si="206"/>
        <v>8972.1353056138378</v>
      </c>
      <c r="BM187" s="412">
        <f>'2013 program Invest Amort Def'!AW100</f>
        <v>0</v>
      </c>
      <c r="BO187" s="412">
        <f>(S187)*'Capital Structure '!$J$21/12</f>
        <v>0</v>
      </c>
      <c r="BP187" s="412">
        <f>(S187)*'Capital Structure '!$V$34/12</f>
        <v>0</v>
      </c>
      <c r="BQ187" s="412">
        <f>(S187)*'Capital Structure '!$J$18/12</f>
        <v>0</v>
      </c>
      <c r="BR187" s="412">
        <f>('2013 program 10 yr On Bill Fin'!M100+'2013 program 5 yr On Bill Fin'!L98+'2013 program 2 yr On Bill Fin'!M88)*'Capital Structure '!$V$34/12</f>
        <v>17228.828031001471</v>
      </c>
      <c r="BS187" s="412">
        <f>('2013 program 10 yr On Bill Fin'!M100+'2013 program 5 yr On Bill Fin'!L98+'2013 program 2 yr On Bill Fin'!M88)*('Capital Structure '!$J$18+'Capital Structure '!$J$21)/12</f>
        <v>58287.426677500007</v>
      </c>
      <c r="BT187" s="431">
        <f t="shared" si="207"/>
        <v>75516.254708501481</v>
      </c>
      <c r="BV187" s="438">
        <v>0</v>
      </c>
      <c r="BW187" s="431">
        <f t="shared" si="208"/>
        <v>75516.254708501481</v>
      </c>
      <c r="BY187" s="412">
        <f>'2015 Program Invest Amort Def'!BR75</f>
        <v>59365.041666666679</v>
      </c>
      <c r="CA187" s="412">
        <f>X187*'Capital Structure '!$R$21/12</f>
        <v>775.99418040211015</v>
      </c>
      <c r="CB187" s="412">
        <f>(X187)*'Capital Structure '!$R$34/12</f>
        <v>892.15415679599471</v>
      </c>
      <c r="CC187" s="412">
        <f>(X187)*'Capital Structure '!$R$18/12</f>
        <v>2281.6422032039864</v>
      </c>
      <c r="CD187" s="412">
        <f>('2015 Program 10-Year OBRP'!P75+'2015 Program 7-Year OBRP'!M75+'2015 Program 5-Year OBRP'!K75+'2015 Program 3-Year OBRP'!K75)*('Capital Structure '!$R$34/12)</f>
        <v>23707.096075862344</v>
      </c>
      <c r="CE187" s="412">
        <f>('2015 Program 10-Year OBRP'!P75+'2015 Program 7-Year OBRP'!M75+'2015 Program 5-Year OBRP'!K75+'2015 Program 3-Year OBRP'!K75)*(('Capital Structure '!$R$21/12)+('Capital Structure '!$R$18/12))</f>
        <v>81250.172920258541</v>
      </c>
      <c r="CF187" s="431">
        <f t="shared" si="209"/>
        <v>108907.05953652298</v>
      </c>
      <c r="CG187" s="373">
        <f>-15881.11+71.76+928.64+2809.67</f>
        <v>-12071.04</v>
      </c>
      <c r="CJ187" s="431">
        <f t="shared" si="210"/>
        <v>156201.06120318966</v>
      </c>
      <c r="CK187" s="431"/>
      <c r="CL187" s="431">
        <f>'2018 SUMMARY'!Q55</f>
        <v>362986.56305212859</v>
      </c>
      <c r="CM187" s="431"/>
      <c r="CN187" s="431">
        <f>'2018 SUMMARY'!S55</f>
        <v>29140.445275983759</v>
      </c>
      <c r="CO187" s="431">
        <f>'2018 SUMMARY'!T55</f>
        <v>33502.53138545886</v>
      </c>
      <c r="CP187" s="431">
        <f>'2018 SUMMARY'!U55</f>
        <v>85681.144834601102</v>
      </c>
      <c r="CQ187" s="431">
        <f>'2018 SUMMARY'!V55</f>
        <v>40189.069338196474</v>
      </c>
      <c r="CR187" s="431">
        <f>'2018 SUMMARY'!W55</f>
        <v>137738.03517662364</v>
      </c>
      <c r="CS187" s="431">
        <f t="shared" si="216"/>
        <v>326251.22601086384</v>
      </c>
      <c r="CT187" s="431">
        <f>-928.64-2809.67</f>
        <v>-3738.31</v>
      </c>
      <c r="CU187" s="431"/>
      <c r="CV187" s="562">
        <v>53735</v>
      </c>
      <c r="CW187" s="431">
        <f t="shared" si="211"/>
        <v>739234.47906299238</v>
      </c>
      <c r="CY187" s="412">
        <f t="shared" si="217"/>
        <v>613258.49322971446</v>
      </c>
      <c r="CZ187" s="412">
        <f t="shared" si="212"/>
        <v>-2922821.1083396692</v>
      </c>
      <c r="DA187" s="412">
        <f t="shared" si="218"/>
        <v>-2321651.8601768091</v>
      </c>
      <c r="DB187" s="417">
        <f t="shared" si="219"/>
        <v>1.6999999999999999E-3</v>
      </c>
      <c r="DC187" s="434">
        <f t="shared" si="213"/>
        <v>-328.90068019171463</v>
      </c>
      <c r="DE187" s="420"/>
      <c r="DF187" s="420"/>
      <c r="DG187" s="420">
        <f t="shared" si="214"/>
        <v>6.9470958200000002E-2</v>
      </c>
      <c r="DH187" s="420">
        <f t="shared" si="215"/>
        <v>8.974112651269997E-2</v>
      </c>
      <c r="DI187" s="353"/>
      <c r="DJ187" s="353"/>
      <c r="DK187" s="353"/>
      <c r="DL187" s="353"/>
      <c r="DM187" s="353"/>
      <c r="DN187" s="353"/>
      <c r="DO187" s="353"/>
      <c r="DP187" s="353"/>
      <c r="DQ187" s="353"/>
      <c r="DR187" s="353"/>
      <c r="DS187" s="353"/>
      <c r="DT187" s="353"/>
      <c r="DU187" s="353"/>
      <c r="DV187" s="353"/>
      <c r="DW187" s="353"/>
      <c r="DX187" s="353"/>
      <c r="DY187" s="353"/>
      <c r="DZ187" s="353"/>
      <c r="EA187" s="353"/>
      <c r="EB187" s="353"/>
      <c r="EC187" s="353"/>
      <c r="ED187" s="353"/>
      <c r="EE187" s="353"/>
      <c r="EF187" s="353"/>
      <c r="EG187" s="353"/>
      <c r="EH187" s="353"/>
      <c r="EI187" s="353"/>
      <c r="EJ187" s="353"/>
      <c r="EK187" s="353"/>
      <c r="EL187" s="353"/>
      <c r="EM187" s="353"/>
      <c r="EN187" s="353"/>
      <c r="EO187" s="353"/>
      <c r="EP187" s="353"/>
      <c r="EQ187" s="353"/>
      <c r="ER187" s="353"/>
      <c r="ES187" s="353"/>
      <c r="ET187" s="353"/>
      <c r="EU187" s="353"/>
      <c r="EV187" s="353"/>
      <c r="EW187" s="353"/>
      <c r="EX187" s="353"/>
      <c r="EY187" s="353"/>
      <c r="EZ187" s="353"/>
      <c r="FA187" s="353"/>
      <c r="FB187" s="353"/>
      <c r="FC187" s="353"/>
      <c r="FD187" s="353"/>
      <c r="FE187" s="353"/>
      <c r="FF187" s="353"/>
      <c r="FG187" s="353"/>
      <c r="FH187" s="353"/>
      <c r="FI187" s="353"/>
      <c r="FJ187" s="353"/>
      <c r="FK187" s="353"/>
      <c r="FL187" s="353"/>
      <c r="FM187" s="353"/>
      <c r="FN187" s="353"/>
      <c r="FO187" s="353"/>
      <c r="FP187" s="353"/>
      <c r="FQ187" s="353"/>
    </row>
    <row r="188" spans="1:173" s="351" customFormat="1" hidden="1">
      <c r="A188" s="430" t="s">
        <v>59</v>
      </c>
      <c r="B188" s="351">
        <v>2021</v>
      </c>
      <c r="C188" s="411" t="s">
        <v>47</v>
      </c>
      <c r="F188" s="370"/>
      <c r="G188" s="435"/>
      <c r="H188" s="412">
        <f>'RGGI - Invest Amort deferred'!AI134</f>
        <v>0</v>
      </c>
      <c r="I188" s="412">
        <f>'RGGI - Invest Amort deferred'!AI134</f>
        <v>0</v>
      </c>
      <c r="J188" s="413">
        <f>'RGGI - Invest Amort deferred'!BL134</f>
        <v>0</v>
      </c>
      <c r="K188" s="435"/>
      <c r="L188" s="414">
        <f>'RGGI II Invest Amort Def'!AI122</f>
        <v>0</v>
      </c>
      <c r="M188" s="414">
        <f>'RGGI II Invest Amort Def'!AI122</f>
        <v>0</v>
      </c>
      <c r="N188" s="413">
        <f>'RGGI II Invest Amort Def'!BK122</f>
        <v>0</v>
      </c>
      <c r="O188" s="435"/>
      <c r="P188" s="425">
        <f>'2013 program Invest Amort Def'!AY101</f>
        <v>0</v>
      </c>
      <c r="Q188" s="425">
        <f>'2013 program Invest Amort Def'!AY101</f>
        <v>0</v>
      </c>
      <c r="R188" s="425">
        <f>'2013 program Invest Amort Def'!CQ101</f>
        <v>0</v>
      </c>
      <c r="S188" s="373">
        <f t="shared" si="200"/>
        <v>0</v>
      </c>
      <c r="T188" s="435"/>
      <c r="U188" s="414">
        <f>'2015 Program Invest Amort Def'!BT76</f>
        <v>678703.37499999721</v>
      </c>
      <c r="V188" s="414">
        <f>'2015 Program Invest Amort Def'!BT76</f>
        <v>678703.37499999721</v>
      </c>
      <c r="W188" s="414">
        <f>'2015 Program Invest Amort Def'!EG76</f>
        <v>-190783.51871250005</v>
      </c>
      <c r="X188" s="397">
        <f t="shared" si="201"/>
        <v>487919.85628749715</v>
      </c>
      <c r="Y188" s="435"/>
      <c r="Z188" s="394">
        <f>'Schedule NJNG-3 - Page 3'!L$107</f>
        <v>20879463.34</v>
      </c>
      <c r="AA188" s="480">
        <v>1.6E-2</v>
      </c>
      <c r="AB188" s="439">
        <f t="shared" si="202"/>
        <v>334071.41344000003</v>
      </c>
      <c r="AO188" s="372">
        <f>'RGGI - Invest Amort deferred'!AG134+'RGGI CHP'!V89</f>
        <v>0</v>
      </c>
      <c r="AQ188" s="412">
        <f>(H188+J188)*'Capital Structure '!$F$21/12</f>
        <v>0</v>
      </c>
      <c r="AR188" s="412">
        <f>(H188+J188)*'Capital Structure '!$E$34/12</f>
        <v>0</v>
      </c>
      <c r="AS188" s="412">
        <f>(H188+J188)*'Capital Structure '!$F$18/12</f>
        <v>0</v>
      </c>
      <c r="AT188" s="412">
        <f>'RGGI - On-bill financing'!J131*'Capital Structure '!$P$34/12</f>
        <v>151.46538762219834</v>
      </c>
      <c r="AU188" s="412">
        <f>'RGGI - On-bill financing'!J131*('Capital Structure '!$F$18+'Capital Structure '!$F$21)/12</f>
        <v>586.93234154461084</v>
      </c>
      <c r="AV188" s="415">
        <f t="shared" si="203"/>
        <v>738.3977291668092</v>
      </c>
      <c r="AX188" s="415">
        <v>0</v>
      </c>
      <c r="AY188" s="431">
        <f t="shared" si="204"/>
        <v>738.3977291668092</v>
      </c>
      <c r="BA188" s="412">
        <f>'RGGI II Invest Amort Def'!AG122</f>
        <v>0</v>
      </c>
      <c r="BC188" s="412">
        <f>(L188+N188)*'Capital Structure '!$H$21/12</f>
        <v>0</v>
      </c>
      <c r="BD188" s="412">
        <f>(L188+N188)*'Capital Structure '!$W$34/12</f>
        <v>0</v>
      </c>
      <c r="BE188" s="412">
        <f>(L188+N188)*'Capital Structure '!$H$18/12</f>
        <v>0</v>
      </c>
      <c r="BF188" s="412">
        <f>'RGGI II On Bill Fin''g'!L119*'Capital Structure '!$W$34/12</f>
        <v>1894.4889209372884</v>
      </c>
      <c r="BG188" s="412">
        <f>'RGGI II On Bill Fin''g'!L119*('Capital Structure '!$H$18+'Capital Structure '!$H$21)/12</f>
        <v>6521.1833866921197</v>
      </c>
      <c r="BH188" s="415">
        <f t="shared" si="205"/>
        <v>8415.6723076294074</v>
      </c>
      <c r="BJ188" s="437">
        <v>0</v>
      </c>
      <c r="BK188" s="431">
        <f t="shared" si="206"/>
        <v>8415.6723076294074</v>
      </c>
      <c r="BM188" s="412">
        <f>'2013 program Invest Amort Def'!AW101</f>
        <v>0</v>
      </c>
      <c r="BO188" s="412">
        <f>(S188)*'Capital Structure '!$J$21/12</f>
        <v>0</v>
      </c>
      <c r="BP188" s="412">
        <f>(S188)*'Capital Structure '!$V$34/12</f>
        <v>0</v>
      </c>
      <c r="BQ188" s="412">
        <f>(S188)*'Capital Structure '!$J$18/12</f>
        <v>0</v>
      </c>
      <c r="BR188" s="412">
        <f>('2013 program 10 yr On Bill Fin'!M101+'2013 program 5 yr On Bill Fin'!L99+'2013 program 2 yr On Bill Fin'!M89)*'Capital Structure '!$V$34/12</f>
        <v>16656.847126015404</v>
      </c>
      <c r="BS188" s="412">
        <f>('2013 program 10 yr On Bill Fin'!M101+'2013 program 5 yr On Bill Fin'!L99+'2013 program 2 yr On Bill Fin'!M89)*('Capital Structure '!$J$18+'Capital Structure '!$J$21)/12</f>
        <v>56352.33887</v>
      </c>
      <c r="BT188" s="431">
        <f t="shared" si="207"/>
        <v>73009.185996015411</v>
      </c>
      <c r="BV188" s="438">
        <v>0</v>
      </c>
      <c r="BW188" s="431">
        <f t="shared" si="208"/>
        <v>73009.185996015411</v>
      </c>
      <c r="BY188" s="412">
        <f>'2015 Program Invest Amort Def'!BR76</f>
        <v>55971.70833333335</v>
      </c>
      <c r="CA188" s="412">
        <f>X188*'Capital Structure '!$R$21/12</f>
        <v>716.87454926290582</v>
      </c>
      <c r="CB188" s="412">
        <f>(X188)*'Capital Structure '!$R$34/12</f>
        <v>824.18480083799534</v>
      </c>
      <c r="CC188" s="412">
        <f>(X188)*'Capital Structure '!$R$18/12</f>
        <v>2107.8137791619879</v>
      </c>
      <c r="CD188" s="412">
        <f>('2015 Program 10-Year OBRP'!P76+'2015 Program 7-Year OBRP'!M76+'2015 Program 5-Year OBRP'!K76+'2015 Program 3-Year OBRP'!K76)*('Capital Structure '!$R$34/12)</f>
        <v>22968.446446625236</v>
      </c>
      <c r="CE188" s="412">
        <f>('2015 Program 10-Year OBRP'!P76+'2015 Program 7-Year OBRP'!M76+'2015 Program 5-Year OBRP'!K76+'2015 Program 3-Year OBRP'!K76)*(('Capital Structure '!$R$21/12)+('Capital Structure '!$R$18/12))</f>
        <v>78718.635109345225</v>
      </c>
      <c r="CF188" s="431">
        <f t="shared" si="209"/>
        <v>105335.95468523336</v>
      </c>
      <c r="CG188" s="373">
        <f>-17473.05+44.41+1021.12+3231.59</f>
        <v>-13175.93</v>
      </c>
      <c r="CJ188" s="431">
        <f t="shared" si="210"/>
        <v>148131.73301856671</v>
      </c>
      <c r="CK188" s="431"/>
      <c r="CL188" s="431">
        <f>'2018 SUMMARY'!Q56</f>
        <v>367449.15701927588</v>
      </c>
      <c r="CM188" s="431"/>
      <c r="CN188" s="431">
        <f>'2018 SUMMARY'!S56</f>
        <v>28836.890411901186</v>
      </c>
      <c r="CO188" s="431">
        <f>'2018 SUMMARY'!T56</f>
        <v>33153.536843171729</v>
      </c>
      <c r="CP188" s="431">
        <f>'2018 SUMMARY'!U56</f>
        <v>84788.607742995911</v>
      </c>
      <c r="CQ188" s="431">
        <f>'2018 SUMMARY'!V56</f>
        <v>40626.748200890703</v>
      </c>
      <c r="CR188" s="431">
        <f>'2018 SUMMARY'!W56</f>
        <v>139238.0705737744</v>
      </c>
      <c r="CS188" s="431">
        <f t="shared" si="216"/>
        <v>326643.85377273394</v>
      </c>
      <c r="CT188" s="431">
        <f>-1021.12-3231.59</f>
        <v>-4252.71</v>
      </c>
      <c r="CU188" s="431"/>
      <c r="CV188" s="431">
        <v>9640</v>
      </c>
      <c r="CW188" s="431">
        <f t="shared" si="211"/>
        <v>699480.3007920098</v>
      </c>
      <c r="CY188" s="412">
        <f t="shared" si="217"/>
        <v>595703.8764033881</v>
      </c>
      <c r="CZ188" s="412">
        <f t="shared" si="212"/>
        <v>-2327117.2319362811</v>
      </c>
      <c r="DA188" s="412">
        <f t="shared" si="218"/>
        <v>-1887090.3364121905</v>
      </c>
      <c r="DB188" s="417">
        <v>1.6000000000000001E-3</v>
      </c>
      <c r="DC188" s="434">
        <f t="shared" si="213"/>
        <v>-251.61204485495875</v>
      </c>
      <c r="DE188" s="420"/>
      <c r="DF188" s="420"/>
      <c r="DG188" s="420">
        <f t="shared" si="214"/>
        <v>6.9470958200000016E-2</v>
      </c>
      <c r="DH188" s="420">
        <f t="shared" si="215"/>
        <v>8.974112651269997E-2</v>
      </c>
      <c r="DI188" s="353"/>
      <c r="DJ188" s="353"/>
      <c r="DK188" s="353"/>
      <c r="DL188" s="353"/>
      <c r="DM188" s="353"/>
      <c r="DN188" s="353"/>
      <c r="DO188" s="353"/>
      <c r="DP188" s="353"/>
      <c r="DQ188" s="353"/>
      <c r="DR188" s="353"/>
      <c r="DS188" s="353"/>
      <c r="DT188" s="353"/>
      <c r="DU188" s="353"/>
      <c r="DV188" s="353"/>
      <c r="DW188" s="353"/>
      <c r="DX188" s="353"/>
      <c r="DY188" s="353"/>
      <c r="DZ188" s="353"/>
      <c r="EA188" s="353"/>
      <c r="EB188" s="353"/>
      <c r="EC188" s="353"/>
      <c r="ED188" s="353"/>
      <c r="EE188" s="353"/>
      <c r="EF188" s="353"/>
      <c r="EG188" s="353"/>
      <c r="EH188" s="353"/>
      <c r="EI188" s="353"/>
      <c r="EJ188" s="353"/>
      <c r="EK188" s="353"/>
      <c r="EL188" s="353"/>
      <c r="EM188" s="353"/>
      <c r="EN188" s="353"/>
      <c r="EO188" s="353"/>
      <c r="EP188" s="353"/>
      <c r="EQ188" s="353"/>
      <c r="ER188" s="353"/>
      <c r="ES188" s="353"/>
      <c r="ET188" s="353"/>
      <c r="EU188" s="353"/>
      <c r="EV188" s="353"/>
      <c r="EW188" s="353"/>
      <c r="EX188" s="353"/>
      <c r="EY188" s="353"/>
      <c r="EZ188" s="353"/>
      <c r="FA188" s="353"/>
      <c r="FB188" s="353"/>
      <c r="FC188" s="353"/>
      <c r="FD188" s="353"/>
      <c r="FE188" s="353"/>
      <c r="FF188" s="353"/>
      <c r="FG188" s="353"/>
      <c r="FH188" s="353"/>
      <c r="FI188" s="353"/>
      <c r="FJ188" s="353"/>
      <c r="FK188" s="353"/>
      <c r="FL188" s="353"/>
      <c r="FM188" s="353"/>
      <c r="FN188" s="353"/>
      <c r="FO188" s="353"/>
      <c r="FP188" s="353"/>
      <c r="FQ188" s="353"/>
    </row>
    <row r="189" spans="1:173" s="351" customFormat="1" hidden="1">
      <c r="A189" s="430" t="s">
        <v>46</v>
      </c>
      <c r="B189" s="351">
        <v>2021</v>
      </c>
      <c r="C189" s="411" t="s">
        <v>47</v>
      </c>
      <c r="F189" s="370"/>
      <c r="G189" s="435"/>
      <c r="H189" s="412">
        <f>'RGGI - Invest Amort deferred'!AI135</f>
        <v>0</v>
      </c>
      <c r="I189" s="412">
        <f>'RGGI - Invest Amort deferred'!AI135</f>
        <v>0</v>
      </c>
      <c r="J189" s="413">
        <f>'RGGI - Invest Amort deferred'!BL135</f>
        <v>0</v>
      </c>
      <c r="K189" s="435"/>
      <c r="L189" s="414">
        <f>'RGGI II Invest Amort Def'!AI123</f>
        <v>0</v>
      </c>
      <c r="M189" s="414">
        <f>'RGGI II Invest Amort Def'!AI123</f>
        <v>0</v>
      </c>
      <c r="N189" s="413">
        <f>'RGGI II Invest Amort Def'!BK123</f>
        <v>0</v>
      </c>
      <c r="O189" s="435"/>
      <c r="P189" s="425">
        <f>'2013 program Invest Amort Def'!AY102</f>
        <v>0</v>
      </c>
      <c r="Q189" s="425">
        <f>'2013 program Invest Amort Def'!AY102</f>
        <v>0</v>
      </c>
      <c r="R189" s="425">
        <f>'2013 program Invest Amort Def'!CQ102</f>
        <v>0</v>
      </c>
      <c r="S189" s="373">
        <f t="shared" si="200"/>
        <v>0</v>
      </c>
      <c r="T189" s="435"/>
      <c r="U189" s="414">
        <f>'2015 Program Invest Amort Def'!BT77</f>
        <v>627983.33333333023</v>
      </c>
      <c r="V189" s="414">
        <f>'2015 Program Invest Amort Def'!BT77</f>
        <v>627983.33333333023</v>
      </c>
      <c r="W189" s="414">
        <f>'2015 Program Invest Amort Def'!EG77</f>
        <v>-176526.11500000005</v>
      </c>
      <c r="X189" s="397">
        <f t="shared" si="201"/>
        <v>451457.21833333018</v>
      </c>
      <c r="Y189" s="435"/>
      <c r="Z189" s="394">
        <f>'Schedule NJNG-3 - Page 3'!M$107</f>
        <v>19700493.300000001</v>
      </c>
      <c r="AA189" s="480">
        <v>1.6E-2</v>
      </c>
      <c r="AB189" s="439">
        <f t="shared" si="202"/>
        <v>315207.89280000003</v>
      </c>
      <c r="AO189" s="372">
        <f>'RGGI - Invest Amort deferred'!AG135+'RGGI CHP'!V90</f>
        <v>0</v>
      </c>
      <c r="AQ189" s="412">
        <f>(H189+J189)*'Capital Structure '!$F$21/12</f>
        <v>0</v>
      </c>
      <c r="AR189" s="412">
        <f>(H189+J189)*'Capital Structure '!$E$34/12</f>
        <v>0</v>
      </c>
      <c r="AS189" s="412">
        <f>(H189+J189)*'Capital Structure '!$F$18/12</f>
        <v>0</v>
      </c>
      <c r="AT189" s="412">
        <f>'RGGI - On-bill financing'!J132*'Capital Structure '!$P$34/12</f>
        <v>115.81379851216924</v>
      </c>
      <c r="AU189" s="412">
        <f>'RGGI - On-bill financing'!J132*('Capital Structure '!$F$18+'Capital Structure '!$F$21)/12</f>
        <v>448.78150058595344</v>
      </c>
      <c r="AV189" s="415">
        <f t="shared" si="203"/>
        <v>564.59529909812272</v>
      </c>
      <c r="AX189" s="415">
        <v>0</v>
      </c>
      <c r="AY189" s="431">
        <f t="shared" si="204"/>
        <v>564.59529909812272</v>
      </c>
      <c r="BA189" s="412">
        <f>'RGGI II Invest Amort Def'!AG123</f>
        <v>0</v>
      </c>
      <c r="BC189" s="412">
        <f>(L189+N189)*'Capital Structure '!$H$21/12</f>
        <v>0</v>
      </c>
      <c r="BD189" s="412">
        <f>(L189+N189)*'Capital Structure '!$W$34/12</f>
        <v>0</v>
      </c>
      <c r="BE189" s="412">
        <f>(L189+N189)*'Capital Structure '!$H$18/12</f>
        <v>0</v>
      </c>
      <c r="BF189" s="412">
        <f>'RGGI II On Bill Fin''g'!L120*'Capital Structure '!$W$34/12</f>
        <v>1755.8599566436299</v>
      </c>
      <c r="BG189" s="412">
        <f>'RGGI II On Bill Fin''g'!L120*('Capital Structure '!$H$18+'Capital Structure '!$H$21)/12</f>
        <v>6043.9966959307521</v>
      </c>
      <c r="BH189" s="415">
        <f t="shared" si="205"/>
        <v>7799.8566525743818</v>
      </c>
      <c r="BJ189" s="437">
        <v>0</v>
      </c>
      <c r="BK189" s="431">
        <f t="shared" si="206"/>
        <v>7799.8566525743818</v>
      </c>
      <c r="BM189" s="412">
        <f>'2013 program Invest Amort Def'!AW102</f>
        <v>0</v>
      </c>
      <c r="BO189" s="412">
        <f>(S189)*'Capital Structure '!$J$21/12</f>
        <v>0</v>
      </c>
      <c r="BP189" s="412">
        <f>(S189)*'Capital Structure '!$V$34/12</f>
        <v>0</v>
      </c>
      <c r="BQ189" s="412">
        <f>(S189)*'Capital Structure '!$J$18/12</f>
        <v>0</v>
      </c>
      <c r="BR189" s="412">
        <f>('2013 program 10 yr On Bill Fin'!M102+'2013 program 5 yr On Bill Fin'!L100+'2013 program 2 yr On Bill Fin'!M90)*'Capital Structure '!$V$34/12</f>
        <v>16050.967119872015</v>
      </c>
      <c r="BS189" s="412">
        <f>('2013 program 10 yr On Bill Fin'!M102+'2013 program 5 yr On Bill Fin'!L100+'2013 program 2 yr On Bill Fin'!M90)*('Capital Structure '!$J$18+'Capital Structure '!$J$21)/12</f>
        <v>54302.565874999978</v>
      </c>
      <c r="BT189" s="431">
        <f t="shared" si="207"/>
        <v>70353.532994871988</v>
      </c>
      <c r="BV189" s="438">
        <v>0</v>
      </c>
      <c r="BW189" s="431">
        <f t="shared" si="208"/>
        <v>70353.532994871988</v>
      </c>
      <c r="BY189" s="412">
        <f>'2015 Program Invest Amort Def'!BR77</f>
        <v>50720.041666666686</v>
      </c>
      <c r="CA189" s="412">
        <f>X189*'Capital Structure '!$R$21/12</f>
        <v>663.30194546026826</v>
      </c>
      <c r="CB189" s="412">
        <f>(X189)*'Capital Structure '!$R$34/12</f>
        <v>762.59281679999469</v>
      </c>
      <c r="CC189" s="412">
        <f>(X189)*'Capital Structure '!$R$18/12</f>
        <v>1950.2951831999865</v>
      </c>
      <c r="CD189" s="412">
        <f>('2015 Program 10-Year OBRP'!P77+'2015 Program 7-Year OBRP'!M77+'2015 Program 5-Year OBRP'!K77+'2015 Program 3-Year OBRP'!K77)*('Capital Structure '!$R$34/12)</f>
        <v>22181.888561741773</v>
      </c>
      <c r="CE189" s="412">
        <f>('2015 Program 10-Year OBRP'!P77+'2015 Program 7-Year OBRP'!M77+'2015 Program 5-Year OBRP'!K77+'2015 Program 3-Year OBRP'!K77)*(('Capital Structure '!$R$21/12)+('Capital Structure '!$R$18/12))</f>
        <v>76022.903672898115</v>
      </c>
      <c r="CF189" s="431">
        <f t="shared" si="209"/>
        <v>101580.98218010014</v>
      </c>
      <c r="CG189" s="373">
        <f>-16237+66.48+1019.36+3360.03</f>
        <v>-11791.13</v>
      </c>
      <c r="CJ189" s="431">
        <f t="shared" si="210"/>
        <v>140509.89384676682</v>
      </c>
      <c r="CK189" s="431"/>
      <c r="CL189" s="431">
        <f>'2018 SUMMARY'!Q57</f>
        <v>440008.88251194631</v>
      </c>
      <c r="CM189" s="431"/>
      <c r="CN189" s="431">
        <f>'2018 SUMMARY'!S57</f>
        <v>36746.217068855221</v>
      </c>
      <c r="CO189" s="431">
        <f>'2018 SUMMARY'!T57</f>
        <v>42246.824953660405</v>
      </c>
      <c r="CP189" s="431">
        <f>'2018 SUMMARY'!U57</f>
        <v>108044.26346206496</v>
      </c>
      <c r="CQ189" s="431">
        <f>'2018 SUMMARY'!V57</f>
        <v>41274.96972078587</v>
      </c>
      <c r="CR189" s="431">
        <f>'2018 SUMMARY'!W57</f>
        <v>141459.68854054599</v>
      </c>
      <c r="CS189" s="431">
        <f t="shared" si="216"/>
        <v>369771.96374591242</v>
      </c>
      <c r="CT189" s="562">
        <v>-4379.3900000000003</v>
      </c>
      <c r="CU189" s="431"/>
      <c r="CV189" s="431">
        <v>-19800</v>
      </c>
      <c r="CW189" s="431">
        <f t="shared" si="211"/>
        <v>785601.45625785878</v>
      </c>
      <c r="CY189" s="412">
        <f t="shared" si="217"/>
        <v>689621.44225117005</v>
      </c>
      <c r="CZ189" s="412">
        <f t="shared" si="212"/>
        <v>-1637495.789685111</v>
      </c>
      <c r="DA189" s="412">
        <f t="shared" si="218"/>
        <v>-1425080.1506218093</v>
      </c>
      <c r="DB189" s="417">
        <f t="shared" si="219"/>
        <v>1.6000000000000001E-3</v>
      </c>
      <c r="DC189" s="434">
        <f t="shared" si="213"/>
        <v>-190.01068674957457</v>
      </c>
      <c r="DE189" s="420"/>
      <c r="DF189" s="420"/>
      <c r="DG189" s="420">
        <f t="shared" si="214"/>
        <v>6.9470958200000016E-2</v>
      </c>
      <c r="DH189" s="420">
        <f t="shared" si="215"/>
        <v>8.974112651269997E-2</v>
      </c>
      <c r="DI189" s="353"/>
      <c r="DJ189" s="353"/>
      <c r="DK189" s="353"/>
      <c r="DL189" s="353"/>
      <c r="DM189" s="353"/>
      <c r="DN189" s="353"/>
      <c r="DO189" s="353"/>
      <c r="DP189" s="353"/>
      <c r="DQ189" s="353"/>
      <c r="DR189" s="353"/>
      <c r="DS189" s="353"/>
      <c r="DT189" s="353"/>
      <c r="DU189" s="353"/>
      <c r="DV189" s="353"/>
      <c r="DW189" s="353"/>
      <c r="DX189" s="353"/>
      <c r="DY189" s="353"/>
      <c r="DZ189" s="353"/>
      <c r="EA189" s="353"/>
      <c r="EB189" s="353"/>
      <c r="EC189" s="353"/>
      <c r="ED189" s="353"/>
      <c r="EE189" s="353"/>
      <c r="EF189" s="353"/>
      <c r="EG189" s="353"/>
      <c r="EH189" s="353"/>
      <c r="EI189" s="353"/>
      <c r="EJ189" s="353"/>
      <c r="EK189" s="353"/>
      <c r="EL189" s="353"/>
      <c r="EM189" s="353"/>
      <c r="EN189" s="353"/>
      <c r="EO189" s="353"/>
      <c r="EP189" s="353"/>
      <c r="EQ189" s="353"/>
      <c r="ER189" s="353"/>
      <c r="ES189" s="353"/>
      <c r="ET189" s="353"/>
      <c r="EU189" s="353"/>
      <c r="EV189" s="353"/>
      <c r="EW189" s="353"/>
      <c r="EX189" s="353"/>
      <c r="EY189" s="353"/>
      <c r="EZ189" s="353"/>
      <c r="FA189" s="353"/>
      <c r="FB189" s="353"/>
      <c r="FC189" s="353"/>
      <c r="FD189" s="353"/>
      <c r="FE189" s="353"/>
      <c r="FF189" s="353"/>
      <c r="FG189" s="353"/>
      <c r="FH189" s="353"/>
      <c r="FI189" s="353"/>
      <c r="FJ189" s="353"/>
      <c r="FK189" s="353"/>
      <c r="FL189" s="353"/>
      <c r="FM189" s="353"/>
      <c r="FN189" s="353"/>
      <c r="FO189" s="353"/>
      <c r="FP189" s="353"/>
      <c r="FQ189" s="353"/>
    </row>
    <row r="190" spans="1:173" s="351" customFormat="1" hidden="1">
      <c r="A190" s="430" t="s">
        <v>48</v>
      </c>
      <c r="B190" s="351">
        <v>2021</v>
      </c>
      <c r="C190" s="411" t="s">
        <v>47</v>
      </c>
      <c r="F190" s="370"/>
      <c r="G190" s="435"/>
      <c r="H190" s="412">
        <f>'RGGI - Invest Amort deferred'!AI136</f>
        <v>0</v>
      </c>
      <c r="I190" s="412">
        <f>'RGGI - Invest Amort deferred'!AI136</f>
        <v>0</v>
      </c>
      <c r="J190" s="413">
        <f>'RGGI - Invest Amort deferred'!BL136</f>
        <v>0</v>
      </c>
      <c r="K190" s="435"/>
      <c r="L190" s="414">
        <f>'RGGI II Invest Amort Def'!AI124</f>
        <v>0</v>
      </c>
      <c r="M190" s="414">
        <f>'RGGI II Invest Amort Def'!AI124</f>
        <v>0</v>
      </c>
      <c r="N190" s="413">
        <f>'RGGI II Invest Amort Def'!BK124</f>
        <v>0</v>
      </c>
      <c r="O190" s="435"/>
      <c r="P190" s="425">
        <f>'2013 program Invest Amort Def'!AY103</f>
        <v>0</v>
      </c>
      <c r="Q190" s="425">
        <f>'2013 program Invest Amort Def'!AY103</f>
        <v>0</v>
      </c>
      <c r="R190" s="425">
        <f>'2013 program Invest Amort Def'!CQ103</f>
        <v>0</v>
      </c>
      <c r="S190" s="373">
        <f t="shared" si="200"/>
        <v>0</v>
      </c>
      <c r="T190" s="435"/>
      <c r="U190" s="414">
        <f>'2015 Program Invest Amort Def'!BT78</f>
        <v>580469.99999999721</v>
      </c>
      <c r="V190" s="414">
        <f>'2015 Program Invest Amort Def'!BT78</f>
        <v>580469.99999999721</v>
      </c>
      <c r="W190" s="414">
        <f>'2015 Program Invest Amort Def'!EG78</f>
        <v>-163170.11700000006</v>
      </c>
      <c r="X190" s="397">
        <f t="shared" si="201"/>
        <v>417299.88299999712</v>
      </c>
      <c r="Y190" s="435"/>
      <c r="Z190" s="481">
        <f>'Schedule NJNG-3 - Page 3'!N$107</f>
        <v>19255310.630000003</v>
      </c>
      <c r="AA190" s="480">
        <v>1.6E-2</v>
      </c>
      <c r="AB190" s="482">
        <f t="shared" si="202"/>
        <v>308084.97008000006</v>
      </c>
      <c r="AO190" s="383">
        <f>'RGGI - Invest Amort deferred'!AG136+'RGGI CHP'!V91</f>
        <v>0</v>
      </c>
      <c r="AQ190" s="424">
        <f>(H190+J190)*'Capital Structure '!$F$21/12</f>
        <v>0</v>
      </c>
      <c r="AR190" s="424">
        <f>(H190+J190)*'Capital Structure '!$E$34/12</f>
        <v>0</v>
      </c>
      <c r="AS190" s="424">
        <f>(H190+J190)*'Capital Structure '!$F$18/12</f>
        <v>0</v>
      </c>
      <c r="AT190" s="424">
        <f>'RGGI - On-bill financing'!J133*'Capital Structure '!$P$34/12</f>
        <v>85.908343328972819</v>
      </c>
      <c r="AU190" s="424">
        <f>'RGGI - On-bill financing'!J133*('Capital Structure '!$F$18+'Capital Structure '!$F$21)/12</f>
        <v>332.89707899511296</v>
      </c>
      <c r="AV190" s="440">
        <f t="shared" si="203"/>
        <v>418.80542232408578</v>
      </c>
      <c r="AX190" s="415">
        <v>0</v>
      </c>
      <c r="AY190" s="441">
        <f t="shared" si="204"/>
        <v>418.80542232408578</v>
      </c>
      <c r="BA190" s="424">
        <f>'RGGI II Invest Amort Def'!AG124</f>
        <v>0</v>
      </c>
      <c r="BC190" s="424">
        <f>(L190+N190)*'Capital Structure '!$H$21/12</f>
        <v>0</v>
      </c>
      <c r="BD190" s="424">
        <f>(L190+N190)*'Capital Structure '!$W$34/12</f>
        <v>0</v>
      </c>
      <c r="BE190" s="424">
        <f>(L190+N190)*'Capital Structure '!$H$18/12</f>
        <v>0</v>
      </c>
      <c r="BF190" s="424">
        <f>'RGGI II On Bill Fin''g'!L121*'Capital Structure '!$W$34/12</f>
        <v>1635.6719274188711</v>
      </c>
      <c r="BG190" s="424">
        <f>'RGGI II On Bill Fin''g'!L121*('Capital Structure '!$H$18+'Capital Structure '!$H$21)/12</f>
        <v>5630.2871351105196</v>
      </c>
      <c r="BH190" s="440">
        <f t="shared" si="205"/>
        <v>7265.9590625293904</v>
      </c>
      <c r="BJ190" s="442">
        <v>0</v>
      </c>
      <c r="BK190" s="441">
        <f t="shared" si="206"/>
        <v>7265.9590625293904</v>
      </c>
      <c r="BM190" s="424">
        <f>'2013 program Invest Amort Def'!AW103</f>
        <v>0</v>
      </c>
      <c r="BN190" s="444"/>
      <c r="BO190" s="424">
        <f>(S190)*'Capital Structure '!$J$21/12</f>
        <v>0</v>
      </c>
      <c r="BP190" s="424">
        <f>(S190)*'Capital Structure '!$V$34/12</f>
        <v>0</v>
      </c>
      <c r="BQ190" s="424">
        <f>(S190)*'Capital Structure '!$J$18/12</f>
        <v>0</v>
      </c>
      <c r="BR190" s="424">
        <f>('2013 program 10 yr On Bill Fin'!M103+'2013 program 5 yr On Bill Fin'!L101+'2013 program 2 yr On Bill Fin'!M91)*'Capital Structure '!$V$34/12</f>
        <v>15564.993572565074</v>
      </c>
      <c r="BS190" s="424">
        <f>('2013 program 10 yr On Bill Fin'!M103+'2013 program 5 yr On Bill Fin'!L101+'2013 program 2 yr On Bill Fin'!M91)*('Capital Structure '!$J$18+'Capital Structure '!$J$21)/12</f>
        <v>52658.452447499985</v>
      </c>
      <c r="BT190" s="441">
        <f t="shared" si="207"/>
        <v>68223.446020065065</v>
      </c>
      <c r="BV190" s="443">
        <v>0</v>
      </c>
      <c r="BW190" s="441">
        <f t="shared" si="208"/>
        <v>68223.446020065065</v>
      </c>
      <c r="BY190" s="424">
        <f>'2015 Program Invest Amort Def'!BR78</f>
        <v>47513.33333333335</v>
      </c>
      <c r="CA190" s="424">
        <f>X190*'Capital Structure '!$R$21/12</f>
        <v>613.11639950315339</v>
      </c>
      <c r="CB190" s="412">
        <f>(X190)*'Capital Structure '!$R$34/12</f>
        <v>704.89490543999534</v>
      </c>
      <c r="CC190" s="424">
        <f>(X190)*'Capital Structure '!$R$18/12</f>
        <v>1802.7354945599875</v>
      </c>
      <c r="CD190" s="424">
        <f>('2015 Program 10-Year OBRP'!P78+'2015 Program 7-Year OBRP'!M78+'2015 Program 5-Year OBRP'!K78+'2015 Program 3-Year OBRP'!K78)*('Capital Structure '!$R$34/12)</f>
        <v>21489.789982139828</v>
      </c>
      <c r="CE190" s="424">
        <f>('2015 Program 10-Year OBRP'!P78+'2015 Program 7-Year OBRP'!M78+'2015 Program 5-Year OBRP'!K78+'2015 Program 3-Year OBRP'!K78)*(('Capital Structure '!$R$21/12)+('Capital Structure '!$R$18/12))</f>
        <v>73650.908001619857</v>
      </c>
      <c r="CF190" s="441">
        <f t="shared" si="209"/>
        <v>98261.444783262821</v>
      </c>
      <c r="CG190" s="379">
        <v>-11665.7</v>
      </c>
      <c r="CI190" s="444"/>
      <c r="CJ190" s="441">
        <f t="shared" si="210"/>
        <v>134109.07811659615</v>
      </c>
      <c r="CK190" s="431"/>
      <c r="CL190" s="441">
        <f>'2018 SUMMARY'!Q58</f>
        <v>443458.00834301714</v>
      </c>
      <c r="CM190" s="431"/>
      <c r="CN190" s="441">
        <f>'2018 SUMMARY'!S58</f>
        <v>36158.624242682657</v>
      </c>
      <c r="CO190" s="441">
        <f>'2018 SUMMARY'!T58</f>
        <v>41571.274291538539</v>
      </c>
      <c r="CP190" s="441">
        <f>'2018 SUMMARY'!U58</f>
        <v>106316.57448661349</v>
      </c>
      <c r="CQ190" s="441">
        <f>'2018 SUMMARY'!V58</f>
        <v>41057.269667153712</v>
      </c>
      <c r="CR190" s="441">
        <f>'2018 SUMMARY'!W58</f>
        <v>140713.57577558476</v>
      </c>
      <c r="CS190" s="441">
        <f t="shared" si="216"/>
        <v>365817.31846357312</v>
      </c>
      <c r="CT190" s="567">
        <v>-4154.88</v>
      </c>
      <c r="CU190" s="431"/>
      <c r="CV190" s="441">
        <v>645.23</v>
      </c>
      <c r="CW190" s="441">
        <f t="shared" si="211"/>
        <v>805765.67680659029</v>
      </c>
      <c r="CY190" s="412">
        <f t="shared" si="217"/>
        <v>707697.99534810497</v>
      </c>
      <c r="CZ190" s="412">
        <f t="shared" si="212"/>
        <v>-929797.79433700605</v>
      </c>
      <c r="DA190" s="412">
        <f t="shared" si="218"/>
        <v>-922813.67877674988</v>
      </c>
      <c r="DB190" s="417">
        <v>1.6999999999999999E-3</v>
      </c>
      <c r="DC190" s="432">
        <f t="shared" si="213"/>
        <v>-130.73193782670623</v>
      </c>
      <c r="DE190" s="420"/>
      <c r="DF190" s="420"/>
      <c r="DG190" s="420">
        <f t="shared" si="214"/>
        <v>6.9470958200000016E-2</v>
      </c>
      <c r="DH190" s="420">
        <f t="shared" si="215"/>
        <v>8.974112651269997E-2</v>
      </c>
      <c r="DI190" s="353"/>
      <c r="DJ190" s="353"/>
      <c r="DK190" s="353"/>
      <c r="DL190" s="353"/>
      <c r="DM190" s="353"/>
      <c r="DN190" s="353"/>
      <c r="DO190" s="353"/>
      <c r="DP190" s="353"/>
      <c r="DQ190" s="353"/>
      <c r="DR190" s="353"/>
      <c r="DS190" s="353"/>
      <c r="DT190" s="353"/>
      <c r="DU190" s="353"/>
      <c r="DV190" s="353"/>
      <c r="DW190" s="353"/>
      <c r="DX190" s="353"/>
      <c r="DY190" s="353"/>
      <c r="DZ190" s="353"/>
      <c r="EA190" s="353"/>
      <c r="EB190" s="353"/>
      <c r="EC190" s="353"/>
      <c r="ED190" s="353"/>
      <c r="EE190" s="353"/>
      <c r="EF190" s="353"/>
      <c r="EG190" s="353"/>
      <c r="EH190" s="353"/>
      <c r="EI190" s="353"/>
      <c r="EJ190" s="353"/>
      <c r="EK190" s="353"/>
      <c r="EL190" s="353"/>
      <c r="EM190" s="353"/>
      <c r="EN190" s="353"/>
      <c r="EO190" s="353"/>
      <c r="EP190" s="353"/>
      <c r="EQ190" s="353"/>
      <c r="ER190" s="353"/>
      <c r="ES190" s="353"/>
      <c r="ET190" s="353"/>
      <c r="EU190" s="353"/>
      <c r="EV190" s="353"/>
      <c r="EW190" s="353"/>
      <c r="EX190" s="353"/>
      <c r="EY190" s="353"/>
      <c r="EZ190" s="353"/>
      <c r="FA190" s="353"/>
      <c r="FB190" s="353"/>
      <c r="FC190" s="353"/>
      <c r="FD190" s="353"/>
      <c r="FE190" s="353"/>
      <c r="FF190" s="353"/>
      <c r="FG190" s="353"/>
      <c r="FH190" s="353"/>
      <c r="FI190" s="353"/>
      <c r="FJ190" s="353"/>
      <c r="FK190" s="353"/>
      <c r="FL190" s="353"/>
      <c r="FM190" s="353"/>
      <c r="FN190" s="353"/>
      <c r="FO190" s="353"/>
      <c r="FP190" s="353"/>
      <c r="FQ190" s="353"/>
    </row>
    <row r="191" spans="1:173" s="351" customFormat="1" hidden="1">
      <c r="F191" s="370"/>
      <c r="G191" s="435"/>
      <c r="H191" s="435"/>
      <c r="I191" s="435"/>
      <c r="J191" s="435"/>
      <c r="K191" s="435"/>
      <c r="L191" s="435"/>
      <c r="M191" s="435"/>
      <c r="N191" s="435"/>
      <c r="O191" s="435"/>
      <c r="P191" s="435"/>
      <c r="Q191" s="435"/>
      <c r="R191" s="435"/>
      <c r="S191" s="435"/>
      <c r="T191" s="435"/>
      <c r="U191" s="435"/>
      <c r="V191" s="435"/>
      <c r="W191" s="435"/>
      <c r="X191" s="435"/>
      <c r="Y191" s="435"/>
      <c r="Z191" s="397">
        <f>SUM(Z179:Z190)</f>
        <v>699985458.38</v>
      </c>
      <c r="AA191" s="435"/>
      <c r="AB191" s="390">
        <f>SUM(AB179:AB190)</f>
        <v>11199767.334079999</v>
      </c>
      <c r="AO191" s="390">
        <f>SUM(AO179:AO190)</f>
        <v>0</v>
      </c>
      <c r="AQ191" s="384">
        <f t="shared" ref="AQ191:AV191" si="220">SUM(AQ179:AQ190)</f>
        <v>0</v>
      </c>
      <c r="AR191" s="384">
        <f t="shared" si="220"/>
        <v>0</v>
      </c>
      <c r="AS191" s="384">
        <f t="shared" si="220"/>
        <v>0</v>
      </c>
      <c r="AT191" s="384">
        <f t="shared" si="220"/>
        <v>3554.9881913901554</v>
      </c>
      <c r="AU191" s="384">
        <f t="shared" si="220"/>
        <v>13775.672291154311</v>
      </c>
      <c r="AV191" s="390">
        <f t="shared" si="220"/>
        <v>17330.660482544474</v>
      </c>
      <c r="AX191" s="390">
        <f>SUM(AX179:AX190)</f>
        <v>0</v>
      </c>
      <c r="AY191" s="390">
        <f>SUM(AY179:AY190)</f>
        <v>17330.660482544474</v>
      </c>
      <c r="BA191" s="384">
        <f>SUM(BA179:BA190)</f>
        <v>0</v>
      </c>
      <c r="BC191" s="384">
        <f t="shared" ref="BC191:BH191" si="221">SUM(BC179:BC190)</f>
        <v>0</v>
      </c>
      <c r="BD191" s="384">
        <f t="shared" si="221"/>
        <v>0</v>
      </c>
      <c r="BE191" s="384">
        <f t="shared" si="221"/>
        <v>0</v>
      </c>
      <c r="BF191" s="384">
        <f t="shared" si="221"/>
        <v>28376.873771187205</v>
      </c>
      <c r="BG191" s="384">
        <f t="shared" si="221"/>
        <v>97678.479804132337</v>
      </c>
      <c r="BH191" s="390">
        <f t="shared" si="221"/>
        <v>126055.35357531953</v>
      </c>
      <c r="BJ191" s="445">
        <f>SUM(BJ179:BJ190)</f>
        <v>0</v>
      </c>
      <c r="BK191" s="390">
        <f>SUM(BK179:BK190)</f>
        <v>126055.35357531953</v>
      </c>
      <c r="BM191" s="384">
        <f>SUM(BM179:BM190)</f>
        <v>30925.200000000001</v>
      </c>
      <c r="BO191" s="384">
        <f t="shared" ref="BO191:BT191" si="222">SUM(BO179:BO190)</f>
        <v>20.673988410825917</v>
      </c>
      <c r="BP191" s="384">
        <f t="shared" si="222"/>
        <v>25.03872013999101</v>
      </c>
      <c r="BQ191" s="384">
        <f t="shared" si="222"/>
        <v>64.764470882196207</v>
      </c>
      <c r="BR191" s="384">
        <f t="shared" si="222"/>
        <v>223329.74656080763</v>
      </c>
      <c r="BS191" s="384">
        <f t="shared" si="222"/>
        <v>755554.36528500007</v>
      </c>
      <c r="BT191" s="390">
        <f t="shared" si="222"/>
        <v>978994.58902524074</v>
      </c>
      <c r="BV191" s="446">
        <f>SUM(BV179:BV190)</f>
        <v>0</v>
      </c>
      <c r="BW191" s="390">
        <f>SUM(BW179:BW190)</f>
        <v>1009919.7890252408</v>
      </c>
      <c r="BY191" s="384">
        <f>SUM(BY179:BY190)</f>
        <v>903959.6161666665</v>
      </c>
      <c r="CA191" s="384">
        <f t="shared" ref="CA191:CG191" si="223">SUM(CA179:CA190)</f>
        <v>11722.009877077046</v>
      </c>
      <c r="CB191" s="384">
        <f t="shared" si="223"/>
        <v>13476.69879743025</v>
      </c>
      <c r="CC191" s="384">
        <f t="shared" si="223"/>
        <v>34466.021933378186</v>
      </c>
      <c r="CD191" s="384">
        <f t="shared" si="223"/>
        <v>308944.3941894577</v>
      </c>
      <c r="CE191" s="384">
        <f t="shared" si="223"/>
        <v>1058830.0384961795</v>
      </c>
      <c r="CF191" s="384">
        <f t="shared" si="223"/>
        <v>1427439.1632935228</v>
      </c>
      <c r="CG191" s="384">
        <f t="shared" si="223"/>
        <v>-159035.95000000001</v>
      </c>
      <c r="CI191" s="384">
        <f>SUM(CI179:CI190)</f>
        <v>0</v>
      </c>
      <c r="CJ191" s="384">
        <f>SUM(CJ179:CJ190)</f>
        <v>2172362.8294601892</v>
      </c>
      <c r="CK191" s="384"/>
      <c r="CL191" s="384">
        <f>SUM(CL179:CL190)</f>
        <v>4068969.9405814917</v>
      </c>
      <c r="CM191" s="384"/>
      <c r="CN191" s="384">
        <f t="shared" ref="CN191:CT191" si="224">SUM(CN179:CN190)</f>
        <v>339452.04614378145</v>
      </c>
      <c r="CO191" s="384">
        <f t="shared" si="224"/>
        <v>390265.23864283471</v>
      </c>
      <c r="CP191" s="384">
        <f t="shared" si="224"/>
        <v>998084.95218902128</v>
      </c>
      <c r="CQ191" s="384">
        <f t="shared" si="224"/>
        <v>443868.92877145309</v>
      </c>
      <c r="CR191" s="384">
        <f t="shared" si="224"/>
        <v>1521250.3083973199</v>
      </c>
      <c r="CS191" s="384">
        <f t="shared" si="224"/>
        <v>3692921.4741444103</v>
      </c>
      <c r="CT191" s="384">
        <f t="shared" si="224"/>
        <v>-46967.299999999996</v>
      </c>
      <c r="CU191" s="384"/>
      <c r="CV191" s="384">
        <f>SUM(CV179:CV190)</f>
        <v>523018.23</v>
      </c>
      <c r="CW191" s="384">
        <f>SUM(CW179:CW190)</f>
        <v>8237942.3447259022</v>
      </c>
      <c r="DC191" s="384">
        <f>SUM(DC179:DC190)</f>
        <v>-3129.3830010740908</v>
      </c>
      <c r="DE191" s="420"/>
      <c r="DF191" s="420"/>
      <c r="DG191" s="420"/>
      <c r="DH191" s="420"/>
      <c r="DI191" s="353"/>
      <c r="DJ191" s="353"/>
      <c r="DK191" s="353"/>
      <c r="DL191" s="353"/>
      <c r="DM191" s="353"/>
      <c r="DN191" s="353"/>
      <c r="DO191" s="353"/>
      <c r="DP191" s="353"/>
      <c r="DQ191" s="353"/>
      <c r="DR191" s="353"/>
      <c r="DS191" s="353"/>
      <c r="DT191" s="353"/>
      <c r="DU191" s="353"/>
      <c r="DV191" s="353"/>
      <c r="DW191" s="353"/>
      <c r="DX191" s="353"/>
      <c r="DY191" s="353"/>
      <c r="DZ191" s="353"/>
      <c r="EA191" s="353"/>
      <c r="EB191" s="353"/>
      <c r="EC191" s="353"/>
      <c r="ED191" s="353"/>
      <c r="EE191" s="353"/>
      <c r="EF191" s="353"/>
      <c r="EG191" s="353"/>
      <c r="EH191" s="353"/>
      <c r="EI191" s="353"/>
      <c r="EJ191" s="353"/>
      <c r="EK191" s="353"/>
      <c r="EL191" s="353"/>
      <c r="EM191" s="353"/>
      <c r="EN191" s="353"/>
      <c r="EO191" s="353"/>
      <c r="EP191" s="353"/>
      <c r="EQ191" s="353"/>
      <c r="ER191" s="353"/>
      <c r="ES191" s="353"/>
      <c r="ET191" s="353"/>
      <c r="EU191" s="353"/>
      <c r="EV191" s="353"/>
      <c r="EW191" s="353"/>
      <c r="EX191" s="353"/>
      <c r="EY191" s="353"/>
      <c r="EZ191" s="353"/>
      <c r="FA191" s="353"/>
      <c r="FB191" s="353"/>
      <c r="FC191" s="353"/>
      <c r="FD191" s="353"/>
      <c r="FE191" s="353"/>
      <c r="FF191" s="353"/>
      <c r="FG191" s="353"/>
      <c r="FH191" s="353"/>
      <c r="FI191" s="353"/>
      <c r="FJ191" s="353"/>
      <c r="FK191" s="353"/>
      <c r="FL191" s="353"/>
      <c r="FM191" s="353"/>
      <c r="FN191" s="353"/>
      <c r="FO191" s="353"/>
      <c r="FP191" s="353"/>
      <c r="FQ191" s="353"/>
    </row>
    <row r="192" spans="1:173" s="351" customFormat="1" hidden="1">
      <c r="F192" s="370"/>
      <c r="G192" s="435"/>
      <c r="H192" s="435"/>
      <c r="I192" s="435"/>
      <c r="J192" s="435"/>
      <c r="K192" s="435"/>
      <c r="L192" s="435"/>
      <c r="M192" s="435"/>
      <c r="N192" s="435"/>
      <c r="O192" s="435"/>
      <c r="P192" s="435"/>
      <c r="Q192" s="435"/>
      <c r="R192" s="435"/>
      <c r="S192" s="435"/>
      <c r="T192" s="435"/>
      <c r="U192" s="435"/>
      <c r="V192" s="435"/>
      <c r="W192" s="435"/>
      <c r="X192" s="435"/>
      <c r="Y192" s="435"/>
      <c r="Z192" s="435"/>
      <c r="AA192" s="435"/>
      <c r="DE192" s="353"/>
      <c r="DF192" s="353"/>
      <c r="DG192" s="353"/>
      <c r="DH192" s="353"/>
      <c r="DI192" s="353"/>
      <c r="DJ192" s="353"/>
      <c r="DK192" s="353"/>
      <c r="DL192" s="353"/>
      <c r="DM192" s="353"/>
      <c r="DN192" s="353"/>
      <c r="DO192" s="353"/>
      <c r="DP192" s="353"/>
      <c r="DQ192" s="353"/>
      <c r="DR192" s="353"/>
      <c r="DS192" s="353"/>
      <c r="DT192" s="353"/>
      <c r="DU192" s="353"/>
      <c r="DV192" s="353"/>
      <c r="DW192" s="353"/>
      <c r="DX192" s="353"/>
      <c r="DY192" s="353"/>
      <c r="DZ192" s="353"/>
      <c r="EA192" s="353"/>
      <c r="EB192" s="353"/>
      <c r="EC192" s="353"/>
      <c r="ED192" s="353"/>
      <c r="EE192" s="353"/>
      <c r="EF192" s="353"/>
      <c r="EG192" s="353"/>
      <c r="EH192" s="353"/>
      <c r="EI192" s="353"/>
      <c r="EJ192" s="353"/>
      <c r="EK192" s="353"/>
      <c r="EL192" s="353"/>
      <c r="EM192" s="353"/>
      <c r="EN192" s="353"/>
      <c r="EO192" s="353"/>
      <c r="EP192" s="353"/>
      <c r="EQ192" s="353"/>
      <c r="ER192" s="353"/>
      <c r="ES192" s="353"/>
      <c r="ET192" s="353"/>
      <c r="EU192" s="353"/>
      <c r="EV192" s="353"/>
      <c r="EW192" s="353"/>
      <c r="EX192" s="353"/>
      <c r="EY192" s="353"/>
      <c r="EZ192" s="353"/>
      <c r="FA192" s="353"/>
      <c r="FB192" s="353"/>
      <c r="FC192" s="353"/>
      <c r="FD192" s="353"/>
      <c r="FE192" s="353"/>
      <c r="FF192" s="353"/>
      <c r="FG192" s="353"/>
      <c r="FH192" s="353"/>
      <c r="FI192" s="353"/>
      <c r="FJ192" s="353"/>
      <c r="FK192" s="353"/>
      <c r="FL192" s="353"/>
      <c r="FM192" s="353"/>
      <c r="FN192" s="353"/>
      <c r="FO192" s="353"/>
      <c r="FP192" s="353"/>
      <c r="FQ192" s="353"/>
    </row>
    <row r="193" spans="1:173" s="351" customFormat="1" hidden="1">
      <c r="F193" s="370"/>
      <c r="G193" s="435"/>
      <c r="H193" s="435"/>
      <c r="I193" s="435"/>
      <c r="J193" s="435"/>
      <c r="K193" s="435"/>
      <c r="L193" s="435"/>
      <c r="M193" s="435"/>
      <c r="N193" s="435"/>
      <c r="O193" s="435"/>
      <c r="P193" s="435"/>
      <c r="Q193" s="435"/>
      <c r="R193" s="435"/>
      <c r="S193" s="435"/>
      <c r="T193" s="435"/>
      <c r="U193" s="435"/>
      <c r="V193" s="435"/>
      <c r="W193" s="435"/>
      <c r="X193" s="435"/>
      <c r="Y193" s="435"/>
      <c r="Z193" s="435"/>
      <c r="AA193" s="435"/>
      <c r="CZ193" s="384">
        <f>CZ190+DC191</f>
        <v>-932927.17733808013</v>
      </c>
      <c r="DE193" s="353"/>
      <c r="DF193" s="353"/>
      <c r="DG193" s="353"/>
      <c r="DH193" s="353"/>
      <c r="DI193" s="353"/>
      <c r="DJ193" s="353"/>
      <c r="DK193" s="353"/>
      <c r="DL193" s="353"/>
      <c r="DM193" s="353"/>
      <c r="DN193" s="353"/>
      <c r="DO193" s="353"/>
      <c r="DP193" s="353"/>
      <c r="DQ193" s="353"/>
      <c r="DR193" s="353"/>
      <c r="DS193" s="353"/>
      <c r="DT193" s="353"/>
      <c r="DU193" s="353"/>
      <c r="DV193" s="353"/>
      <c r="DW193" s="353"/>
      <c r="DX193" s="353"/>
      <c r="DY193" s="353"/>
      <c r="DZ193" s="353"/>
      <c r="EA193" s="353"/>
      <c r="EB193" s="353"/>
      <c r="EC193" s="353"/>
      <c r="ED193" s="353"/>
      <c r="EE193" s="353"/>
      <c r="EF193" s="353"/>
      <c r="EG193" s="353"/>
      <c r="EH193" s="353"/>
      <c r="EI193" s="353"/>
      <c r="EJ193" s="353"/>
      <c r="EK193" s="353"/>
      <c r="EL193" s="353"/>
      <c r="EM193" s="353"/>
      <c r="EN193" s="353"/>
      <c r="EO193" s="353"/>
      <c r="EP193" s="353"/>
      <c r="EQ193" s="353"/>
      <c r="ER193" s="353"/>
      <c r="ES193" s="353"/>
      <c r="ET193" s="353"/>
      <c r="EU193" s="353"/>
      <c r="EV193" s="353"/>
      <c r="EW193" s="353"/>
      <c r="EX193" s="353"/>
      <c r="EY193" s="353"/>
      <c r="EZ193" s="353"/>
      <c r="FA193" s="353"/>
      <c r="FB193" s="353"/>
      <c r="FC193" s="353"/>
      <c r="FD193" s="353"/>
      <c r="FE193" s="353"/>
      <c r="FF193" s="353"/>
      <c r="FG193" s="353"/>
      <c r="FH193" s="353"/>
      <c r="FI193" s="353"/>
      <c r="FJ193" s="353"/>
      <c r="FK193" s="353"/>
      <c r="FL193" s="353"/>
      <c r="FM193" s="353"/>
      <c r="FN193" s="353"/>
      <c r="FO193" s="353"/>
      <c r="FP193" s="353"/>
      <c r="FQ193" s="353"/>
    </row>
    <row r="194" spans="1:173" s="351" customFormat="1">
      <c r="A194" s="430" t="s">
        <v>50</v>
      </c>
      <c r="B194" s="351">
        <v>2021</v>
      </c>
      <c r="C194" s="411" t="s">
        <v>47</v>
      </c>
      <c r="F194" s="370"/>
      <c r="G194" s="435"/>
      <c r="H194" s="435"/>
      <c r="I194" s="435"/>
      <c r="J194" s="435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14">
        <f>'2015 Program Invest Amort Def'!BT79</f>
        <v>535613.33333333023</v>
      </c>
      <c r="V194" s="414">
        <f>'2015 Program Invest Amort Def'!BT79</f>
        <v>535613.33333333023</v>
      </c>
      <c r="W194" s="414">
        <f>'2015 Program Invest Amort Def'!EG79</f>
        <v>-150560.90800000005</v>
      </c>
      <c r="X194" s="397">
        <f t="shared" ref="X194" si="225">U194+W194</f>
        <v>385052.42533333017</v>
      </c>
      <c r="Y194" s="435"/>
      <c r="Z194" s="394">
        <f>'Schedule NJNG-3 - Page 3'!C$133</f>
        <v>24609888.789999999</v>
      </c>
      <c r="AA194" s="480">
        <f>'Schedule NJNG-3 - Page 2'!E78</f>
        <v>1.6E-2</v>
      </c>
      <c r="AB194" s="439">
        <f t="shared" ref="AB194" si="226">+Z194*AA194</f>
        <v>393758.22064000001</v>
      </c>
      <c r="AO194" s="372">
        <f>'RGGI - Invest Amort deferred'!AG140+'RGGI CHP'!V92</f>
        <v>0</v>
      </c>
      <c r="AP194" s="353"/>
      <c r="AQ194" s="412">
        <f>(H191+J191)*'Capital Structure '!$F$21/12</f>
        <v>0</v>
      </c>
      <c r="AR194" s="412">
        <f>(H191+J191)*'Capital Structure '!$E$34/12</f>
        <v>0</v>
      </c>
      <c r="AS194" s="412">
        <f>(H191+J191)*'Capital Structure '!$F$18/12</f>
        <v>0</v>
      </c>
      <c r="AT194" s="412">
        <f>'RGGI - On-bill financing'!J134*'Capital Structure '!$P$34/12</f>
        <v>59.536954453747036</v>
      </c>
      <c r="AU194" s="412">
        <f>'RGGI - On-bill financing'!J134*('Capital Structure '!$F$18+'Capital Structure '!$F$21)/12</f>
        <v>230.70725684955946</v>
      </c>
      <c r="AV194" s="415">
        <f t="shared" ref="AV194" si="227">SUM(AQ194:AU194)</f>
        <v>290.24421130330649</v>
      </c>
      <c r="AW194" s="353"/>
      <c r="AX194" s="415">
        <v>0</v>
      </c>
      <c r="AY194" s="431">
        <f t="shared" ref="AY194" si="228">+AX194+AV194+AO194</f>
        <v>290.24421130330649</v>
      </c>
      <c r="BA194" s="412">
        <f>'RGGI II Invest Amort Def'!AG125</f>
        <v>0</v>
      </c>
      <c r="BB194" s="353"/>
      <c r="BC194" s="412">
        <f>(L194+N194)*'Capital Structure '!$H$21/12</f>
        <v>0</v>
      </c>
      <c r="BD194" s="412">
        <f>(L194+N194)*'Capital Structure '!$W$34/12</f>
        <v>0</v>
      </c>
      <c r="BE194" s="412">
        <f>(L194+N194)*'Capital Structure '!$H$18/12</f>
        <v>0</v>
      </c>
      <c r="BF194" s="412">
        <f>'RGGI II On Bill Fin''g'!L122*'Capital Structure '!$W$34/12</f>
        <v>1527.0195583689326</v>
      </c>
      <c r="BG194" s="412">
        <f>'RGGI II On Bill Fin''g'!L122*('Capital Structure '!$H$18+'Capital Structure '!$H$21)/12</f>
        <v>5256.285463133122</v>
      </c>
      <c r="BH194" s="415">
        <f t="shared" ref="BH194" si="229">SUM(BC194:BG194)</f>
        <v>6783.3050215020548</v>
      </c>
      <c r="BI194" s="353"/>
      <c r="BJ194" s="437">
        <v>0</v>
      </c>
      <c r="BK194" s="431">
        <f t="shared" ref="BK194" si="230">+BJ194+BH194+BA194</f>
        <v>6783.3050215020548</v>
      </c>
      <c r="BM194" s="412">
        <f>'2013 program Invest Amort Def'!AW104</f>
        <v>0</v>
      </c>
      <c r="BN194" s="353"/>
      <c r="BO194" s="412">
        <f>(S194)*'Capital Structure '!$J$21/12</f>
        <v>0</v>
      </c>
      <c r="BP194" s="412">
        <f>(S194)*'Capital Structure '!$V$34/12</f>
        <v>0</v>
      </c>
      <c r="BQ194" s="412">
        <f>(S194)*'Capital Structure '!$J$18/12</f>
        <v>0</v>
      </c>
      <c r="BR194" s="412">
        <f>('2013 program 10 yr On Bill Fin'!M104+'2013 program 5 yr On Bill Fin'!L102+'2013 program 2 yr On Bill Fin'!M92)*'Capital Structure '!$V$34/12</f>
        <v>15071.837160048619</v>
      </c>
      <c r="BS194" s="412">
        <f>('2013 program 10 yr On Bill Fin'!M104+'2013 program 5 yr On Bill Fin'!L102+'2013 program 2 yr On Bill Fin'!M92)*('Capital Structure '!$J$18+'Capital Structure '!$J$21)/12</f>
        <v>50990.038427499974</v>
      </c>
      <c r="BT194" s="431">
        <f t="shared" ref="BT194" si="231">SUM(BO194:BS194)</f>
        <v>66061.875587548595</v>
      </c>
      <c r="BU194" s="353"/>
      <c r="BV194" s="438">
        <v>0</v>
      </c>
      <c r="BW194" s="431">
        <f t="shared" ref="BW194" si="232">+BV194+BT194+BM194</f>
        <v>66061.875587548595</v>
      </c>
      <c r="BY194" s="412">
        <f>'2015 Program Invest Amort Def'!BR79</f>
        <v>44856.666666666686</v>
      </c>
      <c r="BZ194" s="353"/>
      <c r="CA194" s="412">
        <f>X194*'Capital Structure '!$R$21/12</f>
        <v>565.73693465504709</v>
      </c>
      <c r="CB194" s="412">
        <f>(X194)*'Capital Structure '!$R$34/12</f>
        <v>650.42312255999479</v>
      </c>
      <c r="CC194" s="412">
        <f>(X194)*'Capital Structure '!$R$18/12</f>
        <v>1663.4264774399865</v>
      </c>
      <c r="CD194" s="412">
        <f>('2015 Program 10-Year OBRP'!P79+'2015 Program 7-Year OBRP'!M79+'2015 Program 5-Year OBRP'!K79+'2015 Program 3-Year OBRP'!K79)*('Capital Structure '!$R$34/12)</f>
        <v>20845.76582288897</v>
      </c>
      <c r="CE194" s="412">
        <f>('2015 Program 10-Year OBRP'!P79+'2015 Program 7-Year OBRP'!M79+'2015 Program 5-Year OBRP'!K79+'2015 Program 3-Year OBRP'!K79)*(('Capital Structure '!$R$21/12)+('Capital Structure '!$R$18/12))</f>
        <v>71443.675444055218</v>
      </c>
      <c r="CF194" s="431">
        <f t="shared" ref="CF194" si="233">SUM(CA194:CE194)</f>
        <v>95169.027801599208</v>
      </c>
      <c r="CG194" s="373">
        <f>-16899.69+148.56+1134.19+3682.21</f>
        <v>-11934.729999999996</v>
      </c>
      <c r="CH194" s="353"/>
      <c r="CI194" s="353"/>
      <c r="CJ194" s="431">
        <f t="shared" ref="CJ194" si="234">BY194+CF194+CG194+CI194</f>
        <v>128090.9644682659</v>
      </c>
      <c r="CL194" s="431">
        <f>'2018 SUMMARY'!Q59</f>
        <v>444716.40742638649</v>
      </c>
      <c r="CM194" s="431"/>
      <c r="CN194" s="431">
        <f>'2018 SUMMARY'!S59</f>
        <v>35336.865767108677</v>
      </c>
      <c r="CO194" s="431">
        <f>'2018 SUMMARY'!T59</f>
        <v>40626.505299217271</v>
      </c>
      <c r="CP194" s="431">
        <f>'2018 SUMMARY'!U59</f>
        <v>103900.3723216197</v>
      </c>
      <c r="CQ194" s="431">
        <f>'2018 SUMMARY'!V59</f>
        <v>40437.914573008333</v>
      </c>
      <c r="CR194" s="431">
        <f>'2018 SUMMARY'!W59</f>
        <v>138590.89030042902</v>
      </c>
      <c r="CS194" s="431">
        <f t="shared" ref="CS194" si="235">SUM(CN194:CR194)</f>
        <v>358892.54826138297</v>
      </c>
      <c r="CT194" s="562">
        <v>-4816.3999999999996</v>
      </c>
      <c r="CU194" s="431"/>
      <c r="CV194" s="431">
        <v>735</v>
      </c>
      <c r="CW194" s="431">
        <f t="shared" ref="CW194" si="236">CL194+SUM(CS194:CV194)</f>
        <v>799527.55568776943</v>
      </c>
      <c r="CY194" s="412">
        <f t="shared" ref="CY194" si="237">+BW194+BK194+AY194+CJ194+CW194-AB194</f>
        <v>606995.72433638922</v>
      </c>
      <c r="CZ194" s="412">
        <f t="shared" ref="CZ194" si="238">+CZ193+CY194</f>
        <v>-325931.45300169091</v>
      </c>
      <c r="DA194" s="412">
        <f t="shared" ref="DA194" si="239">(CZ193+CZ194)/2*(1-0.2811)</f>
        <v>-452496.73467563069</v>
      </c>
      <c r="DB194" s="417">
        <v>1.9E-3</v>
      </c>
      <c r="DC194" s="434">
        <f t="shared" ref="DC194" si="240">(DA194)*DB194/12</f>
        <v>-71.645316323641524</v>
      </c>
      <c r="DE194" s="353"/>
      <c r="DF194" s="353"/>
      <c r="DG194" s="420">
        <f t="shared" ref="DG194:DG205" si="241">(CA194+CC194)/(X194)*12</f>
        <v>6.9470958200000002E-2</v>
      </c>
      <c r="DH194" s="420">
        <f t="shared" ref="DH194:DH205" si="242">(CA194+CB194+CC194)/(X194)*12</f>
        <v>8.9741126512699956E-2</v>
      </c>
      <c r="DI194" s="353"/>
      <c r="DJ194" s="353"/>
      <c r="DK194" s="353"/>
      <c r="DL194" s="353"/>
      <c r="DM194" s="353"/>
      <c r="DN194" s="353"/>
      <c r="DO194" s="353"/>
      <c r="DP194" s="353"/>
      <c r="DQ194" s="353"/>
      <c r="DR194" s="353"/>
      <c r="DS194" s="353"/>
      <c r="DT194" s="353"/>
      <c r="DU194" s="353"/>
      <c r="DV194" s="353"/>
      <c r="DW194" s="353"/>
      <c r="DX194" s="353"/>
      <c r="DY194" s="353"/>
      <c r="DZ194" s="353"/>
      <c r="EA194" s="353"/>
      <c r="EB194" s="353"/>
      <c r="EC194" s="353"/>
      <c r="ED194" s="353"/>
      <c r="EE194" s="353"/>
      <c r="EF194" s="353"/>
      <c r="EG194" s="353"/>
      <c r="EH194" s="353"/>
      <c r="EI194" s="353"/>
      <c r="EJ194" s="353"/>
      <c r="EK194" s="353"/>
      <c r="EL194" s="353"/>
      <c r="EM194" s="353"/>
      <c r="EN194" s="353"/>
      <c r="EO194" s="353"/>
      <c r="EP194" s="353"/>
      <c r="EQ194" s="353"/>
      <c r="ER194" s="353"/>
      <c r="ES194" s="353"/>
      <c r="ET194" s="353"/>
      <c r="EU194" s="353"/>
      <c r="EV194" s="353"/>
      <c r="EW194" s="353"/>
      <c r="EX194" s="353"/>
      <c r="EY194" s="353"/>
      <c r="EZ194" s="353"/>
      <c r="FA194" s="353"/>
      <c r="FB194" s="353"/>
      <c r="FC194" s="353"/>
      <c r="FD194" s="353"/>
      <c r="FE194" s="353"/>
      <c r="FF194" s="353"/>
      <c r="FG194" s="353"/>
      <c r="FH194" s="353"/>
      <c r="FI194" s="353"/>
      <c r="FJ194" s="353"/>
      <c r="FK194" s="353"/>
      <c r="FL194" s="353"/>
      <c r="FM194" s="353"/>
      <c r="FN194" s="353"/>
      <c r="FO194" s="353"/>
      <c r="FP194" s="353"/>
      <c r="FQ194" s="353"/>
    </row>
    <row r="195" spans="1:173" s="351" customFormat="1">
      <c r="A195" s="430" t="s">
        <v>51</v>
      </c>
      <c r="B195" s="351">
        <v>2021</v>
      </c>
      <c r="C195" s="411" t="s">
        <v>47</v>
      </c>
      <c r="F195" s="370"/>
      <c r="G195" s="435"/>
      <c r="H195" s="435"/>
      <c r="I195" s="435"/>
      <c r="J195" s="435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14">
        <f>'2015 Program Invest Amort Def'!BT80</f>
        <v>493164.99999999721</v>
      </c>
      <c r="V195" s="414">
        <f>'2015 Program Invest Amort Def'!BT80</f>
        <v>493164.99999999721</v>
      </c>
      <c r="W195" s="414">
        <f>'2015 Program Invest Amort Def'!EG80</f>
        <v>-138628.68150000006</v>
      </c>
      <c r="X195" s="397">
        <f t="shared" ref="X195:X205" si="243">U195+W195</f>
        <v>354536.31849999714</v>
      </c>
      <c r="Y195" s="435"/>
      <c r="Z195" s="394">
        <f>'Schedule NJNG-3 - Page 3'!D$133</f>
        <v>71068270.569999993</v>
      </c>
      <c r="AA195" s="480">
        <f>'Schedule NJNG-3 - Page 2'!E79</f>
        <v>1.6E-2</v>
      </c>
      <c r="AB195" s="439">
        <f t="shared" ref="AB195:AB205" si="244">+Z195*AA195</f>
        <v>1137092.3291199999</v>
      </c>
      <c r="AO195" s="372">
        <f>'RGGI - Invest Amort deferred'!AG141+'RGGI CHP'!V93</f>
        <v>0</v>
      </c>
      <c r="AP195" s="353"/>
      <c r="AQ195" s="412">
        <f>(H192+J192)*'Capital Structure '!$F$21/12</f>
        <v>0</v>
      </c>
      <c r="AR195" s="412">
        <f>(H192+J192)*'Capital Structure '!$E$34/12</f>
        <v>0</v>
      </c>
      <c r="AS195" s="412">
        <f>(H192+J192)*'Capital Structure '!$F$18/12</f>
        <v>0</v>
      </c>
      <c r="AT195" s="412">
        <f>'RGGI - On-bill financing'!J135*'Capital Structure '!$P$34/12</f>
        <v>36.222874191123147</v>
      </c>
      <c r="AU195" s="412">
        <f>'RGGI - On-bill financing'!J135*('Capital Structure '!$F$18+'Capital Structure '!$F$21)/12</f>
        <v>140.36458560091458</v>
      </c>
      <c r="AV195" s="415">
        <f t="shared" ref="AV195:AV205" si="245">SUM(AQ195:AU195)</f>
        <v>176.58745979203772</v>
      </c>
      <c r="AW195" s="353"/>
      <c r="AX195" s="415">
        <v>0</v>
      </c>
      <c r="AY195" s="431">
        <f t="shared" ref="AY195:AY205" si="246">+AX195+AV195+AO195</f>
        <v>176.58745979203772</v>
      </c>
      <c r="BA195" s="412">
        <f>'RGGI II Invest Amort Def'!AG126</f>
        <v>0</v>
      </c>
      <c r="BB195" s="353"/>
      <c r="BC195" s="412">
        <f>(L195+N195)*'Capital Structure '!$H$21/12</f>
        <v>0</v>
      </c>
      <c r="BD195" s="412">
        <f>(L195+N195)*'Capital Structure '!$W$34/12</f>
        <v>0</v>
      </c>
      <c r="BE195" s="412">
        <f>(L195+N195)*'Capital Structure '!$H$18/12</f>
        <v>0</v>
      </c>
      <c r="BF195" s="412">
        <f>'RGGI II On Bill Fin''g'!L123*'Capital Structure '!$W$34/12</f>
        <v>1413.2283341013954</v>
      </c>
      <c r="BG195" s="412">
        <f>'RGGI II On Bill Fin''g'!L123*('Capital Structure '!$H$18+'Capital Structure '!$H$21)/12</f>
        <v>4864.5948952739573</v>
      </c>
      <c r="BH195" s="415">
        <f t="shared" ref="BH195:BH205" si="247">SUM(BC195:BG195)</f>
        <v>6277.8232293753526</v>
      </c>
      <c r="BI195" s="353"/>
      <c r="BJ195" s="437">
        <v>0</v>
      </c>
      <c r="BK195" s="431">
        <f t="shared" ref="BK195:BK205" si="248">+BJ195+BH195+BA195</f>
        <v>6277.8232293753526</v>
      </c>
      <c r="BM195" s="412">
        <f>'2013 program Invest Amort Def'!AW105</f>
        <v>0</v>
      </c>
      <c r="BN195" s="353"/>
      <c r="BO195" s="412">
        <f>(S195)*'Capital Structure '!$J$21/12</f>
        <v>0</v>
      </c>
      <c r="BP195" s="412">
        <f>(S195)*'Capital Structure '!$V$34/12</f>
        <v>0</v>
      </c>
      <c r="BQ195" s="412">
        <f>(S195)*'Capital Structure '!$J$18/12</f>
        <v>0</v>
      </c>
      <c r="BR195" s="412">
        <f>('2013 program 10 yr On Bill Fin'!M105+'2013 program 5 yr On Bill Fin'!L103+'2013 program 2 yr On Bill Fin'!M93)*'Capital Structure '!$V$34/12</f>
        <v>14576.10835723454</v>
      </c>
      <c r="BS195" s="412">
        <f>('2013 program 10 yr On Bill Fin'!M105+'2013 program 5 yr On Bill Fin'!L103+'2013 program 2 yr On Bill Fin'!M93)*('Capital Structure '!$J$18+'Capital Structure '!$J$21)/12</f>
        <v>49312.921667499984</v>
      </c>
      <c r="BT195" s="431">
        <f t="shared" ref="BT195:BT205" si="249">SUM(BO195:BS195)</f>
        <v>63889.030024734522</v>
      </c>
      <c r="BU195" s="353"/>
      <c r="BV195" s="438">
        <v>0</v>
      </c>
      <c r="BW195" s="431">
        <f t="shared" ref="BW195:BW205" si="250">+BV195+BT195+BM195</f>
        <v>63889.030024734522</v>
      </c>
      <c r="BY195" s="412">
        <f>'2015 Program Invest Amort Def'!BR80</f>
        <v>42448.333333333343</v>
      </c>
      <c r="BZ195" s="353"/>
      <c r="CA195" s="412">
        <f>X195*'Capital Structure '!$R$21/12</f>
        <v>520.90125098794476</v>
      </c>
      <c r="CB195" s="412">
        <f>(X195)*'Capital Structure '!$R$34/12</f>
        <v>598.87590407999528</v>
      </c>
      <c r="CC195" s="412">
        <f>(X195)*'Capital Structure '!$R$18/12</f>
        <v>1531.5968959199879</v>
      </c>
      <c r="CD195" s="412">
        <f>('2015 Program 10-Year OBRP'!P80+'2015 Program 7-Year OBRP'!M80+'2015 Program 5-Year OBRP'!K80+'2015 Program 3-Year OBRP'!K80)*('Capital Structure '!$R$34/12)</f>
        <v>20113.24445674603</v>
      </c>
      <c r="CE195" s="412">
        <f>('2015 Program 10-Year OBRP'!P80+'2015 Program 7-Year OBRP'!M80+'2015 Program 5-Year OBRP'!K80+'2015 Program 3-Year OBRP'!K80)*(('Capital Structure '!$R$21/12)+('Capital Structure '!$R$18/12))</f>
        <v>68933.14073004204</v>
      </c>
      <c r="CF195" s="431">
        <f t="shared" ref="CF195:CF196" si="251">SUM(CA195:CE195)</f>
        <v>91697.759237776001</v>
      </c>
      <c r="CG195" s="373">
        <f>-14374.45+69.17+827.39+3631.24</f>
        <v>-9846.6500000000015</v>
      </c>
      <c r="CH195" s="353"/>
      <c r="CI195" s="353"/>
      <c r="CJ195" s="431">
        <f t="shared" ref="CJ195:CJ196" si="252">BY195+CF195+CG195+CI195</f>
        <v>124299.44257110936</v>
      </c>
      <c r="CL195" s="431">
        <f>'2018 SUMMARY'!Q60</f>
        <v>474742.40312759957</v>
      </c>
      <c r="CM195" s="431"/>
      <c r="CN195" s="431">
        <f>'2018 SUMMARY'!S60</f>
        <v>37973.253197140941</v>
      </c>
      <c r="CO195" s="431">
        <f>'2018 SUMMARY'!T60</f>
        <v>43657.538345636756</v>
      </c>
      <c r="CP195" s="431">
        <f>'2018 SUMMARY'!U60</f>
        <v>111652.09646630473</v>
      </c>
      <c r="CQ195" s="431">
        <f>'2018 SUMMARY'!V60</f>
        <v>39952.568044673819</v>
      </c>
      <c r="CR195" s="431">
        <f>'2018 SUMMARY'!W60</f>
        <v>136927.4858401258</v>
      </c>
      <c r="CS195" s="431">
        <f t="shared" ref="CS195:CS205" si="253">SUM(CN195:CR195)</f>
        <v>370162.94189388206</v>
      </c>
      <c r="CT195" s="562">
        <v>-4458.63</v>
      </c>
      <c r="CU195" s="431"/>
      <c r="CV195" s="562">
        <v>891</v>
      </c>
      <c r="CW195" s="431">
        <f t="shared" ref="CW195:CW205" si="254">CL195+SUM(CS195:CV195)</f>
        <v>841337.71502148162</v>
      </c>
      <c r="CY195" s="412">
        <f t="shared" ref="CY195:CY205" si="255">+BW195+BK195+AY195+CJ195+CW195-AB195</f>
        <v>-101111.73081350699</v>
      </c>
      <c r="CZ195" s="412">
        <f t="shared" ref="CZ195:CZ205" si="256">+CZ194+CY195</f>
        <v>-427043.1838151979</v>
      </c>
      <c r="DA195" s="412">
        <f t="shared" ref="DA195:DA205" si="257">(CZ194+CZ195)/2*(1-0.2811)</f>
        <v>-270656.73320383066</v>
      </c>
      <c r="DB195" s="417">
        <f t="shared" ref="DB195:DB202" si="258">DB194</f>
        <v>1.9E-3</v>
      </c>
      <c r="DC195" s="434">
        <f t="shared" ref="DC195:DC205" si="259">(DA195)*DB195/12</f>
        <v>-42.853982757273194</v>
      </c>
      <c r="DE195" s="353"/>
      <c r="DF195" s="353"/>
      <c r="DG195" s="420">
        <f t="shared" si="241"/>
        <v>6.9470958200000016E-2</v>
      </c>
      <c r="DH195" s="420">
        <f t="shared" si="242"/>
        <v>8.974112651269997E-2</v>
      </c>
      <c r="DI195" s="353"/>
      <c r="DJ195" s="353"/>
      <c r="DK195" s="353"/>
      <c r="DL195" s="353"/>
      <c r="DM195" s="353"/>
      <c r="DN195" s="353"/>
      <c r="DO195" s="353"/>
      <c r="DP195" s="353"/>
      <c r="DQ195" s="353"/>
      <c r="DR195" s="353"/>
      <c r="DS195" s="353"/>
      <c r="DT195" s="353"/>
      <c r="DU195" s="353"/>
      <c r="DV195" s="353"/>
      <c r="DW195" s="353"/>
      <c r="DX195" s="353"/>
      <c r="DY195" s="353"/>
      <c r="DZ195" s="353"/>
      <c r="EA195" s="353"/>
      <c r="EB195" s="353"/>
      <c r="EC195" s="353"/>
      <c r="ED195" s="353"/>
      <c r="EE195" s="353"/>
      <c r="EF195" s="353"/>
      <c r="EG195" s="353"/>
      <c r="EH195" s="353"/>
      <c r="EI195" s="353"/>
      <c r="EJ195" s="353"/>
      <c r="EK195" s="353"/>
      <c r="EL195" s="353"/>
      <c r="EM195" s="353"/>
      <c r="EN195" s="353"/>
      <c r="EO195" s="353"/>
      <c r="EP195" s="353"/>
      <c r="EQ195" s="353"/>
      <c r="ER195" s="353"/>
      <c r="ES195" s="353"/>
      <c r="ET195" s="353"/>
      <c r="EU195" s="353"/>
      <c r="EV195" s="353"/>
      <c r="EW195" s="353"/>
      <c r="EX195" s="353"/>
      <c r="EY195" s="353"/>
      <c r="EZ195" s="353"/>
      <c r="FA195" s="353"/>
      <c r="FB195" s="353"/>
      <c r="FC195" s="353"/>
      <c r="FD195" s="353"/>
      <c r="FE195" s="353"/>
      <c r="FF195" s="353"/>
      <c r="FG195" s="353"/>
      <c r="FH195" s="353"/>
      <c r="FI195" s="353"/>
      <c r="FJ195" s="353"/>
      <c r="FK195" s="353"/>
      <c r="FL195" s="353"/>
      <c r="FM195" s="353"/>
      <c r="FN195" s="353"/>
      <c r="FO195" s="353"/>
      <c r="FP195" s="353"/>
      <c r="FQ195" s="353"/>
    </row>
    <row r="196" spans="1:173" s="351" customFormat="1">
      <c r="A196" s="430" t="s">
        <v>52</v>
      </c>
      <c r="B196" s="351">
        <v>2021</v>
      </c>
      <c r="C196" s="411" t="s">
        <v>47</v>
      </c>
      <c r="F196" s="370"/>
      <c r="G196" s="435"/>
      <c r="H196" s="435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14">
        <f>'2015 Program Invest Amort Def'!BT81</f>
        <v>452334.99999999721</v>
      </c>
      <c r="V196" s="414">
        <f>'2015 Program Invest Amort Def'!BT81</f>
        <v>452334.99999999721</v>
      </c>
      <c r="W196" s="414">
        <f>'2015 Program Invest Amort Def'!EG81</f>
        <v>-127151.36850000006</v>
      </c>
      <c r="X196" s="397">
        <f t="shared" si="243"/>
        <v>325183.63149999717</v>
      </c>
      <c r="Y196" s="435"/>
      <c r="Z196" s="394">
        <f>'Schedule NJNG-3 - Page 3'!E$133</f>
        <v>93649322.75999999</v>
      </c>
      <c r="AA196" s="480">
        <f>'Schedule NJNG-3 - Page 2'!E80</f>
        <v>1.6E-2</v>
      </c>
      <c r="AB196" s="439">
        <f t="shared" si="244"/>
        <v>1498389.1641599999</v>
      </c>
      <c r="AO196" s="372">
        <f>'RGGI - Invest Amort deferred'!AG142+'RGGI CHP'!V94</f>
        <v>0</v>
      </c>
      <c r="AP196" s="353"/>
      <c r="AQ196" s="412">
        <f>(H193+J193)*'Capital Structure '!$F$21/12</f>
        <v>0</v>
      </c>
      <c r="AR196" s="412">
        <f>(H193+J193)*'Capital Structure '!$E$34/12</f>
        <v>0</v>
      </c>
      <c r="AS196" s="412">
        <f>(H193+J193)*'Capital Structure '!$F$18/12</f>
        <v>0</v>
      </c>
      <c r="AT196" s="412">
        <f>'RGGI - On-bill financing'!J136*'Capital Structure '!$P$34/12</f>
        <v>16.245413782165333</v>
      </c>
      <c r="AU196" s="412">
        <f>'RGGI - On-bill financing'!J136*('Capital Structure '!$F$18+'Capital Structure '!$F$21)/12</f>
        <v>62.951403619093078</v>
      </c>
      <c r="AV196" s="415">
        <f t="shared" si="245"/>
        <v>79.196817401258414</v>
      </c>
      <c r="AW196" s="353"/>
      <c r="AX196" s="415">
        <v>0</v>
      </c>
      <c r="AY196" s="431">
        <f t="shared" si="246"/>
        <v>79.196817401258414</v>
      </c>
      <c r="BA196" s="412">
        <f>'RGGI II Invest Amort Def'!AG127</f>
        <v>0</v>
      </c>
      <c r="BB196" s="353"/>
      <c r="BC196" s="412">
        <f>(L196+N196)*'Capital Structure '!$H$21/12</f>
        <v>0</v>
      </c>
      <c r="BD196" s="412">
        <f>(L196+N196)*'Capital Structure '!$W$34/12</f>
        <v>0</v>
      </c>
      <c r="BE196" s="412">
        <f>(L196+N196)*'Capital Structure '!$H$18/12</f>
        <v>0</v>
      </c>
      <c r="BF196" s="412">
        <f>'RGGI II On Bill Fin''g'!L124*'Capital Structure '!$W$34/12</f>
        <v>1295.4395001351015</v>
      </c>
      <c r="BG196" s="412">
        <f>'RGGI II On Bill Fin''g'!L124*('Capital Structure '!$H$18+'Capital Structure '!$H$21)/12</f>
        <v>4459.1438109684304</v>
      </c>
      <c r="BH196" s="415">
        <f t="shared" si="247"/>
        <v>5754.5833111035317</v>
      </c>
      <c r="BI196" s="353"/>
      <c r="BJ196" s="437">
        <v>0</v>
      </c>
      <c r="BK196" s="431">
        <f t="shared" si="248"/>
        <v>5754.5833111035317</v>
      </c>
      <c r="BM196" s="412">
        <f>'2013 program Invest Amort Def'!AW106</f>
        <v>0</v>
      </c>
      <c r="BN196" s="353"/>
      <c r="BO196" s="412">
        <f>(S196)*'Capital Structure '!$J$21/12</f>
        <v>0</v>
      </c>
      <c r="BP196" s="412">
        <f>(S196)*'Capital Structure '!$V$34/12</f>
        <v>0</v>
      </c>
      <c r="BQ196" s="412">
        <f>(S196)*'Capital Structure '!$J$18/12</f>
        <v>0</v>
      </c>
      <c r="BR196" s="412">
        <f>('2013 program 10 yr On Bill Fin'!M106+'2013 program 5 yr On Bill Fin'!L104+'2013 program 2 yr On Bill Fin'!M94)*'Capital Structure '!$V$34/12</f>
        <v>14092.158549852604</v>
      </c>
      <c r="BS196" s="412">
        <f>('2013 program 10 yr On Bill Fin'!M106+'2013 program 5 yr On Bill Fin'!L104+'2013 program 2 yr On Bill Fin'!M94)*('Capital Structure '!$J$18+'Capital Structure '!$J$21)/12</f>
        <v>47675.654822500008</v>
      </c>
      <c r="BT196" s="431">
        <f t="shared" si="249"/>
        <v>61767.813372352612</v>
      </c>
      <c r="BU196" s="353"/>
      <c r="BV196" s="438">
        <v>0</v>
      </c>
      <c r="BW196" s="431">
        <f t="shared" si="250"/>
        <v>61767.813372352612</v>
      </c>
      <c r="BY196" s="412">
        <f>'2015 Program Invest Amort Def'!BR81</f>
        <v>40830.000000000015</v>
      </c>
      <c r="BZ196" s="353"/>
      <c r="CA196" s="412">
        <f>X196*'Capital Structure '!$T$21/12</f>
        <v>448.75341146999608</v>
      </c>
      <c r="CB196" s="412">
        <f>(X196)*'Capital Structure '!$T$34/12</f>
        <v>549.29391191999537</v>
      </c>
      <c r="CC196" s="412">
        <f>(X196)*'Capital Structure '!$T$18/12</f>
        <v>1404.7932880799879</v>
      </c>
      <c r="CD196" s="412">
        <f>('2015 Program 10-Year OBRP'!P81+'2015 Program 7-Year OBRP'!M81+'2015 Program 5-Year OBRP'!K81+'2015 Program 3-Year OBRP'!K81)*('Capital Structure '!$T$34/12)</f>
        <v>19402.054520469603</v>
      </c>
      <c r="CE196" s="412">
        <f>('2015 Program 10-Year OBRP'!P81+'2015 Program 7-Year OBRP'!M81+'2015 Program 5-Year OBRP'!K81+'2015 Program 3-Year OBRP'!K81)*(('Capital Structure '!$T$21/12)+('Capital Structure '!$T$18/12))</f>
        <v>65470.622084999988</v>
      </c>
      <c r="CF196" s="431">
        <f t="shared" si="251"/>
        <v>87275.517216939566</v>
      </c>
      <c r="CG196" s="373">
        <f>-16310.91+462.33+873.44+3502.12</f>
        <v>-11473.02</v>
      </c>
      <c r="CH196" s="353"/>
      <c r="CI196" s="353"/>
      <c r="CJ196" s="431">
        <f t="shared" si="252"/>
        <v>116632.49721693958</v>
      </c>
      <c r="CL196" s="431">
        <f>'2018 SUMMARY'!Q61</f>
        <v>524410.91151854128</v>
      </c>
      <c r="CM196" s="431"/>
      <c r="CN196" s="431">
        <f>'2018 SUMMARY'!S61</f>
        <v>40260.168773411853</v>
      </c>
      <c r="CO196" s="431">
        <f>'2018 SUMMARY'!T61</f>
        <v>49280.217230360227</v>
      </c>
      <c r="CP196" s="431">
        <f>'2018 SUMMARY'!U61</f>
        <v>126031.83268198493</v>
      </c>
      <c r="CQ196" s="431">
        <f>'2018 SUMMARY'!V61</f>
        <v>39175.718844064439</v>
      </c>
      <c r="CR196" s="431">
        <f>'2018 SUMMARY'!W61</f>
        <v>132195.210597</v>
      </c>
      <c r="CS196" s="431">
        <f t="shared" si="253"/>
        <v>386943.1481268215</v>
      </c>
      <c r="CT196" s="562">
        <v>-4375.5599999999995</v>
      </c>
      <c r="CU196" s="431"/>
      <c r="CV196" s="562">
        <v>4498</v>
      </c>
      <c r="CW196" s="431">
        <f t="shared" si="254"/>
        <v>911476.49964536284</v>
      </c>
      <c r="CY196" s="412">
        <f t="shared" si="255"/>
        <v>-402678.57379684015</v>
      </c>
      <c r="CZ196" s="412">
        <f t="shared" si="256"/>
        <v>-829721.75761203805</v>
      </c>
      <c r="DA196" s="412">
        <f t="shared" si="257"/>
        <v>-451744.15819601994</v>
      </c>
      <c r="DB196" s="417">
        <v>3.0000000000000001E-3</v>
      </c>
      <c r="DC196" s="434">
        <f t="shared" si="259"/>
        <v>-112.93603954900499</v>
      </c>
      <c r="DE196" s="353"/>
      <c r="DF196" s="353"/>
      <c r="DG196" s="420">
        <f t="shared" si="241"/>
        <v>6.8400000000000002E-2</v>
      </c>
      <c r="DH196" s="420">
        <f t="shared" si="242"/>
        <v>8.8670168312699957E-2</v>
      </c>
      <c r="DI196" s="353"/>
      <c r="DJ196" s="353"/>
      <c r="DK196" s="353"/>
      <c r="DL196" s="353"/>
      <c r="DM196" s="353"/>
      <c r="DN196" s="353"/>
      <c r="DO196" s="353"/>
      <c r="DP196" s="353"/>
      <c r="DQ196" s="353"/>
      <c r="DR196" s="353"/>
      <c r="DS196" s="353"/>
      <c r="DT196" s="353"/>
      <c r="DU196" s="353"/>
      <c r="DV196" s="353"/>
      <c r="DW196" s="353"/>
      <c r="DX196" s="353"/>
      <c r="DY196" s="353"/>
      <c r="DZ196" s="353"/>
      <c r="EA196" s="353"/>
      <c r="EB196" s="353"/>
      <c r="EC196" s="353"/>
      <c r="ED196" s="353"/>
      <c r="EE196" s="353"/>
      <c r="EF196" s="353"/>
      <c r="EG196" s="353"/>
      <c r="EH196" s="353"/>
      <c r="EI196" s="353"/>
      <c r="EJ196" s="353"/>
      <c r="EK196" s="353"/>
      <c r="EL196" s="353"/>
      <c r="EM196" s="353"/>
      <c r="EN196" s="353"/>
      <c r="EO196" s="353"/>
      <c r="EP196" s="353"/>
      <c r="EQ196" s="353"/>
      <c r="ER196" s="353"/>
      <c r="ES196" s="353"/>
      <c r="ET196" s="353"/>
      <c r="EU196" s="353"/>
      <c r="EV196" s="353"/>
      <c r="EW196" s="353"/>
      <c r="EX196" s="353"/>
      <c r="EY196" s="353"/>
      <c r="EZ196" s="353"/>
      <c r="FA196" s="353"/>
      <c r="FB196" s="353"/>
      <c r="FC196" s="353"/>
      <c r="FD196" s="353"/>
      <c r="FE196" s="353"/>
      <c r="FF196" s="353"/>
      <c r="FG196" s="353"/>
      <c r="FH196" s="353"/>
      <c r="FI196" s="353"/>
      <c r="FJ196" s="353"/>
      <c r="FK196" s="353"/>
      <c r="FL196" s="353"/>
      <c r="FM196" s="353"/>
      <c r="FN196" s="353"/>
      <c r="FO196" s="353"/>
      <c r="FP196" s="353"/>
      <c r="FQ196" s="353"/>
    </row>
    <row r="197" spans="1:173" s="351" customFormat="1">
      <c r="A197" s="430" t="s">
        <v>53</v>
      </c>
      <c r="B197" s="351">
        <v>2022</v>
      </c>
      <c r="C197" s="411" t="s">
        <v>47</v>
      </c>
      <c r="F197" s="370"/>
      <c r="G197" s="435"/>
      <c r="H197" s="435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14">
        <f>'2015 Program Invest Amort Def'!BT82</f>
        <v>414068.33333333023</v>
      </c>
      <c r="V197" s="414">
        <f>'2015 Program Invest Amort Def'!BT82</f>
        <v>414068.33333333023</v>
      </c>
      <c r="W197" s="414">
        <f>'2015 Program Invest Amort Def'!EG82</f>
        <v>-116394.60850000006</v>
      </c>
      <c r="X197" s="397">
        <f t="shared" si="243"/>
        <v>297673.72483333014</v>
      </c>
      <c r="Y197" s="435"/>
      <c r="Z197" s="394">
        <f>'Schedule NJNG-3 - Page 3'!F$133</f>
        <v>147123031.81999999</v>
      </c>
      <c r="AA197" s="480">
        <f>'Schedule NJNG-3 - Page 2'!E81</f>
        <v>1.6E-2</v>
      </c>
      <c r="AB197" s="439">
        <f t="shared" si="244"/>
        <v>2353968.5091200001</v>
      </c>
      <c r="AO197" s="372">
        <f>'RGGI - Invest Amort deferred'!AG143+'RGGI CHP'!V95</f>
        <v>0</v>
      </c>
      <c r="AP197" s="353"/>
      <c r="AQ197" s="412">
        <f>(H194+J194)*'Capital Structure '!$F$21/12</f>
        <v>0</v>
      </c>
      <c r="AR197" s="412">
        <f>(H194+J194)*'Capital Structure '!$E$34/12</f>
        <v>0</v>
      </c>
      <c r="AS197" s="412">
        <f>(H194+J194)*'Capital Structure '!$F$18/12</f>
        <v>0</v>
      </c>
      <c r="AT197" s="412">
        <f>'RGGI - On-bill financing'!J137*'Capital Structure '!$P$34/12</f>
        <v>1.3581846932792268</v>
      </c>
      <c r="AU197" s="412">
        <f>'RGGI - On-bill financing'!J137*('Capital Structure '!$F$18+'Capital Structure '!$F$21)/12</f>
        <v>5.2630012360632277</v>
      </c>
      <c r="AV197" s="415">
        <f t="shared" si="245"/>
        <v>6.6211859293424542</v>
      </c>
      <c r="AW197" s="353"/>
      <c r="AX197" s="415">
        <v>0</v>
      </c>
      <c r="AY197" s="431">
        <f t="shared" si="246"/>
        <v>6.6211859293424542</v>
      </c>
      <c r="BA197" s="412">
        <f>'RGGI II Invest Amort Def'!AG128</f>
        <v>0</v>
      </c>
      <c r="BB197" s="353"/>
      <c r="BC197" s="412">
        <f>(L197+N197)*'Capital Structure '!$H$21/12</f>
        <v>0</v>
      </c>
      <c r="BD197" s="412">
        <f>(L197+N197)*'Capital Structure '!$W$34/12</f>
        <v>0</v>
      </c>
      <c r="BE197" s="412">
        <f>(L197+N197)*'Capital Structure '!$H$18/12</f>
        <v>0</v>
      </c>
      <c r="BF197" s="412">
        <f>'RGGI II On Bill Fin''g'!L125*'Capital Structure '!$W$34/12</f>
        <v>1178.3853386721137</v>
      </c>
      <c r="BG197" s="412">
        <f>'RGGI II On Bill Fin''g'!L125*('Capital Structure '!$H$18+'Capital Structure '!$H$21)/12</f>
        <v>4056.2216061249414</v>
      </c>
      <c r="BH197" s="415">
        <f t="shared" si="247"/>
        <v>5234.6069447970549</v>
      </c>
      <c r="BI197" s="353"/>
      <c r="BJ197" s="437">
        <v>0</v>
      </c>
      <c r="BK197" s="431">
        <f t="shared" si="248"/>
        <v>5234.6069447970549</v>
      </c>
      <c r="BM197" s="412">
        <f>'2013 program Invest Amort Def'!AW107</f>
        <v>0</v>
      </c>
      <c r="BN197" s="353"/>
      <c r="BO197" s="412">
        <f>(S197)*'Capital Structure '!$J$21/12</f>
        <v>0</v>
      </c>
      <c r="BP197" s="412">
        <f>(S197)*'Capital Structure '!$V$34/12</f>
        <v>0</v>
      </c>
      <c r="BQ197" s="412">
        <f>(S197)*'Capital Structure '!$J$18/12</f>
        <v>0</v>
      </c>
      <c r="BR197" s="412">
        <f>('2013 program 10 yr On Bill Fin'!M107+'2013 program 5 yr On Bill Fin'!L105+'2013 program 2 yr On Bill Fin'!M95)*'Capital Structure '!$V$34/12</f>
        <v>13609.663725663542</v>
      </c>
      <c r="BS197" s="412">
        <f>('2013 program 10 yr On Bill Fin'!M107+'2013 program 5 yr On Bill Fin'!L105+'2013 program 2 yr On Bill Fin'!M95)*('Capital Structure '!$J$18+'Capital Structure '!$J$21)/12</f>
        <v>46043.310380000017</v>
      </c>
      <c r="BT197" s="431">
        <f t="shared" si="249"/>
        <v>59652.974105663561</v>
      </c>
      <c r="BU197" s="353"/>
      <c r="BV197" s="438">
        <v>0</v>
      </c>
      <c r="BW197" s="431">
        <f t="shared" si="250"/>
        <v>59652.974105663561</v>
      </c>
      <c r="BY197" s="412">
        <f>'2015 Program Invest Amort Def'!BR82</f>
        <v>38266.666666666672</v>
      </c>
      <c r="BZ197" s="353"/>
      <c r="CA197" s="412">
        <f>X197*'Capital Structure '!$T$21/12</f>
        <v>410.78974026999555</v>
      </c>
      <c r="CB197" s="412">
        <f>(X197)*'Capital Structure '!$T$34/12</f>
        <v>502.8247087199947</v>
      </c>
      <c r="CC197" s="412">
        <f>(X197)*'Capital Structure '!$T$18/12</f>
        <v>1285.9504912799864</v>
      </c>
      <c r="CD197" s="412">
        <f>('2015 Program 10-Year OBRP'!P82+'2015 Program 7-Year OBRP'!M82+'2015 Program 5-Year OBRP'!K82+'2015 Program 3-Year OBRP'!K82)*('Capital Structure '!$T$34/12)</f>
        <v>18813.333241832799</v>
      </c>
      <c r="CE197" s="412">
        <f>('2015 Program 10-Year OBRP'!P82+'2015 Program 7-Year OBRP'!M82+'2015 Program 5-Year OBRP'!K82+'2015 Program 3-Year OBRP'!K82)*(('Capital Structure '!$T$21/12)+('Capital Structure '!$T$18/12))</f>
        <v>63484.031009999999</v>
      </c>
      <c r="CF197" s="431">
        <f t="shared" ref="CF197:CF205" si="260">SUM(CA197:CE197)</f>
        <v>84496.929192102776</v>
      </c>
      <c r="CG197" s="373">
        <v>-10165.120000000001</v>
      </c>
      <c r="CH197" s="353"/>
      <c r="CI197" s="353"/>
      <c r="CJ197" s="431">
        <f t="shared" ref="CJ197:CJ205" si="261">BY197+CF197+CG197+CI197</f>
        <v>112598.47585876945</v>
      </c>
      <c r="CL197" s="431">
        <f>'2018 SUMMARY'!Q62</f>
        <v>524848.98687568412</v>
      </c>
      <c r="CM197" s="431"/>
      <c r="CN197" s="431">
        <f>'2018 SUMMARY'!S62</f>
        <v>39174.617678610331</v>
      </c>
      <c r="CO197" s="431">
        <f>'2018 SUMMARY'!T62</f>
        <v>47951.454947530365</v>
      </c>
      <c r="CP197" s="431">
        <f>'2018 SUMMARY'!U62</f>
        <v>122633.58577651929</v>
      </c>
      <c r="CQ197" s="431">
        <f>'2018 SUMMARY'!V62</f>
        <v>38399.656649631608</v>
      </c>
      <c r="CR197" s="431">
        <f>'2018 SUMMARY'!W62</f>
        <v>129576.45315600002</v>
      </c>
      <c r="CS197" s="431">
        <f t="shared" si="253"/>
        <v>377735.76820829161</v>
      </c>
      <c r="CT197" s="562">
        <v>-4566.26</v>
      </c>
      <c r="CU197" s="431"/>
      <c r="CV197" s="431">
        <v>606</v>
      </c>
      <c r="CW197" s="431">
        <f t="shared" si="254"/>
        <v>898624.49508397572</v>
      </c>
      <c r="CY197" s="412">
        <f t="shared" si="255"/>
        <v>-1277851.3359408649</v>
      </c>
      <c r="CZ197" s="412">
        <f t="shared" si="256"/>
        <v>-2107573.0935529028</v>
      </c>
      <c r="DA197" s="412">
        <f t="shared" si="257"/>
        <v>-1055810.6342512378</v>
      </c>
      <c r="DB197" s="417">
        <v>3.3E-3</v>
      </c>
      <c r="DC197" s="434">
        <f t="shared" si="259"/>
        <v>-290.34792441909042</v>
      </c>
      <c r="DE197" s="353"/>
      <c r="DF197" s="353"/>
      <c r="DG197" s="420">
        <f t="shared" si="241"/>
        <v>6.8400000000000002E-2</v>
      </c>
      <c r="DH197" s="420">
        <f t="shared" si="242"/>
        <v>8.8670168312699957E-2</v>
      </c>
      <c r="DI197" s="353"/>
      <c r="DJ197" s="353"/>
      <c r="DK197" s="353"/>
      <c r="DL197" s="353"/>
      <c r="DM197" s="353"/>
      <c r="DN197" s="353"/>
      <c r="DO197" s="353"/>
      <c r="DP197" s="353"/>
      <c r="DQ197" s="353"/>
      <c r="DR197" s="353"/>
      <c r="DS197" s="353"/>
      <c r="DT197" s="353"/>
      <c r="DU197" s="353"/>
      <c r="DV197" s="353"/>
      <c r="DW197" s="353"/>
      <c r="DX197" s="353"/>
      <c r="DY197" s="353"/>
      <c r="DZ197" s="353"/>
      <c r="EA197" s="353"/>
      <c r="EB197" s="353"/>
      <c r="EC197" s="353"/>
      <c r="ED197" s="353"/>
      <c r="EE197" s="353"/>
      <c r="EF197" s="353"/>
      <c r="EG197" s="353"/>
      <c r="EH197" s="353"/>
      <c r="EI197" s="353"/>
      <c r="EJ197" s="353"/>
      <c r="EK197" s="353"/>
      <c r="EL197" s="353"/>
      <c r="EM197" s="353"/>
      <c r="EN197" s="353"/>
      <c r="EO197" s="353"/>
      <c r="EP197" s="353"/>
      <c r="EQ197" s="353"/>
      <c r="ER197" s="353"/>
      <c r="ES197" s="353"/>
      <c r="ET197" s="353"/>
      <c r="EU197" s="353"/>
      <c r="EV197" s="353"/>
      <c r="EW197" s="353"/>
      <c r="EX197" s="353"/>
      <c r="EY197" s="353"/>
      <c r="EZ197" s="353"/>
      <c r="FA197" s="353"/>
      <c r="FB197" s="353"/>
      <c r="FC197" s="353"/>
      <c r="FD197" s="353"/>
      <c r="FE197" s="353"/>
      <c r="FF197" s="353"/>
      <c r="FG197" s="353"/>
      <c r="FH197" s="353"/>
      <c r="FI197" s="353"/>
      <c r="FJ197" s="353"/>
      <c r="FK197" s="353"/>
      <c r="FL197" s="353"/>
      <c r="FM197" s="353"/>
      <c r="FN197" s="353"/>
      <c r="FO197" s="353"/>
      <c r="FP197" s="353"/>
      <c r="FQ197" s="353"/>
    </row>
    <row r="198" spans="1:173" s="351" customFormat="1">
      <c r="A198" s="430" t="s">
        <v>54</v>
      </c>
      <c r="B198" s="351">
        <v>2022</v>
      </c>
      <c r="C198" s="411" t="s">
        <v>47</v>
      </c>
      <c r="F198" s="370"/>
      <c r="G198" s="435"/>
      <c r="H198" s="435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14">
        <f>'2015 Program Invest Amort Def'!BT83</f>
        <v>378119.99999999721</v>
      </c>
      <c r="V198" s="414">
        <f>'2015 Program Invest Amort Def'!BT83</f>
        <v>378119.99999999721</v>
      </c>
      <c r="W198" s="414">
        <f>'2015 Program Invest Amort Def'!EG83</f>
        <v>-106289.53200000006</v>
      </c>
      <c r="X198" s="397">
        <f t="shared" si="243"/>
        <v>271830.46799999714</v>
      </c>
      <c r="Y198" s="435"/>
      <c r="Z198" s="394">
        <f>'Schedule NJNG-3 - Page 3'!G$133</f>
        <v>100868551.86</v>
      </c>
      <c r="AA198" s="480">
        <f>'Schedule NJNG-3 - Page 2'!E82</f>
        <v>1.9099999999999999E-2</v>
      </c>
      <c r="AB198" s="439">
        <f t="shared" si="244"/>
        <v>1926589.3405259999</v>
      </c>
      <c r="AO198" s="372">
        <f>'RGGI - Invest Amort deferred'!AG144+'RGGI CHP'!V96</f>
        <v>0</v>
      </c>
      <c r="AP198" s="353"/>
      <c r="AQ198" s="412">
        <f>(H195+J195)*'Capital Structure '!$F$21/12</f>
        <v>0</v>
      </c>
      <c r="AR198" s="412">
        <f>(H195+J195)*'Capital Structure '!$E$34/12</f>
        <v>0</v>
      </c>
      <c r="AS198" s="412">
        <f>(H195+J195)*'Capital Structure '!$F$18/12</f>
        <v>0</v>
      </c>
      <c r="AT198" s="412">
        <f>'RGGI - On-bill financing'!J138*'Capital Structure '!$P$34/12</f>
        <v>0</v>
      </c>
      <c r="AU198" s="412">
        <f>'RGGI - On-bill financing'!J138*('Capital Structure '!$F$18+'Capital Structure '!$F$21)/12</f>
        <v>0</v>
      </c>
      <c r="AV198" s="415">
        <f t="shared" si="245"/>
        <v>0</v>
      </c>
      <c r="AW198" s="353"/>
      <c r="AX198" s="415">
        <v>0</v>
      </c>
      <c r="AY198" s="431">
        <f t="shared" si="246"/>
        <v>0</v>
      </c>
      <c r="BA198" s="412">
        <f>'RGGI II Invest Amort Def'!AG129</f>
        <v>0</v>
      </c>
      <c r="BB198" s="353"/>
      <c r="BC198" s="412">
        <f>(L198+N198)*'Capital Structure '!$H$21/12</f>
        <v>0</v>
      </c>
      <c r="BD198" s="412">
        <f>(L198+N198)*'Capital Structure '!$W$34/12</f>
        <v>0</v>
      </c>
      <c r="BE198" s="412">
        <f>(L198+N198)*'Capital Structure '!$H$18/12</f>
        <v>0</v>
      </c>
      <c r="BF198" s="412">
        <f>'RGGI II On Bill Fin''g'!L126*'Capital Structure '!$W$34/12</f>
        <v>1084.6624249965541</v>
      </c>
      <c r="BG198" s="412">
        <f>'RGGI II On Bill Fin''g'!L126*('Capital Structure '!$H$18+'Capital Structure '!$H$21)/12</f>
        <v>3733.6098975745122</v>
      </c>
      <c r="BH198" s="415">
        <f t="shared" si="247"/>
        <v>4818.2723225710661</v>
      </c>
      <c r="BI198" s="353"/>
      <c r="BJ198" s="437">
        <v>0</v>
      </c>
      <c r="BK198" s="431">
        <f t="shared" si="248"/>
        <v>4818.2723225710661</v>
      </c>
      <c r="BM198" s="412">
        <f>'2013 program Invest Amort Def'!AW108</f>
        <v>0</v>
      </c>
      <c r="BN198" s="353"/>
      <c r="BO198" s="412">
        <f>(S198)*'Capital Structure '!$J$21/12</f>
        <v>0</v>
      </c>
      <c r="BP198" s="412">
        <f>(S198)*'Capital Structure '!$V$34/12</f>
        <v>0</v>
      </c>
      <c r="BQ198" s="412">
        <f>(S198)*'Capital Structure '!$J$18/12</f>
        <v>0</v>
      </c>
      <c r="BR198" s="412">
        <f>('2013 program 10 yr On Bill Fin'!M108+'2013 program 5 yr On Bill Fin'!L106+'2013 program 2 yr On Bill Fin'!M96)*'Capital Structure '!$V$34/12</f>
        <v>13202.405844942996</v>
      </c>
      <c r="BS198" s="412">
        <f>('2013 program 10 yr On Bill Fin'!M108+'2013 program 5 yr On Bill Fin'!L106+'2013 program 2 yr On Bill Fin'!M96)*('Capital Structure '!$J$18+'Capital Structure '!$J$21)/12</f>
        <v>44665.502567500014</v>
      </c>
      <c r="BT198" s="431">
        <f t="shared" si="249"/>
        <v>57867.908412443008</v>
      </c>
      <c r="BU198" s="353"/>
      <c r="BV198" s="438">
        <v>0</v>
      </c>
      <c r="BW198" s="431">
        <f t="shared" si="250"/>
        <v>57867.908412443008</v>
      </c>
      <c r="BY198" s="412">
        <f>'2015 Program Invest Amort Def'!BR83</f>
        <v>35948.333333333343</v>
      </c>
      <c r="BZ198" s="353"/>
      <c r="CA198" s="412">
        <f>X198*'Capital Structure '!$T$21/12</f>
        <v>375.12604583999604</v>
      </c>
      <c r="CB198" s="412">
        <f>(X198)*'Capital Structure '!$T$34/12</f>
        <v>459.17077823999529</v>
      </c>
      <c r="CC198" s="412">
        <f>(X198)*'Capital Structure '!$T$18/12</f>
        <v>1174.3076217599878</v>
      </c>
      <c r="CD198" s="412">
        <f>('2015 Program 10-Year OBRP'!P83+'2015 Program 7-Year OBRP'!M83+'2015 Program 5-Year OBRP'!K83+'2015 Program 3-Year OBRP'!K83)*('Capital Structure '!$T$34/12)</f>
        <v>18202.528087789906</v>
      </c>
      <c r="CE198" s="412">
        <f>('2015 Program 10-Year OBRP'!P83+'2015 Program 7-Year OBRP'!M83+'2015 Program 5-Year OBRP'!K83+'2015 Program 3-Year OBRP'!K83)*(('Capital Structure '!$T$21/12)+('Capital Structure '!$T$18/12))</f>
        <v>61422.919731000016</v>
      </c>
      <c r="CF198" s="431">
        <f t="shared" si="260"/>
        <v>81634.052264629892</v>
      </c>
      <c r="CG198" s="373">
        <v>-11247.5</v>
      </c>
      <c r="CH198" s="353"/>
      <c r="CI198" s="353"/>
      <c r="CJ198" s="431">
        <f t="shared" si="261"/>
        <v>106334.88559796324</v>
      </c>
      <c r="CL198" s="431">
        <f>'2018 SUMMARY'!Q63</f>
        <v>527711.6374709222</v>
      </c>
      <c r="CM198" s="431"/>
      <c r="CN198" s="431">
        <f>'2018 SUMMARY'!S63</f>
        <v>38379.273260130991</v>
      </c>
      <c r="CO198" s="431">
        <f>'2018 SUMMARY'!T63</f>
        <v>46977.91839987682</v>
      </c>
      <c r="CP198" s="431">
        <f>'2018 SUMMARY'!U63</f>
        <v>120143.81194475788</v>
      </c>
      <c r="CQ198" s="431">
        <f>'2018 SUMMARY'!V63</f>
        <v>37615.836808408407</v>
      </c>
      <c r="CR198" s="431">
        <f>'2018 SUMMARY'!W63</f>
        <v>126931.51818</v>
      </c>
      <c r="CS198" s="431">
        <f t="shared" si="253"/>
        <v>370048.35859317408</v>
      </c>
      <c r="CT198" s="562">
        <v>-4556.83</v>
      </c>
      <c r="CU198" s="431"/>
      <c r="CV198" s="562">
        <v>601.34</v>
      </c>
      <c r="CW198" s="431">
        <f t="shared" si="254"/>
        <v>893804.50606409623</v>
      </c>
      <c r="CY198" s="412">
        <f t="shared" si="255"/>
        <v>-863763.7681289264</v>
      </c>
      <c r="CZ198" s="412">
        <f t="shared" si="256"/>
        <v>-2971336.8616818292</v>
      </c>
      <c r="DA198" s="412">
        <f t="shared" si="257"/>
        <v>-1825614.1834091246</v>
      </c>
      <c r="DB198" s="417">
        <v>2.3999999999999998E-3</v>
      </c>
      <c r="DC198" s="434">
        <f t="shared" si="259"/>
        <v>-365.12283668182494</v>
      </c>
      <c r="DE198" s="353"/>
      <c r="DF198" s="353"/>
      <c r="DG198" s="420">
        <f t="shared" si="241"/>
        <v>6.8400000000000016E-2</v>
      </c>
      <c r="DH198" s="420">
        <f t="shared" si="242"/>
        <v>8.8670168312699971E-2</v>
      </c>
      <c r="DI198" s="353"/>
      <c r="DJ198" s="353"/>
      <c r="DK198" s="353"/>
      <c r="DL198" s="353"/>
      <c r="DM198" s="353"/>
      <c r="DN198" s="353"/>
      <c r="DO198" s="353"/>
      <c r="DP198" s="353"/>
      <c r="DQ198" s="353"/>
      <c r="DR198" s="353"/>
      <c r="DS198" s="353"/>
      <c r="DT198" s="353"/>
      <c r="DU198" s="353"/>
      <c r="DV198" s="353"/>
      <c r="DW198" s="353"/>
      <c r="DX198" s="353"/>
      <c r="DY198" s="353"/>
      <c r="DZ198" s="353"/>
      <c r="EA198" s="353"/>
      <c r="EB198" s="353"/>
      <c r="EC198" s="353"/>
      <c r="ED198" s="353"/>
      <c r="EE198" s="353"/>
      <c r="EF198" s="353"/>
      <c r="EG198" s="353"/>
      <c r="EH198" s="353"/>
      <c r="EI198" s="353"/>
      <c r="EJ198" s="353"/>
      <c r="EK198" s="353"/>
      <c r="EL198" s="353"/>
      <c r="EM198" s="353"/>
      <c r="EN198" s="353"/>
      <c r="EO198" s="353"/>
      <c r="EP198" s="353"/>
      <c r="EQ198" s="353"/>
      <c r="ER198" s="353"/>
      <c r="ES198" s="353"/>
      <c r="ET198" s="353"/>
      <c r="EU198" s="353"/>
      <c r="EV198" s="353"/>
      <c r="EW198" s="353"/>
      <c r="EX198" s="353"/>
      <c r="EY198" s="353"/>
      <c r="EZ198" s="353"/>
      <c r="FA198" s="353"/>
      <c r="FB198" s="353"/>
      <c r="FC198" s="353"/>
      <c r="FD198" s="353"/>
      <c r="FE198" s="353"/>
      <c r="FF198" s="353"/>
      <c r="FG198" s="353"/>
      <c r="FH198" s="353"/>
      <c r="FI198" s="353"/>
      <c r="FJ198" s="353"/>
      <c r="FK198" s="353"/>
      <c r="FL198" s="353"/>
      <c r="FM198" s="353"/>
      <c r="FN198" s="353"/>
      <c r="FO198" s="353"/>
      <c r="FP198" s="353"/>
      <c r="FQ198" s="353"/>
    </row>
    <row r="199" spans="1:173" s="351" customFormat="1">
      <c r="A199" s="430" t="s">
        <v>55</v>
      </c>
      <c r="B199" s="351">
        <v>2022</v>
      </c>
      <c r="C199" s="411" t="s">
        <v>47</v>
      </c>
      <c r="F199" s="370"/>
      <c r="G199" s="435"/>
      <c r="H199" s="435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14">
        <f>'2015 Program Invest Amort Def'!BT84</f>
        <v>344228.33333333023</v>
      </c>
      <c r="V199" s="414">
        <f>'2015 Program Invest Amort Def'!BT84</f>
        <v>344228.33333333023</v>
      </c>
      <c r="W199" s="414">
        <f>'2015 Program Invest Amort Def'!EG84</f>
        <v>-96762.584500000055</v>
      </c>
      <c r="X199" s="397">
        <f t="shared" si="243"/>
        <v>247465.74883333017</v>
      </c>
      <c r="Y199" s="435"/>
      <c r="Z199" s="394">
        <f>'Schedule NJNG-3 - Page 3'!H$133</f>
        <v>83216099.770000011</v>
      </c>
      <c r="AA199" s="480">
        <f>'Schedule NJNG-3 - Page 2'!E83</f>
        <v>1.9099999999999999E-2</v>
      </c>
      <c r="AB199" s="439">
        <f t="shared" si="244"/>
        <v>1589427.5056070001</v>
      </c>
      <c r="AO199" s="372">
        <f>'RGGI - Invest Amort deferred'!AG145+'RGGI CHP'!V97</f>
        <v>0</v>
      </c>
      <c r="AP199" s="353"/>
      <c r="AQ199" s="412">
        <f>(H196+J196)*'Capital Structure '!$F$21/12</f>
        <v>0</v>
      </c>
      <c r="AR199" s="412">
        <f>(H196+J196)*'Capital Structure '!$E$34/12</f>
        <v>0</v>
      </c>
      <c r="AS199" s="412">
        <f>(H196+J196)*'Capital Structure '!$F$18/12</f>
        <v>0</v>
      </c>
      <c r="AT199" s="412">
        <f>'RGGI - On-bill financing'!J139*'Capital Structure '!$P$34/12</f>
        <v>0</v>
      </c>
      <c r="AU199" s="412">
        <f>'RGGI - On-bill financing'!J139*('Capital Structure '!$F$18+'Capital Structure '!$F$21)/12</f>
        <v>0</v>
      </c>
      <c r="AV199" s="415">
        <f t="shared" si="245"/>
        <v>0</v>
      </c>
      <c r="AW199" s="353"/>
      <c r="AX199" s="415">
        <v>0</v>
      </c>
      <c r="AY199" s="431">
        <f t="shared" si="246"/>
        <v>0</v>
      </c>
      <c r="BA199" s="412">
        <f>'RGGI II Invest Amort Def'!AG130</f>
        <v>0</v>
      </c>
      <c r="BB199" s="353"/>
      <c r="BC199" s="412">
        <f>(L199+N199)*'Capital Structure '!$H$21/12</f>
        <v>0</v>
      </c>
      <c r="BD199" s="412">
        <f>(L199+N199)*'Capital Structure '!$W$34/12</f>
        <v>0</v>
      </c>
      <c r="BE199" s="412">
        <f>(L199+N199)*'Capital Structure '!$H$18/12</f>
        <v>0</v>
      </c>
      <c r="BF199" s="412">
        <f>'RGGI II On Bill Fin''g'!L127*'Capital Structure '!$W$34/12</f>
        <v>949.08904411262131</v>
      </c>
      <c r="BG199" s="412">
        <f>'RGGI II On Bill Fin''g'!L127*('Capital Structure '!$H$18+'Capital Structure '!$H$21)/12</f>
        <v>3266.9410934832317</v>
      </c>
      <c r="BH199" s="415">
        <f t="shared" si="247"/>
        <v>4216.0301375958534</v>
      </c>
      <c r="BI199" s="353"/>
      <c r="BJ199" s="437">
        <v>0</v>
      </c>
      <c r="BK199" s="431">
        <f t="shared" si="248"/>
        <v>4216.0301375958534</v>
      </c>
      <c r="BM199" s="412">
        <f>'2013 program Invest Amort Def'!AW109</f>
        <v>0</v>
      </c>
      <c r="BN199" s="353"/>
      <c r="BO199" s="412">
        <f>(S199)*'Capital Structure '!$J$21/12</f>
        <v>0</v>
      </c>
      <c r="BP199" s="412">
        <f>(S199)*'Capital Structure '!$V$34/12</f>
        <v>0</v>
      </c>
      <c r="BQ199" s="412">
        <f>(S199)*'Capital Structure '!$J$18/12</f>
        <v>0</v>
      </c>
      <c r="BR199" s="412">
        <f>('2013 program 10 yr On Bill Fin'!M109+'2013 program 5 yr On Bill Fin'!L107+'2013 program 2 yr On Bill Fin'!M97)*'Capital Structure '!$V$34/12</f>
        <v>12649.178836596242</v>
      </c>
      <c r="BS199" s="412">
        <f>('2013 program 10 yr On Bill Fin'!M109+'2013 program 5 yr On Bill Fin'!L107+'2013 program 2 yr On Bill Fin'!M97)*('Capital Structure '!$J$18+'Capital Structure '!$J$21)/12</f>
        <v>42793.861697500004</v>
      </c>
      <c r="BT199" s="431">
        <f t="shared" si="249"/>
        <v>55443.040534096246</v>
      </c>
      <c r="BU199" s="353"/>
      <c r="BV199" s="438">
        <v>0</v>
      </c>
      <c r="BW199" s="431">
        <f t="shared" si="250"/>
        <v>55443.040534096246</v>
      </c>
      <c r="BY199" s="412">
        <f>'2015 Program Invest Amort Def'!BR84</f>
        <v>33891.666666666672</v>
      </c>
      <c r="BZ199" s="353"/>
      <c r="CA199" s="412">
        <f>X199*'Capital Structure '!$T$21/12</f>
        <v>341.50273338999563</v>
      </c>
      <c r="CB199" s="412">
        <f>(X199)*'Capital Structure '!$T$34/12</f>
        <v>418.01436503999474</v>
      </c>
      <c r="CC199" s="412">
        <f>(X199)*'Capital Structure '!$T$18/12</f>
        <v>1069.0520349599865</v>
      </c>
      <c r="CD199" s="412">
        <f>('2015 Program 10-Year OBRP'!P84+'2015 Program 7-Year OBRP'!M84+'2015 Program 5-Year OBRP'!K84+'2015 Program 3-Year OBRP'!K84)*('Capital Structure '!$T$34/12)</f>
        <v>17622.478083104746</v>
      </c>
      <c r="CE199" s="412">
        <f>('2015 Program 10-Year OBRP'!P84+'2015 Program 7-Year OBRP'!M84+'2015 Program 5-Year OBRP'!K84+'2015 Program 3-Year OBRP'!K84)*(('Capital Structure '!$T$21/12)+('Capital Structure '!$T$18/12))</f>
        <v>59465.58915</v>
      </c>
      <c r="CF199" s="431">
        <f t="shared" si="260"/>
        <v>78916.636366494728</v>
      </c>
      <c r="CG199" s="373">
        <v>-9358</v>
      </c>
      <c r="CH199" s="353"/>
      <c r="CI199" s="353"/>
      <c r="CJ199" s="431">
        <f t="shared" si="261"/>
        <v>103450.3030331614</v>
      </c>
      <c r="CL199" s="431">
        <f>'2018 SUMMARY'!Q64</f>
        <v>561460.44568520784</v>
      </c>
      <c r="CM199" s="431"/>
      <c r="CN199" s="431">
        <f>'2018 SUMMARY'!S64</f>
        <v>41096.131529933235</v>
      </c>
      <c r="CO199" s="431">
        <f>'2018 SUMMARY'!T64</f>
        <v>50303.472410181304</v>
      </c>
      <c r="CP199" s="431">
        <f>'2018 SUMMARY'!U64</f>
        <v>128648.75957196491</v>
      </c>
      <c r="CQ199" s="431">
        <f>'2018 SUMMARY'!V64</f>
        <v>36686.821092780869</v>
      </c>
      <c r="CR199" s="431">
        <f>'2018 SUMMARY'!W64</f>
        <v>123796.63178100002</v>
      </c>
      <c r="CS199" s="431">
        <f t="shared" si="253"/>
        <v>380531.81638586032</v>
      </c>
      <c r="CT199" s="562">
        <v>-4493.05</v>
      </c>
      <c r="CU199" s="431"/>
      <c r="CV199" s="562">
        <v>-895.66</v>
      </c>
      <c r="CW199" s="431">
        <f t="shared" si="254"/>
        <v>936603.5520710682</v>
      </c>
      <c r="CY199" s="412">
        <f t="shared" si="255"/>
        <v>-489714.57983107842</v>
      </c>
      <c r="CZ199" s="412">
        <f t="shared" si="256"/>
        <v>-3461051.4415129079</v>
      </c>
      <c r="DA199" s="412">
        <f t="shared" si="257"/>
        <v>-2312121.975583348</v>
      </c>
      <c r="DB199" s="417">
        <v>2.8999999999999998E-3</v>
      </c>
      <c r="DC199" s="434">
        <f t="shared" si="259"/>
        <v>-558.7628107659757</v>
      </c>
      <c r="DE199" s="353"/>
      <c r="DF199" s="353"/>
      <c r="DG199" s="420">
        <f t="shared" si="241"/>
        <v>6.8400000000000016E-2</v>
      </c>
      <c r="DH199" s="420">
        <f t="shared" si="242"/>
        <v>8.8670168312699957E-2</v>
      </c>
      <c r="DI199" s="353"/>
      <c r="DJ199" s="353"/>
      <c r="DK199" s="353"/>
      <c r="DL199" s="353"/>
      <c r="DM199" s="353"/>
      <c r="DN199" s="353"/>
      <c r="DO199" s="353"/>
      <c r="DP199" s="353"/>
      <c r="DQ199" s="353"/>
      <c r="DR199" s="353"/>
      <c r="DS199" s="353"/>
      <c r="DT199" s="353"/>
      <c r="DU199" s="353"/>
      <c r="DV199" s="353"/>
      <c r="DW199" s="353"/>
      <c r="DX199" s="353"/>
      <c r="DY199" s="353"/>
      <c r="DZ199" s="353"/>
      <c r="EA199" s="353"/>
      <c r="EB199" s="353"/>
      <c r="EC199" s="353"/>
      <c r="ED199" s="353"/>
      <c r="EE199" s="353"/>
      <c r="EF199" s="353"/>
      <c r="EG199" s="353"/>
      <c r="EH199" s="353"/>
      <c r="EI199" s="353"/>
      <c r="EJ199" s="353"/>
      <c r="EK199" s="353"/>
      <c r="EL199" s="353"/>
      <c r="EM199" s="353"/>
      <c r="EN199" s="353"/>
      <c r="EO199" s="353"/>
      <c r="EP199" s="353"/>
      <c r="EQ199" s="353"/>
      <c r="ER199" s="353"/>
      <c r="ES199" s="353"/>
      <c r="ET199" s="353"/>
      <c r="EU199" s="353"/>
      <c r="EV199" s="353"/>
      <c r="EW199" s="353"/>
      <c r="EX199" s="353"/>
      <c r="EY199" s="353"/>
      <c r="EZ199" s="353"/>
      <c r="FA199" s="353"/>
      <c r="FB199" s="353"/>
      <c r="FC199" s="353"/>
      <c r="FD199" s="353"/>
      <c r="FE199" s="353"/>
      <c r="FF199" s="353"/>
      <c r="FG199" s="353"/>
      <c r="FH199" s="353"/>
      <c r="FI199" s="353"/>
      <c r="FJ199" s="353"/>
      <c r="FK199" s="353"/>
      <c r="FL199" s="353"/>
      <c r="FM199" s="353"/>
      <c r="FN199" s="353"/>
      <c r="FO199" s="353"/>
      <c r="FP199" s="353"/>
      <c r="FQ199" s="353"/>
    </row>
    <row r="200" spans="1:173" s="351" customFormat="1">
      <c r="A200" s="430" t="s">
        <v>56</v>
      </c>
      <c r="B200" s="351">
        <v>2022</v>
      </c>
      <c r="C200" s="411" t="s">
        <v>47</v>
      </c>
      <c r="F200" s="370"/>
      <c r="G200" s="435"/>
      <c r="H200" s="435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14">
        <f>'2015 Program Invest Amort Def'!BT85</f>
        <v>312304.99999999721</v>
      </c>
      <c r="V200" s="414">
        <f>'2015 Program Invest Amort Def'!BT85</f>
        <v>312304.99999999721</v>
      </c>
      <c r="W200" s="414">
        <f>'2015 Program Invest Amort Def'!EG85</f>
        <v>-87788.935500000051</v>
      </c>
      <c r="X200" s="397">
        <f t="shared" si="243"/>
        <v>224516.06449999716</v>
      </c>
      <c r="Y200" s="435"/>
      <c r="Z200" s="394">
        <v>53000850</v>
      </c>
      <c r="AA200" s="480">
        <f>'Schedule NJNG-3 - Page 2'!E84</f>
        <v>1.9099999999999999E-2</v>
      </c>
      <c r="AB200" s="439">
        <f t="shared" si="244"/>
        <v>1012316.235</v>
      </c>
      <c r="AO200" s="372">
        <f>'RGGI - Invest Amort deferred'!AG146+'RGGI CHP'!V98</f>
        <v>0</v>
      </c>
      <c r="AP200" s="353"/>
      <c r="AQ200" s="412">
        <f>(H197+J197)*'Capital Structure '!$F$21/12</f>
        <v>0</v>
      </c>
      <c r="AR200" s="412">
        <f>(H197+J197)*'Capital Structure '!$E$34/12</f>
        <v>0</v>
      </c>
      <c r="AS200" s="412">
        <f>(H197+J197)*'Capital Structure '!$F$18/12</f>
        <v>0</v>
      </c>
      <c r="AT200" s="412">
        <f>'RGGI - On-bill financing'!J140*'Capital Structure '!$P$34/12</f>
        <v>0</v>
      </c>
      <c r="AU200" s="412">
        <f>'RGGI - On-bill financing'!J140*('Capital Structure '!$F$18+'Capital Structure '!$F$21)/12</f>
        <v>0</v>
      </c>
      <c r="AV200" s="415">
        <f t="shared" si="245"/>
        <v>0</v>
      </c>
      <c r="AW200" s="353"/>
      <c r="AX200" s="415">
        <v>0</v>
      </c>
      <c r="AY200" s="431">
        <f t="shared" si="246"/>
        <v>0</v>
      </c>
      <c r="BA200" s="412">
        <f>'RGGI II Invest Amort Def'!AG131</f>
        <v>0</v>
      </c>
      <c r="BB200" s="353"/>
      <c r="BC200" s="412">
        <f>(L200+N200)*'Capital Structure '!$H$21/12</f>
        <v>0</v>
      </c>
      <c r="BD200" s="412">
        <f>(L200+N200)*'Capital Structure '!$W$34/12</f>
        <v>0</v>
      </c>
      <c r="BE200" s="412">
        <f>(L200+N200)*'Capital Structure '!$H$18/12</f>
        <v>0</v>
      </c>
      <c r="BF200" s="412">
        <f>'RGGI II On Bill Fin''g'!L128*'Capital Structure '!$W$34/12</f>
        <v>856.34074654312644</v>
      </c>
      <c r="BG200" s="412">
        <f>'RGGI II On Bill Fin''g'!L128*('Capital Structure '!$H$18+'Capital Structure '!$H$21)/12</f>
        <v>2947.6841949235227</v>
      </c>
      <c r="BH200" s="415">
        <f t="shared" si="247"/>
        <v>3804.0249414666491</v>
      </c>
      <c r="BI200" s="353"/>
      <c r="BJ200" s="437">
        <v>0</v>
      </c>
      <c r="BK200" s="431">
        <f t="shared" si="248"/>
        <v>3804.0249414666491</v>
      </c>
      <c r="BM200" s="412">
        <f>'2013 program Invest Amort Def'!AW110</f>
        <v>0</v>
      </c>
      <c r="BN200" s="353"/>
      <c r="BO200" s="412">
        <f>(S200)*'Capital Structure '!$J$21/12</f>
        <v>0</v>
      </c>
      <c r="BP200" s="412">
        <f>(S200)*'Capital Structure '!$V$34/12</f>
        <v>0</v>
      </c>
      <c r="BQ200" s="412">
        <f>(S200)*'Capital Structure '!$J$18/12</f>
        <v>0</v>
      </c>
      <c r="BR200" s="412">
        <f>('2013 program 10 yr On Bill Fin'!M110+'2013 program 5 yr On Bill Fin'!L108+'2013 program 2 yr On Bill Fin'!M98)*'Capital Structure '!$V$34/12</f>
        <v>12211.293633598551</v>
      </c>
      <c r="BS200" s="412">
        <f>('2013 program 10 yr On Bill Fin'!M110+'2013 program 5 yr On Bill Fin'!L108+'2013 program 2 yr On Bill Fin'!M98)*('Capital Structure '!$J$18+'Capital Structure '!$J$21)/12</f>
        <v>41312.437562500003</v>
      </c>
      <c r="BT200" s="431">
        <f t="shared" si="249"/>
        <v>53523.731196098553</v>
      </c>
      <c r="BU200" s="353"/>
      <c r="BV200" s="438">
        <v>0</v>
      </c>
      <c r="BW200" s="431">
        <f t="shared" si="250"/>
        <v>53523.731196098553</v>
      </c>
      <c r="BY200" s="412">
        <f>'2015 Program Invest Amort Def'!BR85</f>
        <v>31923.333333333321</v>
      </c>
      <c r="BZ200" s="353"/>
      <c r="CA200" s="412">
        <f>X200*'Capital Structure '!$T$21/12</f>
        <v>309.83216900999605</v>
      </c>
      <c r="CB200" s="412">
        <f>(X200)*'Capital Structure '!$T$34/12</f>
        <v>379.24820135999522</v>
      </c>
      <c r="CC200" s="412">
        <f>(X200)*'Capital Structure '!$T$18/12</f>
        <v>969.9093986399879</v>
      </c>
      <c r="CD200" s="412">
        <f>('2015 Program 10-Year OBRP'!P85+'2015 Program 7-Year OBRP'!M85+'2015 Program 5-Year OBRP'!K85+'2015 Program 3-Year OBRP'!K85)*('Capital Structure '!$T$34/12)</f>
        <v>16954.266393488499</v>
      </c>
      <c r="CE200" s="412">
        <f>('2015 Program 10-Year OBRP'!P85+'2015 Program 7-Year OBRP'!M85+'2015 Program 5-Year OBRP'!K85+'2015 Program 3-Year OBRP'!K85)*(('Capital Structure '!$T$21/12)+('Capital Structure '!$T$18/12))</f>
        <v>57210.764283000011</v>
      </c>
      <c r="CF200" s="431">
        <f t="shared" si="260"/>
        <v>75824.020445498492</v>
      </c>
      <c r="CG200" s="373">
        <v>-11302.860000000006</v>
      </c>
      <c r="CH200" s="353"/>
      <c r="CI200" s="353"/>
      <c r="CJ200" s="431">
        <f t="shared" si="261"/>
        <v>96444.493778831806</v>
      </c>
      <c r="CL200" s="431">
        <f>'2018 SUMMARY'!Q65</f>
        <v>568724.86056616018</v>
      </c>
      <c r="CM200" s="431"/>
      <c r="CN200" s="431">
        <f>'2018 SUMMARY'!S65</f>
        <v>40745.008755057628</v>
      </c>
      <c r="CO200" s="431">
        <f>'2018 SUMMARY'!T65</f>
        <v>49873.682691271228</v>
      </c>
      <c r="CP200" s="431">
        <f>'2018 SUMMARY'!U65</f>
        <v>127549.59262452823</v>
      </c>
      <c r="CQ200" s="431">
        <f>'2018 SUMMARY'!V65</f>
        <v>35902.967569294648</v>
      </c>
      <c r="CR200" s="431">
        <f>'2018 SUMMARY'!W65</f>
        <v>121151.583147</v>
      </c>
      <c r="CS200" s="431">
        <f t="shared" si="253"/>
        <v>375222.83478715178</v>
      </c>
      <c r="CT200" s="562">
        <v>-4666.13</v>
      </c>
      <c r="CU200" s="431"/>
      <c r="CV200" s="562">
        <v>634.29999999999995</v>
      </c>
      <c r="CW200" s="431">
        <f t="shared" si="254"/>
        <v>939915.86535331188</v>
      </c>
      <c r="CY200" s="436">
        <f t="shared" si="255"/>
        <v>81371.880269708927</v>
      </c>
      <c r="CZ200" s="436">
        <f t="shared" si="256"/>
        <v>-3379679.5612431988</v>
      </c>
      <c r="DA200" s="436">
        <f t="shared" si="257"/>
        <v>-2458900.7589406823</v>
      </c>
      <c r="DB200" s="568">
        <f t="shared" si="258"/>
        <v>2.8999999999999998E-3</v>
      </c>
      <c r="DC200" s="394">
        <f t="shared" si="259"/>
        <v>-594.23435007733144</v>
      </c>
      <c r="DE200" s="353"/>
      <c r="DF200" s="353"/>
      <c r="DG200" s="420">
        <f t="shared" si="241"/>
        <v>6.8400000000000016E-2</v>
      </c>
      <c r="DH200" s="420">
        <f t="shared" si="242"/>
        <v>8.8670168312699971E-2</v>
      </c>
      <c r="DI200" s="353"/>
      <c r="DJ200" s="353"/>
      <c r="DK200" s="353"/>
      <c r="DL200" s="353"/>
      <c r="DM200" s="353"/>
      <c r="DN200" s="353"/>
      <c r="DO200" s="353"/>
      <c r="DP200" s="353"/>
      <c r="DQ200" s="353"/>
      <c r="DR200" s="353"/>
      <c r="DS200" s="353"/>
      <c r="DT200" s="353"/>
      <c r="DU200" s="353"/>
      <c r="DV200" s="353"/>
      <c r="DW200" s="353"/>
      <c r="DX200" s="353"/>
      <c r="DY200" s="353"/>
      <c r="DZ200" s="353"/>
      <c r="EA200" s="353"/>
      <c r="EB200" s="353"/>
      <c r="EC200" s="353"/>
      <c r="ED200" s="353"/>
      <c r="EE200" s="353"/>
      <c r="EF200" s="353"/>
      <c r="EG200" s="353"/>
      <c r="EH200" s="353"/>
      <c r="EI200" s="353"/>
      <c r="EJ200" s="353"/>
      <c r="EK200" s="353"/>
      <c r="EL200" s="353"/>
      <c r="EM200" s="353"/>
      <c r="EN200" s="353"/>
      <c r="EO200" s="353"/>
      <c r="EP200" s="353"/>
      <c r="EQ200" s="353"/>
      <c r="ER200" s="353"/>
      <c r="ES200" s="353"/>
      <c r="ET200" s="353"/>
      <c r="EU200" s="353"/>
      <c r="EV200" s="353"/>
      <c r="EW200" s="353"/>
      <c r="EX200" s="353"/>
      <c r="EY200" s="353"/>
      <c r="EZ200" s="353"/>
      <c r="FA200" s="353"/>
      <c r="FB200" s="353"/>
      <c r="FC200" s="353"/>
      <c r="FD200" s="353"/>
      <c r="FE200" s="353"/>
      <c r="FF200" s="353"/>
      <c r="FG200" s="353"/>
      <c r="FH200" s="353"/>
      <c r="FI200" s="353"/>
      <c r="FJ200" s="353"/>
      <c r="FK200" s="353"/>
      <c r="FL200" s="353"/>
      <c r="FM200" s="353"/>
      <c r="FN200" s="353"/>
      <c r="FO200" s="353"/>
      <c r="FP200" s="353"/>
      <c r="FQ200" s="353"/>
    </row>
    <row r="201" spans="1:173" s="351" customFormat="1">
      <c r="A201" s="430" t="s">
        <v>57</v>
      </c>
      <c r="B201" s="351">
        <v>2022</v>
      </c>
      <c r="C201" s="411" t="s">
        <v>47</v>
      </c>
      <c r="F201" s="370"/>
      <c r="G201" s="435"/>
      <c r="H201" s="435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14">
        <f>'2015 Program Invest Amort Def'!BT86</f>
        <v>282816.66666666418</v>
      </c>
      <c r="V201" s="414">
        <f>'2015 Program Invest Amort Def'!BT86</f>
        <v>282816.66666666418</v>
      </c>
      <c r="W201" s="414">
        <f>'2015 Program Invest Amort Def'!EG86</f>
        <v>-79499.765000000058</v>
      </c>
      <c r="X201" s="397">
        <f t="shared" si="243"/>
        <v>203316.90166666411</v>
      </c>
      <c r="Y201" s="435"/>
      <c r="Z201" s="394">
        <f>'Schedule NJNG-3 - Page 3'!J$133</f>
        <v>30749004.600000001</v>
      </c>
      <c r="AA201" s="480">
        <f>'Schedule NJNG-3 - Page 2'!E85</f>
        <v>1.9099999999999999E-2</v>
      </c>
      <c r="AB201" s="439">
        <f t="shared" si="244"/>
        <v>587305.98785999999</v>
      </c>
      <c r="AO201" s="372">
        <f>'RGGI - Invest Amort deferred'!AG147+'RGGI CHP'!V99</f>
        <v>0</v>
      </c>
      <c r="AP201" s="353"/>
      <c r="AQ201" s="412">
        <f>(H198+J198)*'Capital Structure '!$F$21/12</f>
        <v>0</v>
      </c>
      <c r="AR201" s="412">
        <f>(H198+J198)*'Capital Structure '!$E$34/12</f>
        <v>0</v>
      </c>
      <c r="AS201" s="412">
        <f>(H198+J198)*'Capital Structure '!$F$18/12</f>
        <v>0</v>
      </c>
      <c r="AT201" s="412">
        <f>'RGGI - On-bill financing'!J141*'Capital Structure '!$P$34/12</f>
        <v>0</v>
      </c>
      <c r="AU201" s="412">
        <f>'RGGI - On-bill financing'!J141*('Capital Structure '!$F$18+'Capital Structure '!$F$21)/12</f>
        <v>0</v>
      </c>
      <c r="AV201" s="415">
        <f t="shared" si="245"/>
        <v>0</v>
      </c>
      <c r="AW201" s="353"/>
      <c r="AX201" s="415">
        <v>0</v>
      </c>
      <c r="AY201" s="431">
        <f t="shared" si="246"/>
        <v>0</v>
      </c>
      <c r="BA201" s="412">
        <f>'RGGI II Invest Amort Def'!AG132</f>
        <v>0</v>
      </c>
      <c r="BB201" s="353"/>
      <c r="BC201" s="412">
        <f>(L201+N201)*'Capital Structure '!$H$21/12</f>
        <v>0</v>
      </c>
      <c r="BD201" s="412">
        <f>(L201+N201)*'Capital Structure '!$W$34/12</f>
        <v>0</v>
      </c>
      <c r="BE201" s="412">
        <f>(L201+N201)*'Capital Structure '!$H$18/12</f>
        <v>0</v>
      </c>
      <c r="BF201" s="412">
        <f>'RGGI II On Bill Fin''g'!L129*'Capital Structure '!$W$34/12</f>
        <v>753.08218998650739</v>
      </c>
      <c r="BG201" s="412">
        <f>'RGGI II On Bill Fin''g'!L129*('Capital Structure '!$H$18+'Capital Structure '!$H$21)/12</f>
        <v>2592.2490292126104</v>
      </c>
      <c r="BH201" s="415">
        <f t="shared" si="247"/>
        <v>3345.3312191991176</v>
      </c>
      <c r="BI201" s="353"/>
      <c r="BJ201" s="437">
        <v>0</v>
      </c>
      <c r="BK201" s="431">
        <f t="shared" si="248"/>
        <v>3345.3312191991176</v>
      </c>
      <c r="BM201" s="412">
        <f>'2013 program Invest Amort Def'!AW111</f>
        <v>0</v>
      </c>
      <c r="BN201" s="353"/>
      <c r="BO201" s="412">
        <f>(S201)*'Capital Structure '!$J$21/12</f>
        <v>0</v>
      </c>
      <c r="BP201" s="412">
        <f>(S201)*'Capital Structure '!$V$34/12</f>
        <v>0</v>
      </c>
      <c r="BQ201" s="412">
        <f>(S201)*'Capital Structure '!$J$18/12</f>
        <v>0</v>
      </c>
      <c r="BR201" s="412">
        <f>('2013 program 10 yr On Bill Fin'!M111+'2013 program 5 yr On Bill Fin'!L109+'2013 program 2 yr On Bill Fin'!M99)*'Capital Structure '!$V$34/12</f>
        <v>11775.396886669309</v>
      </c>
      <c r="BS201" s="412">
        <f>('2013 program 10 yr On Bill Fin'!M111+'2013 program 5 yr On Bill Fin'!L109+'2013 program 2 yr On Bill Fin'!M99)*('Capital Structure '!$J$18+'Capital Structure '!$J$21)/12</f>
        <v>39837.74064000004</v>
      </c>
      <c r="BT201" s="431">
        <f t="shared" si="249"/>
        <v>51613.13752666935</v>
      </c>
      <c r="BU201" s="353"/>
      <c r="BV201" s="438">
        <v>0</v>
      </c>
      <c r="BW201" s="431">
        <f t="shared" si="250"/>
        <v>51613.13752666935</v>
      </c>
      <c r="BY201" s="412">
        <f>'2015 Program Invest Amort Def'!BR86</f>
        <v>29488.333333333325</v>
      </c>
      <c r="BZ201" s="353"/>
      <c r="CA201" s="412">
        <f>X201*'Capital Structure '!$T$21/12</f>
        <v>280.57732429999646</v>
      </c>
      <c r="CB201" s="412">
        <f>(X201)*'Capital Structure '!$T$34/12</f>
        <v>343.43898479999575</v>
      </c>
      <c r="CC201" s="412">
        <f>(X201)*'Capital Structure '!$T$18/12</f>
        <v>878.32901519998904</v>
      </c>
      <c r="CD201" s="412">
        <f>('2015 Program 10-Year OBRP'!P86+'2015 Program 7-Year OBRP'!M86+'2015 Program 5-Year OBRP'!K86+'2015 Program 3-Year OBRP'!K86)*('Capital Structure '!$T$34/12)</f>
        <v>16437.931912913176</v>
      </c>
      <c r="CE201" s="412">
        <f>('2015 Program 10-Year OBRP'!P86+'2015 Program 7-Year OBRP'!M86+'2015 Program 5-Year OBRP'!K86+'2015 Program 3-Year OBRP'!K86)*(('Capital Structure '!$T$21/12)+('Capital Structure '!$T$18/12))</f>
        <v>55468.436448000008</v>
      </c>
      <c r="CF201" s="431">
        <f t="shared" si="260"/>
        <v>73408.713685213166</v>
      </c>
      <c r="CG201" s="373">
        <v>-9095.4100000000017</v>
      </c>
      <c r="CH201" s="353"/>
      <c r="CI201" s="353"/>
      <c r="CJ201" s="431">
        <f t="shared" si="261"/>
        <v>93801.637018546491</v>
      </c>
      <c r="CL201" s="431">
        <f>'2018 SUMMARY'!Q66</f>
        <v>569735.77663758886</v>
      </c>
      <c r="CM201" s="431"/>
      <c r="CN201" s="431">
        <f>'2018 SUMMARY'!S66</f>
        <v>39708.905136544301</v>
      </c>
      <c r="CO201" s="431">
        <f>'2018 SUMMARY'!T66</f>
        <v>48605.446294129775</v>
      </c>
      <c r="CP201" s="431">
        <f>'2018 SUMMARY'!U66</f>
        <v>124306.13781874739</v>
      </c>
      <c r="CQ201" s="431">
        <f>'2018 SUMMARY'!V66</f>
        <v>35192.339640326507</v>
      </c>
      <c r="CR201" s="431">
        <f>'2018 SUMMARY'!W66</f>
        <v>118753.62820200002</v>
      </c>
      <c r="CS201" s="431">
        <f t="shared" si="253"/>
        <v>366566.45709174802</v>
      </c>
      <c r="CT201" s="562">
        <v>-4287.5200000000004</v>
      </c>
      <c r="CU201" s="431"/>
      <c r="CV201" s="431">
        <v>580</v>
      </c>
      <c r="CW201" s="431">
        <f t="shared" si="254"/>
        <v>932594.71372933686</v>
      </c>
      <c r="CY201" s="412">
        <f t="shared" si="255"/>
        <v>494048.83163375175</v>
      </c>
      <c r="CZ201" s="412">
        <f t="shared" si="256"/>
        <v>-2885630.7296094471</v>
      </c>
      <c r="DA201" s="412">
        <f t="shared" si="257"/>
        <v>-2252065.7840469833</v>
      </c>
      <c r="DB201" s="417">
        <f t="shared" si="258"/>
        <v>2.8999999999999998E-3</v>
      </c>
      <c r="DC201" s="434">
        <f t="shared" si="259"/>
        <v>-544.24923114468754</v>
      </c>
      <c r="DE201" s="353"/>
      <c r="DF201" s="353"/>
      <c r="DG201" s="420">
        <f t="shared" si="241"/>
        <v>6.8400000000000002E-2</v>
      </c>
      <c r="DH201" s="420">
        <f t="shared" si="242"/>
        <v>8.8670168312699971E-2</v>
      </c>
      <c r="DI201" s="353"/>
      <c r="DJ201" s="353"/>
      <c r="DK201" s="353"/>
      <c r="DL201" s="353"/>
      <c r="DM201" s="353"/>
      <c r="DN201" s="353"/>
      <c r="DO201" s="353"/>
      <c r="DP201" s="353"/>
      <c r="DQ201" s="353"/>
      <c r="DR201" s="353"/>
      <c r="DS201" s="353"/>
      <c r="DT201" s="353"/>
      <c r="DU201" s="353"/>
      <c r="DV201" s="353"/>
      <c r="DW201" s="353"/>
      <c r="DX201" s="353"/>
      <c r="DY201" s="353"/>
      <c r="DZ201" s="353"/>
      <c r="EA201" s="353"/>
      <c r="EB201" s="353"/>
      <c r="EC201" s="353"/>
      <c r="ED201" s="353"/>
      <c r="EE201" s="353"/>
      <c r="EF201" s="353"/>
      <c r="EG201" s="353"/>
      <c r="EH201" s="353"/>
      <c r="EI201" s="353"/>
      <c r="EJ201" s="353"/>
      <c r="EK201" s="353"/>
      <c r="EL201" s="353"/>
      <c r="EM201" s="353"/>
      <c r="EN201" s="353"/>
      <c r="EO201" s="353"/>
      <c r="EP201" s="353"/>
      <c r="EQ201" s="353"/>
      <c r="ER201" s="353"/>
      <c r="ES201" s="353"/>
      <c r="ET201" s="353"/>
      <c r="EU201" s="353"/>
      <c r="EV201" s="353"/>
      <c r="EW201" s="353"/>
      <c r="EX201" s="353"/>
      <c r="EY201" s="353"/>
      <c r="EZ201" s="353"/>
      <c r="FA201" s="353"/>
      <c r="FB201" s="353"/>
      <c r="FC201" s="353"/>
      <c r="FD201" s="353"/>
      <c r="FE201" s="353"/>
      <c r="FF201" s="353"/>
      <c r="FG201" s="353"/>
      <c r="FH201" s="353"/>
      <c r="FI201" s="353"/>
      <c r="FJ201" s="353"/>
      <c r="FK201" s="353"/>
      <c r="FL201" s="353"/>
      <c r="FM201" s="353"/>
      <c r="FN201" s="353"/>
      <c r="FO201" s="353"/>
      <c r="FP201" s="353"/>
      <c r="FQ201" s="353"/>
    </row>
    <row r="202" spans="1:173" s="351" customFormat="1">
      <c r="A202" s="430" t="s">
        <v>58</v>
      </c>
      <c r="B202" s="351">
        <v>2022</v>
      </c>
      <c r="C202" s="411" t="s">
        <v>47</v>
      </c>
      <c r="F202" s="370"/>
      <c r="G202" s="435"/>
      <c r="H202" s="435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14">
        <f>'2015 Program Invest Amort Def'!BT87</f>
        <v>254796.66666666418</v>
      </c>
      <c r="V202" s="414">
        <f>'2015 Program Invest Amort Def'!BT87</f>
        <v>254796.66666666418</v>
      </c>
      <c r="W202" s="414">
        <f>'2015 Program Invest Amort Def'!EG87</f>
        <v>-71623.343000000052</v>
      </c>
      <c r="X202" s="397">
        <f t="shared" si="243"/>
        <v>183173.32366666413</v>
      </c>
      <c r="Y202" s="435"/>
      <c r="Z202" s="394">
        <f>'Schedule NJNG-3 - Page 3'!K$133</f>
        <v>23701026.149999999</v>
      </c>
      <c r="AA202" s="480">
        <f>'Schedule NJNG-3 - Page 2'!E86</f>
        <v>1.9099999999999999E-2</v>
      </c>
      <c r="AB202" s="439">
        <f t="shared" si="244"/>
        <v>452689.59946499992</v>
      </c>
      <c r="AO202" s="372">
        <f>'RGGI - Invest Amort deferred'!AG148+'RGGI CHP'!V100</f>
        <v>0</v>
      </c>
      <c r="AP202" s="353"/>
      <c r="AQ202" s="412">
        <f>(H199+J199)*'Capital Structure '!$F$21/12</f>
        <v>0</v>
      </c>
      <c r="AR202" s="412">
        <f>(H199+J199)*'Capital Structure '!$E$34/12</f>
        <v>0</v>
      </c>
      <c r="AS202" s="412">
        <f>(H199+J199)*'Capital Structure '!$F$18/12</f>
        <v>0</v>
      </c>
      <c r="AT202" s="412">
        <f>'RGGI - On-bill financing'!J142*'Capital Structure '!$P$34/12</f>
        <v>0</v>
      </c>
      <c r="AU202" s="412">
        <f>'RGGI - On-bill financing'!J142*('Capital Structure '!$F$18+'Capital Structure '!$F$21)/12</f>
        <v>0</v>
      </c>
      <c r="AV202" s="415">
        <f t="shared" si="245"/>
        <v>0</v>
      </c>
      <c r="AW202" s="353"/>
      <c r="AX202" s="415">
        <v>0</v>
      </c>
      <c r="AY202" s="431">
        <f t="shared" si="246"/>
        <v>0</v>
      </c>
      <c r="BA202" s="412">
        <f>'RGGI II Invest Amort Def'!AG133</f>
        <v>0</v>
      </c>
      <c r="BB202" s="353"/>
      <c r="BC202" s="412">
        <f>(L202+N202)*'Capital Structure '!$H$21/12</f>
        <v>0</v>
      </c>
      <c r="BD202" s="412">
        <f>(L202+N202)*'Capital Structure '!$W$34/12</f>
        <v>0</v>
      </c>
      <c r="BE202" s="412">
        <f>(L202+N202)*'Capital Structure '!$H$18/12</f>
        <v>0</v>
      </c>
      <c r="BF202" s="412">
        <f>'RGGI II On Bill Fin''g'!L130*'Capital Structure '!$W$34/12</f>
        <v>645.58279534998417</v>
      </c>
      <c r="BG202" s="412">
        <f>'RGGI II On Bill Fin''g'!L130*('Capital Structure '!$H$18+'Capital Structure '!$H$21)/12</f>
        <v>2222.2161097082153</v>
      </c>
      <c r="BH202" s="415">
        <f t="shared" si="247"/>
        <v>2867.7989050581996</v>
      </c>
      <c r="BI202" s="353"/>
      <c r="BJ202" s="437">
        <v>0</v>
      </c>
      <c r="BK202" s="431">
        <f t="shared" si="248"/>
        <v>2867.7989050581996</v>
      </c>
      <c r="BM202" s="412">
        <f>'2013 program Invest Amort Def'!AW112</f>
        <v>0</v>
      </c>
      <c r="BN202" s="353"/>
      <c r="BO202" s="412">
        <f>(S202)*'Capital Structure '!$J$21/12</f>
        <v>0</v>
      </c>
      <c r="BP202" s="412">
        <f>(S202)*'Capital Structure '!$V$34/12</f>
        <v>0</v>
      </c>
      <c r="BQ202" s="412">
        <f>(S202)*'Capital Structure '!$J$18/12</f>
        <v>0</v>
      </c>
      <c r="BR202" s="412">
        <f>('2013 program 10 yr On Bill Fin'!M112+'2013 program 5 yr On Bill Fin'!L110+'2013 program 2 yr On Bill Fin'!M100)*'Capital Structure '!$V$34/12</f>
        <v>11230.721216691301</v>
      </c>
      <c r="BS202" s="412">
        <f>('2013 program 10 yr On Bill Fin'!M112+'2013 program 5 yr On Bill Fin'!L110+'2013 program 2 yr On Bill Fin'!M100)*('Capital Structure '!$J$18+'Capital Structure '!$J$21)/12</f>
        <v>37995.030090000095</v>
      </c>
      <c r="BT202" s="431">
        <f t="shared" si="249"/>
        <v>49225.751306691396</v>
      </c>
      <c r="BU202" s="353"/>
      <c r="BV202" s="438">
        <v>0</v>
      </c>
      <c r="BW202" s="431">
        <f t="shared" si="250"/>
        <v>49225.751306691396</v>
      </c>
      <c r="BY202" s="412">
        <f>'2015 Program Invest Amort Def'!BR87</f>
        <v>28019.999999999993</v>
      </c>
      <c r="BZ202" s="353"/>
      <c r="CA202" s="412">
        <f>X202*'Capital Structure '!$T$21/12</f>
        <v>252.7791866599965</v>
      </c>
      <c r="CB202" s="412">
        <f>(X202)*'Capital Structure '!$T$34/12</f>
        <v>309.41284175999573</v>
      </c>
      <c r="CC202" s="412">
        <f>(X202)*'Capital Structure '!$T$18/12</f>
        <v>791.30875823998906</v>
      </c>
      <c r="CD202" s="412">
        <f>('2015 Program 10-Year OBRP'!P87+'2015 Program 7-Year OBRP'!M87+'2015 Program 5-Year OBRP'!K87+'2015 Program 3-Year OBRP'!K87)*('Capital Structure '!$T$34/12)</f>
        <v>15839.446494200138</v>
      </c>
      <c r="CE202" s="412">
        <f>('2015 Program 10-Year OBRP'!P87+'2015 Program 7-Year OBRP'!M87+'2015 Program 5-Year OBRP'!K87+'2015 Program 3-Year OBRP'!K87)*(('Capital Structure '!$T$21/12)+('Capital Structure '!$T$18/12))</f>
        <v>53448.897092999992</v>
      </c>
      <c r="CF202" s="431">
        <f t="shared" si="260"/>
        <v>70641.844373860105</v>
      </c>
      <c r="CG202" s="373">
        <v>-9711.7199999999975</v>
      </c>
      <c r="CH202" s="353"/>
      <c r="CI202" s="353"/>
      <c r="CJ202" s="431">
        <f t="shared" si="261"/>
        <v>88950.124373860104</v>
      </c>
      <c r="CL202" s="431">
        <f>'2018 SUMMARY'!Q67</f>
        <v>613374.69294711272</v>
      </c>
      <c r="CM202" s="431"/>
      <c r="CN202" s="431">
        <f>'2018 SUMMARY'!S67</f>
        <v>43479.099885007723</v>
      </c>
      <c r="CO202" s="431">
        <f>'2018 SUMMARY'!T67</f>
        <v>53220.330480301942</v>
      </c>
      <c r="CP202" s="431">
        <f>'2018 SUMMARY'!U67</f>
        <v>136108.48659654593</v>
      </c>
      <c r="CQ202" s="431">
        <f>'2018 SUMMARY'!V67</f>
        <v>34298.196097267275</v>
      </c>
      <c r="CR202" s="431">
        <f>'2018 SUMMARY'!W67</f>
        <v>115736.41505400001</v>
      </c>
      <c r="CS202" s="431">
        <f t="shared" si="253"/>
        <v>382842.52811312291</v>
      </c>
      <c r="CT202" s="562">
        <v>-4179.9799999999996</v>
      </c>
      <c r="CU202" s="431"/>
      <c r="CV202" s="431">
        <v>590</v>
      </c>
      <c r="CW202" s="431">
        <f t="shared" si="254"/>
        <v>992627.24106023565</v>
      </c>
      <c r="CY202" s="412">
        <f t="shared" si="255"/>
        <v>680981.31618084526</v>
      </c>
      <c r="CZ202" s="412">
        <f t="shared" si="256"/>
        <v>-2204649.4134286018</v>
      </c>
      <c r="DA202" s="412">
        <f t="shared" si="257"/>
        <v>-1829701.1974150268</v>
      </c>
      <c r="DB202" s="417">
        <f t="shared" si="258"/>
        <v>2.8999999999999998E-3</v>
      </c>
      <c r="DC202" s="434">
        <f t="shared" si="259"/>
        <v>-442.17778937529812</v>
      </c>
      <c r="DE202" s="353"/>
      <c r="DF202" s="353"/>
      <c r="DG202" s="420">
        <f t="shared" si="241"/>
        <v>6.8400000000000002E-2</v>
      </c>
      <c r="DH202" s="420">
        <f t="shared" si="242"/>
        <v>8.8670168312699957E-2</v>
      </c>
      <c r="DI202" s="353"/>
      <c r="DJ202" s="353"/>
      <c r="DK202" s="353"/>
      <c r="DL202" s="353"/>
      <c r="DM202" s="353"/>
      <c r="DN202" s="353"/>
      <c r="DO202" s="353"/>
      <c r="DP202" s="353"/>
      <c r="DQ202" s="353"/>
      <c r="DR202" s="353"/>
      <c r="DS202" s="353"/>
      <c r="DT202" s="353"/>
      <c r="DU202" s="353"/>
      <c r="DV202" s="353"/>
      <c r="DW202" s="353"/>
      <c r="DX202" s="353"/>
      <c r="DY202" s="353"/>
      <c r="DZ202" s="353"/>
      <c r="EA202" s="353"/>
      <c r="EB202" s="353"/>
      <c r="EC202" s="353"/>
      <c r="ED202" s="353"/>
      <c r="EE202" s="353"/>
      <c r="EF202" s="353"/>
      <c r="EG202" s="353"/>
      <c r="EH202" s="353"/>
      <c r="EI202" s="353"/>
      <c r="EJ202" s="353"/>
      <c r="EK202" s="353"/>
      <c r="EL202" s="353"/>
      <c r="EM202" s="353"/>
      <c r="EN202" s="353"/>
      <c r="EO202" s="353"/>
      <c r="EP202" s="353"/>
      <c r="EQ202" s="353"/>
      <c r="ER202" s="353"/>
      <c r="ES202" s="353"/>
      <c r="ET202" s="353"/>
      <c r="EU202" s="353"/>
      <c r="EV202" s="353"/>
      <c r="EW202" s="353"/>
      <c r="EX202" s="353"/>
      <c r="EY202" s="353"/>
      <c r="EZ202" s="353"/>
      <c r="FA202" s="353"/>
      <c r="FB202" s="353"/>
      <c r="FC202" s="353"/>
      <c r="FD202" s="353"/>
      <c r="FE202" s="353"/>
      <c r="FF202" s="353"/>
      <c r="FG202" s="353"/>
      <c r="FH202" s="353"/>
      <c r="FI202" s="353"/>
      <c r="FJ202" s="353"/>
      <c r="FK202" s="353"/>
      <c r="FL202" s="353"/>
      <c r="FM202" s="353"/>
      <c r="FN202" s="353"/>
      <c r="FO202" s="353"/>
      <c r="FP202" s="353"/>
      <c r="FQ202" s="353"/>
    </row>
    <row r="203" spans="1:173" s="351" customFormat="1">
      <c r="A203" s="430" t="s">
        <v>59</v>
      </c>
      <c r="B203" s="351">
        <v>2022</v>
      </c>
      <c r="C203" s="411" t="s">
        <v>47</v>
      </c>
      <c r="F203" s="370"/>
      <c r="G203" s="435"/>
      <c r="H203" s="435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14">
        <f>'2015 Program Invest Amort Def'!BT88</f>
        <v>228103.33333333116</v>
      </c>
      <c r="V203" s="414">
        <f>'2015 Program Invest Amort Def'!BT88</f>
        <v>228103.33333333116</v>
      </c>
      <c r="W203" s="414">
        <f>'2015 Program Invest Amort Def'!EG88</f>
        <v>-64119.847000000053</v>
      </c>
      <c r="X203" s="397">
        <f t="shared" si="243"/>
        <v>163983.48633333109</v>
      </c>
      <c r="Y203" s="435"/>
      <c r="Z203" s="394">
        <f>'Schedule NJNG-3 - Page 3'!L$133</f>
        <v>21264612.650000002</v>
      </c>
      <c r="AA203" s="480">
        <f>'Schedule NJNG-3 - Page 2'!E87</f>
        <v>1.9099999999999999E-2</v>
      </c>
      <c r="AB203" s="569">
        <f t="shared" si="244"/>
        <v>406154.10161499999</v>
      </c>
      <c r="AO203" s="372">
        <f>'RGGI - Invest Amort deferred'!AG149+'RGGI CHP'!V101</f>
        <v>0</v>
      </c>
      <c r="AP203" s="353"/>
      <c r="AQ203" s="412">
        <f>(H200+J200)*'Capital Structure '!$F$21/12</f>
        <v>0</v>
      </c>
      <c r="AR203" s="412">
        <f>(H200+J200)*'Capital Structure '!$E$34/12</f>
        <v>0</v>
      </c>
      <c r="AS203" s="412">
        <f>(H200+J200)*'Capital Structure '!$F$18/12</f>
        <v>0</v>
      </c>
      <c r="AT203" s="412">
        <f>'RGGI - On-bill financing'!J143*'Capital Structure '!$P$34/12</f>
        <v>0</v>
      </c>
      <c r="AU203" s="412">
        <f>'RGGI - On-bill financing'!J143*('Capital Structure '!$F$18+'Capital Structure '!$F$21)/12</f>
        <v>0</v>
      </c>
      <c r="AV203" s="415">
        <f t="shared" si="245"/>
        <v>0</v>
      </c>
      <c r="AW203" s="353"/>
      <c r="AX203" s="415">
        <v>0</v>
      </c>
      <c r="AY203" s="431">
        <f t="shared" si="246"/>
        <v>0</v>
      </c>
      <c r="BA203" s="412">
        <f>'RGGI II Invest Amort Def'!AG134</f>
        <v>0</v>
      </c>
      <c r="BB203" s="353"/>
      <c r="BC203" s="412">
        <f>(L203+N203)*'Capital Structure '!$H$21/12</f>
        <v>0</v>
      </c>
      <c r="BD203" s="412">
        <f>(L203+N203)*'Capital Structure '!$W$34/12</f>
        <v>0</v>
      </c>
      <c r="BE203" s="412">
        <f>(L203+N203)*'Capital Structure '!$H$18/12</f>
        <v>0</v>
      </c>
      <c r="BF203" s="412">
        <f>'RGGI II On Bill Fin''g'!L131*'Capital Structure '!$W$34/12</f>
        <v>567.64320745282384</v>
      </c>
      <c r="BG203" s="412">
        <f>'RGGI II On Bill Fin''g'!L131*('Capital Structure '!$H$18+'Capital Structure '!$H$21)/12</f>
        <v>1953.9335454010386</v>
      </c>
      <c r="BH203" s="415">
        <f t="shared" si="247"/>
        <v>2521.5767528538627</v>
      </c>
      <c r="BI203" s="353"/>
      <c r="BJ203" s="437">
        <v>0</v>
      </c>
      <c r="BK203" s="431">
        <f t="shared" si="248"/>
        <v>2521.5767528538627</v>
      </c>
      <c r="BM203" s="412">
        <f>'2013 program Invest Amort Def'!AW113</f>
        <v>0</v>
      </c>
      <c r="BN203" s="353"/>
      <c r="BO203" s="412">
        <f>(S203)*'Capital Structure '!$J$21/12</f>
        <v>0</v>
      </c>
      <c r="BP203" s="412">
        <f>(S203)*'Capital Structure '!$V$34/12</f>
        <v>0</v>
      </c>
      <c r="BQ203" s="412">
        <f>(S203)*'Capital Structure '!$J$18/12</f>
        <v>0</v>
      </c>
      <c r="BR203" s="412">
        <f>('2013 program 10 yr On Bill Fin'!M113+'2013 program 5 yr On Bill Fin'!L111+'2013 program 2 yr On Bill Fin'!M101)*'Capital Structure '!$V$34/12</f>
        <v>10796.778185848409</v>
      </c>
      <c r="BS203" s="412">
        <f>('2013 program 10 yr On Bill Fin'!M113+'2013 program 5 yr On Bill Fin'!L111+'2013 program 2 yr On Bill Fin'!M101)*('Capital Structure '!$J$18+'Capital Structure '!$J$21)/12</f>
        <v>36526.942850000116</v>
      </c>
      <c r="BT203" s="431">
        <f t="shared" si="249"/>
        <v>47323.721035848524</v>
      </c>
      <c r="BU203" s="353"/>
      <c r="BV203" s="438">
        <v>0</v>
      </c>
      <c r="BW203" s="431">
        <f t="shared" si="250"/>
        <v>47323.721035848524</v>
      </c>
      <c r="BY203" s="412">
        <f>'2015 Program Invest Amort Def'!BR88</f>
        <v>26693.333333333328</v>
      </c>
      <c r="BZ203" s="353"/>
      <c r="CA203" s="412">
        <f>X203*'Capital Structure '!$T$21/12</f>
        <v>226.29721113999688</v>
      </c>
      <c r="CB203" s="412">
        <f>(X203)*'Capital Structure '!$T$34/12</f>
        <v>276.99773903999625</v>
      </c>
      <c r="CC203" s="412">
        <f>(X203)*'Capital Structure '!$T$18/12</f>
        <v>708.40866095999036</v>
      </c>
      <c r="CD203" s="412">
        <f>('2015 Program 10-Year OBRP'!P88+'2015 Program 7-Year OBRP'!M88+'2015 Program 5-Year OBRP'!K88+'2015 Program 3-Year OBRP'!K88)*('Capital Structure '!$T$34/12)</f>
        <v>15323.850084236696</v>
      </c>
      <c r="CE203" s="412">
        <f>('2015 Program 10-Year OBRP'!P88+'2015 Program 7-Year OBRP'!M88+'2015 Program 5-Year OBRP'!K88+'2015 Program 3-Year OBRP'!K88)*(('Capital Structure '!$T$21/12)+('Capital Structure '!$T$18/12))</f>
        <v>51709.059815999994</v>
      </c>
      <c r="CF203" s="431">
        <f t="shared" si="260"/>
        <v>68244.613511376665</v>
      </c>
      <c r="CG203" s="373">
        <v>-9770.7600000000057</v>
      </c>
      <c r="CH203" s="353"/>
      <c r="CI203" s="353"/>
      <c r="CJ203" s="431">
        <f t="shared" si="261"/>
        <v>85167.186844709984</v>
      </c>
      <c r="CL203" s="431">
        <f>'2018 SUMMARY'!Q68</f>
        <v>614548.87092330307</v>
      </c>
      <c r="CM203" s="431"/>
      <c r="CN203" s="431">
        <f>'2018 SUMMARY'!S68</f>
        <v>42334.546735316835</v>
      </c>
      <c r="CO203" s="431">
        <f>'2018 SUMMARY'!T68</f>
        <v>51819.347087363225</v>
      </c>
      <c r="CP203" s="431">
        <f>'2018 SUMMARY'!U68</f>
        <v>132525.53760620923</v>
      </c>
      <c r="CQ203" s="431">
        <f>'2018 SUMMARY'!V68</f>
        <v>33494.067591303392</v>
      </c>
      <c r="CR203" s="431">
        <f>'2018 SUMMARY'!W68</f>
        <v>113022.95017500002</v>
      </c>
      <c r="CS203" s="431">
        <f t="shared" si="253"/>
        <v>373196.44919519266</v>
      </c>
      <c r="CT203" s="562">
        <v>-4198.63</v>
      </c>
      <c r="CU203" s="431"/>
      <c r="CV203" s="431">
        <v>608</v>
      </c>
      <c r="CW203" s="431">
        <f t="shared" si="254"/>
        <v>984154.69011849572</v>
      </c>
      <c r="CY203" s="436">
        <f t="shared" si="255"/>
        <v>713013.073136908</v>
      </c>
      <c r="CZ203" s="436">
        <f t="shared" si="256"/>
        <v>-1491636.3402916938</v>
      </c>
      <c r="DA203" s="436">
        <f t="shared" si="257"/>
        <v>-1328629.9141747602</v>
      </c>
      <c r="DB203" s="568">
        <v>2.3300000000000001E-2</v>
      </c>
      <c r="DC203" s="394">
        <f t="shared" si="259"/>
        <v>-2579.7564166893262</v>
      </c>
      <c r="DE203" s="353"/>
      <c r="DF203" s="353"/>
      <c r="DG203" s="420">
        <f t="shared" si="241"/>
        <v>6.8400000000000002E-2</v>
      </c>
      <c r="DH203" s="420">
        <f t="shared" si="242"/>
        <v>8.8670168312699957E-2</v>
      </c>
      <c r="DI203" s="353"/>
      <c r="DJ203" s="353"/>
      <c r="DK203" s="353"/>
      <c r="DL203" s="353"/>
      <c r="DM203" s="353"/>
      <c r="DN203" s="353"/>
      <c r="DO203" s="353"/>
      <c r="DP203" s="353"/>
      <c r="DQ203" s="353"/>
      <c r="DR203" s="353"/>
      <c r="DS203" s="353"/>
      <c r="DT203" s="353"/>
      <c r="DU203" s="353"/>
      <c r="DV203" s="353"/>
      <c r="DW203" s="353"/>
      <c r="DX203" s="353"/>
      <c r="DY203" s="353"/>
      <c r="DZ203" s="353"/>
      <c r="EA203" s="353"/>
      <c r="EB203" s="353"/>
      <c r="EC203" s="353"/>
      <c r="ED203" s="353"/>
      <c r="EE203" s="353"/>
      <c r="EF203" s="353"/>
      <c r="EG203" s="353"/>
      <c r="EH203" s="353"/>
      <c r="EI203" s="353"/>
      <c r="EJ203" s="353"/>
      <c r="EK203" s="353"/>
      <c r="EL203" s="353"/>
      <c r="EM203" s="353"/>
      <c r="EN203" s="353"/>
      <c r="EO203" s="353"/>
      <c r="EP203" s="353"/>
      <c r="EQ203" s="353"/>
      <c r="ER203" s="353"/>
      <c r="ES203" s="353"/>
      <c r="ET203" s="353"/>
      <c r="EU203" s="353"/>
      <c r="EV203" s="353"/>
      <c r="EW203" s="353"/>
      <c r="EX203" s="353"/>
      <c r="EY203" s="353"/>
      <c r="EZ203" s="353"/>
      <c r="FA203" s="353"/>
      <c r="FB203" s="353"/>
      <c r="FC203" s="353"/>
      <c r="FD203" s="353"/>
      <c r="FE203" s="353"/>
      <c r="FF203" s="353"/>
      <c r="FG203" s="353"/>
      <c r="FH203" s="353"/>
      <c r="FI203" s="353"/>
      <c r="FJ203" s="353"/>
      <c r="FK203" s="353"/>
      <c r="FL203" s="353"/>
      <c r="FM203" s="353"/>
      <c r="FN203" s="353"/>
      <c r="FO203" s="353"/>
      <c r="FP203" s="353"/>
      <c r="FQ203" s="353"/>
    </row>
    <row r="204" spans="1:173" s="351" customFormat="1">
      <c r="A204" s="430" t="s">
        <v>46</v>
      </c>
      <c r="B204" s="351">
        <v>2022</v>
      </c>
      <c r="C204" s="411" t="s">
        <v>47</v>
      </c>
      <c r="F204" s="370"/>
      <c r="G204" s="435"/>
      <c r="H204" s="435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14">
        <f>'2015 Program Invest Amort Def'!BT89</f>
        <v>203208.33333333116</v>
      </c>
      <c r="V204" s="414">
        <f>'2015 Program Invest Amort Def'!BT89</f>
        <v>203208.33333333116</v>
      </c>
      <c r="W204" s="414">
        <f>'2015 Program Invest Amort Def'!EG89</f>
        <v>-57121.862500000054</v>
      </c>
      <c r="X204" s="397">
        <f t="shared" si="243"/>
        <v>146086.47083333111</v>
      </c>
      <c r="Y204" s="435"/>
      <c r="Z204" s="394">
        <f>'Schedule NJNG-3 - Page 3'!M$133</f>
        <v>18493796.460000001</v>
      </c>
      <c r="AA204" s="480">
        <f>'Schedule NJNG-3 - Page 2'!E88</f>
        <v>1.9099999999999999E-2</v>
      </c>
      <c r="AB204" s="439">
        <f t="shared" si="244"/>
        <v>353231.51238600002</v>
      </c>
      <c r="AO204" s="372">
        <f>'RGGI - Invest Amort deferred'!AG150+'RGGI CHP'!V102</f>
        <v>0</v>
      </c>
      <c r="AP204" s="353"/>
      <c r="AQ204" s="412">
        <f>(H201+J201)*'Capital Structure '!$F$21/12</f>
        <v>0</v>
      </c>
      <c r="AR204" s="412">
        <f>(H201+J201)*'Capital Structure '!$E$34/12</f>
        <v>0</v>
      </c>
      <c r="AS204" s="412">
        <f>(H201+J201)*'Capital Structure '!$F$18/12</f>
        <v>0</v>
      </c>
      <c r="AT204" s="412">
        <f>'RGGI - On-bill financing'!J144*'Capital Structure '!$P$34/12</f>
        <v>0</v>
      </c>
      <c r="AU204" s="412">
        <f>'RGGI - On-bill financing'!J144*('Capital Structure '!$F$18+'Capital Structure '!$F$21)/12</f>
        <v>0</v>
      </c>
      <c r="AV204" s="415">
        <f t="shared" si="245"/>
        <v>0</v>
      </c>
      <c r="AW204" s="353"/>
      <c r="AX204" s="415">
        <v>0</v>
      </c>
      <c r="AY204" s="431">
        <f t="shared" si="246"/>
        <v>0</v>
      </c>
      <c r="BA204" s="412">
        <f>'RGGI II Invest Amort Def'!AG135</f>
        <v>0</v>
      </c>
      <c r="BB204" s="353"/>
      <c r="BC204" s="412">
        <f>(L204+N204)*'Capital Structure '!$H$21/12</f>
        <v>0</v>
      </c>
      <c r="BD204" s="412">
        <f>(L204+N204)*'Capital Structure '!$W$34/12</f>
        <v>0</v>
      </c>
      <c r="BE204" s="412">
        <f>(L204+N204)*'Capital Structure '!$H$18/12</f>
        <v>0</v>
      </c>
      <c r="BF204" s="412">
        <f>'RGGI II On Bill Fin''g'!L132*'Capital Structure '!$W$34/12</f>
        <v>457.9282555875273</v>
      </c>
      <c r="BG204" s="412">
        <f>'RGGI II On Bill Fin''g'!L132*('Capital Structure '!$H$18+'Capital Structure '!$H$21)/12</f>
        <v>1576.2742656509508</v>
      </c>
      <c r="BH204" s="415">
        <f t="shared" si="247"/>
        <v>2034.2025212384781</v>
      </c>
      <c r="BI204" s="353"/>
      <c r="BJ204" s="437">
        <v>0</v>
      </c>
      <c r="BK204" s="431">
        <f t="shared" si="248"/>
        <v>2034.2025212384781</v>
      </c>
      <c r="BM204" s="412">
        <f>'2013 program Invest Amort Def'!AW114</f>
        <v>0</v>
      </c>
      <c r="BN204" s="353"/>
      <c r="BO204" s="412">
        <f>(S204)*'Capital Structure '!$J$21/12</f>
        <v>0</v>
      </c>
      <c r="BP204" s="412">
        <f>(S204)*'Capital Structure '!$V$34/12</f>
        <v>0</v>
      </c>
      <c r="BQ204" s="412">
        <f>(S204)*'Capital Structure '!$J$18/12</f>
        <v>0</v>
      </c>
      <c r="BR204" s="412">
        <f>('2013 program 10 yr On Bill Fin'!M114+'2013 program 5 yr On Bill Fin'!L112+'2013 program 2 yr On Bill Fin'!M102)*'Capital Structure '!$V$34/12</f>
        <v>10175.396516456947</v>
      </c>
      <c r="BS204" s="412">
        <f>('2013 program 10 yr On Bill Fin'!M114+'2013 program 5 yr On Bill Fin'!L112+'2013 program 2 yr On Bill Fin'!M102)*('Capital Structure '!$J$18+'Capital Structure '!$J$21)/12</f>
        <v>34424.725657500101</v>
      </c>
      <c r="BT204" s="431">
        <f t="shared" si="249"/>
        <v>44600.122173957046</v>
      </c>
      <c r="BU204" s="353"/>
      <c r="BV204" s="438">
        <v>0</v>
      </c>
      <c r="BW204" s="431">
        <f t="shared" si="250"/>
        <v>44600.122173957046</v>
      </c>
      <c r="BY204" s="412">
        <f>'2015 Program Invest Amort Def'!BR89</f>
        <v>24894.999999999996</v>
      </c>
      <c r="BZ204" s="353"/>
      <c r="CA204" s="412">
        <f>X204*'Capital Structure '!$T$21/12</f>
        <v>201.59932974999694</v>
      </c>
      <c r="CB204" s="412">
        <f>(X204)*'Capital Structure '!$T$34/12</f>
        <v>246.76644599999631</v>
      </c>
      <c r="CC204" s="412">
        <f>(X204)*'Capital Structure '!$T$18/12</f>
        <v>631.09355399999049</v>
      </c>
      <c r="CD204" s="412">
        <f>('2015 Program 10-Year OBRP'!P89+'2015 Program 7-Year OBRP'!M89+'2015 Program 5-Year OBRP'!K89+'2015 Program 3-Year OBRP'!K89)*('Capital Structure '!$T$34/12)</f>
        <v>14715.219091555213</v>
      </c>
      <c r="CE204" s="412">
        <f>('2015 Program 10-Year OBRP'!P89+'2015 Program 7-Year OBRP'!M89+'2015 Program 5-Year OBRP'!K89+'2015 Program 3-Year OBRP'!K89)*(('Capital Structure '!$T$21/12)+('Capital Structure '!$T$18/12))</f>
        <v>49655.285064000011</v>
      </c>
      <c r="CF204" s="431">
        <f t="shared" si="260"/>
        <v>65449.963485305205</v>
      </c>
      <c r="CG204" s="373">
        <v>-8252</v>
      </c>
      <c r="CH204" s="353"/>
      <c r="CI204" s="353"/>
      <c r="CJ204" s="431">
        <f t="shared" si="261"/>
        <v>82092.963485305198</v>
      </c>
      <c r="CL204" s="431">
        <f>'2018 SUMMARY'!Q69</f>
        <v>624498.43044711265</v>
      </c>
      <c r="CM204" s="431"/>
      <c r="CN204" s="431">
        <f>'2018 SUMMARY'!S69</f>
        <v>42367.378308250605</v>
      </c>
      <c r="CO204" s="431">
        <f>'2018 SUMMARY'!T69</f>
        <v>51859.534376574469</v>
      </c>
      <c r="CP204" s="431">
        <f>'2018 SUMMARY'!U69</f>
        <v>132628.31470408887</v>
      </c>
      <c r="CQ204" s="431">
        <f>'2018 SUMMARY'!V69</f>
        <v>32406.48355164213</v>
      </c>
      <c r="CR204" s="431">
        <f>'2018 SUMMARY'!W69</f>
        <v>109352.98813200001</v>
      </c>
      <c r="CS204" s="431">
        <f t="shared" si="253"/>
        <v>368614.6990725561</v>
      </c>
      <c r="CT204" s="562">
        <v>-4147</v>
      </c>
      <c r="CU204" s="431"/>
      <c r="CV204" s="431">
        <v>604</v>
      </c>
      <c r="CW204" s="431">
        <f t="shared" si="254"/>
        <v>989570.12951966876</v>
      </c>
      <c r="CY204" s="412">
        <f t="shared" si="255"/>
        <v>765065.90531416936</v>
      </c>
      <c r="CZ204" s="412">
        <f t="shared" si="256"/>
        <v>-726570.43497752445</v>
      </c>
      <c r="DA204" s="412">
        <f t="shared" si="257"/>
        <v>-797334.42537052045</v>
      </c>
      <c r="DB204" s="417">
        <v>2.5999999999999999E-2</v>
      </c>
      <c r="DC204" s="434">
        <f t="shared" si="259"/>
        <v>-1727.5579216361275</v>
      </c>
      <c r="DE204" s="353"/>
      <c r="DF204" s="353"/>
      <c r="DG204" s="420">
        <f t="shared" si="241"/>
        <v>6.8400000000000016E-2</v>
      </c>
      <c r="DH204" s="420">
        <f t="shared" si="242"/>
        <v>8.8670168312699957E-2</v>
      </c>
      <c r="DI204" s="353"/>
      <c r="DJ204" s="353"/>
      <c r="DK204" s="353"/>
      <c r="DL204" s="353"/>
      <c r="DM204" s="353"/>
      <c r="DN204" s="353"/>
      <c r="DO204" s="353"/>
      <c r="DP204" s="353"/>
      <c r="DQ204" s="353"/>
      <c r="DR204" s="353"/>
      <c r="DS204" s="353"/>
      <c r="DT204" s="353"/>
      <c r="DU204" s="353"/>
      <c r="DV204" s="353"/>
      <c r="DW204" s="353"/>
      <c r="DX204" s="353"/>
      <c r="DY204" s="353"/>
      <c r="DZ204" s="353"/>
      <c r="EA204" s="353"/>
      <c r="EB204" s="353"/>
      <c r="EC204" s="353"/>
      <c r="ED204" s="353"/>
      <c r="EE204" s="353"/>
      <c r="EF204" s="353"/>
      <c r="EG204" s="353"/>
      <c r="EH204" s="353"/>
      <c r="EI204" s="353"/>
      <c r="EJ204" s="353"/>
      <c r="EK204" s="353"/>
      <c r="EL204" s="353"/>
      <c r="EM204" s="353"/>
      <c r="EN204" s="353"/>
      <c r="EO204" s="353"/>
      <c r="EP204" s="353"/>
      <c r="EQ204" s="353"/>
      <c r="ER204" s="353"/>
      <c r="ES204" s="353"/>
      <c r="ET204" s="353"/>
      <c r="EU204" s="353"/>
      <c r="EV204" s="353"/>
      <c r="EW204" s="353"/>
      <c r="EX204" s="353"/>
      <c r="EY204" s="353"/>
      <c r="EZ204" s="353"/>
      <c r="FA204" s="353"/>
      <c r="FB204" s="353"/>
      <c r="FC204" s="353"/>
      <c r="FD204" s="353"/>
      <c r="FE204" s="353"/>
      <c r="FF204" s="353"/>
      <c r="FG204" s="353"/>
      <c r="FH204" s="353"/>
      <c r="FI204" s="353"/>
      <c r="FJ204" s="353"/>
      <c r="FK204" s="353"/>
      <c r="FL204" s="353"/>
      <c r="FM204" s="353"/>
      <c r="FN204" s="353"/>
      <c r="FO204" s="353"/>
      <c r="FP204" s="353"/>
      <c r="FQ204" s="353"/>
    </row>
    <row r="205" spans="1:173" s="351" customFormat="1" ht="15.75" thickBot="1">
      <c r="A205" s="430" t="s">
        <v>48</v>
      </c>
      <c r="B205" s="351">
        <v>2022</v>
      </c>
      <c r="C205" s="411" t="s">
        <v>47</v>
      </c>
      <c r="F205" s="370"/>
      <c r="G205" s="435"/>
      <c r="H205" s="435"/>
      <c r="I205" s="435"/>
      <c r="J205" s="435"/>
      <c r="K205" s="435"/>
      <c r="L205" s="435"/>
      <c r="M205" s="435"/>
      <c r="N205" s="435"/>
      <c r="O205" s="435"/>
      <c r="P205" s="435"/>
      <c r="Q205" s="435"/>
      <c r="R205" s="435"/>
      <c r="S205" s="435"/>
      <c r="T205" s="435"/>
      <c r="U205" s="414">
        <f>'2015 Program Invest Amort Def'!BT90</f>
        <v>179799.99999999814</v>
      </c>
      <c r="V205" s="414">
        <f>'2015 Program Invest Amort Def'!BT90</f>
        <v>179799.99999999814</v>
      </c>
      <c r="W205" s="414">
        <f>'2015 Program Invest Amort Def'!EG90</f>
        <v>-50541.780000000057</v>
      </c>
      <c r="X205" s="397">
        <f t="shared" si="243"/>
        <v>129258.21999999808</v>
      </c>
      <c r="Y205" s="435"/>
      <c r="Z205" s="570">
        <f>'Schedule NJNG-3 - Page 3'!N$133</f>
        <v>19234270.239999998</v>
      </c>
      <c r="AA205" s="480">
        <f>'Schedule NJNG-3 - Page 2'!E89</f>
        <v>1.9099999999999999E-2</v>
      </c>
      <c r="AB205" s="571">
        <f t="shared" si="244"/>
        <v>367374.56158399995</v>
      </c>
      <c r="AO205" s="383">
        <f>'RGGI - Invest Amort deferred'!AG151+'RGGI CHP'!V103</f>
        <v>0</v>
      </c>
      <c r="AP205" s="444"/>
      <c r="AQ205" s="424">
        <f>(H202+J202)*'Capital Structure '!$F$21/12</f>
        <v>0</v>
      </c>
      <c r="AR205" s="424">
        <f>(H202+J202)*'Capital Structure '!$E$34/12</f>
        <v>0</v>
      </c>
      <c r="AS205" s="424">
        <f>(H202+J202)*'Capital Structure '!$F$18/12</f>
        <v>0</v>
      </c>
      <c r="AT205" s="424">
        <f>'RGGI - On-bill financing'!J145*'Capital Structure '!$P$34/12</f>
        <v>0</v>
      </c>
      <c r="AU205" s="424">
        <f>'RGGI - On-bill financing'!J145*('Capital Structure '!$F$18+'Capital Structure '!$F$21)/12</f>
        <v>0</v>
      </c>
      <c r="AV205" s="440">
        <f t="shared" si="245"/>
        <v>0</v>
      </c>
      <c r="AW205" s="444"/>
      <c r="AX205" s="440">
        <v>0</v>
      </c>
      <c r="AY205" s="441">
        <f t="shared" si="246"/>
        <v>0</v>
      </c>
      <c r="BA205" s="424">
        <f>'RGGI II Invest Amort Def'!AG136</f>
        <v>0</v>
      </c>
      <c r="BB205" s="444"/>
      <c r="BC205" s="424">
        <f>(L205+N205)*'Capital Structure '!$H$21/12</f>
        <v>0</v>
      </c>
      <c r="BD205" s="424">
        <f>(L205+N205)*'Capital Structure '!$W$34/12</f>
        <v>0</v>
      </c>
      <c r="BE205" s="424">
        <f>(L205+N205)*'Capital Structure '!$H$18/12</f>
        <v>0</v>
      </c>
      <c r="BF205" s="424">
        <f>'RGGI II On Bill Fin''g'!L133*'Capital Structure '!$W$34/12</f>
        <v>379.73144030601856</v>
      </c>
      <c r="BG205" s="424">
        <f>'RGGI II On Bill Fin''g'!L133*('Capital Structure '!$H$18+'Capital Structure '!$H$21)/12</f>
        <v>1307.106276822745</v>
      </c>
      <c r="BH205" s="440">
        <f t="shared" si="247"/>
        <v>1686.8377171287636</v>
      </c>
      <c r="BI205" s="353"/>
      <c r="BJ205" s="442">
        <v>0</v>
      </c>
      <c r="BK205" s="441">
        <f t="shared" si="248"/>
        <v>1686.8377171287636</v>
      </c>
      <c r="BM205" s="424">
        <f>'2013 program Invest Amort Def'!AW115</f>
        <v>0</v>
      </c>
      <c r="BN205" s="444"/>
      <c r="BO205" s="424">
        <f>(S205)*'Capital Structure '!$J$21/12</f>
        <v>0</v>
      </c>
      <c r="BP205" s="424">
        <f>(S205)*'Capital Structure '!$V$34/12</f>
        <v>0</v>
      </c>
      <c r="BQ205" s="424">
        <f>(S205)*'Capital Structure '!$J$18/12</f>
        <v>0</v>
      </c>
      <c r="BR205" s="424">
        <f>('2013 program 10 yr On Bill Fin'!M115+'2013 program 5 yr On Bill Fin'!L113+'2013 program 2 yr On Bill Fin'!M103)*'Capital Structure '!$V$34/12</f>
        <v>9741.0093611170814</v>
      </c>
      <c r="BS205" s="424">
        <f>('2013 program 10 yr On Bill Fin'!M115+'2013 program 5 yr On Bill Fin'!L113+'2013 program 2 yr On Bill Fin'!M103)*('Capital Structure '!$J$18+'Capital Structure '!$J$21)/12</f>
        <v>32955.135885000156</v>
      </c>
      <c r="BT205" s="441">
        <f t="shared" si="249"/>
        <v>42696.145246117238</v>
      </c>
      <c r="BU205" s="353"/>
      <c r="BV205" s="443">
        <v>0</v>
      </c>
      <c r="BW205" s="441">
        <f t="shared" si="250"/>
        <v>42696.145246117238</v>
      </c>
      <c r="BY205" s="424">
        <f>'2015 Program Invest Amort Def'!BR90</f>
        <v>23408.333333333328</v>
      </c>
      <c r="BZ205" s="444"/>
      <c r="CA205" s="424">
        <f>X205*'Capital Structure '!$T$21/12</f>
        <v>178.37634359999734</v>
      </c>
      <c r="CB205" s="424">
        <f>(X205)*'Capital Structure '!$T$34/12</f>
        <v>218.34048959999677</v>
      </c>
      <c r="CC205" s="424">
        <f>(X205)*'Capital Structure '!$T$18/12</f>
        <v>558.39551039999174</v>
      </c>
      <c r="CD205" s="424">
        <f>('2015 Program 10-Year OBRP'!P90+'2015 Program 7-Year OBRP'!M90+'2015 Program 5-Year OBRP'!K90+'2015 Program 3-Year OBRP'!K90)*('Capital Structure '!$T$34/12)</f>
        <v>14201.176862963533</v>
      </c>
      <c r="CE205" s="424">
        <f>('2015 Program 10-Year OBRP'!P90+'2015 Program 7-Year OBRP'!M90+'2015 Program 5-Year OBRP'!K90+'2015 Program 3-Year OBRP'!K90)*(('Capital Structure '!$T$21/12)+('Capital Structure '!$T$18/12))</f>
        <v>47920.692243000012</v>
      </c>
      <c r="CF205" s="441">
        <f t="shared" si="260"/>
        <v>63076.981449563529</v>
      </c>
      <c r="CG205" s="379">
        <v>-10664.75</v>
      </c>
      <c r="CH205" s="444"/>
      <c r="CI205" s="444"/>
      <c r="CJ205" s="441">
        <f t="shared" si="261"/>
        <v>75820.564782896865</v>
      </c>
      <c r="CL205" s="441">
        <f>'2018 SUMMARY'!Q70</f>
        <v>712074.99663758883</v>
      </c>
      <c r="CM205" s="441"/>
      <c r="CN205" s="441">
        <f>'2018 SUMMARY'!S70</f>
        <v>51083.407520179622</v>
      </c>
      <c r="CO205" s="441">
        <f>'2018 SUMMARY'!T70</f>
        <v>62528.337464992983</v>
      </c>
      <c r="CP205" s="441">
        <f>'2018 SUMMARY'!U70</f>
        <v>159913.27571534491</v>
      </c>
      <c r="CQ205" s="441">
        <f>'2018 SUMMARY'!V70</f>
        <v>31804.01320364869</v>
      </c>
      <c r="CR205" s="441">
        <f>'2018 SUMMARY'!W70</f>
        <v>107320.00196400001</v>
      </c>
      <c r="CS205" s="441">
        <f t="shared" si="253"/>
        <v>412649.03586816619</v>
      </c>
      <c r="CT205" s="567">
        <v>-4306.21</v>
      </c>
      <c r="CU205" s="431"/>
      <c r="CV205" s="567">
        <v>544.52</v>
      </c>
      <c r="CW205" s="441">
        <f t="shared" si="254"/>
        <v>1120962.3425057549</v>
      </c>
      <c r="CY205" s="412">
        <f t="shared" si="255"/>
        <v>873791.32866789773</v>
      </c>
      <c r="CZ205" s="412">
        <f t="shared" si="256"/>
        <v>147220.89369037328</v>
      </c>
      <c r="DA205" s="412">
        <f t="shared" si="257"/>
        <v>-208247.19261566648</v>
      </c>
      <c r="DB205" s="417">
        <v>3.3399999999999999E-2</v>
      </c>
      <c r="DC205" s="432">
        <f t="shared" si="259"/>
        <v>-579.62135278027165</v>
      </c>
      <c r="DE205" s="353"/>
      <c r="DF205" s="353"/>
      <c r="DG205" s="420">
        <f t="shared" si="241"/>
        <v>6.8400000000000002E-2</v>
      </c>
      <c r="DH205" s="420">
        <f t="shared" si="242"/>
        <v>8.8670168312699957E-2</v>
      </c>
      <c r="DI205" s="353"/>
      <c r="DJ205" s="353"/>
      <c r="DK205" s="353"/>
      <c r="DL205" s="353"/>
      <c r="DM205" s="353"/>
      <c r="DN205" s="353"/>
      <c r="DO205" s="353"/>
      <c r="DP205" s="353"/>
      <c r="DQ205" s="353"/>
      <c r="DR205" s="353"/>
      <c r="DS205" s="353"/>
      <c r="DT205" s="353"/>
      <c r="DU205" s="353"/>
      <c r="DV205" s="353"/>
      <c r="DW205" s="353"/>
      <c r="DX205" s="353"/>
      <c r="DY205" s="353"/>
      <c r="DZ205" s="353"/>
      <c r="EA205" s="353"/>
      <c r="EB205" s="353"/>
      <c r="EC205" s="353"/>
      <c r="ED205" s="353"/>
      <c r="EE205" s="353"/>
      <c r="EF205" s="353"/>
      <c r="EG205" s="353"/>
      <c r="EH205" s="353"/>
      <c r="EI205" s="353"/>
      <c r="EJ205" s="353"/>
      <c r="EK205" s="353"/>
      <c r="EL205" s="353"/>
      <c r="EM205" s="353"/>
      <c r="EN205" s="353"/>
      <c r="EO205" s="353"/>
      <c r="EP205" s="353"/>
      <c r="EQ205" s="353"/>
      <c r="ER205" s="353"/>
      <c r="ES205" s="353"/>
      <c r="ET205" s="353"/>
      <c r="EU205" s="353"/>
      <c r="EV205" s="353"/>
      <c r="EW205" s="353"/>
      <c r="EX205" s="353"/>
      <c r="EY205" s="353"/>
      <c r="EZ205" s="353"/>
      <c r="FA205" s="353"/>
      <c r="FB205" s="353"/>
      <c r="FC205" s="353"/>
      <c r="FD205" s="353"/>
      <c r="FE205" s="353"/>
      <c r="FF205" s="353"/>
      <c r="FG205" s="353"/>
      <c r="FH205" s="353"/>
      <c r="FI205" s="353"/>
      <c r="FJ205" s="353"/>
      <c r="FK205" s="353"/>
      <c r="FL205" s="353"/>
      <c r="FM205" s="353"/>
      <c r="FN205" s="353"/>
      <c r="FO205" s="353"/>
      <c r="FP205" s="353"/>
      <c r="FQ205" s="353"/>
    </row>
    <row r="206" spans="1:173" s="351" customFormat="1">
      <c r="F206" s="370"/>
      <c r="G206" s="435"/>
      <c r="H206" s="435"/>
      <c r="I206" s="435"/>
      <c r="J206" s="435"/>
      <c r="K206" s="435"/>
      <c r="L206" s="435"/>
      <c r="M206" s="435"/>
      <c r="N206" s="435"/>
      <c r="O206" s="435"/>
      <c r="P206" s="435"/>
      <c r="Q206" s="435"/>
      <c r="R206" s="435"/>
      <c r="S206" s="435"/>
      <c r="T206" s="435"/>
      <c r="U206" s="435"/>
      <c r="V206" s="435"/>
      <c r="W206" s="435"/>
      <c r="X206" s="435"/>
      <c r="Y206" s="435"/>
      <c r="Z206" s="435">
        <f>SUM(Z194:Z205)</f>
        <v>686978725.66999996</v>
      </c>
      <c r="AA206" s="435"/>
      <c r="AB206" s="435">
        <f>SUM(AB194:AB205)</f>
        <v>12078297.067082997</v>
      </c>
      <c r="AO206" s="390">
        <f>SUM(AO194:AO205)</f>
        <v>0</v>
      </c>
      <c r="AP206" s="390">
        <f t="shared" ref="AP206:AY206" si="262">SUM(AP194:AP205)</f>
        <v>0</v>
      </c>
      <c r="AQ206" s="390">
        <f t="shared" si="262"/>
        <v>0</v>
      </c>
      <c r="AR206" s="390">
        <f t="shared" si="262"/>
        <v>0</v>
      </c>
      <c r="AS206" s="390">
        <f t="shared" si="262"/>
        <v>0</v>
      </c>
      <c r="AT206" s="390">
        <f t="shared" si="262"/>
        <v>113.36342712031474</v>
      </c>
      <c r="AU206" s="390">
        <f t="shared" si="262"/>
        <v>439.28624730563035</v>
      </c>
      <c r="AV206" s="390">
        <f t="shared" si="262"/>
        <v>552.64967442594502</v>
      </c>
      <c r="AW206" s="390">
        <f t="shared" si="262"/>
        <v>0</v>
      </c>
      <c r="AX206" s="390">
        <f t="shared" si="262"/>
        <v>0</v>
      </c>
      <c r="AY206" s="390">
        <f t="shared" si="262"/>
        <v>552.64967442594502</v>
      </c>
      <c r="BA206" s="384">
        <f>SUM(BA194:BA205)</f>
        <v>0</v>
      </c>
      <c r="BB206" s="384">
        <f t="shared" ref="BB206:BH206" si="263">SUM(BB194:BB205)</f>
        <v>0</v>
      </c>
      <c r="BC206" s="384">
        <f t="shared" si="263"/>
        <v>0</v>
      </c>
      <c r="BD206" s="384">
        <f t="shared" si="263"/>
        <v>0</v>
      </c>
      <c r="BE206" s="384">
        <f t="shared" si="263"/>
        <v>0</v>
      </c>
      <c r="BF206" s="384">
        <f t="shared" si="263"/>
        <v>11108.132835612709</v>
      </c>
      <c r="BG206" s="384">
        <f t="shared" si="263"/>
        <v>38236.260188277272</v>
      </c>
      <c r="BH206" s="384">
        <f t="shared" si="263"/>
        <v>49344.393023889985</v>
      </c>
      <c r="BJ206" s="384">
        <f t="shared" ref="BJ206" si="264">SUM(BJ194:BJ205)</f>
        <v>0</v>
      </c>
      <c r="BK206" s="384">
        <f t="shared" ref="BK206" si="265">SUM(BK194:BK205)</f>
        <v>49344.393023889985</v>
      </c>
      <c r="BM206" s="384">
        <f>SUM(BM194:BM205)</f>
        <v>0</v>
      </c>
      <c r="BN206" s="384"/>
      <c r="BO206" s="384">
        <f t="shared" ref="BO206:BT206" si="266">SUM(BO194:BO205)</f>
        <v>0</v>
      </c>
      <c r="BP206" s="384">
        <f t="shared" si="266"/>
        <v>0</v>
      </c>
      <c r="BQ206" s="384">
        <f t="shared" si="266"/>
        <v>0</v>
      </c>
      <c r="BR206" s="384">
        <f t="shared" si="266"/>
        <v>149131.94827472014</v>
      </c>
      <c r="BS206" s="384">
        <f t="shared" si="266"/>
        <v>504533.30224750051</v>
      </c>
      <c r="BT206" s="384">
        <f t="shared" si="266"/>
        <v>653665.25052222062</v>
      </c>
      <c r="BV206" s="384">
        <f t="shared" ref="BV206" si="267">SUM(BV194:BV205)</f>
        <v>0</v>
      </c>
      <c r="BW206" s="384">
        <f t="shared" ref="BW206" si="268">SUM(BW194:BW205)</f>
        <v>653665.25052222062</v>
      </c>
      <c r="BY206" s="384">
        <f>SUM(BY194:BY205)</f>
        <v>400670</v>
      </c>
      <c r="CA206" s="384">
        <f t="shared" ref="CA206:CG206" si="269">SUM(CA194:CA205)</f>
        <v>4112.2716810729553</v>
      </c>
      <c r="CB206" s="384">
        <f t="shared" si="269"/>
        <v>4952.8074931199462</v>
      </c>
      <c r="CC206" s="384">
        <f t="shared" si="269"/>
        <v>12666.571706879862</v>
      </c>
      <c r="CD206" s="384">
        <f t="shared" si="269"/>
        <v>208471.29505218932</v>
      </c>
      <c r="CE206" s="384">
        <f t="shared" si="269"/>
        <v>705633.11309709738</v>
      </c>
      <c r="CF206" s="384">
        <f t="shared" si="269"/>
        <v>935836.05903035926</v>
      </c>
      <c r="CG206" s="384">
        <f t="shared" si="269"/>
        <v>-122822.52000000002</v>
      </c>
      <c r="CI206" s="384">
        <f t="shared" ref="CI206" si="270">SUM(CI194:CI205)</f>
        <v>0</v>
      </c>
      <c r="CJ206" s="384">
        <f t="shared" ref="CJ206" si="271">SUM(CJ194:CJ205)</f>
        <v>1213683.5390303591</v>
      </c>
      <c r="CL206" s="390">
        <f>SUM(CL194:CL205)</f>
        <v>6760848.4202632084</v>
      </c>
      <c r="CN206" s="390">
        <f t="shared" ref="CN206:CS206" si="272">SUM(CN194:CN205)</f>
        <v>491938.65654669277</v>
      </c>
      <c r="CO206" s="390">
        <f t="shared" si="272"/>
        <v>596703.78502743645</v>
      </c>
      <c r="CP206" s="390">
        <f t="shared" si="272"/>
        <v>1526041.8038286162</v>
      </c>
      <c r="CQ206" s="390">
        <f t="shared" si="272"/>
        <v>435366.58366605017</v>
      </c>
      <c r="CR206" s="390">
        <f t="shared" si="272"/>
        <v>1473355.7565285552</v>
      </c>
      <c r="CS206" s="390">
        <f t="shared" si="272"/>
        <v>4523406.5855973503</v>
      </c>
      <c r="CV206" s="390">
        <f t="shared" ref="CV206" si="273">SUM(CV194:CV205)</f>
        <v>9996.5</v>
      </c>
      <c r="CW206" s="390">
        <f t="shared" ref="CW206" si="274">SUM(CW194:CW205)</f>
        <v>11241199.305860559</v>
      </c>
      <c r="DC206" s="384">
        <f>SUM(DC194:DC205)</f>
        <v>-7909.2659721998534</v>
      </c>
      <c r="DE206" s="353"/>
      <c r="DF206" s="353"/>
      <c r="DG206" s="353"/>
      <c r="DH206" s="353"/>
      <c r="DI206" s="353"/>
      <c r="DJ206" s="353"/>
      <c r="DK206" s="353"/>
      <c r="DL206" s="353"/>
      <c r="DM206" s="353"/>
      <c r="DN206" s="353"/>
      <c r="DO206" s="353"/>
      <c r="DP206" s="353"/>
      <c r="DQ206" s="353"/>
      <c r="DR206" s="353"/>
      <c r="DS206" s="353"/>
      <c r="DT206" s="353"/>
      <c r="DU206" s="353"/>
      <c r="DV206" s="353"/>
      <c r="DW206" s="353"/>
      <c r="DX206" s="353"/>
      <c r="DY206" s="353"/>
      <c r="DZ206" s="353"/>
      <c r="EA206" s="353"/>
      <c r="EB206" s="353"/>
      <c r="EC206" s="353"/>
      <c r="ED206" s="353"/>
      <c r="EE206" s="353"/>
      <c r="EF206" s="353"/>
      <c r="EG206" s="353"/>
      <c r="EH206" s="353"/>
      <c r="EI206" s="353"/>
      <c r="EJ206" s="353"/>
      <c r="EK206" s="353"/>
      <c r="EL206" s="353"/>
      <c r="EM206" s="353"/>
      <c r="EN206" s="353"/>
      <c r="EO206" s="353"/>
      <c r="EP206" s="353"/>
      <c r="EQ206" s="353"/>
      <c r="ER206" s="353"/>
      <c r="ES206" s="353"/>
      <c r="ET206" s="353"/>
      <c r="EU206" s="353"/>
      <c r="EV206" s="353"/>
      <c r="EW206" s="353"/>
      <c r="EX206" s="353"/>
      <c r="EY206" s="353"/>
      <c r="EZ206" s="353"/>
      <c r="FA206" s="353"/>
      <c r="FB206" s="353"/>
      <c r="FC206" s="353"/>
      <c r="FD206" s="353"/>
      <c r="FE206" s="353"/>
      <c r="FF206" s="353"/>
      <c r="FG206" s="353"/>
      <c r="FH206" s="353"/>
      <c r="FI206" s="353"/>
      <c r="FJ206" s="353"/>
      <c r="FK206" s="353"/>
      <c r="FL206" s="353"/>
      <c r="FM206" s="353"/>
      <c r="FN206" s="353"/>
      <c r="FO206" s="353"/>
      <c r="FP206" s="353"/>
      <c r="FQ206" s="353"/>
    </row>
    <row r="207" spans="1:173" s="351" customFormat="1">
      <c r="F207" s="370"/>
      <c r="G207" s="435"/>
      <c r="H207" s="435"/>
      <c r="I207" s="435"/>
      <c r="J207" s="435"/>
      <c r="K207" s="435"/>
      <c r="L207" s="435"/>
      <c r="M207" s="435"/>
      <c r="N207" s="435"/>
      <c r="O207" s="435"/>
      <c r="P207" s="435"/>
      <c r="Q207" s="435"/>
      <c r="R207" s="435"/>
      <c r="S207" s="435"/>
      <c r="T207" s="435"/>
      <c r="U207" s="435"/>
      <c r="V207" s="435"/>
      <c r="W207" s="435"/>
      <c r="X207" s="435"/>
      <c r="Y207" s="435"/>
      <c r="Z207" s="435"/>
      <c r="AA207" s="435"/>
      <c r="CA207" s="384"/>
      <c r="DE207" s="353"/>
      <c r="DF207" s="353"/>
      <c r="DG207" s="353"/>
      <c r="DH207" s="353"/>
      <c r="DI207" s="353"/>
      <c r="DJ207" s="353"/>
      <c r="DK207" s="353"/>
      <c r="DL207" s="353"/>
      <c r="DM207" s="353"/>
      <c r="DN207" s="353"/>
      <c r="DO207" s="353"/>
      <c r="DP207" s="353"/>
      <c r="DQ207" s="353"/>
      <c r="DR207" s="353"/>
      <c r="DS207" s="353"/>
      <c r="DT207" s="353"/>
      <c r="DU207" s="353"/>
      <c r="DV207" s="353"/>
      <c r="DW207" s="353"/>
      <c r="DX207" s="353"/>
      <c r="DY207" s="353"/>
      <c r="DZ207" s="353"/>
      <c r="EA207" s="353"/>
      <c r="EB207" s="353"/>
      <c r="EC207" s="353"/>
      <c r="ED207" s="353"/>
      <c r="EE207" s="353"/>
      <c r="EF207" s="353"/>
      <c r="EG207" s="353"/>
      <c r="EH207" s="353"/>
      <c r="EI207" s="353"/>
      <c r="EJ207" s="353"/>
      <c r="EK207" s="353"/>
      <c r="EL207" s="353"/>
      <c r="EM207" s="353"/>
      <c r="EN207" s="353"/>
      <c r="EO207" s="353"/>
      <c r="EP207" s="353"/>
      <c r="EQ207" s="353"/>
      <c r="ER207" s="353"/>
      <c r="ES207" s="353"/>
      <c r="ET207" s="353"/>
      <c r="EU207" s="353"/>
      <c r="EV207" s="353"/>
      <c r="EW207" s="353"/>
      <c r="EX207" s="353"/>
      <c r="EY207" s="353"/>
      <c r="EZ207" s="353"/>
      <c r="FA207" s="353"/>
      <c r="FB207" s="353"/>
      <c r="FC207" s="353"/>
      <c r="FD207" s="353"/>
      <c r="FE207" s="353"/>
      <c r="FF207" s="353"/>
      <c r="FG207" s="353"/>
      <c r="FH207" s="353"/>
      <c r="FI207" s="353"/>
      <c r="FJ207" s="353"/>
      <c r="FK207" s="353"/>
      <c r="FL207" s="353"/>
      <c r="FM207" s="353"/>
      <c r="FN207" s="353"/>
      <c r="FO207" s="353"/>
      <c r="FP207" s="353"/>
      <c r="FQ207" s="353"/>
    </row>
    <row r="208" spans="1:173" s="351" customFormat="1">
      <c r="F208" s="370"/>
      <c r="G208" s="435"/>
      <c r="H208" s="435"/>
      <c r="I208" s="435"/>
      <c r="J208" s="435"/>
      <c r="K208" s="435"/>
      <c r="L208" s="435"/>
      <c r="M208" s="435"/>
      <c r="N208" s="435"/>
      <c r="O208" s="435"/>
      <c r="P208" s="435"/>
      <c r="Q208" s="435"/>
      <c r="R208" s="435"/>
      <c r="S208" s="435"/>
      <c r="T208" s="435"/>
      <c r="U208" s="435"/>
      <c r="V208" s="435"/>
      <c r="W208" s="435"/>
      <c r="X208" s="435"/>
      <c r="Y208" s="435"/>
      <c r="Z208" s="435"/>
      <c r="AA208" s="435"/>
      <c r="CA208" s="384"/>
      <c r="CZ208" s="384">
        <f>CZ205+DC206</f>
        <v>139311.62771817343</v>
      </c>
      <c r="DE208" s="353"/>
      <c r="DF208" s="353"/>
      <c r="DG208" s="353"/>
      <c r="DH208" s="353"/>
      <c r="DI208" s="353"/>
      <c r="DJ208" s="353"/>
      <c r="DK208" s="353"/>
      <c r="DL208" s="353"/>
      <c r="DM208" s="353"/>
      <c r="DN208" s="353"/>
      <c r="DO208" s="353"/>
      <c r="DP208" s="353"/>
      <c r="DQ208" s="353"/>
      <c r="DR208" s="353"/>
      <c r="DS208" s="353"/>
      <c r="DT208" s="353"/>
      <c r="DU208" s="353"/>
      <c r="DV208" s="353"/>
      <c r="DW208" s="353"/>
      <c r="DX208" s="353"/>
      <c r="DY208" s="353"/>
      <c r="DZ208" s="353"/>
      <c r="EA208" s="353"/>
      <c r="EB208" s="353"/>
      <c r="EC208" s="353"/>
      <c r="ED208" s="353"/>
      <c r="EE208" s="353"/>
      <c r="EF208" s="353"/>
      <c r="EG208" s="353"/>
      <c r="EH208" s="353"/>
      <c r="EI208" s="353"/>
      <c r="EJ208" s="353"/>
      <c r="EK208" s="353"/>
      <c r="EL208" s="353"/>
      <c r="EM208" s="353"/>
      <c r="EN208" s="353"/>
      <c r="EO208" s="353"/>
      <c r="EP208" s="353"/>
      <c r="EQ208" s="353"/>
      <c r="ER208" s="353"/>
      <c r="ES208" s="353"/>
      <c r="ET208" s="353"/>
      <c r="EU208" s="353"/>
      <c r="EV208" s="353"/>
      <c r="EW208" s="353"/>
      <c r="EX208" s="353"/>
      <c r="EY208" s="353"/>
      <c r="EZ208" s="353"/>
      <c r="FA208" s="353"/>
      <c r="FB208" s="353"/>
      <c r="FC208" s="353"/>
      <c r="FD208" s="353"/>
      <c r="FE208" s="353"/>
      <c r="FF208" s="353"/>
      <c r="FG208" s="353"/>
      <c r="FH208" s="353"/>
      <c r="FI208" s="353"/>
      <c r="FJ208" s="353"/>
      <c r="FK208" s="353"/>
      <c r="FL208" s="353"/>
      <c r="FM208" s="353"/>
      <c r="FN208" s="353"/>
      <c r="FO208" s="353"/>
      <c r="FP208" s="353"/>
      <c r="FQ208" s="353"/>
    </row>
    <row r="209" spans="1:173" s="351" customFormat="1">
      <c r="A209" s="351" t="s">
        <v>331</v>
      </c>
      <c r="B209" s="351">
        <v>2022</v>
      </c>
      <c r="C209" s="411" t="s">
        <v>47</v>
      </c>
      <c r="F209" s="370"/>
      <c r="G209" s="435"/>
      <c r="H209" s="435"/>
      <c r="I209" s="435"/>
      <c r="J209" s="435"/>
      <c r="K209" s="435"/>
      <c r="L209" s="435"/>
      <c r="M209" s="435"/>
      <c r="N209" s="435"/>
      <c r="O209" s="435"/>
      <c r="P209" s="435"/>
      <c r="Q209" s="435"/>
      <c r="R209" s="435"/>
      <c r="S209" s="435"/>
      <c r="T209" s="435"/>
      <c r="U209" s="414">
        <f>'2015 Program Invest Amort Def'!BT91</f>
        <v>157929.99999999814</v>
      </c>
      <c r="V209" s="414">
        <f>'2015 Program Invest Amort Def'!BT91</f>
        <v>157929.99999999814</v>
      </c>
      <c r="W209" s="414">
        <f>'2015 Program Invest Amort Def'!EG91</f>
        <v>-44394.123000000058</v>
      </c>
      <c r="X209" s="397">
        <f t="shared" ref="X209" si="275">U209+W209</f>
        <v>113535.87699999809</v>
      </c>
      <c r="Y209" s="435"/>
      <c r="Z209" s="394">
        <f>'Schedule NJNG-3 - Page 3'!C$159</f>
        <v>36639189.810000002</v>
      </c>
      <c r="AA209" s="480">
        <f>'Schedule NJNG-2 - Page 2'!$H$40</f>
        <v>2.2700000000000001E-2</v>
      </c>
      <c r="AB209" s="439">
        <f t="shared" ref="AB209" si="276">+Z209*AA209</f>
        <v>831709.60868700012</v>
      </c>
      <c r="BA209" s="412">
        <f>'RGGI II Invest Amort Def'!AG137</f>
        <v>0</v>
      </c>
      <c r="BB209" s="353"/>
      <c r="BC209" s="412">
        <f>(L206+N206)*'Capital Structure '!$H$21/12</f>
        <v>0</v>
      </c>
      <c r="BD209" s="412">
        <f>(L206+N206)*'Capital Structure '!$W$34/12</f>
        <v>0</v>
      </c>
      <c r="BE209" s="412">
        <f>(L206+N206)*'Capital Structure '!$H$18/12</f>
        <v>0</v>
      </c>
      <c r="BF209" s="412">
        <f>'RGGI II On Bill Fin''g'!L134*'Capital Structure '!$W$34/12</f>
        <v>312.08414657220544</v>
      </c>
      <c r="BG209" s="412">
        <f>'RGGI II On Bill Fin''g'!L134*('Capital Structure '!$H$18+'Capital Structure '!$H$21)/12</f>
        <v>1074.2517041850904</v>
      </c>
      <c r="BH209" s="415">
        <f t="shared" ref="BH209" si="277">SUM(BC209:BG209)</f>
        <v>1386.3358507572957</v>
      </c>
      <c r="BI209" s="353"/>
      <c r="BJ209" s="437">
        <v>0</v>
      </c>
      <c r="BK209" s="431">
        <f t="shared" ref="BK209" si="278">+BJ209+BH209+BA209</f>
        <v>1386.3358507572957</v>
      </c>
      <c r="BM209" s="412">
        <f>'2013 program Invest Amort Def'!AW116</f>
        <v>0</v>
      </c>
      <c r="BN209" s="353"/>
      <c r="BO209" s="412">
        <f>(S209)*'Capital Structure '!$J$21/12</f>
        <v>0</v>
      </c>
      <c r="BP209" s="412">
        <f>(S209)*'Capital Structure '!$V$34/12</f>
        <v>0</v>
      </c>
      <c r="BQ209" s="412">
        <f>(S209)*'Capital Structure '!$J$18/12</f>
        <v>0</v>
      </c>
      <c r="BR209" s="412">
        <f>('2013 program 10 yr On Bill Fin'!M116+'2013 program 5 yr On Bill Fin'!L114+'2013 program 2 yr On Bill Fin'!M104)*'Capital Structure '!$V$34/12</f>
        <v>9331.5505563652787</v>
      </c>
      <c r="BS209" s="412">
        <f>('2013 program 10 yr On Bill Fin'!M116+'2013 program 5 yr On Bill Fin'!L114+'2013 program 2 yr On Bill Fin'!M104)*('Capital Structure '!$J$18+'Capital Structure '!$J$21)/12</f>
        <v>31569.882052500194</v>
      </c>
      <c r="BT209" s="431">
        <f t="shared" ref="BT209" si="279">SUM(BO209:BS209)</f>
        <v>40901.432608865471</v>
      </c>
      <c r="BU209" s="353"/>
      <c r="BV209" s="438">
        <v>0</v>
      </c>
      <c r="BW209" s="431">
        <f t="shared" ref="BW209" si="280">+BV209+BT209+BM209</f>
        <v>40901.432608865471</v>
      </c>
      <c r="BY209" s="412">
        <f>'2015 Program Invest Amort Def'!BR91</f>
        <v>21869.999999999996</v>
      </c>
      <c r="BZ209" s="353"/>
      <c r="CA209" s="412">
        <f>X209*'Capital Structure '!$T$21/12</f>
        <v>156.67951025999733</v>
      </c>
      <c r="CB209" s="412">
        <f>(X209)*'Capital Structure '!$T$34/12</f>
        <v>191.78261135999682</v>
      </c>
      <c r="CC209" s="412">
        <f>(X209)*'Capital Structure '!$T$18/12</f>
        <v>490.47498863999181</v>
      </c>
      <c r="CD209" s="412">
        <f>('2015 Program 10-Year OBRP'!P91+'2015 Program 7-Year OBRP'!M91+'2015 Program 5-Year OBRP'!K91+'2015 Program 3-Year OBRP'!K91)*('Capital Structure '!$T$34/12)</f>
        <v>13739.227700049969</v>
      </c>
      <c r="CE209" s="412">
        <f>('2015 Program 10-Year OBRP'!P91+'2015 Program 7-Year OBRP'!M91+'2015 Program 5-Year OBRP'!K91+'2015 Program 3-Year OBRP'!K91)*(('Capital Structure '!$T$21/12)+('Capital Structure '!$T$18/12))</f>
        <v>46361.883147000008</v>
      </c>
      <c r="CF209" s="431">
        <f t="shared" ref="CF209" si="281">SUM(CA209:CE209)</f>
        <v>60940.047957309958</v>
      </c>
      <c r="CG209" s="373">
        <v>-8087.860000000006</v>
      </c>
      <c r="CH209" s="353"/>
      <c r="CI209" s="353"/>
      <c r="CJ209" s="431">
        <f t="shared" ref="CJ209" si="282">BY209+CF209+CG209+CI209</f>
        <v>74722.187957309958</v>
      </c>
      <c r="CL209" s="431">
        <f>'2018 SUMMARY'!Q71</f>
        <v>717843.84901854116</v>
      </c>
      <c r="CM209" s="431"/>
      <c r="CN209" s="431">
        <f>'2018 SUMMARY'!S71</f>
        <v>50298.315570544793</v>
      </c>
      <c r="CO209" s="431">
        <f>'2018 SUMMARY'!T71</f>
        <v>61567.350390111125</v>
      </c>
      <c r="CP209" s="431">
        <f>'2018 SUMMARY'!U71</f>
        <v>157455.59656866197</v>
      </c>
      <c r="CQ209" s="431">
        <f>'2018 SUMMARY'!V71</f>
        <v>31062.98318097939</v>
      </c>
      <c r="CR209" s="431">
        <f>'2018 SUMMARY'!W71</f>
        <v>104819.45767800001</v>
      </c>
      <c r="CS209" s="431">
        <f t="shared" ref="CS209" si="283">SUM(CN209:CR209)</f>
        <v>405203.70338829723</v>
      </c>
      <c r="CT209" s="562">
        <v>-3978.23</v>
      </c>
      <c r="CU209" s="431"/>
      <c r="CV209" s="431">
        <v>557</v>
      </c>
      <c r="CW209" s="431">
        <f t="shared" ref="CW209" si="284">CL209+SUM(CS209:CV209)</f>
        <v>1119626.3224068384</v>
      </c>
      <c r="CY209" s="412">
        <f t="shared" ref="CY209:CY220" si="285">+BW209+BK209+AY209+CJ209+CW209-AB209</f>
        <v>404926.67013677093</v>
      </c>
      <c r="CZ209" s="412">
        <f t="shared" ref="CZ209:CZ220" si="286">+CZ208+CY209</f>
        <v>544238.29785494437</v>
      </c>
      <c r="DA209" s="412">
        <f t="shared" ref="DA209:DA220" si="287">(CZ208+CZ209)/2*(1-0.2811)</f>
        <v>245702.02074725719</v>
      </c>
      <c r="DB209" s="417">
        <v>3.3700000000000001E-2</v>
      </c>
      <c r="DC209" s="434">
        <f t="shared" ref="DC209:DC220" si="288">(DA209)*DB209/12</f>
        <v>690.0131749318806</v>
      </c>
      <c r="DE209" s="353"/>
      <c r="DF209" s="353"/>
      <c r="DG209" s="420">
        <f t="shared" ref="DG209:DG220" si="289">(CA209+CC209)/(X209)*12</f>
        <v>6.8400000000000002E-2</v>
      </c>
      <c r="DH209" s="420">
        <f t="shared" ref="DH209:DH220" si="290">(CA209+CB209+CC209)/(X209)*12</f>
        <v>8.8670168312699971E-2</v>
      </c>
      <c r="DI209" s="353"/>
      <c r="DJ209" s="353"/>
      <c r="DK209" s="353"/>
      <c r="DL209" s="353"/>
      <c r="DM209" s="353"/>
      <c r="DN209" s="353"/>
      <c r="DO209" s="353"/>
      <c r="DP209" s="353"/>
      <c r="DQ209" s="353"/>
      <c r="DR209" s="353"/>
      <c r="DS209" s="353"/>
      <c r="DT209" s="353"/>
      <c r="DU209" s="353"/>
      <c r="DV209" s="353"/>
      <c r="DW209" s="353"/>
      <c r="DX209" s="353"/>
      <c r="DY209" s="353"/>
      <c r="DZ209" s="353"/>
      <c r="EA209" s="353"/>
      <c r="EB209" s="353"/>
      <c r="EC209" s="353"/>
      <c r="ED209" s="353"/>
      <c r="EE209" s="353"/>
      <c r="EF209" s="353"/>
      <c r="EG209" s="353"/>
      <c r="EH209" s="353"/>
      <c r="EI209" s="353"/>
      <c r="EJ209" s="353"/>
      <c r="EK209" s="353"/>
      <c r="EL209" s="353"/>
      <c r="EM209" s="353"/>
      <c r="EN209" s="353"/>
      <c r="EO209" s="353"/>
      <c r="EP209" s="353"/>
      <c r="EQ209" s="353"/>
      <c r="ER209" s="353"/>
      <c r="ES209" s="353"/>
      <c r="ET209" s="353"/>
      <c r="EU209" s="353"/>
      <c r="EV209" s="353"/>
      <c r="EW209" s="353"/>
      <c r="EX209" s="353"/>
      <c r="EY209" s="353"/>
      <c r="EZ209" s="353"/>
      <c r="FA209" s="353"/>
      <c r="FB209" s="353"/>
      <c r="FC209" s="353"/>
      <c r="FD209" s="353"/>
      <c r="FE209" s="353"/>
      <c r="FF209" s="353"/>
      <c r="FG209" s="353"/>
      <c r="FH209" s="353"/>
      <c r="FI209" s="353"/>
      <c r="FJ209" s="353"/>
      <c r="FK209" s="353"/>
      <c r="FL209" s="353"/>
      <c r="FM209" s="353"/>
      <c r="FN209" s="353"/>
      <c r="FO209" s="353"/>
      <c r="FP209" s="353"/>
      <c r="FQ209" s="353"/>
    </row>
    <row r="210" spans="1:173" s="351" customFormat="1">
      <c r="A210" s="351" t="s">
        <v>51</v>
      </c>
      <c r="B210" s="351">
        <v>2022</v>
      </c>
      <c r="C210" s="411" t="s">
        <v>47</v>
      </c>
      <c r="F210" s="370"/>
      <c r="G210" s="435"/>
      <c r="H210" s="435"/>
      <c r="I210" s="435"/>
      <c r="J210" s="435"/>
      <c r="K210" s="435"/>
      <c r="L210" s="435"/>
      <c r="M210" s="435"/>
      <c r="N210" s="435"/>
      <c r="O210" s="435"/>
      <c r="P210" s="435"/>
      <c r="Q210" s="435"/>
      <c r="R210" s="435"/>
      <c r="S210" s="435"/>
      <c r="T210" s="435"/>
      <c r="U210" s="414">
        <f>'2015 Program Invest Amort Def'!BT92</f>
        <v>137196.66666666511</v>
      </c>
      <c r="V210" s="414">
        <f>'2015 Program Invest Amort Def'!BT92</f>
        <v>137196.66666666511</v>
      </c>
      <c r="W210" s="414">
        <f>'2015 Program Invest Amort Def'!EG92</f>
        <v>-38565.983000000058</v>
      </c>
      <c r="X210" s="397">
        <f t="shared" ref="X210:X220" si="291">U210+W210</f>
        <v>98630.683666665049</v>
      </c>
      <c r="Y210" s="435"/>
      <c r="Z210" s="394">
        <f>'Schedule NJNG-3 - Page 3'!D$159</f>
        <v>64702291.769999996</v>
      </c>
      <c r="AA210" s="480">
        <f>'Schedule NJNG-2 - Page 2'!$H$40</f>
        <v>2.2700000000000001E-2</v>
      </c>
      <c r="AB210" s="439">
        <f t="shared" ref="AB210:AB220" si="292">+Z210*AA210</f>
        <v>1468742.023179</v>
      </c>
      <c r="BA210" s="412">
        <f>'RGGI II Invest Amort Def'!AG138</f>
        <v>0</v>
      </c>
      <c r="BB210" s="353"/>
      <c r="BC210" s="412">
        <f>(L207+N207)*'Capital Structure '!$H$21/12</f>
        <v>0</v>
      </c>
      <c r="BD210" s="412">
        <f>(L207+N207)*'Capital Structure '!$W$34/12</f>
        <v>0</v>
      </c>
      <c r="BE210" s="412">
        <f>(L207+N207)*'Capital Structure '!$H$18/12</f>
        <v>0</v>
      </c>
      <c r="BF210" s="412">
        <f>'RGGI II On Bill Fin''g'!L135*'Capital Structure '!$W$34/12</f>
        <v>251.95866859821194</v>
      </c>
      <c r="BG210" s="412">
        <f>'RGGI II On Bill Fin''g'!L135*('Capital Structure '!$H$18+'Capital Structure '!$H$21)/12</f>
        <v>867.28862102968969</v>
      </c>
      <c r="BH210" s="415">
        <f t="shared" ref="BH210:BH220" si="293">SUM(BC210:BG210)</f>
        <v>1119.2472896279016</v>
      </c>
      <c r="BI210" s="353"/>
      <c r="BJ210" s="437">
        <v>0</v>
      </c>
      <c r="BK210" s="431">
        <f t="shared" ref="BK210:BK220" si="294">+BJ210+BH210+BA210</f>
        <v>1119.2472896279016</v>
      </c>
      <c r="BM210" s="412">
        <f>'2013 program Invest Amort Def'!AW117</f>
        <v>0</v>
      </c>
      <c r="BN210" s="353"/>
      <c r="BO210" s="412">
        <f>(S210)*'Capital Structure '!$J$21/12</f>
        <v>0</v>
      </c>
      <c r="BP210" s="412">
        <f>(S210)*'Capital Structure '!$V$34/12</f>
        <v>0</v>
      </c>
      <c r="BQ210" s="412">
        <f>(S210)*'Capital Structure '!$J$18/12</f>
        <v>0</v>
      </c>
      <c r="BR210" s="412">
        <f>('2013 program 10 yr On Bill Fin'!M117+'2013 program 5 yr On Bill Fin'!L115+'2013 program 2 yr On Bill Fin'!M105)*'Capital Structure '!$V$34/12</f>
        <v>8933.5177215231706</v>
      </c>
      <c r="BS210" s="412">
        <f>('2013 program 10 yr On Bill Fin'!M117+'2013 program 5 yr On Bill Fin'!L115+'2013 program 2 yr On Bill Fin'!M105)*('Capital Structure '!$J$18+'Capital Structure '!$J$21)/12</f>
        <v>30223.283802500238</v>
      </c>
      <c r="BT210" s="431">
        <f t="shared" ref="BT210:BT220" si="295">SUM(BO210:BS210)</f>
        <v>39156.801524023409</v>
      </c>
      <c r="BU210" s="353"/>
      <c r="BV210" s="438">
        <v>0</v>
      </c>
      <c r="BW210" s="431">
        <f t="shared" ref="BW210:BW220" si="296">+BV210+BT210+BM210</f>
        <v>39156.801524023409</v>
      </c>
      <c r="BY210" s="412">
        <f>'2015 Program Invest Amort Def'!BR92</f>
        <v>20733.333333333328</v>
      </c>
      <c r="BZ210" s="353"/>
      <c r="CA210" s="412">
        <f>X210*'Capital Structure '!$T$21/12</f>
        <v>136.11034345999775</v>
      </c>
      <c r="CB210" s="412">
        <f>(X210)*'Capital Structure '!$T$34/12</f>
        <v>166.60504655999731</v>
      </c>
      <c r="CC210" s="412">
        <f>(X210)*'Capital Structure '!$T$18/12</f>
        <v>426.08455343999304</v>
      </c>
      <c r="CD210" s="412">
        <f>('2015 Program 10-Year OBRP'!P92+'2015 Program 7-Year OBRP'!M92+'2015 Program 5-Year OBRP'!K92+'2015 Program 3-Year OBRP'!K92)*('Capital Structure '!$T$34/12)</f>
        <v>13283.865159411549</v>
      </c>
      <c r="CE210" s="412">
        <f>('2015 Program 10-Year OBRP'!P92+'2015 Program 7-Year OBRP'!M92+'2015 Program 5-Year OBRP'!K92+'2015 Program 3-Year OBRP'!K92)*(('Capital Structure '!$T$21/12)+('Capital Structure '!$T$18/12))</f>
        <v>44825.300061000009</v>
      </c>
      <c r="CF210" s="431">
        <f t="shared" ref="CF210:CF220" si="297">SUM(CA210:CE210)</f>
        <v>58837.965163871544</v>
      </c>
      <c r="CG210" s="373">
        <v>-8736.4899999999943</v>
      </c>
      <c r="CH210" s="353"/>
      <c r="CI210" s="353"/>
      <c r="CJ210" s="431">
        <f t="shared" ref="CJ210:CJ220" si="298">BY210+CF210+CG210+CI210</f>
        <v>70834.808497204882</v>
      </c>
      <c r="CL210" s="431">
        <f>'2018 SUMMARY'!Q72</f>
        <v>718322.74830425554</v>
      </c>
      <c r="CM210" s="431"/>
      <c r="CN210" s="431">
        <f>'2018 SUMMARY'!S72</f>
        <v>48979.770104579948</v>
      </c>
      <c r="CO210" s="431">
        <f>'2018 SUMMARY'!T72</f>
        <v>59953.392749830025</v>
      </c>
      <c r="CP210" s="431">
        <f>'2018 SUMMARY'!U72</f>
        <v>153327.97597955461</v>
      </c>
      <c r="CQ210" s="431">
        <f>'2018 SUMMARY'!V72</f>
        <v>30364.162793971464</v>
      </c>
      <c r="CR210" s="431">
        <f>'2018 SUMMARY'!W72</f>
        <v>102461.34630300001</v>
      </c>
      <c r="CS210" s="431">
        <f t="shared" ref="CS210:CS220" si="299">SUM(CN210:CR210)</f>
        <v>395086.64793093607</v>
      </c>
      <c r="CT210" s="562">
        <v>-3730</v>
      </c>
      <c r="CU210" s="431"/>
      <c r="CV210" s="431">
        <v>556</v>
      </c>
      <c r="CW210" s="431">
        <f t="shared" ref="CW210:CW220" si="300">CL210+SUM(CS210:CV210)</f>
        <v>1110235.3962351917</v>
      </c>
      <c r="CY210" s="412">
        <f t="shared" si="285"/>
        <v>-247395.76963295205</v>
      </c>
      <c r="CZ210" s="412">
        <f t="shared" si="286"/>
        <v>296842.52822199231</v>
      </c>
      <c r="DA210" s="412">
        <f t="shared" si="287"/>
        <v>302326.50293335487</v>
      </c>
      <c r="DB210" s="417">
        <v>4.0770000000000001E-2</v>
      </c>
      <c r="DC210" s="434">
        <f t="shared" si="288"/>
        <v>1027.1542937160732</v>
      </c>
      <c r="DE210" s="353"/>
      <c r="DF210" s="353"/>
      <c r="DG210" s="420">
        <f t="shared" si="289"/>
        <v>6.8400000000000002E-2</v>
      </c>
      <c r="DH210" s="420">
        <f t="shared" si="290"/>
        <v>8.8670168312699957E-2</v>
      </c>
      <c r="DI210" s="353"/>
      <c r="DJ210" s="353"/>
      <c r="DK210" s="353"/>
      <c r="DL210" s="353"/>
      <c r="DM210" s="353"/>
      <c r="DN210" s="353"/>
      <c r="DO210" s="353"/>
      <c r="DP210" s="353"/>
      <c r="DQ210" s="353"/>
      <c r="DR210" s="353"/>
      <c r="DS210" s="353"/>
      <c r="DT210" s="353"/>
      <c r="DU210" s="353"/>
      <c r="DV210" s="353"/>
      <c r="DW210" s="353"/>
      <c r="DX210" s="353"/>
      <c r="DY210" s="353"/>
      <c r="DZ210" s="353"/>
      <c r="EA210" s="353"/>
      <c r="EB210" s="353"/>
      <c r="EC210" s="353"/>
      <c r="ED210" s="353"/>
      <c r="EE210" s="353"/>
      <c r="EF210" s="353"/>
      <c r="EG210" s="353"/>
      <c r="EH210" s="353"/>
      <c r="EI210" s="353"/>
      <c r="EJ210" s="353"/>
      <c r="EK210" s="353"/>
      <c r="EL210" s="353"/>
      <c r="EM210" s="353"/>
      <c r="EN210" s="353"/>
      <c r="EO210" s="353"/>
      <c r="EP210" s="353"/>
      <c r="EQ210" s="353"/>
      <c r="ER210" s="353"/>
      <c r="ES210" s="353"/>
      <c r="ET210" s="353"/>
      <c r="EU210" s="353"/>
      <c r="EV210" s="353"/>
      <c r="EW210" s="353"/>
      <c r="EX210" s="353"/>
      <c r="EY210" s="353"/>
      <c r="EZ210" s="353"/>
      <c r="FA210" s="353"/>
      <c r="FB210" s="353"/>
      <c r="FC210" s="353"/>
      <c r="FD210" s="353"/>
      <c r="FE210" s="353"/>
      <c r="FF210" s="353"/>
      <c r="FG210" s="353"/>
      <c r="FH210" s="353"/>
      <c r="FI210" s="353"/>
      <c r="FJ210" s="353"/>
      <c r="FK210" s="353"/>
      <c r="FL210" s="353"/>
      <c r="FM210" s="353"/>
      <c r="FN210" s="353"/>
      <c r="FO210" s="353"/>
      <c r="FP210" s="353"/>
      <c r="FQ210" s="353"/>
    </row>
    <row r="211" spans="1:173" s="351" customFormat="1">
      <c r="A211" s="351" t="s">
        <v>52</v>
      </c>
      <c r="B211" s="351">
        <v>2022</v>
      </c>
      <c r="C211" s="411" t="s">
        <v>47</v>
      </c>
      <c r="F211" s="370"/>
      <c r="G211" s="435"/>
      <c r="H211" s="435"/>
      <c r="I211" s="435"/>
      <c r="J211" s="435"/>
      <c r="K211" s="435"/>
      <c r="L211" s="435"/>
      <c r="M211" s="435"/>
      <c r="N211" s="435"/>
      <c r="O211" s="435"/>
      <c r="P211" s="435"/>
      <c r="Q211" s="435"/>
      <c r="R211" s="435"/>
      <c r="S211" s="435"/>
      <c r="T211" s="435"/>
      <c r="U211" s="414">
        <f>'2015 Program Invest Amort Def'!BT93</f>
        <v>117594.99999999814</v>
      </c>
      <c r="V211" s="414">
        <f>'2015 Program Invest Amort Def'!BT93</f>
        <v>117594.99999999814</v>
      </c>
      <c r="W211" s="414">
        <f>'2015 Program Invest Amort Def'!EG93</f>
        <v>-33055.954500000058</v>
      </c>
      <c r="X211" s="397">
        <f t="shared" si="291"/>
        <v>84539.045499998087</v>
      </c>
      <c r="Y211" s="435"/>
      <c r="Z211" s="394">
        <f>'Schedule NJNG-3 - Page 3'!E$159</f>
        <v>117237547.95</v>
      </c>
      <c r="AA211" s="480">
        <f>'Schedule NJNG-2 - Page 2'!$H$40</f>
        <v>2.2700000000000001E-2</v>
      </c>
      <c r="AB211" s="439">
        <f t="shared" si="292"/>
        <v>2661292.338465</v>
      </c>
      <c r="BA211" s="412">
        <f>'RGGI II Invest Amort Def'!AG139</f>
        <v>0</v>
      </c>
      <c r="BB211" s="353"/>
      <c r="BC211" s="412">
        <f>(L208+N208)*'Capital Structure '!$H$21/12</f>
        <v>0</v>
      </c>
      <c r="BD211" s="412">
        <f>(L208+N208)*'Capital Structure '!$W$34/12</f>
        <v>0</v>
      </c>
      <c r="BE211" s="412">
        <f>(L208+N208)*'Capital Structure '!$H$18/12</f>
        <v>0</v>
      </c>
      <c r="BF211" s="412">
        <f>'RGGI II On Bill Fin''g'!L136*'Capital Structure '!$W$34/12</f>
        <v>191.35175561737063</v>
      </c>
      <c r="BG211" s="412">
        <f>'RGGI II On Bill Fin''g'!L136*('Capital Structure '!$H$18+'Capital Structure '!$H$21)/12</f>
        <v>658.66834899673415</v>
      </c>
      <c r="BH211" s="415">
        <f t="shared" si="293"/>
        <v>850.02010461410475</v>
      </c>
      <c r="BI211" s="353"/>
      <c r="BJ211" s="437">
        <v>0</v>
      </c>
      <c r="BK211" s="431">
        <f t="shared" si="294"/>
        <v>850.02010461410475</v>
      </c>
      <c r="BM211" s="412">
        <f>'2013 program Invest Amort Def'!AW118</f>
        <v>0</v>
      </c>
      <c r="BN211" s="353"/>
      <c r="BO211" s="412">
        <f>(S211)*'Capital Structure '!$J$21/12</f>
        <v>0</v>
      </c>
      <c r="BP211" s="412">
        <f>(S211)*'Capital Structure '!$V$34/12</f>
        <v>0</v>
      </c>
      <c r="BQ211" s="412">
        <f>(S211)*'Capital Structure '!$J$18/12</f>
        <v>0</v>
      </c>
      <c r="BR211" s="412">
        <f>('2013 program 10 yr On Bill Fin'!M118+'2013 program 5 yr On Bill Fin'!L116+'2013 program 2 yr On Bill Fin'!M106)*'Capital Structure '!$V$34/12</f>
        <v>8493.1757865341679</v>
      </c>
      <c r="BS211" s="412">
        <f>('2013 program 10 yr On Bill Fin'!M118+'2013 program 5 yr On Bill Fin'!L116+'2013 program 2 yr On Bill Fin'!M106)*('Capital Structure '!$J$18+'Capital Structure '!$J$21)/12</f>
        <v>28733.548215000261</v>
      </c>
      <c r="BT211" s="431">
        <f t="shared" si="295"/>
        <v>37226.724001534429</v>
      </c>
      <c r="BU211" s="353"/>
      <c r="BV211" s="438">
        <v>0</v>
      </c>
      <c r="BW211" s="431">
        <f t="shared" si="296"/>
        <v>37226.724001534429</v>
      </c>
      <c r="BY211" s="412">
        <f>'2015 Program Invest Amort Def'!BR93</f>
        <v>19601.666666666661</v>
      </c>
      <c r="BZ211" s="353"/>
      <c r="CA211" s="412">
        <f>X211*'Capital Structure '!$T$21/12</f>
        <v>116.66388278999734</v>
      </c>
      <c r="CB211" s="412">
        <f>(X211)*'Capital Structure '!$T$34/12</f>
        <v>142.80172343999678</v>
      </c>
      <c r="CC211" s="412">
        <f>(X211)*'Capital Structure '!$T$18/12</f>
        <v>365.20867655999177</v>
      </c>
      <c r="CD211" s="412">
        <f>('2015 Program 10-Year OBRP'!P93+'2015 Program 7-Year OBRP'!M93+'2015 Program 5-Year OBRP'!K93+'2015 Program 3-Year OBRP'!K93)*('Capital Structure '!$T$34/12)</f>
        <v>12827.865932786426</v>
      </c>
      <c r="CE211" s="412">
        <f>('2015 Program 10-Year OBRP'!P93+'2015 Program 7-Year OBRP'!M93+'2015 Program 5-Year OBRP'!K93+'2015 Program 3-Year OBRP'!K93)*(('Capital Structure '!$T$21/12)+('Capital Structure '!$T$18/12))</f>
        <v>43286.568531000004</v>
      </c>
      <c r="CF211" s="431">
        <f t="shared" si="297"/>
        <v>56739.108746576414</v>
      </c>
      <c r="CG211" s="373">
        <v>-8436.4300000000057</v>
      </c>
      <c r="CH211" s="353"/>
      <c r="CI211" s="353"/>
      <c r="CJ211" s="431">
        <f t="shared" si="298"/>
        <v>67904.345413243063</v>
      </c>
      <c r="CL211" s="431">
        <f>'2018 SUMMARY'!Q73</f>
        <v>731316.25080425548</v>
      </c>
      <c r="CM211" s="431"/>
      <c r="CN211" s="431">
        <f>'2018 SUMMARY'!S73</f>
        <v>49198.615087814309</v>
      </c>
      <c r="CO211" s="431">
        <f>'2018 SUMMARY'!T73</f>
        <v>60221.268634162792</v>
      </c>
      <c r="CP211" s="431">
        <f>'2018 SUMMARY'!U73</f>
        <v>154013.05592707088</v>
      </c>
      <c r="CQ211" s="431">
        <f>'2018 SUMMARY'!V73</f>
        <v>29719.601441476705</v>
      </c>
      <c r="CR211" s="431">
        <f>'2018 SUMMARY'!W73</f>
        <v>100286.32753500002</v>
      </c>
      <c r="CS211" s="431">
        <f t="shared" si="299"/>
        <v>393438.86862552469</v>
      </c>
      <c r="CT211" s="562">
        <v>-3887.1099999999997</v>
      </c>
      <c r="CU211" s="431"/>
      <c r="CV211" s="431">
        <v>566</v>
      </c>
      <c r="CW211" s="431">
        <f t="shared" si="300"/>
        <v>1121434.0094297803</v>
      </c>
      <c r="CY211" s="412">
        <f t="shared" si="285"/>
        <v>-1433877.2395158282</v>
      </c>
      <c r="CZ211" s="412">
        <f t="shared" si="286"/>
        <v>-1137034.7112938359</v>
      </c>
      <c r="DA211" s="412">
        <f t="shared" si="287"/>
        <v>-302007.08020517416</v>
      </c>
      <c r="DB211" s="417">
        <v>4.4679999999999997E-2</v>
      </c>
      <c r="DC211" s="434">
        <f t="shared" si="288"/>
        <v>-1124.4730286305983</v>
      </c>
      <c r="DE211" s="353"/>
      <c r="DF211" s="353"/>
      <c r="DG211" s="420">
        <f t="shared" si="289"/>
        <v>6.8400000000000002E-2</v>
      </c>
      <c r="DH211" s="420">
        <f t="shared" si="290"/>
        <v>8.8670168312699957E-2</v>
      </c>
      <c r="DI211" s="398"/>
      <c r="DJ211" s="353"/>
      <c r="DK211" s="353"/>
      <c r="DL211" s="353"/>
      <c r="DM211" s="353"/>
      <c r="DN211" s="353"/>
      <c r="DO211" s="353"/>
      <c r="DP211" s="353"/>
      <c r="DQ211" s="353"/>
      <c r="DR211" s="353"/>
      <c r="DS211" s="353"/>
      <c r="DT211" s="353"/>
      <c r="DU211" s="353"/>
      <c r="DV211" s="353"/>
      <c r="DW211" s="353"/>
      <c r="DX211" s="353"/>
      <c r="DY211" s="353"/>
      <c r="DZ211" s="353"/>
      <c r="EA211" s="353"/>
      <c r="EB211" s="353"/>
      <c r="EC211" s="353"/>
      <c r="ED211" s="353"/>
      <c r="EE211" s="353"/>
      <c r="EF211" s="353"/>
      <c r="EG211" s="353"/>
      <c r="EH211" s="353"/>
      <c r="EI211" s="353"/>
      <c r="EJ211" s="353"/>
      <c r="EK211" s="353"/>
      <c r="EL211" s="353"/>
      <c r="EM211" s="353"/>
      <c r="EN211" s="353"/>
      <c r="EO211" s="353"/>
      <c r="EP211" s="353"/>
      <c r="EQ211" s="353"/>
      <c r="ER211" s="353"/>
      <c r="ES211" s="353"/>
      <c r="ET211" s="353"/>
      <c r="EU211" s="353"/>
      <c r="EV211" s="353"/>
      <c r="EW211" s="353"/>
      <c r="EX211" s="353"/>
      <c r="EY211" s="353"/>
      <c r="EZ211" s="353"/>
      <c r="FA211" s="353"/>
      <c r="FB211" s="353"/>
      <c r="FC211" s="353"/>
      <c r="FD211" s="353"/>
      <c r="FE211" s="353"/>
      <c r="FF211" s="353"/>
      <c r="FG211" s="353"/>
      <c r="FH211" s="353"/>
      <c r="FI211" s="353"/>
      <c r="FJ211" s="353"/>
      <c r="FK211" s="353"/>
      <c r="FL211" s="353"/>
      <c r="FM211" s="353"/>
      <c r="FN211" s="353"/>
      <c r="FO211" s="353"/>
      <c r="FP211" s="353"/>
      <c r="FQ211" s="353"/>
    </row>
    <row r="212" spans="1:173" s="351" customFormat="1">
      <c r="A212" s="351" t="s">
        <v>53</v>
      </c>
      <c r="B212" s="351">
        <v>2023</v>
      </c>
      <c r="C212" s="411" t="s">
        <v>47</v>
      </c>
      <c r="F212" s="370"/>
      <c r="G212" s="435"/>
      <c r="H212" s="435"/>
      <c r="I212" s="435"/>
      <c r="J212" s="435"/>
      <c r="K212" s="435"/>
      <c r="L212" s="435"/>
      <c r="M212" s="435"/>
      <c r="N212" s="435"/>
      <c r="O212" s="435"/>
      <c r="P212" s="435"/>
      <c r="Q212" s="435"/>
      <c r="R212" s="435"/>
      <c r="S212" s="435"/>
      <c r="T212" s="435"/>
      <c r="U212" s="414">
        <f>'2015 Program Invest Amort Def'!BT94</f>
        <v>99268.33333333116</v>
      </c>
      <c r="V212" s="414">
        <f>'2015 Program Invest Amort Def'!BT94</f>
        <v>99268.33333333116</v>
      </c>
      <c r="W212" s="414">
        <f>'2015 Program Invest Amort Def'!EG94</f>
        <v>-27904.328500000061</v>
      </c>
      <c r="X212" s="397">
        <f t="shared" si="291"/>
        <v>71364.004833331099</v>
      </c>
      <c r="Y212" s="435"/>
      <c r="Z212" s="394">
        <f>'Schedule NJNG-3 - Page 3'!F$159</f>
        <v>97910790.849999994</v>
      </c>
      <c r="AA212" s="480">
        <f>'Schedule NJNG-2 - Page 2'!$H$40</f>
        <v>2.2700000000000001E-2</v>
      </c>
      <c r="AB212" s="439">
        <f t="shared" si="292"/>
        <v>2222574.9522950002</v>
      </c>
      <c r="BA212" s="436">
        <f>'RGGI II Invest Amort Def'!AG140</f>
        <v>0</v>
      </c>
      <c r="BB212" s="353"/>
      <c r="BC212" s="436">
        <f>(L209+N209)*'Capital Structure '!$H$21/12</f>
        <v>0</v>
      </c>
      <c r="BD212" s="436">
        <f>(L209+N209)*'Capital Structure '!$W$34/12</f>
        <v>0</v>
      </c>
      <c r="BE212" s="436">
        <f>(L209+N209)*'Capital Structure '!$H$18/12</f>
        <v>0</v>
      </c>
      <c r="BF212" s="436">
        <f>'RGGI II On Bill Fin''g'!L137*'Capital Structure '!$W$34/12</f>
        <v>125.09210017739065</v>
      </c>
      <c r="BG212" s="436">
        <f>'RGGI II On Bill Fin''g'!L137*('Capital Structure '!$H$18+'Capital Structure '!$H$21)/12</f>
        <v>430.59028557403184</v>
      </c>
      <c r="BH212" s="572">
        <f t="shared" si="293"/>
        <v>555.68238575142254</v>
      </c>
      <c r="BI212" s="353"/>
      <c r="BJ212" s="437">
        <v>0</v>
      </c>
      <c r="BK212" s="561">
        <f t="shared" si="294"/>
        <v>555.68238575142254</v>
      </c>
      <c r="BM212" s="412">
        <f>'2013 program Invest Amort Def'!AW119</f>
        <v>0</v>
      </c>
      <c r="BN212" s="353"/>
      <c r="BO212" s="412">
        <f>(S212)*'Capital Structure '!$J$21/12</f>
        <v>0</v>
      </c>
      <c r="BP212" s="412">
        <f>(S212)*'Capital Structure '!$V$34/12</f>
        <v>0</v>
      </c>
      <c r="BQ212" s="412">
        <f>(S212)*'Capital Structure '!$J$18/12</f>
        <v>0</v>
      </c>
      <c r="BR212" s="412">
        <f>('2013 program 10 yr On Bill Fin'!M119+'2013 program 5 yr On Bill Fin'!L117+'2013 program 2 yr On Bill Fin'!M107)*'Capital Structure '!$V$34/12</f>
        <v>8057.6597857295101</v>
      </c>
      <c r="BS212" s="412">
        <f>('2013 program 10 yr On Bill Fin'!M119+'2013 program 5 yr On Bill Fin'!L117+'2013 program 2 yr On Bill Fin'!M107)*('Capital Structure '!$J$18+'Capital Structure '!$J$21)/12</f>
        <v>27260.139407500315</v>
      </c>
      <c r="BT212" s="431">
        <f t="shared" si="295"/>
        <v>35317.799193229825</v>
      </c>
      <c r="BU212" s="353"/>
      <c r="BV212" s="438">
        <v>0</v>
      </c>
      <c r="BW212" s="431">
        <f t="shared" si="296"/>
        <v>35317.799193229825</v>
      </c>
      <c r="BY212" s="412">
        <f>'2015 Program Invest Amort Def'!BR94</f>
        <v>18326.666666666661</v>
      </c>
      <c r="BZ212" s="353"/>
      <c r="CA212" s="412">
        <f>X212*'Capital Structure '!$T$21/12</f>
        <v>98.482326669996908</v>
      </c>
      <c r="CB212" s="412">
        <f>(X212)*'Capital Structure '!$T$34/12</f>
        <v>120.54669911999623</v>
      </c>
      <c r="CC212" s="412">
        <f>(X212)*'Capital Structure '!$T$18/12</f>
        <v>308.29250087999037</v>
      </c>
      <c r="CD212" s="412">
        <f>('2015 Program 10-Year OBRP'!P94+'2015 Program 7-Year OBRP'!M94+'2015 Program 5-Year OBRP'!K94+'2015 Program 3-Year OBRP'!K94)*('Capital Structure '!$T$34/12)</f>
        <v>12382.770519559108</v>
      </c>
      <c r="CE212" s="412">
        <f>('2015 Program 10-Year OBRP'!P94+'2015 Program 7-Year OBRP'!M94+'2015 Program 5-Year OBRP'!K94+'2015 Program 3-Year OBRP'!K94)*(('Capital Structure '!$T$21/12)+('Capital Structure '!$T$18/12))</f>
        <v>41784.631014000006</v>
      </c>
      <c r="CF212" s="431">
        <f t="shared" si="297"/>
        <v>54694.723060229095</v>
      </c>
      <c r="CG212" s="373">
        <v>-7281.7499999999964</v>
      </c>
      <c r="CH212" s="353"/>
      <c r="CI212" s="353"/>
      <c r="CJ212" s="431">
        <f t="shared" si="298"/>
        <v>65739.639726895752</v>
      </c>
      <c r="CL212" s="431">
        <f>'2018 SUMMARY'!Q74</f>
        <v>731482.97461377934</v>
      </c>
      <c r="CM212" s="431"/>
      <c r="CN212" s="431">
        <f>'2018 SUMMARY'!S74</f>
        <v>47931.151316605821</v>
      </c>
      <c r="CO212" s="431">
        <f>'2018 SUMMARY'!T74</f>
        <v>58669.837234848448</v>
      </c>
      <c r="CP212" s="431">
        <f>'2018 SUMMARY'!U74</f>
        <v>150045.34325198343</v>
      </c>
      <c r="CQ212" s="431">
        <f>'2018 SUMMARY'!V74</f>
        <v>29046.660096596253</v>
      </c>
      <c r="CR212" s="431">
        <f>'2018 SUMMARY'!W74</f>
        <v>98015.542839000016</v>
      </c>
      <c r="CS212" s="431">
        <f t="shared" si="299"/>
        <v>383708.53473903396</v>
      </c>
      <c r="CT212" s="562">
        <v>-3796.3</v>
      </c>
      <c r="CU212" s="431"/>
      <c r="CV212" s="431">
        <v>576</v>
      </c>
      <c r="CW212" s="431">
        <f t="shared" si="300"/>
        <v>1111971.2093528132</v>
      </c>
      <c r="CY212" s="436">
        <f t="shared" si="285"/>
        <v>-1008990.6216363101</v>
      </c>
      <c r="CZ212" s="436">
        <f t="shared" si="286"/>
        <v>-2146025.3329301458</v>
      </c>
      <c r="DA212" s="436">
        <f t="shared" si="287"/>
        <v>-1180095.9328963102</v>
      </c>
      <c r="DB212" s="568">
        <v>4.6199999999999998E-2</v>
      </c>
      <c r="DC212" s="394">
        <f t="shared" si="288"/>
        <v>-4543.369341650794</v>
      </c>
      <c r="DE212" s="353"/>
      <c r="DF212" s="353"/>
      <c r="DG212" s="420">
        <f t="shared" si="289"/>
        <v>6.8400000000000002E-2</v>
      </c>
      <c r="DH212" s="420">
        <f t="shared" si="290"/>
        <v>8.8670168312699971E-2</v>
      </c>
      <c r="DI212" s="353"/>
      <c r="DJ212" s="353"/>
      <c r="DK212" s="353"/>
      <c r="DL212" s="353"/>
      <c r="DM212" s="353"/>
      <c r="DN212" s="353"/>
      <c r="DO212" s="353"/>
      <c r="DP212" s="353"/>
      <c r="DQ212" s="353"/>
      <c r="DR212" s="353"/>
      <c r="DS212" s="353"/>
      <c r="DT212" s="353"/>
      <c r="DU212" s="353"/>
      <c r="DV212" s="353"/>
      <c r="DW212" s="353"/>
      <c r="DX212" s="353"/>
      <c r="DY212" s="353"/>
      <c r="DZ212" s="353"/>
      <c r="EA212" s="353"/>
      <c r="EB212" s="353"/>
      <c r="EC212" s="353"/>
      <c r="ED212" s="353"/>
      <c r="EE212" s="353"/>
      <c r="EF212" s="353"/>
      <c r="EG212" s="353"/>
      <c r="EH212" s="353"/>
      <c r="EI212" s="353"/>
      <c r="EJ212" s="353"/>
      <c r="EK212" s="353"/>
      <c r="EL212" s="353"/>
      <c r="EM212" s="353"/>
      <c r="EN212" s="353"/>
      <c r="EO212" s="353"/>
      <c r="EP212" s="353"/>
      <c r="EQ212" s="353"/>
      <c r="ER212" s="353"/>
      <c r="ES212" s="353"/>
      <c r="ET212" s="353"/>
      <c r="EU212" s="353"/>
      <c r="EV212" s="353"/>
      <c r="EW212" s="353"/>
      <c r="EX212" s="353"/>
      <c r="EY212" s="353"/>
      <c r="EZ212" s="353"/>
      <c r="FA212" s="353"/>
      <c r="FB212" s="353"/>
      <c r="FC212" s="353"/>
      <c r="FD212" s="353"/>
      <c r="FE212" s="353"/>
      <c r="FF212" s="353"/>
      <c r="FG212" s="353"/>
      <c r="FH212" s="353"/>
      <c r="FI212" s="353"/>
      <c r="FJ212" s="353"/>
      <c r="FK212" s="353"/>
      <c r="FL212" s="353"/>
      <c r="FM212" s="353"/>
      <c r="FN212" s="353"/>
      <c r="FO212" s="353"/>
      <c r="FP212" s="353"/>
      <c r="FQ212" s="353"/>
    </row>
    <row r="213" spans="1:173" s="351" customFormat="1">
      <c r="A213" s="351" t="s">
        <v>54</v>
      </c>
      <c r="B213" s="351">
        <v>2023</v>
      </c>
      <c r="C213" s="411" t="s">
        <v>47</v>
      </c>
      <c r="F213" s="370"/>
      <c r="G213" s="435"/>
      <c r="H213" s="435"/>
      <c r="I213" s="435"/>
      <c r="J213" s="435"/>
      <c r="K213" s="435"/>
      <c r="L213" s="435"/>
      <c r="M213" s="435"/>
      <c r="N213" s="435"/>
      <c r="O213" s="435"/>
      <c r="P213" s="435"/>
      <c r="Q213" s="435"/>
      <c r="R213" s="435"/>
      <c r="S213" s="435"/>
      <c r="T213" s="435"/>
      <c r="U213" s="414">
        <f>'2015 Program Invest Amort Def'!BT95</f>
        <v>82381.666666664183</v>
      </c>
      <c r="V213" s="414">
        <f>'2015 Program Invest Amort Def'!BT95</f>
        <v>82381.666666664183</v>
      </c>
      <c r="W213" s="414">
        <f>'2015 Program Invest Amort Def'!EG95</f>
        <v>-23157.486500000061</v>
      </c>
      <c r="X213" s="397">
        <f t="shared" si="291"/>
        <v>59224.180166664126</v>
      </c>
      <c r="Y213" s="435"/>
      <c r="Z213" s="394">
        <f>'Schedule NJNG-3 - Page 3'!G$159</f>
        <v>93301486.239999995</v>
      </c>
      <c r="AA213" s="480">
        <f>'Schedule NJNG-2 - Page 2'!$H$40</f>
        <v>2.2700000000000001E-2</v>
      </c>
      <c r="AB213" s="439">
        <f t="shared" si="292"/>
        <v>2117943.737648</v>
      </c>
      <c r="BA213" s="412">
        <f>'RGGI II Invest Amort Def'!AG141</f>
        <v>0</v>
      </c>
      <c r="BB213" s="353"/>
      <c r="BC213" s="412">
        <f>(L210+N210)*'Capital Structure '!$H$21/12</f>
        <v>0</v>
      </c>
      <c r="BD213" s="412">
        <f>(L210+N210)*'Capital Structure '!$W$34/12</f>
        <v>0</v>
      </c>
      <c r="BE213" s="412">
        <f>(L210+N210)*'Capital Structure '!$H$18/12</f>
        <v>0</v>
      </c>
      <c r="BF213" s="412">
        <f>'RGGI II On Bill Fin''g'!L138*'Capital Structure '!$W$34/12</f>
        <v>90.155489561618651</v>
      </c>
      <c r="BG213" s="412">
        <f>'RGGI II On Bill Fin''g'!L138*('Capital Structure '!$H$18+'Capital Structure '!$H$21)/12</f>
        <v>310.33197093464759</v>
      </c>
      <c r="BH213" s="415">
        <f t="shared" si="293"/>
        <v>400.48746049626624</v>
      </c>
      <c r="BI213" s="353"/>
      <c r="BJ213" s="437">
        <v>0</v>
      </c>
      <c r="BK213" s="431">
        <f t="shared" si="294"/>
        <v>400.48746049626624</v>
      </c>
      <c r="BM213" s="412">
        <f>'2013 program Invest Amort Def'!AW120</f>
        <v>0</v>
      </c>
      <c r="BN213" s="353"/>
      <c r="BO213" s="412">
        <f>(S213)*'Capital Structure '!$J$21/12</f>
        <v>0</v>
      </c>
      <c r="BP213" s="412">
        <f>(S213)*'Capital Structure '!$V$34/12</f>
        <v>0</v>
      </c>
      <c r="BQ213" s="412">
        <f>(S213)*'Capital Structure '!$J$18/12</f>
        <v>0</v>
      </c>
      <c r="BR213" s="412">
        <f>('2013 program 10 yr On Bill Fin'!M120+'2013 program 5 yr On Bill Fin'!L118+'2013 program 2 yr On Bill Fin'!M108)*'Capital Structure '!$V$34/12</f>
        <v>7685.5370628869541</v>
      </c>
      <c r="BS213" s="412">
        <f>('2013 program 10 yr On Bill Fin'!M120+'2013 program 5 yr On Bill Fin'!L118+'2013 program 2 yr On Bill Fin'!M108)*('Capital Structure '!$J$18+'Capital Structure '!$J$21)/12</f>
        <v>26001.19852750035</v>
      </c>
      <c r="BT213" s="431">
        <f t="shared" si="295"/>
        <v>33686.735590387303</v>
      </c>
      <c r="BU213" s="353"/>
      <c r="BV213" s="438">
        <v>0</v>
      </c>
      <c r="BW213" s="431">
        <f t="shared" si="296"/>
        <v>33686.735590387303</v>
      </c>
      <c r="BY213" s="412">
        <f>'2015 Program Invest Amort Def'!BR95</f>
        <v>16886.666666666664</v>
      </c>
      <c r="BZ213" s="353"/>
      <c r="CA213" s="412">
        <f>X213*'Capital Structure '!$T$21/12</f>
        <v>81.729368629996486</v>
      </c>
      <c r="CB213" s="412">
        <f>(X213)*'Capital Structure '!$T$34/12</f>
        <v>100.04034167999572</v>
      </c>
      <c r="CC213" s="412">
        <f>(X213)*'Capital Structure '!$T$18/12</f>
        <v>255.84845831998905</v>
      </c>
      <c r="CD213" s="412">
        <f>('2015 Program 10-Year OBRP'!P95+'2015 Program 7-Year OBRP'!M95+'2015 Program 5-Year OBRP'!K95+'2015 Program 3-Year OBRP'!K95)*('Capital Structure '!$T$34/12)</f>
        <v>11979.030979395637</v>
      </c>
      <c r="CE213" s="412">
        <f>('2015 Program 10-Year OBRP'!P95+'2015 Program 7-Year OBRP'!M95+'2015 Program 5-Year OBRP'!K95+'2015 Program 3-Year OBRP'!K95)*(('Capital Structure '!$T$21/12)+('Capital Structure '!$T$18/12))</f>
        <v>40422.245457000012</v>
      </c>
      <c r="CF213" s="431">
        <f t="shared" si="297"/>
        <v>52838.894605025627</v>
      </c>
      <c r="CG213" s="373">
        <v>-8326.3200000000088</v>
      </c>
      <c r="CH213" s="353"/>
      <c r="CI213" s="353"/>
      <c r="CJ213" s="431">
        <f t="shared" si="298"/>
        <v>61399.241271692284</v>
      </c>
      <c r="CL213" s="431">
        <f>'2018 SUMMARY'!Q75</f>
        <v>731821.51592330309</v>
      </c>
      <c r="CM213" s="431"/>
      <c r="CN213" s="431">
        <f>'2018 SUMMARY'!S75</f>
        <v>46690.12280123918</v>
      </c>
      <c r="CO213" s="431">
        <f>'2018 SUMMARY'!T75</f>
        <v>57150.763751313309</v>
      </c>
      <c r="CP213" s="431">
        <f>'2018 SUMMARY'!U75</f>
        <v>146160.38442127049</v>
      </c>
      <c r="CQ213" s="431">
        <f>'2018 SUMMARY'!V75</f>
        <v>28362.412541693371</v>
      </c>
      <c r="CR213" s="431">
        <f>'2018 SUMMARY'!W75</f>
        <v>95706.606276000006</v>
      </c>
      <c r="CS213" s="431">
        <f t="shared" si="299"/>
        <v>374070.28979151638</v>
      </c>
      <c r="CT213" s="562">
        <v>-3617.2599999999998</v>
      </c>
      <c r="CU213" s="431"/>
      <c r="CV213" s="431">
        <v>554</v>
      </c>
      <c r="CW213" s="431">
        <f t="shared" si="300"/>
        <v>1102828.5457148193</v>
      </c>
      <c r="CY213" s="412">
        <f t="shared" si="285"/>
        <v>-919628.72761060484</v>
      </c>
      <c r="CZ213" s="412">
        <f t="shared" si="286"/>
        <v>-3065654.0605407506</v>
      </c>
      <c r="DA213" s="412">
        <f t="shared" si="287"/>
        <v>-1873338.1579831138</v>
      </c>
      <c r="DB213" s="417">
        <v>4.7989999999999998E-2</v>
      </c>
      <c r="DC213" s="434">
        <f t="shared" si="288"/>
        <v>-7491.791516800803</v>
      </c>
      <c r="DE213" s="353"/>
      <c r="DF213" s="353"/>
      <c r="DG213" s="420">
        <f t="shared" si="289"/>
        <v>6.8400000000000002E-2</v>
      </c>
      <c r="DH213" s="420">
        <f t="shared" si="290"/>
        <v>8.8670168312699957E-2</v>
      </c>
      <c r="DI213" s="353"/>
      <c r="DJ213" s="353"/>
      <c r="DK213" s="353"/>
      <c r="DL213" s="353"/>
      <c r="DM213" s="353"/>
      <c r="DN213" s="353"/>
      <c r="DO213" s="353"/>
      <c r="DP213" s="353"/>
      <c r="DQ213" s="353"/>
      <c r="DR213" s="353"/>
      <c r="DS213" s="353"/>
      <c r="DT213" s="353"/>
      <c r="DU213" s="353"/>
      <c r="DV213" s="353"/>
      <c r="DW213" s="353"/>
      <c r="DX213" s="353"/>
      <c r="DY213" s="353"/>
      <c r="DZ213" s="353"/>
      <c r="EA213" s="353"/>
      <c r="EB213" s="353"/>
      <c r="EC213" s="353"/>
      <c r="ED213" s="353"/>
      <c r="EE213" s="353"/>
      <c r="EF213" s="353"/>
      <c r="EG213" s="353"/>
      <c r="EH213" s="353"/>
      <c r="EI213" s="353"/>
      <c r="EJ213" s="353"/>
      <c r="EK213" s="353"/>
      <c r="EL213" s="353"/>
      <c r="EM213" s="353"/>
      <c r="EN213" s="353"/>
      <c r="EO213" s="353"/>
      <c r="EP213" s="353"/>
      <c r="EQ213" s="353"/>
      <c r="ER213" s="353"/>
      <c r="ES213" s="353"/>
      <c r="ET213" s="353"/>
      <c r="EU213" s="353"/>
      <c r="EV213" s="353"/>
      <c r="EW213" s="353"/>
      <c r="EX213" s="353"/>
      <c r="EY213" s="353"/>
      <c r="EZ213" s="353"/>
      <c r="FA213" s="353"/>
      <c r="FB213" s="353"/>
      <c r="FC213" s="353"/>
      <c r="FD213" s="353"/>
      <c r="FE213" s="353"/>
      <c r="FF213" s="353"/>
      <c r="FG213" s="353"/>
      <c r="FH213" s="353"/>
      <c r="FI213" s="353"/>
      <c r="FJ213" s="353"/>
      <c r="FK213" s="353"/>
      <c r="FL213" s="353"/>
      <c r="FM213" s="353"/>
      <c r="FN213" s="353"/>
      <c r="FO213" s="353"/>
      <c r="FP213" s="353"/>
      <c r="FQ213" s="353"/>
    </row>
    <row r="214" spans="1:173" s="351" customFormat="1">
      <c r="A214" s="351" t="s">
        <v>55</v>
      </c>
      <c r="B214" s="351">
        <v>2023</v>
      </c>
      <c r="C214" s="411" t="s">
        <v>47</v>
      </c>
      <c r="F214" s="370"/>
      <c r="G214" s="435"/>
      <c r="H214" s="435"/>
      <c r="I214" s="435"/>
      <c r="J214" s="435"/>
      <c r="K214" s="435"/>
      <c r="L214" s="435"/>
      <c r="M214" s="435"/>
      <c r="N214" s="435"/>
      <c r="O214" s="435"/>
      <c r="P214" s="435"/>
      <c r="Q214" s="435"/>
      <c r="R214" s="435"/>
      <c r="S214" s="435"/>
      <c r="T214" s="435"/>
      <c r="U214" s="414">
        <f>'2015 Program Invest Amort Def'!BT96</f>
        <v>66999.999999997206</v>
      </c>
      <c r="V214" s="414">
        <f>'2015 Program Invest Amort Def'!BT96</f>
        <v>66999.999999997206</v>
      </c>
      <c r="W214" s="414">
        <f>'2015 Program Invest Amort Def'!EG96</f>
        <v>-18833.700000000059</v>
      </c>
      <c r="X214" s="397">
        <f t="shared" si="291"/>
        <v>48166.299999997151</v>
      </c>
      <c r="Y214" s="435"/>
      <c r="Z214" s="394">
        <f>'Schedule NJNG-3 - Page 3'!H$159</f>
        <v>90294440.979999989</v>
      </c>
      <c r="AA214" s="480">
        <f>'Schedule NJNG-2 - Page 2'!$H$40</f>
        <v>2.2700000000000001E-2</v>
      </c>
      <c r="AB214" s="439">
        <f t="shared" si="292"/>
        <v>2049683.8102459998</v>
      </c>
      <c r="BA214" s="412">
        <f>'RGGI II Invest Amort Def'!AG142</f>
        <v>0</v>
      </c>
      <c r="BB214" s="353"/>
      <c r="BC214" s="412">
        <f>(L211+N211)*'Capital Structure '!$H$21/12</f>
        <v>0</v>
      </c>
      <c r="BD214" s="412">
        <f>(L211+N211)*'Capital Structure '!$W$34/12</f>
        <v>0</v>
      </c>
      <c r="BE214" s="412">
        <f>(L211+N211)*'Capital Structure '!$H$18/12</f>
        <v>0</v>
      </c>
      <c r="BF214" s="412">
        <f>'RGGI II On Bill Fin''g'!L139*'Capital Structure '!$W$34/12</f>
        <v>43.076773009561919</v>
      </c>
      <c r="BG214" s="412">
        <f>'RGGI II On Bill Fin''g'!L139*('Capital Structure '!$H$18+'Capital Structure '!$H$21)/12</f>
        <v>148.2782682958543</v>
      </c>
      <c r="BH214" s="415">
        <f t="shared" si="293"/>
        <v>191.35504130541622</v>
      </c>
      <c r="BI214" s="353"/>
      <c r="BJ214" s="437">
        <v>0</v>
      </c>
      <c r="BK214" s="431">
        <f t="shared" si="294"/>
        <v>191.35504130541622</v>
      </c>
      <c r="BM214" s="412">
        <f>'2013 program Invest Amort Def'!AW121</f>
        <v>0</v>
      </c>
      <c r="BN214" s="353"/>
      <c r="BO214" s="412">
        <f>(S214)*'Capital Structure '!$J$21/12</f>
        <v>0</v>
      </c>
      <c r="BP214" s="412">
        <f>(S214)*'Capital Structure '!$V$34/12</f>
        <v>0</v>
      </c>
      <c r="BQ214" s="412">
        <f>(S214)*'Capital Structure '!$J$18/12</f>
        <v>0</v>
      </c>
      <c r="BR214" s="412">
        <f>('2013 program 10 yr On Bill Fin'!M121+'2013 program 5 yr On Bill Fin'!L119+'2013 program 2 yr On Bill Fin'!M109)*'Capital Structure '!$V$34/12</f>
        <v>7194.9063864358322</v>
      </c>
      <c r="BS214" s="412">
        <f>('2013 program 10 yr On Bill Fin'!M121+'2013 program 5 yr On Bill Fin'!L119+'2013 program 2 yr On Bill Fin'!M109)*('Capital Structure '!$J$18+'Capital Structure '!$J$21)/12</f>
        <v>24341.329410000384</v>
      </c>
      <c r="BT214" s="431">
        <f t="shared" si="295"/>
        <v>31536.235796436216</v>
      </c>
      <c r="BU214" s="353"/>
      <c r="BV214" s="438">
        <v>0</v>
      </c>
      <c r="BW214" s="431">
        <f t="shared" si="296"/>
        <v>31536.235796436216</v>
      </c>
      <c r="BY214" s="412">
        <f>'2015 Program Invest Amort Def'!BR96</f>
        <v>15381.66666666667</v>
      </c>
      <c r="BZ214" s="353"/>
      <c r="CA214" s="412">
        <f>X214*'Capital Structure '!$T$21/12</f>
        <v>66.469493999996061</v>
      </c>
      <c r="CB214" s="412">
        <f>(X214)*'Capital Structure '!$T$34/12</f>
        <v>81.361583999995204</v>
      </c>
      <c r="CC214" s="412">
        <f>(X214)*'Capital Structure '!$T$18/12</f>
        <v>208.0784159999877</v>
      </c>
      <c r="CD214" s="412">
        <f>('2015 Program 10-Year OBRP'!P96+'2015 Program 7-Year OBRP'!M96+'2015 Program 5-Year OBRP'!K96+'2015 Program 3-Year OBRP'!K96)*('Capital Structure '!$T$34/12)</f>
        <v>11510.021429698043</v>
      </c>
      <c r="CE214" s="412">
        <f>('2015 Program 10-Year OBRP'!P96+'2015 Program 7-Year OBRP'!M96+'2015 Program 5-Year OBRP'!K96+'2015 Program 3-Year OBRP'!K96)*(('Capital Structure '!$T$21/12)+('Capital Structure '!$T$18/12))</f>
        <v>38839.611672000014</v>
      </c>
      <c r="CF214" s="431">
        <f t="shared" si="297"/>
        <v>50705.542595698033</v>
      </c>
      <c r="CG214" s="373">
        <v>-6949.1199999999935</v>
      </c>
      <c r="CH214" s="353"/>
      <c r="CI214" s="353"/>
      <c r="CJ214" s="431">
        <f t="shared" si="298"/>
        <v>59138.089262364709</v>
      </c>
      <c r="CL214" s="431">
        <f>'2018 SUMMARY'!Q76</f>
        <v>732062.10485187452</v>
      </c>
      <c r="CM214" s="431"/>
      <c r="CN214" s="431">
        <f>'2018 SUMMARY'!S76</f>
        <v>45528.490051789209</v>
      </c>
      <c r="CO214" s="431">
        <f>'2018 SUMMARY'!T76</f>
        <v>55728.874177104655</v>
      </c>
      <c r="CP214" s="431">
        <f>'2018 SUMMARY'!U76</f>
        <v>142523.96885777492</v>
      </c>
      <c r="CQ214" s="431">
        <f>'2018 SUMMARY'!V76</f>
        <v>27565.911243986771</v>
      </c>
      <c r="CR214" s="431">
        <f>'2018 SUMMARY'!W76</f>
        <v>93018.878778000028</v>
      </c>
      <c r="CS214" s="431">
        <f t="shared" si="299"/>
        <v>364366.12310865556</v>
      </c>
      <c r="CT214" s="562">
        <v>-3480</v>
      </c>
      <c r="CU214" s="431"/>
      <c r="CV214" s="431">
        <v>527</v>
      </c>
      <c r="CW214" s="431">
        <f t="shared" si="300"/>
        <v>1093475.2279605302</v>
      </c>
      <c r="CY214" s="412">
        <f t="shared" si="285"/>
        <v>-865342.90218536323</v>
      </c>
      <c r="CZ214" s="412">
        <f t="shared" si="286"/>
        <v>-3930996.9627261139</v>
      </c>
      <c r="DA214" s="412">
        <f t="shared" si="287"/>
        <v>-2514946.2103132745</v>
      </c>
      <c r="DB214" s="417">
        <f t="shared" ref="DB214:DB220" si="301">DB213</f>
        <v>4.7989999999999998E-2</v>
      </c>
      <c r="DC214" s="434">
        <f t="shared" si="288"/>
        <v>-10057.689052744503</v>
      </c>
      <c r="DE214" s="353"/>
      <c r="DF214" s="353"/>
      <c r="DG214" s="420">
        <f t="shared" si="289"/>
        <v>6.8399999999999989E-2</v>
      </c>
      <c r="DH214" s="420">
        <f t="shared" si="290"/>
        <v>8.8670168312699957E-2</v>
      </c>
      <c r="DI214" s="353"/>
      <c r="DJ214" s="353"/>
      <c r="DK214" s="353"/>
      <c r="DL214" s="353"/>
      <c r="DM214" s="353"/>
      <c r="DN214" s="353"/>
      <c r="DO214" s="353"/>
      <c r="DP214" s="353"/>
      <c r="DQ214" s="353"/>
      <c r="DR214" s="353"/>
      <c r="DS214" s="353"/>
      <c r="DT214" s="353"/>
      <c r="DU214" s="353"/>
      <c r="DV214" s="353"/>
      <c r="DW214" s="353"/>
      <c r="DX214" s="353"/>
      <c r="DY214" s="353"/>
      <c r="DZ214" s="353"/>
      <c r="EA214" s="353"/>
      <c r="EB214" s="353"/>
      <c r="EC214" s="353"/>
      <c r="ED214" s="353"/>
      <c r="EE214" s="353"/>
      <c r="EF214" s="353"/>
      <c r="EG214" s="353"/>
      <c r="EH214" s="353"/>
      <c r="EI214" s="353"/>
      <c r="EJ214" s="353"/>
      <c r="EK214" s="353"/>
      <c r="EL214" s="353"/>
      <c r="EM214" s="353"/>
      <c r="EN214" s="353"/>
      <c r="EO214" s="353"/>
      <c r="EP214" s="353"/>
      <c r="EQ214" s="353"/>
      <c r="ER214" s="353"/>
      <c r="ES214" s="353"/>
      <c r="ET214" s="353"/>
      <c r="EU214" s="353"/>
      <c r="EV214" s="353"/>
      <c r="EW214" s="353"/>
      <c r="EX214" s="353"/>
      <c r="EY214" s="353"/>
      <c r="EZ214" s="353"/>
      <c r="FA214" s="353"/>
      <c r="FB214" s="353"/>
      <c r="FC214" s="353"/>
      <c r="FD214" s="353"/>
      <c r="FE214" s="353"/>
      <c r="FF214" s="353"/>
      <c r="FG214" s="353"/>
      <c r="FH214" s="353"/>
      <c r="FI214" s="353"/>
      <c r="FJ214" s="353"/>
      <c r="FK214" s="353"/>
      <c r="FL214" s="353"/>
      <c r="FM214" s="353"/>
      <c r="FN214" s="353"/>
      <c r="FO214" s="353"/>
      <c r="FP214" s="353"/>
      <c r="FQ214" s="353"/>
    </row>
    <row r="215" spans="1:173" s="351" customFormat="1">
      <c r="A215" s="351" t="s">
        <v>56</v>
      </c>
      <c r="B215" s="351">
        <v>2023</v>
      </c>
      <c r="C215" s="411" t="s">
        <v>60</v>
      </c>
      <c r="F215" s="370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14">
        <f>'2015 Program Invest Amort Def'!BT97</f>
        <v>53701.666666664183</v>
      </c>
      <c r="V215" s="414">
        <f>'2015 Program Invest Amort Def'!BT97</f>
        <v>53701.666666664183</v>
      </c>
      <c r="W215" s="414">
        <f>'2015 Program Invest Amort Def'!EG97</f>
        <v>-15095.538500000057</v>
      </c>
      <c r="X215" s="397">
        <f t="shared" si="291"/>
        <v>38606.12816666413</v>
      </c>
      <c r="Y215" s="435"/>
      <c r="Z215" s="394">
        <f>'Schedule NJNG-3 - Page 3'!I$159</f>
        <v>52757923.475015663</v>
      </c>
      <c r="AA215" s="480">
        <f>'Schedule NJNG-2 - Page 2'!$H$40</f>
        <v>2.2700000000000001E-2</v>
      </c>
      <c r="AB215" s="439">
        <f t="shared" si="292"/>
        <v>1197604.8628828556</v>
      </c>
      <c r="BA215" s="412">
        <f>'RGGI II Invest Amort Def'!AG143</f>
        <v>0</v>
      </c>
      <c r="BB215" s="353"/>
      <c r="BC215" s="412">
        <f>(L212+N212)*'Capital Structure '!$H$21/12</f>
        <v>0</v>
      </c>
      <c r="BD215" s="412">
        <f>(L212+N212)*'Capital Structure '!$W$34/12</f>
        <v>0</v>
      </c>
      <c r="BE215" s="412">
        <f>(L212+N212)*'Capital Structure '!$H$18/12</f>
        <v>0</v>
      </c>
      <c r="BF215" s="412">
        <f>'RGGI II On Bill Fin''g'!L140*'Capital Structure '!$W$34/12</f>
        <v>0</v>
      </c>
      <c r="BG215" s="412">
        <f>'RGGI II On Bill Fin''g'!L140*('Capital Structure '!$H$18+'Capital Structure '!$H$21)/12</f>
        <v>0</v>
      </c>
      <c r="BH215" s="415">
        <f t="shared" si="293"/>
        <v>0</v>
      </c>
      <c r="BI215" s="353"/>
      <c r="BJ215" s="437">
        <v>0</v>
      </c>
      <c r="BK215" s="431">
        <f t="shared" si="294"/>
        <v>0</v>
      </c>
      <c r="BM215" s="412">
        <f>'2013 program Invest Amort Def'!AW122</f>
        <v>0</v>
      </c>
      <c r="BN215" s="353"/>
      <c r="BO215" s="412">
        <f>(S215)*'Capital Structure '!$J$21/12</f>
        <v>0</v>
      </c>
      <c r="BP215" s="412">
        <f>(S215)*'Capital Structure '!$V$34/12</f>
        <v>0</v>
      </c>
      <c r="BQ215" s="412">
        <f>(S215)*'Capital Structure '!$J$18/12</f>
        <v>0</v>
      </c>
      <c r="BR215" s="412">
        <f>('2013 program 10 yr On Bill Fin'!M122+'2013 program 5 yr On Bill Fin'!L120+'2013 program 2 yr On Bill Fin'!M110)*'Capital Structure '!$V$34/12</f>
        <v>6704.2757099847104</v>
      </c>
      <c r="BS215" s="412">
        <f>('2013 program 10 yr On Bill Fin'!M122+'2013 program 5 yr On Bill Fin'!L120+'2013 program 2 yr On Bill Fin'!M110)*('Capital Structure '!$J$18+'Capital Structure '!$J$21)/12</f>
        <v>22681.460292500426</v>
      </c>
      <c r="BT215" s="431">
        <f t="shared" si="295"/>
        <v>29385.736002485137</v>
      </c>
      <c r="BU215" s="353"/>
      <c r="BV215" s="438">
        <v>0</v>
      </c>
      <c r="BW215" s="431">
        <f t="shared" si="296"/>
        <v>29385.736002485137</v>
      </c>
      <c r="BY215" s="412">
        <f>'2015 Program Invest Amort Def'!BR97</f>
        <v>13298.333333333336</v>
      </c>
      <c r="BZ215" s="353"/>
      <c r="CA215" s="412">
        <f>X215*'Capital Structure '!$T$21/12</f>
        <v>53.276456869996487</v>
      </c>
      <c r="CB215" s="412">
        <f>(X215)*'Capital Structure '!$T$34/12</f>
        <v>65.212726319995724</v>
      </c>
      <c r="CC215" s="412">
        <f>(X215)*'Capital Structure '!$T$18/12</f>
        <v>166.77847367998905</v>
      </c>
      <c r="CD215" s="412">
        <f>('2015 Program 10-Year OBRP'!P97+'2015 Program 7-Year OBRP'!M97+'2015 Program 5-Year OBRP'!K97+'2015 Program 3-Year OBRP'!K97)*('Capital Structure '!$T$34/12)</f>
        <v>11033.219999349129</v>
      </c>
      <c r="CE215" s="412">
        <f>('2015 Program 10-Year OBRP'!P97+'2015 Program 7-Year OBRP'!M97+'2015 Program 5-Year OBRP'!K97+'2015 Program 3-Year OBRP'!K97)*(('Capital Structure '!$T$21/12)+('Capital Structure '!$T$18/12))</f>
        <v>37230.684832678584</v>
      </c>
      <c r="CF215" s="431">
        <f t="shared" si="297"/>
        <v>48549.17248889769</v>
      </c>
      <c r="CG215" s="373"/>
      <c r="CH215" s="353"/>
      <c r="CI215" s="353"/>
      <c r="CJ215" s="431">
        <f t="shared" si="298"/>
        <v>61847.505822231025</v>
      </c>
      <c r="CL215" s="431">
        <f>'2018 SUMMARY'!Q77</f>
        <v>754199.3756852079</v>
      </c>
      <c r="CM215" s="431"/>
      <c r="CN215" s="431">
        <f>'2018 SUMMARY'!S77</f>
        <v>46842.772541069025</v>
      </c>
      <c r="CO215" s="431">
        <f>'2018 SUMMARY'!T77</f>
        <v>57337.613746436546</v>
      </c>
      <c r="CP215" s="431">
        <f>'2018 SUMMARY'!U77</f>
        <v>146638.24447638998</v>
      </c>
      <c r="CQ215" s="431">
        <f>'2018 SUMMARY'!V77</f>
        <v>29322.473888468663</v>
      </c>
      <c r="CR215" s="431">
        <f>'2018 SUMMARY'!W77</f>
        <v>98946.253579682569</v>
      </c>
      <c r="CS215" s="431">
        <f t="shared" si="299"/>
        <v>379087.35823204677</v>
      </c>
      <c r="CT215" s="431"/>
      <c r="CU215" s="431"/>
      <c r="CV215" s="431">
        <v>1000</v>
      </c>
      <c r="CW215" s="431">
        <f t="shared" si="300"/>
        <v>1134286.7339172547</v>
      </c>
      <c r="CY215" s="412">
        <f t="shared" si="285"/>
        <v>27915.112859115237</v>
      </c>
      <c r="CZ215" s="412">
        <f t="shared" si="286"/>
        <v>-3903081.8498669984</v>
      </c>
      <c r="DA215" s="412">
        <f t="shared" si="287"/>
        <v>-2815959.6291865939</v>
      </c>
      <c r="DB215" s="417">
        <f t="shared" si="301"/>
        <v>4.7989999999999998E-2</v>
      </c>
      <c r="DC215" s="434">
        <f t="shared" si="288"/>
        <v>-11261.491883722054</v>
      </c>
      <c r="DE215" s="353"/>
      <c r="DF215" s="353"/>
      <c r="DG215" s="420">
        <f t="shared" si="289"/>
        <v>6.8399999999999989E-2</v>
      </c>
      <c r="DH215" s="420">
        <f t="shared" si="290"/>
        <v>8.8670168312699943E-2</v>
      </c>
      <c r="DI215" s="353"/>
      <c r="DJ215" s="353"/>
      <c r="DK215" s="353"/>
      <c r="DL215" s="353"/>
      <c r="DM215" s="353"/>
      <c r="DN215" s="353"/>
      <c r="DO215" s="353"/>
      <c r="DP215" s="353"/>
      <c r="DQ215" s="353"/>
      <c r="DR215" s="353"/>
      <c r="DS215" s="353"/>
      <c r="DT215" s="353"/>
      <c r="DU215" s="353"/>
      <c r="DV215" s="353"/>
      <c r="DW215" s="353"/>
      <c r="DX215" s="353"/>
      <c r="DY215" s="353"/>
      <c r="DZ215" s="353"/>
      <c r="EA215" s="353"/>
      <c r="EB215" s="353"/>
      <c r="EC215" s="353"/>
      <c r="ED215" s="353"/>
      <c r="EE215" s="353"/>
      <c r="EF215" s="353"/>
      <c r="EG215" s="353"/>
      <c r="EH215" s="353"/>
      <c r="EI215" s="353"/>
      <c r="EJ215" s="353"/>
      <c r="EK215" s="353"/>
      <c r="EL215" s="353"/>
      <c r="EM215" s="353"/>
      <c r="EN215" s="353"/>
      <c r="EO215" s="353"/>
      <c r="EP215" s="353"/>
      <c r="EQ215" s="353"/>
      <c r="ER215" s="353"/>
      <c r="ES215" s="353"/>
      <c r="ET215" s="353"/>
      <c r="EU215" s="353"/>
      <c r="EV215" s="353"/>
      <c r="EW215" s="353"/>
      <c r="EX215" s="353"/>
      <c r="EY215" s="353"/>
      <c r="EZ215" s="353"/>
      <c r="FA215" s="353"/>
      <c r="FB215" s="353"/>
      <c r="FC215" s="353"/>
      <c r="FD215" s="353"/>
      <c r="FE215" s="353"/>
      <c r="FF215" s="353"/>
      <c r="FG215" s="353"/>
      <c r="FH215" s="353"/>
      <c r="FI215" s="353"/>
      <c r="FJ215" s="353"/>
      <c r="FK215" s="353"/>
      <c r="FL215" s="353"/>
      <c r="FM215" s="353"/>
      <c r="FN215" s="353"/>
      <c r="FO215" s="353"/>
      <c r="FP215" s="353"/>
      <c r="FQ215" s="353"/>
    </row>
    <row r="216" spans="1:173" s="351" customFormat="1">
      <c r="A216" s="351" t="s">
        <v>57</v>
      </c>
      <c r="B216" s="351">
        <v>2023</v>
      </c>
      <c r="C216" s="411" t="s">
        <v>60</v>
      </c>
      <c r="F216" s="370"/>
      <c r="G216" s="435"/>
      <c r="H216" s="435"/>
      <c r="I216" s="435"/>
      <c r="J216" s="435"/>
      <c r="K216" s="435"/>
      <c r="L216" s="435"/>
      <c r="M216" s="435"/>
      <c r="N216" s="435"/>
      <c r="O216" s="435"/>
      <c r="P216" s="435"/>
      <c r="Q216" s="435"/>
      <c r="R216" s="435"/>
      <c r="S216" s="435"/>
      <c r="T216" s="435"/>
      <c r="U216" s="414">
        <f>'2015 Program Invest Amort Def'!BT98</f>
        <v>41873.33333333116</v>
      </c>
      <c r="V216" s="414">
        <f>'2015 Program Invest Amort Def'!BT98</f>
        <v>41873.33333333116</v>
      </c>
      <c r="W216" s="414">
        <f>'2015 Program Invest Amort Def'!EG98</f>
        <v>-11770.594000000056</v>
      </c>
      <c r="X216" s="397">
        <f t="shared" si="291"/>
        <v>30102.739333331105</v>
      </c>
      <c r="Y216" s="435"/>
      <c r="Z216" s="394">
        <f>'Schedule NJNG-3 - Page 3'!J$159</f>
        <v>30009735.949472312</v>
      </c>
      <c r="AA216" s="480">
        <f>'Schedule NJNG-2 - Page 2'!$H$40</f>
        <v>2.2700000000000001E-2</v>
      </c>
      <c r="AB216" s="439">
        <f t="shared" si="292"/>
        <v>681221.00605302153</v>
      </c>
      <c r="BA216" s="412">
        <f>'RGGI II Invest Amort Def'!AG144</f>
        <v>0</v>
      </c>
      <c r="BB216" s="353"/>
      <c r="BC216" s="412">
        <f>(L213+N213)*'Capital Structure '!$H$21/12</f>
        <v>0</v>
      </c>
      <c r="BD216" s="412">
        <f>(L213+N213)*'Capital Structure '!$W$34/12</f>
        <v>0</v>
      </c>
      <c r="BE216" s="412">
        <f>(L213+N213)*'Capital Structure '!$H$18/12</f>
        <v>0</v>
      </c>
      <c r="BF216" s="412">
        <f>'RGGI II On Bill Fin''g'!L141*'Capital Structure '!$W$34/12</f>
        <v>0</v>
      </c>
      <c r="BG216" s="412">
        <f>'RGGI II On Bill Fin''g'!L141*('Capital Structure '!$H$18+'Capital Structure '!$H$21)/12</f>
        <v>0</v>
      </c>
      <c r="BH216" s="415">
        <f t="shared" si="293"/>
        <v>0</v>
      </c>
      <c r="BI216" s="353"/>
      <c r="BJ216" s="437">
        <v>0</v>
      </c>
      <c r="BK216" s="431">
        <f t="shared" si="294"/>
        <v>0</v>
      </c>
      <c r="BM216" s="412">
        <f>'2013 program Invest Amort Def'!AW123</f>
        <v>0</v>
      </c>
      <c r="BN216" s="353"/>
      <c r="BO216" s="412">
        <f>(S216)*'Capital Structure '!$J$21/12</f>
        <v>0</v>
      </c>
      <c r="BP216" s="412">
        <f>(S216)*'Capital Structure '!$V$34/12</f>
        <v>0</v>
      </c>
      <c r="BQ216" s="412">
        <f>(S216)*'Capital Structure '!$J$18/12</f>
        <v>0</v>
      </c>
      <c r="BR216" s="412">
        <f>('2013 program 10 yr On Bill Fin'!M123+'2013 program 5 yr On Bill Fin'!L121+'2013 program 2 yr On Bill Fin'!M111)*'Capital Structure '!$V$34/12</f>
        <v>6213.6450335335894</v>
      </c>
      <c r="BS216" s="412">
        <f>('2013 program 10 yr On Bill Fin'!M123+'2013 program 5 yr On Bill Fin'!L121+'2013 program 2 yr On Bill Fin'!M111)*('Capital Structure '!$J$18+'Capital Structure '!$J$21)/12</f>
        <v>21021.591175000463</v>
      </c>
      <c r="BT216" s="431">
        <f t="shared" si="295"/>
        <v>27235.236208534054</v>
      </c>
      <c r="BU216" s="353"/>
      <c r="BV216" s="438">
        <v>0</v>
      </c>
      <c r="BW216" s="431">
        <f t="shared" si="296"/>
        <v>27235.236208534054</v>
      </c>
      <c r="BY216" s="412">
        <f>'2015 Program Invest Amort Def'!BR98</f>
        <v>11828.333333333336</v>
      </c>
      <c r="BZ216" s="353"/>
      <c r="CA216" s="412">
        <f>X216*'Capital Structure '!$T$21/12</f>
        <v>41.541780279996921</v>
      </c>
      <c r="CB216" s="412">
        <f>(X216)*'Capital Structure '!$T$34/12</f>
        <v>50.848966079996245</v>
      </c>
      <c r="CC216" s="412">
        <f>(X216)*'Capital Structure '!$T$18/12</f>
        <v>130.04383391999039</v>
      </c>
      <c r="CD216" s="412">
        <f>('2015 Program 10-Year OBRP'!P98+'2015 Program 7-Year OBRP'!M98+'2015 Program 5-Year OBRP'!K98+'2015 Program 3-Year OBRP'!K98)*('Capital Structure '!$T$34/12)</f>
        <v>10563.206924092703</v>
      </c>
      <c r="CE216" s="412">
        <f>('2015 Program 10-Year OBRP'!P98+'2015 Program 7-Year OBRP'!M98+'2015 Program 5-Year OBRP'!K98+'2015 Program 3-Year OBRP'!K98)*(('Capital Structure '!$T$21/12)+('Capital Structure '!$T$18/12))</f>
        <v>35644.664734000013</v>
      </c>
      <c r="CF216" s="431">
        <f t="shared" si="297"/>
        <v>46430.306238372701</v>
      </c>
      <c r="CG216" s="373"/>
      <c r="CH216" s="353"/>
      <c r="CI216" s="353"/>
      <c r="CJ216" s="431">
        <f t="shared" si="298"/>
        <v>58258.639571706037</v>
      </c>
      <c r="CL216" s="431">
        <f>'2018 SUMMARY'!Q78</f>
        <v>778554.78997092217</v>
      </c>
      <c r="CM216" s="431"/>
      <c r="CN216" s="431">
        <f>'2018 SUMMARY'!S78</f>
        <v>48326.629393825402</v>
      </c>
      <c r="CO216" s="431">
        <f>'2018 SUMMARY'!T78</f>
        <v>59153.919794584195</v>
      </c>
      <c r="CP216" s="431">
        <f>'2018 SUMMARY'!U78</f>
        <v>151283.36158067084</v>
      </c>
      <c r="CQ216" s="431">
        <f>'2018 SUMMARY'!V78</f>
        <v>31289.823994663398</v>
      </c>
      <c r="CR216" s="431">
        <f>'2018 SUMMARY'!W78</f>
        <v>105584.9131698651</v>
      </c>
      <c r="CS216" s="431">
        <f t="shared" si="299"/>
        <v>395638.64793360891</v>
      </c>
      <c r="CT216" s="431"/>
      <c r="CU216" s="431"/>
      <c r="CV216" s="431">
        <v>1000</v>
      </c>
      <c r="CW216" s="431">
        <f t="shared" si="300"/>
        <v>1175193.4379045311</v>
      </c>
      <c r="CY216" s="412">
        <f t="shared" si="285"/>
        <v>579466.30763174978</v>
      </c>
      <c r="CZ216" s="412">
        <f t="shared" si="286"/>
        <v>-3323615.5422352487</v>
      </c>
      <c r="DA216" s="412">
        <f t="shared" si="287"/>
        <v>-2597636.3775911527</v>
      </c>
      <c r="DB216" s="417">
        <f t="shared" si="301"/>
        <v>4.7989999999999998E-2</v>
      </c>
      <c r="DC216" s="434">
        <f t="shared" si="288"/>
        <v>-10388.380813383284</v>
      </c>
      <c r="DE216" s="353"/>
      <c r="DF216" s="353"/>
      <c r="DG216" s="420">
        <f t="shared" si="289"/>
        <v>6.8400000000000002E-2</v>
      </c>
      <c r="DH216" s="420">
        <f t="shared" si="290"/>
        <v>8.8670168312699957E-2</v>
      </c>
      <c r="DI216" s="353"/>
      <c r="DJ216" s="353"/>
      <c r="DK216" s="353"/>
      <c r="DL216" s="353"/>
      <c r="DM216" s="353"/>
      <c r="DN216" s="353"/>
      <c r="DO216" s="353"/>
      <c r="DP216" s="353"/>
      <c r="DQ216" s="353"/>
      <c r="DR216" s="353"/>
      <c r="DS216" s="353"/>
      <c r="DT216" s="353"/>
      <c r="DU216" s="353"/>
      <c r="DV216" s="353"/>
      <c r="DW216" s="353"/>
      <c r="DX216" s="353"/>
      <c r="DY216" s="353"/>
      <c r="DZ216" s="353"/>
      <c r="EA216" s="353"/>
      <c r="EB216" s="353"/>
      <c r="EC216" s="353"/>
      <c r="ED216" s="353"/>
      <c r="EE216" s="353"/>
      <c r="EF216" s="353"/>
      <c r="EG216" s="353"/>
      <c r="EH216" s="353"/>
      <c r="EI216" s="353"/>
      <c r="EJ216" s="353"/>
      <c r="EK216" s="353"/>
      <c r="EL216" s="353"/>
      <c r="EM216" s="353"/>
      <c r="EN216" s="353"/>
      <c r="EO216" s="353"/>
      <c r="EP216" s="353"/>
      <c r="EQ216" s="353"/>
      <c r="ER216" s="353"/>
      <c r="ES216" s="353"/>
      <c r="ET216" s="353"/>
      <c r="EU216" s="353"/>
      <c r="EV216" s="353"/>
      <c r="EW216" s="353"/>
      <c r="EX216" s="353"/>
      <c r="EY216" s="353"/>
      <c r="EZ216" s="353"/>
      <c r="FA216" s="353"/>
      <c r="FB216" s="353"/>
      <c r="FC216" s="353"/>
      <c r="FD216" s="353"/>
      <c r="FE216" s="353"/>
      <c r="FF216" s="353"/>
      <c r="FG216" s="353"/>
      <c r="FH216" s="353"/>
      <c r="FI216" s="353"/>
      <c r="FJ216" s="353"/>
      <c r="FK216" s="353"/>
      <c r="FL216" s="353"/>
      <c r="FM216" s="353"/>
      <c r="FN216" s="353"/>
      <c r="FO216" s="353"/>
      <c r="FP216" s="353"/>
      <c r="FQ216" s="353"/>
    </row>
    <row r="217" spans="1:173" s="351" customFormat="1">
      <c r="A217" s="351" t="s">
        <v>58</v>
      </c>
      <c r="B217" s="351">
        <v>2023</v>
      </c>
      <c r="C217" s="411" t="s">
        <v>60</v>
      </c>
      <c r="F217" s="370"/>
      <c r="G217" s="435"/>
      <c r="H217" s="435"/>
      <c r="I217" s="435"/>
      <c r="J217" s="435"/>
      <c r="K217" s="435"/>
      <c r="L217" s="435"/>
      <c r="M217" s="435"/>
      <c r="N217" s="435"/>
      <c r="O217" s="435"/>
      <c r="P217" s="435"/>
      <c r="Q217" s="435"/>
      <c r="R217" s="435"/>
      <c r="S217" s="435"/>
      <c r="T217" s="435"/>
      <c r="U217" s="414">
        <f>'2015 Program Invest Amort Def'!BT99</f>
        <v>31553.33333333116</v>
      </c>
      <c r="V217" s="414">
        <f>'2015 Program Invest Amort Def'!BT99</f>
        <v>31553.33333333116</v>
      </c>
      <c r="W217" s="414">
        <f>'2015 Program Invest Amort Def'!EG99</f>
        <v>-8869.6420000000544</v>
      </c>
      <c r="X217" s="397">
        <f t="shared" si="291"/>
        <v>22683.691333331106</v>
      </c>
      <c r="Y217" s="435"/>
      <c r="Z217" s="394">
        <f>'Schedule NJNG-3 - Page 3'!K$159</f>
        <v>20587990.577781532</v>
      </c>
      <c r="AA217" s="480">
        <f>'Schedule NJNG-2 - Page 2'!$H$40</f>
        <v>2.2700000000000001E-2</v>
      </c>
      <c r="AB217" s="439">
        <f t="shared" si="292"/>
        <v>467347.38611564081</v>
      </c>
      <c r="BA217" s="412">
        <f>'RGGI II Invest Amort Def'!AG145</f>
        <v>0</v>
      </c>
      <c r="BB217" s="353"/>
      <c r="BC217" s="412">
        <f>(L214+N214)*'Capital Structure '!$H$21/12</f>
        <v>0</v>
      </c>
      <c r="BD217" s="412">
        <f>(L214+N214)*'Capital Structure '!$W$34/12</f>
        <v>0</v>
      </c>
      <c r="BE217" s="412">
        <f>(L214+N214)*'Capital Structure '!$H$18/12</f>
        <v>0</v>
      </c>
      <c r="BF217" s="412">
        <f>'RGGI II On Bill Fin''g'!L142*'Capital Structure '!$W$34/12</f>
        <v>0</v>
      </c>
      <c r="BG217" s="412">
        <f>'RGGI II On Bill Fin''g'!L142*('Capital Structure '!$H$18+'Capital Structure '!$H$21)/12</f>
        <v>0</v>
      </c>
      <c r="BH217" s="415">
        <f t="shared" si="293"/>
        <v>0</v>
      </c>
      <c r="BI217" s="353"/>
      <c r="BJ217" s="437">
        <v>0</v>
      </c>
      <c r="BK217" s="431">
        <f t="shared" si="294"/>
        <v>0</v>
      </c>
      <c r="BM217" s="412">
        <f>'2013 program Invest Amort Def'!AW124</f>
        <v>0</v>
      </c>
      <c r="BN217" s="353"/>
      <c r="BO217" s="412">
        <f>(S217)*'Capital Structure '!$J$21/12</f>
        <v>0</v>
      </c>
      <c r="BP217" s="412">
        <f>(S217)*'Capital Structure '!$V$34/12</f>
        <v>0</v>
      </c>
      <c r="BQ217" s="412">
        <f>(S217)*'Capital Structure '!$J$18/12</f>
        <v>0</v>
      </c>
      <c r="BR217" s="412">
        <f>('2013 program 10 yr On Bill Fin'!M124+'2013 program 5 yr On Bill Fin'!L122+'2013 program 2 yr On Bill Fin'!M112)*'Capital Structure '!$V$34/12</f>
        <v>5723.0143570824666</v>
      </c>
      <c r="BS217" s="412">
        <f>('2013 program 10 yr On Bill Fin'!M124+'2013 program 5 yr On Bill Fin'!L122+'2013 program 2 yr On Bill Fin'!M112)*('Capital Structure '!$J$18+'Capital Structure '!$J$21)/12</f>
        <v>19361.722057500505</v>
      </c>
      <c r="BT217" s="431">
        <f t="shared" si="295"/>
        <v>25084.736414582971</v>
      </c>
      <c r="BU217" s="353"/>
      <c r="BV217" s="438">
        <v>0</v>
      </c>
      <c r="BW217" s="431">
        <f t="shared" si="296"/>
        <v>25084.736414582971</v>
      </c>
      <c r="BY217" s="412">
        <f>'2015 Program Invest Amort Def'!BR99</f>
        <v>10320.000000000004</v>
      </c>
      <c r="BZ217" s="353"/>
      <c r="CA217" s="412">
        <f>X217*'Capital Structure '!$T$21/12</f>
        <v>31.303494039996924</v>
      </c>
      <c r="CB217" s="412">
        <f>(X217)*'Capital Structure '!$T$34/12</f>
        <v>38.316853439996244</v>
      </c>
      <c r="CC217" s="412">
        <f>(X217)*'Capital Structure '!$T$18/12</f>
        <v>97.993546559990378</v>
      </c>
      <c r="CD217" s="412">
        <f>('2015 Program 10-Year OBRP'!P99+'2015 Program 7-Year OBRP'!M99+'2015 Program 5-Year OBRP'!K99+'2015 Program 3-Year OBRP'!K99)*('Capital Structure '!$T$34/12)</f>
        <v>10098.119532715504</v>
      </c>
      <c r="CE217" s="412">
        <f>('2015 Program 10-Year OBRP'!P99+'2015 Program 7-Year OBRP'!M99+'2015 Program 5-Year OBRP'!K99+'2015 Program 3-Year OBRP'!K99)*(('Capital Structure '!$T$21/12)+('Capital Structure '!$T$18/12))</f>
        <v>34075.265946607156</v>
      </c>
      <c r="CF217" s="431">
        <f t="shared" si="297"/>
        <v>44340.999373362647</v>
      </c>
      <c r="CG217" s="373"/>
      <c r="CH217" s="353"/>
      <c r="CI217" s="353"/>
      <c r="CJ217" s="431">
        <f t="shared" si="298"/>
        <v>54660.999373362647</v>
      </c>
      <c r="CL217" s="431">
        <f>'2018 SUMMARY'!Q79</f>
        <v>794665.58901854116</v>
      </c>
      <c r="CM217" s="431"/>
      <c r="CN217" s="431">
        <f>'2018 SUMMARY'!S79</f>
        <v>48913.537779785038</v>
      </c>
      <c r="CO217" s="431">
        <f>'2018 SUMMARY'!T79</f>
        <v>59872.321471367817</v>
      </c>
      <c r="CP217" s="431">
        <f>'2018 SUMMARY'!U79</f>
        <v>153120.64000628359</v>
      </c>
      <c r="CQ217" s="431">
        <f>'2018 SUMMARY'!V79</f>
        <v>32269.702250113081</v>
      </c>
      <c r="CR217" s="431">
        <f>'2018 SUMMARY'!W79</f>
        <v>108891.43098653096</v>
      </c>
      <c r="CS217" s="431">
        <f t="shared" si="299"/>
        <v>403067.63249408046</v>
      </c>
      <c r="CT217" s="431"/>
      <c r="CU217" s="431"/>
      <c r="CV217" s="431">
        <v>1000</v>
      </c>
      <c r="CW217" s="431">
        <f t="shared" si="300"/>
        <v>1198733.2215126217</v>
      </c>
      <c r="CY217" s="412">
        <f t="shared" si="285"/>
        <v>811131.57118492643</v>
      </c>
      <c r="CZ217" s="412">
        <f t="shared" si="286"/>
        <v>-2512483.9710503221</v>
      </c>
      <c r="DA217" s="412">
        <f t="shared" si="287"/>
        <v>-2097785.9700504984</v>
      </c>
      <c r="DB217" s="417">
        <f t="shared" si="301"/>
        <v>4.7989999999999998E-2</v>
      </c>
      <c r="DC217" s="434">
        <f t="shared" si="288"/>
        <v>-8389.395725226952</v>
      </c>
      <c r="DE217" s="353"/>
      <c r="DF217" s="353"/>
      <c r="DG217" s="420">
        <f t="shared" si="289"/>
        <v>6.8399999999999989E-2</v>
      </c>
      <c r="DH217" s="420">
        <f t="shared" si="290"/>
        <v>8.8670168312699971E-2</v>
      </c>
      <c r="DI217" s="353"/>
      <c r="DJ217" s="353"/>
      <c r="DK217" s="353"/>
      <c r="DL217" s="353"/>
      <c r="DM217" s="353"/>
      <c r="DN217" s="353"/>
      <c r="DO217" s="353"/>
      <c r="DP217" s="353"/>
      <c r="DQ217" s="353"/>
      <c r="DR217" s="353"/>
      <c r="DS217" s="353"/>
      <c r="DT217" s="353"/>
      <c r="DU217" s="353"/>
      <c r="DV217" s="353"/>
      <c r="DW217" s="353"/>
      <c r="DX217" s="353"/>
      <c r="DY217" s="353"/>
      <c r="DZ217" s="353"/>
      <c r="EA217" s="353"/>
      <c r="EB217" s="353"/>
      <c r="EC217" s="353"/>
      <c r="ED217" s="353"/>
      <c r="EE217" s="353"/>
      <c r="EF217" s="353"/>
      <c r="EG217" s="353"/>
      <c r="EH217" s="353"/>
      <c r="EI217" s="353"/>
      <c r="EJ217" s="353"/>
      <c r="EK217" s="353"/>
      <c r="EL217" s="353"/>
      <c r="EM217" s="353"/>
      <c r="EN217" s="353"/>
      <c r="EO217" s="353"/>
      <c r="EP217" s="353"/>
      <c r="EQ217" s="353"/>
      <c r="ER217" s="353"/>
      <c r="ES217" s="353"/>
      <c r="ET217" s="353"/>
      <c r="EU217" s="353"/>
      <c r="EV217" s="353"/>
      <c r="EW217" s="353"/>
      <c r="EX217" s="353"/>
      <c r="EY217" s="353"/>
      <c r="EZ217" s="353"/>
      <c r="FA217" s="353"/>
      <c r="FB217" s="353"/>
      <c r="FC217" s="353"/>
      <c r="FD217" s="353"/>
      <c r="FE217" s="353"/>
      <c r="FF217" s="353"/>
      <c r="FG217" s="353"/>
      <c r="FH217" s="353"/>
      <c r="FI217" s="353"/>
      <c r="FJ217" s="353"/>
      <c r="FK217" s="353"/>
      <c r="FL217" s="353"/>
      <c r="FM217" s="353"/>
      <c r="FN217" s="353"/>
      <c r="FO217" s="353"/>
      <c r="FP217" s="353"/>
      <c r="FQ217" s="353"/>
    </row>
    <row r="218" spans="1:173" s="351" customFormat="1">
      <c r="A218" s="351" t="s">
        <v>59</v>
      </c>
      <c r="B218" s="351">
        <v>2023</v>
      </c>
      <c r="C218" s="411" t="s">
        <v>60</v>
      </c>
      <c r="F218" s="370"/>
      <c r="G218" s="435"/>
      <c r="H218" s="435"/>
      <c r="I218" s="435"/>
      <c r="J218" s="435"/>
      <c r="K218" s="435"/>
      <c r="L218" s="435"/>
      <c r="M218" s="435"/>
      <c r="N218" s="435"/>
      <c r="O218" s="435"/>
      <c r="P218" s="435"/>
      <c r="Q218" s="435"/>
      <c r="R218" s="435"/>
      <c r="S218" s="435"/>
      <c r="T218" s="435"/>
      <c r="U218" s="414">
        <f>'2015 Program Invest Amort Def'!BT100</f>
        <v>22943.33333333116</v>
      </c>
      <c r="V218" s="414">
        <f>'2015 Program Invest Amort Def'!BT100</f>
        <v>22943.33333333116</v>
      </c>
      <c r="W218" s="414">
        <f>'2015 Program Invest Amort Def'!EG100</f>
        <v>-6449.3710000000538</v>
      </c>
      <c r="X218" s="397">
        <f t="shared" si="291"/>
        <v>16493.962333331106</v>
      </c>
      <c r="Y218" s="435"/>
      <c r="Z218" s="394">
        <f>'Schedule NJNG-3 - Page 3'!L$159</f>
        <v>20308808.844235044</v>
      </c>
      <c r="AA218" s="480">
        <f>'Schedule NJNG-2 - Page 2'!$H$40</f>
        <v>2.2700000000000001E-2</v>
      </c>
      <c r="AB218" s="439">
        <f t="shared" si="292"/>
        <v>461009.96076413553</v>
      </c>
      <c r="BA218" s="412">
        <f>'RGGI II Invest Amort Def'!AG146</f>
        <v>0</v>
      </c>
      <c r="BB218" s="353"/>
      <c r="BC218" s="412">
        <f>(L215+N215)*'Capital Structure '!$H$21/12</f>
        <v>0</v>
      </c>
      <c r="BD218" s="412">
        <f>(L215+N215)*'Capital Structure '!$W$34/12</f>
        <v>0</v>
      </c>
      <c r="BE218" s="412">
        <f>(L215+N215)*'Capital Structure '!$H$18/12</f>
        <v>0</v>
      </c>
      <c r="BF218" s="412">
        <f>'RGGI II On Bill Fin''g'!L143*'Capital Structure '!$W$34/12</f>
        <v>0</v>
      </c>
      <c r="BG218" s="412">
        <f>'RGGI II On Bill Fin''g'!L143*('Capital Structure '!$H$18+'Capital Structure '!$H$21)/12</f>
        <v>0</v>
      </c>
      <c r="BH218" s="415">
        <f t="shared" si="293"/>
        <v>0</v>
      </c>
      <c r="BI218" s="353"/>
      <c r="BJ218" s="437">
        <v>0</v>
      </c>
      <c r="BK218" s="431">
        <f t="shared" si="294"/>
        <v>0</v>
      </c>
      <c r="BM218" s="412">
        <f>'2013 program Invest Amort Def'!AW125</f>
        <v>0</v>
      </c>
      <c r="BN218" s="353"/>
      <c r="BO218" s="412">
        <f>(S218)*'Capital Structure '!$J$21/12</f>
        <v>0</v>
      </c>
      <c r="BP218" s="412">
        <f>(S218)*'Capital Structure '!$V$34/12</f>
        <v>0</v>
      </c>
      <c r="BQ218" s="412">
        <f>(S218)*'Capital Structure '!$J$18/12</f>
        <v>0</v>
      </c>
      <c r="BR218" s="412">
        <f>('2013 program 10 yr On Bill Fin'!M125+'2013 program 5 yr On Bill Fin'!L123+'2013 program 2 yr On Bill Fin'!M113)*'Capital Structure '!$V$34/12</f>
        <v>5232.3836806313448</v>
      </c>
      <c r="BS218" s="412">
        <f>('2013 program 10 yr On Bill Fin'!M125+'2013 program 5 yr On Bill Fin'!L123+'2013 program 2 yr On Bill Fin'!M113)*('Capital Structure '!$J$18+'Capital Structure '!$J$21)/12</f>
        <v>17701.852940000543</v>
      </c>
      <c r="BT218" s="431">
        <f t="shared" si="295"/>
        <v>22934.236620631887</v>
      </c>
      <c r="BU218" s="353"/>
      <c r="BV218" s="438">
        <v>0</v>
      </c>
      <c r="BW218" s="431">
        <f t="shared" si="296"/>
        <v>22934.236620631887</v>
      </c>
      <c r="BY218" s="412">
        <f>'2015 Program Invest Amort Def'!BR100</f>
        <v>8610.0000000000018</v>
      </c>
      <c r="BZ218" s="353"/>
      <c r="CA218" s="412">
        <f>X218*'Capital Structure '!$T$21/12</f>
        <v>22.761668019996922</v>
      </c>
      <c r="CB218" s="412">
        <f>(X218)*'Capital Structure '!$T$34/12</f>
        <v>27.861282719996243</v>
      </c>
      <c r="CC218" s="412">
        <f>(X218)*'Capital Structure '!$T$18/12</f>
        <v>71.253917279990389</v>
      </c>
      <c r="CD218" s="412">
        <f>('2015 Program 10-Year OBRP'!P100+'2015 Program 7-Year OBRP'!M100+'2015 Program 5-Year OBRP'!K100+'2015 Program 3-Year OBRP'!E100)*('Capital Structure '!$T$34/12)</f>
        <v>9635.0428686360028</v>
      </c>
      <c r="CE218" s="412">
        <f>('2015 Program 10-Year OBRP'!P100+'2015 Program 7-Year OBRP'!M100+'2015 Program 5-Year OBRP'!K100+'2015 Program 3-Year OBRP'!K100)*(('Capital Structure '!$T$21/12)+('Capital Structure '!$T$18/12))</f>
        <v>32512.652191535737</v>
      </c>
      <c r="CF218" s="431">
        <f t="shared" si="297"/>
        <v>42269.571928191726</v>
      </c>
      <c r="CG218" s="373"/>
      <c r="CH218" s="353"/>
      <c r="CI218" s="353"/>
      <c r="CJ218" s="431">
        <f t="shared" si="298"/>
        <v>50879.571928191726</v>
      </c>
      <c r="CL218" s="431">
        <f>'2018 SUMMARY'!Q80</f>
        <v>820703.79378044605</v>
      </c>
      <c r="CM218" s="431"/>
      <c r="CN218" s="431">
        <f>'2018 SUMMARY'!S80</f>
        <v>50557.882577089484</v>
      </c>
      <c r="CO218" s="431">
        <f>'2018 SUMMARY'!T80</f>
        <v>61885.071821939899</v>
      </c>
      <c r="CP218" s="431">
        <f>'2018 SUMMARY'!U80</f>
        <v>158268.15415436708</v>
      </c>
      <c r="CQ218" s="431">
        <f>'2018 SUMMARY'!V80</f>
        <v>34353.026330586719</v>
      </c>
      <c r="CR218" s="431">
        <f>'2018 SUMMARY'!W80</f>
        <v>115921.43512394685</v>
      </c>
      <c r="CS218" s="431">
        <f t="shared" si="299"/>
        <v>420985.57000792999</v>
      </c>
      <c r="CT218" s="431"/>
      <c r="CU218" s="431"/>
      <c r="CV218" s="431">
        <v>1000</v>
      </c>
      <c r="CW218" s="431">
        <f t="shared" si="300"/>
        <v>1242689.3637883761</v>
      </c>
      <c r="CY218" s="412">
        <f t="shared" si="285"/>
        <v>855493.21157306433</v>
      </c>
      <c r="CZ218" s="412">
        <f t="shared" si="286"/>
        <v>-1656990.7594772577</v>
      </c>
      <c r="DA218" s="412">
        <f t="shared" si="287"/>
        <v>-1498717.6918881384</v>
      </c>
      <c r="DB218" s="417">
        <f t="shared" si="301"/>
        <v>4.7989999999999998E-2</v>
      </c>
      <c r="DC218" s="434">
        <f t="shared" si="288"/>
        <v>-5993.6218361426472</v>
      </c>
      <c r="DE218" s="353"/>
      <c r="DF218" s="353"/>
      <c r="DG218" s="420">
        <f t="shared" si="289"/>
        <v>6.8400000000000002E-2</v>
      </c>
      <c r="DH218" s="420">
        <f t="shared" si="290"/>
        <v>8.8670168312699971E-2</v>
      </c>
      <c r="DI218" s="353"/>
      <c r="DJ218" s="353"/>
      <c r="DK218" s="353"/>
      <c r="DL218" s="353"/>
      <c r="DM218" s="353"/>
      <c r="DN218" s="353"/>
      <c r="DO218" s="353"/>
      <c r="DP218" s="353"/>
      <c r="DQ218" s="353"/>
      <c r="DR218" s="353"/>
      <c r="DS218" s="353"/>
      <c r="DT218" s="353"/>
      <c r="DU218" s="353"/>
      <c r="DV218" s="353"/>
      <c r="DW218" s="353"/>
      <c r="DX218" s="353"/>
      <c r="DY218" s="353"/>
      <c r="DZ218" s="353"/>
      <c r="EA218" s="353"/>
      <c r="EB218" s="353"/>
      <c r="EC218" s="353"/>
      <c r="ED218" s="353"/>
      <c r="EE218" s="353"/>
      <c r="EF218" s="353"/>
      <c r="EG218" s="353"/>
      <c r="EH218" s="353"/>
      <c r="EI218" s="353"/>
      <c r="EJ218" s="353"/>
      <c r="EK218" s="353"/>
      <c r="EL218" s="353"/>
      <c r="EM218" s="353"/>
      <c r="EN218" s="353"/>
      <c r="EO218" s="353"/>
      <c r="EP218" s="353"/>
      <c r="EQ218" s="353"/>
      <c r="ER218" s="353"/>
      <c r="ES218" s="353"/>
      <c r="ET218" s="353"/>
      <c r="EU218" s="353"/>
      <c r="EV218" s="353"/>
      <c r="EW218" s="353"/>
      <c r="EX218" s="353"/>
      <c r="EY218" s="353"/>
      <c r="EZ218" s="353"/>
      <c r="FA218" s="353"/>
      <c r="FB218" s="353"/>
      <c r="FC218" s="353"/>
      <c r="FD218" s="353"/>
      <c r="FE218" s="353"/>
      <c r="FF218" s="353"/>
      <c r="FG218" s="353"/>
      <c r="FH218" s="353"/>
      <c r="FI218" s="353"/>
      <c r="FJ218" s="353"/>
      <c r="FK218" s="353"/>
      <c r="FL218" s="353"/>
      <c r="FM218" s="353"/>
      <c r="FN218" s="353"/>
      <c r="FO218" s="353"/>
      <c r="FP218" s="353"/>
      <c r="FQ218" s="353"/>
    </row>
    <row r="219" spans="1:173" s="351" customFormat="1">
      <c r="A219" s="351" t="s">
        <v>46</v>
      </c>
      <c r="B219" s="351">
        <v>2023</v>
      </c>
      <c r="C219" s="411" t="s">
        <v>60</v>
      </c>
      <c r="F219" s="370"/>
      <c r="G219" s="435"/>
      <c r="H219" s="435"/>
      <c r="I219" s="435"/>
      <c r="J219" s="435"/>
      <c r="K219" s="435"/>
      <c r="L219" s="435"/>
      <c r="M219" s="435"/>
      <c r="N219" s="435"/>
      <c r="O219" s="435"/>
      <c r="P219" s="435"/>
      <c r="Q219" s="435"/>
      <c r="R219" s="435"/>
      <c r="S219" s="435"/>
      <c r="T219" s="435"/>
      <c r="U219" s="414">
        <f>'2015 Program Invest Amort Def'!BT101</f>
        <v>15916.666666664183</v>
      </c>
      <c r="V219" s="414">
        <f>'2015 Program Invest Amort Def'!BT101</f>
        <v>15916.666666664183</v>
      </c>
      <c r="W219" s="414">
        <f>'2015 Program Invest Amort Def'!EG101</f>
        <v>-4474.1750000000538</v>
      </c>
      <c r="X219" s="397">
        <f t="shared" si="291"/>
        <v>11442.491666664129</v>
      </c>
      <c r="Y219" s="435"/>
      <c r="Z219" s="394">
        <f>'Schedule NJNG-3 - Page 3'!M$159</f>
        <v>19674749.269770946</v>
      </c>
      <c r="AA219" s="480">
        <f>'Schedule NJNG-2 - Page 2'!$H$40</f>
        <v>2.2700000000000001E-2</v>
      </c>
      <c r="AB219" s="439">
        <f t="shared" si="292"/>
        <v>446616.80842380051</v>
      </c>
      <c r="BA219" s="412">
        <f>'RGGI II Invest Amort Def'!AG147</f>
        <v>0</v>
      </c>
      <c r="BB219" s="353"/>
      <c r="BC219" s="412">
        <f>(L216+N216)*'Capital Structure '!$H$21/12</f>
        <v>0</v>
      </c>
      <c r="BD219" s="412">
        <f>(L216+N216)*'Capital Structure '!$W$34/12</f>
        <v>0</v>
      </c>
      <c r="BE219" s="412">
        <f>(L216+N216)*'Capital Structure '!$H$18/12</f>
        <v>0</v>
      </c>
      <c r="BF219" s="412">
        <f>'RGGI II On Bill Fin''g'!L144*'Capital Structure '!$W$34/12</f>
        <v>0</v>
      </c>
      <c r="BG219" s="412">
        <f>'RGGI II On Bill Fin''g'!L144*('Capital Structure '!$H$18+'Capital Structure '!$H$21)/12</f>
        <v>0</v>
      </c>
      <c r="BH219" s="415">
        <f t="shared" si="293"/>
        <v>0</v>
      </c>
      <c r="BI219" s="353"/>
      <c r="BJ219" s="437">
        <v>0</v>
      </c>
      <c r="BK219" s="431">
        <f t="shared" si="294"/>
        <v>0</v>
      </c>
      <c r="BM219" s="412">
        <f>'2013 program Invest Amort Def'!AW126</f>
        <v>0</v>
      </c>
      <c r="BN219" s="353"/>
      <c r="BO219" s="412">
        <f>(S219)*'Capital Structure '!$J$21/12</f>
        <v>0</v>
      </c>
      <c r="BP219" s="412">
        <f>(S219)*'Capital Structure '!$V$34/12</f>
        <v>0</v>
      </c>
      <c r="BQ219" s="412">
        <f>(S219)*'Capital Structure '!$J$18/12</f>
        <v>0</v>
      </c>
      <c r="BR219" s="412">
        <f>('2013 program 10 yr On Bill Fin'!M126+'2013 program 5 yr On Bill Fin'!L124+'2013 program 2 yr On Bill Fin'!M114)*'Capital Structure '!$V$34/12</f>
        <v>4741.7530041802229</v>
      </c>
      <c r="BS219" s="412">
        <f>('2013 program 10 yr On Bill Fin'!M126+'2013 program 5 yr On Bill Fin'!L124+'2013 program 2 yr On Bill Fin'!M114)*('Capital Structure '!$J$18+'Capital Structure '!$J$21)/12</f>
        <v>16041.983822500582</v>
      </c>
      <c r="BT219" s="431">
        <f t="shared" si="295"/>
        <v>20783.736826680804</v>
      </c>
      <c r="BU219" s="353"/>
      <c r="BV219" s="438">
        <v>0</v>
      </c>
      <c r="BW219" s="431">
        <f t="shared" si="296"/>
        <v>20783.736826680804</v>
      </c>
      <c r="BY219" s="412">
        <f>'2015 Program Invest Amort Def'!BR101</f>
        <v>7026.6666666666652</v>
      </c>
      <c r="BZ219" s="353"/>
      <c r="CA219" s="412">
        <f>X219*'Capital Structure '!$T$21/12</f>
        <v>15.790638499996497</v>
      </c>
      <c r="CB219" s="412">
        <f>(X219)*'Capital Structure '!$T$34/12</f>
        <v>19.328435999995715</v>
      </c>
      <c r="CC219" s="412">
        <f>(X219)*'Capital Structure '!$T$18/12</f>
        <v>49.431563999989038</v>
      </c>
      <c r="CD219" s="412">
        <f>('2015 Program 10-Year OBRP'!P101+'2015 Program 7-Year OBRP'!M101+'2015 Program 5-Year OBRP'!K101+'2015 Program 3-Year OBRP'!E101)*('Capital Structure '!$T$34/12)</f>
        <v>9180.2983799081285</v>
      </c>
      <c r="CE219" s="412">
        <f>('2015 Program 10-Year OBRP'!P101+'2015 Program 7-Year OBRP'!M101+'2015 Program 5-Year OBRP'!K101+'2015 Program 3-Year OBRP'!K101)*(('Capital Structure '!$T$21/12)+('Capital Structure '!$T$18/12))</f>
        <v>30978.15467039288</v>
      </c>
      <c r="CF219" s="431">
        <f t="shared" si="297"/>
        <v>40243.003688800993</v>
      </c>
      <c r="CG219" s="373"/>
      <c r="CH219" s="353"/>
      <c r="CI219" s="353"/>
      <c r="CJ219" s="431">
        <f t="shared" si="298"/>
        <v>47269.670355467657</v>
      </c>
      <c r="CL219" s="431">
        <f>'2018 SUMMARY'!Q81</f>
        <v>864775.58580425545</v>
      </c>
      <c r="CM219" s="431"/>
      <c r="CN219" s="431">
        <f>'2018 SUMMARY'!S81</f>
        <v>54156.301580910796</v>
      </c>
      <c r="CO219" s="431">
        <f>'2018 SUMMARY'!T81</f>
        <v>66289.694941932423</v>
      </c>
      <c r="CP219" s="431">
        <f>'2018 SUMMARY'!U81</f>
        <v>169532.77016632946</v>
      </c>
      <c r="CQ219" s="431">
        <f>'2018 SUMMARY'!V81</f>
        <v>38457.422319999423</v>
      </c>
      <c r="CR219" s="431">
        <f>'2018 SUMMARY'!W81</f>
        <v>129771.37861454606</v>
      </c>
      <c r="CS219" s="431">
        <f t="shared" si="299"/>
        <v>458207.56762371818</v>
      </c>
      <c r="CT219" s="431"/>
      <c r="CU219" s="431"/>
      <c r="CV219" s="431">
        <v>1000</v>
      </c>
      <c r="CW219" s="431">
        <f t="shared" si="300"/>
        <v>1323983.1534279736</v>
      </c>
      <c r="CY219" s="412">
        <f t="shared" si="285"/>
        <v>945419.75218632154</v>
      </c>
      <c r="CZ219" s="412">
        <f t="shared" si="286"/>
        <v>-711571.00729093619</v>
      </c>
      <c r="DA219" s="412">
        <f t="shared" si="287"/>
        <v>-851379.52706482727</v>
      </c>
      <c r="DB219" s="417">
        <f t="shared" si="301"/>
        <v>4.7989999999999998E-2</v>
      </c>
      <c r="DC219" s="434">
        <f t="shared" si="288"/>
        <v>-3404.8086253200886</v>
      </c>
      <c r="DE219" s="353"/>
      <c r="DF219" s="353"/>
      <c r="DG219" s="420">
        <f t="shared" si="289"/>
        <v>6.8400000000000002E-2</v>
      </c>
      <c r="DH219" s="420">
        <f t="shared" si="290"/>
        <v>8.8670168312699943E-2</v>
      </c>
      <c r="DI219" s="353"/>
      <c r="DJ219" s="353"/>
      <c r="DK219" s="353"/>
      <c r="DL219" s="353"/>
      <c r="DM219" s="353"/>
      <c r="DN219" s="353"/>
      <c r="DO219" s="353"/>
      <c r="DP219" s="353"/>
      <c r="DQ219" s="353"/>
      <c r="DR219" s="353"/>
      <c r="DS219" s="353"/>
      <c r="DT219" s="353"/>
      <c r="DU219" s="353"/>
      <c r="DV219" s="353"/>
      <c r="DW219" s="353"/>
      <c r="DX219" s="353"/>
      <c r="DY219" s="353"/>
      <c r="DZ219" s="353"/>
      <c r="EA219" s="353"/>
      <c r="EB219" s="353"/>
      <c r="EC219" s="353"/>
      <c r="ED219" s="353"/>
      <c r="EE219" s="353"/>
      <c r="EF219" s="353"/>
      <c r="EG219" s="353"/>
      <c r="EH219" s="353"/>
      <c r="EI219" s="353"/>
      <c r="EJ219" s="353"/>
      <c r="EK219" s="353"/>
      <c r="EL219" s="353"/>
      <c r="EM219" s="353"/>
      <c r="EN219" s="353"/>
      <c r="EO219" s="353"/>
      <c r="EP219" s="353"/>
      <c r="EQ219" s="353"/>
      <c r="ER219" s="353"/>
      <c r="ES219" s="353"/>
      <c r="ET219" s="353"/>
      <c r="EU219" s="353"/>
      <c r="EV219" s="353"/>
      <c r="EW219" s="353"/>
      <c r="EX219" s="353"/>
      <c r="EY219" s="353"/>
      <c r="EZ219" s="353"/>
      <c r="FA219" s="353"/>
      <c r="FB219" s="353"/>
      <c r="FC219" s="353"/>
      <c r="FD219" s="353"/>
      <c r="FE219" s="353"/>
      <c r="FF219" s="353"/>
      <c r="FG219" s="353"/>
      <c r="FH219" s="353"/>
      <c r="FI219" s="353"/>
      <c r="FJ219" s="353"/>
      <c r="FK219" s="353"/>
      <c r="FL219" s="353"/>
      <c r="FM219" s="353"/>
      <c r="FN219" s="353"/>
      <c r="FO219" s="353"/>
      <c r="FP219" s="353"/>
      <c r="FQ219" s="353"/>
    </row>
    <row r="220" spans="1:173" s="351" customFormat="1">
      <c r="A220" s="351" t="s">
        <v>48</v>
      </c>
      <c r="B220" s="351">
        <v>2023</v>
      </c>
      <c r="C220" s="411" t="s">
        <v>60</v>
      </c>
      <c r="F220" s="370"/>
      <c r="G220" s="435"/>
      <c r="H220" s="435"/>
      <c r="I220" s="435"/>
      <c r="J220" s="435"/>
      <c r="K220" s="435"/>
      <c r="L220" s="435"/>
      <c r="M220" s="435"/>
      <c r="N220" s="435"/>
      <c r="O220" s="435"/>
      <c r="P220" s="435"/>
      <c r="Q220" s="435"/>
      <c r="R220" s="435"/>
      <c r="S220" s="435"/>
      <c r="T220" s="435"/>
      <c r="U220" s="414">
        <f>'2015 Program Invest Amort Def'!BT102</f>
        <v>10003.33333333116</v>
      </c>
      <c r="V220" s="414">
        <f>'2015 Program Invest Amort Def'!BT102</f>
        <v>10003.33333333116</v>
      </c>
      <c r="W220" s="414">
        <f>'2015 Program Invest Amort Def'!EG102</f>
        <v>-2811.937000000054</v>
      </c>
      <c r="X220" s="397">
        <f t="shared" si="291"/>
        <v>7191.3963333311058</v>
      </c>
      <c r="Y220" s="435"/>
      <c r="Z220" s="481">
        <f>'Schedule NJNG-3 - Page 3'!N$159</f>
        <v>19789446.18331366</v>
      </c>
      <c r="AA220" s="480">
        <f>'Schedule NJNG-2 - Page 2'!$H$40</f>
        <v>2.2700000000000001E-2</v>
      </c>
      <c r="AB220" s="482">
        <f t="shared" si="292"/>
        <v>449220.42836122011</v>
      </c>
      <c r="BA220" s="424">
        <f>'RGGI II Invest Amort Def'!AG148</f>
        <v>0</v>
      </c>
      <c r="BB220" s="444"/>
      <c r="BC220" s="424">
        <f>(L217+N217)*'Capital Structure '!$H$21/12</f>
        <v>0</v>
      </c>
      <c r="BD220" s="424">
        <f>(L217+N217)*'Capital Structure '!$W$34/12</f>
        <v>0</v>
      </c>
      <c r="BE220" s="424">
        <f>(L217+N217)*'Capital Structure '!$H$18/12</f>
        <v>0</v>
      </c>
      <c r="BF220" s="424">
        <f>'RGGI II On Bill Fin''g'!L145*'Capital Structure '!$W$34/12</f>
        <v>0</v>
      </c>
      <c r="BG220" s="424">
        <f>'RGGI II On Bill Fin''g'!L145*('Capital Structure '!$H$18+'Capital Structure '!$H$21)/12</f>
        <v>0</v>
      </c>
      <c r="BH220" s="440">
        <f t="shared" si="293"/>
        <v>0</v>
      </c>
      <c r="BI220" s="444"/>
      <c r="BJ220" s="442">
        <v>0</v>
      </c>
      <c r="BK220" s="441">
        <f t="shared" si="294"/>
        <v>0</v>
      </c>
      <c r="BM220" s="424">
        <f>'2013 program Invest Amort Def'!AW127</f>
        <v>0</v>
      </c>
      <c r="BN220" s="444"/>
      <c r="BO220" s="424">
        <f>(S220)*'Capital Structure '!$J$21/12</f>
        <v>0</v>
      </c>
      <c r="BP220" s="424">
        <f>(S220)*'Capital Structure '!$V$34/12</f>
        <v>0</v>
      </c>
      <c r="BQ220" s="424">
        <f>(S220)*'Capital Structure '!$J$18/12</f>
        <v>0</v>
      </c>
      <c r="BR220" s="424">
        <f>('2013 program 10 yr On Bill Fin'!M127+'2013 program 5 yr On Bill Fin'!L125+'2013 program 2 yr On Bill Fin'!M115)*'Capital Structure '!$V$34/12</f>
        <v>4251.122327729101</v>
      </c>
      <c r="BS220" s="424">
        <f>('2013 program 10 yr On Bill Fin'!M127+'2013 program 5 yr On Bill Fin'!L125+'2013 program 2 yr On Bill Fin'!M115)*('Capital Structure '!$J$18+'Capital Structure '!$J$21)/12</f>
        <v>14382.11470500062</v>
      </c>
      <c r="BT220" s="441">
        <f t="shared" si="295"/>
        <v>18633.237032729721</v>
      </c>
      <c r="BU220" s="444"/>
      <c r="BV220" s="443">
        <v>0</v>
      </c>
      <c r="BW220" s="441">
        <f t="shared" si="296"/>
        <v>18633.237032729721</v>
      </c>
      <c r="BY220" s="424">
        <f>'2015 Program Invest Amort Def'!BR102</f>
        <v>5913.3333333333321</v>
      </c>
      <c r="BZ220" s="444"/>
      <c r="CA220" s="424">
        <f>X220*'Capital Structure '!$T$21/12</f>
        <v>9.9241269399969259</v>
      </c>
      <c r="CB220" s="424">
        <f>(X220)*'Capital Structure '!$T$34/12</f>
        <v>12.14756783999624</v>
      </c>
      <c r="CC220" s="424">
        <f>(X220)*'Capital Structure '!$T$18/12</f>
        <v>31.06683215999038</v>
      </c>
      <c r="CD220" s="424">
        <f>('2015 Program 10-Year OBRP'!P102+'2015 Program 7-Year OBRP'!M102+'2015 Program 5-Year OBRP'!K102+'2015 Program 3-Year OBRP'!E102)*('Capital Structure '!$T$34/12)</f>
        <v>8696.8792373101351</v>
      </c>
      <c r="CE220" s="412">
        <f>('2015 Program 10-Year OBRP'!P102+'2015 Program 7-Year OBRP'!M102+'2015 Program 5-Year OBRP'!K102+'2015 Program 3-Year OBRP'!K102)*(('Capital Structure '!$T$21/12)+('Capital Structure '!$T$18/12))</f>
        <v>29346.89691053571</v>
      </c>
      <c r="CF220" s="441">
        <f t="shared" si="297"/>
        <v>38096.914674785832</v>
      </c>
      <c r="CG220" s="379"/>
      <c r="CH220" s="444"/>
      <c r="CI220" s="444"/>
      <c r="CJ220" s="441">
        <f t="shared" si="298"/>
        <v>44010.248008119161</v>
      </c>
      <c r="CL220" s="441">
        <f>'2018 SUMMARY'!Q82</f>
        <v>875308.88029235066</v>
      </c>
      <c r="CM220" s="441"/>
      <c r="CN220" s="441">
        <f>'2018 SUMMARY'!S82</f>
        <v>54065.693361635487</v>
      </c>
      <c r="CO220" s="441">
        <f>'2018 SUMMARY'!T82</f>
        <v>66178.786496568617</v>
      </c>
      <c r="CP220" s="441">
        <f>'2018 SUMMARY'!U82</f>
        <v>169249.12704511979</v>
      </c>
      <c r="CQ220" s="441">
        <f>'2018 SUMMARY'!V82</f>
        <v>38650.256350303571</v>
      </c>
      <c r="CR220" s="441">
        <f>'2018 SUMMARY'!W82</f>
        <v>130422.08103937694</v>
      </c>
      <c r="CS220" s="441">
        <f t="shared" si="299"/>
        <v>458565.94429300446</v>
      </c>
      <c r="CT220" s="441"/>
      <c r="CU220" s="441"/>
      <c r="CV220" s="441">
        <v>1000</v>
      </c>
      <c r="CW220" s="441">
        <f t="shared" si="300"/>
        <v>1334874.8245853551</v>
      </c>
      <c r="CY220" s="412">
        <f t="shared" si="285"/>
        <v>948297.88126498391</v>
      </c>
      <c r="CZ220" s="412">
        <f t="shared" si="286"/>
        <v>236726.87397404772</v>
      </c>
      <c r="DA220" s="412">
        <f t="shared" si="287"/>
        <v>-170682.72372075554</v>
      </c>
      <c r="DB220" s="417">
        <f t="shared" si="301"/>
        <v>4.7989999999999998E-2</v>
      </c>
      <c r="DC220" s="432">
        <f t="shared" si="288"/>
        <v>-682.58865927992144</v>
      </c>
      <c r="DE220" s="353"/>
      <c r="DF220" s="353"/>
      <c r="DG220" s="420">
        <f t="shared" si="289"/>
        <v>6.8400000000000002E-2</v>
      </c>
      <c r="DH220" s="420">
        <f t="shared" si="290"/>
        <v>8.8670168312699971E-2</v>
      </c>
      <c r="DI220" s="353"/>
      <c r="DJ220" s="353"/>
      <c r="DK220" s="353"/>
      <c r="DL220" s="353"/>
      <c r="DM220" s="353"/>
      <c r="DN220" s="353"/>
      <c r="DO220" s="353"/>
      <c r="DP220" s="353"/>
      <c r="DQ220" s="353"/>
      <c r="DR220" s="353"/>
      <c r="DS220" s="353"/>
      <c r="DT220" s="353"/>
      <c r="DU220" s="353"/>
      <c r="DV220" s="353"/>
      <c r="DW220" s="353"/>
      <c r="DX220" s="353"/>
      <c r="DY220" s="353"/>
      <c r="DZ220" s="353"/>
      <c r="EA220" s="353"/>
      <c r="EB220" s="353"/>
      <c r="EC220" s="353"/>
      <c r="ED220" s="353"/>
      <c r="EE220" s="353"/>
      <c r="EF220" s="353"/>
      <c r="EG220" s="353"/>
      <c r="EH220" s="353"/>
      <c r="EI220" s="353"/>
      <c r="EJ220" s="353"/>
      <c r="EK220" s="353"/>
      <c r="EL220" s="353"/>
      <c r="EM220" s="353"/>
      <c r="EN220" s="353"/>
      <c r="EO220" s="353"/>
      <c r="EP220" s="353"/>
      <c r="EQ220" s="353"/>
      <c r="ER220" s="353"/>
      <c r="ES220" s="353"/>
      <c r="ET220" s="353"/>
      <c r="EU220" s="353"/>
      <c r="EV220" s="353"/>
      <c r="EW220" s="353"/>
      <c r="EX220" s="353"/>
      <c r="EY220" s="353"/>
      <c r="EZ220" s="353"/>
      <c r="FA220" s="353"/>
      <c r="FB220" s="353"/>
      <c r="FC220" s="353"/>
      <c r="FD220" s="353"/>
      <c r="FE220" s="353"/>
      <c r="FF220" s="353"/>
      <c r="FG220" s="353"/>
      <c r="FH220" s="353"/>
      <c r="FI220" s="353"/>
      <c r="FJ220" s="353"/>
      <c r="FK220" s="353"/>
      <c r="FL220" s="353"/>
      <c r="FM220" s="353"/>
      <c r="FN220" s="353"/>
      <c r="FO220" s="353"/>
      <c r="FP220" s="353"/>
      <c r="FQ220" s="353"/>
    </row>
    <row r="221" spans="1:173" s="351" customFormat="1">
      <c r="F221" s="370"/>
      <c r="G221" s="435"/>
      <c r="H221" s="435"/>
      <c r="I221" s="435"/>
      <c r="J221" s="435"/>
      <c r="K221" s="435"/>
      <c r="L221" s="435"/>
      <c r="M221" s="435"/>
      <c r="N221" s="435"/>
      <c r="O221" s="435"/>
      <c r="P221" s="435"/>
      <c r="Q221" s="435"/>
      <c r="R221" s="435"/>
      <c r="S221" s="435"/>
      <c r="T221" s="435"/>
      <c r="U221" s="435"/>
      <c r="V221" s="435"/>
      <c r="W221" s="435"/>
      <c r="X221" s="435"/>
      <c r="Y221" s="435"/>
      <c r="Z221" s="397">
        <f>SUM(Z209:Z220)</f>
        <v>663214401.89958918</v>
      </c>
      <c r="AA221" s="435"/>
      <c r="AB221" s="390">
        <f>SUM(AB209:AB220)</f>
        <v>15054966.923120674</v>
      </c>
      <c r="BA221" s="384">
        <f>SUM(BA209:BA220)</f>
        <v>0</v>
      </c>
      <c r="BB221" s="384"/>
      <c r="BC221" s="384">
        <f t="shared" ref="BC221:BK221" si="302">SUM(BC209:BC220)</f>
        <v>0</v>
      </c>
      <c r="BD221" s="384">
        <f t="shared" si="302"/>
        <v>0</v>
      </c>
      <c r="BE221" s="384">
        <f t="shared" si="302"/>
        <v>0</v>
      </c>
      <c r="BF221" s="384">
        <f t="shared" si="302"/>
        <v>1013.7189335363591</v>
      </c>
      <c r="BG221" s="384">
        <f t="shared" si="302"/>
        <v>3489.4091990160478</v>
      </c>
      <c r="BH221" s="384">
        <f t="shared" si="302"/>
        <v>4503.1281325524069</v>
      </c>
      <c r="BI221" s="384">
        <f t="shared" si="302"/>
        <v>0</v>
      </c>
      <c r="BJ221" s="384">
        <f t="shared" si="302"/>
        <v>0</v>
      </c>
      <c r="BK221" s="384">
        <f t="shared" si="302"/>
        <v>4503.1281325524069</v>
      </c>
      <c r="BM221" s="384">
        <f>SUM(BM209:BM220)</f>
        <v>0</v>
      </c>
      <c r="BN221" s="384"/>
      <c r="BO221" s="384">
        <f t="shared" ref="BO221:BW221" si="303">SUM(BO209:BO220)</f>
        <v>0</v>
      </c>
      <c r="BP221" s="384">
        <f t="shared" si="303"/>
        <v>0</v>
      </c>
      <c r="BQ221" s="384">
        <f t="shared" si="303"/>
        <v>0</v>
      </c>
      <c r="BR221" s="384">
        <f t="shared" si="303"/>
        <v>82562.541412616352</v>
      </c>
      <c r="BS221" s="384">
        <f t="shared" si="303"/>
        <v>279320.10640750488</v>
      </c>
      <c r="BT221" s="384">
        <f t="shared" si="303"/>
        <v>361882.6478201212</v>
      </c>
      <c r="BU221" s="384">
        <f t="shared" si="303"/>
        <v>0</v>
      </c>
      <c r="BV221" s="384">
        <f t="shared" si="303"/>
        <v>0</v>
      </c>
      <c r="BW221" s="384">
        <f t="shared" si="303"/>
        <v>361882.6478201212</v>
      </c>
      <c r="BY221" s="384">
        <f>SUM(BY209:BY220)</f>
        <v>169796.66666666666</v>
      </c>
      <c r="BZ221" s="384"/>
      <c r="CA221" s="384">
        <f t="shared" ref="CA221:CJ221" si="304">SUM(CA209:CA220)</f>
        <v>830.73309045996268</v>
      </c>
      <c r="CB221" s="384">
        <f t="shared" si="304"/>
        <v>1016.8538385599543</v>
      </c>
      <c r="CC221" s="384">
        <f t="shared" si="304"/>
        <v>2600.5557614398836</v>
      </c>
      <c r="CD221" s="384">
        <f t="shared" si="304"/>
        <v>134929.54866291233</v>
      </c>
      <c r="CE221" s="384">
        <f t="shared" si="304"/>
        <v>455308.55916775012</v>
      </c>
      <c r="CF221" s="384">
        <f t="shared" si="304"/>
        <v>594686.25052112225</v>
      </c>
      <c r="CG221" s="384">
        <f t="shared" si="304"/>
        <v>-47817.970000000008</v>
      </c>
      <c r="CH221" s="384"/>
      <c r="CI221" s="384">
        <f t="shared" si="304"/>
        <v>0</v>
      </c>
      <c r="CJ221" s="384">
        <f t="shared" si="304"/>
        <v>716664.9471877889</v>
      </c>
      <c r="CL221" s="390">
        <f>SUM(CL209:CL220)</f>
        <v>9251057.4580677319</v>
      </c>
      <c r="CM221" s="390"/>
      <c r="CN221" s="390">
        <f t="shared" ref="CN221:CW221" si="305">SUM(CN209:CN220)</f>
        <v>591489.28216688847</v>
      </c>
      <c r="CO221" s="390">
        <f t="shared" si="305"/>
        <v>724008.89521019987</v>
      </c>
      <c r="CP221" s="390">
        <f t="shared" si="305"/>
        <v>1851618.6224354769</v>
      </c>
      <c r="CQ221" s="390">
        <f t="shared" si="305"/>
        <v>380464.43643283885</v>
      </c>
      <c r="CR221" s="390">
        <f t="shared" si="305"/>
        <v>1283845.6519229487</v>
      </c>
      <c r="CS221" s="390">
        <f t="shared" si="305"/>
        <v>4831426.8881683527</v>
      </c>
      <c r="CT221" s="390">
        <f t="shared" si="305"/>
        <v>-22488.899999999998</v>
      </c>
      <c r="CU221" s="390"/>
      <c r="CV221" s="390">
        <f t="shared" si="305"/>
        <v>9336</v>
      </c>
      <c r="CW221" s="390">
        <f t="shared" si="305"/>
        <v>14069331.446236085</v>
      </c>
      <c r="DC221" s="384">
        <f>SUM(DC209:DC220)</f>
        <v>-61620.443014253702</v>
      </c>
      <c r="DE221" s="353"/>
      <c r="DF221" s="353"/>
      <c r="DG221" s="353"/>
      <c r="DH221" s="353"/>
      <c r="DI221" s="353"/>
      <c r="DJ221" s="353"/>
      <c r="DK221" s="353"/>
      <c r="DL221" s="353"/>
      <c r="DM221" s="353"/>
      <c r="DN221" s="353"/>
      <c r="DO221" s="353"/>
      <c r="DP221" s="353"/>
      <c r="DQ221" s="353"/>
      <c r="DR221" s="353"/>
      <c r="DS221" s="353"/>
      <c r="DT221" s="353"/>
      <c r="DU221" s="353"/>
      <c r="DV221" s="353"/>
      <c r="DW221" s="353"/>
      <c r="DX221" s="353"/>
      <c r="DY221" s="353"/>
      <c r="DZ221" s="353"/>
      <c r="EA221" s="353"/>
      <c r="EB221" s="353"/>
      <c r="EC221" s="353"/>
      <c r="ED221" s="353"/>
      <c r="EE221" s="353"/>
      <c r="EF221" s="353"/>
      <c r="EG221" s="353"/>
      <c r="EH221" s="353"/>
      <c r="EI221" s="353"/>
      <c r="EJ221" s="353"/>
      <c r="EK221" s="353"/>
      <c r="EL221" s="353"/>
      <c r="EM221" s="353"/>
      <c r="EN221" s="353"/>
      <c r="EO221" s="353"/>
      <c r="EP221" s="353"/>
      <c r="EQ221" s="353"/>
      <c r="ER221" s="353"/>
      <c r="ES221" s="353"/>
      <c r="ET221" s="353"/>
      <c r="EU221" s="353"/>
      <c r="EV221" s="353"/>
      <c r="EW221" s="353"/>
      <c r="EX221" s="353"/>
      <c r="EY221" s="353"/>
      <c r="EZ221" s="353"/>
      <c r="FA221" s="353"/>
      <c r="FB221" s="353"/>
      <c r="FC221" s="353"/>
      <c r="FD221" s="353"/>
      <c r="FE221" s="353"/>
      <c r="FF221" s="353"/>
      <c r="FG221" s="353"/>
      <c r="FH221" s="353"/>
      <c r="FI221" s="353"/>
      <c r="FJ221" s="353"/>
      <c r="FK221" s="353"/>
      <c r="FL221" s="353"/>
      <c r="FM221" s="353"/>
      <c r="FN221" s="353"/>
      <c r="FO221" s="353"/>
      <c r="FP221" s="353"/>
      <c r="FQ221" s="353"/>
    </row>
    <row r="222" spans="1:173" s="351" customFormat="1">
      <c r="F222" s="370"/>
      <c r="G222" s="435"/>
      <c r="H222" s="435"/>
      <c r="I222" s="435"/>
      <c r="J222" s="435"/>
      <c r="K222" s="435"/>
      <c r="L222" s="435"/>
      <c r="M222" s="435"/>
      <c r="N222" s="435"/>
      <c r="O222" s="435"/>
      <c r="P222" s="435"/>
      <c r="Q222" s="435"/>
      <c r="R222" s="435"/>
      <c r="S222" s="435"/>
      <c r="T222" s="435"/>
      <c r="U222" s="435"/>
      <c r="V222" s="435"/>
      <c r="W222" s="435"/>
      <c r="X222" s="435"/>
      <c r="Y222" s="435"/>
      <c r="Z222" s="435"/>
      <c r="AA222" s="435"/>
      <c r="CY222" s="353"/>
      <c r="CZ222" s="353"/>
      <c r="DA222" s="353"/>
      <c r="DB222" s="353"/>
      <c r="DC222" s="353"/>
      <c r="DE222" s="353"/>
      <c r="DF222" s="353"/>
      <c r="DG222" s="353"/>
      <c r="DH222" s="353"/>
      <c r="DI222" s="353"/>
      <c r="DJ222" s="353"/>
      <c r="DK222" s="353"/>
      <c r="DL222" s="353"/>
      <c r="DM222" s="353"/>
      <c r="DN222" s="353"/>
      <c r="DO222" s="353"/>
      <c r="DP222" s="353"/>
      <c r="DQ222" s="353"/>
      <c r="DR222" s="353"/>
      <c r="DS222" s="353"/>
      <c r="DT222" s="353"/>
      <c r="DU222" s="353"/>
      <c r="DV222" s="353"/>
      <c r="DW222" s="353"/>
      <c r="DX222" s="353"/>
      <c r="DY222" s="353"/>
      <c r="DZ222" s="353"/>
      <c r="EA222" s="353"/>
      <c r="EB222" s="353"/>
      <c r="EC222" s="353"/>
      <c r="ED222" s="353"/>
      <c r="EE222" s="353"/>
      <c r="EF222" s="353"/>
      <c r="EG222" s="353"/>
      <c r="EH222" s="353"/>
      <c r="EI222" s="353"/>
      <c r="EJ222" s="353"/>
      <c r="EK222" s="353"/>
      <c r="EL222" s="353"/>
      <c r="EM222" s="353"/>
      <c r="EN222" s="353"/>
      <c r="EO222" s="353"/>
      <c r="EP222" s="353"/>
      <c r="EQ222" s="353"/>
      <c r="ER222" s="353"/>
      <c r="ES222" s="353"/>
      <c r="ET222" s="353"/>
      <c r="EU222" s="353"/>
      <c r="EV222" s="353"/>
      <c r="EW222" s="353"/>
      <c r="EX222" s="353"/>
      <c r="EY222" s="353"/>
      <c r="EZ222" s="353"/>
      <c r="FA222" s="353"/>
      <c r="FB222" s="353"/>
      <c r="FC222" s="353"/>
      <c r="FD222" s="353"/>
      <c r="FE222" s="353"/>
      <c r="FF222" s="353"/>
      <c r="FG222" s="353"/>
      <c r="FH222" s="353"/>
      <c r="FI222" s="353"/>
      <c r="FJ222" s="353"/>
      <c r="FK222" s="353"/>
      <c r="FL222" s="353"/>
      <c r="FM222" s="353"/>
      <c r="FN222" s="353"/>
      <c r="FO222" s="353"/>
      <c r="FP222" s="353"/>
      <c r="FQ222" s="353"/>
    </row>
    <row r="223" spans="1:173" s="351" customFormat="1">
      <c r="F223" s="370"/>
      <c r="G223" s="435"/>
      <c r="H223" s="435"/>
      <c r="I223" s="435"/>
      <c r="J223" s="435"/>
      <c r="K223" s="435"/>
      <c r="L223" s="435"/>
      <c r="M223" s="435"/>
      <c r="N223" s="435"/>
      <c r="O223" s="435"/>
      <c r="P223" s="435"/>
      <c r="Q223" s="435"/>
      <c r="R223" s="435"/>
      <c r="S223" s="435"/>
      <c r="T223" s="435"/>
      <c r="U223" s="435"/>
      <c r="V223" s="435"/>
      <c r="W223" s="435"/>
      <c r="X223" s="435"/>
      <c r="Y223" s="435"/>
      <c r="Z223" s="435"/>
      <c r="AA223" s="435"/>
      <c r="CY223" s="353"/>
      <c r="CZ223" s="397">
        <f>CZ220+DC221</f>
        <v>175106.43095979403</v>
      </c>
      <c r="DA223" s="353"/>
      <c r="DB223" s="353"/>
      <c r="DC223" s="353"/>
      <c r="DE223" s="353"/>
      <c r="DF223" s="353"/>
      <c r="DG223" s="353"/>
      <c r="DH223" s="353"/>
      <c r="DI223" s="353"/>
      <c r="DJ223" s="353"/>
      <c r="DK223" s="353"/>
      <c r="DL223" s="353"/>
      <c r="DM223" s="353"/>
      <c r="DN223" s="353"/>
      <c r="DO223" s="353"/>
      <c r="DP223" s="353"/>
      <c r="DQ223" s="353"/>
      <c r="DR223" s="353"/>
      <c r="DS223" s="353"/>
      <c r="DT223" s="353"/>
      <c r="DU223" s="353"/>
      <c r="DV223" s="353"/>
      <c r="DW223" s="353"/>
      <c r="DX223" s="353"/>
      <c r="DY223" s="353"/>
      <c r="DZ223" s="353"/>
      <c r="EA223" s="353"/>
      <c r="EB223" s="353"/>
      <c r="EC223" s="353"/>
      <c r="ED223" s="353"/>
      <c r="EE223" s="353"/>
      <c r="EF223" s="353"/>
      <c r="EG223" s="353"/>
      <c r="EH223" s="353"/>
      <c r="EI223" s="353"/>
      <c r="EJ223" s="353"/>
      <c r="EK223" s="353"/>
      <c r="EL223" s="353"/>
      <c r="EM223" s="353"/>
      <c r="EN223" s="353"/>
      <c r="EO223" s="353"/>
      <c r="EP223" s="353"/>
      <c r="EQ223" s="353"/>
      <c r="ER223" s="353"/>
      <c r="ES223" s="353"/>
      <c r="ET223" s="353"/>
      <c r="EU223" s="353"/>
      <c r="EV223" s="353"/>
      <c r="EW223" s="353"/>
      <c r="EX223" s="353"/>
      <c r="EY223" s="353"/>
      <c r="EZ223" s="353"/>
      <c r="FA223" s="353"/>
      <c r="FB223" s="353"/>
      <c r="FC223" s="353"/>
      <c r="FD223" s="353"/>
      <c r="FE223" s="353"/>
      <c r="FF223" s="353"/>
      <c r="FG223" s="353"/>
      <c r="FH223" s="353"/>
      <c r="FI223" s="353"/>
      <c r="FJ223" s="353"/>
      <c r="FK223" s="353"/>
      <c r="FL223" s="353"/>
      <c r="FM223" s="353"/>
      <c r="FN223" s="353"/>
      <c r="FO223" s="353"/>
      <c r="FP223" s="353"/>
      <c r="FQ223" s="353"/>
    </row>
    <row r="224" spans="1:173" s="351" customFormat="1">
      <c r="A224" s="351" t="s">
        <v>331</v>
      </c>
      <c r="B224" s="351">
        <v>2023</v>
      </c>
      <c r="C224" s="411" t="s">
        <v>60</v>
      </c>
      <c r="F224" s="370"/>
      <c r="G224" s="435"/>
      <c r="H224" s="435"/>
      <c r="I224" s="435"/>
      <c r="J224" s="435"/>
      <c r="K224" s="435"/>
      <c r="L224" s="435"/>
      <c r="M224" s="435"/>
      <c r="N224" s="435"/>
      <c r="O224" s="435"/>
      <c r="P224" s="435"/>
      <c r="Q224" s="435"/>
      <c r="R224" s="435"/>
      <c r="S224" s="435"/>
      <c r="T224" s="435"/>
      <c r="U224" s="414">
        <f>'2015 Program Invest Amort Def'!BT103</f>
        <v>5736.6666666641831</v>
      </c>
      <c r="V224" s="414">
        <f>'2015 Program Invest Amort Def'!BT103</f>
        <v>5736.6666666641831</v>
      </c>
      <c r="W224" s="414">
        <f>'2015 Program Invest Amort Def'!EG103</f>
        <v>-1612.5770000000543</v>
      </c>
      <c r="X224" s="397">
        <f t="shared" ref="X224" si="306">U224+W224</f>
        <v>4124.0896666641293</v>
      </c>
      <c r="Y224" s="435"/>
      <c r="Z224" s="394">
        <f>'Schedule NJNG-3 - Page 3'!C185</f>
        <v>36677934.328970909</v>
      </c>
      <c r="AA224" s="480">
        <f>'Schedule NJNG-3 - Page 2'!E106</f>
        <v>2.3300000000000001E-2</v>
      </c>
      <c r="AB224" s="439">
        <f t="shared" ref="AB224:AB235" si="307">+Z224*AA224</f>
        <v>854595.86986502225</v>
      </c>
      <c r="BA224" s="412">
        <f>'RGGI II Invest Amort Def'!AG149</f>
        <v>0</v>
      </c>
      <c r="BB224" s="353"/>
      <c r="BC224" s="412">
        <f>(L221+N221)*'Capital Structure '!$H$21/12</f>
        <v>0</v>
      </c>
      <c r="BD224" s="412">
        <f>(L221+N221)*'Capital Structure '!$W$34/12</f>
        <v>0</v>
      </c>
      <c r="BE224" s="412">
        <f>(L221+N221)*'Capital Structure '!$H$18/12</f>
        <v>0</v>
      </c>
      <c r="BF224" s="412">
        <f>'RGGI II On Bill Fin''g'!L146*'Capital Structure '!$W$34/12</f>
        <v>0</v>
      </c>
      <c r="BG224" s="412">
        <f>'RGGI II On Bill Fin''g'!L146*('Capital Structure '!$H$18+'Capital Structure '!$H$21)/12</f>
        <v>0</v>
      </c>
      <c r="BH224" s="415">
        <f t="shared" ref="BH224" si="308">SUM(BC224:BG224)</f>
        <v>0</v>
      </c>
      <c r="BI224" s="353"/>
      <c r="BJ224" s="437">
        <v>0</v>
      </c>
      <c r="BK224" s="431">
        <f t="shared" ref="BK224" si="309">+BJ224+BH224+BA224</f>
        <v>0</v>
      </c>
      <c r="BM224" s="412">
        <f>'2013 program Invest Amort Def'!AW128</f>
        <v>0</v>
      </c>
      <c r="BN224" s="353"/>
      <c r="BO224" s="412">
        <f>(S224)*'Capital Structure '!$J$21/12</f>
        <v>0</v>
      </c>
      <c r="BP224" s="412">
        <f>(S224)*'Capital Structure '!$V$34/12</f>
        <v>0</v>
      </c>
      <c r="BQ224" s="412">
        <f>(S224)*'Capital Structure '!$J$18/12</f>
        <v>0</v>
      </c>
      <c r="BR224" s="412">
        <f>('2013 program 10 yr On Bill Fin'!M128+'2013 program 5 yr On Bill Fin'!L126+'2013 program 2 yr On Bill Fin'!M116)*'Capital Structure '!$V$34/12</f>
        <v>3755.5338955177904</v>
      </c>
      <c r="BS224" s="412">
        <f>('2013 program 10 yr On Bill Fin'!M128+'2013 program 5 yr On Bill Fin'!L126+'2013 program 2 yr On Bill Fin'!M119)*('Capital Structure '!$J$18+'Capital Structure '!$J$21)/12</f>
        <v>12705.47283750066</v>
      </c>
      <c r="BT224" s="431">
        <f t="shared" ref="BT224" si="310">SUM(BO224:BS224)</f>
        <v>16461.00673301845</v>
      </c>
      <c r="BU224" s="353"/>
      <c r="BV224" s="438">
        <v>0</v>
      </c>
      <c r="BW224" s="431">
        <f t="shared" ref="BW224" si="311">+BV224+BT224+BM224</f>
        <v>16461.00673301845</v>
      </c>
      <c r="BY224" s="412">
        <f>'2015 Program Invest Amort Def'!BR103</f>
        <v>4266.6666666666652</v>
      </c>
      <c r="BZ224" s="353"/>
      <c r="CA224" s="412">
        <f>X224*'Capital Structure '!$T$21/12</f>
        <v>5.6912437399964979</v>
      </c>
      <c r="CB224" s="412">
        <f>(X224)*'Capital Structure '!$T$34/12</f>
        <v>6.9663326399957155</v>
      </c>
      <c r="CC224" s="412">
        <f>(X224)*'Capital Structure '!$T$18/12</f>
        <v>17.816067359989038</v>
      </c>
      <c r="CD224" s="412">
        <f>('2015 Program 10-Year OBRP'!P103+'2015 Program 7-Year OBRP'!M103+'2015 Program 5-Year OBRP'!K103+'2015 Program 3-Year OBRP'!E103)*('Capital Structure '!$T$34/12)</f>
        <v>8319.6591030496111</v>
      </c>
      <c r="CE224" s="412">
        <f>('2015 Program 10-Year OBRP'!P106+'2015 Program 7-Year OBRP'!M106+'2015 Program 5-Year OBRP'!K106+'2015 Program 3-Year OBRP'!K103)*(('Capital Structure '!$T$21/12)+('Capital Structure '!$T$18/12))</f>
        <v>24473.431654071432</v>
      </c>
      <c r="CF224" s="431">
        <f t="shared" ref="CF224" si="312">SUM(CA224:CE224)</f>
        <v>32823.564400861025</v>
      </c>
      <c r="CG224" s="373"/>
      <c r="CH224" s="353"/>
      <c r="CI224" s="353"/>
      <c r="CJ224" s="431">
        <f t="shared" ref="CJ224" si="313">BY224+CF224+CG224+CI224</f>
        <v>37090.231067527689</v>
      </c>
      <c r="CL224" s="431">
        <f>'2018 SUMMARY'!Q83</f>
        <v>891771.88624473172</v>
      </c>
      <c r="CM224" s="431"/>
      <c r="CN224" s="431">
        <f>'2018 SUMMARY'!S83</f>
        <v>54617.085460773065</v>
      </c>
      <c r="CO224" s="431">
        <f>'2018 SUMMARY'!T83</f>
        <v>66853.714676267395</v>
      </c>
      <c r="CP224" s="431">
        <f>'2018 SUMMARY'!U83</f>
        <v>170975.22405111569</v>
      </c>
      <c r="CQ224" s="431">
        <f>'2018 SUMMARY'!V83</f>
        <v>39504.339549970959</v>
      </c>
      <c r="CR224" s="431">
        <f>'2018 SUMMARY'!W83</f>
        <v>133304.11388469115</v>
      </c>
      <c r="CS224" s="431">
        <f t="shared" ref="CS224" si="314">SUM(CN224:CR224)</f>
        <v>465254.4776228182</v>
      </c>
      <c r="CT224" s="431"/>
      <c r="CU224" s="431"/>
      <c r="CV224" s="431">
        <v>1000</v>
      </c>
      <c r="CW224" s="431">
        <f t="shared" ref="CW224" si="315">CL224+SUM(CS224:CV224)</f>
        <v>1358026.3638675499</v>
      </c>
      <c r="CY224" s="412">
        <f>+BW224+BK224+AY224+CJ224+CW224-AB224</f>
        <v>556981.7318030739</v>
      </c>
      <c r="CZ224" s="412">
        <f t="shared" ref="CZ224" si="316">+CZ223+CY224</f>
        <v>732088.16276286799</v>
      </c>
      <c r="DA224" s="412">
        <f t="shared" ref="DA224" si="317">(CZ223+CZ224)/2*(1-0.2811)</f>
        <v>326091.09671361081</v>
      </c>
      <c r="DB224" s="417">
        <f>DB220</f>
        <v>4.7989999999999998E-2</v>
      </c>
      <c r="DC224" s="434">
        <f t="shared" ref="DC224" si="318">(DA224)*DB224/12</f>
        <v>1304.0926442738485</v>
      </c>
      <c r="DE224" s="353"/>
      <c r="DF224" s="353"/>
      <c r="DG224" s="420">
        <f t="shared" ref="DG224:DG235" si="319">(CA224+CC224)/(X224)*12</f>
        <v>6.8400000000000002E-2</v>
      </c>
      <c r="DH224" s="420">
        <f t="shared" ref="DH224:DH235" si="320">(CA224+CB224+CC224)/(X224)*12</f>
        <v>8.8670168312699957E-2</v>
      </c>
      <c r="DI224" s="353"/>
      <c r="DJ224" s="353"/>
      <c r="DK224" s="353"/>
      <c r="DL224" s="353"/>
      <c r="DM224" s="353"/>
      <c r="DN224" s="353"/>
      <c r="DO224" s="353"/>
      <c r="DP224" s="353"/>
      <c r="DQ224" s="353"/>
      <c r="DR224" s="353"/>
      <c r="DS224" s="353"/>
      <c r="DT224" s="353"/>
      <c r="DU224" s="353"/>
      <c r="DV224" s="353"/>
      <c r="DW224" s="353"/>
      <c r="DX224" s="353"/>
      <c r="DY224" s="353"/>
      <c r="DZ224" s="353"/>
      <c r="EA224" s="353"/>
      <c r="EB224" s="353"/>
      <c r="EC224" s="353"/>
      <c r="ED224" s="353"/>
      <c r="EE224" s="353"/>
      <c r="EF224" s="353"/>
      <c r="EG224" s="353"/>
      <c r="EH224" s="353"/>
      <c r="EI224" s="353"/>
      <c r="EJ224" s="353"/>
      <c r="EK224" s="353"/>
      <c r="EL224" s="353"/>
      <c r="EM224" s="353"/>
      <c r="EN224" s="353"/>
      <c r="EO224" s="353"/>
      <c r="EP224" s="353"/>
      <c r="EQ224" s="353"/>
      <c r="ER224" s="353"/>
      <c r="ES224" s="353"/>
      <c r="ET224" s="353"/>
      <c r="EU224" s="353"/>
      <c r="EV224" s="353"/>
      <c r="EW224" s="353"/>
      <c r="EX224" s="353"/>
      <c r="EY224" s="353"/>
      <c r="EZ224" s="353"/>
      <c r="FA224" s="353"/>
      <c r="FB224" s="353"/>
      <c r="FC224" s="353"/>
      <c r="FD224" s="353"/>
      <c r="FE224" s="353"/>
      <c r="FF224" s="353"/>
      <c r="FG224" s="353"/>
      <c r="FH224" s="353"/>
      <c r="FI224" s="353"/>
      <c r="FJ224" s="353"/>
      <c r="FK224" s="353"/>
      <c r="FL224" s="353"/>
      <c r="FM224" s="353"/>
      <c r="FN224" s="353"/>
      <c r="FO224" s="353"/>
      <c r="FP224" s="353"/>
      <c r="FQ224" s="353"/>
    </row>
    <row r="225" spans="1:173" s="351" customFormat="1">
      <c r="A225" s="351" t="s">
        <v>51</v>
      </c>
      <c r="B225" s="351">
        <v>2023</v>
      </c>
      <c r="C225" s="411" t="s">
        <v>60</v>
      </c>
      <c r="F225" s="370"/>
      <c r="G225" s="435"/>
      <c r="H225" s="435"/>
      <c r="I225" s="435"/>
      <c r="J225" s="435"/>
      <c r="K225" s="435"/>
      <c r="L225" s="435"/>
      <c r="M225" s="435"/>
      <c r="N225" s="435"/>
      <c r="O225" s="435"/>
      <c r="P225" s="435"/>
      <c r="Q225" s="435"/>
      <c r="R225" s="435"/>
      <c r="S225" s="435"/>
      <c r="T225" s="435"/>
      <c r="U225" s="414">
        <f>'2015 Program Invest Amort Def'!BT104</f>
        <v>2606.6666666641831</v>
      </c>
      <c r="V225" s="414">
        <f>'2015 Program Invest Amort Def'!BT104</f>
        <v>2606.6666666641831</v>
      </c>
      <c r="W225" s="414">
        <f>'2015 Program Invest Amort Def'!EG104</f>
        <v>-732.73400000005415</v>
      </c>
      <c r="X225" s="397">
        <f t="shared" ref="X225:X235" si="321">U225+W225</f>
        <v>1873.9326666641291</v>
      </c>
      <c r="Y225" s="435"/>
      <c r="Z225" s="394">
        <f>'Schedule NJNG-3 - Page 3'!D$185</f>
        <v>72233308.458887279</v>
      </c>
      <c r="AA225" s="480">
        <f>'Schedule NJNG-3 - Page 2'!E107</f>
        <v>2.3300000000000001E-2</v>
      </c>
      <c r="AB225" s="439">
        <f t="shared" si="307"/>
        <v>1683036.0870920736</v>
      </c>
      <c r="BA225" s="412">
        <f>'RGGI II Invest Amort Def'!AG150</f>
        <v>0</v>
      </c>
      <c r="BB225" s="353"/>
      <c r="BC225" s="412">
        <f>(L222+N222)*'Capital Structure '!$H$21/12</f>
        <v>0</v>
      </c>
      <c r="BD225" s="412">
        <f>(L222+N222)*'Capital Structure '!$W$34/12</f>
        <v>0</v>
      </c>
      <c r="BE225" s="412">
        <f>(L222+N222)*'Capital Structure '!$H$18/12</f>
        <v>0</v>
      </c>
      <c r="BF225" s="412">
        <f>'RGGI II On Bill Fin''g'!L147*'Capital Structure '!$W$34/12</f>
        <v>0</v>
      </c>
      <c r="BG225" s="412">
        <f>'RGGI II On Bill Fin''g'!L147*('Capital Structure '!$H$18+'Capital Structure '!$H$21)/12</f>
        <v>0</v>
      </c>
      <c r="BH225" s="415">
        <f t="shared" ref="BH225:BH235" si="322">SUM(BC225:BG225)</f>
        <v>0</v>
      </c>
      <c r="BI225" s="353"/>
      <c r="BJ225" s="437">
        <v>0</v>
      </c>
      <c r="BK225" s="431">
        <f t="shared" ref="BK225:BK235" si="323">+BJ225+BH225+BA225</f>
        <v>0</v>
      </c>
      <c r="BM225" s="412">
        <f>'2013 program Invest Amort Def'!AW129</f>
        <v>0</v>
      </c>
      <c r="BN225" s="353"/>
      <c r="BO225" s="412">
        <f>(S225)*'Capital Structure '!$J$21/12</f>
        <v>0</v>
      </c>
      <c r="BP225" s="412">
        <f>(S225)*'Capital Structure '!$V$34/12</f>
        <v>0</v>
      </c>
      <c r="BQ225" s="412">
        <f>(S225)*'Capital Structure '!$J$18/12</f>
        <v>0</v>
      </c>
      <c r="BR225" s="412">
        <f>('2013 program 10 yr On Bill Fin'!M129+'2013 program 5 yr On Bill Fin'!L127+'2013 program 2 yr On Bill Fin'!M117)*'Capital Structure '!$V$34/12</f>
        <v>3264.903219066668</v>
      </c>
      <c r="BS225" s="412">
        <f>('2013 program 10 yr On Bill Fin'!M129+'2013 program 5 yr On Bill Fin'!L127+'2013 program 2 yr On Bill Fin'!M120)*('Capital Structure '!$J$18+'Capital Structure '!$J$21)/12</f>
        <v>11045.603720000699</v>
      </c>
      <c r="BT225" s="431">
        <f t="shared" ref="BT225:BT235" si="324">SUM(BO225:BS225)</f>
        <v>14310.506939067367</v>
      </c>
      <c r="BU225" s="353"/>
      <c r="BV225" s="438">
        <v>0</v>
      </c>
      <c r="BW225" s="431">
        <f t="shared" ref="BW225:BW235" si="325">+BV225+BT225+BM225</f>
        <v>14310.506939067367</v>
      </c>
      <c r="BY225" s="412">
        <f>'2015 Program Invest Amort Def'!BR104</f>
        <v>3130.0000000000005</v>
      </c>
      <c r="BZ225" s="353"/>
      <c r="CA225" s="412">
        <f>X225*'Capital Structure '!$T$21/12</f>
        <v>2.5860270799964979</v>
      </c>
      <c r="CB225" s="412">
        <f>(X225)*'Capital Structure '!$T$34/12</f>
        <v>3.1654108799957137</v>
      </c>
      <c r="CC225" s="412">
        <f>(X225)*'Capital Structure '!$T$18/12</f>
        <v>8.0953891199890382</v>
      </c>
      <c r="CD225" s="412">
        <f>('2015 Program 10-Year OBRP'!P104+'2015 Program 7-Year OBRP'!M104+'2015 Program 5-Year OBRP'!K104+'2015 Program 3-Year OBRP'!K104)*('Capital Structure '!$T$34/12)</f>
        <v>7951.7123011265148</v>
      </c>
      <c r="CE225" s="412">
        <f>('2015 Program 10-Year OBRP'!P107+'2015 Program 7-Year OBRP'!M107+'2015 Program 5-Year OBRP'!K107+'2015 Program 3-Year OBRP'!K104)*(('Capital Structure '!$T$21/12)+('Capital Structure '!$T$18/12))</f>
        <v>23346.895640357146</v>
      </c>
      <c r="CF225" s="431">
        <f t="shared" ref="CF225:CF235" si="326">SUM(CA225:CE225)</f>
        <v>31312.454768563643</v>
      </c>
      <c r="CG225" s="373"/>
      <c r="CH225" s="353"/>
      <c r="CI225" s="353"/>
      <c r="CJ225" s="431">
        <f t="shared" ref="CJ225:CJ235" si="327">BY225+CF225+CG225+CI225</f>
        <v>34442.454768563643</v>
      </c>
      <c r="CL225" s="431">
        <f>'2018 SUMMARY'!Q84</f>
        <v>905200.19582806504</v>
      </c>
      <c r="CM225" s="431"/>
      <c r="CN225" s="431">
        <f>'2018 SUMMARY'!S84</f>
        <v>54768.210407175808</v>
      </c>
      <c r="CO225" s="431">
        <f>'2018 SUMMARY'!T84</f>
        <v>67038.69825717507</v>
      </c>
      <c r="CP225" s="431">
        <f>'2018 SUMMARY'!U84</f>
        <v>171448.3108398547</v>
      </c>
      <c r="CQ225" s="431">
        <f>'2018 SUMMARY'!V84</f>
        <v>39980.678579048363</v>
      </c>
      <c r="CR225" s="431">
        <f>'2018 SUMMARY'!W84</f>
        <v>134911.48038931366</v>
      </c>
      <c r="CS225" s="431">
        <f t="shared" ref="CS225:CS235" si="328">SUM(CN225:CR225)</f>
        <v>468147.37847256759</v>
      </c>
      <c r="CT225" s="431"/>
      <c r="CU225" s="431"/>
      <c r="CV225" s="431">
        <v>1000</v>
      </c>
      <c r="CW225" s="431">
        <f t="shared" ref="CW225:CW235" si="329">CL225+SUM(CS225:CV225)</f>
        <v>1374347.5743006326</v>
      </c>
      <c r="CY225" s="412">
        <f t="shared" ref="CY225" si="330">+BW225+BK225+AY225+CJ225+CW225-AB225</f>
        <v>-259935.55108381016</v>
      </c>
      <c r="CZ225" s="412">
        <f t="shared" ref="CZ225" si="331">+CZ224+CY225</f>
        <v>472152.61167905782</v>
      </c>
      <c r="DA225" s="412">
        <f t="shared" ref="DA225" si="332">(CZ224+CZ225)/2*(1-0.2811)</f>
        <v>432864.34637315024</v>
      </c>
      <c r="DB225" s="417">
        <f>DB224</f>
        <v>4.7989999999999998E-2</v>
      </c>
      <c r="DC225" s="434">
        <f t="shared" ref="DC225" si="333">(DA225)*DB225/12</f>
        <v>1731.0966652039567</v>
      </c>
      <c r="DE225" s="353"/>
      <c r="DF225" s="353"/>
      <c r="DG225" s="420">
        <f t="shared" si="319"/>
        <v>6.8400000000000002E-2</v>
      </c>
      <c r="DH225" s="420">
        <f t="shared" si="320"/>
        <v>8.8670168312699957E-2</v>
      </c>
      <c r="DI225" s="353"/>
      <c r="DJ225" s="353"/>
      <c r="DK225" s="353"/>
      <c r="DL225" s="353"/>
      <c r="DM225" s="353"/>
      <c r="DN225" s="353"/>
      <c r="DO225" s="353"/>
      <c r="DP225" s="353"/>
      <c r="DQ225" s="353"/>
      <c r="DR225" s="353"/>
      <c r="DS225" s="353"/>
      <c r="DT225" s="353"/>
      <c r="DU225" s="353"/>
      <c r="DV225" s="353"/>
      <c r="DW225" s="353"/>
      <c r="DX225" s="353"/>
      <c r="DY225" s="353"/>
      <c r="DZ225" s="353"/>
      <c r="EA225" s="353"/>
      <c r="EB225" s="353"/>
      <c r="EC225" s="353"/>
      <c r="ED225" s="353"/>
      <c r="EE225" s="353"/>
      <c r="EF225" s="353"/>
      <c r="EG225" s="353"/>
      <c r="EH225" s="353"/>
      <c r="EI225" s="353"/>
      <c r="EJ225" s="353"/>
      <c r="EK225" s="353"/>
      <c r="EL225" s="353"/>
      <c r="EM225" s="353"/>
      <c r="EN225" s="353"/>
      <c r="EO225" s="353"/>
      <c r="EP225" s="353"/>
      <c r="EQ225" s="353"/>
      <c r="ER225" s="353"/>
      <c r="ES225" s="353"/>
      <c r="ET225" s="353"/>
      <c r="EU225" s="353"/>
      <c r="EV225" s="353"/>
      <c r="EW225" s="353"/>
      <c r="EX225" s="353"/>
      <c r="EY225" s="353"/>
      <c r="EZ225" s="353"/>
      <c r="FA225" s="353"/>
      <c r="FB225" s="353"/>
      <c r="FC225" s="353"/>
      <c r="FD225" s="353"/>
      <c r="FE225" s="353"/>
      <c r="FF225" s="353"/>
      <c r="FG225" s="353"/>
      <c r="FH225" s="353"/>
      <c r="FI225" s="353"/>
      <c r="FJ225" s="353"/>
      <c r="FK225" s="353"/>
      <c r="FL225" s="353"/>
      <c r="FM225" s="353"/>
      <c r="FN225" s="353"/>
      <c r="FO225" s="353"/>
      <c r="FP225" s="353"/>
      <c r="FQ225" s="353"/>
    </row>
    <row r="226" spans="1:173" s="351" customFormat="1">
      <c r="A226" s="351" t="s">
        <v>52</v>
      </c>
      <c r="B226" s="351">
        <v>2023</v>
      </c>
      <c r="C226" s="411" t="s">
        <v>60</v>
      </c>
      <c r="F226" s="370"/>
      <c r="G226" s="435"/>
      <c r="H226" s="435"/>
      <c r="I226" s="435"/>
      <c r="J226" s="435"/>
      <c r="K226" s="435"/>
      <c r="L226" s="435"/>
      <c r="M226" s="435"/>
      <c r="N226" s="435"/>
      <c r="O226" s="435"/>
      <c r="P226" s="435"/>
      <c r="Q226" s="435"/>
      <c r="R226" s="435"/>
      <c r="S226" s="435"/>
      <c r="T226" s="435"/>
      <c r="U226" s="414">
        <f>'2015 Program Invest Amort Def'!BT105</f>
        <v>699.99999999720603</v>
      </c>
      <c r="V226" s="414">
        <f>'2015 Program Invest Amort Def'!BT105</f>
        <v>699.99999999720603</v>
      </c>
      <c r="W226" s="414">
        <f>'2015 Program Invest Amort Def'!EG105</f>
        <v>-196.77000000005421</v>
      </c>
      <c r="X226" s="397">
        <f t="shared" si="321"/>
        <v>503.22999999715182</v>
      </c>
      <c r="Y226" s="435"/>
      <c r="Z226" s="394">
        <f>'Schedule NJNG-3 - Page 3'!E$185</f>
        <v>113635830.1174086</v>
      </c>
      <c r="AA226" s="480">
        <f>'Schedule NJNG-3 - Page 2'!E108</f>
        <v>2.3300000000000001E-2</v>
      </c>
      <c r="AB226" s="439">
        <f t="shared" si="307"/>
        <v>2647714.8417356205</v>
      </c>
      <c r="BA226" s="412">
        <f>'RGGI II Invest Amort Def'!AG151</f>
        <v>0</v>
      </c>
      <c r="BB226" s="353"/>
      <c r="BC226" s="412">
        <f>(L223+N223)*'Capital Structure '!$H$21/12</f>
        <v>0</v>
      </c>
      <c r="BD226" s="412">
        <f>(L223+N223)*'Capital Structure '!$W$34/12</f>
        <v>0</v>
      </c>
      <c r="BE226" s="412">
        <f>(L223+N223)*'Capital Structure '!$H$18/12</f>
        <v>0</v>
      </c>
      <c r="BF226" s="412">
        <f>'RGGI II On Bill Fin''g'!L148*'Capital Structure '!$W$34/12</f>
        <v>0</v>
      </c>
      <c r="BG226" s="412">
        <f>'RGGI II On Bill Fin''g'!L148*('Capital Structure '!$H$18+'Capital Structure '!$H$21)/12</f>
        <v>0</v>
      </c>
      <c r="BH226" s="415">
        <f t="shared" si="322"/>
        <v>0</v>
      </c>
      <c r="BI226" s="353"/>
      <c r="BJ226" s="437">
        <v>0</v>
      </c>
      <c r="BK226" s="431">
        <f t="shared" si="323"/>
        <v>0</v>
      </c>
      <c r="BM226" s="412">
        <f>'2013 program Invest Amort Def'!AW130</f>
        <v>0</v>
      </c>
      <c r="BN226" s="353"/>
      <c r="BO226" s="412">
        <f>(S226)*'Capital Structure '!$J$21/12</f>
        <v>0</v>
      </c>
      <c r="BP226" s="412">
        <f>(S226)*'Capital Structure '!$V$34/12</f>
        <v>0</v>
      </c>
      <c r="BQ226" s="412">
        <f>(S226)*'Capital Structure '!$J$18/12</f>
        <v>0</v>
      </c>
      <c r="BR226" s="412">
        <f>('2013 program 10 yr On Bill Fin'!M130+'2013 program 5 yr On Bill Fin'!L128+'2013 program 2 yr On Bill Fin'!M118)*'Capital Structure '!$V$34/12</f>
        <v>2774.2725426155466</v>
      </c>
      <c r="BS226" s="412">
        <f>('2013 program 10 yr On Bill Fin'!M130+'2013 program 5 yr On Bill Fin'!L128+'2013 program 2 yr On Bill Fin'!M121)*('Capital Structure '!$J$18+'Capital Structure '!$J$21)/12</f>
        <v>9385.7346025007391</v>
      </c>
      <c r="BT226" s="431">
        <f t="shared" si="324"/>
        <v>12160.007145116286</v>
      </c>
      <c r="BU226" s="353"/>
      <c r="BV226" s="438">
        <v>0</v>
      </c>
      <c r="BW226" s="431">
        <f t="shared" si="325"/>
        <v>12160.007145116286</v>
      </c>
      <c r="BY226" s="412">
        <f>'2015 Program Invest Amort Def'!BR105</f>
        <v>1906.6666666666663</v>
      </c>
      <c r="BZ226" s="353"/>
      <c r="CA226" s="412">
        <f>X226*'Capital Structure '!$T$21/12</f>
        <v>0.69445739999606948</v>
      </c>
      <c r="CB226" s="412">
        <f>(X226)*'Capital Structure '!$T$34/12</f>
        <v>0.85004639999518894</v>
      </c>
      <c r="CC226" s="412">
        <f>(X226)*'Capital Structure '!$T$18/12</f>
        <v>2.173953599987696</v>
      </c>
      <c r="CD226" s="412">
        <f>('2015 Program 10-Year OBRP'!P105+'2015 Program 7-Year OBRP'!M105+'2015 Program 5-Year OBRP'!K105+'2015 Program 3-Year OBRP'!K105)*('Capital Structure '!$T$34/12)</f>
        <v>7596.165473029303</v>
      </c>
      <c r="CE226" s="412">
        <f>('2015 Program 10-Year OBRP'!P108+'2015 Program 7-Year OBRP'!M108+'2015 Program 5-Year OBRP'!K108+'2015 Program 3-Year OBRP'!K105)*(('Capital Structure '!$T$21/12)+('Capital Structure '!$T$18/12))</f>
        <v>22246.548367571439</v>
      </c>
      <c r="CF226" s="431">
        <f t="shared" si="326"/>
        <v>29846.43229800072</v>
      </c>
      <c r="CG226" s="373"/>
      <c r="CH226" s="353"/>
      <c r="CI226" s="353"/>
      <c r="CJ226" s="431">
        <f t="shared" si="327"/>
        <v>31753.098964667388</v>
      </c>
      <c r="CL226" s="431">
        <f>'2018 SUMMARY'!Q85</f>
        <v>922437.2963340173</v>
      </c>
      <c r="CM226" s="431"/>
      <c r="CN226" s="431">
        <f>'2018 SUMMARY'!S85</f>
        <v>55332.226603825446</v>
      </c>
      <c r="CO226" s="431">
        <f>'2018 SUMMARY'!T85</f>
        <v>67729.078887439391</v>
      </c>
      <c r="CP226" s="431">
        <f>'2018 SUMMARY'!U85</f>
        <v>173213.9267598014</v>
      </c>
      <c r="CQ226" s="431">
        <f>'2018 SUMMARY'!V85</f>
        <v>40866.4493285309</v>
      </c>
      <c r="CR226" s="431">
        <f>'2018 SUMMARY'!W85</f>
        <v>137900.44024055704</v>
      </c>
      <c r="CS226" s="431">
        <f t="shared" si="328"/>
        <v>475042.12182015425</v>
      </c>
      <c r="CT226" s="431"/>
      <c r="CU226" s="431"/>
      <c r="CV226" s="431">
        <v>1000</v>
      </c>
      <c r="CW226" s="431">
        <f t="shared" si="329"/>
        <v>1398479.4181541717</v>
      </c>
      <c r="CY226" s="412">
        <f t="shared" ref="CY226:CY235" si="334">+BW226+BK226+AY226+CJ226+CW226-AB226</f>
        <v>-1205322.3174716651</v>
      </c>
      <c r="CZ226" s="412">
        <f t="shared" ref="CZ226:CZ235" si="335">+CZ225+CY226</f>
        <v>-733169.70579260727</v>
      </c>
      <c r="DA226" s="412">
        <f t="shared" ref="DA226:DA235" si="336">(CZ225+CZ226)/2*(1-0.2811)</f>
        <v>-93822.594479115345</v>
      </c>
      <c r="DB226" s="417">
        <f t="shared" ref="DB226:DB235" si="337">DB225</f>
        <v>4.7989999999999998E-2</v>
      </c>
      <c r="DC226" s="434">
        <f t="shared" ref="DC226:DC235" si="338">(DA226)*DB226/12</f>
        <v>-375.21219242106213</v>
      </c>
      <c r="DE226" s="353"/>
      <c r="DF226" s="353"/>
      <c r="DG226" s="420">
        <f t="shared" si="319"/>
        <v>6.8400000000000002E-2</v>
      </c>
      <c r="DH226" s="420">
        <f t="shared" si="320"/>
        <v>8.8670168312699957E-2</v>
      </c>
      <c r="DI226" s="353"/>
      <c r="DJ226" s="353"/>
      <c r="DK226" s="353"/>
      <c r="DL226" s="353"/>
      <c r="DM226" s="353"/>
      <c r="DN226" s="353"/>
      <c r="DO226" s="353"/>
      <c r="DP226" s="353"/>
      <c r="DQ226" s="353"/>
      <c r="DR226" s="353"/>
      <c r="DS226" s="353"/>
      <c r="DT226" s="353"/>
      <c r="DU226" s="353"/>
      <c r="DV226" s="353"/>
      <c r="DW226" s="353"/>
      <c r="DX226" s="353"/>
      <c r="DY226" s="353"/>
      <c r="DZ226" s="353"/>
      <c r="EA226" s="353"/>
      <c r="EB226" s="353"/>
      <c r="EC226" s="353"/>
      <c r="ED226" s="353"/>
      <c r="EE226" s="353"/>
      <c r="EF226" s="353"/>
      <c r="EG226" s="353"/>
      <c r="EH226" s="353"/>
      <c r="EI226" s="353"/>
      <c r="EJ226" s="353"/>
      <c r="EK226" s="353"/>
      <c r="EL226" s="353"/>
      <c r="EM226" s="353"/>
      <c r="EN226" s="353"/>
      <c r="EO226" s="353"/>
      <c r="EP226" s="353"/>
      <c r="EQ226" s="353"/>
      <c r="ER226" s="353"/>
      <c r="ES226" s="353"/>
      <c r="ET226" s="353"/>
      <c r="EU226" s="353"/>
      <c r="EV226" s="353"/>
      <c r="EW226" s="353"/>
      <c r="EX226" s="353"/>
      <c r="EY226" s="353"/>
      <c r="EZ226" s="353"/>
      <c r="FA226" s="353"/>
      <c r="FB226" s="353"/>
      <c r="FC226" s="353"/>
      <c r="FD226" s="353"/>
      <c r="FE226" s="353"/>
      <c r="FF226" s="353"/>
      <c r="FG226" s="353"/>
      <c r="FH226" s="353"/>
      <c r="FI226" s="353"/>
      <c r="FJ226" s="353"/>
      <c r="FK226" s="353"/>
      <c r="FL226" s="353"/>
      <c r="FM226" s="353"/>
      <c r="FN226" s="353"/>
      <c r="FO226" s="353"/>
      <c r="FP226" s="353"/>
      <c r="FQ226" s="353"/>
    </row>
    <row r="227" spans="1:173" s="351" customFormat="1">
      <c r="A227" s="351" t="s">
        <v>53</v>
      </c>
      <c r="B227" s="351">
        <v>2024</v>
      </c>
      <c r="C227" s="411" t="s">
        <v>60</v>
      </c>
      <c r="F227" s="370"/>
      <c r="G227" s="435"/>
      <c r="H227" s="435"/>
      <c r="I227" s="435"/>
      <c r="J227" s="435"/>
      <c r="K227" s="435"/>
      <c r="L227" s="435"/>
      <c r="M227" s="435"/>
      <c r="N227" s="435"/>
      <c r="O227" s="435"/>
      <c r="P227" s="435"/>
      <c r="Q227" s="435"/>
      <c r="R227" s="435"/>
      <c r="S227" s="435"/>
      <c r="T227" s="435"/>
      <c r="U227" s="414">
        <f>'2015 Program Invest Amort Def'!BT106</f>
        <v>391.66666666418314</v>
      </c>
      <c r="V227" s="414">
        <f>'2015 Program Invest Amort Def'!BT106</f>
        <v>391.66666666418314</v>
      </c>
      <c r="W227" s="414">
        <f>'2015 Program Invest Amort Def'!EG106</f>
        <v>-110.09750000005423</v>
      </c>
      <c r="X227" s="397">
        <f t="shared" si="321"/>
        <v>281.56916666412894</v>
      </c>
      <c r="Y227" s="435"/>
      <c r="Z227" s="528">
        <f>'Schedule NJNG-3 - Page 3'!F$185</f>
        <v>137753094.0985454</v>
      </c>
      <c r="AA227" s="480">
        <f>'Schedule NJNG-3 - Page 2'!E109</f>
        <v>2.3300000000000001E-2</v>
      </c>
      <c r="AB227" s="439">
        <f t="shared" si="307"/>
        <v>3209647.0924961083</v>
      </c>
      <c r="BA227" s="412">
        <f>'RGGI II Invest Amort Def'!AG152</f>
        <v>0</v>
      </c>
      <c r="BB227" s="353"/>
      <c r="BC227" s="412">
        <f>(L224+N224)*'Capital Structure '!$H$21/12</f>
        <v>0</v>
      </c>
      <c r="BD227" s="412">
        <f>(L224+N224)*'Capital Structure '!$W$34/12</f>
        <v>0</v>
      </c>
      <c r="BE227" s="412">
        <f>(L224+N224)*'Capital Structure '!$H$18/12</f>
        <v>0</v>
      </c>
      <c r="BF227" s="412">
        <f>'RGGI II On Bill Fin''g'!L149*'Capital Structure '!$W$34/12</f>
        <v>0</v>
      </c>
      <c r="BG227" s="412">
        <f>'RGGI II On Bill Fin''g'!L149*('Capital Structure '!$H$18+'Capital Structure '!$H$21)/12</f>
        <v>0</v>
      </c>
      <c r="BH227" s="415">
        <f t="shared" si="322"/>
        <v>0</v>
      </c>
      <c r="BI227" s="353"/>
      <c r="BJ227" s="437">
        <v>0</v>
      </c>
      <c r="BK227" s="431">
        <f t="shared" si="323"/>
        <v>0</v>
      </c>
      <c r="BM227" s="412">
        <f>'2013 program Invest Amort Def'!AW131</f>
        <v>0</v>
      </c>
      <c r="BN227" s="353"/>
      <c r="BO227" s="412">
        <f>(S227)*'Capital Structure '!$J$21/12</f>
        <v>0</v>
      </c>
      <c r="BP227" s="412">
        <f>(S227)*'Capital Structure '!$V$34/12</f>
        <v>0</v>
      </c>
      <c r="BQ227" s="412">
        <f>(S227)*'Capital Structure '!$J$18/12</f>
        <v>0</v>
      </c>
      <c r="BR227" s="412">
        <f>('2013 program 10 yr On Bill Fin'!M131+'2013 program 5 yr On Bill Fin'!L129+'2013 program 2 yr On Bill Fin'!M119)*'Capital Structure '!$V$34/12</f>
        <v>2283.6418661644243</v>
      </c>
      <c r="BS227" s="412">
        <f>('2013 program 10 yr On Bill Fin'!M131+'2013 program 5 yr On Bill Fin'!L129+'2013 program 2 yr On Bill Fin'!M122)*('Capital Structure '!$J$18+'Capital Structure '!$J$21)/12</f>
        <v>7725.8654850007779</v>
      </c>
      <c r="BT227" s="431">
        <f t="shared" si="324"/>
        <v>10009.507351165203</v>
      </c>
      <c r="BU227" s="353"/>
      <c r="BV227" s="438">
        <v>0</v>
      </c>
      <c r="BW227" s="431">
        <f t="shared" si="325"/>
        <v>10009.507351165203</v>
      </c>
      <c r="BY227" s="412">
        <f>'2015 Program Invest Amort Def'!BR106</f>
        <v>308.33333333333326</v>
      </c>
      <c r="BZ227" s="353"/>
      <c r="CA227" s="412">
        <f>X227*'Capital Structure '!$T$21/12</f>
        <v>0.38856544999649789</v>
      </c>
      <c r="CB227" s="412">
        <f>(X227)*'Capital Structure '!$T$34/12</f>
        <v>0.4756211999957134</v>
      </c>
      <c r="CC227" s="412">
        <f>(X227)*'Capital Structure '!$T$18/12</f>
        <v>1.2163787999890372</v>
      </c>
      <c r="CD227" s="412">
        <f>('2015 Program 10-Year OBRP'!P106+'2015 Program 7-Year OBRP'!M106+'2015 Program 5-Year OBRP'!K106+'2015 Program 3-Year OBRP'!K106)*('Capital Structure '!$T$34/12)</f>
        <v>7252.6400411898667</v>
      </c>
      <c r="CE227" s="412">
        <f>('2015 Program 10-Year OBRP'!P109+'2015 Program 7-Year OBRP'!M109+'2015 Program 5-Year OBRP'!K109+'2015 Program 3-Year OBRP'!K106)*(('Capital Structure '!$T$21/12)+('Capital Structure '!$T$18/12))</f>
        <v>21179.818781428581</v>
      </c>
      <c r="CF227" s="431">
        <f t="shared" si="326"/>
        <v>28434.539388068428</v>
      </c>
      <c r="CG227" s="373"/>
      <c r="CH227" s="353"/>
      <c r="CI227" s="353"/>
      <c r="CJ227" s="431">
        <f t="shared" si="327"/>
        <v>28742.87272140176</v>
      </c>
      <c r="CL227" s="431">
        <f>'2018 SUMMARY'!Q86</f>
        <v>922437.2963340173</v>
      </c>
      <c r="CM227" s="431"/>
      <c r="CN227" s="431">
        <f>'2018 SUMMARY'!S86</f>
        <v>53898.570835992308</v>
      </c>
      <c r="CO227" s="431">
        <f>'2018 SUMMARY'!T86</f>
        <v>65974.221175093335</v>
      </c>
      <c r="CP227" s="431">
        <f>'2018 SUMMARY'!U86</f>
        <v>168725.96087788898</v>
      </c>
      <c r="CQ227" s="431">
        <f>'2018 SUMMARY'!V86</f>
        <v>39759.350065415194</v>
      </c>
      <c r="CR227" s="431">
        <f>'2018 SUMMARY'!W86</f>
        <v>134164.62569630041</v>
      </c>
      <c r="CS227" s="431">
        <f t="shared" si="328"/>
        <v>462522.72865069023</v>
      </c>
      <c r="CT227" s="431"/>
      <c r="CU227" s="431"/>
      <c r="CV227" s="431">
        <v>1000</v>
      </c>
      <c r="CW227" s="431">
        <f t="shared" si="329"/>
        <v>1385960.0249847076</v>
      </c>
      <c r="CY227" s="412">
        <f t="shared" si="334"/>
        <v>-1784934.6874388338</v>
      </c>
      <c r="CZ227" s="412">
        <f t="shared" si="335"/>
        <v>-2518104.3932314413</v>
      </c>
      <c r="DA227" s="412">
        <f t="shared" si="336"/>
        <v>-1168670.4748941942</v>
      </c>
      <c r="DB227" s="417">
        <f t="shared" si="337"/>
        <v>4.7989999999999998E-2</v>
      </c>
      <c r="DC227" s="434">
        <f t="shared" si="338"/>
        <v>-4673.7080075143649</v>
      </c>
      <c r="DE227" s="353"/>
      <c r="DF227" s="353"/>
      <c r="DG227" s="420">
        <f t="shared" si="319"/>
        <v>6.8400000000000002E-2</v>
      </c>
      <c r="DH227" s="420">
        <f t="shared" si="320"/>
        <v>8.8670168312699971E-2</v>
      </c>
      <c r="DI227" s="353"/>
      <c r="DJ227" s="353"/>
      <c r="DK227" s="353"/>
      <c r="DL227" s="353"/>
      <c r="DM227" s="353"/>
      <c r="DN227" s="353"/>
      <c r="DO227" s="353"/>
      <c r="DP227" s="353"/>
      <c r="DQ227" s="353"/>
      <c r="DR227" s="353"/>
      <c r="DS227" s="353"/>
      <c r="DT227" s="353"/>
      <c r="DU227" s="353"/>
      <c r="DV227" s="353"/>
      <c r="DW227" s="353"/>
      <c r="DX227" s="353"/>
      <c r="DY227" s="353"/>
      <c r="DZ227" s="353"/>
      <c r="EA227" s="353"/>
      <c r="EB227" s="353"/>
      <c r="EC227" s="353"/>
      <c r="ED227" s="353"/>
      <c r="EE227" s="353"/>
      <c r="EF227" s="353"/>
      <c r="EG227" s="353"/>
      <c r="EH227" s="353"/>
      <c r="EI227" s="353"/>
      <c r="EJ227" s="353"/>
      <c r="EK227" s="353"/>
      <c r="EL227" s="353"/>
      <c r="EM227" s="353"/>
      <c r="EN227" s="353"/>
      <c r="EO227" s="353"/>
      <c r="EP227" s="353"/>
      <c r="EQ227" s="353"/>
      <c r="ER227" s="353"/>
      <c r="ES227" s="353"/>
      <c r="ET227" s="353"/>
      <c r="EU227" s="353"/>
      <c r="EV227" s="353"/>
      <c r="EW227" s="353"/>
      <c r="EX227" s="353"/>
      <c r="EY227" s="353"/>
      <c r="EZ227" s="353"/>
      <c r="FA227" s="353"/>
      <c r="FB227" s="353"/>
      <c r="FC227" s="353"/>
      <c r="FD227" s="353"/>
      <c r="FE227" s="353"/>
      <c r="FF227" s="353"/>
      <c r="FG227" s="353"/>
      <c r="FH227" s="353"/>
      <c r="FI227" s="353"/>
      <c r="FJ227" s="353"/>
      <c r="FK227" s="353"/>
      <c r="FL227" s="353"/>
      <c r="FM227" s="353"/>
      <c r="FN227" s="353"/>
      <c r="FO227" s="353"/>
      <c r="FP227" s="353"/>
      <c r="FQ227" s="353"/>
    </row>
    <row r="228" spans="1:173" s="351" customFormat="1">
      <c r="A228" s="351" t="s">
        <v>54</v>
      </c>
      <c r="B228" s="351">
        <v>2024</v>
      </c>
      <c r="C228" s="411" t="s">
        <v>60</v>
      </c>
      <c r="F228" s="370"/>
      <c r="G228" s="435"/>
      <c r="H228" s="435"/>
      <c r="I228" s="435"/>
      <c r="J228" s="435"/>
      <c r="K228" s="435"/>
      <c r="L228" s="435"/>
      <c r="M228" s="435"/>
      <c r="N228" s="435"/>
      <c r="O228" s="435"/>
      <c r="P228" s="435"/>
      <c r="Q228" s="435"/>
      <c r="R228" s="435"/>
      <c r="S228" s="435"/>
      <c r="T228" s="435"/>
      <c r="U228" s="414">
        <f>'2015 Program Invest Amort Def'!BT107</f>
        <v>246.66666666418314</v>
      </c>
      <c r="V228" s="414">
        <f>'2015 Program Invest Amort Def'!BT107</f>
        <v>246.66666666418314</v>
      </c>
      <c r="W228" s="414">
        <f>'2015 Program Invest Amort Def'!EG107</f>
        <v>-69.338000000054222</v>
      </c>
      <c r="X228" s="397">
        <f t="shared" si="321"/>
        <v>177.32866666412892</v>
      </c>
      <c r="Y228" s="435"/>
      <c r="Z228" s="394">
        <f>'Schedule NJNG-3 - Page 3'!G$185</f>
        <v>119194658.66519555</v>
      </c>
      <c r="AA228" s="480">
        <f>'Schedule NJNG-3 - Page 2'!E110</f>
        <v>2.3300000000000001E-2</v>
      </c>
      <c r="AB228" s="439">
        <f t="shared" si="307"/>
        <v>2777235.5468990565</v>
      </c>
      <c r="BA228" s="412">
        <f>'RGGI II Invest Amort Def'!AG153</f>
        <v>0</v>
      </c>
      <c r="BB228" s="353"/>
      <c r="BC228" s="412">
        <f>(L225+N225)*'Capital Structure '!$H$21/12</f>
        <v>0</v>
      </c>
      <c r="BD228" s="412">
        <f>(L225+N225)*'Capital Structure '!$W$34/12</f>
        <v>0</v>
      </c>
      <c r="BE228" s="412">
        <f>(L225+N225)*'Capital Structure '!$H$18/12</f>
        <v>0</v>
      </c>
      <c r="BF228" s="412">
        <f>'RGGI II On Bill Fin''g'!L150*'Capital Structure '!$W$34/12</f>
        <v>0</v>
      </c>
      <c r="BG228" s="412">
        <f>'RGGI II On Bill Fin''g'!L150*('Capital Structure '!$H$18+'Capital Structure '!$H$21)/12</f>
        <v>0</v>
      </c>
      <c r="BH228" s="415">
        <f t="shared" si="322"/>
        <v>0</v>
      </c>
      <c r="BI228" s="353"/>
      <c r="BJ228" s="437">
        <v>0</v>
      </c>
      <c r="BK228" s="431">
        <f t="shared" si="323"/>
        <v>0</v>
      </c>
      <c r="BM228" s="412">
        <f>'2013 program Invest Amort Def'!AW132</f>
        <v>0</v>
      </c>
      <c r="BN228" s="353"/>
      <c r="BO228" s="412">
        <f>(S228)*'Capital Structure '!$J$21/12</f>
        <v>0</v>
      </c>
      <c r="BP228" s="412">
        <f>(S228)*'Capital Structure '!$V$34/12</f>
        <v>0</v>
      </c>
      <c r="BQ228" s="412">
        <f>(S228)*'Capital Structure '!$J$18/12</f>
        <v>0</v>
      </c>
      <c r="BR228" s="412">
        <f>('2013 program 10 yr On Bill Fin'!M132+'2013 program 5 yr On Bill Fin'!L130+'2013 program 2 yr On Bill Fin'!M120)*'Capital Structure '!$V$34/12</f>
        <v>1793.0111897133027</v>
      </c>
      <c r="BS228" s="412">
        <f>('2013 program 10 yr On Bill Fin'!M132+'2013 program 5 yr On Bill Fin'!L130+'2013 program 2 yr On Bill Fin'!M123)*('Capital Structure '!$J$18+'Capital Structure '!$J$21)/12</f>
        <v>6065.9963675008185</v>
      </c>
      <c r="BT228" s="431">
        <f t="shared" si="324"/>
        <v>7859.0075572141213</v>
      </c>
      <c r="BU228" s="353"/>
      <c r="BV228" s="438">
        <v>0</v>
      </c>
      <c r="BW228" s="431">
        <f t="shared" si="325"/>
        <v>7859.0075572141213</v>
      </c>
      <c r="BY228" s="412">
        <f>'2015 Program Invest Amort Def'!BR107</f>
        <v>145</v>
      </c>
      <c r="BZ228" s="353"/>
      <c r="CA228" s="412">
        <f>X228*'Capital Structure '!$T$21/12</f>
        <v>0.24471355999649788</v>
      </c>
      <c r="CB228" s="412">
        <f>(X228)*'Capital Structure '!$T$34/12</f>
        <v>0.29954015999571332</v>
      </c>
      <c r="CC228" s="412">
        <f>(X228)*'Capital Structure '!$T$18/12</f>
        <v>0.76605983998903693</v>
      </c>
      <c r="CD228" s="412">
        <f>('2015 Program 10-Year OBRP'!P107+'2015 Program 7-Year OBRP'!M107+'2015 Program 5-Year OBRP'!K107+'2015 Program 3-Year OBRP'!K107)*('Capital Structure '!$T$34/12)</f>
        <v>6918.7939211853836</v>
      </c>
      <c r="CE228" s="412">
        <f>('2015 Program 10-Year OBRP'!P110+'2015 Program 7-Year OBRP'!M110+'2015 Program 5-Year OBRP'!K110+'2015 Program 3-Year OBRP'!K107)*(('Capital Structure '!$T$21/12)+('Capital Structure '!$T$18/12))</f>
        <v>20136.426249285727</v>
      </c>
      <c r="CF228" s="431">
        <f t="shared" si="326"/>
        <v>27056.530484031093</v>
      </c>
      <c r="CG228" s="373"/>
      <c r="CH228" s="353"/>
      <c r="CI228" s="353"/>
      <c r="CJ228" s="431">
        <f t="shared" si="327"/>
        <v>27201.530484031093</v>
      </c>
      <c r="CL228" s="431">
        <f>'2018 SUMMARY'!Q87</f>
        <v>940811.12014354113</v>
      </c>
      <c r="CM228" s="431"/>
      <c r="CN228" s="431">
        <f>'2018 SUMMARY'!S87</f>
        <v>54527.606909268725</v>
      </c>
      <c r="CO228" s="431">
        <f>'2018 SUMMARY'!T87</f>
        <v>66744.188993938311</v>
      </c>
      <c r="CP228" s="431">
        <f>'2018 SUMMARY'!U87</f>
        <v>170695.11728118904</v>
      </c>
      <c r="CQ228" s="431">
        <f>'2018 SUMMARY'!V87</f>
        <v>40755.135365698683</v>
      </c>
      <c r="CR228" s="431">
        <f>'2018 SUMMARY'!W87</f>
        <v>137524.82051504377</v>
      </c>
      <c r="CS228" s="431">
        <f t="shared" si="328"/>
        <v>470246.86906513851</v>
      </c>
      <c r="CT228" s="431"/>
      <c r="CU228" s="431"/>
      <c r="CV228" s="431">
        <v>1000</v>
      </c>
      <c r="CW228" s="431">
        <f t="shared" si="329"/>
        <v>1412057.9892086796</v>
      </c>
      <c r="CY228" s="412">
        <f t="shared" si="334"/>
        <v>-1330117.0196491317</v>
      </c>
      <c r="CZ228" s="412">
        <f t="shared" si="335"/>
        <v>-3848221.412880573</v>
      </c>
      <c r="DA228" s="412">
        <f t="shared" si="336"/>
        <v>-2288375.8110069633</v>
      </c>
      <c r="DB228" s="417">
        <f t="shared" si="337"/>
        <v>4.7989999999999998E-2</v>
      </c>
      <c r="DC228" s="434">
        <f t="shared" si="338"/>
        <v>-9151.5962641853457</v>
      </c>
      <c r="DE228" s="353"/>
      <c r="DF228" s="353"/>
      <c r="DG228" s="420">
        <f t="shared" si="319"/>
        <v>6.8400000000000002E-2</v>
      </c>
      <c r="DH228" s="420">
        <f t="shared" si="320"/>
        <v>8.8670168312699957E-2</v>
      </c>
      <c r="DI228" s="353"/>
      <c r="DJ228" s="353"/>
      <c r="DK228" s="353"/>
      <c r="DL228" s="353"/>
      <c r="DM228" s="353"/>
      <c r="DN228" s="353"/>
      <c r="DO228" s="353"/>
      <c r="DP228" s="353"/>
      <c r="DQ228" s="353"/>
      <c r="DR228" s="353"/>
      <c r="DS228" s="353"/>
      <c r="DT228" s="353"/>
      <c r="DU228" s="353"/>
      <c r="DV228" s="353"/>
      <c r="DW228" s="353"/>
      <c r="DX228" s="353"/>
      <c r="DY228" s="353"/>
      <c r="DZ228" s="353"/>
      <c r="EA228" s="353"/>
      <c r="EB228" s="353"/>
      <c r="EC228" s="353"/>
      <c r="ED228" s="353"/>
      <c r="EE228" s="353"/>
      <c r="EF228" s="353"/>
      <c r="EG228" s="353"/>
      <c r="EH228" s="353"/>
      <c r="EI228" s="353"/>
      <c r="EJ228" s="353"/>
      <c r="EK228" s="353"/>
      <c r="EL228" s="353"/>
      <c r="EM228" s="353"/>
      <c r="EN228" s="353"/>
      <c r="EO228" s="353"/>
      <c r="EP228" s="353"/>
      <c r="EQ228" s="353"/>
      <c r="ER228" s="353"/>
      <c r="ES228" s="353"/>
      <c r="ET228" s="353"/>
      <c r="EU228" s="353"/>
      <c r="EV228" s="353"/>
      <c r="EW228" s="353"/>
      <c r="EX228" s="353"/>
      <c r="EY228" s="353"/>
      <c r="EZ228" s="353"/>
      <c r="FA228" s="353"/>
      <c r="FB228" s="353"/>
      <c r="FC228" s="353"/>
      <c r="FD228" s="353"/>
      <c r="FE228" s="353"/>
      <c r="FF228" s="353"/>
      <c r="FG228" s="353"/>
      <c r="FH228" s="353"/>
      <c r="FI228" s="353"/>
      <c r="FJ228" s="353"/>
      <c r="FK228" s="353"/>
      <c r="FL228" s="353"/>
      <c r="FM228" s="353"/>
      <c r="FN228" s="353"/>
      <c r="FO228" s="353"/>
      <c r="FP228" s="353"/>
      <c r="FQ228" s="353"/>
    </row>
    <row r="229" spans="1:173" s="351" customFormat="1">
      <c r="A229" s="351" t="s">
        <v>55</v>
      </c>
      <c r="B229" s="351">
        <v>2024</v>
      </c>
      <c r="C229" s="411" t="s">
        <v>60</v>
      </c>
      <c r="F229" s="370"/>
      <c r="G229" s="435"/>
      <c r="H229" s="435"/>
      <c r="I229" s="435"/>
      <c r="J229" s="435"/>
      <c r="K229" s="435"/>
      <c r="L229" s="435"/>
      <c r="M229" s="435"/>
      <c r="N229" s="435"/>
      <c r="O229" s="435"/>
      <c r="P229" s="435"/>
      <c r="Q229" s="435"/>
      <c r="R229" s="435"/>
      <c r="S229" s="435"/>
      <c r="T229" s="435"/>
      <c r="U229" s="414">
        <f>'2015 Program Invest Amort Def'!BT108</f>
        <v>193.33333333116025</v>
      </c>
      <c r="V229" s="414">
        <f>'2015 Program Invest Amort Def'!BT108</f>
        <v>193.33333333116025</v>
      </c>
      <c r="W229" s="414">
        <f>'2015 Program Invest Amort Def'!EG108</f>
        <v>0</v>
      </c>
      <c r="X229" s="397">
        <f t="shared" si="321"/>
        <v>193.33333333116025</v>
      </c>
      <c r="Y229" s="435"/>
      <c r="Z229" s="394">
        <f>'Schedule NJNG-3 - Page 3'!H$185</f>
        <v>95397643.718969241</v>
      </c>
      <c r="AA229" s="480">
        <f>'Schedule NJNG-3 - Page 2'!E111</f>
        <v>2.3300000000000001E-2</v>
      </c>
      <c r="AB229" s="439">
        <f t="shared" si="307"/>
        <v>2222765.0986519833</v>
      </c>
      <c r="BA229" s="412">
        <f>'RGGI II Invest Amort Def'!AG154</f>
        <v>0</v>
      </c>
      <c r="BB229" s="353"/>
      <c r="BC229" s="412">
        <f>(L226+N226)*'Capital Structure '!$H$21/12</f>
        <v>0</v>
      </c>
      <c r="BD229" s="412">
        <f>(L226+N226)*'Capital Structure '!$W$34/12</f>
        <v>0</v>
      </c>
      <c r="BE229" s="412">
        <f>(L226+N226)*'Capital Structure '!$H$18/12</f>
        <v>0</v>
      </c>
      <c r="BF229" s="412">
        <f>'RGGI II On Bill Fin''g'!L151*'Capital Structure '!$W$34/12</f>
        <v>0</v>
      </c>
      <c r="BG229" s="412">
        <f>'RGGI II On Bill Fin''g'!L151*('Capital Structure '!$H$18+'Capital Structure '!$H$21)/12</f>
        <v>0</v>
      </c>
      <c r="BH229" s="415">
        <f t="shared" si="322"/>
        <v>0</v>
      </c>
      <c r="BI229" s="353"/>
      <c r="BJ229" s="437">
        <v>0</v>
      </c>
      <c r="BK229" s="431">
        <f t="shared" si="323"/>
        <v>0</v>
      </c>
      <c r="BM229" s="412">
        <f>'2013 program Invest Amort Def'!AW133</f>
        <v>0</v>
      </c>
      <c r="BN229" s="353"/>
      <c r="BO229" s="412">
        <f>(S229)*'Capital Structure '!$J$21/12</f>
        <v>0</v>
      </c>
      <c r="BP229" s="412">
        <f>(S229)*'Capital Structure '!$V$34/12</f>
        <v>0</v>
      </c>
      <c r="BQ229" s="412">
        <f>(S229)*'Capital Structure '!$J$18/12</f>
        <v>0</v>
      </c>
      <c r="BR229" s="412">
        <f>('2013 program 10 yr On Bill Fin'!M133+'2013 program 5 yr On Bill Fin'!L131+'2013 program 2 yr On Bill Fin'!M121)*'Capital Structure '!$V$34/12</f>
        <v>1302.3805132621808</v>
      </c>
      <c r="BS229" s="412">
        <f>('2013 program 10 yr On Bill Fin'!M133+'2013 program 5 yr On Bill Fin'!L131+'2013 program 2 yr On Bill Fin'!M124)*('Capital Structure '!$J$18+'Capital Structure '!$J$21)/12</f>
        <v>4406.1272500008572</v>
      </c>
      <c r="BT229" s="431">
        <f t="shared" si="324"/>
        <v>5708.5077632630382</v>
      </c>
      <c r="BU229" s="353"/>
      <c r="BV229" s="438">
        <v>0</v>
      </c>
      <c r="BW229" s="431">
        <f t="shared" si="325"/>
        <v>5708.5077632630382</v>
      </c>
      <c r="BY229" s="412">
        <f>'2015 Program Invest Amort Def'!BR108</f>
        <v>53.333333333333336</v>
      </c>
      <c r="BZ229" s="353"/>
      <c r="CA229" s="412">
        <f>X229*'Capital Structure '!$T$21/12</f>
        <v>0.2667999999970011</v>
      </c>
      <c r="CB229" s="412">
        <f>(X229)*'Capital Structure '!$T$34/12</f>
        <v>0.326574933923162</v>
      </c>
      <c r="CC229" s="412">
        <f>(X229)*'Capital Structure '!$T$18/12</f>
        <v>0.83519999999061234</v>
      </c>
      <c r="CD229" s="412">
        <f>('2015 Program 10-Year OBRP'!P108+'2015 Program 7-Year OBRP'!M108+'2015 Program 5-Year OBRP'!K108+'2015 Program 3-Year OBRP'!K108)*('Capital Structure '!$T$34/12)</f>
        <v>6592.7087688200818</v>
      </c>
      <c r="CE229" s="412">
        <f>('2015 Program 10-Year OBRP'!P111+'2015 Program 7-Year OBRP'!M111+'2015 Program 5-Year OBRP'!K111+'2015 Program 3-Year OBRP'!K108)*(('Capital Structure '!$T$21/12)+('Capital Structure '!$T$18/12))</f>
        <v>19114.956935000017</v>
      </c>
      <c r="CF229" s="431">
        <f t="shared" si="326"/>
        <v>25709.094278754008</v>
      </c>
      <c r="CG229" s="373"/>
      <c r="CH229" s="353"/>
      <c r="CI229" s="353"/>
      <c r="CJ229" s="431">
        <f t="shared" si="327"/>
        <v>25762.42761208734</v>
      </c>
      <c r="CL229" s="431">
        <f>'2018 SUMMARY'!Q88</f>
        <v>955359.77907211264</v>
      </c>
      <c r="CM229" s="431"/>
      <c r="CN229" s="431">
        <f>'2018 SUMMARY'!S88</f>
        <v>54659.943901610139</v>
      </c>
      <c r="CO229" s="431">
        <f>'2018 SUMMARY'!T88</f>
        <v>66906.175292776286</v>
      </c>
      <c r="CP229" s="431">
        <f>'2018 SUMMARY'!U88</f>
        <v>171109.38960504043</v>
      </c>
      <c r="CQ229" s="431">
        <f>'2018 SUMMARY'!V88</f>
        <v>41285.881433682771</v>
      </c>
      <c r="CR229" s="431">
        <f>'2018 SUMMARY'!W88</f>
        <v>139315.77905520381</v>
      </c>
      <c r="CS229" s="431">
        <f t="shared" si="328"/>
        <v>473277.16928831337</v>
      </c>
      <c r="CT229" s="431"/>
      <c r="CU229" s="431"/>
      <c r="CV229" s="431">
        <v>1000</v>
      </c>
      <c r="CW229" s="431">
        <f t="shared" si="329"/>
        <v>1429636.9483604259</v>
      </c>
      <c r="CY229" s="412">
        <f t="shared" si="334"/>
        <v>-761657.21491620713</v>
      </c>
      <c r="CZ229" s="412">
        <f t="shared" si="335"/>
        <v>-4609878.6277967803</v>
      </c>
      <c r="DA229" s="412">
        <f t="shared" si="336"/>
        <v>-3040264.0596214747</v>
      </c>
      <c r="DB229" s="417">
        <f t="shared" si="337"/>
        <v>4.7989999999999998E-2</v>
      </c>
      <c r="DC229" s="434">
        <f t="shared" si="338"/>
        <v>-12158.52268510288</v>
      </c>
      <c r="DE229" s="353"/>
      <c r="DF229" s="353"/>
      <c r="DG229" s="420">
        <f t="shared" si="319"/>
        <v>6.8399999999999989E-2</v>
      </c>
      <c r="DH229" s="420">
        <f t="shared" si="320"/>
        <v>8.8670168312699957E-2</v>
      </c>
      <c r="DI229" s="353"/>
      <c r="DJ229" s="353"/>
      <c r="DK229" s="353"/>
      <c r="DL229" s="353"/>
      <c r="DM229" s="353"/>
      <c r="DN229" s="353"/>
      <c r="DO229" s="353"/>
      <c r="DP229" s="353"/>
      <c r="DQ229" s="353"/>
      <c r="DR229" s="353"/>
      <c r="DS229" s="353"/>
      <c r="DT229" s="353"/>
      <c r="DU229" s="353"/>
      <c r="DV229" s="353"/>
      <c r="DW229" s="353"/>
      <c r="DX229" s="353"/>
      <c r="DY229" s="353"/>
      <c r="DZ229" s="353"/>
      <c r="EA229" s="353"/>
      <c r="EB229" s="353"/>
      <c r="EC229" s="353"/>
      <c r="ED229" s="353"/>
      <c r="EE229" s="353"/>
      <c r="EF229" s="353"/>
      <c r="EG229" s="353"/>
      <c r="EH229" s="353"/>
      <c r="EI229" s="353"/>
      <c r="EJ229" s="353"/>
      <c r="EK229" s="353"/>
      <c r="EL229" s="353"/>
      <c r="EM229" s="353"/>
      <c r="EN229" s="353"/>
      <c r="EO229" s="353"/>
      <c r="EP229" s="353"/>
      <c r="EQ229" s="353"/>
      <c r="ER229" s="353"/>
      <c r="ES229" s="353"/>
      <c r="ET229" s="353"/>
      <c r="EU229" s="353"/>
      <c r="EV229" s="353"/>
      <c r="EW229" s="353"/>
      <c r="EX229" s="353"/>
      <c r="EY229" s="353"/>
      <c r="EZ229" s="353"/>
      <c r="FA229" s="353"/>
      <c r="FB229" s="353"/>
      <c r="FC229" s="353"/>
      <c r="FD229" s="353"/>
      <c r="FE229" s="353"/>
      <c r="FF229" s="353"/>
      <c r="FG229" s="353"/>
      <c r="FH229" s="353"/>
      <c r="FI229" s="353"/>
      <c r="FJ229" s="353"/>
      <c r="FK229" s="353"/>
      <c r="FL229" s="353"/>
      <c r="FM229" s="353"/>
      <c r="FN229" s="353"/>
      <c r="FO229" s="353"/>
      <c r="FP229" s="353"/>
      <c r="FQ229" s="353"/>
    </row>
    <row r="230" spans="1:173" s="351" customFormat="1">
      <c r="A230" s="351" t="s">
        <v>56</v>
      </c>
      <c r="B230" s="351">
        <v>2024</v>
      </c>
      <c r="C230" s="411" t="s">
        <v>60</v>
      </c>
      <c r="F230" s="370"/>
      <c r="G230" s="435"/>
      <c r="H230" s="435"/>
      <c r="I230" s="435"/>
      <c r="J230" s="435"/>
      <c r="K230" s="435"/>
      <c r="L230" s="435"/>
      <c r="M230" s="435"/>
      <c r="N230" s="435"/>
      <c r="O230" s="435"/>
      <c r="P230" s="435"/>
      <c r="Q230" s="435"/>
      <c r="R230" s="435"/>
      <c r="S230" s="435"/>
      <c r="T230" s="435"/>
      <c r="U230" s="414">
        <f>'2015 Program Invest Amort Def'!BT109</f>
        <v>158.33333333116025</v>
      </c>
      <c r="V230" s="414">
        <f>'2015 Program Invest Amort Def'!BT109</f>
        <v>158.33333333116025</v>
      </c>
      <c r="W230" s="414">
        <f>'2015 Program Invest Amort Def'!EG109</f>
        <v>0</v>
      </c>
      <c r="X230" s="397">
        <f t="shared" si="321"/>
        <v>158.33333333116025</v>
      </c>
      <c r="Y230" s="435"/>
      <c r="Z230" s="394">
        <f>'Schedule NJNG-3 - Page 3'!I$185</f>
        <v>53352080.993645065</v>
      </c>
      <c r="AA230" s="480">
        <f>'Schedule NJNG-3 - Page 2'!E112</f>
        <v>2.3300000000000001E-2</v>
      </c>
      <c r="AB230" s="439">
        <f t="shared" si="307"/>
        <v>1243103.4871519301</v>
      </c>
      <c r="BA230" s="412">
        <f>'RGGI II Invest Amort Def'!AG155</f>
        <v>0</v>
      </c>
      <c r="BB230" s="353"/>
      <c r="BC230" s="412">
        <f>(L227+N227)*'Capital Structure '!$H$21/12</f>
        <v>0</v>
      </c>
      <c r="BD230" s="412">
        <f>(L227+N227)*'Capital Structure '!$W$34/12</f>
        <v>0</v>
      </c>
      <c r="BE230" s="412">
        <f>(L227+N227)*'Capital Structure '!$H$18/12</f>
        <v>0</v>
      </c>
      <c r="BF230" s="412">
        <f>'RGGI II On Bill Fin''g'!L152*'Capital Structure '!$W$34/12</f>
        <v>0</v>
      </c>
      <c r="BG230" s="412">
        <f>'RGGI II On Bill Fin''g'!L152*('Capital Structure '!$H$18+'Capital Structure '!$H$21)/12</f>
        <v>0</v>
      </c>
      <c r="BH230" s="415">
        <f t="shared" si="322"/>
        <v>0</v>
      </c>
      <c r="BI230" s="353"/>
      <c r="BJ230" s="437">
        <v>0</v>
      </c>
      <c r="BK230" s="431">
        <f t="shared" si="323"/>
        <v>0</v>
      </c>
      <c r="BM230" s="412">
        <f>'2013 program Invest Amort Def'!AW134</f>
        <v>0</v>
      </c>
      <c r="BN230" s="353"/>
      <c r="BO230" s="412">
        <f>(S230)*'Capital Structure '!$J$21/12</f>
        <v>0</v>
      </c>
      <c r="BP230" s="412">
        <f>(S230)*'Capital Structure '!$V$34/12</f>
        <v>0</v>
      </c>
      <c r="BQ230" s="412">
        <f>(S230)*'Capital Structure '!$J$18/12</f>
        <v>0</v>
      </c>
      <c r="BR230" s="412">
        <f>('2013 program 10 yr On Bill Fin'!M134+'2013 program 5 yr On Bill Fin'!L132+'2013 program 2 yr On Bill Fin'!M122)*'Capital Structure '!$V$34/12</f>
        <v>811.74983681105903</v>
      </c>
      <c r="BS230" s="412">
        <f>('2013 program 10 yr On Bill Fin'!M134+'2013 program 5 yr On Bill Fin'!L132+'2013 program 2 yr On Bill Fin'!M125)*('Capital Structure '!$J$18+'Capital Structure '!$J$21)/12</f>
        <v>2746.2581325008964</v>
      </c>
      <c r="BT230" s="431">
        <f t="shared" si="324"/>
        <v>3558.0079693119555</v>
      </c>
      <c r="BU230" s="353"/>
      <c r="BV230" s="438">
        <v>0</v>
      </c>
      <c r="BW230" s="431">
        <f t="shared" si="325"/>
        <v>3558.0079693119555</v>
      </c>
      <c r="BY230" s="412">
        <f>'2015 Program Invest Amort Def'!BR109</f>
        <v>35</v>
      </c>
      <c r="BZ230" s="353"/>
      <c r="CA230" s="412">
        <f>X230*'Capital Structure '!$T$21/12</f>
        <v>0.21849999999700112</v>
      </c>
      <c r="CB230" s="412">
        <f>(X230)*'Capital Structure '!$T$34/12</f>
        <v>0.26745360967778709</v>
      </c>
      <c r="CC230" s="412">
        <f>(X230)*'Capital Structure '!$T$18/12</f>
        <v>0.68399999999061223</v>
      </c>
      <c r="CD230" s="412">
        <f>('2015 Program 10-Year OBRP'!P109+'2015 Program 7-Year OBRP'!M109+'2015 Program 5-Year OBRP'!K109+'2015 Program 3-Year OBRP'!K109)*('Capital Structure '!$T$34/12)</f>
        <v>6276.5861335093723</v>
      </c>
      <c r="CE230" s="412">
        <f>('2015 Program 10-Year OBRP'!P112+'2015 Program 7-Year OBRP'!M112+'2015 Program 5-Year OBRP'!K112+'2015 Program 3-Year OBRP'!K109)*(('Capital Structure '!$T$21/12)+('Capital Structure '!$T$18/12))</f>
        <v>18123.200363571446</v>
      </c>
      <c r="CF230" s="431">
        <f t="shared" si="326"/>
        <v>24400.956450690486</v>
      </c>
      <c r="CG230" s="373"/>
      <c r="CH230" s="353"/>
      <c r="CI230" s="353"/>
      <c r="CJ230" s="431">
        <f t="shared" si="327"/>
        <v>24435.956450690486</v>
      </c>
      <c r="CL230" s="431">
        <f>'2018 SUMMARY'!Q89</f>
        <v>955359.77907211264</v>
      </c>
      <c r="CM230" s="431"/>
      <c r="CN230" s="431">
        <f>'2018 SUMMARY'!S89</f>
        <v>53165.912471741423</v>
      </c>
      <c r="CO230" s="431">
        <f>'2018 SUMMARY'!T89</f>
        <v>65077.415114762851</v>
      </c>
      <c r="CP230" s="431">
        <f>'2018 SUMMARY'!U89</f>
        <v>166432.42165066884</v>
      </c>
      <c r="CQ230" s="431">
        <f>'2018 SUMMARY'!V89</f>
        <v>40138.31601196569</v>
      </c>
      <c r="CR230" s="431">
        <f>'2018 SUMMARY'!W89</f>
        <v>135443.41481853049</v>
      </c>
      <c r="CS230" s="431">
        <f t="shared" si="328"/>
        <v>460257.4800676693</v>
      </c>
      <c r="CT230" s="431"/>
      <c r="CU230" s="431"/>
      <c r="CV230" s="431">
        <v>1000</v>
      </c>
      <c r="CW230" s="431">
        <f t="shared" si="329"/>
        <v>1416617.2591397818</v>
      </c>
      <c r="CY230" s="412">
        <f t="shared" si="334"/>
        <v>201507.73640785413</v>
      </c>
      <c r="CZ230" s="412">
        <f t="shared" si="335"/>
        <v>-4408370.8913889267</v>
      </c>
      <c r="DA230" s="412">
        <f t="shared" si="336"/>
        <v>-3241609.7896713023</v>
      </c>
      <c r="DB230" s="417">
        <f t="shared" si="337"/>
        <v>4.7989999999999998E-2</v>
      </c>
      <c r="DC230" s="434">
        <f t="shared" si="338"/>
        <v>-12963.737817193816</v>
      </c>
      <c r="DE230" s="353"/>
      <c r="DF230" s="353"/>
      <c r="DG230" s="420">
        <f t="shared" si="319"/>
        <v>6.8399999999999989E-2</v>
      </c>
      <c r="DH230" s="420">
        <f t="shared" si="320"/>
        <v>8.8670168312699943E-2</v>
      </c>
      <c r="DI230" s="353"/>
      <c r="DJ230" s="353"/>
      <c r="DK230" s="353"/>
      <c r="DL230" s="353"/>
      <c r="DM230" s="353"/>
      <c r="DN230" s="353"/>
      <c r="DO230" s="353"/>
      <c r="DP230" s="353"/>
      <c r="DQ230" s="353"/>
      <c r="DR230" s="353"/>
      <c r="DS230" s="353"/>
      <c r="DT230" s="353"/>
      <c r="DU230" s="353"/>
      <c r="DV230" s="353"/>
      <c r="DW230" s="353"/>
      <c r="DX230" s="353"/>
      <c r="DY230" s="353"/>
      <c r="DZ230" s="353"/>
      <c r="EA230" s="353"/>
      <c r="EB230" s="353"/>
      <c r="EC230" s="353"/>
      <c r="ED230" s="353"/>
      <c r="EE230" s="353"/>
      <c r="EF230" s="353"/>
      <c r="EG230" s="353"/>
      <c r="EH230" s="353"/>
      <c r="EI230" s="353"/>
      <c r="EJ230" s="353"/>
      <c r="EK230" s="353"/>
      <c r="EL230" s="353"/>
      <c r="EM230" s="353"/>
      <c r="EN230" s="353"/>
      <c r="EO230" s="353"/>
      <c r="EP230" s="353"/>
      <c r="EQ230" s="353"/>
      <c r="ER230" s="353"/>
      <c r="ES230" s="353"/>
      <c r="ET230" s="353"/>
      <c r="EU230" s="353"/>
      <c r="EV230" s="353"/>
      <c r="EW230" s="353"/>
      <c r="EX230" s="353"/>
      <c r="EY230" s="353"/>
      <c r="EZ230" s="353"/>
      <c r="FA230" s="353"/>
      <c r="FB230" s="353"/>
      <c r="FC230" s="353"/>
      <c r="FD230" s="353"/>
      <c r="FE230" s="353"/>
      <c r="FF230" s="353"/>
      <c r="FG230" s="353"/>
      <c r="FH230" s="353"/>
      <c r="FI230" s="353"/>
      <c r="FJ230" s="353"/>
      <c r="FK230" s="353"/>
      <c r="FL230" s="353"/>
      <c r="FM230" s="353"/>
      <c r="FN230" s="353"/>
      <c r="FO230" s="353"/>
      <c r="FP230" s="353"/>
      <c r="FQ230" s="353"/>
    </row>
    <row r="231" spans="1:173" s="351" customFormat="1">
      <c r="A231" s="351" t="s">
        <v>57</v>
      </c>
      <c r="B231" s="351">
        <v>2024</v>
      </c>
      <c r="C231" s="411" t="s">
        <v>60</v>
      </c>
      <c r="F231" s="370"/>
      <c r="G231" s="435"/>
      <c r="H231" s="435"/>
      <c r="I231" s="435"/>
      <c r="J231" s="435"/>
      <c r="K231" s="435"/>
      <c r="L231" s="435"/>
      <c r="M231" s="435"/>
      <c r="N231" s="435"/>
      <c r="O231" s="435"/>
      <c r="P231" s="435"/>
      <c r="Q231" s="435"/>
      <c r="R231" s="435"/>
      <c r="S231" s="435"/>
      <c r="T231" s="435"/>
      <c r="U231" s="414">
        <f>'2015 Program Invest Amort Def'!BT110</f>
        <v>131.66666666418314</v>
      </c>
      <c r="V231" s="414">
        <f>'2015 Program Invest Amort Def'!BT110</f>
        <v>131.66666666418314</v>
      </c>
      <c r="W231" s="414">
        <f>'2015 Program Invest Amort Def'!EG110</f>
        <v>0</v>
      </c>
      <c r="X231" s="397">
        <f t="shared" si="321"/>
        <v>131.66666666418314</v>
      </c>
      <c r="Y231" s="435"/>
      <c r="Z231" s="394">
        <f>'Schedule NJNG-3 - Page 3'!J$185</f>
        <v>29953344.407687768</v>
      </c>
      <c r="AA231" s="480">
        <f>'Schedule NJNG-3 - Page 2'!E113</f>
        <v>2.3300000000000001E-2</v>
      </c>
      <c r="AB231" s="439">
        <f t="shared" si="307"/>
        <v>697912.924699125</v>
      </c>
      <c r="BA231" s="412">
        <f>'RGGI II Invest Amort Def'!AG156</f>
        <v>0</v>
      </c>
      <c r="BB231" s="353"/>
      <c r="BC231" s="412">
        <f>(L228+N228)*'Capital Structure '!$H$21/12</f>
        <v>0</v>
      </c>
      <c r="BD231" s="412">
        <f>(L228+N228)*'Capital Structure '!$W$34/12</f>
        <v>0</v>
      </c>
      <c r="BE231" s="412">
        <f>(L228+N228)*'Capital Structure '!$H$18/12</f>
        <v>0</v>
      </c>
      <c r="BF231" s="412">
        <f>'RGGI II On Bill Fin''g'!L153*'Capital Structure '!$W$34/12</f>
        <v>0</v>
      </c>
      <c r="BG231" s="412">
        <f>'RGGI II On Bill Fin''g'!L153*('Capital Structure '!$H$18+'Capital Structure '!$H$21)/12</f>
        <v>0</v>
      </c>
      <c r="BH231" s="415">
        <f t="shared" si="322"/>
        <v>0</v>
      </c>
      <c r="BI231" s="353"/>
      <c r="BJ231" s="437">
        <v>0</v>
      </c>
      <c r="BK231" s="431">
        <f t="shared" si="323"/>
        <v>0</v>
      </c>
      <c r="BM231" s="412">
        <f>'2013 program Invest Amort Def'!AW135</f>
        <v>0</v>
      </c>
      <c r="BN231" s="353"/>
      <c r="BO231" s="412">
        <f>(S231)*'Capital Structure '!$J$21/12</f>
        <v>0</v>
      </c>
      <c r="BP231" s="412">
        <f>(S231)*'Capital Structure '!$V$34/12</f>
        <v>0</v>
      </c>
      <c r="BQ231" s="412">
        <f>(S231)*'Capital Structure '!$J$18/12</f>
        <v>0</v>
      </c>
      <c r="BR231" s="412">
        <f>('2013 program 10 yr On Bill Fin'!M135+'2013 program 5 yr On Bill Fin'!L133+'2013 program 2 yr On Bill Fin'!M123)*'Capital Structure '!$V$34/12</f>
        <v>321.11916035993704</v>
      </c>
      <c r="BS231" s="412">
        <f>('2013 program 10 yr On Bill Fin'!M135+'2013 program 5 yr On Bill Fin'!L133+'2013 program 2 yr On Bill Fin'!M126)*('Capital Structure '!$J$18+'Capital Structure '!$J$21)/12</f>
        <v>1086.3890150009358</v>
      </c>
      <c r="BT231" s="431">
        <f t="shared" si="324"/>
        <v>1407.5081753608729</v>
      </c>
      <c r="BU231" s="353"/>
      <c r="BV231" s="438">
        <v>0</v>
      </c>
      <c r="BW231" s="431">
        <f t="shared" si="325"/>
        <v>1407.5081753608729</v>
      </c>
      <c r="BY231" s="412">
        <f>'2015 Program Invest Amort Def'!BR110</f>
        <v>26.666666666666671</v>
      </c>
      <c r="BZ231" s="353"/>
      <c r="CA231" s="412">
        <f>X231*'Capital Structure '!$T$21/12</f>
        <v>0.18169999999657271</v>
      </c>
      <c r="CB231" s="412">
        <f>(X231)*'Capital Structure '!$T$34/12</f>
        <v>0.22240879120459611</v>
      </c>
      <c r="CC231" s="412">
        <f>(X231)*'Capital Structure '!$T$18/12</f>
        <v>0.56879999998927122</v>
      </c>
      <c r="CD231" s="412">
        <f>('2015 Program 10-Year OBRP'!P110+'2015 Program 7-Year OBRP'!M110+'2015 Program 5-Year OBRP'!K110+'2015 Program 3-Year OBRP'!K110)*('Capital Structure '!$T$34/12)</f>
        <v>5967.3793755744327</v>
      </c>
      <c r="CE231" s="412">
        <f>('2015 Program 10-Year OBRP'!P113+'2015 Program 7-Year OBRP'!M113+'2015 Program 5-Year OBRP'!K113+'2015 Program 3-Year OBRP'!K110)*(('Capital Structure '!$T$21/12)+('Capital Structure '!$T$18/12))</f>
        <v>17160.437249285733</v>
      </c>
      <c r="CF231" s="431">
        <f t="shared" si="326"/>
        <v>23128.789533651354</v>
      </c>
      <c r="CG231" s="373"/>
      <c r="CH231" s="353"/>
      <c r="CI231" s="353"/>
      <c r="CJ231" s="431">
        <f t="shared" si="327"/>
        <v>23155.456200318022</v>
      </c>
      <c r="CL231" s="431">
        <f>'2018 SUMMARY'!Q90</f>
        <v>955359.77907211264</v>
      </c>
      <c r="CM231" s="431"/>
      <c r="CN231" s="431">
        <f>'2018 SUMMARY'!S90</f>
        <v>51738.016367064913</v>
      </c>
      <c r="CO231" s="431">
        <f>'2018 SUMMARY'!T90</f>
        <v>63329.607483431835</v>
      </c>
      <c r="CP231" s="431">
        <f>'2018 SUMMARY'!U90</f>
        <v>161962.48601863801</v>
      </c>
      <c r="CQ231" s="431">
        <f>'2018 SUMMARY'!V90</f>
        <v>39002.822345500739</v>
      </c>
      <c r="CR231" s="431">
        <f>'2018 SUMMARY'!W90</f>
        <v>131611.78571767389</v>
      </c>
      <c r="CS231" s="431">
        <f t="shared" si="328"/>
        <v>447644.71793230937</v>
      </c>
      <c r="CT231" s="431"/>
      <c r="CU231" s="431"/>
      <c r="CV231" s="431">
        <v>1000</v>
      </c>
      <c r="CW231" s="431">
        <f t="shared" si="329"/>
        <v>1404004.4970044219</v>
      </c>
      <c r="CY231" s="412">
        <f t="shared" si="334"/>
        <v>730654.53668097581</v>
      </c>
      <c r="CZ231" s="412">
        <f t="shared" si="335"/>
        <v>-3677716.3547079507</v>
      </c>
      <c r="DA231" s="412">
        <f t="shared" si="336"/>
        <v>-2906544.0606095223</v>
      </c>
      <c r="DB231" s="417">
        <f t="shared" si="337"/>
        <v>4.7989999999999998E-2</v>
      </c>
      <c r="DC231" s="434">
        <f t="shared" si="338"/>
        <v>-11623.754122387581</v>
      </c>
      <c r="DE231" s="353"/>
      <c r="DF231" s="353"/>
      <c r="DG231" s="420">
        <f t="shared" si="319"/>
        <v>6.8400000000000002E-2</v>
      </c>
      <c r="DH231" s="420">
        <f t="shared" si="320"/>
        <v>8.8670168312699957E-2</v>
      </c>
      <c r="DI231" s="353"/>
      <c r="DJ231" s="353"/>
      <c r="DK231" s="353"/>
      <c r="DL231" s="353"/>
      <c r="DM231" s="353"/>
      <c r="DN231" s="353"/>
      <c r="DO231" s="353"/>
      <c r="DP231" s="353"/>
      <c r="DQ231" s="353"/>
      <c r="DR231" s="353"/>
      <c r="DS231" s="353"/>
      <c r="DT231" s="353"/>
      <c r="DU231" s="353"/>
      <c r="DV231" s="353"/>
      <c r="DW231" s="353"/>
      <c r="DX231" s="353"/>
      <c r="DY231" s="353"/>
      <c r="DZ231" s="353"/>
      <c r="EA231" s="353"/>
      <c r="EB231" s="353"/>
      <c r="EC231" s="353"/>
      <c r="ED231" s="353"/>
      <c r="EE231" s="353"/>
      <c r="EF231" s="353"/>
      <c r="EG231" s="353"/>
      <c r="EH231" s="353"/>
      <c r="EI231" s="353"/>
      <c r="EJ231" s="353"/>
      <c r="EK231" s="353"/>
      <c r="EL231" s="353"/>
      <c r="EM231" s="353"/>
      <c r="EN231" s="353"/>
      <c r="EO231" s="353"/>
      <c r="EP231" s="353"/>
      <c r="EQ231" s="353"/>
      <c r="ER231" s="353"/>
      <c r="ES231" s="353"/>
      <c r="ET231" s="353"/>
      <c r="EU231" s="353"/>
      <c r="EV231" s="353"/>
      <c r="EW231" s="353"/>
      <c r="EX231" s="353"/>
      <c r="EY231" s="353"/>
      <c r="EZ231" s="353"/>
      <c r="FA231" s="353"/>
      <c r="FB231" s="353"/>
      <c r="FC231" s="353"/>
      <c r="FD231" s="353"/>
      <c r="FE231" s="353"/>
      <c r="FF231" s="353"/>
      <c r="FG231" s="353"/>
      <c r="FH231" s="353"/>
      <c r="FI231" s="353"/>
      <c r="FJ231" s="353"/>
      <c r="FK231" s="353"/>
      <c r="FL231" s="353"/>
      <c r="FM231" s="353"/>
      <c r="FN231" s="353"/>
      <c r="FO231" s="353"/>
      <c r="FP231" s="353"/>
      <c r="FQ231" s="353"/>
    </row>
    <row r="232" spans="1:173" s="351" customFormat="1">
      <c r="A232" s="351" t="s">
        <v>58</v>
      </c>
      <c r="B232" s="351">
        <v>2024</v>
      </c>
      <c r="C232" s="411" t="s">
        <v>60</v>
      </c>
      <c r="F232" s="370"/>
      <c r="G232" s="435"/>
      <c r="H232" s="435"/>
      <c r="I232" s="435"/>
      <c r="J232" s="435"/>
      <c r="K232" s="435"/>
      <c r="L232" s="435"/>
      <c r="M232" s="435"/>
      <c r="N232" s="435"/>
      <c r="O232" s="435"/>
      <c r="P232" s="435"/>
      <c r="Q232" s="435"/>
      <c r="R232" s="435"/>
      <c r="S232" s="435"/>
      <c r="T232" s="435"/>
      <c r="U232" s="414">
        <f>'2015 Program Invest Amort Def'!BT111</f>
        <v>104.99999999720603</v>
      </c>
      <c r="V232" s="414">
        <f>'2015 Program Invest Amort Def'!BT111</f>
        <v>104.99999999720603</v>
      </c>
      <c r="W232" s="414">
        <f>'2015 Program Invest Amort Def'!EG111</f>
        <v>0</v>
      </c>
      <c r="X232" s="397">
        <f t="shared" si="321"/>
        <v>104.99999999720603</v>
      </c>
      <c r="Y232" s="435"/>
      <c r="Z232" s="394">
        <f>'Schedule NJNG-3 - Page 3'!K$185</f>
        <v>20760803.046001889</v>
      </c>
      <c r="AA232" s="480">
        <f>'Schedule NJNG-3 - Page 2'!E114</f>
        <v>2.3300000000000001E-2</v>
      </c>
      <c r="AB232" s="439">
        <f t="shared" si="307"/>
        <v>483726.71097184403</v>
      </c>
      <c r="BA232" s="412">
        <f>'RGGI II Invest Amort Def'!AG157</f>
        <v>0</v>
      </c>
      <c r="BB232" s="353"/>
      <c r="BC232" s="412">
        <f>(L229+N229)*'Capital Structure '!$H$21/12</f>
        <v>0</v>
      </c>
      <c r="BD232" s="412">
        <f>(L229+N229)*'Capital Structure '!$W$34/12</f>
        <v>0</v>
      </c>
      <c r="BE232" s="412">
        <f>(L229+N229)*'Capital Structure '!$H$18/12</f>
        <v>0</v>
      </c>
      <c r="BF232" s="412">
        <f>'RGGI II On Bill Fin''g'!L154*'Capital Structure '!$W$34/12</f>
        <v>0</v>
      </c>
      <c r="BG232" s="412">
        <f>'RGGI II On Bill Fin''g'!L154*('Capital Structure '!$H$18+'Capital Structure '!$H$21)/12</f>
        <v>0</v>
      </c>
      <c r="BH232" s="415">
        <f t="shared" si="322"/>
        <v>0</v>
      </c>
      <c r="BI232" s="353"/>
      <c r="BJ232" s="437">
        <v>0</v>
      </c>
      <c r="BK232" s="431">
        <f t="shared" si="323"/>
        <v>0</v>
      </c>
      <c r="BM232" s="412">
        <f>'2013 program Invest Amort Def'!AW136</f>
        <v>0</v>
      </c>
      <c r="BN232" s="353"/>
      <c r="BO232" s="412">
        <f>(S232)*'Capital Structure '!$J$21/12</f>
        <v>0</v>
      </c>
      <c r="BP232" s="412">
        <f>(S232)*'Capital Structure '!$V$34/12</f>
        <v>0</v>
      </c>
      <c r="BQ232" s="412">
        <f>(S232)*'Capital Structure '!$J$18/12</f>
        <v>0</v>
      </c>
      <c r="BR232" s="412">
        <f>('2013 program 10 yr On Bill Fin'!M136+'2013 program 5 yr On Bill Fin'!L134+'2013 program 2 yr On Bill Fin'!M124)*'Capital Structure '!$V$34/12</f>
        <v>-169.5115160911848</v>
      </c>
      <c r="BS232" s="412">
        <f>('2013 program 10 yr On Bill Fin'!M136+'2013 program 5 yr On Bill Fin'!L134+'2013 program 2 yr On Bill Fin'!M127)*('Capital Structure '!$J$18+'Capital Structure '!$J$21)/12</f>
        <v>-573.48010249902507</v>
      </c>
      <c r="BT232" s="431">
        <f t="shared" si="324"/>
        <v>-742.9916185902099</v>
      </c>
      <c r="BU232" s="353"/>
      <c r="BV232" s="438">
        <v>0</v>
      </c>
      <c r="BW232" s="431">
        <f t="shared" si="325"/>
        <v>-742.9916185902099</v>
      </c>
      <c r="BY232" s="412">
        <f>'2015 Program Invest Amort Def'!BR111</f>
        <v>26.666666666666671</v>
      </c>
      <c r="BZ232" s="353"/>
      <c r="CA232" s="412">
        <f>X232*'Capital Structure '!$T$21/12</f>
        <v>0.14489999999614431</v>
      </c>
      <c r="CB232" s="412">
        <f>(X232)*'Capital Structure '!$T$34/12</f>
        <v>0.17736397273140514</v>
      </c>
      <c r="CC232" s="412">
        <f>(X232)*'Capital Structure '!$T$18/12</f>
        <v>0.4535999999879301</v>
      </c>
      <c r="CD232" s="412">
        <f>('2015 Program 10-Year OBRP'!P111+'2015 Program 7-Year OBRP'!M111+'2015 Program 5-Year OBRP'!K111+'2015 Program 3-Year OBRP'!K111)*('Capital Structure '!$T$34/12)</f>
        <v>5664.6695082231245</v>
      </c>
      <c r="CE232" s="412">
        <f>('2015 Program 10-Year OBRP'!P114+'2015 Program 7-Year OBRP'!M114+'2015 Program 5-Year OBRP'!K114+'2015 Program 3-Year OBRP'!K111)*(('Capital Structure '!$T$21/12)+('Capital Structure '!$T$18/12))</f>
        <v>16223.18428142859</v>
      </c>
      <c r="CF232" s="431">
        <f t="shared" si="326"/>
        <v>21888.62965362443</v>
      </c>
      <c r="CG232" s="373"/>
      <c r="CH232" s="353"/>
      <c r="CI232" s="353"/>
      <c r="CJ232" s="431">
        <f t="shared" si="327"/>
        <v>21915.296320291098</v>
      </c>
      <c r="CL232" s="431">
        <f>'2018 SUMMARY'!Q91</f>
        <v>955359.77907211264</v>
      </c>
      <c r="CM232" s="431"/>
      <c r="CN232" s="431">
        <f>'2018 SUMMARY'!S91</f>
        <v>50353.86794500309</v>
      </c>
      <c r="CO232" s="431">
        <f>'2018 SUMMARY'!T91</f>
        <v>61635.348939654585</v>
      </c>
      <c r="CP232" s="431">
        <f>'2018 SUMMARY'!U91</f>
        <v>157629.49965392271</v>
      </c>
      <c r="CQ232" s="431">
        <f>'2018 SUMMARY'!V91</f>
        <v>37880.821394295213</v>
      </c>
      <c r="CR232" s="431">
        <f>'2018 SUMMARY'!W91</f>
        <v>127825.68666420058</v>
      </c>
      <c r="CS232" s="431">
        <f t="shared" si="328"/>
        <v>435325.22459707613</v>
      </c>
      <c r="CT232" s="431"/>
      <c r="CU232" s="431"/>
      <c r="CV232" s="431">
        <v>1000</v>
      </c>
      <c r="CW232" s="431">
        <f t="shared" si="329"/>
        <v>1391685.0036691888</v>
      </c>
      <c r="CY232" s="412">
        <f t="shared" si="334"/>
        <v>929130.5973990456</v>
      </c>
      <c r="CZ232" s="412">
        <f t="shared" si="335"/>
        <v>-2748585.757308905</v>
      </c>
      <c r="DA232" s="412">
        <f t="shared" si="336"/>
        <v>-2309934.2941644588</v>
      </c>
      <c r="DB232" s="417">
        <f t="shared" si="337"/>
        <v>4.7989999999999998E-2</v>
      </c>
      <c r="DC232" s="434">
        <f t="shared" si="338"/>
        <v>-9237.8122314126977</v>
      </c>
      <c r="DE232" s="353"/>
      <c r="DF232" s="353"/>
      <c r="DG232" s="420">
        <f t="shared" si="319"/>
        <v>6.8400000000000002E-2</v>
      </c>
      <c r="DH232" s="420">
        <f t="shared" si="320"/>
        <v>8.8670168312699971E-2</v>
      </c>
      <c r="DI232" s="353"/>
      <c r="DJ232" s="353"/>
      <c r="DK232" s="353"/>
      <c r="DL232" s="353"/>
      <c r="DM232" s="353"/>
      <c r="DN232" s="353"/>
      <c r="DO232" s="353"/>
      <c r="DP232" s="353"/>
      <c r="DQ232" s="353"/>
      <c r="DR232" s="353"/>
      <c r="DS232" s="353"/>
      <c r="DT232" s="353"/>
      <c r="DU232" s="353"/>
      <c r="DV232" s="353"/>
      <c r="DW232" s="353"/>
      <c r="DX232" s="353"/>
      <c r="DY232" s="353"/>
      <c r="DZ232" s="353"/>
      <c r="EA232" s="353"/>
      <c r="EB232" s="353"/>
      <c r="EC232" s="353"/>
      <c r="ED232" s="353"/>
      <c r="EE232" s="353"/>
      <c r="EF232" s="353"/>
      <c r="EG232" s="353"/>
      <c r="EH232" s="353"/>
      <c r="EI232" s="353"/>
      <c r="EJ232" s="353"/>
      <c r="EK232" s="353"/>
      <c r="EL232" s="353"/>
      <c r="EM232" s="353"/>
      <c r="EN232" s="353"/>
      <c r="EO232" s="353"/>
      <c r="EP232" s="353"/>
      <c r="EQ232" s="353"/>
      <c r="ER232" s="353"/>
      <c r="ES232" s="353"/>
      <c r="ET232" s="353"/>
      <c r="EU232" s="353"/>
      <c r="EV232" s="353"/>
      <c r="EW232" s="353"/>
      <c r="EX232" s="353"/>
      <c r="EY232" s="353"/>
      <c r="EZ232" s="353"/>
      <c r="FA232" s="353"/>
      <c r="FB232" s="353"/>
      <c r="FC232" s="353"/>
      <c r="FD232" s="353"/>
      <c r="FE232" s="353"/>
      <c r="FF232" s="353"/>
      <c r="FG232" s="353"/>
      <c r="FH232" s="353"/>
      <c r="FI232" s="353"/>
      <c r="FJ232" s="353"/>
      <c r="FK232" s="353"/>
      <c r="FL232" s="353"/>
      <c r="FM232" s="353"/>
      <c r="FN232" s="353"/>
      <c r="FO232" s="353"/>
      <c r="FP232" s="353"/>
      <c r="FQ232" s="353"/>
    </row>
    <row r="233" spans="1:173" s="351" customFormat="1">
      <c r="A233" s="351" t="s">
        <v>59</v>
      </c>
      <c r="B233" s="351">
        <v>2024</v>
      </c>
      <c r="C233" s="411" t="s">
        <v>60</v>
      </c>
      <c r="F233" s="370"/>
      <c r="G233" s="435"/>
      <c r="H233" s="435"/>
      <c r="I233" s="435"/>
      <c r="J233" s="435"/>
      <c r="K233" s="435"/>
      <c r="L233" s="435"/>
      <c r="M233" s="435"/>
      <c r="N233" s="435"/>
      <c r="O233" s="435"/>
      <c r="P233" s="435"/>
      <c r="Q233" s="435"/>
      <c r="R233" s="435"/>
      <c r="S233" s="435"/>
      <c r="T233" s="435"/>
      <c r="U233" s="414">
        <f>'2015 Program Invest Amort Def'!BT112</f>
        <v>78.333333330228925</v>
      </c>
      <c r="V233" s="414">
        <f>'2015 Program Invest Amort Def'!BT112</f>
        <v>78.333333330228925</v>
      </c>
      <c r="W233" s="414">
        <f>'2015 Program Invest Amort Def'!EG112</f>
        <v>0</v>
      </c>
      <c r="X233" s="397">
        <f t="shared" si="321"/>
        <v>78.333333330228925</v>
      </c>
      <c r="Y233" s="435"/>
      <c r="Z233" s="394">
        <f>'Schedule NJNG-3 - Page 3'!L$185</f>
        <v>20484261.900279835</v>
      </c>
      <c r="AA233" s="480">
        <f>'Schedule NJNG-3 - Page 2'!E115</f>
        <v>2.3300000000000001E-2</v>
      </c>
      <c r="AB233" s="439">
        <f t="shared" si="307"/>
        <v>477283.30227652017</v>
      </c>
      <c r="BA233" s="412">
        <f>'RGGI II Invest Amort Def'!AG158</f>
        <v>0</v>
      </c>
      <c r="BB233" s="353"/>
      <c r="BC233" s="412">
        <f>(L230+N230)*'Capital Structure '!$H$21/12</f>
        <v>0</v>
      </c>
      <c r="BD233" s="412">
        <f>(L230+N230)*'Capital Structure '!$W$34/12</f>
        <v>0</v>
      </c>
      <c r="BE233" s="412">
        <f>(L230+N230)*'Capital Structure '!$H$18/12</f>
        <v>0</v>
      </c>
      <c r="BF233" s="412">
        <f>'RGGI II On Bill Fin''g'!L155*'Capital Structure '!$W$34/12</f>
        <v>0</v>
      </c>
      <c r="BG233" s="412">
        <f>'RGGI II On Bill Fin''g'!L155*('Capital Structure '!$H$18+'Capital Structure '!$H$21)/12</f>
        <v>0</v>
      </c>
      <c r="BH233" s="415">
        <f t="shared" si="322"/>
        <v>0</v>
      </c>
      <c r="BI233" s="353"/>
      <c r="BJ233" s="437">
        <v>0</v>
      </c>
      <c r="BK233" s="431">
        <f t="shared" si="323"/>
        <v>0</v>
      </c>
      <c r="BM233" s="412">
        <f>'2013 program Invest Amort Def'!AW137</f>
        <v>0</v>
      </c>
      <c r="BN233" s="353"/>
      <c r="BO233" s="412">
        <f>(S233)*'Capital Structure '!$J$21/12</f>
        <v>0</v>
      </c>
      <c r="BP233" s="412">
        <f>(S233)*'Capital Structure '!$V$34/12</f>
        <v>0</v>
      </c>
      <c r="BQ233" s="412">
        <f>(S233)*'Capital Structure '!$J$18/12</f>
        <v>0</v>
      </c>
      <c r="BR233" s="412">
        <f>('2013 program 10 yr On Bill Fin'!M137+'2013 program 5 yr On Bill Fin'!L135+'2013 program 2 yr On Bill Fin'!M125)*'Capital Structure '!$V$34/12</f>
        <v>-660.1421925423067</v>
      </c>
      <c r="BS233" s="412">
        <f>('2013 program 10 yr On Bill Fin'!M137+'2013 program 5 yr On Bill Fin'!L135+'2013 program 2 yr On Bill Fin'!M128)*('Capital Structure '!$J$18+'Capital Structure '!$J$21)/12</f>
        <v>-2233.3492199989855</v>
      </c>
      <c r="BT233" s="431">
        <f t="shared" si="324"/>
        <v>-2893.4914125412924</v>
      </c>
      <c r="BU233" s="353"/>
      <c r="BV233" s="438">
        <v>0</v>
      </c>
      <c r="BW233" s="431">
        <f t="shared" si="325"/>
        <v>-2893.4914125412924</v>
      </c>
      <c r="BY233" s="412">
        <f>'2015 Program Invest Amort Def'!BR112</f>
        <v>26.666666666666671</v>
      </c>
      <c r="BZ233" s="353"/>
      <c r="CA233" s="412">
        <f>X233*'Capital Structure '!$T$21/12</f>
        <v>0.1080999999957159</v>
      </c>
      <c r="CB233" s="412">
        <f>(X233)*'Capital Structure '!$T$34/12</f>
        <v>0.13231915425821417</v>
      </c>
      <c r="CC233" s="412">
        <f>(X233)*'Capital Structure '!$T$18/12</f>
        <v>0.33839999998658898</v>
      </c>
      <c r="CD233" s="412">
        <f>('2015 Program 10-Year OBRP'!P112+'2015 Program 7-Year OBRP'!M112+'2015 Program 5-Year OBRP'!K112+'2015 Program 3-Year OBRP'!K112)*('Capital Structure '!$T$34/12)</f>
        <v>5370.7649376371101</v>
      </c>
      <c r="CE233" s="412">
        <f>('2015 Program 10-Year OBRP'!P115+'2015 Program 7-Year OBRP'!M115+'2015 Program 5-Year OBRP'!K115+'2015 Program 3-Year OBRP'!K112)*(('Capital Structure '!$T$21/12)+('Capital Structure '!$T$18/12))</f>
        <v>14022.792471000022</v>
      </c>
      <c r="CF233" s="431">
        <f t="shared" si="326"/>
        <v>19394.136227791372</v>
      </c>
      <c r="CG233" s="373"/>
      <c r="CH233" s="353"/>
      <c r="CI233" s="353"/>
      <c r="CJ233" s="431">
        <f t="shared" si="327"/>
        <v>19420.80289445804</v>
      </c>
      <c r="CL233" s="431">
        <f>'2018 SUMMARY'!Q92</f>
        <v>955359.77907211264</v>
      </c>
      <c r="CM233" s="431"/>
      <c r="CN233" s="431">
        <f>'2018 SUMMARY'!S92</f>
        <v>49040.424341145073</v>
      </c>
      <c r="CO233" s="431">
        <f>'2018 SUMMARY'!T92</f>
        <v>60027.63620297335</v>
      </c>
      <c r="CP233" s="431">
        <f>'2018 SUMMARY'!U92</f>
        <v>153517.85011141066</v>
      </c>
      <c r="CQ233" s="431">
        <f>'2018 SUMMARY'!V92</f>
        <v>36769.09341600442</v>
      </c>
      <c r="CR233" s="431">
        <f>'2018 SUMMARY'!W92</f>
        <v>124074.25290489396</v>
      </c>
      <c r="CS233" s="431">
        <f t="shared" si="328"/>
        <v>423429.25697642751</v>
      </c>
      <c r="CT233" s="431"/>
      <c r="CU233" s="431"/>
      <c r="CV233" s="431">
        <v>1000</v>
      </c>
      <c r="CW233" s="431">
        <f t="shared" si="329"/>
        <v>1379789.0360485401</v>
      </c>
      <c r="CY233" s="412">
        <f t="shared" si="334"/>
        <v>919033.04525393678</v>
      </c>
      <c r="CZ233" s="412">
        <f t="shared" si="335"/>
        <v>-1829552.7120549683</v>
      </c>
      <c r="DA233" s="412">
        <f t="shared" si="336"/>
        <v>-1645611.8728128443</v>
      </c>
      <c r="DB233" s="417">
        <f t="shared" si="337"/>
        <v>4.7989999999999998E-2</v>
      </c>
      <c r="DC233" s="434">
        <f t="shared" si="338"/>
        <v>-6581.0761480240326</v>
      </c>
      <c r="DE233" s="353"/>
      <c r="DF233" s="353"/>
      <c r="DG233" s="420">
        <f t="shared" si="319"/>
        <v>6.8400000000000002E-2</v>
      </c>
      <c r="DH233" s="420">
        <f t="shared" si="320"/>
        <v>8.8670168312699943E-2</v>
      </c>
      <c r="DI233" s="353"/>
      <c r="DJ233" s="353"/>
      <c r="DK233" s="353"/>
      <c r="DL233" s="353"/>
      <c r="DM233" s="353"/>
      <c r="DN233" s="353"/>
      <c r="DO233" s="353"/>
      <c r="DP233" s="353"/>
      <c r="DQ233" s="353"/>
      <c r="DR233" s="353"/>
      <c r="DS233" s="353"/>
      <c r="DT233" s="353"/>
      <c r="DU233" s="353"/>
      <c r="DV233" s="353"/>
      <c r="DW233" s="353"/>
      <c r="DX233" s="353"/>
      <c r="DY233" s="353"/>
      <c r="DZ233" s="353"/>
      <c r="EA233" s="353"/>
      <c r="EB233" s="353"/>
      <c r="EC233" s="353"/>
      <c r="ED233" s="353"/>
      <c r="EE233" s="353"/>
      <c r="EF233" s="353"/>
      <c r="EG233" s="353"/>
      <c r="EH233" s="353"/>
      <c r="EI233" s="353"/>
      <c r="EJ233" s="353"/>
      <c r="EK233" s="353"/>
      <c r="EL233" s="353"/>
      <c r="EM233" s="353"/>
      <c r="EN233" s="353"/>
      <c r="EO233" s="353"/>
      <c r="EP233" s="353"/>
      <c r="EQ233" s="353"/>
      <c r="ER233" s="353"/>
      <c r="ES233" s="353"/>
      <c r="ET233" s="353"/>
      <c r="EU233" s="353"/>
      <c r="EV233" s="353"/>
      <c r="EW233" s="353"/>
      <c r="EX233" s="353"/>
      <c r="EY233" s="353"/>
      <c r="EZ233" s="353"/>
      <c r="FA233" s="353"/>
      <c r="FB233" s="353"/>
      <c r="FC233" s="353"/>
      <c r="FD233" s="353"/>
      <c r="FE233" s="353"/>
      <c r="FF233" s="353"/>
      <c r="FG233" s="353"/>
      <c r="FH233" s="353"/>
      <c r="FI233" s="353"/>
      <c r="FJ233" s="353"/>
      <c r="FK233" s="353"/>
      <c r="FL233" s="353"/>
      <c r="FM233" s="353"/>
      <c r="FN233" s="353"/>
      <c r="FO233" s="353"/>
      <c r="FP233" s="353"/>
      <c r="FQ233" s="353"/>
    </row>
    <row r="234" spans="1:173" s="351" customFormat="1">
      <c r="A234" s="351" t="s">
        <v>46</v>
      </c>
      <c r="B234" s="351">
        <v>2024</v>
      </c>
      <c r="C234" s="411" t="s">
        <v>60</v>
      </c>
      <c r="F234" s="370"/>
      <c r="G234" s="435"/>
      <c r="H234" s="435"/>
      <c r="I234" s="435"/>
      <c r="J234" s="435"/>
      <c r="K234" s="435"/>
      <c r="L234" s="435"/>
      <c r="M234" s="435"/>
      <c r="N234" s="435"/>
      <c r="O234" s="435"/>
      <c r="P234" s="435"/>
      <c r="Q234" s="435"/>
      <c r="R234" s="435"/>
      <c r="S234" s="435"/>
      <c r="T234" s="435"/>
      <c r="U234" s="414">
        <f>'2015 Program Invest Amort Def'!BT113</f>
        <v>59.999999997206032</v>
      </c>
      <c r="V234" s="414">
        <f>'2015 Program Invest Amort Def'!BT113</f>
        <v>59.999999997206032</v>
      </c>
      <c r="W234" s="414">
        <f>'2015 Program Invest Amort Def'!EG113</f>
        <v>0</v>
      </c>
      <c r="X234" s="397">
        <f t="shared" si="321"/>
        <v>59.999999997206032</v>
      </c>
      <c r="Y234" s="435"/>
      <c r="Z234" s="394">
        <f>'Schedule NJNG-3 - Page 3'!M$185</f>
        <v>19847471.801727988</v>
      </c>
      <c r="AA234" s="480">
        <f>'Schedule NJNG-3 - Page 2'!E116</f>
        <v>2.3300000000000001E-2</v>
      </c>
      <c r="AB234" s="439">
        <f t="shared" si="307"/>
        <v>462446.09298026212</v>
      </c>
      <c r="BA234" s="412">
        <f>'RGGI II Invest Amort Def'!AG159</f>
        <v>0</v>
      </c>
      <c r="BB234" s="353"/>
      <c r="BC234" s="412">
        <f>(L231+N231)*'Capital Structure '!$H$21/12</f>
        <v>0</v>
      </c>
      <c r="BD234" s="412">
        <f>(L231+N231)*'Capital Structure '!$W$34/12</f>
        <v>0</v>
      </c>
      <c r="BE234" s="412">
        <f>(L231+N231)*'Capital Structure '!$H$18/12</f>
        <v>0</v>
      </c>
      <c r="BF234" s="412">
        <f>'RGGI II On Bill Fin''g'!L156*'Capital Structure '!$W$34/12</f>
        <v>0</v>
      </c>
      <c r="BG234" s="412">
        <f>'RGGI II On Bill Fin''g'!L156*('Capital Structure '!$H$18+'Capital Structure '!$H$21)/12</f>
        <v>0</v>
      </c>
      <c r="BH234" s="415">
        <f t="shared" si="322"/>
        <v>0</v>
      </c>
      <c r="BI234" s="353"/>
      <c r="BJ234" s="437">
        <v>0</v>
      </c>
      <c r="BK234" s="431">
        <f t="shared" si="323"/>
        <v>0</v>
      </c>
      <c r="BM234" s="412">
        <f>'2013 program Invest Amort Def'!AW138</f>
        <v>0</v>
      </c>
      <c r="BN234" s="353"/>
      <c r="BO234" s="412">
        <f>(S234)*'Capital Structure '!$J$21/12</f>
        <v>0</v>
      </c>
      <c r="BP234" s="412">
        <f>(S234)*'Capital Structure '!$V$34/12</f>
        <v>0</v>
      </c>
      <c r="BQ234" s="412">
        <f>(S234)*'Capital Structure '!$J$18/12</f>
        <v>0</v>
      </c>
      <c r="BR234" s="412">
        <f>('2013 program 10 yr On Bill Fin'!M138+'2013 program 5 yr On Bill Fin'!L136+'2013 program 2 yr On Bill Fin'!M126)*'Capital Structure '!$V$34/12</f>
        <v>-1150.7728689934286</v>
      </c>
      <c r="BS234" s="412">
        <f>('2013 program 10 yr On Bill Fin'!M138+'2013 program 5 yr On Bill Fin'!L136+'2013 program 2 yr On Bill Fin'!M129)*('Capital Structure '!$J$18+'Capital Structure '!$J$21)/12</f>
        <v>-3893.2183374989468</v>
      </c>
      <c r="BT234" s="431">
        <f t="shared" si="324"/>
        <v>-5043.9912064923756</v>
      </c>
      <c r="BU234" s="353"/>
      <c r="BV234" s="438">
        <v>0</v>
      </c>
      <c r="BW234" s="431">
        <f t="shared" si="325"/>
        <v>-5043.9912064923756</v>
      </c>
      <c r="BY234" s="412">
        <f>'2015 Program Invest Amort Def'!BR113</f>
        <v>18.333333333333336</v>
      </c>
      <c r="BZ234" s="353"/>
      <c r="CA234" s="412">
        <f>X234*'Capital Structure '!$T$21/12</f>
        <v>8.2799999996144319E-2</v>
      </c>
      <c r="CB234" s="412">
        <f>(X234)*'Capital Structure '!$T$34/12</f>
        <v>0.10135084155878028</v>
      </c>
      <c r="CC234" s="412">
        <f>(X234)*'Capital Structure '!$T$18/12</f>
        <v>0.25919999998793009</v>
      </c>
      <c r="CD234" s="412">
        <f>('2015 Program 10-Year OBRP'!P113+'2015 Program 7-Year OBRP'!M113+'2015 Program 5-Year OBRP'!K113+'2015 Program 3-Year OBRP'!K113)*('Capital Structure '!$T$34/12)</f>
        <v>5085.4525053004054</v>
      </c>
      <c r="CE234" s="412">
        <f>('2015 Program 10-Year OBRP'!P116+'2015 Program 7-Year OBRP'!M116+'2015 Program 5-Year OBRP'!K116+'2015 Program 3-Year OBRP'!K113)*(('Capital Structure '!$T$21/12)+('Capital Structure '!$T$18/12))</f>
        <v>13664.447664000025</v>
      </c>
      <c r="CF234" s="431">
        <f t="shared" si="326"/>
        <v>18750.343520141974</v>
      </c>
      <c r="CG234" s="373"/>
      <c r="CH234" s="353"/>
      <c r="CI234" s="353"/>
      <c r="CJ234" s="431">
        <f t="shared" si="327"/>
        <v>18768.676853475306</v>
      </c>
      <c r="CL234" s="431">
        <f>'2018 SUMMARY'!Q93</f>
        <v>955359.77907211264</v>
      </c>
      <c r="CM234" s="431"/>
      <c r="CN234" s="431">
        <f>'2018 SUMMARY'!S93</f>
        <v>47846.654427215071</v>
      </c>
      <c r="CO234" s="431">
        <f>'2018 SUMMARY'!T93</f>
        <v>58566.409326041074</v>
      </c>
      <c r="CP234" s="431">
        <f>'2018 SUMMARY'!U93</f>
        <v>149780.83125041239</v>
      </c>
      <c r="CQ234" s="431">
        <f>'2018 SUMMARY'!V93</f>
        <v>35672.197117428106</v>
      </c>
      <c r="CR234" s="431">
        <f>'2018 SUMMARY'!W93</f>
        <v>120372.86741735402</v>
      </c>
      <c r="CS234" s="431">
        <f t="shared" si="328"/>
        <v>412238.95953845064</v>
      </c>
      <c r="CT234" s="431"/>
      <c r="CU234" s="431"/>
      <c r="CV234" s="431">
        <v>1000</v>
      </c>
      <c r="CW234" s="431">
        <f t="shared" si="329"/>
        <v>1368598.7386105633</v>
      </c>
      <c r="CY234" s="412">
        <f t="shared" si="334"/>
        <v>919877.33127728407</v>
      </c>
      <c r="CZ234" s="412">
        <f t="shared" si="335"/>
        <v>-909675.38077768427</v>
      </c>
      <c r="DA234" s="412">
        <f t="shared" si="336"/>
        <v>-984615.53796869703</v>
      </c>
      <c r="DB234" s="417">
        <f t="shared" si="337"/>
        <v>4.7989999999999998E-2</v>
      </c>
      <c r="DC234" s="434">
        <f t="shared" si="338"/>
        <v>-3937.6416389264809</v>
      </c>
      <c r="DE234" s="353"/>
      <c r="DF234" s="353"/>
      <c r="DG234" s="420">
        <f t="shared" si="319"/>
        <v>6.8400000000000002E-2</v>
      </c>
      <c r="DH234" s="420">
        <f t="shared" si="320"/>
        <v>8.8670168312699971E-2</v>
      </c>
      <c r="DI234" s="353"/>
      <c r="DJ234" s="353"/>
      <c r="DK234" s="353"/>
      <c r="DL234" s="353"/>
      <c r="DM234" s="353"/>
      <c r="DN234" s="353"/>
      <c r="DO234" s="353"/>
      <c r="DP234" s="353"/>
      <c r="DQ234" s="353"/>
      <c r="DR234" s="353"/>
      <c r="DS234" s="353"/>
      <c r="DT234" s="353"/>
      <c r="DU234" s="353"/>
      <c r="DV234" s="353"/>
      <c r="DW234" s="353"/>
      <c r="DX234" s="353"/>
      <c r="DY234" s="353"/>
      <c r="DZ234" s="353"/>
      <c r="EA234" s="353"/>
      <c r="EB234" s="353"/>
      <c r="EC234" s="353"/>
      <c r="ED234" s="353"/>
      <c r="EE234" s="353"/>
      <c r="EF234" s="353"/>
      <c r="EG234" s="353"/>
      <c r="EH234" s="353"/>
      <c r="EI234" s="353"/>
      <c r="EJ234" s="353"/>
      <c r="EK234" s="353"/>
      <c r="EL234" s="353"/>
      <c r="EM234" s="353"/>
      <c r="EN234" s="353"/>
      <c r="EO234" s="353"/>
      <c r="EP234" s="353"/>
      <c r="EQ234" s="353"/>
      <c r="ER234" s="353"/>
      <c r="ES234" s="353"/>
      <c r="ET234" s="353"/>
      <c r="EU234" s="353"/>
      <c r="EV234" s="353"/>
      <c r="EW234" s="353"/>
      <c r="EX234" s="353"/>
      <c r="EY234" s="353"/>
      <c r="EZ234" s="353"/>
      <c r="FA234" s="353"/>
      <c r="FB234" s="353"/>
      <c r="FC234" s="353"/>
      <c r="FD234" s="353"/>
      <c r="FE234" s="353"/>
      <c r="FF234" s="353"/>
      <c r="FG234" s="353"/>
      <c r="FH234" s="353"/>
      <c r="FI234" s="353"/>
      <c r="FJ234" s="353"/>
      <c r="FK234" s="353"/>
      <c r="FL234" s="353"/>
      <c r="FM234" s="353"/>
      <c r="FN234" s="353"/>
      <c r="FO234" s="353"/>
      <c r="FP234" s="353"/>
      <c r="FQ234" s="353"/>
    </row>
    <row r="235" spans="1:173" s="351" customFormat="1">
      <c r="A235" s="351" t="s">
        <v>48</v>
      </c>
      <c r="B235" s="351">
        <v>2024</v>
      </c>
      <c r="C235" s="411" t="s">
        <v>60</v>
      </c>
      <c r="F235" s="370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14">
        <f>'2015 Program Invest Amort Def'!BT114</f>
        <v>41.66666666418314</v>
      </c>
      <c r="V235" s="414">
        <f>'2015 Program Invest Amort Def'!BT114</f>
        <v>41.66666666418314</v>
      </c>
      <c r="W235" s="414">
        <f>'2015 Program Invest Amort Def'!EG114</f>
        <v>0</v>
      </c>
      <c r="X235" s="397">
        <f t="shared" si="321"/>
        <v>41.66666666418314</v>
      </c>
      <c r="Y235" s="435"/>
      <c r="Z235" s="481">
        <f>'Schedule NJNG-3 - Page 3'!N$185</f>
        <v>19963288.081320465</v>
      </c>
      <c r="AA235" s="480">
        <f>'Schedule NJNG-3 - Page 2'!E117</f>
        <v>2.3300000000000001E-2</v>
      </c>
      <c r="AB235" s="482">
        <f t="shared" si="307"/>
        <v>465144.61229476688</v>
      </c>
      <c r="BA235" s="424">
        <f>'RGGI II Invest Amort Def'!AG160</f>
        <v>0</v>
      </c>
      <c r="BB235" s="444"/>
      <c r="BC235" s="424">
        <f>(L232+N232)*'Capital Structure '!$H$21/12</f>
        <v>0</v>
      </c>
      <c r="BD235" s="424">
        <f>(L232+N232)*'Capital Structure '!$W$34/12</f>
        <v>0</v>
      </c>
      <c r="BE235" s="424">
        <f>(L232+N232)*'Capital Structure '!$H$18/12</f>
        <v>0</v>
      </c>
      <c r="BF235" s="424">
        <f>'RGGI II On Bill Fin''g'!L157*'Capital Structure '!$W$34/12</f>
        <v>0</v>
      </c>
      <c r="BG235" s="424">
        <f>'RGGI II On Bill Fin''g'!L157*('Capital Structure '!$H$18+'Capital Structure '!$H$21)/12</f>
        <v>0</v>
      </c>
      <c r="BH235" s="440">
        <f t="shared" si="322"/>
        <v>0</v>
      </c>
      <c r="BI235" s="444"/>
      <c r="BJ235" s="442">
        <v>0</v>
      </c>
      <c r="BK235" s="441">
        <f t="shared" si="323"/>
        <v>0</v>
      </c>
      <c r="BM235" s="424">
        <f>'2013 program Invest Amort Def'!AW139</f>
        <v>0</v>
      </c>
      <c r="BN235" s="444"/>
      <c r="BO235" s="424">
        <f>(S235)*'Capital Structure '!$J$21/12</f>
        <v>0</v>
      </c>
      <c r="BP235" s="424">
        <f>(S235)*'Capital Structure '!$V$34/12</f>
        <v>0</v>
      </c>
      <c r="BQ235" s="424">
        <f>(S235)*'Capital Structure '!$J$18/12</f>
        <v>0</v>
      </c>
      <c r="BR235" s="424">
        <f>('2013 program 10 yr On Bill Fin'!M139+'2013 program 5 yr On Bill Fin'!L137+'2013 program 2 yr On Bill Fin'!M127)*'Capital Structure '!$V$34/12</f>
        <v>0</v>
      </c>
      <c r="BS235" s="424">
        <f>('2013 program 10 yr On Bill Fin'!M139+'2013 program 5 yr On Bill Fin'!L137+'2013 program 2 yr On Bill Fin'!M130)*('Capital Structure '!$J$18+'Capital Structure '!$J$21)/12</f>
        <v>0</v>
      </c>
      <c r="BT235" s="441">
        <f t="shared" si="324"/>
        <v>0</v>
      </c>
      <c r="BU235" s="444"/>
      <c r="BV235" s="443">
        <v>0</v>
      </c>
      <c r="BW235" s="441">
        <f t="shared" si="325"/>
        <v>0</v>
      </c>
      <c r="BY235" s="424">
        <f>'2015 Program Invest Amort Def'!BR114</f>
        <v>18.333333333333336</v>
      </c>
      <c r="BZ235" s="444"/>
      <c r="CA235" s="424">
        <f>X235*'Capital Structure '!$T$21/12</f>
        <v>5.749999999657273E-2</v>
      </c>
      <c r="CB235" s="424">
        <f>(X235)*'Capital Structure '!$T$34/12</f>
        <v>7.0382528859346413E-2</v>
      </c>
      <c r="CC235" s="424">
        <f>(X235)*'Capital Structure '!$T$18/12</f>
        <v>0.17999999998927119</v>
      </c>
      <c r="CD235" s="424">
        <f>('2015 Program 10-Year OBRP'!P114+'2015 Program 7-Year OBRP'!M114+'2015 Program 5-Year OBRP'!K114+'2015 Program 3-Year OBRP'!K114)*('Capital Structure '!$T$34/12)</f>
        <v>4807.699940826109</v>
      </c>
      <c r="CE235" s="412">
        <f>('2015 Program 10-Year OBRP'!P117+'2015 Program 7-Year OBRP'!M117+'2015 Program 5-Year OBRP'!K117+'2015 Program 3-Year OBRP'!K114)*(('Capital Structure '!$T$21/12)+('Capital Structure '!$T$18/12))</f>
        <v>13306.102857000025</v>
      </c>
      <c r="CF235" s="441">
        <f t="shared" si="326"/>
        <v>18114.110680354977</v>
      </c>
      <c r="CG235" s="379"/>
      <c r="CH235" s="444"/>
      <c r="CI235" s="444"/>
      <c r="CJ235" s="441">
        <f t="shared" si="327"/>
        <v>18132.444013688309</v>
      </c>
      <c r="CL235" s="441">
        <f>'2018 SUMMARY'!Q94</f>
        <v>955359.77907211264</v>
      </c>
      <c r="CM235" s="441"/>
      <c r="CN235" s="441">
        <f>'2018 SUMMARY'!S94</f>
        <v>46681.486895003727</v>
      </c>
      <c r="CO235" s="441">
        <f>'2018 SUMMARY'!T94</f>
        <v>57140.193022271924</v>
      </c>
      <c r="CP235" s="441">
        <f>'2018 SUMMARY'!U94</f>
        <v>146133.35028001168</v>
      </c>
      <c r="CQ235" s="441">
        <f>'2018 SUMMARY'!V94</f>
        <v>34596.257150942867</v>
      </c>
      <c r="CR235" s="441">
        <f>'2018 SUMMARY'!W94</f>
        <v>116742.19733251404</v>
      </c>
      <c r="CS235" s="441">
        <f t="shared" si="328"/>
        <v>401293.48468074424</v>
      </c>
      <c r="CT235" s="441"/>
      <c r="CU235" s="441"/>
      <c r="CV235" s="441">
        <v>1000</v>
      </c>
      <c r="CW235" s="441">
        <f t="shared" si="329"/>
        <v>1357653.2637528568</v>
      </c>
      <c r="CY235" s="424">
        <f t="shared" si="334"/>
        <v>910641.09547177819</v>
      </c>
      <c r="CZ235" s="424">
        <f t="shared" si="335"/>
        <v>965.71469409391284</v>
      </c>
      <c r="DA235" s="424">
        <f t="shared" si="336"/>
        <v>-326635.68947374652</v>
      </c>
      <c r="DB235" s="521">
        <f t="shared" si="337"/>
        <v>4.7989999999999998E-2</v>
      </c>
      <c r="DC235" s="432">
        <f t="shared" si="338"/>
        <v>-1306.2705614870913</v>
      </c>
      <c r="DE235" s="353"/>
      <c r="DF235" s="353"/>
      <c r="DG235" s="420">
        <f t="shared" si="319"/>
        <v>6.8400000000000016E-2</v>
      </c>
      <c r="DH235" s="420">
        <f t="shared" si="320"/>
        <v>8.8670168312699957E-2</v>
      </c>
      <c r="DI235" s="353"/>
      <c r="DJ235" s="353"/>
      <c r="DK235" s="353"/>
      <c r="DL235" s="353"/>
      <c r="DM235" s="353"/>
      <c r="DN235" s="353"/>
      <c r="DO235" s="353"/>
      <c r="DP235" s="353"/>
      <c r="DQ235" s="353"/>
      <c r="DR235" s="353"/>
      <c r="DS235" s="353"/>
      <c r="DT235" s="353"/>
      <c r="DU235" s="353"/>
      <c r="DV235" s="353"/>
      <c r="DW235" s="353"/>
      <c r="DX235" s="353"/>
      <c r="DY235" s="353"/>
      <c r="DZ235" s="353"/>
      <c r="EA235" s="353"/>
      <c r="EB235" s="353"/>
      <c r="EC235" s="353"/>
      <c r="ED235" s="353"/>
      <c r="EE235" s="353"/>
      <c r="EF235" s="353"/>
      <c r="EG235" s="353"/>
      <c r="EH235" s="353"/>
      <c r="EI235" s="353"/>
      <c r="EJ235" s="353"/>
      <c r="EK235" s="353"/>
      <c r="EL235" s="353"/>
      <c r="EM235" s="353"/>
      <c r="EN235" s="353"/>
      <c r="EO235" s="353"/>
      <c r="EP235" s="353"/>
      <c r="EQ235" s="353"/>
      <c r="ER235" s="353"/>
      <c r="ES235" s="353"/>
      <c r="ET235" s="353"/>
      <c r="EU235" s="353"/>
      <c r="EV235" s="353"/>
      <c r="EW235" s="353"/>
      <c r="EX235" s="353"/>
      <c r="EY235" s="353"/>
      <c r="EZ235" s="353"/>
      <c r="FA235" s="353"/>
      <c r="FB235" s="353"/>
      <c r="FC235" s="353"/>
      <c r="FD235" s="353"/>
      <c r="FE235" s="353"/>
      <c r="FF235" s="353"/>
      <c r="FG235" s="353"/>
      <c r="FH235" s="353"/>
      <c r="FI235" s="353"/>
      <c r="FJ235" s="353"/>
      <c r="FK235" s="353"/>
      <c r="FL235" s="353"/>
      <c r="FM235" s="353"/>
      <c r="FN235" s="353"/>
      <c r="FO235" s="353"/>
      <c r="FP235" s="353"/>
      <c r="FQ235" s="353"/>
    </row>
    <row r="236" spans="1:173" s="351" customFormat="1">
      <c r="F236" s="370"/>
      <c r="G236" s="435"/>
      <c r="H236" s="435"/>
      <c r="I236" s="435"/>
      <c r="J236" s="435"/>
      <c r="K236" s="435"/>
      <c r="L236" s="435"/>
      <c r="M236" s="435"/>
      <c r="N236" s="435"/>
      <c r="O236" s="435"/>
      <c r="P236" s="435"/>
      <c r="Q236" s="435"/>
      <c r="R236" s="435"/>
      <c r="S236" s="435"/>
      <c r="T236" s="435"/>
      <c r="U236" s="435"/>
      <c r="V236" s="435"/>
      <c r="W236" s="435"/>
      <c r="X236" s="435"/>
      <c r="Y236" s="435"/>
      <c r="Z236" s="397">
        <f>SUM(Z224:Z235)</f>
        <v>739253719.61864018</v>
      </c>
      <c r="AA236" s="435"/>
      <c r="AB236" s="397">
        <f>SUM(AB224:AB235)</f>
        <v>17224611.66711431</v>
      </c>
      <c r="BA236" s="384">
        <f>SUM(BA224:BA235)</f>
        <v>0</v>
      </c>
      <c r="BC236" s="384">
        <f t="shared" ref="BC236:BH236" si="339">SUM(BC224:BC235)</f>
        <v>0</v>
      </c>
      <c r="BD236" s="384">
        <f t="shared" si="339"/>
        <v>0</v>
      </c>
      <c r="BE236" s="384">
        <f t="shared" si="339"/>
        <v>0</v>
      </c>
      <c r="BF236" s="384">
        <f t="shared" si="339"/>
        <v>0</v>
      </c>
      <c r="BG236" s="384">
        <f t="shared" si="339"/>
        <v>0</v>
      </c>
      <c r="BH236" s="384">
        <f t="shared" si="339"/>
        <v>0</v>
      </c>
      <c r="BI236" s="384"/>
      <c r="BJ236" s="384">
        <f>SUM(BJ224:BJ235)</f>
        <v>0</v>
      </c>
      <c r="BK236" s="384">
        <f>SUM(BK224:BK235)</f>
        <v>0</v>
      </c>
      <c r="BM236" s="384">
        <f>SUM(BM224:BM235)</f>
        <v>0</v>
      </c>
      <c r="BO236" s="384">
        <f t="shared" ref="BO236:BT236" si="340">SUM(BO224:BO235)</f>
        <v>0</v>
      </c>
      <c r="BP236" s="384">
        <f t="shared" si="340"/>
        <v>0</v>
      </c>
      <c r="BQ236" s="384">
        <f t="shared" si="340"/>
        <v>0</v>
      </c>
      <c r="BR236" s="384">
        <f t="shared" si="340"/>
        <v>14326.185645883987</v>
      </c>
      <c r="BS236" s="384">
        <f t="shared" si="340"/>
        <v>48467.399750009426</v>
      </c>
      <c r="BT236" s="384">
        <f t="shared" si="340"/>
        <v>62793.585395893409</v>
      </c>
      <c r="BV236" s="384">
        <f>SUM(BV224:BV235)</f>
        <v>0</v>
      </c>
      <c r="BW236" s="384">
        <f>SUM(BW224:BW235)</f>
        <v>62793.585395893409</v>
      </c>
      <c r="BY236" s="384">
        <f>SUM(BY224:BY235)</f>
        <v>9961.6666666666661</v>
      </c>
      <c r="CA236" s="384">
        <f t="shared" ref="CA236:CG236" si="341">SUM(CA224:CA235)</f>
        <v>10.665307229957214</v>
      </c>
      <c r="CB236" s="384">
        <f t="shared" si="341"/>
        <v>13.054805112191335</v>
      </c>
      <c r="CC236" s="384">
        <f t="shared" si="341"/>
        <v>33.387048719866065</v>
      </c>
      <c r="CD236" s="384">
        <f t="shared" si="341"/>
        <v>77804.232009471307</v>
      </c>
      <c r="CE236" s="384">
        <f t="shared" si="341"/>
        <v>222998.24251400016</v>
      </c>
      <c r="CF236" s="384">
        <f t="shared" si="341"/>
        <v>300859.58168453351</v>
      </c>
      <c r="CG236" s="384">
        <f t="shared" si="341"/>
        <v>0</v>
      </c>
      <c r="CH236" s="384"/>
      <c r="CI236" s="384">
        <f>SUM(CI224:CI235)</f>
        <v>0</v>
      </c>
      <c r="CJ236" s="384">
        <f>SUM(CJ224:CJ235)</f>
        <v>310821.24835120019</v>
      </c>
      <c r="CL236" s="390">
        <f>SUM(CL224:CL235)</f>
        <v>11270176.248389162</v>
      </c>
      <c r="CN236" s="390">
        <f t="shared" ref="CN236:CS236" si="342">SUM(CN224:CN235)</f>
        <v>626630.0065658188</v>
      </c>
      <c r="CO236" s="390">
        <f t="shared" si="342"/>
        <v>767022.68737182533</v>
      </c>
      <c r="CP236" s="390">
        <f t="shared" si="342"/>
        <v>1961624.3683799545</v>
      </c>
      <c r="CQ236" s="390">
        <f t="shared" si="342"/>
        <v>466211.34175848396</v>
      </c>
      <c r="CR236" s="390">
        <f t="shared" si="342"/>
        <v>1573191.4646362769</v>
      </c>
      <c r="CS236" s="390">
        <f t="shared" si="342"/>
        <v>5394679.8687123591</v>
      </c>
      <c r="CV236" s="390">
        <f>SUM(CV224:CV235)</f>
        <v>12000</v>
      </c>
      <c r="CW236" s="390">
        <f>SUM(CW224:CW235)</f>
        <v>16676856.117101522</v>
      </c>
      <c r="DC236" s="384">
        <f>SUM(DC224:DC235)</f>
        <v>-68974.142359177553</v>
      </c>
      <c r="DE236" s="353"/>
      <c r="DF236" s="353"/>
      <c r="DG236" s="353"/>
      <c r="DH236" s="353"/>
      <c r="DI236" s="353"/>
      <c r="DJ236" s="353"/>
      <c r="DK236" s="353"/>
      <c r="DL236" s="353"/>
      <c r="DM236" s="353"/>
      <c r="DN236" s="353"/>
      <c r="DO236" s="353"/>
      <c r="DP236" s="353"/>
      <c r="DQ236" s="353"/>
      <c r="DR236" s="353"/>
      <c r="DS236" s="353"/>
      <c r="DT236" s="353"/>
      <c r="DU236" s="353"/>
      <c r="DV236" s="353"/>
      <c r="DW236" s="353"/>
      <c r="DX236" s="353"/>
      <c r="DY236" s="353"/>
      <c r="DZ236" s="353"/>
      <c r="EA236" s="353"/>
      <c r="EB236" s="353"/>
      <c r="EC236" s="353"/>
      <c r="ED236" s="353"/>
      <c r="EE236" s="353"/>
      <c r="EF236" s="353"/>
      <c r="EG236" s="353"/>
      <c r="EH236" s="353"/>
      <c r="EI236" s="353"/>
      <c r="EJ236" s="353"/>
      <c r="EK236" s="353"/>
      <c r="EL236" s="353"/>
      <c r="EM236" s="353"/>
      <c r="EN236" s="353"/>
      <c r="EO236" s="353"/>
      <c r="EP236" s="353"/>
      <c r="EQ236" s="353"/>
      <c r="ER236" s="353"/>
      <c r="ES236" s="353"/>
      <c r="ET236" s="353"/>
      <c r="EU236" s="353"/>
      <c r="EV236" s="353"/>
      <c r="EW236" s="353"/>
      <c r="EX236" s="353"/>
      <c r="EY236" s="353"/>
      <c r="EZ236" s="353"/>
      <c r="FA236" s="353"/>
      <c r="FB236" s="353"/>
      <c r="FC236" s="353"/>
      <c r="FD236" s="353"/>
      <c r="FE236" s="353"/>
      <c r="FF236" s="353"/>
      <c r="FG236" s="353"/>
      <c r="FH236" s="353"/>
      <c r="FI236" s="353"/>
      <c r="FJ236" s="353"/>
      <c r="FK236" s="353"/>
      <c r="FL236" s="353"/>
      <c r="FM236" s="353"/>
      <c r="FN236" s="353"/>
      <c r="FO236" s="353"/>
      <c r="FP236" s="353"/>
      <c r="FQ236" s="353"/>
    </row>
    <row r="237" spans="1:173" s="351" customFormat="1">
      <c r="F237" s="370"/>
      <c r="G237" s="435"/>
      <c r="H237" s="435"/>
      <c r="I237" s="435"/>
      <c r="J237" s="435"/>
      <c r="K237" s="435"/>
      <c r="L237" s="435"/>
      <c r="M237" s="435"/>
      <c r="N237" s="435"/>
      <c r="O237" s="435"/>
      <c r="P237" s="435"/>
      <c r="Q237" s="435"/>
      <c r="R237" s="435"/>
      <c r="S237" s="435"/>
      <c r="T237" s="435"/>
      <c r="U237" s="435"/>
      <c r="V237" s="435"/>
      <c r="W237" s="435"/>
      <c r="X237" s="435"/>
      <c r="Y237" s="435"/>
      <c r="Z237" s="435"/>
      <c r="AA237" s="435"/>
      <c r="DE237" s="353"/>
      <c r="DF237" s="353"/>
      <c r="DG237" s="353"/>
      <c r="DH237" s="353"/>
      <c r="DI237" s="353"/>
      <c r="DJ237" s="353"/>
      <c r="DK237" s="353"/>
      <c r="DL237" s="353"/>
      <c r="DM237" s="353"/>
      <c r="DN237" s="353"/>
      <c r="DO237" s="353"/>
      <c r="DP237" s="353"/>
      <c r="DQ237" s="353"/>
      <c r="DR237" s="353"/>
      <c r="DS237" s="353"/>
      <c r="DT237" s="353"/>
      <c r="DU237" s="353"/>
      <c r="DV237" s="353"/>
      <c r="DW237" s="353"/>
      <c r="DX237" s="353"/>
      <c r="DY237" s="353"/>
      <c r="DZ237" s="353"/>
      <c r="EA237" s="353"/>
      <c r="EB237" s="353"/>
      <c r="EC237" s="353"/>
      <c r="ED237" s="353"/>
      <c r="EE237" s="353"/>
      <c r="EF237" s="353"/>
      <c r="EG237" s="353"/>
      <c r="EH237" s="353"/>
      <c r="EI237" s="353"/>
      <c r="EJ237" s="353"/>
      <c r="EK237" s="353"/>
      <c r="EL237" s="353"/>
      <c r="EM237" s="353"/>
      <c r="EN237" s="353"/>
      <c r="EO237" s="353"/>
      <c r="EP237" s="353"/>
      <c r="EQ237" s="353"/>
      <c r="ER237" s="353"/>
      <c r="ES237" s="353"/>
      <c r="ET237" s="353"/>
      <c r="EU237" s="353"/>
      <c r="EV237" s="353"/>
      <c r="EW237" s="353"/>
      <c r="EX237" s="353"/>
      <c r="EY237" s="353"/>
      <c r="EZ237" s="353"/>
      <c r="FA237" s="353"/>
      <c r="FB237" s="353"/>
      <c r="FC237" s="353"/>
      <c r="FD237" s="353"/>
      <c r="FE237" s="353"/>
      <c r="FF237" s="353"/>
      <c r="FG237" s="353"/>
      <c r="FH237" s="353"/>
      <c r="FI237" s="353"/>
      <c r="FJ237" s="353"/>
      <c r="FK237" s="353"/>
      <c r="FL237" s="353"/>
      <c r="FM237" s="353"/>
      <c r="FN237" s="353"/>
      <c r="FO237" s="353"/>
      <c r="FP237" s="353"/>
      <c r="FQ237" s="353"/>
    </row>
    <row r="238" spans="1:173" ht="15" customHeight="1">
      <c r="CV238" s="644"/>
      <c r="CW238" s="644"/>
      <c r="CX238" s="644"/>
    </row>
    <row r="239" spans="1:173" ht="15" customHeight="1">
      <c r="CV239" s="644"/>
      <c r="CW239" s="644"/>
      <c r="CX239" s="644"/>
    </row>
    <row r="240" spans="1:173" ht="15" customHeight="1">
      <c r="CV240" s="644"/>
      <c r="CW240" s="644"/>
      <c r="CX240" s="644"/>
    </row>
    <row r="241" spans="100:102" ht="15" customHeight="1">
      <c r="CV241" s="644"/>
      <c r="CW241" s="644"/>
      <c r="CX241" s="644"/>
    </row>
  </sheetData>
  <mergeCells count="32">
    <mergeCell ref="BJ1:BK1"/>
    <mergeCell ref="CD6:CE6"/>
    <mergeCell ref="DB1:DC1"/>
    <mergeCell ref="DB2:DC2"/>
    <mergeCell ref="M3:N3"/>
    <mergeCell ref="W1:X1"/>
    <mergeCell ref="W2:X2"/>
    <mergeCell ref="CV1:CW1"/>
    <mergeCell ref="CV2:CW2"/>
    <mergeCell ref="BV1:BW1"/>
    <mergeCell ref="BV2:BW2"/>
    <mergeCell ref="CI1:CJ1"/>
    <mergeCell ref="CI2:CJ2"/>
    <mergeCell ref="AA1:AB1"/>
    <mergeCell ref="AA2:AB2"/>
    <mergeCell ref="AX1:AY1"/>
    <mergeCell ref="D4:F4"/>
    <mergeCell ref="H4:J4"/>
    <mergeCell ref="P4:S4"/>
    <mergeCell ref="AT6:AU6"/>
    <mergeCell ref="BF6:BG6"/>
    <mergeCell ref="L4:N4"/>
    <mergeCell ref="AO5:AY5"/>
    <mergeCell ref="BA5:BK5"/>
    <mergeCell ref="U4:X4"/>
    <mergeCell ref="CL5:CW5"/>
    <mergeCell ref="AX2:AY2"/>
    <mergeCell ref="BY5:CJ5"/>
    <mergeCell ref="BJ2:BK2"/>
    <mergeCell ref="BR6:BS6"/>
    <mergeCell ref="BM5:BW5"/>
    <mergeCell ref="CQ6:CR6"/>
  </mergeCells>
  <pageMargins left="0.45" right="0.2" top="0.5" bottom="0.25" header="0.3" footer="0.3"/>
  <pageSetup scale="65" orientation="portrait" r:id="rId1"/>
  <colBreaks count="10" manualBreakCount="10">
    <brk id="20" max="1048575" man="1"/>
    <brk id="24" max="1048575" man="1"/>
    <brk id="28" max="1048575" man="1"/>
    <brk id="52" max="1048575" man="1"/>
    <brk id="63" max="1048575" man="1"/>
    <brk id="64" max="1048575" man="1"/>
    <brk id="75" max="1048575" man="1"/>
    <brk id="88" max="1048575" man="1"/>
    <brk id="101" max="1048575" man="1"/>
    <brk id="107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  <pageSetUpPr fitToPage="1"/>
  </sheetPr>
  <dimension ref="A1:BN141"/>
  <sheetViews>
    <sheetView workbookViewId="0">
      <pane ySplit="3" topLeftCell="A121" activePane="bottomLeft" state="frozen"/>
      <selection activeCell="BN71" sqref="BN71"/>
      <selection pane="bottomLeft" activeCell="BI136" sqref="BI136"/>
    </sheetView>
  </sheetViews>
  <sheetFormatPr defaultColWidth="9.140625" defaultRowHeight="12.75" outlineLevelRow="1" outlineLevelCol="1"/>
  <cols>
    <col min="1" max="3" width="9.140625" style="4"/>
    <col min="4" max="4" width="15.85546875" style="4" customWidth="1"/>
    <col min="5" max="5" width="2.85546875" style="4" customWidth="1"/>
    <col min="6" max="7" width="15.5703125" style="4" customWidth="1"/>
    <col min="8" max="8" width="14.5703125" style="4" customWidth="1"/>
    <col min="9" max="9" width="2.42578125" style="4" customWidth="1"/>
    <col min="10" max="10" width="11.7109375" style="4" customWidth="1"/>
    <col min="11" max="11" width="11.5703125" style="4" customWidth="1"/>
    <col min="12" max="12" width="2.85546875" style="4" customWidth="1"/>
    <col min="13" max="13" width="16.140625" style="4" customWidth="1"/>
    <col min="14" max="14" width="3.140625" style="4" customWidth="1"/>
    <col min="15" max="20" width="9.140625" style="4" customWidth="1" outlineLevel="1"/>
    <col min="21" max="23" width="10.28515625" style="4" customWidth="1" outlineLevel="1"/>
    <col min="24" max="24" width="10.85546875" style="4" customWidth="1" outlineLevel="1"/>
    <col min="25" max="25" width="10.28515625" style="4" customWidth="1" outlineLevel="1"/>
    <col min="26" max="27" width="10.28515625" style="4" customWidth="1"/>
    <col min="28" max="28" width="10.140625" style="4" customWidth="1"/>
    <col min="29" max="29" width="10.85546875" style="4" customWidth="1"/>
    <col min="30" max="30" width="11.28515625" style="4" customWidth="1"/>
    <col min="31" max="31" width="11.140625" style="4" customWidth="1"/>
    <col min="32" max="32" width="10.5703125" style="4" customWidth="1"/>
    <col min="33" max="33" width="10.42578125" style="4" customWidth="1"/>
    <col min="34" max="34" width="10" style="4" customWidth="1"/>
    <col min="35" max="36" width="11.140625" style="4" customWidth="1"/>
    <col min="37" max="37" width="12.140625" style="4" customWidth="1"/>
    <col min="38" max="55" width="11.42578125" style="4" customWidth="1"/>
    <col min="56" max="56" width="9.28515625" style="4" customWidth="1"/>
    <col min="57" max="64" width="9.85546875" style="4" customWidth="1"/>
    <col min="65" max="65" width="11.140625" style="4" customWidth="1"/>
    <col min="66" max="16384" width="9.140625" style="4"/>
  </cols>
  <sheetData>
    <row r="1" spans="1:66">
      <c r="D1" s="708"/>
      <c r="E1" s="708"/>
      <c r="F1" s="708"/>
      <c r="G1" s="708"/>
      <c r="H1" s="708"/>
      <c r="I1" s="708"/>
      <c r="J1" s="708"/>
      <c r="K1" s="708"/>
      <c r="L1" s="708"/>
      <c r="M1" s="708"/>
      <c r="O1" s="708" t="s">
        <v>210</v>
      </c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8"/>
      <c r="AR1" s="708"/>
      <c r="AS1" s="708"/>
      <c r="AT1" s="708"/>
      <c r="AU1" s="708"/>
      <c r="AV1" s="708"/>
      <c r="AW1" s="708"/>
      <c r="AX1" s="708"/>
      <c r="AY1" s="708"/>
      <c r="AZ1" s="708"/>
      <c r="BA1" s="708"/>
      <c r="BB1" s="708"/>
      <c r="BC1" s="708"/>
      <c r="BD1" s="708"/>
      <c r="BE1" s="708"/>
      <c r="BF1" s="708"/>
      <c r="BG1" s="708"/>
      <c r="BH1" s="708"/>
      <c r="BI1" s="708"/>
      <c r="BJ1" s="708"/>
      <c r="BK1" s="708"/>
      <c r="BL1" s="708"/>
      <c r="BM1" s="708"/>
    </row>
    <row r="2" spans="1:66" ht="38.25">
      <c r="A2" s="338"/>
      <c r="B2" s="338"/>
      <c r="C2" s="29" t="s">
        <v>16</v>
      </c>
      <c r="D2" s="219" t="s">
        <v>211</v>
      </c>
      <c r="E2" s="51"/>
      <c r="F2" s="219" t="s">
        <v>212</v>
      </c>
      <c r="G2" s="120" t="s">
        <v>213</v>
      </c>
      <c r="H2" s="120" t="s">
        <v>149</v>
      </c>
      <c r="I2" s="120"/>
      <c r="J2" s="51" t="s">
        <v>99</v>
      </c>
      <c r="K2" s="51" t="s">
        <v>100</v>
      </c>
      <c r="L2" s="52"/>
      <c r="M2" s="52" t="s">
        <v>101</v>
      </c>
      <c r="N2" s="338"/>
      <c r="O2" s="341">
        <v>42217</v>
      </c>
      <c r="P2" s="341">
        <f t="shared" ref="P2:AN2" si="0">+O2+31</f>
        <v>42248</v>
      </c>
      <c r="Q2" s="341">
        <f t="shared" si="0"/>
        <v>42279</v>
      </c>
      <c r="R2" s="341">
        <f t="shared" si="0"/>
        <v>42310</v>
      </c>
      <c r="S2" s="341">
        <f t="shared" si="0"/>
        <v>42341</v>
      </c>
      <c r="T2" s="341">
        <f t="shared" si="0"/>
        <v>42372</v>
      </c>
      <c r="U2" s="341">
        <f t="shared" si="0"/>
        <v>42403</v>
      </c>
      <c r="V2" s="341">
        <f t="shared" si="0"/>
        <v>42434</v>
      </c>
      <c r="W2" s="341">
        <f t="shared" si="0"/>
        <v>42465</v>
      </c>
      <c r="X2" s="341">
        <f t="shared" si="0"/>
        <v>42496</v>
      </c>
      <c r="Y2" s="341">
        <f t="shared" si="0"/>
        <v>42527</v>
      </c>
      <c r="Z2" s="341">
        <f t="shared" si="0"/>
        <v>42558</v>
      </c>
      <c r="AA2" s="341">
        <f t="shared" si="0"/>
        <v>42589</v>
      </c>
      <c r="AB2" s="341">
        <f t="shared" si="0"/>
        <v>42620</v>
      </c>
      <c r="AC2" s="341">
        <f t="shared" si="0"/>
        <v>42651</v>
      </c>
      <c r="AD2" s="341">
        <f t="shared" si="0"/>
        <v>42682</v>
      </c>
      <c r="AE2" s="341">
        <f t="shared" si="0"/>
        <v>42713</v>
      </c>
      <c r="AF2" s="341">
        <f t="shared" si="0"/>
        <v>42744</v>
      </c>
      <c r="AG2" s="341">
        <f t="shared" si="0"/>
        <v>42775</v>
      </c>
      <c r="AH2" s="341">
        <f t="shared" si="0"/>
        <v>42806</v>
      </c>
      <c r="AI2" s="341">
        <f t="shared" si="0"/>
        <v>42837</v>
      </c>
      <c r="AJ2" s="341">
        <f t="shared" si="0"/>
        <v>42868</v>
      </c>
      <c r="AK2" s="341">
        <f t="shared" si="0"/>
        <v>42899</v>
      </c>
      <c r="AL2" s="341">
        <f t="shared" si="0"/>
        <v>42930</v>
      </c>
      <c r="AM2" s="341">
        <f t="shared" si="0"/>
        <v>42961</v>
      </c>
      <c r="AN2" s="341">
        <f t="shared" si="0"/>
        <v>42992</v>
      </c>
      <c r="AO2" s="341">
        <f t="shared" ref="AO2:BC2" si="1">+AN2+31</f>
        <v>43023</v>
      </c>
      <c r="AP2" s="341">
        <f t="shared" si="1"/>
        <v>43054</v>
      </c>
      <c r="AQ2" s="341">
        <f t="shared" si="1"/>
        <v>43085</v>
      </c>
      <c r="AR2" s="341">
        <f t="shared" si="1"/>
        <v>43116</v>
      </c>
      <c r="AS2" s="341">
        <f t="shared" si="1"/>
        <v>43147</v>
      </c>
      <c r="AT2" s="341">
        <f t="shared" si="1"/>
        <v>43178</v>
      </c>
      <c r="AU2" s="341">
        <f t="shared" si="1"/>
        <v>43209</v>
      </c>
      <c r="AV2" s="341">
        <f t="shared" si="1"/>
        <v>43240</v>
      </c>
      <c r="AW2" s="341">
        <f t="shared" si="1"/>
        <v>43271</v>
      </c>
      <c r="AX2" s="341">
        <f t="shared" si="1"/>
        <v>43302</v>
      </c>
      <c r="AY2" s="341">
        <f t="shared" si="1"/>
        <v>43333</v>
      </c>
      <c r="AZ2" s="341">
        <f t="shared" si="1"/>
        <v>43364</v>
      </c>
      <c r="BA2" s="341">
        <f t="shared" si="1"/>
        <v>43395</v>
      </c>
      <c r="BB2" s="341">
        <f t="shared" si="1"/>
        <v>43426</v>
      </c>
      <c r="BC2" s="341">
        <f t="shared" si="1"/>
        <v>43457</v>
      </c>
      <c r="BD2" s="341">
        <v>43466</v>
      </c>
      <c r="BE2" s="341">
        <v>43497</v>
      </c>
      <c r="BF2" s="341">
        <v>43525</v>
      </c>
      <c r="BG2" s="341">
        <v>43556</v>
      </c>
      <c r="BH2" s="341">
        <v>43586</v>
      </c>
      <c r="BI2" s="341">
        <v>43617</v>
      </c>
      <c r="BJ2" s="341">
        <v>43647</v>
      </c>
      <c r="BK2" s="341">
        <v>43696</v>
      </c>
      <c r="BL2" s="341">
        <v>43727</v>
      </c>
      <c r="BM2" s="338" t="s">
        <v>69</v>
      </c>
      <c r="BN2" s="338"/>
    </row>
    <row r="3" spans="1:66" ht="15.75">
      <c r="A3" s="4" t="s">
        <v>27</v>
      </c>
      <c r="B3" s="4" t="s">
        <v>203</v>
      </c>
      <c r="C3" s="29" t="s">
        <v>28</v>
      </c>
      <c r="D3" s="520" t="s">
        <v>67</v>
      </c>
      <c r="E3" s="208"/>
      <c r="F3" s="520" t="s">
        <v>67</v>
      </c>
      <c r="G3" s="520"/>
      <c r="H3" s="9"/>
      <c r="I3" s="9"/>
      <c r="J3" s="208"/>
      <c r="K3" s="208"/>
      <c r="L3" s="9"/>
      <c r="M3" s="9"/>
    </row>
    <row r="4" spans="1:66" s="585" customFormat="1">
      <c r="A4" s="308"/>
      <c r="B4" s="308"/>
      <c r="C4" s="308"/>
      <c r="D4" s="629"/>
      <c r="E4" s="629"/>
      <c r="F4" s="629"/>
      <c r="G4" s="629"/>
      <c r="H4" s="629"/>
      <c r="I4" s="629"/>
      <c r="J4" s="629"/>
      <c r="K4" s="629"/>
      <c r="L4" s="629"/>
      <c r="M4" s="584"/>
      <c r="S4" s="630"/>
    </row>
    <row r="5" spans="1:66" s="585" customFormat="1" ht="12.75" customHeight="1" outlineLevel="1">
      <c r="A5" s="308" t="s">
        <v>46</v>
      </c>
      <c r="B5" s="308">
        <v>2015</v>
      </c>
      <c r="C5" s="308" t="s">
        <v>47</v>
      </c>
      <c r="D5" s="629">
        <v>0</v>
      </c>
      <c r="E5" s="629"/>
      <c r="F5" s="629">
        <v>0</v>
      </c>
      <c r="G5" s="629">
        <f>D5+F5</f>
        <v>0</v>
      </c>
      <c r="H5" s="629">
        <f>D5</f>
        <v>0</v>
      </c>
      <c r="I5" s="629"/>
      <c r="J5" s="629">
        <v>0</v>
      </c>
      <c r="K5" s="629">
        <f>SUM(J$5:J5)</f>
        <v>0</v>
      </c>
      <c r="L5" s="629"/>
      <c r="M5" s="629">
        <f>H5-K5</f>
        <v>0</v>
      </c>
      <c r="O5" s="629">
        <f>$G$5/84</f>
        <v>0</v>
      </c>
      <c r="P5" s="629"/>
      <c r="Q5" s="629"/>
      <c r="R5" s="629"/>
      <c r="S5" s="629"/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629"/>
      <c r="AE5" s="629"/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29"/>
      <c r="AR5" s="629"/>
      <c r="AS5" s="629"/>
      <c r="AT5" s="629"/>
      <c r="AU5" s="629"/>
      <c r="AV5" s="629"/>
      <c r="AW5" s="629"/>
      <c r="AX5" s="629"/>
      <c r="AY5" s="629"/>
      <c r="AZ5" s="629"/>
      <c r="BA5" s="629"/>
      <c r="BB5" s="629"/>
      <c r="BC5" s="629"/>
      <c r="BD5" s="629"/>
      <c r="BE5" s="629"/>
      <c r="BF5" s="629"/>
      <c r="BG5" s="629"/>
      <c r="BH5" s="629"/>
      <c r="BI5" s="629"/>
      <c r="BJ5" s="629"/>
      <c r="BK5" s="629"/>
      <c r="BL5" s="629"/>
      <c r="BM5" s="629">
        <f>SUM(O5:BL5)</f>
        <v>0</v>
      </c>
    </row>
    <row r="6" spans="1:66" s="585" customFormat="1" ht="12.75" customHeight="1" outlineLevel="1">
      <c r="A6" s="308" t="s">
        <v>48</v>
      </c>
      <c r="B6" s="308">
        <f>+B5</f>
        <v>2015</v>
      </c>
      <c r="C6" s="308" t="s">
        <v>47</v>
      </c>
      <c r="D6" s="629">
        <v>0</v>
      </c>
      <c r="E6" s="629"/>
      <c r="F6" s="629">
        <v>0</v>
      </c>
      <c r="G6" s="629">
        <f t="shared" ref="G6:G56" si="2">D6+F6</f>
        <v>0</v>
      </c>
      <c r="H6" s="629">
        <f>H5+D6</f>
        <v>0</v>
      </c>
      <c r="I6" s="629"/>
      <c r="J6" s="629">
        <v>0</v>
      </c>
      <c r="K6" s="629">
        <f>SUM(J$5:J6)</f>
        <v>0</v>
      </c>
      <c r="L6" s="629"/>
      <c r="M6" s="629">
        <f t="shared" ref="M6:M69" si="3">H6-K6</f>
        <v>0</v>
      </c>
      <c r="O6" s="629">
        <f t="shared" ref="O6:O69" si="4">$H$5/84</f>
        <v>0</v>
      </c>
      <c r="P6" s="629">
        <f>$G$6/84</f>
        <v>0</v>
      </c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  <c r="AM6" s="629"/>
      <c r="AN6" s="629"/>
      <c r="AO6" s="629"/>
      <c r="AP6" s="629"/>
      <c r="AQ6" s="629"/>
      <c r="AR6" s="629"/>
      <c r="AS6" s="629"/>
      <c r="AT6" s="629"/>
      <c r="AU6" s="629"/>
      <c r="AV6" s="629"/>
      <c r="AW6" s="629"/>
      <c r="AX6" s="629"/>
      <c r="AY6" s="629"/>
      <c r="AZ6" s="629"/>
      <c r="BA6" s="629"/>
      <c r="BB6" s="629"/>
      <c r="BC6" s="629"/>
      <c r="BD6" s="629"/>
      <c r="BE6" s="629"/>
      <c r="BF6" s="629"/>
      <c r="BG6" s="629"/>
      <c r="BH6" s="629"/>
      <c r="BI6" s="629"/>
      <c r="BJ6" s="629"/>
      <c r="BK6" s="629"/>
      <c r="BL6" s="629"/>
      <c r="BM6" s="629">
        <f t="shared" ref="BM6:BM69" si="5">SUM(O6:BL6)</f>
        <v>0</v>
      </c>
    </row>
    <row r="7" spans="1:66" s="585" customFormat="1" ht="12.75" customHeight="1" outlineLevel="1">
      <c r="A7" s="308" t="s">
        <v>50</v>
      </c>
      <c r="B7" s="308">
        <f>+B6</f>
        <v>2015</v>
      </c>
      <c r="C7" s="308" t="s">
        <v>47</v>
      </c>
      <c r="D7" s="629">
        <v>3450</v>
      </c>
      <c r="E7" s="629"/>
      <c r="F7" s="629">
        <v>0</v>
      </c>
      <c r="G7" s="629">
        <f t="shared" si="2"/>
        <v>3450</v>
      </c>
      <c r="H7" s="629">
        <f>H6+D7</f>
        <v>3450</v>
      </c>
      <c r="I7" s="629"/>
      <c r="J7" s="629">
        <v>0</v>
      </c>
      <c r="K7" s="629">
        <f>SUM(J$5:J7)</f>
        <v>0</v>
      </c>
      <c r="L7" s="629"/>
      <c r="M7" s="629">
        <f t="shared" si="3"/>
        <v>3450</v>
      </c>
      <c r="O7" s="629">
        <f t="shared" si="4"/>
        <v>0</v>
      </c>
      <c r="P7" s="629">
        <f t="shared" ref="P7:P70" si="6">$H$6/84</f>
        <v>0</v>
      </c>
      <c r="Q7" s="629">
        <f>$G$7/84</f>
        <v>41.071428571428569</v>
      </c>
      <c r="R7" s="629"/>
      <c r="S7" s="629"/>
      <c r="T7" s="629"/>
      <c r="U7" s="629"/>
      <c r="V7" s="629"/>
      <c r="W7" s="629"/>
      <c r="X7" s="629"/>
      <c r="Y7" s="629"/>
      <c r="Z7" s="629"/>
      <c r="AA7" s="629"/>
      <c r="AB7" s="629"/>
      <c r="AC7" s="629"/>
      <c r="AD7" s="629"/>
      <c r="AE7" s="629"/>
      <c r="AF7" s="629"/>
      <c r="AG7" s="629"/>
      <c r="AH7" s="629"/>
      <c r="AI7" s="629"/>
      <c r="AJ7" s="629"/>
      <c r="AK7" s="629"/>
      <c r="AL7" s="629"/>
      <c r="AM7" s="629"/>
      <c r="AN7" s="629"/>
      <c r="AO7" s="629"/>
      <c r="AP7" s="629"/>
      <c r="AQ7" s="629"/>
      <c r="AR7" s="629"/>
      <c r="AS7" s="629"/>
      <c r="AT7" s="629"/>
      <c r="AU7" s="629"/>
      <c r="AV7" s="629"/>
      <c r="AW7" s="629"/>
      <c r="AX7" s="629"/>
      <c r="AY7" s="629"/>
      <c r="AZ7" s="629"/>
      <c r="BA7" s="629"/>
      <c r="BB7" s="629"/>
      <c r="BC7" s="629"/>
      <c r="BD7" s="629"/>
      <c r="BE7" s="629"/>
      <c r="BF7" s="629"/>
      <c r="BG7" s="629"/>
      <c r="BH7" s="629"/>
      <c r="BI7" s="629"/>
      <c r="BJ7" s="629"/>
      <c r="BK7" s="629"/>
      <c r="BL7" s="629"/>
      <c r="BM7" s="629">
        <f t="shared" si="5"/>
        <v>41.071428571428569</v>
      </c>
    </row>
    <row r="8" spans="1:66" s="585" customFormat="1" ht="12.75" customHeight="1" outlineLevel="1">
      <c r="A8" s="308" t="s">
        <v>51</v>
      </c>
      <c r="B8" s="308">
        <f>+B7</f>
        <v>2015</v>
      </c>
      <c r="C8" s="308" t="s">
        <v>47</v>
      </c>
      <c r="D8" s="629">
        <v>2948</v>
      </c>
      <c r="E8" s="629"/>
      <c r="F8" s="629">
        <v>10000</v>
      </c>
      <c r="G8" s="629">
        <f t="shared" si="2"/>
        <v>12948</v>
      </c>
      <c r="H8" s="629">
        <f>H7+G8</f>
        <v>16398</v>
      </c>
      <c r="I8" s="629"/>
      <c r="J8" s="629">
        <v>160.13</v>
      </c>
      <c r="K8" s="629">
        <f>SUM(J$5:J8)</f>
        <v>160.13</v>
      </c>
      <c r="L8" s="629"/>
      <c r="M8" s="629">
        <f t="shared" si="3"/>
        <v>16237.87</v>
      </c>
      <c r="O8" s="629">
        <f t="shared" si="4"/>
        <v>0</v>
      </c>
      <c r="P8" s="629">
        <f t="shared" si="6"/>
        <v>0</v>
      </c>
      <c r="Q8" s="629">
        <f t="shared" ref="Q8:Q71" si="7">$G$7/84</f>
        <v>41.071428571428569</v>
      </c>
      <c r="R8" s="629">
        <f>$G$8/84</f>
        <v>154.14285714285714</v>
      </c>
      <c r="S8" s="629"/>
      <c r="T8" s="629"/>
      <c r="U8" s="629"/>
      <c r="V8" s="629"/>
      <c r="W8" s="629"/>
      <c r="X8" s="629"/>
      <c r="Y8" s="629"/>
      <c r="Z8" s="629"/>
      <c r="AA8" s="629"/>
      <c r="AB8" s="629"/>
      <c r="AC8" s="629"/>
      <c r="AD8" s="629"/>
      <c r="AE8" s="629"/>
      <c r="AF8" s="629"/>
      <c r="AG8" s="629"/>
      <c r="AH8" s="629"/>
      <c r="AI8" s="629"/>
      <c r="AJ8" s="629"/>
      <c r="AK8" s="629"/>
      <c r="AL8" s="629"/>
      <c r="AM8" s="629"/>
      <c r="AN8" s="629"/>
      <c r="AO8" s="629"/>
      <c r="AP8" s="629"/>
      <c r="AQ8" s="629"/>
      <c r="AR8" s="629"/>
      <c r="AS8" s="629"/>
      <c r="AT8" s="629"/>
      <c r="AU8" s="629"/>
      <c r="AV8" s="629"/>
      <c r="AW8" s="629"/>
      <c r="AX8" s="629"/>
      <c r="AY8" s="629"/>
      <c r="AZ8" s="629"/>
      <c r="BA8" s="629"/>
      <c r="BB8" s="629"/>
      <c r="BC8" s="629"/>
      <c r="BD8" s="629"/>
      <c r="BE8" s="629"/>
      <c r="BF8" s="629"/>
      <c r="BG8" s="629"/>
      <c r="BH8" s="629"/>
      <c r="BI8" s="629"/>
      <c r="BJ8" s="629"/>
      <c r="BK8" s="629"/>
      <c r="BL8" s="629"/>
      <c r="BM8" s="629">
        <f t="shared" si="5"/>
        <v>195.21428571428572</v>
      </c>
    </row>
    <row r="9" spans="1:66" s="585" customFormat="1" ht="12.75" customHeight="1" outlineLevel="1">
      <c r="A9" s="308" t="s">
        <v>52</v>
      </c>
      <c r="B9" s="308">
        <f>+B8</f>
        <v>2015</v>
      </c>
      <c r="C9" s="308" t="s">
        <v>47</v>
      </c>
      <c r="D9" s="629">
        <v>9472.4</v>
      </c>
      <c r="E9" s="629"/>
      <c r="F9" s="629">
        <v>38869</v>
      </c>
      <c r="G9" s="629">
        <f t="shared" si="2"/>
        <v>48341.4</v>
      </c>
      <c r="H9" s="629">
        <f t="shared" ref="H9:H72" si="8">H8+G9</f>
        <v>64739.4</v>
      </c>
      <c r="I9" s="629"/>
      <c r="J9" s="629">
        <v>427.06000000000006</v>
      </c>
      <c r="K9" s="629">
        <f>SUM(J$5:J9)</f>
        <v>587.19000000000005</v>
      </c>
      <c r="L9" s="629"/>
      <c r="M9" s="629">
        <f t="shared" si="3"/>
        <v>64152.21</v>
      </c>
      <c r="O9" s="629">
        <f t="shared" si="4"/>
        <v>0</v>
      </c>
      <c r="P9" s="629">
        <f t="shared" si="6"/>
        <v>0</v>
      </c>
      <c r="Q9" s="629">
        <f t="shared" si="7"/>
        <v>41.071428571428569</v>
      </c>
      <c r="R9" s="629">
        <f t="shared" ref="R9:R72" si="9">$G$8/84</f>
        <v>154.14285714285714</v>
      </c>
      <c r="S9" s="629">
        <f>$G$9/84</f>
        <v>575.49285714285713</v>
      </c>
      <c r="T9" s="629"/>
      <c r="U9" s="629"/>
      <c r="V9" s="629"/>
      <c r="W9" s="629"/>
      <c r="X9" s="629"/>
      <c r="Y9" s="629"/>
      <c r="Z9" s="629"/>
      <c r="AA9" s="629"/>
      <c r="AB9" s="629"/>
      <c r="AC9" s="629"/>
      <c r="AD9" s="629"/>
      <c r="AE9" s="629"/>
      <c r="AF9" s="629"/>
      <c r="AG9" s="629"/>
      <c r="AH9" s="629"/>
      <c r="AI9" s="629"/>
      <c r="AJ9" s="629"/>
      <c r="AK9" s="629"/>
      <c r="AL9" s="629"/>
      <c r="AM9" s="629"/>
      <c r="AN9" s="629"/>
      <c r="AO9" s="629"/>
      <c r="AP9" s="629"/>
      <c r="AQ9" s="629"/>
      <c r="AR9" s="629"/>
      <c r="AS9" s="629"/>
      <c r="AT9" s="629"/>
      <c r="AU9" s="629"/>
      <c r="AV9" s="629"/>
      <c r="AW9" s="629"/>
      <c r="AX9" s="629"/>
      <c r="AY9" s="629"/>
      <c r="AZ9" s="629"/>
      <c r="BA9" s="629"/>
      <c r="BB9" s="629"/>
      <c r="BC9" s="629"/>
      <c r="BD9" s="629"/>
      <c r="BE9" s="629"/>
      <c r="BF9" s="629"/>
      <c r="BG9" s="629"/>
      <c r="BH9" s="629"/>
      <c r="BI9" s="629"/>
      <c r="BJ9" s="629"/>
      <c r="BK9" s="629"/>
      <c r="BL9" s="629"/>
      <c r="BM9" s="629">
        <f t="shared" si="5"/>
        <v>770.7071428571428</v>
      </c>
    </row>
    <row r="10" spans="1:66" s="585" customFormat="1" ht="12.75" customHeight="1" outlineLevel="1">
      <c r="A10" s="308" t="s">
        <v>53</v>
      </c>
      <c r="B10" s="308">
        <f>B9+1</f>
        <v>2016</v>
      </c>
      <c r="C10" s="308" t="s">
        <v>47</v>
      </c>
      <c r="D10" s="629">
        <v>25508</v>
      </c>
      <c r="E10" s="629"/>
      <c r="F10" s="629">
        <v>132376</v>
      </c>
      <c r="G10" s="629">
        <f t="shared" si="2"/>
        <v>157884</v>
      </c>
      <c r="H10" s="629">
        <f t="shared" si="8"/>
        <v>222623.4</v>
      </c>
      <c r="I10" s="629"/>
      <c r="J10" s="629">
        <v>1243.7</v>
      </c>
      <c r="K10" s="629">
        <f>SUM(J$5:J10)</f>
        <v>1830.89</v>
      </c>
      <c r="L10" s="629"/>
      <c r="M10" s="629">
        <f t="shared" si="3"/>
        <v>220792.50999999998</v>
      </c>
      <c r="O10" s="629">
        <f t="shared" si="4"/>
        <v>0</v>
      </c>
      <c r="P10" s="629">
        <f t="shared" si="6"/>
        <v>0</v>
      </c>
      <c r="Q10" s="629">
        <f t="shared" si="7"/>
        <v>41.071428571428569</v>
      </c>
      <c r="R10" s="629">
        <f t="shared" si="9"/>
        <v>154.14285714285714</v>
      </c>
      <c r="S10" s="629">
        <f t="shared" ref="S10:S73" si="10">$G$9/84</f>
        <v>575.49285714285713</v>
      </c>
      <c r="T10" s="629">
        <f>$G$10/84</f>
        <v>1879.5714285714287</v>
      </c>
      <c r="U10" s="629"/>
      <c r="V10" s="629"/>
      <c r="W10" s="629"/>
      <c r="X10" s="629"/>
      <c r="Y10" s="629"/>
      <c r="Z10" s="629"/>
      <c r="AA10" s="629"/>
      <c r="AB10" s="629"/>
      <c r="AC10" s="629"/>
      <c r="AD10" s="629"/>
      <c r="AE10" s="629"/>
      <c r="AF10" s="629"/>
      <c r="AG10" s="629"/>
      <c r="AH10" s="629"/>
      <c r="AI10" s="629"/>
      <c r="AJ10" s="629"/>
      <c r="AK10" s="629"/>
      <c r="AL10" s="629"/>
      <c r="AM10" s="629"/>
      <c r="AN10" s="629"/>
      <c r="AO10" s="629"/>
      <c r="AP10" s="629"/>
      <c r="AQ10" s="629"/>
      <c r="AR10" s="629"/>
      <c r="AS10" s="629"/>
      <c r="AT10" s="629"/>
      <c r="AU10" s="629"/>
      <c r="AV10" s="629"/>
      <c r="AW10" s="629"/>
      <c r="AX10" s="629"/>
      <c r="AY10" s="629"/>
      <c r="AZ10" s="629"/>
      <c r="BA10" s="629"/>
      <c r="BB10" s="629"/>
      <c r="BC10" s="629"/>
      <c r="BD10" s="629"/>
      <c r="BE10" s="629"/>
      <c r="BF10" s="629"/>
      <c r="BG10" s="629"/>
      <c r="BH10" s="629"/>
      <c r="BI10" s="629"/>
      <c r="BJ10" s="629"/>
      <c r="BK10" s="629"/>
      <c r="BL10" s="629"/>
      <c r="BM10" s="629">
        <f t="shared" si="5"/>
        <v>2650.2785714285715</v>
      </c>
    </row>
    <row r="11" spans="1:66" s="585" customFormat="1" ht="12.75" customHeight="1" outlineLevel="1">
      <c r="A11" s="308" t="s">
        <v>54</v>
      </c>
      <c r="B11" s="308">
        <f t="shared" ref="B11:B16" si="11">+B10</f>
        <v>2016</v>
      </c>
      <c r="C11" s="308" t="s">
        <v>47</v>
      </c>
      <c r="D11" s="629">
        <v>31408</v>
      </c>
      <c r="E11" s="629"/>
      <c r="F11" s="629">
        <v>278393.71000000002</v>
      </c>
      <c r="G11" s="629">
        <f t="shared" si="2"/>
        <v>309801.71000000002</v>
      </c>
      <c r="H11" s="629">
        <f t="shared" si="8"/>
        <v>532425.11</v>
      </c>
      <c r="I11" s="629"/>
      <c r="J11" s="629">
        <v>3331.7200000000003</v>
      </c>
      <c r="K11" s="629">
        <f>SUM(J$5:J11)</f>
        <v>5162.6100000000006</v>
      </c>
      <c r="L11" s="629"/>
      <c r="M11" s="629">
        <f t="shared" si="3"/>
        <v>527262.5</v>
      </c>
      <c r="O11" s="629">
        <f t="shared" si="4"/>
        <v>0</v>
      </c>
      <c r="P11" s="629">
        <f t="shared" si="6"/>
        <v>0</v>
      </c>
      <c r="Q11" s="629">
        <f t="shared" si="7"/>
        <v>41.071428571428569</v>
      </c>
      <c r="R11" s="629">
        <f t="shared" si="9"/>
        <v>154.14285714285714</v>
      </c>
      <c r="S11" s="629">
        <f t="shared" si="10"/>
        <v>575.49285714285713</v>
      </c>
      <c r="T11" s="629">
        <f t="shared" ref="T11:T74" si="12">$G$10/84</f>
        <v>1879.5714285714287</v>
      </c>
      <c r="U11" s="629">
        <f>$G$11/84</f>
        <v>3688.1155952380955</v>
      </c>
      <c r="V11" s="629"/>
      <c r="W11" s="629"/>
      <c r="X11" s="629"/>
      <c r="Y11" s="629"/>
      <c r="Z11" s="629"/>
      <c r="AA11" s="629"/>
      <c r="AB11" s="629"/>
      <c r="AC11" s="629"/>
      <c r="AD11" s="629"/>
      <c r="AE11" s="629"/>
      <c r="AF11" s="629"/>
      <c r="AG11" s="629"/>
      <c r="AH11" s="629"/>
      <c r="AI11" s="629"/>
      <c r="AJ11" s="629"/>
      <c r="AK11" s="629"/>
      <c r="AL11" s="629"/>
      <c r="AM11" s="629"/>
      <c r="AN11" s="629"/>
      <c r="AO11" s="629"/>
      <c r="AP11" s="629"/>
      <c r="AQ11" s="629"/>
      <c r="AR11" s="629"/>
      <c r="AS11" s="629"/>
      <c r="AT11" s="629"/>
      <c r="AU11" s="629"/>
      <c r="AV11" s="629"/>
      <c r="AW11" s="629"/>
      <c r="AX11" s="629"/>
      <c r="AY11" s="629"/>
      <c r="AZ11" s="629"/>
      <c r="BA11" s="629"/>
      <c r="BB11" s="629"/>
      <c r="BC11" s="629"/>
      <c r="BD11" s="629"/>
      <c r="BE11" s="629"/>
      <c r="BF11" s="629"/>
      <c r="BG11" s="629"/>
      <c r="BH11" s="629"/>
      <c r="BI11" s="629"/>
      <c r="BJ11" s="629"/>
      <c r="BK11" s="629"/>
      <c r="BL11" s="629"/>
      <c r="BM11" s="629">
        <f t="shared" si="5"/>
        <v>6338.3941666666669</v>
      </c>
    </row>
    <row r="12" spans="1:66" s="585" customFormat="1" ht="12.75" customHeight="1" outlineLevel="1">
      <c r="A12" s="308" t="s">
        <v>55</v>
      </c>
      <c r="B12" s="308">
        <f t="shared" si="11"/>
        <v>2016</v>
      </c>
      <c r="C12" s="308" t="s">
        <v>47</v>
      </c>
      <c r="D12" s="629">
        <v>74169.789999999994</v>
      </c>
      <c r="E12" s="629"/>
      <c r="F12" s="629">
        <v>301341</v>
      </c>
      <c r="G12" s="629">
        <f t="shared" si="2"/>
        <v>375510.79</v>
      </c>
      <c r="H12" s="629">
        <f t="shared" si="8"/>
        <v>907935.89999999991</v>
      </c>
      <c r="I12" s="629"/>
      <c r="J12" s="629">
        <v>9591.49</v>
      </c>
      <c r="K12" s="629">
        <f>SUM(J$5:J12)</f>
        <v>14754.1</v>
      </c>
      <c r="L12" s="629"/>
      <c r="M12" s="629">
        <f t="shared" si="3"/>
        <v>893181.79999999993</v>
      </c>
      <c r="O12" s="629">
        <f t="shared" si="4"/>
        <v>0</v>
      </c>
      <c r="P12" s="629">
        <f t="shared" si="6"/>
        <v>0</v>
      </c>
      <c r="Q12" s="629">
        <f t="shared" si="7"/>
        <v>41.071428571428569</v>
      </c>
      <c r="R12" s="629">
        <f t="shared" si="9"/>
        <v>154.14285714285714</v>
      </c>
      <c r="S12" s="629">
        <f t="shared" si="10"/>
        <v>575.49285714285713</v>
      </c>
      <c r="T12" s="629">
        <f t="shared" si="12"/>
        <v>1879.5714285714287</v>
      </c>
      <c r="U12" s="629">
        <f t="shared" ref="U12:U75" si="13">$G$11/84</f>
        <v>3688.1155952380955</v>
      </c>
      <c r="V12" s="629">
        <f>$G$12/84</f>
        <v>4470.3665476190472</v>
      </c>
      <c r="W12" s="629"/>
      <c r="X12" s="629"/>
      <c r="Y12" s="629"/>
      <c r="Z12" s="629"/>
      <c r="AA12" s="629"/>
      <c r="AB12" s="629"/>
      <c r="AC12" s="629"/>
      <c r="AD12" s="629"/>
      <c r="AE12" s="629"/>
      <c r="AF12" s="629"/>
      <c r="AG12" s="629"/>
      <c r="AH12" s="629"/>
      <c r="AI12" s="629"/>
      <c r="AJ12" s="629"/>
      <c r="AK12" s="629"/>
      <c r="AL12" s="629"/>
      <c r="AM12" s="629"/>
      <c r="AN12" s="629"/>
      <c r="AO12" s="629"/>
      <c r="AP12" s="629"/>
      <c r="AQ12" s="629"/>
      <c r="AR12" s="629"/>
      <c r="AS12" s="629"/>
      <c r="AT12" s="629"/>
      <c r="AU12" s="629"/>
      <c r="AV12" s="629"/>
      <c r="AW12" s="629"/>
      <c r="AX12" s="629"/>
      <c r="AY12" s="629"/>
      <c r="AZ12" s="629"/>
      <c r="BA12" s="629"/>
      <c r="BB12" s="629"/>
      <c r="BC12" s="629"/>
      <c r="BD12" s="629"/>
      <c r="BE12" s="629"/>
      <c r="BF12" s="629"/>
      <c r="BG12" s="629"/>
      <c r="BH12" s="629"/>
      <c r="BI12" s="629"/>
      <c r="BJ12" s="629"/>
      <c r="BK12" s="629"/>
      <c r="BL12" s="629"/>
      <c r="BM12" s="629">
        <f t="shared" si="5"/>
        <v>10808.760714285714</v>
      </c>
    </row>
    <row r="13" spans="1:66" s="585" customFormat="1" ht="12.75" customHeight="1" outlineLevel="1">
      <c r="A13" s="308" t="s">
        <v>56</v>
      </c>
      <c r="B13" s="308">
        <f t="shared" si="11"/>
        <v>2016</v>
      </c>
      <c r="C13" s="308" t="s">
        <v>47</v>
      </c>
      <c r="D13" s="629">
        <v>47776.7</v>
      </c>
      <c r="E13" s="629"/>
      <c r="F13" s="629">
        <v>297171.67</v>
      </c>
      <c r="G13" s="629">
        <f t="shared" si="2"/>
        <v>344948.37</v>
      </c>
      <c r="H13" s="629">
        <f t="shared" si="8"/>
        <v>1252884.27</v>
      </c>
      <c r="I13" s="629"/>
      <c r="J13" s="629">
        <v>12971.33</v>
      </c>
      <c r="K13" s="629">
        <f>SUM(J$5:J13)</f>
        <v>27725.43</v>
      </c>
      <c r="L13" s="629"/>
      <c r="M13" s="629">
        <f t="shared" si="3"/>
        <v>1225158.8400000001</v>
      </c>
      <c r="O13" s="629">
        <f t="shared" si="4"/>
        <v>0</v>
      </c>
      <c r="P13" s="629">
        <f t="shared" si="6"/>
        <v>0</v>
      </c>
      <c r="Q13" s="629">
        <f t="shared" si="7"/>
        <v>41.071428571428569</v>
      </c>
      <c r="R13" s="629">
        <f t="shared" si="9"/>
        <v>154.14285714285714</v>
      </c>
      <c r="S13" s="629">
        <f t="shared" si="10"/>
        <v>575.49285714285713</v>
      </c>
      <c r="T13" s="629">
        <f t="shared" si="12"/>
        <v>1879.5714285714287</v>
      </c>
      <c r="U13" s="629">
        <f t="shared" si="13"/>
        <v>3688.1155952380955</v>
      </c>
      <c r="V13" s="629">
        <f t="shared" ref="V13:V76" si="14">$G$12/84</f>
        <v>4470.3665476190472</v>
      </c>
      <c r="W13" s="629">
        <f t="shared" ref="W13:W76" si="15">$G$13/84</f>
        <v>4106.5282142857141</v>
      </c>
      <c r="X13" s="629"/>
      <c r="Y13" s="629"/>
      <c r="Z13" s="629"/>
      <c r="AA13" s="629"/>
      <c r="AB13" s="629"/>
      <c r="AC13" s="629"/>
      <c r="AD13" s="629"/>
      <c r="AE13" s="629"/>
      <c r="AF13" s="629"/>
      <c r="AG13" s="629"/>
      <c r="AH13" s="629"/>
      <c r="AI13" s="629"/>
      <c r="AJ13" s="629"/>
      <c r="AK13" s="629"/>
      <c r="AL13" s="629"/>
      <c r="AM13" s="629"/>
      <c r="AN13" s="629"/>
      <c r="AO13" s="629"/>
      <c r="AP13" s="629"/>
      <c r="AQ13" s="629"/>
      <c r="AR13" s="629"/>
      <c r="AS13" s="629"/>
      <c r="AT13" s="629"/>
      <c r="AU13" s="629"/>
      <c r="AV13" s="629"/>
      <c r="AW13" s="629"/>
      <c r="AX13" s="629"/>
      <c r="AY13" s="629"/>
      <c r="AZ13" s="629"/>
      <c r="BA13" s="629"/>
      <c r="BB13" s="629"/>
      <c r="BC13" s="629"/>
      <c r="BD13" s="629"/>
      <c r="BE13" s="629"/>
      <c r="BF13" s="629"/>
      <c r="BG13" s="629"/>
      <c r="BH13" s="629"/>
      <c r="BI13" s="629"/>
      <c r="BJ13" s="629"/>
      <c r="BK13" s="629"/>
      <c r="BL13" s="629"/>
      <c r="BM13" s="629">
        <f t="shared" si="5"/>
        <v>14915.288928571428</v>
      </c>
    </row>
    <row r="14" spans="1:66" s="585" customFormat="1" ht="12.75" customHeight="1" outlineLevel="1">
      <c r="A14" s="308" t="s">
        <v>57</v>
      </c>
      <c r="B14" s="308">
        <f t="shared" si="11"/>
        <v>2016</v>
      </c>
      <c r="C14" s="308" t="s">
        <v>47</v>
      </c>
      <c r="D14" s="629">
        <v>56972.89</v>
      </c>
      <c r="E14" s="629"/>
      <c r="F14" s="629">
        <v>280600.13</v>
      </c>
      <c r="G14" s="629">
        <f t="shared" si="2"/>
        <v>337573.02</v>
      </c>
      <c r="H14" s="629">
        <f t="shared" si="8"/>
        <v>1590457.29</v>
      </c>
      <c r="I14" s="629"/>
      <c r="J14" s="629">
        <v>21462.84</v>
      </c>
      <c r="K14" s="629">
        <f>SUM(J$5:J14)</f>
        <v>49188.270000000004</v>
      </c>
      <c r="L14" s="629"/>
      <c r="M14" s="629">
        <f t="shared" si="3"/>
        <v>1541269.02</v>
      </c>
      <c r="O14" s="629">
        <f t="shared" si="4"/>
        <v>0</v>
      </c>
      <c r="P14" s="629">
        <f t="shared" si="6"/>
        <v>0</v>
      </c>
      <c r="Q14" s="629">
        <f t="shared" si="7"/>
        <v>41.071428571428569</v>
      </c>
      <c r="R14" s="629">
        <f t="shared" si="9"/>
        <v>154.14285714285714</v>
      </c>
      <c r="S14" s="629">
        <f t="shared" si="10"/>
        <v>575.49285714285713</v>
      </c>
      <c r="T14" s="629">
        <f t="shared" si="12"/>
        <v>1879.5714285714287</v>
      </c>
      <c r="U14" s="629">
        <f t="shared" si="13"/>
        <v>3688.1155952380955</v>
      </c>
      <c r="V14" s="629">
        <f t="shared" si="14"/>
        <v>4470.3665476190472</v>
      </c>
      <c r="W14" s="629">
        <f t="shared" si="15"/>
        <v>4106.5282142857141</v>
      </c>
      <c r="X14" s="629">
        <f>$G$14/84</f>
        <v>4018.7264285714286</v>
      </c>
      <c r="Y14" s="629"/>
      <c r="Z14" s="629"/>
      <c r="AA14" s="629"/>
      <c r="AB14" s="629"/>
      <c r="AC14" s="629"/>
      <c r="AD14" s="629"/>
      <c r="AE14" s="629"/>
      <c r="AF14" s="629"/>
      <c r="AG14" s="629"/>
      <c r="AH14" s="629"/>
      <c r="AI14" s="629"/>
      <c r="AJ14" s="629"/>
      <c r="AK14" s="629"/>
      <c r="AL14" s="629"/>
      <c r="AM14" s="629"/>
      <c r="AN14" s="629"/>
      <c r="AO14" s="629"/>
      <c r="AP14" s="629"/>
      <c r="AQ14" s="629"/>
      <c r="AR14" s="629"/>
      <c r="AS14" s="629"/>
      <c r="AT14" s="629"/>
      <c r="AU14" s="629"/>
      <c r="AV14" s="629"/>
      <c r="AW14" s="629"/>
      <c r="AX14" s="629"/>
      <c r="AY14" s="629"/>
      <c r="AZ14" s="629"/>
      <c r="BA14" s="629"/>
      <c r="BB14" s="629"/>
      <c r="BC14" s="629"/>
      <c r="BD14" s="629"/>
      <c r="BE14" s="629"/>
      <c r="BF14" s="629"/>
      <c r="BG14" s="629"/>
      <c r="BH14" s="629"/>
      <c r="BI14" s="629"/>
      <c r="BJ14" s="629"/>
      <c r="BK14" s="629"/>
      <c r="BL14" s="629"/>
      <c r="BM14" s="629">
        <f t="shared" si="5"/>
        <v>18934.015357142856</v>
      </c>
    </row>
    <row r="15" spans="1:66" s="585" customFormat="1" ht="12.75" customHeight="1" outlineLevel="1">
      <c r="A15" s="308" t="s">
        <v>58</v>
      </c>
      <c r="B15" s="308">
        <f t="shared" si="11"/>
        <v>2016</v>
      </c>
      <c r="C15" s="308" t="s">
        <v>47</v>
      </c>
      <c r="D15" s="629">
        <v>33693.64</v>
      </c>
      <c r="E15" s="629"/>
      <c r="F15" s="629">
        <v>211252</v>
      </c>
      <c r="G15" s="629">
        <f t="shared" si="2"/>
        <v>244945.64</v>
      </c>
      <c r="H15" s="629">
        <f t="shared" si="8"/>
        <v>1835402.9300000002</v>
      </c>
      <c r="I15" s="629"/>
      <c r="J15" s="629">
        <v>30652.859999999997</v>
      </c>
      <c r="K15" s="629">
        <f>SUM(J$5:J15)</f>
        <v>79841.13</v>
      </c>
      <c r="L15" s="629"/>
      <c r="M15" s="629">
        <f t="shared" si="3"/>
        <v>1755561.8000000003</v>
      </c>
      <c r="O15" s="629">
        <f t="shared" si="4"/>
        <v>0</v>
      </c>
      <c r="P15" s="629">
        <f t="shared" si="6"/>
        <v>0</v>
      </c>
      <c r="Q15" s="629">
        <f t="shared" si="7"/>
        <v>41.071428571428569</v>
      </c>
      <c r="R15" s="629">
        <f t="shared" si="9"/>
        <v>154.14285714285714</v>
      </c>
      <c r="S15" s="629">
        <f t="shared" si="10"/>
        <v>575.49285714285713</v>
      </c>
      <c r="T15" s="629">
        <f t="shared" si="12"/>
        <v>1879.5714285714287</v>
      </c>
      <c r="U15" s="629">
        <f t="shared" si="13"/>
        <v>3688.1155952380955</v>
      </c>
      <c r="V15" s="629">
        <f t="shared" si="14"/>
        <v>4470.3665476190472</v>
      </c>
      <c r="W15" s="629">
        <f t="shared" si="15"/>
        <v>4106.5282142857141</v>
      </c>
      <c r="X15" s="629">
        <f t="shared" ref="X15:X78" si="16">$G$14/84</f>
        <v>4018.7264285714286</v>
      </c>
      <c r="Y15" s="629">
        <f t="shared" ref="Y15:Y78" si="17">$G$15/84</f>
        <v>2916.0195238095239</v>
      </c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  <c r="BJ15" s="629"/>
      <c r="BK15" s="629"/>
      <c r="BL15" s="629"/>
      <c r="BM15" s="629">
        <f t="shared" si="5"/>
        <v>21850.034880952378</v>
      </c>
    </row>
    <row r="16" spans="1:66" s="585" customFormat="1" ht="12.75" customHeight="1">
      <c r="A16" s="308" t="s">
        <v>59</v>
      </c>
      <c r="B16" s="308">
        <f t="shared" si="11"/>
        <v>2016</v>
      </c>
      <c r="C16" s="308" t="s">
        <v>47</v>
      </c>
      <c r="D16" s="629">
        <v>35422.949999999997</v>
      </c>
      <c r="E16" s="629"/>
      <c r="F16" s="629">
        <v>178471</v>
      </c>
      <c r="G16" s="629">
        <f t="shared" si="2"/>
        <v>213893.95</v>
      </c>
      <c r="H16" s="629">
        <f t="shared" si="8"/>
        <v>2049296.8800000001</v>
      </c>
      <c r="I16" s="629"/>
      <c r="J16" s="629">
        <v>21500.690000000002</v>
      </c>
      <c r="K16" s="629">
        <f>SUM(J$5:J16)</f>
        <v>101341.82</v>
      </c>
      <c r="L16" s="629"/>
      <c r="M16" s="629">
        <f t="shared" si="3"/>
        <v>1947955.06</v>
      </c>
      <c r="O16" s="629">
        <f t="shared" si="4"/>
        <v>0</v>
      </c>
      <c r="P16" s="629">
        <f t="shared" si="6"/>
        <v>0</v>
      </c>
      <c r="Q16" s="629">
        <f t="shared" si="7"/>
        <v>41.071428571428569</v>
      </c>
      <c r="R16" s="629">
        <f t="shared" si="9"/>
        <v>154.14285714285714</v>
      </c>
      <c r="S16" s="629">
        <f t="shared" si="10"/>
        <v>575.49285714285713</v>
      </c>
      <c r="T16" s="629">
        <f t="shared" si="12"/>
        <v>1879.5714285714287</v>
      </c>
      <c r="U16" s="629">
        <f t="shared" si="13"/>
        <v>3688.1155952380955</v>
      </c>
      <c r="V16" s="629">
        <f t="shared" si="14"/>
        <v>4470.3665476190472</v>
      </c>
      <c r="W16" s="629">
        <f t="shared" si="15"/>
        <v>4106.5282142857141</v>
      </c>
      <c r="X16" s="629">
        <f t="shared" si="16"/>
        <v>4018.7264285714286</v>
      </c>
      <c r="Y16" s="629">
        <f t="shared" si="17"/>
        <v>2916.0195238095239</v>
      </c>
      <c r="Z16" s="629">
        <f>$G$16/84</f>
        <v>2546.3565476190479</v>
      </c>
      <c r="AA16" s="629"/>
      <c r="AB16" s="629"/>
      <c r="AC16" s="629"/>
      <c r="AD16" s="629"/>
      <c r="AE16" s="629"/>
      <c r="AF16" s="629"/>
      <c r="AG16" s="629"/>
      <c r="AH16" s="629"/>
      <c r="AI16" s="629"/>
      <c r="AJ16" s="629"/>
      <c r="AK16" s="629"/>
      <c r="AL16" s="629"/>
      <c r="AM16" s="629"/>
      <c r="AN16" s="629"/>
      <c r="AO16" s="629"/>
      <c r="AP16" s="629"/>
      <c r="AQ16" s="629"/>
      <c r="AR16" s="629"/>
      <c r="AS16" s="629"/>
      <c r="AT16" s="629"/>
      <c r="AU16" s="629"/>
      <c r="AV16" s="629"/>
      <c r="AW16" s="629"/>
      <c r="AX16" s="629"/>
      <c r="AY16" s="629"/>
      <c r="AZ16" s="629"/>
      <c r="BA16" s="629"/>
      <c r="BB16" s="629"/>
      <c r="BC16" s="629"/>
      <c r="BD16" s="629"/>
      <c r="BE16" s="629"/>
      <c r="BF16" s="629"/>
      <c r="BG16" s="629"/>
      <c r="BH16" s="629"/>
      <c r="BI16" s="629"/>
      <c r="BJ16" s="629"/>
      <c r="BK16" s="629"/>
      <c r="BL16" s="629"/>
      <c r="BM16" s="629">
        <f t="shared" si="5"/>
        <v>24396.391428571427</v>
      </c>
    </row>
    <row r="17" spans="1:65" s="585" customFormat="1" ht="12.75" customHeight="1">
      <c r="A17" s="308" t="s">
        <v>46</v>
      </c>
      <c r="B17" s="308">
        <f>+B5+1</f>
        <v>2016</v>
      </c>
      <c r="C17" s="308" t="s">
        <v>47</v>
      </c>
      <c r="D17" s="629">
        <v>46573</v>
      </c>
      <c r="E17" s="629"/>
      <c r="F17" s="629">
        <v>367771.5</v>
      </c>
      <c r="G17" s="629">
        <f t="shared" si="2"/>
        <v>414344.5</v>
      </c>
      <c r="H17" s="629">
        <f t="shared" si="8"/>
        <v>2463641.38</v>
      </c>
      <c r="I17" s="629"/>
      <c r="J17" s="629">
        <v>40218.589999999997</v>
      </c>
      <c r="K17" s="629">
        <f>SUM(J$5:J17)</f>
        <v>141560.41</v>
      </c>
      <c r="L17" s="629"/>
      <c r="M17" s="629">
        <f t="shared" si="3"/>
        <v>2322080.9699999997</v>
      </c>
      <c r="O17" s="629">
        <f t="shared" si="4"/>
        <v>0</v>
      </c>
      <c r="P17" s="629">
        <f t="shared" si="6"/>
        <v>0</v>
      </c>
      <c r="Q17" s="629">
        <f t="shared" si="7"/>
        <v>41.071428571428569</v>
      </c>
      <c r="R17" s="629">
        <f t="shared" si="9"/>
        <v>154.14285714285714</v>
      </c>
      <c r="S17" s="629">
        <f t="shared" si="10"/>
        <v>575.49285714285713</v>
      </c>
      <c r="T17" s="629">
        <f t="shared" si="12"/>
        <v>1879.5714285714287</v>
      </c>
      <c r="U17" s="629">
        <f t="shared" si="13"/>
        <v>3688.1155952380955</v>
      </c>
      <c r="V17" s="629">
        <f t="shared" si="14"/>
        <v>4470.3665476190472</v>
      </c>
      <c r="W17" s="629">
        <f t="shared" si="15"/>
        <v>4106.5282142857141</v>
      </c>
      <c r="X17" s="629">
        <f t="shared" si="16"/>
        <v>4018.7264285714286</v>
      </c>
      <c r="Y17" s="629">
        <f t="shared" si="17"/>
        <v>2916.0195238095239</v>
      </c>
      <c r="Z17" s="629">
        <f t="shared" ref="Z17:Z80" si="18">$G$16/84</f>
        <v>2546.3565476190479</v>
      </c>
      <c r="AA17" s="629">
        <f t="shared" ref="AA17:AA80" si="19">$G$17/84</f>
        <v>4932.6726190476193</v>
      </c>
      <c r="AB17" s="629"/>
      <c r="AC17" s="629"/>
      <c r="AD17" s="629"/>
      <c r="AE17" s="629"/>
      <c r="AF17" s="629"/>
      <c r="AG17" s="629"/>
      <c r="AH17" s="629"/>
      <c r="AI17" s="629"/>
      <c r="AJ17" s="629"/>
      <c r="AK17" s="629"/>
      <c r="AL17" s="629"/>
      <c r="AM17" s="629"/>
      <c r="AN17" s="629"/>
      <c r="AO17" s="629"/>
      <c r="AP17" s="629"/>
      <c r="AQ17" s="629"/>
      <c r="AR17" s="629"/>
      <c r="AS17" s="629"/>
      <c r="AT17" s="629"/>
      <c r="AU17" s="629"/>
      <c r="AV17" s="629"/>
      <c r="AW17" s="629"/>
      <c r="AX17" s="629"/>
      <c r="AY17" s="629"/>
      <c r="AZ17" s="629"/>
      <c r="BA17" s="629"/>
      <c r="BB17" s="629"/>
      <c r="BC17" s="629"/>
      <c r="BD17" s="629"/>
      <c r="BE17" s="629"/>
      <c r="BF17" s="629"/>
      <c r="BG17" s="629"/>
      <c r="BH17" s="629"/>
      <c r="BI17" s="629"/>
      <c r="BJ17" s="629"/>
      <c r="BK17" s="629"/>
      <c r="BL17" s="629"/>
      <c r="BM17" s="629">
        <f t="shared" si="5"/>
        <v>29329.064047619046</v>
      </c>
    </row>
    <row r="18" spans="1:65" s="585" customFormat="1" ht="12.75" customHeight="1">
      <c r="A18" s="308" t="s">
        <v>48</v>
      </c>
      <c r="B18" s="308">
        <f t="shared" ref="B18:B81" si="20">+B6+1</f>
        <v>2016</v>
      </c>
      <c r="C18" s="308" t="s">
        <v>47</v>
      </c>
      <c r="D18" s="629">
        <v>34656</v>
      </c>
      <c r="E18" s="629"/>
      <c r="F18" s="629">
        <v>476245.4</v>
      </c>
      <c r="G18" s="629">
        <f t="shared" si="2"/>
        <v>510901.4</v>
      </c>
      <c r="H18" s="629">
        <f t="shared" si="8"/>
        <v>2974542.78</v>
      </c>
      <c r="I18" s="629"/>
      <c r="J18" s="629">
        <v>42016.67</v>
      </c>
      <c r="K18" s="629">
        <f>SUM(J$5:J18)</f>
        <v>183577.08000000002</v>
      </c>
      <c r="L18" s="629"/>
      <c r="M18" s="629">
        <f t="shared" si="3"/>
        <v>2790965.6999999997</v>
      </c>
      <c r="O18" s="629">
        <f t="shared" si="4"/>
        <v>0</v>
      </c>
      <c r="P18" s="629">
        <f t="shared" si="6"/>
        <v>0</v>
      </c>
      <c r="Q18" s="629">
        <f t="shared" si="7"/>
        <v>41.071428571428569</v>
      </c>
      <c r="R18" s="629">
        <f t="shared" si="9"/>
        <v>154.14285714285714</v>
      </c>
      <c r="S18" s="629">
        <f t="shared" si="10"/>
        <v>575.49285714285713</v>
      </c>
      <c r="T18" s="629">
        <f t="shared" si="12"/>
        <v>1879.5714285714287</v>
      </c>
      <c r="U18" s="629">
        <f t="shared" si="13"/>
        <v>3688.1155952380955</v>
      </c>
      <c r="V18" s="629">
        <f t="shared" si="14"/>
        <v>4470.3665476190472</v>
      </c>
      <c r="W18" s="629">
        <f t="shared" si="15"/>
        <v>4106.5282142857141</v>
      </c>
      <c r="X18" s="629">
        <f t="shared" si="16"/>
        <v>4018.7264285714286</v>
      </c>
      <c r="Y18" s="629">
        <f t="shared" si="17"/>
        <v>2916.0195238095239</v>
      </c>
      <c r="Z18" s="629">
        <f t="shared" si="18"/>
        <v>2546.3565476190479</v>
      </c>
      <c r="AA18" s="629">
        <f t="shared" si="19"/>
        <v>4932.6726190476193</v>
      </c>
      <c r="AB18" s="629">
        <f>$G$18/84</f>
        <v>6082.1595238095242</v>
      </c>
      <c r="AC18" s="629"/>
      <c r="AD18" s="629"/>
      <c r="AE18" s="629"/>
      <c r="AF18" s="629"/>
      <c r="AG18" s="629"/>
      <c r="AH18" s="629"/>
      <c r="AI18" s="629"/>
      <c r="AJ18" s="629"/>
      <c r="AK18" s="629"/>
      <c r="AL18" s="629"/>
      <c r="AM18" s="629"/>
      <c r="AN18" s="629"/>
      <c r="AO18" s="629"/>
      <c r="AP18" s="629"/>
      <c r="AQ18" s="629"/>
      <c r="AR18" s="629"/>
      <c r="AS18" s="629"/>
      <c r="AT18" s="629"/>
      <c r="AU18" s="629"/>
      <c r="AV18" s="629"/>
      <c r="AW18" s="629"/>
      <c r="AX18" s="629"/>
      <c r="AY18" s="629"/>
      <c r="AZ18" s="629"/>
      <c r="BA18" s="629"/>
      <c r="BB18" s="629"/>
      <c r="BC18" s="629"/>
      <c r="BD18" s="629"/>
      <c r="BE18" s="629"/>
      <c r="BF18" s="629"/>
      <c r="BG18" s="629"/>
      <c r="BH18" s="629"/>
      <c r="BI18" s="629"/>
      <c r="BJ18" s="629"/>
      <c r="BK18" s="629"/>
      <c r="BL18" s="629"/>
      <c r="BM18" s="629">
        <f t="shared" si="5"/>
        <v>35411.223571428571</v>
      </c>
    </row>
    <row r="19" spans="1:65" s="585" customFormat="1" ht="12.75" customHeight="1">
      <c r="A19" s="308" t="s">
        <v>50</v>
      </c>
      <c r="B19" s="308">
        <f t="shared" si="20"/>
        <v>2016</v>
      </c>
      <c r="C19" s="308" t="s">
        <v>47</v>
      </c>
      <c r="D19" s="629">
        <v>14928.58</v>
      </c>
      <c r="E19" s="629"/>
      <c r="F19" s="629">
        <v>456537.31</v>
      </c>
      <c r="G19" s="629">
        <f t="shared" si="2"/>
        <v>471465.89</v>
      </c>
      <c r="H19" s="629">
        <f t="shared" si="8"/>
        <v>3446008.67</v>
      </c>
      <c r="I19" s="629"/>
      <c r="J19" s="629">
        <v>35119.18</v>
      </c>
      <c r="K19" s="629">
        <f>SUM(J$5:J19)</f>
        <v>218696.26</v>
      </c>
      <c r="L19" s="629"/>
      <c r="M19" s="629">
        <f t="shared" si="3"/>
        <v>3227312.41</v>
      </c>
      <c r="O19" s="629">
        <f t="shared" si="4"/>
        <v>0</v>
      </c>
      <c r="P19" s="629">
        <f t="shared" si="6"/>
        <v>0</v>
      </c>
      <c r="Q19" s="629">
        <f t="shared" si="7"/>
        <v>41.071428571428569</v>
      </c>
      <c r="R19" s="629">
        <f t="shared" si="9"/>
        <v>154.14285714285714</v>
      </c>
      <c r="S19" s="629">
        <f t="shared" si="10"/>
        <v>575.49285714285713</v>
      </c>
      <c r="T19" s="629">
        <f t="shared" si="12"/>
        <v>1879.5714285714287</v>
      </c>
      <c r="U19" s="629">
        <f t="shared" si="13"/>
        <v>3688.1155952380955</v>
      </c>
      <c r="V19" s="629">
        <f t="shared" si="14"/>
        <v>4470.3665476190472</v>
      </c>
      <c r="W19" s="629">
        <f t="shared" si="15"/>
        <v>4106.5282142857141</v>
      </c>
      <c r="X19" s="629">
        <f t="shared" si="16"/>
        <v>4018.7264285714286</v>
      </c>
      <c r="Y19" s="629">
        <f t="shared" si="17"/>
        <v>2916.0195238095239</v>
      </c>
      <c r="Z19" s="629">
        <f t="shared" si="18"/>
        <v>2546.3565476190479</v>
      </c>
      <c r="AA19" s="629">
        <f t="shared" si="19"/>
        <v>4932.6726190476193</v>
      </c>
      <c r="AB19" s="629">
        <f t="shared" ref="AB19:AB82" si="21">$G$18/84</f>
        <v>6082.1595238095242</v>
      </c>
      <c r="AC19" s="629">
        <f t="shared" ref="AC19:AC82" si="22">$G$19/84</f>
        <v>5612.689166666667</v>
      </c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  <c r="AQ19" s="629"/>
      <c r="AR19" s="629"/>
      <c r="AS19" s="629"/>
      <c r="AT19" s="629"/>
      <c r="AU19" s="629"/>
      <c r="AV19" s="629"/>
      <c r="AW19" s="629"/>
      <c r="AX19" s="629"/>
      <c r="AY19" s="629"/>
      <c r="AZ19" s="629"/>
      <c r="BA19" s="629"/>
      <c r="BB19" s="629"/>
      <c r="BC19" s="629"/>
      <c r="BD19" s="629"/>
      <c r="BE19" s="629"/>
      <c r="BF19" s="629"/>
      <c r="BG19" s="629"/>
      <c r="BH19" s="629"/>
      <c r="BI19" s="629"/>
      <c r="BJ19" s="629"/>
      <c r="BK19" s="629"/>
      <c r="BL19" s="629"/>
      <c r="BM19" s="629">
        <f t="shared" si="5"/>
        <v>41023.912738095241</v>
      </c>
    </row>
    <row r="20" spans="1:65" s="585" customFormat="1" ht="12.75" customHeight="1">
      <c r="A20" s="308" t="s">
        <v>51</v>
      </c>
      <c r="B20" s="308">
        <f t="shared" si="20"/>
        <v>2016</v>
      </c>
      <c r="C20" s="308" t="s">
        <v>47</v>
      </c>
      <c r="D20" s="629">
        <v>31096</v>
      </c>
      <c r="E20" s="629"/>
      <c r="F20" s="629">
        <v>430050.59</v>
      </c>
      <c r="G20" s="629">
        <f t="shared" si="2"/>
        <v>461146.59</v>
      </c>
      <c r="H20" s="629">
        <f t="shared" si="8"/>
        <v>3907155.26</v>
      </c>
      <c r="I20" s="629"/>
      <c r="J20" s="629">
        <v>39699.5</v>
      </c>
      <c r="K20" s="629">
        <f>SUM(J$5:J20)</f>
        <v>258395.76</v>
      </c>
      <c r="L20" s="629"/>
      <c r="M20" s="629">
        <f t="shared" si="3"/>
        <v>3648759.5</v>
      </c>
      <c r="O20" s="629">
        <f t="shared" si="4"/>
        <v>0</v>
      </c>
      <c r="P20" s="629">
        <f t="shared" si="6"/>
        <v>0</v>
      </c>
      <c r="Q20" s="629">
        <f t="shared" si="7"/>
        <v>41.071428571428569</v>
      </c>
      <c r="R20" s="629">
        <f t="shared" si="9"/>
        <v>154.14285714285714</v>
      </c>
      <c r="S20" s="629">
        <f t="shared" si="10"/>
        <v>575.49285714285713</v>
      </c>
      <c r="T20" s="629">
        <f t="shared" si="12"/>
        <v>1879.5714285714287</v>
      </c>
      <c r="U20" s="629">
        <f t="shared" si="13"/>
        <v>3688.1155952380955</v>
      </c>
      <c r="V20" s="629">
        <f t="shared" si="14"/>
        <v>4470.3665476190472</v>
      </c>
      <c r="W20" s="629">
        <f t="shared" si="15"/>
        <v>4106.5282142857141</v>
      </c>
      <c r="X20" s="629">
        <f t="shared" si="16"/>
        <v>4018.7264285714286</v>
      </c>
      <c r="Y20" s="629">
        <f t="shared" si="17"/>
        <v>2916.0195238095239</v>
      </c>
      <c r="Z20" s="629">
        <f t="shared" si="18"/>
        <v>2546.3565476190479</v>
      </c>
      <c r="AA20" s="629">
        <f t="shared" si="19"/>
        <v>4932.6726190476193</v>
      </c>
      <c r="AB20" s="629">
        <f t="shared" si="21"/>
        <v>6082.1595238095242</v>
      </c>
      <c r="AC20" s="629">
        <f t="shared" si="22"/>
        <v>5612.689166666667</v>
      </c>
      <c r="AD20" s="629">
        <f>$G$20/84</f>
        <v>5489.8403571428571</v>
      </c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D20" s="629"/>
      <c r="BE20" s="629"/>
      <c r="BF20" s="629"/>
      <c r="BG20" s="629"/>
      <c r="BH20" s="629"/>
      <c r="BI20" s="629"/>
      <c r="BJ20" s="629"/>
      <c r="BK20" s="629"/>
      <c r="BL20" s="629"/>
      <c r="BM20" s="629">
        <f t="shared" si="5"/>
        <v>46513.753095238098</v>
      </c>
    </row>
    <row r="21" spans="1:65" s="585" customFormat="1" ht="12.75" customHeight="1">
      <c r="A21" s="308" t="s">
        <v>52</v>
      </c>
      <c r="B21" s="308">
        <f t="shared" si="20"/>
        <v>2016</v>
      </c>
      <c r="C21" s="308" t="s">
        <v>47</v>
      </c>
      <c r="D21" s="629">
        <v>10450</v>
      </c>
      <c r="E21" s="629"/>
      <c r="F21" s="629">
        <v>606179</v>
      </c>
      <c r="G21" s="629">
        <f t="shared" si="2"/>
        <v>616629</v>
      </c>
      <c r="H21" s="629">
        <f t="shared" si="8"/>
        <v>4523784.26</v>
      </c>
      <c r="I21" s="629"/>
      <c r="J21" s="629">
        <v>47979.11</v>
      </c>
      <c r="K21" s="629">
        <f>SUM(J$5:J21)</f>
        <v>306374.87</v>
      </c>
      <c r="L21" s="629"/>
      <c r="M21" s="629">
        <f t="shared" si="3"/>
        <v>4217409.3899999997</v>
      </c>
      <c r="O21" s="629">
        <f t="shared" si="4"/>
        <v>0</v>
      </c>
      <c r="P21" s="629">
        <f t="shared" si="6"/>
        <v>0</v>
      </c>
      <c r="Q21" s="629">
        <f t="shared" si="7"/>
        <v>41.071428571428569</v>
      </c>
      <c r="R21" s="629">
        <f t="shared" si="9"/>
        <v>154.14285714285714</v>
      </c>
      <c r="S21" s="629">
        <f t="shared" si="10"/>
        <v>575.49285714285713</v>
      </c>
      <c r="T21" s="629">
        <f t="shared" si="12"/>
        <v>1879.5714285714287</v>
      </c>
      <c r="U21" s="629">
        <f t="shared" si="13"/>
        <v>3688.1155952380955</v>
      </c>
      <c r="V21" s="629">
        <f t="shared" si="14"/>
        <v>4470.3665476190472</v>
      </c>
      <c r="W21" s="629">
        <f t="shared" si="15"/>
        <v>4106.5282142857141</v>
      </c>
      <c r="X21" s="629">
        <f t="shared" si="16"/>
        <v>4018.7264285714286</v>
      </c>
      <c r="Y21" s="629">
        <f t="shared" si="17"/>
        <v>2916.0195238095239</v>
      </c>
      <c r="Z21" s="629">
        <f t="shared" si="18"/>
        <v>2546.3565476190479</v>
      </c>
      <c r="AA21" s="629">
        <f t="shared" si="19"/>
        <v>4932.6726190476193</v>
      </c>
      <c r="AB21" s="629">
        <f t="shared" si="21"/>
        <v>6082.1595238095242</v>
      </c>
      <c r="AC21" s="629">
        <f t="shared" si="22"/>
        <v>5612.689166666667</v>
      </c>
      <c r="AD21" s="629">
        <f t="shared" ref="AD21:AD84" si="23">$G$20/84</f>
        <v>5489.8403571428571</v>
      </c>
      <c r="AE21" s="629">
        <f t="shared" ref="AE21:AE84" si="24">$G$21/84</f>
        <v>7340.8214285714284</v>
      </c>
      <c r="AF21" s="629"/>
      <c r="AG21" s="629"/>
      <c r="AH21" s="629"/>
      <c r="AI21" s="629"/>
      <c r="AJ21" s="629"/>
      <c r="AK21" s="629"/>
      <c r="AL21" s="629"/>
      <c r="AM21" s="629"/>
      <c r="AN21" s="629"/>
      <c r="AO21" s="629"/>
      <c r="AP21" s="629"/>
      <c r="AQ21" s="629"/>
      <c r="AR21" s="629"/>
      <c r="AS21" s="629"/>
      <c r="AT21" s="629"/>
      <c r="AU21" s="629"/>
      <c r="AV21" s="629"/>
      <c r="AW21" s="629"/>
      <c r="AX21" s="629"/>
      <c r="AY21" s="629"/>
      <c r="AZ21" s="629"/>
      <c r="BA21" s="629"/>
      <c r="BB21" s="629"/>
      <c r="BC21" s="629"/>
      <c r="BD21" s="629"/>
      <c r="BE21" s="629"/>
      <c r="BF21" s="629"/>
      <c r="BG21" s="629"/>
      <c r="BH21" s="629"/>
      <c r="BI21" s="629"/>
      <c r="BJ21" s="629"/>
      <c r="BK21" s="629"/>
      <c r="BL21" s="629"/>
      <c r="BM21" s="629">
        <f t="shared" si="5"/>
        <v>53854.574523809526</v>
      </c>
    </row>
    <row r="22" spans="1:65" s="585" customFormat="1" ht="12.75" customHeight="1">
      <c r="A22" s="308" t="s">
        <v>53</v>
      </c>
      <c r="B22" s="308">
        <f t="shared" si="20"/>
        <v>2017</v>
      </c>
      <c r="C22" s="308" t="s">
        <v>47</v>
      </c>
      <c r="D22" s="629">
        <v>52670</v>
      </c>
      <c r="E22" s="629"/>
      <c r="F22" s="629">
        <v>545133</v>
      </c>
      <c r="G22" s="629">
        <f t="shared" si="2"/>
        <v>597803</v>
      </c>
      <c r="H22" s="629">
        <f t="shared" si="8"/>
        <v>5121587.26</v>
      </c>
      <c r="I22" s="629"/>
      <c r="J22" s="629">
        <v>65548.89</v>
      </c>
      <c r="K22" s="629">
        <f>SUM(J$5:J22)</f>
        <v>371923.76</v>
      </c>
      <c r="L22" s="629"/>
      <c r="M22" s="629">
        <f t="shared" si="3"/>
        <v>4749663.5</v>
      </c>
      <c r="O22" s="629">
        <f t="shared" si="4"/>
        <v>0</v>
      </c>
      <c r="P22" s="629">
        <f t="shared" si="6"/>
        <v>0</v>
      </c>
      <c r="Q22" s="629">
        <f t="shared" si="7"/>
        <v>41.071428571428569</v>
      </c>
      <c r="R22" s="629">
        <f t="shared" si="9"/>
        <v>154.14285714285714</v>
      </c>
      <c r="S22" s="629">
        <f t="shared" si="10"/>
        <v>575.49285714285713</v>
      </c>
      <c r="T22" s="629">
        <f t="shared" si="12"/>
        <v>1879.5714285714287</v>
      </c>
      <c r="U22" s="629">
        <f t="shared" si="13"/>
        <v>3688.1155952380955</v>
      </c>
      <c r="V22" s="629">
        <f t="shared" si="14"/>
        <v>4470.3665476190472</v>
      </c>
      <c r="W22" s="629">
        <f t="shared" si="15"/>
        <v>4106.5282142857141</v>
      </c>
      <c r="X22" s="629">
        <f t="shared" si="16"/>
        <v>4018.7264285714286</v>
      </c>
      <c r="Y22" s="629">
        <f t="shared" si="17"/>
        <v>2916.0195238095239</v>
      </c>
      <c r="Z22" s="629">
        <f t="shared" si="18"/>
        <v>2546.3565476190479</v>
      </c>
      <c r="AA22" s="629">
        <f t="shared" si="19"/>
        <v>4932.6726190476193</v>
      </c>
      <c r="AB22" s="629">
        <f t="shared" si="21"/>
        <v>6082.1595238095242</v>
      </c>
      <c r="AC22" s="629">
        <f t="shared" si="22"/>
        <v>5612.689166666667</v>
      </c>
      <c r="AD22" s="629">
        <f t="shared" si="23"/>
        <v>5489.8403571428571</v>
      </c>
      <c r="AE22" s="629">
        <f t="shared" si="24"/>
        <v>7340.8214285714284</v>
      </c>
      <c r="AF22" s="629">
        <f>$G$22/84</f>
        <v>7116.7023809523807</v>
      </c>
      <c r="AG22" s="629"/>
      <c r="AH22" s="629"/>
      <c r="AI22" s="629"/>
      <c r="AJ22" s="629"/>
      <c r="AK22" s="629"/>
      <c r="AL22" s="629"/>
      <c r="AM22" s="629"/>
      <c r="AN22" s="629"/>
      <c r="AO22" s="629"/>
      <c r="AP22" s="629"/>
      <c r="AQ22" s="629"/>
      <c r="AR22" s="629"/>
      <c r="AS22" s="629"/>
      <c r="AT22" s="629"/>
      <c r="AU22" s="629"/>
      <c r="AV22" s="629"/>
      <c r="AW22" s="629"/>
      <c r="AX22" s="629"/>
      <c r="AY22" s="629"/>
      <c r="AZ22" s="629"/>
      <c r="BA22" s="629"/>
      <c r="BB22" s="629"/>
      <c r="BC22" s="629"/>
      <c r="BD22" s="629"/>
      <c r="BE22" s="629"/>
      <c r="BF22" s="629"/>
      <c r="BG22" s="629"/>
      <c r="BH22" s="629"/>
      <c r="BI22" s="629"/>
      <c r="BJ22" s="629"/>
      <c r="BK22" s="629"/>
      <c r="BL22" s="629"/>
      <c r="BM22" s="629">
        <f t="shared" si="5"/>
        <v>60971.276904761908</v>
      </c>
    </row>
    <row r="23" spans="1:65" s="585" customFormat="1" ht="12.75" customHeight="1">
      <c r="A23" s="308" t="s">
        <v>54</v>
      </c>
      <c r="B23" s="308">
        <f t="shared" si="20"/>
        <v>2017</v>
      </c>
      <c r="C23" s="308" t="s">
        <v>47</v>
      </c>
      <c r="D23" s="629">
        <v>33425.550000000003</v>
      </c>
      <c r="E23" s="629"/>
      <c r="F23" s="629">
        <v>447909.69</v>
      </c>
      <c r="G23" s="629">
        <f t="shared" si="2"/>
        <v>481335.24</v>
      </c>
      <c r="H23" s="629">
        <f t="shared" si="8"/>
        <v>5602922.5</v>
      </c>
      <c r="I23" s="629"/>
      <c r="J23" s="629">
        <v>55308.37</v>
      </c>
      <c r="K23" s="629">
        <f>SUM(J$5:J23)</f>
        <v>427232.13</v>
      </c>
      <c r="L23" s="629"/>
      <c r="M23" s="629">
        <f t="shared" si="3"/>
        <v>5175690.37</v>
      </c>
      <c r="O23" s="629">
        <f t="shared" si="4"/>
        <v>0</v>
      </c>
      <c r="P23" s="629">
        <f t="shared" si="6"/>
        <v>0</v>
      </c>
      <c r="Q23" s="629">
        <f t="shared" si="7"/>
        <v>41.071428571428569</v>
      </c>
      <c r="R23" s="629">
        <f t="shared" si="9"/>
        <v>154.14285714285714</v>
      </c>
      <c r="S23" s="629">
        <f t="shared" si="10"/>
        <v>575.49285714285713</v>
      </c>
      <c r="T23" s="629">
        <f t="shared" si="12"/>
        <v>1879.5714285714287</v>
      </c>
      <c r="U23" s="629">
        <f t="shared" si="13"/>
        <v>3688.1155952380955</v>
      </c>
      <c r="V23" s="629">
        <f t="shared" si="14"/>
        <v>4470.3665476190472</v>
      </c>
      <c r="W23" s="629">
        <f t="shared" si="15"/>
        <v>4106.5282142857141</v>
      </c>
      <c r="X23" s="629">
        <f t="shared" si="16"/>
        <v>4018.7264285714286</v>
      </c>
      <c r="Y23" s="629">
        <f t="shared" si="17"/>
        <v>2916.0195238095239</v>
      </c>
      <c r="Z23" s="629">
        <f t="shared" si="18"/>
        <v>2546.3565476190479</v>
      </c>
      <c r="AA23" s="629">
        <f t="shared" si="19"/>
        <v>4932.6726190476193</v>
      </c>
      <c r="AB23" s="629">
        <f t="shared" si="21"/>
        <v>6082.1595238095242</v>
      </c>
      <c r="AC23" s="629">
        <f t="shared" si="22"/>
        <v>5612.689166666667</v>
      </c>
      <c r="AD23" s="629">
        <f t="shared" si="23"/>
        <v>5489.8403571428571</v>
      </c>
      <c r="AE23" s="629">
        <f t="shared" si="24"/>
        <v>7340.8214285714284</v>
      </c>
      <c r="AF23" s="629">
        <f t="shared" ref="AF23:AF86" si="25">$G$22/84</f>
        <v>7116.7023809523807</v>
      </c>
      <c r="AG23" s="629">
        <f>$G$23/84</f>
        <v>5730.1814285714281</v>
      </c>
      <c r="AH23" s="629"/>
      <c r="AI23" s="629"/>
      <c r="AJ23" s="629"/>
      <c r="AK23" s="629"/>
      <c r="AL23" s="629"/>
      <c r="AM23" s="629"/>
      <c r="AN23" s="629"/>
      <c r="AO23" s="629"/>
      <c r="AP23" s="629"/>
      <c r="AQ23" s="629"/>
      <c r="AR23" s="629"/>
      <c r="AS23" s="629"/>
      <c r="AT23" s="629"/>
      <c r="AU23" s="629"/>
      <c r="AV23" s="629"/>
      <c r="AW23" s="629"/>
      <c r="AX23" s="629"/>
      <c r="AY23" s="629"/>
      <c r="AZ23" s="629"/>
      <c r="BA23" s="629"/>
      <c r="BB23" s="629"/>
      <c r="BC23" s="629"/>
      <c r="BD23" s="629"/>
      <c r="BE23" s="629"/>
      <c r="BF23" s="629"/>
      <c r="BG23" s="629"/>
      <c r="BH23" s="629"/>
      <c r="BI23" s="629"/>
      <c r="BJ23" s="629"/>
      <c r="BK23" s="629"/>
      <c r="BL23" s="629"/>
      <c r="BM23" s="629">
        <f t="shared" si="5"/>
        <v>66701.458333333343</v>
      </c>
    </row>
    <row r="24" spans="1:65" s="585" customFormat="1" ht="12.75" customHeight="1">
      <c r="A24" s="308" t="s">
        <v>55</v>
      </c>
      <c r="B24" s="308">
        <f t="shared" si="20"/>
        <v>2017</v>
      </c>
      <c r="C24" s="308" t="s">
        <v>47</v>
      </c>
      <c r="D24" s="629">
        <v>22128</v>
      </c>
      <c r="E24" s="629"/>
      <c r="F24" s="629">
        <v>363811.34</v>
      </c>
      <c r="G24" s="629">
        <f t="shared" si="2"/>
        <v>385939.34</v>
      </c>
      <c r="H24" s="629">
        <f t="shared" si="8"/>
        <v>5988861.8399999999</v>
      </c>
      <c r="I24" s="629"/>
      <c r="J24" s="629">
        <v>76145.320000000007</v>
      </c>
      <c r="K24" s="629">
        <f>SUM(J$5:J24)</f>
        <v>503377.45</v>
      </c>
      <c r="L24" s="629"/>
      <c r="M24" s="629">
        <f t="shared" si="3"/>
        <v>5485484.3899999997</v>
      </c>
      <c r="O24" s="629">
        <f t="shared" si="4"/>
        <v>0</v>
      </c>
      <c r="P24" s="629">
        <f t="shared" si="6"/>
        <v>0</v>
      </c>
      <c r="Q24" s="629">
        <f t="shared" si="7"/>
        <v>41.071428571428569</v>
      </c>
      <c r="R24" s="629">
        <f t="shared" si="9"/>
        <v>154.14285714285714</v>
      </c>
      <c r="S24" s="629">
        <f t="shared" si="10"/>
        <v>575.49285714285713</v>
      </c>
      <c r="T24" s="629">
        <f t="shared" si="12"/>
        <v>1879.5714285714287</v>
      </c>
      <c r="U24" s="629">
        <f t="shared" si="13"/>
        <v>3688.1155952380955</v>
      </c>
      <c r="V24" s="629">
        <f t="shared" si="14"/>
        <v>4470.3665476190472</v>
      </c>
      <c r="W24" s="629">
        <f t="shared" si="15"/>
        <v>4106.5282142857141</v>
      </c>
      <c r="X24" s="629">
        <f t="shared" si="16"/>
        <v>4018.7264285714286</v>
      </c>
      <c r="Y24" s="629">
        <f t="shared" si="17"/>
        <v>2916.0195238095239</v>
      </c>
      <c r="Z24" s="629">
        <f t="shared" si="18"/>
        <v>2546.3565476190479</v>
      </c>
      <c r="AA24" s="629">
        <f t="shared" si="19"/>
        <v>4932.6726190476193</v>
      </c>
      <c r="AB24" s="629">
        <f t="shared" si="21"/>
        <v>6082.1595238095242</v>
      </c>
      <c r="AC24" s="629">
        <f t="shared" si="22"/>
        <v>5612.689166666667</v>
      </c>
      <c r="AD24" s="629">
        <f t="shared" si="23"/>
        <v>5489.8403571428571</v>
      </c>
      <c r="AE24" s="629">
        <f t="shared" si="24"/>
        <v>7340.8214285714284</v>
      </c>
      <c r="AF24" s="629">
        <f t="shared" si="25"/>
        <v>7116.7023809523807</v>
      </c>
      <c r="AG24" s="629">
        <f t="shared" ref="AG24:AG87" si="26">$G$23/84</f>
        <v>5730.1814285714281</v>
      </c>
      <c r="AH24" s="629">
        <f>$G$24/84</f>
        <v>4594.5159523809525</v>
      </c>
      <c r="AI24" s="629"/>
      <c r="AJ24" s="629"/>
      <c r="AK24" s="629"/>
      <c r="AL24" s="629"/>
      <c r="AM24" s="629"/>
      <c r="AN24" s="629"/>
      <c r="AO24" s="629"/>
      <c r="AP24" s="629"/>
      <c r="AQ24" s="629"/>
      <c r="AR24" s="629"/>
      <c r="AS24" s="629"/>
      <c r="AT24" s="629"/>
      <c r="AU24" s="629"/>
      <c r="AV24" s="629"/>
      <c r="AW24" s="629"/>
      <c r="AX24" s="629"/>
      <c r="AY24" s="629"/>
      <c r="AZ24" s="629"/>
      <c r="BA24" s="629"/>
      <c r="BB24" s="629"/>
      <c r="BC24" s="629"/>
      <c r="BD24" s="629"/>
      <c r="BE24" s="629"/>
      <c r="BF24" s="629"/>
      <c r="BG24" s="629"/>
      <c r="BH24" s="629"/>
      <c r="BI24" s="629"/>
      <c r="BJ24" s="629"/>
      <c r="BK24" s="629"/>
      <c r="BL24" s="629"/>
      <c r="BM24" s="629">
        <f t="shared" si="5"/>
        <v>71295.974285714299</v>
      </c>
    </row>
    <row r="25" spans="1:65" s="585" customFormat="1" ht="12.75" customHeight="1">
      <c r="A25" s="308" t="s">
        <v>56</v>
      </c>
      <c r="B25" s="308">
        <f t="shared" si="20"/>
        <v>2017</v>
      </c>
      <c r="C25" s="308" t="s">
        <v>47</v>
      </c>
      <c r="D25" s="629">
        <v>84689.54</v>
      </c>
      <c r="E25" s="629"/>
      <c r="F25" s="629">
        <v>410729</v>
      </c>
      <c r="G25" s="629">
        <f t="shared" si="2"/>
        <v>495418.54</v>
      </c>
      <c r="H25" s="629">
        <f t="shared" si="8"/>
        <v>6484280.3799999999</v>
      </c>
      <c r="I25" s="629"/>
      <c r="J25" s="629">
        <v>66656.740000000005</v>
      </c>
      <c r="K25" s="629">
        <f>SUM(J$5:J25)</f>
        <v>570034.19000000006</v>
      </c>
      <c r="L25" s="629"/>
      <c r="M25" s="629">
        <f t="shared" si="3"/>
        <v>5914246.1899999995</v>
      </c>
      <c r="O25" s="629">
        <f t="shared" si="4"/>
        <v>0</v>
      </c>
      <c r="P25" s="629">
        <f t="shared" si="6"/>
        <v>0</v>
      </c>
      <c r="Q25" s="629">
        <f t="shared" si="7"/>
        <v>41.071428571428569</v>
      </c>
      <c r="R25" s="629">
        <f t="shared" si="9"/>
        <v>154.14285714285714</v>
      </c>
      <c r="S25" s="629">
        <f t="shared" si="10"/>
        <v>575.49285714285713</v>
      </c>
      <c r="T25" s="629">
        <f t="shared" si="12"/>
        <v>1879.5714285714287</v>
      </c>
      <c r="U25" s="629">
        <f t="shared" si="13"/>
        <v>3688.1155952380955</v>
      </c>
      <c r="V25" s="629">
        <f t="shared" si="14"/>
        <v>4470.3665476190472</v>
      </c>
      <c r="W25" s="629">
        <f t="shared" si="15"/>
        <v>4106.5282142857141</v>
      </c>
      <c r="X25" s="629">
        <f t="shared" si="16"/>
        <v>4018.7264285714286</v>
      </c>
      <c r="Y25" s="629">
        <f t="shared" si="17"/>
        <v>2916.0195238095239</v>
      </c>
      <c r="Z25" s="629">
        <f t="shared" si="18"/>
        <v>2546.3565476190479</v>
      </c>
      <c r="AA25" s="629">
        <f t="shared" si="19"/>
        <v>4932.6726190476193</v>
      </c>
      <c r="AB25" s="629">
        <f t="shared" si="21"/>
        <v>6082.1595238095242</v>
      </c>
      <c r="AC25" s="629">
        <f t="shared" si="22"/>
        <v>5612.689166666667</v>
      </c>
      <c r="AD25" s="629">
        <f t="shared" si="23"/>
        <v>5489.8403571428571</v>
      </c>
      <c r="AE25" s="629">
        <f t="shared" si="24"/>
        <v>7340.8214285714284</v>
      </c>
      <c r="AF25" s="629">
        <f t="shared" si="25"/>
        <v>7116.7023809523807</v>
      </c>
      <c r="AG25" s="629">
        <f t="shared" si="26"/>
        <v>5730.1814285714281</v>
      </c>
      <c r="AH25" s="629">
        <f t="shared" ref="AH25:AH88" si="27">$G$24/84</f>
        <v>4594.5159523809525</v>
      </c>
      <c r="AI25" s="629">
        <f>$G$25/84</f>
        <v>5897.8397619047619</v>
      </c>
      <c r="AJ25" s="629"/>
      <c r="AK25" s="629"/>
      <c r="AL25" s="629"/>
      <c r="AM25" s="629"/>
      <c r="AN25" s="629"/>
      <c r="AO25" s="629"/>
      <c r="AP25" s="629"/>
      <c r="AQ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629"/>
      <c r="BF25" s="629"/>
      <c r="BG25" s="629"/>
      <c r="BH25" s="629"/>
      <c r="BI25" s="629"/>
      <c r="BJ25" s="629"/>
      <c r="BK25" s="629"/>
      <c r="BL25" s="629"/>
      <c r="BM25" s="629">
        <f t="shared" si="5"/>
        <v>77193.81404761906</v>
      </c>
    </row>
    <row r="26" spans="1:65" s="585" customFormat="1" ht="12.75" customHeight="1">
      <c r="A26" s="308" t="s">
        <v>57</v>
      </c>
      <c r="B26" s="308">
        <f t="shared" si="20"/>
        <v>2017</v>
      </c>
      <c r="C26" s="308" t="s">
        <v>47</v>
      </c>
      <c r="D26" s="629">
        <v>61958.18</v>
      </c>
      <c r="E26" s="629"/>
      <c r="F26" s="629">
        <v>281956.3</v>
      </c>
      <c r="G26" s="629">
        <f t="shared" si="2"/>
        <v>343914.48</v>
      </c>
      <c r="H26" s="629">
        <f t="shared" si="8"/>
        <v>6828194.8599999994</v>
      </c>
      <c r="I26" s="629"/>
      <c r="J26" s="629">
        <v>86719.58</v>
      </c>
      <c r="K26" s="629">
        <f>SUM(J$5:J26)</f>
        <v>656753.77</v>
      </c>
      <c r="L26" s="629"/>
      <c r="M26" s="629">
        <f t="shared" si="3"/>
        <v>6171441.0899999999</v>
      </c>
      <c r="O26" s="629">
        <f t="shared" si="4"/>
        <v>0</v>
      </c>
      <c r="P26" s="629">
        <f t="shared" si="6"/>
        <v>0</v>
      </c>
      <c r="Q26" s="629">
        <f t="shared" si="7"/>
        <v>41.071428571428569</v>
      </c>
      <c r="R26" s="629">
        <f t="shared" si="9"/>
        <v>154.14285714285714</v>
      </c>
      <c r="S26" s="629">
        <f t="shared" si="10"/>
        <v>575.49285714285713</v>
      </c>
      <c r="T26" s="629">
        <f t="shared" si="12"/>
        <v>1879.5714285714287</v>
      </c>
      <c r="U26" s="629">
        <f t="shared" si="13"/>
        <v>3688.1155952380955</v>
      </c>
      <c r="V26" s="629">
        <f t="shared" si="14"/>
        <v>4470.3665476190472</v>
      </c>
      <c r="W26" s="629">
        <f t="shared" si="15"/>
        <v>4106.5282142857141</v>
      </c>
      <c r="X26" s="629">
        <f t="shared" si="16"/>
        <v>4018.7264285714286</v>
      </c>
      <c r="Y26" s="629">
        <f t="shared" si="17"/>
        <v>2916.0195238095239</v>
      </c>
      <c r="Z26" s="629">
        <f t="shared" si="18"/>
        <v>2546.3565476190479</v>
      </c>
      <c r="AA26" s="629">
        <f t="shared" si="19"/>
        <v>4932.6726190476193</v>
      </c>
      <c r="AB26" s="629">
        <f t="shared" si="21"/>
        <v>6082.1595238095242</v>
      </c>
      <c r="AC26" s="629">
        <f t="shared" si="22"/>
        <v>5612.689166666667</v>
      </c>
      <c r="AD26" s="629">
        <f t="shared" si="23"/>
        <v>5489.8403571428571</v>
      </c>
      <c r="AE26" s="629">
        <f t="shared" si="24"/>
        <v>7340.8214285714284</v>
      </c>
      <c r="AF26" s="629">
        <f t="shared" si="25"/>
        <v>7116.7023809523807</v>
      </c>
      <c r="AG26" s="629">
        <f t="shared" si="26"/>
        <v>5730.1814285714281</v>
      </c>
      <c r="AH26" s="629">
        <f t="shared" si="27"/>
        <v>4594.5159523809525</v>
      </c>
      <c r="AI26" s="629">
        <f t="shared" ref="AI26:AI89" si="28">$G$25/84</f>
        <v>5897.8397619047619</v>
      </c>
      <c r="AJ26" s="629">
        <f>$G$26/84</f>
        <v>4094.22</v>
      </c>
      <c r="AK26" s="629"/>
      <c r="AL26" s="629"/>
      <c r="AM26" s="629"/>
      <c r="AN26" s="629"/>
      <c r="AO26" s="629"/>
      <c r="AP26" s="629"/>
      <c r="AQ26" s="629"/>
      <c r="AR26" s="629"/>
      <c r="AS26" s="629"/>
      <c r="AT26" s="629"/>
      <c r="AU26" s="629"/>
      <c r="AV26" s="629"/>
      <c r="AW26" s="629"/>
      <c r="AX26" s="629"/>
      <c r="AY26" s="629"/>
      <c r="AZ26" s="629"/>
      <c r="BA26" s="629"/>
      <c r="BB26" s="629"/>
      <c r="BC26" s="629"/>
      <c r="BD26" s="629"/>
      <c r="BE26" s="629"/>
      <c r="BF26" s="629"/>
      <c r="BG26" s="629"/>
      <c r="BH26" s="629"/>
      <c r="BI26" s="629"/>
      <c r="BJ26" s="629"/>
      <c r="BK26" s="629"/>
      <c r="BL26" s="629"/>
      <c r="BM26" s="629">
        <f t="shared" si="5"/>
        <v>81288.034047619061</v>
      </c>
    </row>
    <row r="27" spans="1:65" s="585" customFormat="1" ht="12.75" customHeight="1">
      <c r="A27" s="308" t="s">
        <v>58</v>
      </c>
      <c r="B27" s="308">
        <f t="shared" si="20"/>
        <v>2017</v>
      </c>
      <c r="C27" s="308" t="s">
        <v>47</v>
      </c>
      <c r="D27" s="629">
        <v>15000</v>
      </c>
      <c r="E27" s="629"/>
      <c r="F27" s="629">
        <v>308079</v>
      </c>
      <c r="G27" s="629">
        <f t="shared" si="2"/>
        <v>323079</v>
      </c>
      <c r="H27" s="629">
        <f t="shared" si="8"/>
        <v>7151273.8599999994</v>
      </c>
      <c r="I27" s="629"/>
      <c r="J27" s="629">
        <v>118237.75999999999</v>
      </c>
      <c r="K27" s="629">
        <f>SUM(J$5:J27)</f>
        <v>774991.53</v>
      </c>
      <c r="L27" s="629"/>
      <c r="M27" s="629">
        <f t="shared" si="3"/>
        <v>6376282.3299999991</v>
      </c>
      <c r="O27" s="629">
        <f t="shared" si="4"/>
        <v>0</v>
      </c>
      <c r="P27" s="629">
        <f t="shared" si="6"/>
        <v>0</v>
      </c>
      <c r="Q27" s="629">
        <f t="shared" si="7"/>
        <v>41.071428571428569</v>
      </c>
      <c r="R27" s="629">
        <f t="shared" si="9"/>
        <v>154.14285714285714</v>
      </c>
      <c r="S27" s="629">
        <f t="shared" si="10"/>
        <v>575.49285714285713</v>
      </c>
      <c r="T27" s="629">
        <f t="shared" si="12"/>
        <v>1879.5714285714287</v>
      </c>
      <c r="U27" s="629">
        <f t="shared" si="13"/>
        <v>3688.1155952380955</v>
      </c>
      <c r="V27" s="629">
        <f t="shared" si="14"/>
        <v>4470.3665476190472</v>
      </c>
      <c r="W27" s="629">
        <f t="shared" si="15"/>
        <v>4106.5282142857141</v>
      </c>
      <c r="X27" s="629">
        <f t="shared" si="16"/>
        <v>4018.7264285714286</v>
      </c>
      <c r="Y27" s="629">
        <f t="shared" si="17"/>
        <v>2916.0195238095239</v>
      </c>
      <c r="Z27" s="629">
        <f t="shared" si="18"/>
        <v>2546.3565476190479</v>
      </c>
      <c r="AA27" s="629">
        <f t="shared" si="19"/>
        <v>4932.6726190476193</v>
      </c>
      <c r="AB27" s="629">
        <f t="shared" si="21"/>
        <v>6082.1595238095242</v>
      </c>
      <c r="AC27" s="629">
        <f t="shared" si="22"/>
        <v>5612.689166666667</v>
      </c>
      <c r="AD27" s="629">
        <f t="shared" si="23"/>
        <v>5489.8403571428571</v>
      </c>
      <c r="AE27" s="629">
        <f t="shared" si="24"/>
        <v>7340.8214285714284</v>
      </c>
      <c r="AF27" s="629">
        <f t="shared" si="25"/>
        <v>7116.7023809523807</v>
      </c>
      <c r="AG27" s="629">
        <f t="shared" si="26"/>
        <v>5730.1814285714281</v>
      </c>
      <c r="AH27" s="629">
        <f t="shared" si="27"/>
        <v>4594.5159523809525</v>
      </c>
      <c r="AI27" s="629">
        <f t="shared" si="28"/>
        <v>5897.8397619047619</v>
      </c>
      <c r="AJ27" s="629">
        <f t="shared" ref="AJ27:AJ90" si="29">$G$26/84</f>
        <v>4094.22</v>
      </c>
      <c r="AK27" s="629">
        <f>$G$27/84</f>
        <v>3846.1785714285716</v>
      </c>
      <c r="AL27" s="629"/>
      <c r="AM27" s="629"/>
      <c r="AN27" s="629"/>
      <c r="AO27" s="629"/>
      <c r="AP27" s="629"/>
      <c r="AQ27" s="629"/>
      <c r="AR27" s="629"/>
      <c r="AS27" s="629"/>
      <c r="AT27" s="629"/>
      <c r="AU27" s="629"/>
      <c r="AV27" s="629"/>
      <c r="AW27" s="629"/>
      <c r="AX27" s="629"/>
      <c r="AY27" s="629"/>
      <c r="AZ27" s="629"/>
      <c r="BA27" s="629"/>
      <c r="BB27" s="629"/>
      <c r="BC27" s="629"/>
      <c r="BD27" s="629"/>
      <c r="BE27" s="629"/>
      <c r="BF27" s="629"/>
      <c r="BG27" s="629"/>
      <c r="BH27" s="629"/>
      <c r="BI27" s="629"/>
      <c r="BJ27" s="629"/>
      <c r="BK27" s="629"/>
      <c r="BL27" s="629"/>
      <c r="BM27" s="629">
        <f t="shared" si="5"/>
        <v>85134.212619047627</v>
      </c>
    </row>
    <row r="28" spans="1:65" s="585" customFormat="1" ht="12.75" customHeight="1">
      <c r="A28" s="308" t="s">
        <v>59</v>
      </c>
      <c r="B28" s="308">
        <f t="shared" si="20"/>
        <v>2017</v>
      </c>
      <c r="C28" s="308" t="s">
        <v>47</v>
      </c>
      <c r="D28" s="629">
        <v>46797</v>
      </c>
      <c r="E28" s="629"/>
      <c r="F28" s="629">
        <v>391075</v>
      </c>
      <c r="G28" s="629">
        <f t="shared" si="2"/>
        <v>437872</v>
      </c>
      <c r="H28" s="629">
        <f t="shared" si="8"/>
        <v>7589145.8599999994</v>
      </c>
      <c r="I28" s="629"/>
      <c r="J28" s="629">
        <v>101897.72</v>
      </c>
      <c r="K28" s="629">
        <f>SUM(J$5:J28)</f>
        <v>876889.25</v>
      </c>
      <c r="L28" s="629"/>
      <c r="M28" s="629">
        <f t="shared" si="3"/>
        <v>6712256.6099999994</v>
      </c>
      <c r="O28" s="629">
        <f t="shared" si="4"/>
        <v>0</v>
      </c>
      <c r="P28" s="629">
        <f t="shared" si="6"/>
        <v>0</v>
      </c>
      <c r="Q28" s="629">
        <f t="shared" si="7"/>
        <v>41.071428571428569</v>
      </c>
      <c r="R28" s="629">
        <f t="shared" si="9"/>
        <v>154.14285714285714</v>
      </c>
      <c r="S28" s="629">
        <f t="shared" si="10"/>
        <v>575.49285714285713</v>
      </c>
      <c r="T28" s="629">
        <f t="shared" si="12"/>
        <v>1879.5714285714287</v>
      </c>
      <c r="U28" s="629">
        <f t="shared" si="13"/>
        <v>3688.1155952380955</v>
      </c>
      <c r="V28" s="629">
        <f t="shared" si="14"/>
        <v>4470.3665476190472</v>
      </c>
      <c r="W28" s="629">
        <f t="shared" si="15"/>
        <v>4106.5282142857141</v>
      </c>
      <c r="X28" s="629">
        <f t="shared" si="16"/>
        <v>4018.7264285714286</v>
      </c>
      <c r="Y28" s="629">
        <f t="shared" si="17"/>
        <v>2916.0195238095239</v>
      </c>
      <c r="Z28" s="629">
        <f t="shared" si="18"/>
        <v>2546.3565476190479</v>
      </c>
      <c r="AA28" s="629">
        <f t="shared" si="19"/>
        <v>4932.6726190476193</v>
      </c>
      <c r="AB28" s="629">
        <f t="shared" si="21"/>
        <v>6082.1595238095242</v>
      </c>
      <c r="AC28" s="629">
        <f t="shared" si="22"/>
        <v>5612.689166666667</v>
      </c>
      <c r="AD28" s="629">
        <f t="shared" si="23"/>
        <v>5489.8403571428571</v>
      </c>
      <c r="AE28" s="629">
        <f t="shared" si="24"/>
        <v>7340.8214285714284</v>
      </c>
      <c r="AF28" s="629">
        <f t="shared" si="25"/>
        <v>7116.7023809523807</v>
      </c>
      <c r="AG28" s="629">
        <f t="shared" si="26"/>
        <v>5730.1814285714281</v>
      </c>
      <c r="AH28" s="629">
        <f t="shared" si="27"/>
        <v>4594.5159523809525</v>
      </c>
      <c r="AI28" s="629">
        <f t="shared" si="28"/>
        <v>5897.8397619047619</v>
      </c>
      <c r="AJ28" s="629">
        <f t="shared" si="29"/>
        <v>4094.22</v>
      </c>
      <c r="AK28" s="629">
        <f t="shared" ref="AK28:AK91" si="30">$G$27/84</f>
        <v>3846.1785714285716</v>
      </c>
      <c r="AL28" s="629">
        <f>$G$28/84</f>
        <v>5212.7619047619046</v>
      </c>
      <c r="AM28" s="629"/>
      <c r="AN28" s="629"/>
      <c r="AO28" s="629"/>
      <c r="AP28" s="629"/>
      <c r="AQ28" s="629"/>
      <c r="AR28" s="629"/>
      <c r="AS28" s="629"/>
      <c r="AT28" s="629"/>
      <c r="AU28" s="629"/>
      <c r="AV28" s="629"/>
      <c r="AW28" s="629"/>
      <c r="AX28" s="629"/>
      <c r="AY28" s="629"/>
      <c r="AZ28" s="629"/>
      <c r="BA28" s="629"/>
      <c r="BB28" s="629"/>
      <c r="BC28" s="629"/>
      <c r="BD28" s="629"/>
      <c r="BE28" s="629"/>
      <c r="BF28" s="629"/>
      <c r="BG28" s="629"/>
      <c r="BH28" s="629"/>
      <c r="BI28" s="629"/>
      <c r="BJ28" s="629"/>
      <c r="BK28" s="629"/>
      <c r="BL28" s="629"/>
      <c r="BM28" s="629">
        <f t="shared" si="5"/>
        <v>90346.974523809535</v>
      </c>
    </row>
    <row r="29" spans="1:65" s="585" customFormat="1" ht="12.75" customHeight="1">
      <c r="A29" s="308" t="s">
        <v>46</v>
      </c>
      <c r="B29" s="308">
        <f t="shared" si="20"/>
        <v>2017</v>
      </c>
      <c r="C29" s="308" t="s">
        <v>47</v>
      </c>
      <c r="D29" s="629">
        <v>28980</v>
      </c>
      <c r="E29" s="629"/>
      <c r="F29" s="629">
        <v>398292</v>
      </c>
      <c r="G29" s="629">
        <f t="shared" si="2"/>
        <v>427272</v>
      </c>
      <c r="H29" s="629">
        <f t="shared" si="8"/>
        <v>8016417.8599999994</v>
      </c>
      <c r="I29" s="629"/>
      <c r="J29" s="629">
        <v>119582.77</v>
      </c>
      <c r="K29" s="629">
        <f>SUM(J$5:J29)</f>
        <v>996472.02</v>
      </c>
      <c r="L29" s="629"/>
      <c r="M29" s="629">
        <f t="shared" si="3"/>
        <v>7019945.8399999999</v>
      </c>
      <c r="O29" s="629">
        <f t="shared" si="4"/>
        <v>0</v>
      </c>
      <c r="P29" s="629">
        <f t="shared" si="6"/>
        <v>0</v>
      </c>
      <c r="Q29" s="629">
        <f t="shared" si="7"/>
        <v>41.071428571428569</v>
      </c>
      <c r="R29" s="629">
        <f t="shared" si="9"/>
        <v>154.14285714285714</v>
      </c>
      <c r="S29" s="629">
        <f t="shared" si="10"/>
        <v>575.49285714285713</v>
      </c>
      <c r="T29" s="629">
        <f t="shared" si="12"/>
        <v>1879.5714285714287</v>
      </c>
      <c r="U29" s="629">
        <f t="shared" si="13"/>
        <v>3688.1155952380955</v>
      </c>
      <c r="V29" s="629">
        <f t="shared" si="14"/>
        <v>4470.3665476190472</v>
      </c>
      <c r="W29" s="629">
        <f t="shared" si="15"/>
        <v>4106.5282142857141</v>
      </c>
      <c r="X29" s="629">
        <f t="shared" si="16"/>
        <v>4018.7264285714286</v>
      </c>
      <c r="Y29" s="629">
        <f t="shared" si="17"/>
        <v>2916.0195238095239</v>
      </c>
      <c r="Z29" s="629">
        <f t="shared" si="18"/>
        <v>2546.3565476190479</v>
      </c>
      <c r="AA29" s="629">
        <f t="shared" si="19"/>
        <v>4932.6726190476193</v>
      </c>
      <c r="AB29" s="629">
        <f t="shared" si="21"/>
        <v>6082.1595238095242</v>
      </c>
      <c r="AC29" s="629">
        <f t="shared" si="22"/>
        <v>5612.689166666667</v>
      </c>
      <c r="AD29" s="629">
        <f t="shared" si="23"/>
        <v>5489.8403571428571</v>
      </c>
      <c r="AE29" s="629">
        <f t="shared" si="24"/>
        <v>7340.8214285714284</v>
      </c>
      <c r="AF29" s="629">
        <f t="shared" si="25"/>
        <v>7116.7023809523807</v>
      </c>
      <c r="AG29" s="629">
        <f t="shared" si="26"/>
        <v>5730.1814285714281</v>
      </c>
      <c r="AH29" s="629">
        <f t="shared" si="27"/>
        <v>4594.5159523809525</v>
      </c>
      <c r="AI29" s="629">
        <f t="shared" si="28"/>
        <v>5897.8397619047619</v>
      </c>
      <c r="AJ29" s="629">
        <f t="shared" si="29"/>
        <v>4094.22</v>
      </c>
      <c r="AK29" s="629">
        <f t="shared" si="30"/>
        <v>3846.1785714285716</v>
      </c>
      <c r="AL29" s="629">
        <f t="shared" ref="AL29:AL92" si="31">$G$28/84</f>
        <v>5212.7619047619046</v>
      </c>
      <c r="AM29" s="629">
        <f>$G$29/84</f>
        <v>5086.5714285714284</v>
      </c>
      <c r="AN29" s="629"/>
      <c r="AO29" s="629"/>
      <c r="AP29" s="629"/>
      <c r="AQ29" s="629"/>
      <c r="AR29" s="629"/>
      <c r="AS29" s="629"/>
      <c r="AT29" s="629"/>
      <c r="AU29" s="629"/>
      <c r="AV29" s="629"/>
      <c r="AW29" s="629"/>
      <c r="AX29" s="629"/>
      <c r="AY29" s="629"/>
      <c r="AZ29" s="629"/>
      <c r="BA29" s="629"/>
      <c r="BB29" s="629"/>
      <c r="BC29" s="629"/>
      <c r="BD29" s="629"/>
      <c r="BE29" s="629"/>
      <c r="BF29" s="629"/>
      <c r="BG29" s="629"/>
      <c r="BH29" s="629"/>
      <c r="BI29" s="629"/>
      <c r="BJ29" s="629"/>
      <c r="BK29" s="629"/>
      <c r="BL29" s="629"/>
      <c r="BM29" s="629">
        <f t="shared" si="5"/>
        <v>95433.54595238097</v>
      </c>
    </row>
    <row r="30" spans="1:65" s="585" customFormat="1" ht="12.75" customHeight="1">
      <c r="A30" s="308" t="s">
        <v>48</v>
      </c>
      <c r="B30" s="308">
        <f t="shared" si="20"/>
        <v>2017</v>
      </c>
      <c r="C30" s="308" t="s">
        <v>47</v>
      </c>
      <c r="D30" s="629">
        <v>42619</v>
      </c>
      <c r="E30" s="629"/>
      <c r="F30" s="629">
        <v>333320</v>
      </c>
      <c r="G30" s="629">
        <f t="shared" si="2"/>
        <v>375939</v>
      </c>
      <c r="H30" s="629">
        <f t="shared" si="8"/>
        <v>8392356.8599999994</v>
      </c>
      <c r="I30" s="629"/>
      <c r="J30" s="629">
        <v>92300.42</v>
      </c>
      <c r="K30" s="629">
        <f>SUM(J$5:J30)</f>
        <v>1088772.44</v>
      </c>
      <c r="L30" s="629"/>
      <c r="M30" s="629">
        <f t="shared" si="3"/>
        <v>7303584.4199999999</v>
      </c>
      <c r="O30" s="629">
        <f t="shared" si="4"/>
        <v>0</v>
      </c>
      <c r="P30" s="629">
        <f t="shared" si="6"/>
        <v>0</v>
      </c>
      <c r="Q30" s="629">
        <f t="shared" si="7"/>
        <v>41.071428571428569</v>
      </c>
      <c r="R30" s="629">
        <f t="shared" si="9"/>
        <v>154.14285714285714</v>
      </c>
      <c r="S30" s="629">
        <f t="shared" si="10"/>
        <v>575.49285714285713</v>
      </c>
      <c r="T30" s="629">
        <f t="shared" si="12"/>
        <v>1879.5714285714287</v>
      </c>
      <c r="U30" s="629">
        <f t="shared" si="13"/>
        <v>3688.1155952380955</v>
      </c>
      <c r="V30" s="629">
        <f t="shared" si="14"/>
        <v>4470.3665476190472</v>
      </c>
      <c r="W30" s="629">
        <f t="shared" si="15"/>
        <v>4106.5282142857141</v>
      </c>
      <c r="X30" s="629">
        <f t="shared" si="16"/>
        <v>4018.7264285714286</v>
      </c>
      <c r="Y30" s="629">
        <f t="shared" si="17"/>
        <v>2916.0195238095239</v>
      </c>
      <c r="Z30" s="629">
        <f t="shared" si="18"/>
        <v>2546.3565476190479</v>
      </c>
      <c r="AA30" s="629">
        <f t="shared" si="19"/>
        <v>4932.6726190476193</v>
      </c>
      <c r="AB30" s="629">
        <f t="shared" si="21"/>
        <v>6082.1595238095242</v>
      </c>
      <c r="AC30" s="629">
        <f t="shared" si="22"/>
        <v>5612.689166666667</v>
      </c>
      <c r="AD30" s="629">
        <f t="shared" si="23"/>
        <v>5489.8403571428571</v>
      </c>
      <c r="AE30" s="629">
        <f t="shared" si="24"/>
        <v>7340.8214285714284</v>
      </c>
      <c r="AF30" s="629">
        <f t="shared" si="25"/>
        <v>7116.7023809523807</v>
      </c>
      <c r="AG30" s="629">
        <f t="shared" si="26"/>
        <v>5730.1814285714281</v>
      </c>
      <c r="AH30" s="629">
        <f t="shared" si="27"/>
        <v>4594.5159523809525</v>
      </c>
      <c r="AI30" s="629">
        <f t="shared" si="28"/>
        <v>5897.8397619047619</v>
      </c>
      <c r="AJ30" s="629">
        <f t="shared" si="29"/>
        <v>4094.22</v>
      </c>
      <c r="AK30" s="629">
        <f t="shared" si="30"/>
        <v>3846.1785714285716</v>
      </c>
      <c r="AL30" s="629">
        <f t="shared" si="31"/>
        <v>5212.7619047619046</v>
      </c>
      <c r="AM30" s="629">
        <f t="shared" ref="AM30:AM93" si="32">$G$29/84</f>
        <v>5086.5714285714284</v>
      </c>
      <c r="AN30" s="629">
        <f>$G$30/84</f>
        <v>4475.4642857142853</v>
      </c>
      <c r="AO30" s="629"/>
      <c r="AP30" s="629"/>
      <c r="AQ30" s="629"/>
      <c r="AR30" s="629"/>
      <c r="AS30" s="629"/>
      <c r="AT30" s="629"/>
      <c r="AU30" s="629"/>
      <c r="AV30" s="629"/>
      <c r="AW30" s="629"/>
      <c r="AX30" s="629"/>
      <c r="AY30" s="629"/>
      <c r="AZ30" s="629"/>
      <c r="BA30" s="629"/>
      <c r="BB30" s="629"/>
      <c r="BC30" s="629"/>
      <c r="BD30" s="629"/>
      <c r="BE30" s="629"/>
      <c r="BF30" s="629"/>
      <c r="BG30" s="629"/>
      <c r="BH30" s="629"/>
      <c r="BI30" s="629"/>
      <c r="BJ30" s="629"/>
      <c r="BK30" s="629"/>
      <c r="BL30" s="629"/>
      <c r="BM30" s="629">
        <f t="shared" si="5"/>
        <v>99909.010238095259</v>
      </c>
    </row>
    <row r="31" spans="1:65" s="585" customFormat="1" ht="12.75" customHeight="1">
      <c r="A31" s="308" t="s">
        <v>50</v>
      </c>
      <c r="B31" s="308">
        <f t="shared" si="20"/>
        <v>2017</v>
      </c>
      <c r="C31" s="308" t="s">
        <v>47</v>
      </c>
      <c r="D31" s="629">
        <v>54731</v>
      </c>
      <c r="E31" s="629"/>
      <c r="F31" s="629">
        <v>618628.64</v>
      </c>
      <c r="G31" s="629">
        <f t="shared" si="2"/>
        <v>673359.64</v>
      </c>
      <c r="H31" s="629">
        <f t="shared" si="8"/>
        <v>9065716.5</v>
      </c>
      <c r="I31" s="629"/>
      <c r="J31" s="629">
        <v>103799.33</v>
      </c>
      <c r="K31" s="629">
        <f>SUM(J$5:J31)</f>
        <v>1192571.77</v>
      </c>
      <c r="L31" s="629"/>
      <c r="M31" s="629">
        <f t="shared" si="3"/>
        <v>7873144.7300000004</v>
      </c>
      <c r="O31" s="629">
        <f t="shared" si="4"/>
        <v>0</v>
      </c>
      <c r="P31" s="629">
        <f t="shared" si="6"/>
        <v>0</v>
      </c>
      <c r="Q31" s="629">
        <f t="shared" si="7"/>
        <v>41.071428571428569</v>
      </c>
      <c r="R31" s="629">
        <f t="shared" si="9"/>
        <v>154.14285714285714</v>
      </c>
      <c r="S31" s="629">
        <f t="shared" si="10"/>
        <v>575.49285714285713</v>
      </c>
      <c r="T31" s="629">
        <f t="shared" si="12"/>
        <v>1879.5714285714287</v>
      </c>
      <c r="U31" s="629">
        <f t="shared" si="13"/>
        <v>3688.1155952380955</v>
      </c>
      <c r="V31" s="629">
        <f t="shared" si="14"/>
        <v>4470.3665476190472</v>
      </c>
      <c r="W31" s="629">
        <f t="shared" si="15"/>
        <v>4106.5282142857141</v>
      </c>
      <c r="X31" s="629">
        <f t="shared" si="16"/>
        <v>4018.7264285714286</v>
      </c>
      <c r="Y31" s="629">
        <f t="shared" si="17"/>
        <v>2916.0195238095239</v>
      </c>
      <c r="Z31" s="629">
        <f t="shared" si="18"/>
        <v>2546.3565476190479</v>
      </c>
      <c r="AA31" s="629">
        <f t="shared" si="19"/>
        <v>4932.6726190476193</v>
      </c>
      <c r="AB31" s="629">
        <f t="shared" si="21"/>
        <v>6082.1595238095242</v>
      </c>
      <c r="AC31" s="629">
        <f t="shared" si="22"/>
        <v>5612.689166666667</v>
      </c>
      <c r="AD31" s="629">
        <f t="shared" si="23"/>
        <v>5489.8403571428571</v>
      </c>
      <c r="AE31" s="629">
        <f t="shared" si="24"/>
        <v>7340.8214285714284</v>
      </c>
      <c r="AF31" s="629">
        <f t="shared" si="25"/>
        <v>7116.7023809523807</v>
      </c>
      <c r="AG31" s="629">
        <f t="shared" si="26"/>
        <v>5730.1814285714281</v>
      </c>
      <c r="AH31" s="629">
        <f t="shared" si="27"/>
        <v>4594.5159523809525</v>
      </c>
      <c r="AI31" s="629">
        <f t="shared" si="28"/>
        <v>5897.8397619047619</v>
      </c>
      <c r="AJ31" s="629">
        <f t="shared" si="29"/>
        <v>4094.22</v>
      </c>
      <c r="AK31" s="629">
        <f t="shared" si="30"/>
        <v>3846.1785714285716</v>
      </c>
      <c r="AL31" s="629">
        <f t="shared" si="31"/>
        <v>5212.7619047619046</v>
      </c>
      <c r="AM31" s="629">
        <f t="shared" si="32"/>
        <v>5086.5714285714284</v>
      </c>
      <c r="AN31" s="629">
        <f t="shared" ref="AN31:AN94" si="33">$G$30/84</f>
        <v>4475.4642857142853</v>
      </c>
      <c r="AO31" s="629">
        <f>$G$31/84</f>
        <v>8016.1861904761909</v>
      </c>
      <c r="AP31" s="629"/>
      <c r="AQ31" s="629"/>
      <c r="AR31" s="629"/>
      <c r="AS31" s="629"/>
      <c r="AT31" s="629"/>
      <c r="AU31" s="629"/>
      <c r="AV31" s="629"/>
      <c r="AW31" s="629"/>
      <c r="AX31" s="629"/>
      <c r="AY31" s="629"/>
      <c r="AZ31" s="629"/>
      <c r="BA31" s="629"/>
      <c r="BB31" s="629"/>
      <c r="BC31" s="629"/>
      <c r="BD31" s="629"/>
      <c r="BE31" s="629"/>
      <c r="BF31" s="629"/>
      <c r="BG31" s="629"/>
      <c r="BH31" s="629"/>
      <c r="BI31" s="629"/>
      <c r="BJ31" s="629"/>
      <c r="BK31" s="629"/>
      <c r="BL31" s="629"/>
      <c r="BM31" s="629">
        <f t="shared" si="5"/>
        <v>107925.19642857145</v>
      </c>
    </row>
    <row r="32" spans="1:65" s="585" customFormat="1" ht="12.75" customHeight="1">
      <c r="A32" s="308" t="s">
        <v>51</v>
      </c>
      <c r="B32" s="308">
        <f t="shared" si="20"/>
        <v>2017</v>
      </c>
      <c r="C32" s="308" t="s">
        <v>47</v>
      </c>
      <c r="D32" s="629">
        <v>50752</v>
      </c>
      <c r="E32" s="629"/>
      <c r="F32" s="629">
        <v>469687</v>
      </c>
      <c r="G32" s="629">
        <f t="shared" si="2"/>
        <v>520439</v>
      </c>
      <c r="H32" s="629">
        <f t="shared" si="8"/>
        <v>9586155.5</v>
      </c>
      <c r="I32" s="629"/>
      <c r="J32" s="629">
        <v>120386.56000000001</v>
      </c>
      <c r="K32" s="629">
        <f>SUM(J$5:J32)</f>
        <v>1312958.33</v>
      </c>
      <c r="L32" s="629"/>
      <c r="M32" s="629">
        <f t="shared" si="3"/>
        <v>8273197.1699999999</v>
      </c>
      <c r="O32" s="629">
        <f t="shared" si="4"/>
        <v>0</v>
      </c>
      <c r="P32" s="629">
        <f t="shared" si="6"/>
        <v>0</v>
      </c>
      <c r="Q32" s="629">
        <f t="shared" si="7"/>
        <v>41.071428571428569</v>
      </c>
      <c r="R32" s="629">
        <f t="shared" si="9"/>
        <v>154.14285714285714</v>
      </c>
      <c r="S32" s="629">
        <f t="shared" si="10"/>
        <v>575.49285714285713</v>
      </c>
      <c r="T32" s="629">
        <f t="shared" si="12"/>
        <v>1879.5714285714287</v>
      </c>
      <c r="U32" s="629">
        <f t="shared" si="13"/>
        <v>3688.1155952380955</v>
      </c>
      <c r="V32" s="629">
        <f t="shared" si="14"/>
        <v>4470.3665476190472</v>
      </c>
      <c r="W32" s="629">
        <f t="shared" si="15"/>
        <v>4106.5282142857141</v>
      </c>
      <c r="X32" s="629">
        <f t="shared" si="16"/>
        <v>4018.7264285714286</v>
      </c>
      <c r="Y32" s="629">
        <f t="shared" si="17"/>
        <v>2916.0195238095239</v>
      </c>
      <c r="Z32" s="629">
        <f t="shared" si="18"/>
        <v>2546.3565476190479</v>
      </c>
      <c r="AA32" s="629">
        <f t="shared" si="19"/>
        <v>4932.6726190476193</v>
      </c>
      <c r="AB32" s="629">
        <f t="shared" si="21"/>
        <v>6082.1595238095242</v>
      </c>
      <c r="AC32" s="629">
        <f t="shared" si="22"/>
        <v>5612.689166666667</v>
      </c>
      <c r="AD32" s="629">
        <f t="shared" si="23"/>
        <v>5489.8403571428571</v>
      </c>
      <c r="AE32" s="629">
        <f t="shared" si="24"/>
        <v>7340.8214285714284</v>
      </c>
      <c r="AF32" s="629">
        <f t="shared" si="25"/>
        <v>7116.7023809523807</v>
      </c>
      <c r="AG32" s="629">
        <f t="shared" si="26"/>
        <v>5730.1814285714281</v>
      </c>
      <c r="AH32" s="629">
        <f t="shared" si="27"/>
        <v>4594.5159523809525</v>
      </c>
      <c r="AI32" s="629">
        <f t="shared" si="28"/>
        <v>5897.8397619047619</v>
      </c>
      <c r="AJ32" s="629">
        <f t="shared" si="29"/>
        <v>4094.22</v>
      </c>
      <c r="AK32" s="629">
        <f t="shared" si="30"/>
        <v>3846.1785714285716</v>
      </c>
      <c r="AL32" s="629">
        <f t="shared" si="31"/>
        <v>5212.7619047619046</v>
      </c>
      <c r="AM32" s="629">
        <f t="shared" si="32"/>
        <v>5086.5714285714284</v>
      </c>
      <c r="AN32" s="629">
        <f t="shared" si="33"/>
        <v>4475.4642857142853</v>
      </c>
      <c r="AO32" s="629">
        <f t="shared" ref="AO32:AO95" si="34">$G$31/84</f>
        <v>8016.1861904761909</v>
      </c>
      <c r="AP32" s="629">
        <f>$G$32/84</f>
        <v>6195.7023809523807</v>
      </c>
      <c r="AQ32" s="629"/>
      <c r="AR32" s="629"/>
      <c r="AS32" s="629"/>
      <c r="AT32" s="629"/>
      <c r="AU32" s="629"/>
      <c r="AV32" s="629"/>
      <c r="AW32" s="629"/>
      <c r="AX32" s="629"/>
      <c r="AY32" s="629"/>
      <c r="AZ32" s="629"/>
      <c r="BA32" s="629"/>
      <c r="BB32" s="629"/>
      <c r="BC32" s="629"/>
      <c r="BD32" s="629"/>
      <c r="BE32" s="629"/>
      <c r="BF32" s="629"/>
      <c r="BG32" s="629"/>
      <c r="BH32" s="629"/>
      <c r="BI32" s="629"/>
      <c r="BJ32" s="629"/>
      <c r="BK32" s="629"/>
      <c r="BL32" s="629"/>
      <c r="BM32" s="629">
        <f t="shared" si="5"/>
        <v>114120.89880952383</v>
      </c>
    </row>
    <row r="33" spans="1:65" s="585" customFormat="1" ht="12.75" customHeight="1">
      <c r="A33" s="308" t="s">
        <v>52</v>
      </c>
      <c r="B33" s="308">
        <f t="shared" si="20"/>
        <v>2017</v>
      </c>
      <c r="C33" s="308" t="s">
        <v>47</v>
      </c>
      <c r="D33" s="629">
        <v>52480</v>
      </c>
      <c r="E33" s="629"/>
      <c r="F33" s="629">
        <v>442149</v>
      </c>
      <c r="G33" s="629">
        <f t="shared" si="2"/>
        <v>494629</v>
      </c>
      <c r="H33" s="629">
        <f t="shared" si="8"/>
        <v>10080784.5</v>
      </c>
      <c r="I33" s="629"/>
      <c r="J33" s="629">
        <v>116626.2</v>
      </c>
      <c r="K33" s="629">
        <f>SUM(J$5:J33)</f>
        <v>1429584.53</v>
      </c>
      <c r="L33" s="629"/>
      <c r="M33" s="629">
        <f t="shared" si="3"/>
        <v>8651199.9700000007</v>
      </c>
      <c r="O33" s="629">
        <f t="shared" si="4"/>
        <v>0</v>
      </c>
      <c r="P33" s="629">
        <f t="shared" si="6"/>
        <v>0</v>
      </c>
      <c r="Q33" s="629">
        <f t="shared" si="7"/>
        <v>41.071428571428569</v>
      </c>
      <c r="R33" s="629">
        <f t="shared" si="9"/>
        <v>154.14285714285714</v>
      </c>
      <c r="S33" s="629">
        <f t="shared" si="10"/>
        <v>575.49285714285713</v>
      </c>
      <c r="T33" s="629">
        <f t="shared" si="12"/>
        <v>1879.5714285714287</v>
      </c>
      <c r="U33" s="629">
        <f t="shared" si="13"/>
        <v>3688.1155952380955</v>
      </c>
      <c r="V33" s="629">
        <f t="shared" si="14"/>
        <v>4470.3665476190472</v>
      </c>
      <c r="W33" s="629">
        <f t="shared" si="15"/>
        <v>4106.5282142857141</v>
      </c>
      <c r="X33" s="629">
        <f t="shared" si="16"/>
        <v>4018.7264285714286</v>
      </c>
      <c r="Y33" s="629">
        <f t="shared" si="17"/>
        <v>2916.0195238095239</v>
      </c>
      <c r="Z33" s="629">
        <f t="shared" si="18"/>
        <v>2546.3565476190479</v>
      </c>
      <c r="AA33" s="629">
        <f t="shared" si="19"/>
        <v>4932.6726190476193</v>
      </c>
      <c r="AB33" s="629">
        <f t="shared" si="21"/>
        <v>6082.1595238095242</v>
      </c>
      <c r="AC33" s="629">
        <f t="shared" si="22"/>
        <v>5612.689166666667</v>
      </c>
      <c r="AD33" s="629">
        <f t="shared" si="23"/>
        <v>5489.8403571428571</v>
      </c>
      <c r="AE33" s="629">
        <f t="shared" si="24"/>
        <v>7340.8214285714284</v>
      </c>
      <c r="AF33" s="629">
        <f t="shared" si="25"/>
        <v>7116.7023809523807</v>
      </c>
      <c r="AG33" s="629">
        <f t="shared" si="26"/>
        <v>5730.1814285714281</v>
      </c>
      <c r="AH33" s="629">
        <f t="shared" si="27"/>
        <v>4594.5159523809525</v>
      </c>
      <c r="AI33" s="629">
        <f t="shared" si="28"/>
        <v>5897.8397619047619</v>
      </c>
      <c r="AJ33" s="629">
        <f t="shared" si="29"/>
        <v>4094.22</v>
      </c>
      <c r="AK33" s="629">
        <f t="shared" si="30"/>
        <v>3846.1785714285716</v>
      </c>
      <c r="AL33" s="629">
        <f t="shared" si="31"/>
        <v>5212.7619047619046</v>
      </c>
      <c r="AM33" s="629">
        <f t="shared" si="32"/>
        <v>5086.5714285714284</v>
      </c>
      <c r="AN33" s="629">
        <f t="shared" si="33"/>
        <v>4475.4642857142853</v>
      </c>
      <c r="AO33" s="629">
        <f t="shared" si="34"/>
        <v>8016.1861904761909</v>
      </c>
      <c r="AP33" s="629">
        <f t="shared" ref="AP33:AP96" si="35">$G$32/84</f>
        <v>6195.7023809523807</v>
      </c>
      <c r="AQ33" s="629">
        <f>$G$33/84</f>
        <v>5888.4404761904761</v>
      </c>
      <c r="AR33" s="629"/>
      <c r="AS33" s="629"/>
      <c r="AT33" s="629"/>
      <c r="AU33" s="629"/>
      <c r="AV33" s="629"/>
      <c r="AW33" s="629"/>
      <c r="AX33" s="629"/>
      <c r="AY33" s="629"/>
      <c r="AZ33" s="629"/>
      <c r="BA33" s="629"/>
      <c r="BB33" s="629"/>
      <c r="BC33" s="629"/>
      <c r="BD33" s="629"/>
      <c r="BE33" s="629"/>
      <c r="BF33" s="629"/>
      <c r="BG33" s="629"/>
      <c r="BH33" s="629"/>
      <c r="BI33" s="629"/>
      <c r="BJ33" s="629"/>
      <c r="BK33" s="629"/>
      <c r="BL33" s="629"/>
      <c r="BM33" s="629">
        <f t="shared" si="5"/>
        <v>120009.3392857143</v>
      </c>
    </row>
    <row r="34" spans="1:65" s="585" customFormat="1" ht="12.75" customHeight="1">
      <c r="A34" s="308" t="s">
        <v>53</v>
      </c>
      <c r="B34" s="308">
        <f t="shared" si="20"/>
        <v>2018</v>
      </c>
      <c r="C34" s="308" t="s">
        <v>47</v>
      </c>
      <c r="D34" s="629">
        <v>54547</v>
      </c>
      <c r="E34" s="626"/>
      <c r="F34" s="629">
        <v>412211</v>
      </c>
      <c r="G34" s="629">
        <f t="shared" si="2"/>
        <v>466758</v>
      </c>
      <c r="H34" s="629">
        <f t="shared" si="8"/>
        <v>10547542.5</v>
      </c>
      <c r="I34" s="629"/>
      <c r="J34" s="629">
        <v>153833.21</v>
      </c>
      <c r="K34" s="629">
        <f>SUM(J$5:J34)</f>
        <v>1583417.74</v>
      </c>
      <c r="L34" s="629"/>
      <c r="M34" s="629">
        <f t="shared" si="3"/>
        <v>8964124.7599999998</v>
      </c>
      <c r="O34" s="629">
        <f t="shared" si="4"/>
        <v>0</v>
      </c>
      <c r="P34" s="629">
        <f t="shared" si="6"/>
        <v>0</v>
      </c>
      <c r="Q34" s="629">
        <f t="shared" si="7"/>
        <v>41.071428571428569</v>
      </c>
      <c r="R34" s="629">
        <f t="shared" si="9"/>
        <v>154.14285714285714</v>
      </c>
      <c r="S34" s="629">
        <f t="shared" si="10"/>
        <v>575.49285714285713</v>
      </c>
      <c r="T34" s="629">
        <f t="shared" si="12"/>
        <v>1879.5714285714287</v>
      </c>
      <c r="U34" s="629">
        <f t="shared" si="13"/>
        <v>3688.1155952380955</v>
      </c>
      <c r="V34" s="629">
        <f t="shared" si="14"/>
        <v>4470.3665476190472</v>
      </c>
      <c r="W34" s="629">
        <f t="shared" si="15"/>
        <v>4106.5282142857141</v>
      </c>
      <c r="X34" s="629">
        <f t="shared" si="16"/>
        <v>4018.7264285714286</v>
      </c>
      <c r="Y34" s="629">
        <f t="shared" si="17"/>
        <v>2916.0195238095239</v>
      </c>
      <c r="Z34" s="629">
        <f t="shared" si="18"/>
        <v>2546.3565476190479</v>
      </c>
      <c r="AA34" s="629">
        <f t="shared" si="19"/>
        <v>4932.6726190476193</v>
      </c>
      <c r="AB34" s="629">
        <f t="shared" si="21"/>
        <v>6082.1595238095242</v>
      </c>
      <c r="AC34" s="629">
        <f t="shared" si="22"/>
        <v>5612.689166666667</v>
      </c>
      <c r="AD34" s="629">
        <f t="shared" si="23"/>
        <v>5489.8403571428571</v>
      </c>
      <c r="AE34" s="629">
        <f t="shared" si="24"/>
        <v>7340.8214285714284</v>
      </c>
      <c r="AF34" s="629">
        <f t="shared" si="25"/>
        <v>7116.7023809523807</v>
      </c>
      <c r="AG34" s="629">
        <f t="shared" si="26"/>
        <v>5730.1814285714281</v>
      </c>
      <c r="AH34" s="629">
        <f t="shared" si="27"/>
        <v>4594.5159523809525</v>
      </c>
      <c r="AI34" s="629">
        <f t="shared" si="28"/>
        <v>5897.8397619047619</v>
      </c>
      <c r="AJ34" s="629">
        <f t="shared" si="29"/>
        <v>4094.22</v>
      </c>
      <c r="AK34" s="629">
        <f t="shared" si="30"/>
        <v>3846.1785714285716</v>
      </c>
      <c r="AL34" s="629">
        <f t="shared" si="31"/>
        <v>5212.7619047619046</v>
      </c>
      <c r="AM34" s="629">
        <f t="shared" si="32"/>
        <v>5086.5714285714284</v>
      </c>
      <c r="AN34" s="629">
        <f t="shared" si="33"/>
        <v>4475.4642857142853</v>
      </c>
      <c r="AO34" s="629">
        <f t="shared" si="34"/>
        <v>8016.1861904761909</v>
      </c>
      <c r="AP34" s="629">
        <f t="shared" si="35"/>
        <v>6195.7023809523807</v>
      </c>
      <c r="AQ34" s="629">
        <f t="shared" ref="AQ34:AQ97" si="36">$G$33/84</f>
        <v>5888.4404761904761</v>
      </c>
      <c r="AR34" s="629">
        <f>$G$34/84</f>
        <v>5556.6428571428569</v>
      </c>
      <c r="AS34" s="629"/>
      <c r="AT34" s="629"/>
      <c r="AU34" s="629"/>
      <c r="AV34" s="629"/>
      <c r="AW34" s="629"/>
      <c r="AX34" s="629"/>
      <c r="AY34" s="629"/>
      <c r="AZ34" s="629"/>
      <c r="BA34" s="629"/>
      <c r="BB34" s="629"/>
      <c r="BC34" s="629"/>
      <c r="BD34" s="629"/>
      <c r="BE34" s="629"/>
      <c r="BF34" s="629"/>
      <c r="BG34" s="629"/>
      <c r="BH34" s="629"/>
      <c r="BI34" s="629"/>
      <c r="BJ34" s="629"/>
      <c r="BK34" s="629"/>
      <c r="BL34" s="629"/>
      <c r="BM34" s="629">
        <f t="shared" si="5"/>
        <v>125565.98214285716</v>
      </c>
    </row>
    <row r="35" spans="1:65" s="585" customFormat="1" ht="12.75" customHeight="1">
      <c r="A35" s="308" t="s">
        <v>54</v>
      </c>
      <c r="B35" s="308">
        <f t="shared" si="20"/>
        <v>2018</v>
      </c>
      <c r="C35" s="308" t="s">
        <v>47</v>
      </c>
      <c r="D35" s="629">
        <v>51164.5</v>
      </c>
      <c r="E35" s="626"/>
      <c r="F35" s="629">
        <v>324929.5</v>
      </c>
      <c r="G35" s="629">
        <f t="shared" si="2"/>
        <v>376094</v>
      </c>
      <c r="H35" s="629">
        <f t="shared" si="8"/>
        <v>10923636.5</v>
      </c>
      <c r="I35" s="629"/>
      <c r="J35" s="629">
        <v>115029.34</v>
      </c>
      <c r="K35" s="629">
        <f>SUM(J$5:J35)</f>
        <v>1698447.08</v>
      </c>
      <c r="L35" s="629"/>
      <c r="M35" s="629">
        <f t="shared" si="3"/>
        <v>9225189.4199999999</v>
      </c>
      <c r="O35" s="629">
        <f t="shared" si="4"/>
        <v>0</v>
      </c>
      <c r="P35" s="629">
        <f t="shared" si="6"/>
        <v>0</v>
      </c>
      <c r="Q35" s="629">
        <f t="shared" si="7"/>
        <v>41.071428571428569</v>
      </c>
      <c r="R35" s="629">
        <f t="shared" si="9"/>
        <v>154.14285714285714</v>
      </c>
      <c r="S35" s="629">
        <f t="shared" si="10"/>
        <v>575.49285714285713</v>
      </c>
      <c r="T35" s="629">
        <f t="shared" si="12"/>
        <v>1879.5714285714287</v>
      </c>
      <c r="U35" s="629">
        <f t="shared" si="13"/>
        <v>3688.1155952380955</v>
      </c>
      <c r="V35" s="629">
        <f t="shared" si="14"/>
        <v>4470.3665476190472</v>
      </c>
      <c r="W35" s="629">
        <f t="shared" si="15"/>
        <v>4106.5282142857141</v>
      </c>
      <c r="X35" s="629">
        <f t="shared" si="16"/>
        <v>4018.7264285714286</v>
      </c>
      <c r="Y35" s="629">
        <f t="shared" si="17"/>
        <v>2916.0195238095239</v>
      </c>
      <c r="Z35" s="629">
        <f t="shared" si="18"/>
        <v>2546.3565476190479</v>
      </c>
      <c r="AA35" s="629">
        <f t="shared" si="19"/>
        <v>4932.6726190476193</v>
      </c>
      <c r="AB35" s="629">
        <f t="shared" si="21"/>
        <v>6082.1595238095242</v>
      </c>
      <c r="AC35" s="629">
        <f t="shared" si="22"/>
        <v>5612.689166666667</v>
      </c>
      <c r="AD35" s="629">
        <f t="shared" si="23"/>
        <v>5489.8403571428571</v>
      </c>
      <c r="AE35" s="629">
        <f t="shared" si="24"/>
        <v>7340.8214285714284</v>
      </c>
      <c r="AF35" s="629">
        <f t="shared" si="25"/>
        <v>7116.7023809523807</v>
      </c>
      <c r="AG35" s="629">
        <f t="shared" si="26"/>
        <v>5730.1814285714281</v>
      </c>
      <c r="AH35" s="629">
        <f t="shared" si="27"/>
        <v>4594.5159523809525</v>
      </c>
      <c r="AI35" s="629">
        <f t="shared" si="28"/>
        <v>5897.8397619047619</v>
      </c>
      <c r="AJ35" s="629">
        <f t="shared" si="29"/>
        <v>4094.22</v>
      </c>
      <c r="AK35" s="629">
        <f t="shared" si="30"/>
        <v>3846.1785714285716</v>
      </c>
      <c r="AL35" s="629">
        <f t="shared" si="31"/>
        <v>5212.7619047619046</v>
      </c>
      <c r="AM35" s="629">
        <f t="shared" si="32"/>
        <v>5086.5714285714284</v>
      </c>
      <c r="AN35" s="629">
        <f t="shared" si="33"/>
        <v>4475.4642857142853</v>
      </c>
      <c r="AO35" s="629">
        <f t="shared" si="34"/>
        <v>8016.1861904761909</v>
      </c>
      <c r="AP35" s="629">
        <f t="shared" si="35"/>
        <v>6195.7023809523807</v>
      </c>
      <c r="AQ35" s="629">
        <f t="shared" si="36"/>
        <v>5888.4404761904761</v>
      </c>
      <c r="AR35" s="629">
        <f t="shared" ref="AR35:AR98" si="37">$G$34/84</f>
        <v>5556.6428571428569</v>
      </c>
      <c r="AS35" s="629">
        <f>$G$35/84</f>
        <v>4477.3095238095239</v>
      </c>
      <c r="AT35" s="629"/>
      <c r="AU35" s="629"/>
      <c r="AV35" s="629"/>
      <c r="AW35" s="629"/>
      <c r="AX35" s="629"/>
      <c r="AY35" s="629"/>
      <c r="AZ35" s="629"/>
      <c r="BA35" s="629"/>
      <c r="BB35" s="629"/>
      <c r="BC35" s="629"/>
      <c r="BD35" s="629"/>
      <c r="BE35" s="629"/>
      <c r="BF35" s="629"/>
      <c r="BG35" s="629"/>
      <c r="BH35" s="629"/>
      <c r="BI35" s="629"/>
      <c r="BJ35" s="629"/>
      <c r="BK35" s="629"/>
      <c r="BL35" s="629"/>
      <c r="BM35" s="629">
        <f t="shared" si="5"/>
        <v>130043.29166666669</v>
      </c>
    </row>
    <row r="36" spans="1:65" s="585" customFormat="1" ht="12.75" customHeight="1">
      <c r="A36" s="308" t="s">
        <v>55</v>
      </c>
      <c r="B36" s="308">
        <f t="shared" si="20"/>
        <v>2018</v>
      </c>
      <c r="C36" s="308" t="s">
        <v>47</v>
      </c>
      <c r="D36" s="629">
        <v>39200</v>
      </c>
      <c r="E36" s="626"/>
      <c r="F36" s="629">
        <v>416684</v>
      </c>
      <c r="G36" s="629">
        <f t="shared" si="2"/>
        <v>455884</v>
      </c>
      <c r="H36" s="629">
        <f t="shared" si="8"/>
        <v>11379520.5</v>
      </c>
      <c r="I36" s="629"/>
      <c r="J36" s="629">
        <v>132439.83000000002</v>
      </c>
      <c r="K36" s="629">
        <f>SUM(J$5:J36)</f>
        <v>1830886.9100000001</v>
      </c>
      <c r="L36" s="629"/>
      <c r="M36" s="629">
        <f t="shared" si="3"/>
        <v>9548633.5899999999</v>
      </c>
      <c r="O36" s="629">
        <f t="shared" si="4"/>
        <v>0</v>
      </c>
      <c r="P36" s="629">
        <f t="shared" si="6"/>
        <v>0</v>
      </c>
      <c r="Q36" s="629">
        <f t="shared" si="7"/>
        <v>41.071428571428569</v>
      </c>
      <c r="R36" s="629">
        <f t="shared" si="9"/>
        <v>154.14285714285714</v>
      </c>
      <c r="S36" s="629">
        <f t="shared" si="10"/>
        <v>575.49285714285713</v>
      </c>
      <c r="T36" s="629">
        <f t="shared" si="12"/>
        <v>1879.5714285714287</v>
      </c>
      <c r="U36" s="629">
        <f t="shared" si="13"/>
        <v>3688.1155952380955</v>
      </c>
      <c r="V36" s="629">
        <f t="shared" si="14"/>
        <v>4470.3665476190472</v>
      </c>
      <c r="W36" s="629">
        <f t="shared" si="15"/>
        <v>4106.5282142857141</v>
      </c>
      <c r="X36" s="629">
        <f t="shared" si="16"/>
        <v>4018.7264285714286</v>
      </c>
      <c r="Y36" s="629">
        <f t="shared" si="17"/>
        <v>2916.0195238095239</v>
      </c>
      <c r="Z36" s="629">
        <f t="shared" si="18"/>
        <v>2546.3565476190479</v>
      </c>
      <c r="AA36" s="629">
        <f t="shared" si="19"/>
        <v>4932.6726190476193</v>
      </c>
      <c r="AB36" s="629">
        <f t="shared" si="21"/>
        <v>6082.1595238095242</v>
      </c>
      <c r="AC36" s="629">
        <f t="shared" si="22"/>
        <v>5612.689166666667</v>
      </c>
      <c r="AD36" s="629">
        <f t="shared" si="23"/>
        <v>5489.8403571428571</v>
      </c>
      <c r="AE36" s="629">
        <f t="shared" si="24"/>
        <v>7340.8214285714284</v>
      </c>
      <c r="AF36" s="629">
        <f t="shared" si="25"/>
        <v>7116.7023809523807</v>
      </c>
      <c r="AG36" s="629">
        <f t="shared" si="26"/>
        <v>5730.1814285714281</v>
      </c>
      <c r="AH36" s="629">
        <f t="shared" si="27"/>
        <v>4594.5159523809525</v>
      </c>
      <c r="AI36" s="629">
        <f t="shared" si="28"/>
        <v>5897.8397619047619</v>
      </c>
      <c r="AJ36" s="629">
        <f t="shared" si="29"/>
        <v>4094.22</v>
      </c>
      <c r="AK36" s="629">
        <f t="shared" si="30"/>
        <v>3846.1785714285716</v>
      </c>
      <c r="AL36" s="629">
        <f t="shared" si="31"/>
        <v>5212.7619047619046</v>
      </c>
      <c r="AM36" s="629">
        <f t="shared" si="32"/>
        <v>5086.5714285714284</v>
      </c>
      <c r="AN36" s="629">
        <f t="shared" si="33"/>
        <v>4475.4642857142853</v>
      </c>
      <c r="AO36" s="629">
        <f t="shared" si="34"/>
        <v>8016.1861904761909</v>
      </c>
      <c r="AP36" s="629">
        <f t="shared" si="35"/>
        <v>6195.7023809523807</v>
      </c>
      <c r="AQ36" s="629">
        <f t="shared" si="36"/>
        <v>5888.4404761904761</v>
      </c>
      <c r="AR36" s="629">
        <f t="shared" si="37"/>
        <v>5556.6428571428569</v>
      </c>
      <c r="AS36" s="629">
        <f t="shared" ref="AS36:AS99" si="38">$G$35/84</f>
        <v>4477.3095238095239</v>
      </c>
      <c r="AT36" s="629">
        <f>$G$36/84</f>
        <v>5427.1904761904761</v>
      </c>
      <c r="AU36" s="629"/>
      <c r="AV36" s="629"/>
      <c r="AW36" s="629"/>
      <c r="AX36" s="629"/>
      <c r="AY36" s="629"/>
      <c r="AZ36" s="629"/>
      <c r="BA36" s="629"/>
      <c r="BB36" s="629"/>
      <c r="BC36" s="629"/>
      <c r="BD36" s="629"/>
      <c r="BE36" s="629"/>
      <c r="BF36" s="629"/>
      <c r="BG36" s="629"/>
      <c r="BH36" s="629"/>
      <c r="BI36" s="629"/>
      <c r="BJ36" s="629"/>
      <c r="BK36" s="629"/>
      <c r="BL36" s="629"/>
      <c r="BM36" s="629">
        <f t="shared" si="5"/>
        <v>135470.48214285716</v>
      </c>
    </row>
    <row r="37" spans="1:65" s="585" customFormat="1" ht="12.75" customHeight="1">
      <c r="A37" s="308" t="s">
        <v>56</v>
      </c>
      <c r="B37" s="308">
        <f t="shared" si="20"/>
        <v>2018</v>
      </c>
      <c r="C37" s="308" t="s">
        <v>47</v>
      </c>
      <c r="D37" s="629">
        <v>44140.72</v>
      </c>
      <c r="E37" s="626"/>
      <c r="F37" s="629">
        <v>516783</v>
      </c>
      <c r="G37" s="629">
        <f t="shared" si="2"/>
        <v>560923.72</v>
      </c>
      <c r="H37" s="629">
        <f t="shared" si="8"/>
        <v>11940444.220000001</v>
      </c>
      <c r="I37" s="629"/>
      <c r="J37" s="629">
        <v>157875.69</v>
      </c>
      <c r="K37" s="629">
        <f>SUM(J$5:J37)</f>
        <v>1988762.6</v>
      </c>
      <c r="L37" s="629"/>
      <c r="M37" s="629">
        <f t="shared" si="3"/>
        <v>9951681.620000001</v>
      </c>
      <c r="O37" s="629">
        <f t="shared" si="4"/>
        <v>0</v>
      </c>
      <c r="P37" s="629">
        <f t="shared" si="6"/>
        <v>0</v>
      </c>
      <c r="Q37" s="629">
        <f t="shared" si="7"/>
        <v>41.071428571428569</v>
      </c>
      <c r="R37" s="629">
        <f t="shared" si="9"/>
        <v>154.14285714285714</v>
      </c>
      <c r="S37" s="629">
        <f t="shared" si="10"/>
        <v>575.49285714285713</v>
      </c>
      <c r="T37" s="629">
        <f t="shared" si="12"/>
        <v>1879.5714285714287</v>
      </c>
      <c r="U37" s="629">
        <f t="shared" si="13"/>
        <v>3688.1155952380955</v>
      </c>
      <c r="V37" s="629">
        <f t="shared" si="14"/>
        <v>4470.3665476190472</v>
      </c>
      <c r="W37" s="629">
        <f t="shared" si="15"/>
        <v>4106.5282142857141</v>
      </c>
      <c r="X37" s="629">
        <f t="shared" si="16"/>
        <v>4018.7264285714286</v>
      </c>
      <c r="Y37" s="629">
        <f t="shared" si="17"/>
        <v>2916.0195238095239</v>
      </c>
      <c r="Z37" s="629">
        <f t="shared" si="18"/>
        <v>2546.3565476190479</v>
      </c>
      <c r="AA37" s="629">
        <f t="shared" si="19"/>
        <v>4932.6726190476193</v>
      </c>
      <c r="AB37" s="629">
        <f t="shared" si="21"/>
        <v>6082.1595238095242</v>
      </c>
      <c r="AC37" s="629">
        <f t="shared" si="22"/>
        <v>5612.689166666667</v>
      </c>
      <c r="AD37" s="629">
        <f t="shared" si="23"/>
        <v>5489.8403571428571</v>
      </c>
      <c r="AE37" s="629">
        <f t="shared" si="24"/>
        <v>7340.8214285714284</v>
      </c>
      <c r="AF37" s="629">
        <f t="shared" si="25"/>
        <v>7116.7023809523807</v>
      </c>
      <c r="AG37" s="629">
        <f t="shared" si="26"/>
        <v>5730.1814285714281</v>
      </c>
      <c r="AH37" s="629">
        <f t="shared" si="27"/>
        <v>4594.5159523809525</v>
      </c>
      <c r="AI37" s="629">
        <f t="shared" si="28"/>
        <v>5897.8397619047619</v>
      </c>
      <c r="AJ37" s="629">
        <f t="shared" si="29"/>
        <v>4094.22</v>
      </c>
      <c r="AK37" s="629">
        <f t="shared" si="30"/>
        <v>3846.1785714285716</v>
      </c>
      <c r="AL37" s="629">
        <f t="shared" si="31"/>
        <v>5212.7619047619046</v>
      </c>
      <c r="AM37" s="629">
        <f t="shared" si="32"/>
        <v>5086.5714285714284</v>
      </c>
      <c r="AN37" s="629">
        <f t="shared" si="33"/>
        <v>4475.4642857142853</v>
      </c>
      <c r="AO37" s="629">
        <f t="shared" si="34"/>
        <v>8016.1861904761909</v>
      </c>
      <c r="AP37" s="629">
        <f t="shared" si="35"/>
        <v>6195.7023809523807</v>
      </c>
      <c r="AQ37" s="629">
        <f t="shared" si="36"/>
        <v>5888.4404761904761</v>
      </c>
      <c r="AR37" s="629">
        <f t="shared" si="37"/>
        <v>5556.6428571428569</v>
      </c>
      <c r="AS37" s="629">
        <f t="shared" si="38"/>
        <v>4477.3095238095239</v>
      </c>
      <c r="AT37" s="629">
        <f t="shared" ref="AT37:AT100" si="39">$G$36/84</f>
        <v>5427.1904761904761</v>
      </c>
      <c r="AU37" s="629">
        <f>$G$37/84</f>
        <v>6677.663333333333</v>
      </c>
      <c r="AV37" s="629"/>
      <c r="AW37" s="629"/>
      <c r="AX37" s="629"/>
      <c r="AY37" s="629"/>
      <c r="AZ37" s="629"/>
      <c r="BA37" s="629"/>
      <c r="BB37" s="629"/>
      <c r="BC37" s="629"/>
      <c r="BD37" s="629"/>
      <c r="BE37" s="629"/>
      <c r="BF37" s="629"/>
      <c r="BG37" s="629"/>
      <c r="BH37" s="629"/>
      <c r="BI37" s="629"/>
      <c r="BJ37" s="629"/>
      <c r="BK37" s="629"/>
      <c r="BL37" s="629"/>
      <c r="BM37" s="629">
        <f t="shared" si="5"/>
        <v>142148.14547619049</v>
      </c>
    </row>
    <row r="38" spans="1:65" s="585" customFormat="1" ht="12.75" customHeight="1">
      <c r="A38" s="308" t="s">
        <v>57</v>
      </c>
      <c r="B38" s="308">
        <f t="shared" si="20"/>
        <v>2018</v>
      </c>
      <c r="C38" s="308" t="s">
        <v>47</v>
      </c>
      <c r="D38" s="629">
        <v>66079</v>
      </c>
      <c r="E38" s="629"/>
      <c r="F38" s="629">
        <v>446910</v>
      </c>
      <c r="G38" s="629">
        <f t="shared" si="2"/>
        <v>512989</v>
      </c>
      <c r="H38" s="629">
        <f t="shared" si="8"/>
        <v>12453433.220000001</v>
      </c>
      <c r="I38" s="629"/>
      <c r="J38" s="629">
        <v>173789.88999999998</v>
      </c>
      <c r="K38" s="629">
        <f>SUM(J$5:J38)</f>
        <v>2162552.4900000002</v>
      </c>
      <c r="L38" s="629"/>
      <c r="M38" s="629">
        <f t="shared" si="3"/>
        <v>10290880.73</v>
      </c>
      <c r="O38" s="629">
        <f t="shared" si="4"/>
        <v>0</v>
      </c>
      <c r="P38" s="629">
        <f t="shared" si="6"/>
        <v>0</v>
      </c>
      <c r="Q38" s="629">
        <f t="shared" si="7"/>
        <v>41.071428571428569</v>
      </c>
      <c r="R38" s="629">
        <f t="shared" si="9"/>
        <v>154.14285714285714</v>
      </c>
      <c r="S38" s="629">
        <f t="shared" si="10"/>
        <v>575.49285714285713</v>
      </c>
      <c r="T38" s="629">
        <f t="shared" si="12"/>
        <v>1879.5714285714287</v>
      </c>
      <c r="U38" s="629">
        <f t="shared" si="13"/>
        <v>3688.1155952380955</v>
      </c>
      <c r="V38" s="629">
        <f t="shared" si="14"/>
        <v>4470.3665476190472</v>
      </c>
      <c r="W38" s="629">
        <f t="shared" si="15"/>
        <v>4106.5282142857141</v>
      </c>
      <c r="X38" s="629">
        <f t="shared" si="16"/>
        <v>4018.7264285714286</v>
      </c>
      <c r="Y38" s="629">
        <f t="shared" si="17"/>
        <v>2916.0195238095239</v>
      </c>
      <c r="Z38" s="629">
        <f t="shared" si="18"/>
        <v>2546.3565476190479</v>
      </c>
      <c r="AA38" s="629">
        <f t="shared" si="19"/>
        <v>4932.6726190476193</v>
      </c>
      <c r="AB38" s="629">
        <f t="shared" si="21"/>
        <v>6082.1595238095242</v>
      </c>
      <c r="AC38" s="629">
        <f t="shared" si="22"/>
        <v>5612.689166666667</v>
      </c>
      <c r="AD38" s="629">
        <f t="shared" si="23"/>
        <v>5489.8403571428571</v>
      </c>
      <c r="AE38" s="629">
        <f t="shared" si="24"/>
        <v>7340.8214285714284</v>
      </c>
      <c r="AF38" s="629">
        <f t="shared" si="25"/>
        <v>7116.7023809523807</v>
      </c>
      <c r="AG38" s="629">
        <f t="shared" si="26"/>
        <v>5730.1814285714281</v>
      </c>
      <c r="AH38" s="629">
        <f t="shared" si="27"/>
        <v>4594.5159523809525</v>
      </c>
      <c r="AI38" s="629">
        <f t="shared" si="28"/>
        <v>5897.8397619047619</v>
      </c>
      <c r="AJ38" s="629">
        <f t="shared" si="29"/>
        <v>4094.22</v>
      </c>
      <c r="AK38" s="629">
        <f t="shared" si="30"/>
        <v>3846.1785714285716</v>
      </c>
      <c r="AL38" s="629">
        <f t="shared" si="31"/>
        <v>5212.7619047619046</v>
      </c>
      <c r="AM38" s="629">
        <f t="shared" si="32"/>
        <v>5086.5714285714284</v>
      </c>
      <c r="AN38" s="629">
        <f t="shared" si="33"/>
        <v>4475.4642857142853</v>
      </c>
      <c r="AO38" s="629">
        <f t="shared" si="34"/>
        <v>8016.1861904761909</v>
      </c>
      <c r="AP38" s="629">
        <f t="shared" si="35"/>
        <v>6195.7023809523807</v>
      </c>
      <c r="AQ38" s="629">
        <f t="shared" si="36"/>
        <v>5888.4404761904761</v>
      </c>
      <c r="AR38" s="629">
        <f t="shared" si="37"/>
        <v>5556.6428571428569</v>
      </c>
      <c r="AS38" s="629">
        <f t="shared" si="38"/>
        <v>4477.3095238095239</v>
      </c>
      <c r="AT38" s="629">
        <f t="shared" si="39"/>
        <v>5427.1904761904761</v>
      </c>
      <c r="AU38" s="629">
        <f t="shared" ref="AU38:AU101" si="40">$G$37/84</f>
        <v>6677.663333333333</v>
      </c>
      <c r="AV38" s="629">
        <f>$G$38/84</f>
        <v>6107.0119047619046</v>
      </c>
      <c r="AW38" s="629"/>
      <c r="AX38" s="629"/>
      <c r="AY38" s="629"/>
      <c r="AZ38" s="629"/>
      <c r="BA38" s="629"/>
      <c r="BB38" s="629"/>
      <c r="BC38" s="629"/>
      <c r="BD38" s="629"/>
      <c r="BE38" s="629"/>
      <c r="BF38" s="629"/>
      <c r="BG38" s="629"/>
      <c r="BH38" s="629"/>
      <c r="BI38" s="629"/>
      <c r="BJ38" s="629"/>
      <c r="BK38" s="629"/>
      <c r="BL38" s="629"/>
      <c r="BM38" s="629">
        <f t="shared" si="5"/>
        <v>148255.15738095238</v>
      </c>
    </row>
    <row r="39" spans="1:65" s="585" customFormat="1" ht="12.75" customHeight="1">
      <c r="A39" s="308" t="s">
        <v>58</v>
      </c>
      <c r="B39" s="308">
        <f t="shared" si="20"/>
        <v>2018</v>
      </c>
      <c r="C39" s="308" t="s">
        <v>47</v>
      </c>
      <c r="D39" s="629">
        <v>51788</v>
      </c>
      <c r="E39" s="629"/>
      <c r="F39" s="629">
        <v>366229</v>
      </c>
      <c r="G39" s="629">
        <f t="shared" si="2"/>
        <v>418017</v>
      </c>
      <c r="H39" s="629">
        <f t="shared" si="8"/>
        <v>12871450.220000001</v>
      </c>
      <c r="I39" s="629"/>
      <c r="J39" s="629">
        <v>184119.36000000002</v>
      </c>
      <c r="K39" s="629">
        <f>SUM(J$5:J39)</f>
        <v>2346671.85</v>
      </c>
      <c r="L39" s="629"/>
      <c r="M39" s="629">
        <f t="shared" si="3"/>
        <v>10524778.370000001</v>
      </c>
      <c r="O39" s="629">
        <f t="shared" si="4"/>
        <v>0</v>
      </c>
      <c r="P39" s="629">
        <f t="shared" si="6"/>
        <v>0</v>
      </c>
      <c r="Q39" s="629">
        <f t="shared" si="7"/>
        <v>41.071428571428569</v>
      </c>
      <c r="R39" s="629">
        <f t="shared" si="9"/>
        <v>154.14285714285714</v>
      </c>
      <c r="S39" s="629">
        <f t="shared" si="10"/>
        <v>575.49285714285713</v>
      </c>
      <c r="T39" s="629">
        <f t="shared" si="12"/>
        <v>1879.5714285714287</v>
      </c>
      <c r="U39" s="629">
        <f t="shared" si="13"/>
        <v>3688.1155952380955</v>
      </c>
      <c r="V39" s="629">
        <f t="shared" si="14"/>
        <v>4470.3665476190472</v>
      </c>
      <c r="W39" s="629">
        <f t="shared" si="15"/>
        <v>4106.5282142857141</v>
      </c>
      <c r="X39" s="629">
        <f t="shared" si="16"/>
        <v>4018.7264285714286</v>
      </c>
      <c r="Y39" s="629">
        <f t="shared" si="17"/>
        <v>2916.0195238095239</v>
      </c>
      <c r="Z39" s="629">
        <f t="shared" si="18"/>
        <v>2546.3565476190479</v>
      </c>
      <c r="AA39" s="629">
        <f t="shared" si="19"/>
        <v>4932.6726190476193</v>
      </c>
      <c r="AB39" s="629">
        <f t="shared" si="21"/>
        <v>6082.1595238095242</v>
      </c>
      <c r="AC39" s="629">
        <f t="shared" si="22"/>
        <v>5612.689166666667</v>
      </c>
      <c r="AD39" s="629">
        <f t="shared" si="23"/>
        <v>5489.8403571428571</v>
      </c>
      <c r="AE39" s="629">
        <f t="shared" si="24"/>
        <v>7340.8214285714284</v>
      </c>
      <c r="AF39" s="629">
        <f t="shared" si="25"/>
        <v>7116.7023809523807</v>
      </c>
      <c r="AG39" s="629">
        <f t="shared" si="26"/>
        <v>5730.1814285714281</v>
      </c>
      <c r="AH39" s="629">
        <f t="shared" si="27"/>
        <v>4594.5159523809525</v>
      </c>
      <c r="AI39" s="629">
        <f t="shared" si="28"/>
        <v>5897.8397619047619</v>
      </c>
      <c r="AJ39" s="629">
        <f t="shared" si="29"/>
        <v>4094.22</v>
      </c>
      <c r="AK39" s="629">
        <f t="shared" si="30"/>
        <v>3846.1785714285716</v>
      </c>
      <c r="AL39" s="629">
        <f t="shared" si="31"/>
        <v>5212.7619047619046</v>
      </c>
      <c r="AM39" s="629">
        <f t="shared" si="32"/>
        <v>5086.5714285714284</v>
      </c>
      <c r="AN39" s="629">
        <f t="shared" si="33"/>
        <v>4475.4642857142853</v>
      </c>
      <c r="AO39" s="629">
        <f t="shared" si="34"/>
        <v>8016.1861904761909</v>
      </c>
      <c r="AP39" s="629">
        <f t="shared" si="35"/>
        <v>6195.7023809523807</v>
      </c>
      <c r="AQ39" s="629">
        <f t="shared" si="36"/>
        <v>5888.4404761904761</v>
      </c>
      <c r="AR39" s="629">
        <f t="shared" si="37"/>
        <v>5556.6428571428569</v>
      </c>
      <c r="AS39" s="629">
        <f t="shared" si="38"/>
        <v>4477.3095238095239</v>
      </c>
      <c r="AT39" s="629">
        <f t="shared" si="39"/>
        <v>5427.1904761904761</v>
      </c>
      <c r="AU39" s="629">
        <f t="shared" si="40"/>
        <v>6677.663333333333</v>
      </c>
      <c r="AV39" s="629">
        <f t="shared" ref="AV39:AV102" si="41">$G$38/84</f>
        <v>6107.0119047619046</v>
      </c>
      <c r="AW39" s="629">
        <f>$G$39/84</f>
        <v>4976.3928571428569</v>
      </c>
      <c r="AX39" s="629"/>
      <c r="AY39" s="629"/>
      <c r="AZ39" s="629"/>
      <c r="BA39" s="629"/>
      <c r="BB39" s="629"/>
      <c r="BC39" s="629"/>
      <c r="BD39" s="629"/>
      <c r="BE39" s="629"/>
      <c r="BF39" s="629"/>
      <c r="BG39" s="629"/>
      <c r="BH39" s="629"/>
      <c r="BI39" s="629"/>
      <c r="BJ39" s="629"/>
      <c r="BK39" s="629"/>
      <c r="BL39" s="629"/>
      <c r="BM39" s="629">
        <f t="shared" si="5"/>
        <v>153231.55023809525</v>
      </c>
    </row>
    <row r="40" spans="1:65" s="585" customFormat="1" ht="12.75" customHeight="1">
      <c r="A40" s="308" t="s">
        <v>59</v>
      </c>
      <c r="B40" s="308">
        <f t="shared" si="20"/>
        <v>2018</v>
      </c>
      <c r="C40" s="308" t="s">
        <v>47</v>
      </c>
      <c r="D40" s="629">
        <v>70587</v>
      </c>
      <c r="E40" s="629"/>
      <c r="F40" s="629">
        <v>563752</v>
      </c>
      <c r="G40" s="629">
        <f t="shared" si="2"/>
        <v>634339</v>
      </c>
      <c r="H40" s="629">
        <f t="shared" si="8"/>
        <v>13505789.220000001</v>
      </c>
      <c r="I40" s="629"/>
      <c r="J40" s="629">
        <v>185224.44</v>
      </c>
      <c r="K40" s="629">
        <f>SUM(J$5:J40)</f>
        <v>2531896.29</v>
      </c>
      <c r="L40" s="629"/>
      <c r="M40" s="629">
        <f t="shared" si="3"/>
        <v>10973892.93</v>
      </c>
      <c r="O40" s="629">
        <f t="shared" si="4"/>
        <v>0</v>
      </c>
      <c r="P40" s="629">
        <f t="shared" si="6"/>
        <v>0</v>
      </c>
      <c r="Q40" s="629">
        <f t="shared" si="7"/>
        <v>41.071428571428569</v>
      </c>
      <c r="R40" s="629">
        <f t="shared" si="9"/>
        <v>154.14285714285714</v>
      </c>
      <c r="S40" s="629">
        <f t="shared" si="10"/>
        <v>575.49285714285713</v>
      </c>
      <c r="T40" s="629">
        <f t="shared" si="12"/>
        <v>1879.5714285714287</v>
      </c>
      <c r="U40" s="629">
        <f t="shared" si="13"/>
        <v>3688.1155952380955</v>
      </c>
      <c r="V40" s="629">
        <f t="shared" si="14"/>
        <v>4470.3665476190472</v>
      </c>
      <c r="W40" s="629">
        <f t="shared" si="15"/>
        <v>4106.5282142857141</v>
      </c>
      <c r="X40" s="629">
        <f t="shared" si="16"/>
        <v>4018.7264285714286</v>
      </c>
      <c r="Y40" s="629">
        <f t="shared" si="17"/>
        <v>2916.0195238095239</v>
      </c>
      <c r="Z40" s="629">
        <f t="shared" si="18"/>
        <v>2546.3565476190479</v>
      </c>
      <c r="AA40" s="629">
        <f t="shared" si="19"/>
        <v>4932.6726190476193</v>
      </c>
      <c r="AB40" s="629">
        <f t="shared" si="21"/>
        <v>6082.1595238095242</v>
      </c>
      <c r="AC40" s="629">
        <f t="shared" si="22"/>
        <v>5612.689166666667</v>
      </c>
      <c r="AD40" s="629">
        <f t="shared" si="23"/>
        <v>5489.8403571428571</v>
      </c>
      <c r="AE40" s="629">
        <f t="shared" si="24"/>
        <v>7340.8214285714284</v>
      </c>
      <c r="AF40" s="629">
        <f t="shared" si="25"/>
        <v>7116.7023809523807</v>
      </c>
      <c r="AG40" s="629">
        <f t="shared" si="26"/>
        <v>5730.1814285714281</v>
      </c>
      <c r="AH40" s="629">
        <f t="shared" si="27"/>
        <v>4594.5159523809525</v>
      </c>
      <c r="AI40" s="629">
        <f t="shared" si="28"/>
        <v>5897.8397619047619</v>
      </c>
      <c r="AJ40" s="629">
        <f t="shared" si="29"/>
        <v>4094.22</v>
      </c>
      <c r="AK40" s="629">
        <f t="shared" si="30"/>
        <v>3846.1785714285716</v>
      </c>
      <c r="AL40" s="629">
        <f t="shared" si="31"/>
        <v>5212.7619047619046</v>
      </c>
      <c r="AM40" s="629">
        <f t="shared" si="32"/>
        <v>5086.5714285714284</v>
      </c>
      <c r="AN40" s="629">
        <f t="shared" si="33"/>
        <v>4475.4642857142853</v>
      </c>
      <c r="AO40" s="629">
        <f t="shared" si="34"/>
        <v>8016.1861904761909</v>
      </c>
      <c r="AP40" s="629">
        <f t="shared" si="35"/>
        <v>6195.7023809523807</v>
      </c>
      <c r="AQ40" s="629">
        <f t="shared" si="36"/>
        <v>5888.4404761904761</v>
      </c>
      <c r="AR40" s="629">
        <f t="shared" si="37"/>
        <v>5556.6428571428569</v>
      </c>
      <c r="AS40" s="629">
        <f t="shared" si="38"/>
        <v>4477.3095238095239</v>
      </c>
      <c r="AT40" s="629">
        <f t="shared" si="39"/>
        <v>5427.1904761904761</v>
      </c>
      <c r="AU40" s="629">
        <f t="shared" si="40"/>
        <v>6677.663333333333</v>
      </c>
      <c r="AV40" s="629">
        <f t="shared" si="41"/>
        <v>6107.0119047619046</v>
      </c>
      <c r="AW40" s="629">
        <f t="shared" ref="AW40:AW103" si="42">$G$39/84</f>
        <v>4976.3928571428569</v>
      </c>
      <c r="AX40" s="629">
        <f>$G$40/84</f>
        <v>7551.6547619047615</v>
      </c>
      <c r="AY40" s="629"/>
      <c r="AZ40" s="629"/>
      <c r="BA40" s="629"/>
      <c r="BB40" s="629"/>
      <c r="BC40" s="629"/>
      <c r="BD40" s="629"/>
      <c r="BE40" s="629"/>
      <c r="BF40" s="629"/>
      <c r="BG40" s="629"/>
      <c r="BH40" s="629"/>
      <c r="BI40" s="629"/>
      <c r="BJ40" s="629"/>
      <c r="BK40" s="629"/>
      <c r="BL40" s="629"/>
      <c r="BM40" s="629">
        <f t="shared" si="5"/>
        <v>160783.20500000002</v>
      </c>
    </row>
    <row r="41" spans="1:65" s="585" customFormat="1" ht="12.75" customHeight="1">
      <c r="A41" s="308" t="s">
        <v>46</v>
      </c>
      <c r="B41" s="308">
        <f t="shared" si="20"/>
        <v>2018</v>
      </c>
      <c r="C41" s="308" t="s">
        <v>47</v>
      </c>
      <c r="D41" s="629">
        <v>45444</v>
      </c>
      <c r="E41" s="629"/>
      <c r="F41" s="629">
        <v>393316</v>
      </c>
      <c r="G41" s="629">
        <f t="shared" si="2"/>
        <v>438760</v>
      </c>
      <c r="H41" s="629">
        <f t="shared" si="8"/>
        <v>13944549.220000001</v>
      </c>
      <c r="I41" s="629"/>
      <c r="J41" s="629">
        <v>198278.36000000002</v>
      </c>
      <c r="K41" s="629">
        <f>SUM(J$5:J41)</f>
        <v>2730174.65</v>
      </c>
      <c r="L41" s="629"/>
      <c r="M41" s="629">
        <f t="shared" si="3"/>
        <v>11214374.57</v>
      </c>
      <c r="O41" s="629">
        <f t="shared" si="4"/>
        <v>0</v>
      </c>
      <c r="P41" s="629">
        <f t="shared" si="6"/>
        <v>0</v>
      </c>
      <c r="Q41" s="629">
        <f t="shared" si="7"/>
        <v>41.071428571428569</v>
      </c>
      <c r="R41" s="629">
        <f t="shared" si="9"/>
        <v>154.14285714285714</v>
      </c>
      <c r="S41" s="629">
        <f t="shared" si="10"/>
        <v>575.49285714285713</v>
      </c>
      <c r="T41" s="629">
        <f t="shared" si="12"/>
        <v>1879.5714285714287</v>
      </c>
      <c r="U41" s="629">
        <f t="shared" si="13"/>
        <v>3688.1155952380955</v>
      </c>
      <c r="V41" s="629">
        <f t="shared" si="14"/>
        <v>4470.3665476190472</v>
      </c>
      <c r="W41" s="629">
        <f t="shared" si="15"/>
        <v>4106.5282142857141</v>
      </c>
      <c r="X41" s="629">
        <f t="shared" si="16"/>
        <v>4018.7264285714286</v>
      </c>
      <c r="Y41" s="629">
        <f t="shared" si="17"/>
        <v>2916.0195238095239</v>
      </c>
      <c r="Z41" s="629">
        <f t="shared" si="18"/>
        <v>2546.3565476190479</v>
      </c>
      <c r="AA41" s="629">
        <f t="shared" si="19"/>
        <v>4932.6726190476193</v>
      </c>
      <c r="AB41" s="629">
        <f t="shared" si="21"/>
        <v>6082.1595238095242</v>
      </c>
      <c r="AC41" s="629">
        <f t="shared" si="22"/>
        <v>5612.689166666667</v>
      </c>
      <c r="AD41" s="629">
        <f t="shared" si="23"/>
        <v>5489.8403571428571</v>
      </c>
      <c r="AE41" s="629">
        <f t="shared" si="24"/>
        <v>7340.8214285714284</v>
      </c>
      <c r="AF41" s="629">
        <f t="shared" si="25"/>
        <v>7116.7023809523807</v>
      </c>
      <c r="AG41" s="629">
        <f t="shared" si="26"/>
        <v>5730.1814285714281</v>
      </c>
      <c r="AH41" s="629">
        <f t="shared" si="27"/>
        <v>4594.5159523809525</v>
      </c>
      <c r="AI41" s="629">
        <f t="shared" si="28"/>
        <v>5897.8397619047619</v>
      </c>
      <c r="AJ41" s="629">
        <f t="shared" si="29"/>
        <v>4094.22</v>
      </c>
      <c r="AK41" s="629">
        <f t="shared" si="30"/>
        <v>3846.1785714285716</v>
      </c>
      <c r="AL41" s="629">
        <f t="shared" si="31"/>
        <v>5212.7619047619046</v>
      </c>
      <c r="AM41" s="629">
        <f t="shared" si="32"/>
        <v>5086.5714285714284</v>
      </c>
      <c r="AN41" s="629">
        <f t="shared" si="33"/>
        <v>4475.4642857142853</v>
      </c>
      <c r="AO41" s="629">
        <f t="shared" si="34"/>
        <v>8016.1861904761909</v>
      </c>
      <c r="AP41" s="629">
        <f t="shared" si="35"/>
        <v>6195.7023809523807</v>
      </c>
      <c r="AQ41" s="629">
        <f t="shared" si="36"/>
        <v>5888.4404761904761</v>
      </c>
      <c r="AR41" s="629">
        <f t="shared" si="37"/>
        <v>5556.6428571428569</v>
      </c>
      <c r="AS41" s="629">
        <f t="shared" si="38"/>
        <v>4477.3095238095239</v>
      </c>
      <c r="AT41" s="629">
        <f t="shared" si="39"/>
        <v>5427.1904761904761</v>
      </c>
      <c r="AU41" s="629">
        <f t="shared" si="40"/>
        <v>6677.663333333333</v>
      </c>
      <c r="AV41" s="629">
        <f t="shared" si="41"/>
        <v>6107.0119047619046</v>
      </c>
      <c r="AW41" s="629">
        <f t="shared" si="42"/>
        <v>4976.3928571428569</v>
      </c>
      <c r="AX41" s="629">
        <f t="shared" ref="AX41:AX104" si="43">$G$40/84</f>
        <v>7551.6547619047615</v>
      </c>
      <c r="AY41" s="629">
        <f>$G$41/84</f>
        <v>5223.333333333333</v>
      </c>
      <c r="AZ41" s="629"/>
      <c r="BA41" s="629"/>
      <c r="BB41" s="629"/>
      <c r="BC41" s="629"/>
      <c r="BD41" s="629"/>
      <c r="BE41" s="629"/>
      <c r="BF41" s="629"/>
      <c r="BG41" s="629"/>
      <c r="BH41" s="629"/>
      <c r="BI41" s="629"/>
      <c r="BJ41" s="629"/>
      <c r="BK41" s="629"/>
      <c r="BL41" s="629"/>
      <c r="BM41" s="629">
        <f t="shared" si="5"/>
        <v>166006.53833333336</v>
      </c>
    </row>
    <row r="42" spans="1:65" s="585" customFormat="1" ht="12.75" customHeight="1">
      <c r="A42" s="308" t="s">
        <v>48</v>
      </c>
      <c r="B42" s="308">
        <f t="shared" si="20"/>
        <v>2018</v>
      </c>
      <c r="C42" s="308" t="s">
        <v>47</v>
      </c>
      <c r="D42" s="629">
        <v>44887</v>
      </c>
      <c r="E42" s="629"/>
      <c r="F42" s="629">
        <v>253169</v>
      </c>
      <c r="G42" s="629">
        <f t="shared" si="2"/>
        <v>298056</v>
      </c>
      <c r="H42" s="629">
        <f t="shared" si="8"/>
        <v>14242605.220000001</v>
      </c>
      <c r="I42" s="629"/>
      <c r="J42" s="629">
        <v>153152.19</v>
      </c>
      <c r="K42" s="629">
        <f>SUM(J$5:J42)</f>
        <v>2883326.84</v>
      </c>
      <c r="L42" s="629"/>
      <c r="M42" s="629">
        <f t="shared" si="3"/>
        <v>11359278.380000001</v>
      </c>
      <c r="O42" s="629">
        <f t="shared" si="4"/>
        <v>0</v>
      </c>
      <c r="P42" s="629">
        <f t="shared" si="6"/>
        <v>0</v>
      </c>
      <c r="Q42" s="629">
        <f t="shared" si="7"/>
        <v>41.071428571428569</v>
      </c>
      <c r="R42" s="629">
        <f t="shared" si="9"/>
        <v>154.14285714285714</v>
      </c>
      <c r="S42" s="629">
        <f t="shared" si="10"/>
        <v>575.49285714285713</v>
      </c>
      <c r="T42" s="629">
        <f t="shared" si="12"/>
        <v>1879.5714285714287</v>
      </c>
      <c r="U42" s="629">
        <f t="shared" si="13"/>
        <v>3688.1155952380955</v>
      </c>
      <c r="V42" s="629">
        <f t="shared" si="14"/>
        <v>4470.3665476190472</v>
      </c>
      <c r="W42" s="629">
        <f t="shared" si="15"/>
        <v>4106.5282142857141</v>
      </c>
      <c r="X42" s="629">
        <f t="shared" si="16"/>
        <v>4018.7264285714286</v>
      </c>
      <c r="Y42" s="629">
        <f t="shared" si="17"/>
        <v>2916.0195238095239</v>
      </c>
      <c r="Z42" s="629">
        <f t="shared" si="18"/>
        <v>2546.3565476190479</v>
      </c>
      <c r="AA42" s="629">
        <f t="shared" si="19"/>
        <v>4932.6726190476193</v>
      </c>
      <c r="AB42" s="629">
        <f t="shared" si="21"/>
        <v>6082.1595238095242</v>
      </c>
      <c r="AC42" s="629">
        <f t="shared" si="22"/>
        <v>5612.689166666667</v>
      </c>
      <c r="AD42" s="629">
        <f t="shared" si="23"/>
        <v>5489.8403571428571</v>
      </c>
      <c r="AE42" s="629">
        <f t="shared" si="24"/>
        <v>7340.8214285714284</v>
      </c>
      <c r="AF42" s="629">
        <f t="shared" si="25"/>
        <v>7116.7023809523807</v>
      </c>
      <c r="AG42" s="629">
        <f t="shared" si="26"/>
        <v>5730.1814285714281</v>
      </c>
      <c r="AH42" s="629">
        <f t="shared" si="27"/>
        <v>4594.5159523809525</v>
      </c>
      <c r="AI42" s="629">
        <f t="shared" si="28"/>
        <v>5897.8397619047619</v>
      </c>
      <c r="AJ42" s="629">
        <f t="shared" si="29"/>
        <v>4094.22</v>
      </c>
      <c r="AK42" s="629">
        <f t="shared" si="30"/>
        <v>3846.1785714285716</v>
      </c>
      <c r="AL42" s="629">
        <f t="shared" si="31"/>
        <v>5212.7619047619046</v>
      </c>
      <c r="AM42" s="629">
        <f t="shared" si="32"/>
        <v>5086.5714285714284</v>
      </c>
      <c r="AN42" s="629">
        <f t="shared" si="33"/>
        <v>4475.4642857142853</v>
      </c>
      <c r="AO42" s="629">
        <f t="shared" si="34"/>
        <v>8016.1861904761909</v>
      </c>
      <c r="AP42" s="629">
        <f t="shared" si="35"/>
        <v>6195.7023809523807</v>
      </c>
      <c r="AQ42" s="629">
        <f t="shared" si="36"/>
        <v>5888.4404761904761</v>
      </c>
      <c r="AR42" s="629">
        <f t="shared" si="37"/>
        <v>5556.6428571428569</v>
      </c>
      <c r="AS42" s="629">
        <f t="shared" si="38"/>
        <v>4477.3095238095239</v>
      </c>
      <c r="AT42" s="629">
        <f t="shared" si="39"/>
        <v>5427.1904761904761</v>
      </c>
      <c r="AU42" s="629">
        <f t="shared" si="40"/>
        <v>6677.663333333333</v>
      </c>
      <c r="AV42" s="629">
        <f t="shared" si="41"/>
        <v>6107.0119047619046</v>
      </c>
      <c r="AW42" s="629">
        <f t="shared" si="42"/>
        <v>4976.3928571428569</v>
      </c>
      <c r="AX42" s="629">
        <f t="shared" si="43"/>
        <v>7551.6547619047615</v>
      </c>
      <c r="AY42" s="629">
        <f t="shared" ref="AY42:AY105" si="44">$G$41/84</f>
        <v>5223.333333333333</v>
      </c>
      <c r="AZ42" s="629">
        <f>$G$42/84</f>
        <v>3548.2857142857142</v>
      </c>
      <c r="BA42" s="629"/>
      <c r="BB42" s="629"/>
      <c r="BC42" s="629"/>
      <c r="BD42" s="629"/>
      <c r="BE42" s="629"/>
      <c r="BF42" s="629"/>
      <c r="BG42" s="629"/>
      <c r="BH42" s="629"/>
      <c r="BI42" s="629"/>
      <c r="BJ42" s="629"/>
      <c r="BK42" s="629"/>
      <c r="BL42" s="629"/>
      <c r="BM42" s="629">
        <f t="shared" si="5"/>
        <v>169554.82404761907</v>
      </c>
    </row>
    <row r="43" spans="1:65" s="585" customFormat="1" ht="12.75" customHeight="1" outlineLevel="1">
      <c r="A43" s="308" t="s">
        <v>50</v>
      </c>
      <c r="B43" s="308">
        <f t="shared" si="20"/>
        <v>2018</v>
      </c>
      <c r="C43" s="308" t="s">
        <v>47</v>
      </c>
      <c r="D43" s="629">
        <v>62032</v>
      </c>
      <c r="E43" s="629"/>
      <c r="F43" s="629">
        <v>501568</v>
      </c>
      <c r="G43" s="629">
        <f t="shared" si="2"/>
        <v>563600</v>
      </c>
      <c r="H43" s="629">
        <f t="shared" si="8"/>
        <v>14806205.220000001</v>
      </c>
      <c r="I43" s="629"/>
      <c r="J43" s="629">
        <v>208231.52</v>
      </c>
      <c r="K43" s="629">
        <f>SUM(J$5:J43)</f>
        <v>3091558.36</v>
      </c>
      <c r="L43" s="629"/>
      <c r="M43" s="629">
        <f t="shared" si="3"/>
        <v>11714646.860000001</v>
      </c>
      <c r="O43" s="629">
        <f t="shared" si="4"/>
        <v>0</v>
      </c>
      <c r="P43" s="629">
        <f t="shared" si="6"/>
        <v>0</v>
      </c>
      <c r="Q43" s="629">
        <f t="shared" si="7"/>
        <v>41.071428571428569</v>
      </c>
      <c r="R43" s="629">
        <f t="shared" si="9"/>
        <v>154.14285714285714</v>
      </c>
      <c r="S43" s="629">
        <f t="shared" si="10"/>
        <v>575.49285714285713</v>
      </c>
      <c r="T43" s="629">
        <f t="shared" si="12"/>
        <v>1879.5714285714287</v>
      </c>
      <c r="U43" s="629">
        <f t="shared" si="13"/>
        <v>3688.1155952380955</v>
      </c>
      <c r="V43" s="629">
        <f t="shared" si="14"/>
        <v>4470.3665476190472</v>
      </c>
      <c r="W43" s="629">
        <f t="shared" si="15"/>
        <v>4106.5282142857141</v>
      </c>
      <c r="X43" s="629">
        <f t="shared" si="16"/>
        <v>4018.7264285714286</v>
      </c>
      <c r="Y43" s="629">
        <f t="shared" si="17"/>
        <v>2916.0195238095239</v>
      </c>
      <c r="Z43" s="629">
        <f t="shared" si="18"/>
        <v>2546.3565476190479</v>
      </c>
      <c r="AA43" s="629">
        <f t="shared" si="19"/>
        <v>4932.6726190476193</v>
      </c>
      <c r="AB43" s="629">
        <f t="shared" si="21"/>
        <v>6082.1595238095242</v>
      </c>
      <c r="AC43" s="629">
        <f t="shared" si="22"/>
        <v>5612.689166666667</v>
      </c>
      <c r="AD43" s="629">
        <f t="shared" si="23"/>
        <v>5489.8403571428571</v>
      </c>
      <c r="AE43" s="629">
        <f t="shared" si="24"/>
        <v>7340.8214285714284</v>
      </c>
      <c r="AF43" s="629">
        <f t="shared" si="25"/>
        <v>7116.7023809523807</v>
      </c>
      <c r="AG43" s="629">
        <f t="shared" si="26"/>
        <v>5730.1814285714281</v>
      </c>
      <c r="AH43" s="629">
        <f t="shared" si="27"/>
        <v>4594.5159523809525</v>
      </c>
      <c r="AI43" s="629">
        <f t="shared" si="28"/>
        <v>5897.8397619047619</v>
      </c>
      <c r="AJ43" s="629">
        <f t="shared" si="29"/>
        <v>4094.22</v>
      </c>
      <c r="AK43" s="629">
        <f t="shared" si="30"/>
        <v>3846.1785714285716</v>
      </c>
      <c r="AL43" s="629">
        <f t="shared" si="31"/>
        <v>5212.7619047619046</v>
      </c>
      <c r="AM43" s="629">
        <f t="shared" si="32"/>
        <v>5086.5714285714284</v>
      </c>
      <c r="AN43" s="629">
        <f t="shared" si="33"/>
        <v>4475.4642857142853</v>
      </c>
      <c r="AO43" s="629">
        <f t="shared" si="34"/>
        <v>8016.1861904761909</v>
      </c>
      <c r="AP43" s="629">
        <f t="shared" si="35"/>
        <v>6195.7023809523807</v>
      </c>
      <c r="AQ43" s="629">
        <f t="shared" si="36"/>
        <v>5888.4404761904761</v>
      </c>
      <c r="AR43" s="629">
        <f t="shared" si="37"/>
        <v>5556.6428571428569</v>
      </c>
      <c r="AS43" s="629">
        <f t="shared" si="38"/>
        <v>4477.3095238095239</v>
      </c>
      <c r="AT43" s="629">
        <f t="shared" si="39"/>
        <v>5427.1904761904761</v>
      </c>
      <c r="AU43" s="629">
        <f t="shared" si="40"/>
        <v>6677.663333333333</v>
      </c>
      <c r="AV43" s="629">
        <f t="shared" si="41"/>
        <v>6107.0119047619046</v>
      </c>
      <c r="AW43" s="629">
        <f t="shared" si="42"/>
        <v>4976.3928571428569</v>
      </c>
      <c r="AX43" s="629">
        <f t="shared" si="43"/>
        <v>7551.6547619047615</v>
      </c>
      <c r="AY43" s="629">
        <f t="shared" si="44"/>
        <v>5223.333333333333</v>
      </c>
      <c r="AZ43" s="629">
        <f t="shared" ref="AZ43:AZ106" si="45">$G$42/84</f>
        <v>3548.2857142857142</v>
      </c>
      <c r="BA43" s="629">
        <f>$G$43/84</f>
        <v>6709.5238095238092</v>
      </c>
      <c r="BB43" s="629"/>
      <c r="BC43" s="629"/>
      <c r="BD43" s="629"/>
      <c r="BE43" s="629"/>
      <c r="BF43" s="629"/>
      <c r="BG43" s="629"/>
      <c r="BH43" s="629"/>
      <c r="BI43" s="629"/>
      <c r="BJ43" s="629"/>
      <c r="BK43" s="629"/>
      <c r="BL43" s="629"/>
      <c r="BM43" s="629">
        <f t="shared" si="5"/>
        <v>176264.34785714289</v>
      </c>
    </row>
    <row r="44" spans="1:65" s="585" customFormat="1" ht="12.75" customHeight="1" outlineLevel="1">
      <c r="A44" s="308" t="s">
        <v>51</v>
      </c>
      <c r="B44" s="308">
        <f t="shared" si="20"/>
        <v>2018</v>
      </c>
      <c r="C44" s="308" t="s">
        <v>47</v>
      </c>
      <c r="D44" s="629">
        <v>38506</v>
      </c>
      <c r="E44" s="629"/>
      <c r="F44" s="629">
        <v>339757</v>
      </c>
      <c r="G44" s="629">
        <f t="shared" si="2"/>
        <v>378263</v>
      </c>
      <c r="H44" s="629">
        <f t="shared" si="8"/>
        <v>15184468.220000001</v>
      </c>
      <c r="I44" s="629"/>
      <c r="J44" s="629">
        <v>213278.68</v>
      </c>
      <c r="K44" s="629">
        <f>SUM(J$5:J44)</f>
        <v>3304837.04</v>
      </c>
      <c r="L44" s="629"/>
      <c r="M44" s="629">
        <f t="shared" si="3"/>
        <v>11879631.18</v>
      </c>
      <c r="O44" s="629">
        <f t="shared" si="4"/>
        <v>0</v>
      </c>
      <c r="P44" s="629">
        <f t="shared" si="6"/>
        <v>0</v>
      </c>
      <c r="Q44" s="629">
        <f t="shared" si="7"/>
        <v>41.071428571428569</v>
      </c>
      <c r="R44" s="629">
        <f t="shared" si="9"/>
        <v>154.14285714285714</v>
      </c>
      <c r="S44" s="629">
        <f t="shared" si="10"/>
        <v>575.49285714285713</v>
      </c>
      <c r="T44" s="629">
        <f t="shared" si="12"/>
        <v>1879.5714285714287</v>
      </c>
      <c r="U44" s="629">
        <f t="shared" si="13"/>
        <v>3688.1155952380955</v>
      </c>
      <c r="V44" s="629">
        <f t="shared" si="14"/>
        <v>4470.3665476190472</v>
      </c>
      <c r="W44" s="629">
        <f t="shared" si="15"/>
        <v>4106.5282142857141</v>
      </c>
      <c r="X44" s="629">
        <f t="shared" si="16"/>
        <v>4018.7264285714286</v>
      </c>
      <c r="Y44" s="629">
        <f t="shared" si="17"/>
        <v>2916.0195238095239</v>
      </c>
      <c r="Z44" s="629">
        <f t="shared" si="18"/>
        <v>2546.3565476190479</v>
      </c>
      <c r="AA44" s="629">
        <f t="shared" si="19"/>
        <v>4932.6726190476193</v>
      </c>
      <c r="AB44" s="629">
        <f t="shared" si="21"/>
        <v>6082.1595238095242</v>
      </c>
      <c r="AC44" s="629">
        <f t="shared" si="22"/>
        <v>5612.689166666667</v>
      </c>
      <c r="AD44" s="629">
        <f t="shared" si="23"/>
        <v>5489.8403571428571</v>
      </c>
      <c r="AE44" s="629">
        <f t="shared" si="24"/>
        <v>7340.8214285714284</v>
      </c>
      <c r="AF44" s="629">
        <f t="shared" si="25"/>
        <v>7116.7023809523807</v>
      </c>
      <c r="AG44" s="629">
        <f t="shared" si="26"/>
        <v>5730.1814285714281</v>
      </c>
      <c r="AH44" s="629">
        <f t="shared" si="27"/>
        <v>4594.5159523809525</v>
      </c>
      <c r="AI44" s="629">
        <f t="shared" si="28"/>
        <v>5897.8397619047619</v>
      </c>
      <c r="AJ44" s="629">
        <f t="shared" si="29"/>
        <v>4094.22</v>
      </c>
      <c r="AK44" s="629">
        <f t="shared" si="30"/>
        <v>3846.1785714285716</v>
      </c>
      <c r="AL44" s="629">
        <f t="shared" si="31"/>
        <v>5212.7619047619046</v>
      </c>
      <c r="AM44" s="629">
        <f t="shared" si="32"/>
        <v>5086.5714285714284</v>
      </c>
      <c r="AN44" s="629">
        <f t="shared" si="33"/>
        <v>4475.4642857142853</v>
      </c>
      <c r="AO44" s="629">
        <f t="shared" si="34"/>
        <v>8016.1861904761909</v>
      </c>
      <c r="AP44" s="629">
        <f t="shared" si="35"/>
        <v>6195.7023809523807</v>
      </c>
      <c r="AQ44" s="629">
        <f t="shared" si="36"/>
        <v>5888.4404761904761</v>
      </c>
      <c r="AR44" s="629">
        <f t="shared" si="37"/>
        <v>5556.6428571428569</v>
      </c>
      <c r="AS44" s="629">
        <f t="shared" si="38"/>
        <v>4477.3095238095239</v>
      </c>
      <c r="AT44" s="629">
        <f t="shared" si="39"/>
        <v>5427.1904761904761</v>
      </c>
      <c r="AU44" s="629">
        <f t="shared" si="40"/>
        <v>6677.663333333333</v>
      </c>
      <c r="AV44" s="629">
        <f t="shared" si="41"/>
        <v>6107.0119047619046</v>
      </c>
      <c r="AW44" s="629">
        <f t="shared" si="42"/>
        <v>4976.3928571428569</v>
      </c>
      <c r="AX44" s="629">
        <f t="shared" si="43"/>
        <v>7551.6547619047615</v>
      </c>
      <c r="AY44" s="629">
        <f t="shared" si="44"/>
        <v>5223.333333333333</v>
      </c>
      <c r="AZ44" s="629">
        <f t="shared" si="45"/>
        <v>3548.2857142857142</v>
      </c>
      <c r="BA44" s="629">
        <f t="shared" ref="BA44:BA107" si="46">$G$43/84</f>
        <v>6709.5238095238092</v>
      </c>
      <c r="BB44" s="629">
        <f>$G$44/84</f>
        <v>4503.1309523809523</v>
      </c>
      <c r="BC44" s="629"/>
      <c r="BD44" s="629"/>
      <c r="BE44" s="629"/>
      <c r="BF44" s="629"/>
      <c r="BG44" s="629"/>
      <c r="BH44" s="629"/>
      <c r="BI44" s="629"/>
      <c r="BJ44" s="629"/>
      <c r="BK44" s="629"/>
      <c r="BL44" s="629"/>
      <c r="BM44" s="629">
        <f t="shared" si="5"/>
        <v>180767.47880952383</v>
      </c>
    </row>
    <row r="45" spans="1:65" s="585" customFormat="1" ht="12.75" customHeight="1" outlineLevel="1">
      <c r="A45" s="308" t="s">
        <v>52</v>
      </c>
      <c r="B45" s="308">
        <f t="shared" si="20"/>
        <v>2018</v>
      </c>
      <c r="C45" s="308" t="s">
        <v>47</v>
      </c>
      <c r="D45" s="629">
        <v>58591</v>
      </c>
      <c r="E45" s="629"/>
      <c r="F45" s="629">
        <v>575123</v>
      </c>
      <c r="G45" s="629">
        <f t="shared" si="2"/>
        <v>633714</v>
      </c>
      <c r="H45" s="629">
        <f t="shared" si="8"/>
        <v>15818182.220000001</v>
      </c>
      <c r="I45" s="629"/>
      <c r="J45" s="629">
        <v>184276.61</v>
      </c>
      <c r="K45" s="629">
        <f>SUM(J$5:J45)</f>
        <v>3489113.65</v>
      </c>
      <c r="L45" s="629"/>
      <c r="M45" s="629">
        <f t="shared" si="3"/>
        <v>12329068.57</v>
      </c>
      <c r="O45" s="629">
        <f t="shared" si="4"/>
        <v>0</v>
      </c>
      <c r="P45" s="629">
        <f t="shared" si="6"/>
        <v>0</v>
      </c>
      <c r="Q45" s="629">
        <f t="shared" si="7"/>
        <v>41.071428571428569</v>
      </c>
      <c r="R45" s="629">
        <f t="shared" si="9"/>
        <v>154.14285714285714</v>
      </c>
      <c r="S45" s="629">
        <f t="shared" si="10"/>
        <v>575.49285714285713</v>
      </c>
      <c r="T45" s="629">
        <f t="shared" si="12"/>
        <v>1879.5714285714287</v>
      </c>
      <c r="U45" s="629">
        <f t="shared" si="13"/>
        <v>3688.1155952380955</v>
      </c>
      <c r="V45" s="629">
        <f t="shared" si="14"/>
        <v>4470.3665476190472</v>
      </c>
      <c r="W45" s="629">
        <f t="shared" si="15"/>
        <v>4106.5282142857141</v>
      </c>
      <c r="X45" s="629">
        <f t="shared" si="16"/>
        <v>4018.7264285714286</v>
      </c>
      <c r="Y45" s="629">
        <f t="shared" si="17"/>
        <v>2916.0195238095239</v>
      </c>
      <c r="Z45" s="629">
        <f t="shared" si="18"/>
        <v>2546.3565476190479</v>
      </c>
      <c r="AA45" s="629">
        <f t="shared" si="19"/>
        <v>4932.6726190476193</v>
      </c>
      <c r="AB45" s="629">
        <f t="shared" si="21"/>
        <v>6082.1595238095242</v>
      </c>
      <c r="AC45" s="629">
        <f t="shared" si="22"/>
        <v>5612.689166666667</v>
      </c>
      <c r="AD45" s="629">
        <f t="shared" si="23"/>
        <v>5489.8403571428571</v>
      </c>
      <c r="AE45" s="629">
        <f t="shared" si="24"/>
        <v>7340.8214285714284</v>
      </c>
      <c r="AF45" s="629">
        <f t="shared" si="25"/>
        <v>7116.7023809523807</v>
      </c>
      <c r="AG45" s="629">
        <f t="shared" si="26"/>
        <v>5730.1814285714281</v>
      </c>
      <c r="AH45" s="629">
        <f t="shared" si="27"/>
        <v>4594.5159523809525</v>
      </c>
      <c r="AI45" s="629">
        <f t="shared" si="28"/>
        <v>5897.8397619047619</v>
      </c>
      <c r="AJ45" s="629">
        <f t="shared" si="29"/>
        <v>4094.22</v>
      </c>
      <c r="AK45" s="629">
        <f t="shared" si="30"/>
        <v>3846.1785714285716</v>
      </c>
      <c r="AL45" s="629">
        <f t="shared" si="31"/>
        <v>5212.7619047619046</v>
      </c>
      <c r="AM45" s="629">
        <f t="shared" si="32"/>
        <v>5086.5714285714284</v>
      </c>
      <c r="AN45" s="629">
        <f t="shared" si="33"/>
        <v>4475.4642857142853</v>
      </c>
      <c r="AO45" s="629">
        <f t="shared" si="34"/>
        <v>8016.1861904761909</v>
      </c>
      <c r="AP45" s="629">
        <f t="shared" si="35"/>
        <v>6195.7023809523807</v>
      </c>
      <c r="AQ45" s="629">
        <f t="shared" si="36"/>
        <v>5888.4404761904761</v>
      </c>
      <c r="AR45" s="629">
        <f t="shared" si="37"/>
        <v>5556.6428571428569</v>
      </c>
      <c r="AS45" s="629">
        <f t="shared" si="38"/>
        <v>4477.3095238095239</v>
      </c>
      <c r="AT45" s="629">
        <f t="shared" si="39"/>
        <v>5427.1904761904761</v>
      </c>
      <c r="AU45" s="629">
        <f t="shared" si="40"/>
        <v>6677.663333333333</v>
      </c>
      <c r="AV45" s="629">
        <f t="shared" si="41"/>
        <v>6107.0119047619046</v>
      </c>
      <c r="AW45" s="629">
        <f t="shared" si="42"/>
        <v>4976.3928571428569</v>
      </c>
      <c r="AX45" s="629">
        <f t="shared" si="43"/>
        <v>7551.6547619047615</v>
      </c>
      <c r="AY45" s="629">
        <f t="shared" si="44"/>
        <v>5223.333333333333</v>
      </c>
      <c r="AZ45" s="629">
        <f t="shared" si="45"/>
        <v>3548.2857142857142</v>
      </c>
      <c r="BA45" s="629">
        <f t="shared" si="46"/>
        <v>6709.5238095238092</v>
      </c>
      <c r="BB45" s="629">
        <f t="shared" ref="BB45:BB108" si="47">$G$44/84</f>
        <v>4503.1309523809523</v>
      </c>
      <c r="BC45" s="629">
        <f>$G$45/84</f>
        <v>7544.2142857142853</v>
      </c>
      <c r="BD45" s="629"/>
      <c r="BE45" s="629"/>
      <c r="BF45" s="629"/>
      <c r="BG45" s="629"/>
      <c r="BH45" s="629"/>
      <c r="BI45" s="629"/>
      <c r="BJ45" s="629"/>
      <c r="BK45" s="629"/>
      <c r="BL45" s="629"/>
      <c r="BM45" s="629">
        <f t="shared" si="5"/>
        <v>188311.69309523812</v>
      </c>
    </row>
    <row r="46" spans="1:65" s="585" customFormat="1" ht="12.75" customHeight="1" outlineLevel="1">
      <c r="A46" s="308" t="s">
        <v>53</v>
      </c>
      <c r="B46" s="308">
        <f t="shared" si="20"/>
        <v>2019</v>
      </c>
      <c r="C46" s="308" t="s">
        <v>47</v>
      </c>
      <c r="D46" s="629">
        <v>51982</v>
      </c>
      <c r="E46" s="629"/>
      <c r="F46" s="629">
        <v>346521</v>
      </c>
      <c r="G46" s="629">
        <f t="shared" si="2"/>
        <v>398503</v>
      </c>
      <c r="H46" s="629">
        <f t="shared" si="8"/>
        <v>16216685.220000001</v>
      </c>
      <c r="I46" s="629"/>
      <c r="J46" s="629">
        <v>203772.67</v>
      </c>
      <c r="K46" s="629">
        <f>SUM(J$5:J46)</f>
        <v>3692886.32</v>
      </c>
      <c r="L46" s="629"/>
      <c r="M46" s="629">
        <f t="shared" si="3"/>
        <v>12523798.9</v>
      </c>
      <c r="O46" s="629">
        <f t="shared" si="4"/>
        <v>0</v>
      </c>
      <c r="P46" s="629">
        <f t="shared" si="6"/>
        <v>0</v>
      </c>
      <c r="Q46" s="629">
        <f t="shared" si="7"/>
        <v>41.071428571428569</v>
      </c>
      <c r="R46" s="629">
        <f t="shared" si="9"/>
        <v>154.14285714285714</v>
      </c>
      <c r="S46" s="629">
        <f t="shared" si="10"/>
        <v>575.49285714285713</v>
      </c>
      <c r="T46" s="629">
        <f t="shared" si="12"/>
        <v>1879.5714285714287</v>
      </c>
      <c r="U46" s="629">
        <f t="shared" si="13"/>
        <v>3688.1155952380955</v>
      </c>
      <c r="V46" s="629">
        <f t="shared" si="14"/>
        <v>4470.3665476190472</v>
      </c>
      <c r="W46" s="629">
        <f t="shared" si="15"/>
        <v>4106.5282142857141</v>
      </c>
      <c r="X46" s="629">
        <f t="shared" si="16"/>
        <v>4018.7264285714286</v>
      </c>
      <c r="Y46" s="629">
        <f t="shared" si="17"/>
        <v>2916.0195238095239</v>
      </c>
      <c r="Z46" s="629">
        <f t="shared" si="18"/>
        <v>2546.3565476190479</v>
      </c>
      <c r="AA46" s="629">
        <f t="shared" si="19"/>
        <v>4932.6726190476193</v>
      </c>
      <c r="AB46" s="629">
        <f t="shared" si="21"/>
        <v>6082.1595238095242</v>
      </c>
      <c r="AC46" s="629">
        <f t="shared" si="22"/>
        <v>5612.689166666667</v>
      </c>
      <c r="AD46" s="629">
        <f t="shared" si="23"/>
        <v>5489.8403571428571</v>
      </c>
      <c r="AE46" s="629">
        <f t="shared" si="24"/>
        <v>7340.8214285714284</v>
      </c>
      <c r="AF46" s="629">
        <f t="shared" si="25"/>
        <v>7116.7023809523807</v>
      </c>
      <c r="AG46" s="629">
        <f t="shared" si="26"/>
        <v>5730.1814285714281</v>
      </c>
      <c r="AH46" s="629">
        <f t="shared" si="27"/>
        <v>4594.5159523809525</v>
      </c>
      <c r="AI46" s="629">
        <f t="shared" si="28"/>
        <v>5897.8397619047619</v>
      </c>
      <c r="AJ46" s="629">
        <f t="shared" si="29"/>
        <v>4094.22</v>
      </c>
      <c r="AK46" s="629">
        <f t="shared" si="30"/>
        <v>3846.1785714285716</v>
      </c>
      <c r="AL46" s="629">
        <f t="shared" si="31"/>
        <v>5212.7619047619046</v>
      </c>
      <c r="AM46" s="629">
        <f t="shared" si="32"/>
        <v>5086.5714285714284</v>
      </c>
      <c r="AN46" s="629">
        <f t="shared" si="33"/>
        <v>4475.4642857142853</v>
      </c>
      <c r="AO46" s="629">
        <f t="shared" si="34"/>
        <v>8016.1861904761909</v>
      </c>
      <c r="AP46" s="629">
        <f t="shared" si="35"/>
        <v>6195.7023809523807</v>
      </c>
      <c r="AQ46" s="629">
        <f t="shared" si="36"/>
        <v>5888.4404761904761</v>
      </c>
      <c r="AR46" s="629">
        <f t="shared" si="37"/>
        <v>5556.6428571428569</v>
      </c>
      <c r="AS46" s="629">
        <f t="shared" si="38"/>
        <v>4477.3095238095239</v>
      </c>
      <c r="AT46" s="629">
        <f t="shared" si="39"/>
        <v>5427.1904761904761</v>
      </c>
      <c r="AU46" s="629">
        <f t="shared" si="40"/>
        <v>6677.663333333333</v>
      </c>
      <c r="AV46" s="629">
        <f t="shared" si="41"/>
        <v>6107.0119047619046</v>
      </c>
      <c r="AW46" s="629">
        <f t="shared" si="42"/>
        <v>4976.3928571428569</v>
      </c>
      <c r="AX46" s="629">
        <f t="shared" si="43"/>
        <v>7551.6547619047615</v>
      </c>
      <c r="AY46" s="629">
        <f t="shared" si="44"/>
        <v>5223.333333333333</v>
      </c>
      <c r="AZ46" s="629">
        <f t="shared" si="45"/>
        <v>3548.2857142857142</v>
      </c>
      <c r="BA46" s="629">
        <f t="shared" si="46"/>
        <v>6709.5238095238092</v>
      </c>
      <c r="BB46" s="629">
        <f t="shared" si="47"/>
        <v>4503.1309523809523</v>
      </c>
      <c r="BC46" s="629">
        <f t="shared" ref="BC46:BC109" si="48">$G$45/84</f>
        <v>7544.2142857142853</v>
      </c>
      <c r="BD46" s="630">
        <f>$G$46/84</f>
        <v>4744.083333333333</v>
      </c>
      <c r="BE46" s="629"/>
      <c r="BF46" s="629"/>
      <c r="BG46" s="629"/>
      <c r="BH46" s="629"/>
      <c r="BI46" s="629"/>
      <c r="BJ46" s="629"/>
      <c r="BK46" s="629"/>
      <c r="BL46" s="629"/>
      <c r="BM46" s="629">
        <f t="shared" si="5"/>
        <v>193055.77642857147</v>
      </c>
    </row>
    <row r="47" spans="1:65" s="585" customFormat="1" ht="12.75" customHeight="1" outlineLevel="1">
      <c r="A47" s="308" t="s">
        <v>54</v>
      </c>
      <c r="B47" s="308">
        <f t="shared" si="20"/>
        <v>2019</v>
      </c>
      <c r="C47" s="308" t="s">
        <v>47</v>
      </c>
      <c r="D47" s="629">
        <v>40785</v>
      </c>
      <c r="E47" s="629"/>
      <c r="F47" s="629">
        <v>269245</v>
      </c>
      <c r="G47" s="629">
        <f t="shared" si="2"/>
        <v>310030</v>
      </c>
      <c r="H47" s="629">
        <f t="shared" si="8"/>
        <v>16526715.220000001</v>
      </c>
      <c r="I47" s="629"/>
      <c r="J47" s="629">
        <v>182503.16999999998</v>
      </c>
      <c r="K47" s="629">
        <f>SUM(J$5:J47)</f>
        <v>3875389.4899999998</v>
      </c>
      <c r="L47" s="629"/>
      <c r="M47" s="629">
        <f t="shared" si="3"/>
        <v>12651325.73</v>
      </c>
      <c r="O47" s="629">
        <f t="shared" si="4"/>
        <v>0</v>
      </c>
      <c r="P47" s="629">
        <f t="shared" si="6"/>
        <v>0</v>
      </c>
      <c r="Q47" s="629">
        <f t="shared" si="7"/>
        <v>41.071428571428569</v>
      </c>
      <c r="R47" s="629">
        <f t="shared" si="9"/>
        <v>154.14285714285714</v>
      </c>
      <c r="S47" s="629">
        <f t="shared" si="10"/>
        <v>575.49285714285713</v>
      </c>
      <c r="T47" s="629">
        <f t="shared" si="12"/>
        <v>1879.5714285714287</v>
      </c>
      <c r="U47" s="629">
        <f t="shared" si="13"/>
        <v>3688.1155952380955</v>
      </c>
      <c r="V47" s="629">
        <f t="shared" si="14"/>
        <v>4470.3665476190472</v>
      </c>
      <c r="W47" s="629">
        <f t="shared" si="15"/>
        <v>4106.5282142857141</v>
      </c>
      <c r="X47" s="629">
        <f t="shared" si="16"/>
        <v>4018.7264285714286</v>
      </c>
      <c r="Y47" s="629">
        <f t="shared" si="17"/>
        <v>2916.0195238095239</v>
      </c>
      <c r="Z47" s="629">
        <f t="shared" si="18"/>
        <v>2546.3565476190479</v>
      </c>
      <c r="AA47" s="629">
        <f t="shared" si="19"/>
        <v>4932.6726190476193</v>
      </c>
      <c r="AB47" s="629">
        <f t="shared" si="21"/>
        <v>6082.1595238095242</v>
      </c>
      <c r="AC47" s="629">
        <f t="shared" si="22"/>
        <v>5612.689166666667</v>
      </c>
      <c r="AD47" s="629">
        <f t="shared" si="23"/>
        <v>5489.8403571428571</v>
      </c>
      <c r="AE47" s="629">
        <f t="shared" si="24"/>
        <v>7340.8214285714284</v>
      </c>
      <c r="AF47" s="629">
        <f t="shared" si="25"/>
        <v>7116.7023809523807</v>
      </c>
      <c r="AG47" s="629">
        <f t="shared" si="26"/>
        <v>5730.1814285714281</v>
      </c>
      <c r="AH47" s="629">
        <f t="shared" si="27"/>
        <v>4594.5159523809525</v>
      </c>
      <c r="AI47" s="629">
        <f t="shared" si="28"/>
        <v>5897.8397619047619</v>
      </c>
      <c r="AJ47" s="629">
        <f t="shared" si="29"/>
        <v>4094.22</v>
      </c>
      <c r="AK47" s="629">
        <f t="shared" si="30"/>
        <v>3846.1785714285716</v>
      </c>
      <c r="AL47" s="629">
        <f t="shared" si="31"/>
        <v>5212.7619047619046</v>
      </c>
      <c r="AM47" s="629">
        <f t="shared" si="32"/>
        <v>5086.5714285714284</v>
      </c>
      <c r="AN47" s="629">
        <f t="shared" si="33"/>
        <v>4475.4642857142853</v>
      </c>
      <c r="AO47" s="629">
        <f t="shared" si="34"/>
        <v>8016.1861904761909</v>
      </c>
      <c r="AP47" s="629">
        <f t="shared" si="35"/>
        <v>6195.7023809523807</v>
      </c>
      <c r="AQ47" s="629">
        <f t="shared" si="36"/>
        <v>5888.4404761904761</v>
      </c>
      <c r="AR47" s="629">
        <f t="shared" si="37"/>
        <v>5556.6428571428569</v>
      </c>
      <c r="AS47" s="629">
        <f t="shared" si="38"/>
        <v>4477.3095238095239</v>
      </c>
      <c r="AT47" s="629">
        <f t="shared" si="39"/>
        <v>5427.1904761904761</v>
      </c>
      <c r="AU47" s="629">
        <f t="shared" si="40"/>
        <v>6677.663333333333</v>
      </c>
      <c r="AV47" s="629">
        <f t="shared" si="41"/>
        <v>6107.0119047619046</v>
      </c>
      <c r="AW47" s="629">
        <f t="shared" si="42"/>
        <v>4976.3928571428569</v>
      </c>
      <c r="AX47" s="629">
        <f t="shared" si="43"/>
        <v>7551.6547619047615</v>
      </c>
      <c r="AY47" s="629">
        <f t="shared" si="44"/>
        <v>5223.333333333333</v>
      </c>
      <c r="AZ47" s="629">
        <f t="shared" si="45"/>
        <v>3548.2857142857142</v>
      </c>
      <c r="BA47" s="629">
        <f t="shared" si="46"/>
        <v>6709.5238095238092</v>
      </c>
      <c r="BB47" s="629">
        <f t="shared" si="47"/>
        <v>4503.1309523809523</v>
      </c>
      <c r="BC47" s="629">
        <f t="shared" si="48"/>
        <v>7544.2142857142853</v>
      </c>
      <c r="BD47" s="630">
        <f t="shared" ref="BD47:BD110" si="49">$G$46/84</f>
        <v>4744.083333333333</v>
      </c>
      <c r="BE47" s="630">
        <f>$G$47/84</f>
        <v>3690.8333333333335</v>
      </c>
      <c r="BF47" s="630"/>
      <c r="BG47" s="630"/>
      <c r="BH47" s="630"/>
      <c r="BI47" s="630"/>
      <c r="BJ47" s="630"/>
      <c r="BK47" s="630"/>
      <c r="BL47" s="630"/>
      <c r="BM47" s="629">
        <f t="shared" si="5"/>
        <v>196746.60976190481</v>
      </c>
    </row>
    <row r="48" spans="1:65" s="585" customFormat="1" ht="12.75" customHeight="1" outlineLevel="1">
      <c r="A48" s="308" t="s">
        <v>55</v>
      </c>
      <c r="B48" s="308">
        <f t="shared" si="20"/>
        <v>2019</v>
      </c>
      <c r="C48" s="308" t="s">
        <v>47</v>
      </c>
      <c r="D48" s="629">
        <v>3000</v>
      </c>
      <c r="E48" s="629"/>
      <c r="F48" s="629">
        <v>189210</v>
      </c>
      <c r="G48" s="629">
        <f t="shared" si="2"/>
        <v>192210</v>
      </c>
      <c r="H48" s="629">
        <f t="shared" si="8"/>
        <v>16718925.220000001</v>
      </c>
      <c r="I48" s="629"/>
      <c r="J48" s="629">
        <v>222402.6</v>
      </c>
      <c r="K48" s="629">
        <f>SUM(J$5:J48)</f>
        <v>4097792.09</v>
      </c>
      <c r="L48" s="629"/>
      <c r="M48" s="629">
        <f t="shared" si="3"/>
        <v>12621133.130000001</v>
      </c>
      <c r="O48" s="629">
        <f t="shared" si="4"/>
        <v>0</v>
      </c>
      <c r="P48" s="629">
        <f t="shared" si="6"/>
        <v>0</v>
      </c>
      <c r="Q48" s="629">
        <f t="shared" si="7"/>
        <v>41.071428571428569</v>
      </c>
      <c r="R48" s="629">
        <f t="shared" si="9"/>
        <v>154.14285714285714</v>
      </c>
      <c r="S48" s="629">
        <f t="shared" si="10"/>
        <v>575.49285714285713</v>
      </c>
      <c r="T48" s="629">
        <f t="shared" si="12"/>
        <v>1879.5714285714287</v>
      </c>
      <c r="U48" s="629">
        <f t="shared" si="13"/>
        <v>3688.1155952380955</v>
      </c>
      <c r="V48" s="629">
        <f t="shared" si="14"/>
        <v>4470.3665476190472</v>
      </c>
      <c r="W48" s="629">
        <f t="shared" si="15"/>
        <v>4106.5282142857141</v>
      </c>
      <c r="X48" s="629">
        <f t="shared" si="16"/>
        <v>4018.7264285714286</v>
      </c>
      <c r="Y48" s="629">
        <f t="shared" si="17"/>
        <v>2916.0195238095239</v>
      </c>
      <c r="Z48" s="629">
        <f t="shared" si="18"/>
        <v>2546.3565476190479</v>
      </c>
      <c r="AA48" s="629">
        <f t="shared" si="19"/>
        <v>4932.6726190476193</v>
      </c>
      <c r="AB48" s="629">
        <f t="shared" si="21"/>
        <v>6082.1595238095242</v>
      </c>
      <c r="AC48" s="629">
        <f t="shared" si="22"/>
        <v>5612.689166666667</v>
      </c>
      <c r="AD48" s="629">
        <f t="shared" si="23"/>
        <v>5489.8403571428571</v>
      </c>
      <c r="AE48" s="629">
        <f t="shared" si="24"/>
        <v>7340.8214285714284</v>
      </c>
      <c r="AF48" s="629">
        <f t="shared" si="25"/>
        <v>7116.7023809523807</v>
      </c>
      <c r="AG48" s="629">
        <f t="shared" si="26"/>
        <v>5730.1814285714281</v>
      </c>
      <c r="AH48" s="629">
        <f t="shared" si="27"/>
        <v>4594.5159523809525</v>
      </c>
      <c r="AI48" s="629">
        <f t="shared" si="28"/>
        <v>5897.8397619047619</v>
      </c>
      <c r="AJ48" s="629">
        <f t="shared" si="29"/>
        <v>4094.22</v>
      </c>
      <c r="AK48" s="629">
        <f t="shared" si="30"/>
        <v>3846.1785714285716</v>
      </c>
      <c r="AL48" s="629">
        <f t="shared" si="31"/>
        <v>5212.7619047619046</v>
      </c>
      <c r="AM48" s="629">
        <f t="shared" si="32"/>
        <v>5086.5714285714284</v>
      </c>
      <c r="AN48" s="629">
        <f t="shared" si="33"/>
        <v>4475.4642857142853</v>
      </c>
      <c r="AO48" s="629">
        <f t="shared" si="34"/>
        <v>8016.1861904761909</v>
      </c>
      <c r="AP48" s="629">
        <f t="shared" si="35"/>
        <v>6195.7023809523807</v>
      </c>
      <c r="AQ48" s="629">
        <f t="shared" si="36"/>
        <v>5888.4404761904761</v>
      </c>
      <c r="AR48" s="629">
        <f t="shared" si="37"/>
        <v>5556.6428571428569</v>
      </c>
      <c r="AS48" s="629">
        <f t="shared" si="38"/>
        <v>4477.3095238095239</v>
      </c>
      <c r="AT48" s="629">
        <f t="shared" si="39"/>
        <v>5427.1904761904761</v>
      </c>
      <c r="AU48" s="629">
        <f t="shared" si="40"/>
        <v>6677.663333333333</v>
      </c>
      <c r="AV48" s="629">
        <f t="shared" si="41"/>
        <v>6107.0119047619046</v>
      </c>
      <c r="AW48" s="629">
        <f t="shared" si="42"/>
        <v>4976.3928571428569</v>
      </c>
      <c r="AX48" s="629">
        <f t="shared" si="43"/>
        <v>7551.6547619047615</v>
      </c>
      <c r="AY48" s="629">
        <f t="shared" si="44"/>
        <v>5223.333333333333</v>
      </c>
      <c r="AZ48" s="629">
        <f t="shared" si="45"/>
        <v>3548.2857142857142</v>
      </c>
      <c r="BA48" s="629">
        <f t="shared" si="46"/>
        <v>6709.5238095238092</v>
      </c>
      <c r="BB48" s="629">
        <f t="shared" si="47"/>
        <v>4503.1309523809523</v>
      </c>
      <c r="BC48" s="629">
        <f t="shared" si="48"/>
        <v>7544.2142857142853</v>
      </c>
      <c r="BD48" s="630">
        <f t="shared" si="49"/>
        <v>4744.083333333333</v>
      </c>
      <c r="BE48" s="630">
        <f t="shared" ref="BE48:BE111" si="50">$G$47/84</f>
        <v>3690.8333333333335</v>
      </c>
      <c r="BF48" s="630">
        <f>$G$48/84</f>
        <v>2288.2142857142858</v>
      </c>
      <c r="BG48" s="630"/>
      <c r="BH48" s="630"/>
      <c r="BI48" s="630"/>
      <c r="BJ48" s="630"/>
      <c r="BK48" s="630"/>
      <c r="BL48" s="630"/>
      <c r="BM48" s="629">
        <f t="shared" si="5"/>
        <v>199034.8240476191</v>
      </c>
    </row>
    <row r="49" spans="1:65" s="585" customFormat="1" ht="12.75" customHeight="1" outlineLevel="1">
      <c r="A49" s="308" t="s">
        <v>56</v>
      </c>
      <c r="B49" s="308">
        <f t="shared" si="20"/>
        <v>2019</v>
      </c>
      <c r="C49" s="308" t="s">
        <v>47</v>
      </c>
      <c r="D49" s="629">
        <v>25786.799999999999</v>
      </c>
      <c r="E49" s="629"/>
      <c r="F49" s="629">
        <v>69495</v>
      </c>
      <c r="G49" s="629">
        <f t="shared" si="2"/>
        <v>95281.8</v>
      </c>
      <c r="H49" s="629">
        <f t="shared" si="8"/>
        <v>16814207.02</v>
      </c>
      <c r="I49" s="629"/>
      <c r="J49" s="629">
        <v>230668.86</v>
      </c>
      <c r="K49" s="629">
        <f>SUM(J$5:J49)</f>
        <v>4328460.95</v>
      </c>
      <c r="L49" s="629"/>
      <c r="M49" s="629">
        <f t="shared" si="3"/>
        <v>12485746.07</v>
      </c>
      <c r="O49" s="629">
        <f t="shared" si="4"/>
        <v>0</v>
      </c>
      <c r="P49" s="629">
        <f t="shared" si="6"/>
        <v>0</v>
      </c>
      <c r="Q49" s="629">
        <f t="shared" si="7"/>
        <v>41.071428571428569</v>
      </c>
      <c r="R49" s="629">
        <f t="shared" si="9"/>
        <v>154.14285714285714</v>
      </c>
      <c r="S49" s="629">
        <f t="shared" si="10"/>
        <v>575.49285714285713</v>
      </c>
      <c r="T49" s="629">
        <f t="shared" si="12"/>
        <v>1879.5714285714287</v>
      </c>
      <c r="U49" s="629">
        <f t="shared" si="13"/>
        <v>3688.1155952380955</v>
      </c>
      <c r="V49" s="629">
        <f t="shared" si="14"/>
        <v>4470.3665476190472</v>
      </c>
      <c r="W49" s="629">
        <f t="shared" si="15"/>
        <v>4106.5282142857141</v>
      </c>
      <c r="X49" s="629">
        <f t="shared" si="16"/>
        <v>4018.7264285714286</v>
      </c>
      <c r="Y49" s="629">
        <f t="shared" si="17"/>
        <v>2916.0195238095239</v>
      </c>
      <c r="Z49" s="629">
        <f t="shared" si="18"/>
        <v>2546.3565476190479</v>
      </c>
      <c r="AA49" s="629">
        <f t="shared" si="19"/>
        <v>4932.6726190476193</v>
      </c>
      <c r="AB49" s="629">
        <f t="shared" si="21"/>
        <v>6082.1595238095242</v>
      </c>
      <c r="AC49" s="629">
        <f t="shared" si="22"/>
        <v>5612.689166666667</v>
      </c>
      <c r="AD49" s="629">
        <f t="shared" si="23"/>
        <v>5489.8403571428571</v>
      </c>
      <c r="AE49" s="629">
        <f t="shared" si="24"/>
        <v>7340.8214285714284</v>
      </c>
      <c r="AF49" s="629">
        <f t="shared" si="25"/>
        <v>7116.7023809523807</v>
      </c>
      <c r="AG49" s="629">
        <f t="shared" si="26"/>
        <v>5730.1814285714281</v>
      </c>
      <c r="AH49" s="629">
        <f t="shared" si="27"/>
        <v>4594.5159523809525</v>
      </c>
      <c r="AI49" s="629">
        <f t="shared" si="28"/>
        <v>5897.8397619047619</v>
      </c>
      <c r="AJ49" s="629">
        <f t="shared" si="29"/>
        <v>4094.22</v>
      </c>
      <c r="AK49" s="629">
        <f t="shared" si="30"/>
        <v>3846.1785714285716</v>
      </c>
      <c r="AL49" s="629">
        <f t="shared" si="31"/>
        <v>5212.7619047619046</v>
      </c>
      <c r="AM49" s="629">
        <f t="shared" si="32"/>
        <v>5086.5714285714284</v>
      </c>
      <c r="AN49" s="629">
        <f t="shared" si="33"/>
        <v>4475.4642857142853</v>
      </c>
      <c r="AO49" s="629">
        <f t="shared" si="34"/>
        <v>8016.1861904761909</v>
      </c>
      <c r="AP49" s="629">
        <f t="shared" si="35"/>
        <v>6195.7023809523807</v>
      </c>
      <c r="AQ49" s="629">
        <f t="shared" si="36"/>
        <v>5888.4404761904761</v>
      </c>
      <c r="AR49" s="629">
        <f t="shared" si="37"/>
        <v>5556.6428571428569</v>
      </c>
      <c r="AS49" s="629">
        <f t="shared" si="38"/>
        <v>4477.3095238095239</v>
      </c>
      <c r="AT49" s="629">
        <f t="shared" si="39"/>
        <v>5427.1904761904761</v>
      </c>
      <c r="AU49" s="629">
        <f t="shared" si="40"/>
        <v>6677.663333333333</v>
      </c>
      <c r="AV49" s="629">
        <f t="shared" si="41"/>
        <v>6107.0119047619046</v>
      </c>
      <c r="AW49" s="629">
        <f t="shared" si="42"/>
        <v>4976.3928571428569</v>
      </c>
      <c r="AX49" s="629">
        <f t="shared" si="43"/>
        <v>7551.6547619047615</v>
      </c>
      <c r="AY49" s="629">
        <f t="shared" si="44"/>
        <v>5223.333333333333</v>
      </c>
      <c r="AZ49" s="629">
        <f t="shared" si="45"/>
        <v>3548.2857142857142</v>
      </c>
      <c r="BA49" s="629">
        <f t="shared" si="46"/>
        <v>6709.5238095238092</v>
      </c>
      <c r="BB49" s="629">
        <f t="shared" si="47"/>
        <v>4503.1309523809523</v>
      </c>
      <c r="BC49" s="629">
        <f t="shared" si="48"/>
        <v>7544.2142857142853</v>
      </c>
      <c r="BD49" s="630">
        <f t="shared" si="49"/>
        <v>4744.083333333333</v>
      </c>
      <c r="BE49" s="630">
        <f t="shared" si="50"/>
        <v>3690.8333333333335</v>
      </c>
      <c r="BF49" s="630">
        <f t="shared" ref="BF49:BF112" si="51">$G$48/84</f>
        <v>2288.2142857142858</v>
      </c>
      <c r="BG49" s="630">
        <f>$G$49/84</f>
        <v>1134.3071428571429</v>
      </c>
      <c r="BH49" s="630"/>
      <c r="BI49" s="630"/>
      <c r="BJ49" s="630"/>
      <c r="BK49" s="630"/>
      <c r="BL49" s="630"/>
      <c r="BM49" s="629">
        <f t="shared" si="5"/>
        <v>200169.13119047624</v>
      </c>
    </row>
    <row r="50" spans="1:65" s="585" customFormat="1" ht="12.75" customHeight="1" outlineLevel="1">
      <c r="A50" s="308" t="s">
        <v>57</v>
      </c>
      <c r="B50" s="308">
        <f t="shared" si="20"/>
        <v>2019</v>
      </c>
      <c r="C50" s="308" t="s">
        <v>47</v>
      </c>
      <c r="D50" s="629"/>
      <c r="E50" s="629"/>
      <c r="F50" s="629">
        <v>50000</v>
      </c>
      <c r="G50" s="629">
        <f t="shared" si="2"/>
        <v>50000</v>
      </c>
      <c r="H50" s="629">
        <f t="shared" si="8"/>
        <v>16864207.02</v>
      </c>
      <c r="I50" s="629"/>
      <c r="J50" s="629">
        <v>289456.53999999998</v>
      </c>
      <c r="K50" s="629">
        <f>SUM(J$5:J50)</f>
        <v>4617917.49</v>
      </c>
      <c r="L50" s="629"/>
      <c r="M50" s="629">
        <f t="shared" si="3"/>
        <v>12246289.529999999</v>
      </c>
      <c r="O50" s="629">
        <f t="shared" si="4"/>
        <v>0</v>
      </c>
      <c r="P50" s="629">
        <f t="shared" si="6"/>
        <v>0</v>
      </c>
      <c r="Q50" s="629">
        <f t="shared" si="7"/>
        <v>41.071428571428569</v>
      </c>
      <c r="R50" s="629">
        <f t="shared" si="9"/>
        <v>154.14285714285714</v>
      </c>
      <c r="S50" s="629">
        <f t="shared" si="10"/>
        <v>575.49285714285713</v>
      </c>
      <c r="T50" s="629">
        <f t="shared" si="12"/>
        <v>1879.5714285714287</v>
      </c>
      <c r="U50" s="629">
        <f t="shared" si="13"/>
        <v>3688.1155952380955</v>
      </c>
      <c r="V50" s="629">
        <f t="shared" si="14"/>
        <v>4470.3665476190472</v>
      </c>
      <c r="W50" s="629">
        <f t="shared" si="15"/>
        <v>4106.5282142857141</v>
      </c>
      <c r="X50" s="629">
        <f t="shared" si="16"/>
        <v>4018.7264285714286</v>
      </c>
      <c r="Y50" s="629">
        <f t="shared" si="17"/>
        <v>2916.0195238095239</v>
      </c>
      <c r="Z50" s="629">
        <f t="shared" si="18"/>
        <v>2546.3565476190479</v>
      </c>
      <c r="AA50" s="629">
        <f t="shared" si="19"/>
        <v>4932.6726190476193</v>
      </c>
      <c r="AB50" s="629">
        <f t="shared" si="21"/>
        <v>6082.1595238095242</v>
      </c>
      <c r="AC50" s="629">
        <f t="shared" si="22"/>
        <v>5612.689166666667</v>
      </c>
      <c r="AD50" s="629">
        <f t="shared" si="23"/>
        <v>5489.8403571428571</v>
      </c>
      <c r="AE50" s="629">
        <f t="shared" si="24"/>
        <v>7340.8214285714284</v>
      </c>
      <c r="AF50" s="629">
        <f t="shared" si="25"/>
        <v>7116.7023809523807</v>
      </c>
      <c r="AG50" s="629">
        <f t="shared" si="26"/>
        <v>5730.1814285714281</v>
      </c>
      <c r="AH50" s="629">
        <f t="shared" si="27"/>
        <v>4594.5159523809525</v>
      </c>
      <c r="AI50" s="629">
        <f t="shared" si="28"/>
        <v>5897.8397619047619</v>
      </c>
      <c r="AJ50" s="629">
        <f t="shared" si="29"/>
        <v>4094.22</v>
      </c>
      <c r="AK50" s="629">
        <f t="shared" si="30"/>
        <v>3846.1785714285716</v>
      </c>
      <c r="AL50" s="629">
        <f t="shared" si="31"/>
        <v>5212.7619047619046</v>
      </c>
      <c r="AM50" s="629">
        <f t="shared" si="32"/>
        <v>5086.5714285714284</v>
      </c>
      <c r="AN50" s="629">
        <f t="shared" si="33"/>
        <v>4475.4642857142853</v>
      </c>
      <c r="AO50" s="629">
        <f t="shared" si="34"/>
        <v>8016.1861904761909</v>
      </c>
      <c r="AP50" s="629">
        <f t="shared" si="35"/>
        <v>6195.7023809523807</v>
      </c>
      <c r="AQ50" s="629">
        <f t="shared" si="36"/>
        <v>5888.4404761904761</v>
      </c>
      <c r="AR50" s="629">
        <f t="shared" si="37"/>
        <v>5556.6428571428569</v>
      </c>
      <c r="AS50" s="629">
        <f t="shared" si="38"/>
        <v>4477.3095238095239</v>
      </c>
      <c r="AT50" s="629">
        <f t="shared" si="39"/>
        <v>5427.1904761904761</v>
      </c>
      <c r="AU50" s="629">
        <f t="shared" si="40"/>
        <v>6677.663333333333</v>
      </c>
      <c r="AV50" s="629">
        <f t="shared" si="41"/>
        <v>6107.0119047619046</v>
      </c>
      <c r="AW50" s="629">
        <f t="shared" si="42"/>
        <v>4976.3928571428569</v>
      </c>
      <c r="AX50" s="629">
        <f t="shared" si="43"/>
        <v>7551.6547619047615</v>
      </c>
      <c r="AY50" s="629">
        <f t="shared" si="44"/>
        <v>5223.333333333333</v>
      </c>
      <c r="AZ50" s="629">
        <f t="shared" si="45"/>
        <v>3548.2857142857142</v>
      </c>
      <c r="BA50" s="629">
        <f t="shared" si="46"/>
        <v>6709.5238095238092</v>
      </c>
      <c r="BB50" s="629">
        <f t="shared" si="47"/>
        <v>4503.1309523809523</v>
      </c>
      <c r="BC50" s="629">
        <f t="shared" si="48"/>
        <v>7544.2142857142853</v>
      </c>
      <c r="BD50" s="630">
        <f t="shared" si="49"/>
        <v>4744.083333333333</v>
      </c>
      <c r="BE50" s="630">
        <f t="shared" si="50"/>
        <v>3690.8333333333335</v>
      </c>
      <c r="BF50" s="630">
        <f t="shared" si="51"/>
        <v>2288.2142857142858</v>
      </c>
      <c r="BG50" s="630">
        <f t="shared" ref="BG50:BG113" si="52">$G$49/84</f>
        <v>1134.3071428571429</v>
      </c>
      <c r="BH50" s="630">
        <f>$G$50/84</f>
        <v>595.23809523809518</v>
      </c>
      <c r="BI50" s="630"/>
      <c r="BJ50" s="630"/>
      <c r="BK50" s="630"/>
      <c r="BL50" s="630"/>
      <c r="BM50" s="629">
        <f t="shared" si="5"/>
        <v>200764.36928571435</v>
      </c>
    </row>
    <row r="51" spans="1:65" s="585" customFormat="1" ht="12.75" customHeight="1" outlineLevel="1">
      <c r="A51" s="308" t="s">
        <v>58</v>
      </c>
      <c r="B51" s="308">
        <f t="shared" si="20"/>
        <v>2019</v>
      </c>
      <c r="C51" s="308" t="s">
        <v>47</v>
      </c>
      <c r="D51" s="629">
        <v>5000</v>
      </c>
      <c r="E51" s="629"/>
      <c r="F51" s="629">
        <v>44012</v>
      </c>
      <c r="G51" s="629">
        <f t="shared" si="2"/>
        <v>49012</v>
      </c>
      <c r="H51" s="629">
        <f t="shared" si="8"/>
        <v>16913219.02</v>
      </c>
      <c r="I51" s="629"/>
      <c r="J51" s="629">
        <v>209786.47</v>
      </c>
      <c r="K51" s="629">
        <f>SUM(J$5:J51)</f>
        <v>4827703.96</v>
      </c>
      <c r="L51" s="629"/>
      <c r="M51" s="629">
        <f t="shared" si="3"/>
        <v>12085515.059999999</v>
      </c>
      <c r="O51" s="629">
        <f t="shared" si="4"/>
        <v>0</v>
      </c>
      <c r="P51" s="629">
        <f t="shared" si="6"/>
        <v>0</v>
      </c>
      <c r="Q51" s="629">
        <f t="shared" si="7"/>
        <v>41.071428571428569</v>
      </c>
      <c r="R51" s="629">
        <f t="shared" si="9"/>
        <v>154.14285714285714</v>
      </c>
      <c r="S51" s="629">
        <f t="shared" si="10"/>
        <v>575.49285714285713</v>
      </c>
      <c r="T51" s="629">
        <f t="shared" si="12"/>
        <v>1879.5714285714287</v>
      </c>
      <c r="U51" s="629">
        <f t="shared" si="13"/>
        <v>3688.1155952380955</v>
      </c>
      <c r="V51" s="629">
        <f t="shared" si="14"/>
        <v>4470.3665476190472</v>
      </c>
      <c r="W51" s="629">
        <f t="shared" si="15"/>
        <v>4106.5282142857141</v>
      </c>
      <c r="X51" s="629">
        <f t="shared" si="16"/>
        <v>4018.7264285714286</v>
      </c>
      <c r="Y51" s="629">
        <f t="shared" si="17"/>
        <v>2916.0195238095239</v>
      </c>
      <c r="Z51" s="629">
        <f t="shared" si="18"/>
        <v>2546.3565476190479</v>
      </c>
      <c r="AA51" s="629">
        <f t="shared" si="19"/>
        <v>4932.6726190476193</v>
      </c>
      <c r="AB51" s="629">
        <f t="shared" si="21"/>
        <v>6082.1595238095242</v>
      </c>
      <c r="AC51" s="629">
        <f t="shared" si="22"/>
        <v>5612.689166666667</v>
      </c>
      <c r="AD51" s="629">
        <f t="shared" si="23"/>
        <v>5489.8403571428571</v>
      </c>
      <c r="AE51" s="629">
        <f t="shared" si="24"/>
        <v>7340.8214285714284</v>
      </c>
      <c r="AF51" s="629">
        <f t="shared" si="25"/>
        <v>7116.7023809523807</v>
      </c>
      <c r="AG51" s="629">
        <f t="shared" si="26"/>
        <v>5730.1814285714281</v>
      </c>
      <c r="AH51" s="629">
        <f t="shared" si="27"/>
        <v>4594.5159523809525</v>
      </c>
      <c r="AI51" s="629">
        <f t="shared" si="28"/>
        <v>5897.8397619047619</v>
      </c>
      <c r="AJ51" s="629">
        <f t="shared" si="29"/>
        <v>4094.22</v>
      </c>
      <c r="AK51" s="629">
        <f t="shared" si="30"/>
        <v>3846.1785714285716</v>
      </c>
      <c r="AL51" s="629">
        <f t="shared" si="31"/>
        <v>5212.7619047619046</v>
      </c>
      <c r="AM51" s="629">
        <f t="shared" si="32"/>
        <v>5086.5714285714284</v>
      </c>
      <c r="AN51" s="629">
        <f t="shared" si="33"/>
        <v>4475.4642857142853</v>
      </c>
      <c r="AO51" s="629">
        <f t="shared" si="34"/>
        <v>8016.1861904761909</v>
      </c>
      <c r="AP51" s="629">
        <f t="shared" si="35"/>
        <v>6195.7023809523807</v>
      </c>
      <c r="AQ51" s="629">
        <f t="shared" si="36"/>
        <v>5888.4404761904761</v>
      </c>
      <c r="AR51" s="629">
        <f t="shared" si="37"/>
        <v>5556.6428571428569</v>
      </c>
      <c r="AS51" s="629">
        <f t="shared" si="38"/>
        <v>4477.3095238095239</v>
      </c>
      <c r="AT51" s="629">
        <f t="shared" si="39"/>
        <v>5427.1904761904761</v>
      </c>
      <c r="AU51" s="629">
        <f t="shared" si="40"/>
        <v>6677.663333333333</v>
      </c>
      <c r="AV51" s="629">
        <f t="shared" si="41"/>
        <v>6107.0119047619046</v>
      </c>
      <c r="AW51" s="629">
        <f t="shared" si="42"/>
        <v>4976.3928571428569</v>
      </c>
      <c r="AX51" s="629">
        <f t="shared" si="43"/>
        <v>7551.6547619047615</v>
      </c>
      <c r="AY51" s="629">
        <f t="shared" si="44"/>
        <v>5223.333333333333</v>
      </c>
      <c r="AZ51" s="629">
        <f t="shared" si="45"/>
        <v>3548.2857142857142</v>
      </c>
      <c r="BA51" s="629">
        <f t="shared" si="46"/>
        <v>6709.5238095238092</v>
      </c>
      <c r="BB51" s="629">
        <f t="shared" si="47"/>
        <v>4503.1309523809523</v>
      </c>
      <c r="BC51" s="629">
        <f t="shared" si="48"/>
        <v>7544.2142857142853</v>
      </c>
      <c r="BD51" s="630">
        <f t="shared" si="49"/>
        <v>4744.083333333333</v>
      </c>
      <c r="BE51" s="630">
        <f t="shared" si="50"/>
        <v>3690.8333333333335</v>
      </c>
      <c r="BF51" s="630">
        <f t="shared" si="51"/>
        <v>2288.2142857142858</v>
      </c>
      <c r="BG51" s="630">
        <f t="shared" si="52"/>
        <v>1134.3071428571429</v>
      </c>
      <c r="BH51" s="630">
        <f t="shared" ref="BH51:BH114" si="53">$G$50/84</f>
        <v>595.23809523809518</v>
      </c>
      <c r="BI51" s="630">
        <f>$G$51/84</f>
        <v>583.47619047619048</v>
      </c>
      <c r="BJ51" s="630"/>
      <c r="BK51" s="630"/>
      <c r="BL51" s="630"/>
      <c r="BM51" s="629">
        <f t="shared" si="5"/>
        <v>201347.84547619053</v>
      </c>
    </row>
    <row r="52" spans="1:65" s="585" customFormat="1" ht="12.75" customHeight="1" outlineLevel="1">
      <c r="A52" s="308" t="s">
        <v>59</v>
      </c>
      <c r="B52" s="308">
        <f t="shared" si="20"/>
        <v>2019</v>
      </c>
      <c r="C52" s="308" t="s">
        <v>47</v>
      </c>
      <c r="D52" s="629">
        <v>0</v>
      </c>
      <c r="E52" s="629"/>
      <c r="F52" s="629">
        <v>7500</v>
      </c>
      <c r="G52" s="629">
        <f t="shared" si="2"/>
        <v>7500</v>
      </c>
      <c r="H52" s="629">
        <f t="shared" si="8"/>
        <v>16920719.02</v>
      </c>
      <c r="I52" s="629"/>
      <c r="J52" s="629">
        <v>255974.62000000002</v>
      </c>
      <c r="K52" s="629">
        <f>SUM(J$5:J52)</f>
        <v>5083678.58</v>
      </c>
      <c r="L52" s="629"/>
      <c r="M52" s="629">
        <f t="shared" si="3"/>
        <v>11837040.439999999</v>
      </c>
      <c r="O52" s="629">
        <f t="shared" si="4"/>
        <v>0</v>
      </c>
      <c r="P52" s="629">
        <f t="shared" si="6"/>
        <v>0</v>
      </c>
      <c r="Q52" s="629">
        <f t="shared" si="7"/>
        <v>41.071428571428569</v>
      </c>
      <c r="R52" s="629">
        <f t="shared" si="9"/>
        <v>154.14285714285714</v>
      </c>
      <c r="S52" s="629">
        <f t="shared" si="10"/>
        <v>575.49285714285713</v>
      </c>
      <c r="T52" s="629">
        <f t="shared" si="12"/>
        <v>1879.5714285714287</v>
      </c>
      <c r="U52" s="629">
        <f t="shared" si="13"/>
        <v>3688.1155952380955</v>
      </c>
      <c r="V52" s="629">
        <f t="shared" si="14"/>
        <v>4470.3665476190472</v>
      </c>
      <c r="W52" s="629">
        <f t="shared" si="15"/>
        <v>4106.5282142857141</v>
      </c>
      <c r="X52" s="629">
        <f t="shared" si="16"/>
        <v>4018.7264285714286</v>
      </c>
      <c r="Y52" s="629">
        <f t="shared" si="17"/>
        <v>2916.0195238095239</v>
      </c>
      <c r="Z52" s="629">
        <f t="shared" si="18"/>
        <v>2546.3565476190479</v>
      </c>
      <c r="AA52" s="629">
        <f t="shared" si="19"/>
        <v>4932.6726190476193</v>
      </c>
      <c r="AB52" s="629">
        <f t="shared" si="21"/>
        <v>6082.1595238095242</v>
      </c>
      <c r="AC52" s="629">
        <f t="shared" si="22"/>
        <v>5612.689166666667</v>
      </c>
      <c r="AD52" s="629">
        <f t="shared" si="23"/>
        <v>5489.8403571428571</v>
      </c>
      <c r="AE52" s="629">
        <f t="shared" si="24"/>
        <v>7340.8214285714284</v>
      </c>
      <c r="AF52" s="629">
        <f t="shared" si="25"/>
        <v>7116.7023809523807</v>
      </c>
      <c r="AG52" s="629">
        <f t="shared" si="26"/>
        <v>5730.1814285714281</v>
      </c>
      <c r="AH52" s="629">
        <f t="shared" si="27"/>
        <v>4594.5159523809525</v>
      </c>
      <c r="AI52" s="629">
        <f t="shared" si="28"/>
        <v>5897.8397619047619</v>
      </c>
      <c r="AJ52" s="629">
        <f t="shared" si="29"/>
        <v>4094.22</v>
      </c>
      <c r="AK52" s="629">
        <f t="shared" si="30"/>
        <v>3846.1785714285716</v>
      </c>
      <c r="AL52" s="629">
        <f t="shared" si="31"/>
        <v>5212.7619047619046</v>
      </c>
      <c r="AM52" s="629">
        <f t="shared" si="32"/>
        <v>5086.5714285714284</v>
      </c>
      <c r="AN52" s="629">
        <f t="shared" si="33"/>
        <v>4475.4642857142853</v>
      </c>
      <c r="AO52" s="629">
        <f t="shared" si="34"/>
        <v>8016.1861904761909</v>
      </c>
      <c r="AP52" s="629">
        <f t="shared" si="35"/>
        <v>6195.7023809523807</v>
      </c>
      <c r="AQ52" s="629">
        <f t="shared" si="36"/>
        <v>5888.4404761904761</v>
      </c>
      <c r="AR52" s="629">
        <f t="shared" si="37"/>
        <v>5556.6428571428569</v>
      </c>
      <c r="AS52" s="629">
        <f t="shared" si="38"/>
        <v>4477.3095238095239</v>
      </c>
      <c r="AT52" s="629">
        <f t="shared" si="39"/>
        <v>5427.1904761904761</v>
      </c>
      <c r="AU52" s="629">
        <f t="shared" si="40"/>
        <v>6677.663333333333</v>
      </c>
      <c r="AV52" s="629">
        <f t="shared" si="41"/>
        <v>6107.0119047619046</v>
      </c>
      <c r="AW52" s="629">
        <f t="shared" si="42"/>
        <v>4976.3928571428569</v>
      </c>
      <c r="AX52" s="629">
        <f t="shared" si="43"/>
        <v>7551.6547619047615</v>
      </c>
      <c r="AY52" s="629">
        <f t="shared" si="44"/>
        <v>5223.333333333333</v>
      </c>
      <c r="AZ52" s="629">
        <f t="shared" si="45"/>
        <v>3548.2857142857142</v>
      </c>
      <c r="BA52" s="629">
        <f t="shared" si="46"/>
        <v>6709.5238095238092</v>
      </c>
      <c r="BB52" s="629">
        <f t="shared" si="47"/>
        <v>4503.1309523809523</v>
      </c>
      <c r="BC52" s="629">
        <f t="shared" si="48"/>
        <v>7544.2142857142853</v>
      </c>
      <c r="BD52" s="630">
        <f t="shared" si="49"/>
        <v>4744.083333333333</v>
      </c>
      <c r="BE52" s="630">
        <f t="shared" si="50"/>
        <v>3690.8333333333335</v>
      </c>
      <c r="BF52" s="630">
        <f t="shared" si="51"/>
        <v>2288.2142857142858</v>
      </c>
      <c r="BG52" s="630">
        <f t="shared" si="52"/>
        <v>1134.3071428571429</v>
      </c>
      <c r="BH52" s="630">
        <f t="shared" si="53"/>
        <v>595.23809523809518</v>
      </c>
      <c r="BI52" s="630">
        <f t="shared" ref="BI52:BI115" si="54">$G$51/84</f>
        <v>583.47619047619048</v>
      </c>
      <c r="BJ52" s="630">
        <f>$G$52/84</f>
        <v>89.285714285714292</v>
      </c>
      <c r="BK52" s="630"/>
      <c r="BL52" s="630"/>
      <c r="BM52" s="629">
        <f t="shared" si="5"/>
        <v>201437.13119047624</v>
      </c>
    </row>
    <row r="53" spans="1:65" s="585" customFormat="1" ht="12.75" customHeight="1" outlineLevel="1">
      <c r="A53" s="308" t="s">
        <v>46</v>
      </c>
      <c r="B53" s="308">
        <f t="shared" si="20"/>
        <v>2019</v>
      </c>
      <c r="C53" s="308" t="s">
        <v>47</v>
      </c>
      <c r="D53" s="629">
        <v>0</v>
      </c>
      <c r="E53" s="629"/>
      <c r="F53" s="629">
        <v>0</v>
      </c>
      <c r="G53" s="629">
        <f t="shared" si="2"/>
        <v>0</v>
      </c>
      <c r="H53" s="629">
        <f t="shared" si="8"/>
        <v>16920719.02</v>
      </c>
      <c r="I53" s="629"/>
      <c r="J53" s="629">
        <v>242615.69999999998</v>
      </c>
      <c r="K53" s="629">
        <f>SUM(J$5:J53)</f>
        <v>5326294.28</v>
      </c>
      <c r="L53" s="629"/>
      <c r="M53" s="629">
        <f t="shared" si="3"/>
        <v>11594424.739999998</v>
      </c>
      <c r="O53" s="629">
        <f t="shared" si="4"/>
        <v>0</v>
      </c>
      <c r="P53" s="629">
        <f t="shared" si="6"/>
        <v>0</v>
      </c>
      <c r="Q53" s="629">
        <f t="shared" si="7"/>
        <v>41.071428571428569</v>
      </c>
      <c r="R53" s="629">
        <f t="shared" si="9"/>
        <v>154.14285714285714</v>
      </c>
      <c r="S53" s="629">
        <f t="shared" si="10"/>
        <v>575.49285714285713</v>
      </c>
      <c r="T53" s="629">
        <f t="shared" si="12"/>
        <v>1879.5714285714287</v>
      </c>
      <c r="U53" s="629">
        <f t="shared" si="13"/>
        <v>3688.1155952380955</v>
      </c>
      <c r="V53" s="629">
        <f t="shared" si="14"/>
        <v>4470.3665476190472</v>
      </c>
      <c r="W53" s="629">
        <f t="shared" si="15"/>
        <v>4106.5282142857141</v>
      </c>
      <c r="X53" s="629">
        <f t="shared" si="16"/>
        <v>4018.7264285714286</v>
      </c>
      <c r="Y53" s="629">
        <f t="shared" si="17"/>
        <v>2916.0195238095239</v>
      </c>
      <c r="Z53" s="629">
        <f t="shared" si="18"/>
        <v>2546.3565476190479</v>
      </c>
      <c r="AA53" s="629">
        <f t="shared" si="19"/>
        <v>4932.6726190476193</v>
      </c>
      <c r="AB53" s="629">
        <f t="shared" si="21"/>
        <v>6082.1595238095242</v>
      </c>
      <c r="AC53" s="629">
        <f t="shared" si="22"/>
        <v>5612.689166666667</v>
      </c>
      <c r="AD53" s="629">
        <f t="shared" si="23"/>
        <v>5489.8403571428571</v>
      </c>
      <c r="AE53" s="629">
        <f t="shared" si="24"/>
        <v>7340.8214285714284</v>
      </c>
      <c r="AF53" s="629">
        <f t="shared" si="25"/>
        <v>7116.7023809523807</v>
      </c>
      <c r="AG53" s="629">
        <f t="shared" si="26"/>
        <v>5730.1814285714281</v>
      </c>
      <c r="AH53" s="629">
        <f t="shared" si="27"/>
        <v>4594.5159523809525</v>
      </c>
      <c r="AI53" s="629">
        <f t="shared" si="28"/>
        <v>5897.8397619047619</v>
      </c>
      <c r="AJ53" s="629">
        <f t="shared" si="29"/>
        <v>4094.22</v>
      </c>
      <c r="AK53" s="629">
        <f t="shared" si="30"/>
        <v>3846.1785714285716</v>
      </c>
      <c r="AL53" s="629">
        <f t="shared" si="31"/>
        <v>5212.7619047619046</v>
      </c>
      <c r="AM53" s="629">
        <f t="shared" si="32"/>
        <v>5086.5714285714284</v>
      </c>
      <c r="AN53" s="629">
        <f t="shared" si="33"/>
        <v>4475.4642857142853</v>
      </c>
      <c r="AO53" s="629">
        <f t="shared" si="34"/>
        <v>8016.1861904761909</v>
      </c>
      <c r="AP53" s="629">
        <f t="shared" si="35"/>
        <v>6195.7023809523807</v>
      </c>
      <c r="AQ53" s="629">
        <f t="shared" si="36"/>
        <v>5888.4404761904761</v>
      </c>
      <c r="AR53" s="629">
        <f t="shared" si="37"/>
        <v>5556.6428571428569</v>
      </c>
      <c r="AS53" s="629">
        <f t="shared" si="38"/>
        <v>4477.3095238095239</v>
      </c>
      <c r="AT53" s="629">
        <f t="shared" si="39"/>
        <v>5427.1904761904761</v>
      </c>
      <c r="AU53" s="629">
        <f t="shared" si="40"/>
        <v>6677.663333333333</v>
      </c>
      <c r="AV53" s="629">
        <f t="shared" si="41"/>
        <v>6107.0119047619046</v>
      </c>
      <c r="AW53" s="629">
        <f t="shared" si="42"/>
        <v>4976.3928571428569</v>
      </c>
      <c r="AX53" s="629">
        <f t="shared" si="43"/>
        <v>7551.6547619047615</v>
      </c>
      <c r="AY53" s="629">
        <f t="shared" si="44"/>
        <v>5223.333333333333</v>
      </c>
      <c r="AZ53" s="629">
        <f t="shared" si="45"/>
        <v>3548.2857142857142</v>
      </c>
      <c r="BA53" s="629">
        <f t="shared" si="46"/>
        <v>6709.5238095238092</v>
      </c>
      <c r="BB53" s="629">
        <f t="shared" si="47"/>
        <v>4503.1309523809523</v>
      </c>
      <c r="BC53" s="629">
        <f t="shared" si="48"/>
        <v>7544.2142857142853</v>
      </c>
      <c r="BD53" s="630">
        <f t="shared" si="49"/>
        <v>4744.083333333333</v>
      </c>
      <c r="BE53" s="630">
        <f t="shared" si="50"/>
        <v>3690.8333333333335</v>
      </c>
      <c r="BF53" s="630">
        <f t="shared" si="51"/>
        <v>2288.2142857142858</v>
      </c>
      <c r="BG53" s="630">
        <f t="shared" si="52"/>
        <v>1134.3071428571429</v>
      </c>
      <c r="BH53" s="630">
        <f t="shared" si="53"/>
        <v>595.23809523809518</v>
      </c>
      <c r="BI53" s="630">
        <f t="shared" si="54"/>
        <v>583.47619047619048</v>
      </c>
      <c r="BJ53" s="630">
        <f t="shared" ref="BJ53:BJ116" si="55">$G$52/84</f>
        <v>89.285714285714292</v>
      </c>
      <c r="BK53" s="630"/>
      <c r="BL53" s="630"/>
      <c r="BM53" s="629">
        <f t="shared" si="5"/>
        <v>201437.13119047624</v>
      </c>
    </row>
    <row r="54" spans="1:65" s="585" customFormat="1" ht="12.75" customHeight="1" outlineLevel="1">
      <c r="A54" s="308" t="s">
        <v>48</v>
      </c>
      <c r="B54" s="308">
        <f t="shared" si="20"/>
        <v>2019</v>
      </c>
      <c r="C54" s="308" t="s">
        <v>47</v>
      </c>
      <c r="D54" s="629">
        <v>0</v>
      </c>
      <c r="E54" s="629"/>
      <c r="F54" s="629">
        <v>2916</v>
      </c>
      <c r="G54" s="629">
        <f t="shared" si="2"/>
        <v>2916</v>
      </c>
      <c r="H54" s="629">
        <f t="shared" si="8"/>
        <v>16923635.02</v>
      </c>
      <c r="I54" s="629"/>
      <c r="J54" s="629">
        <v>206985.39</v>
      </c>
      <c r="K54" s="629">
        <f>SUM(J$5:J54)</f>
        <v>5533279.6699999999</v>
      </c>
      <c r="L54" s="629"/>
      <c r="M54" s="629">
        <f t="shared" si="3"/>
        <v>11390355.35</v>
      </c>
      <c r="O54" s="629">
        <f t="shared" si="4"/>
        <v>0</v>
      </c>
      <c r="P54" s="629">
        <f t="shared" si="6"/>
        <v>0</v>
      </c>
      <c r="Q54" s="629">
        <f t="shared" si="7"/>
        <v>41.071428571428569</v>
      </c>
      <c r="R54" s="629">
        <f t="shared" si="9"/>
        <v>154.14285714285714</v>
      </c>
      <c r="S54" s="629">
        <f t="shared" si="10"/>
        <v>575.49285714285713</v>
      </c>
      <c r="T54" s="629">
        <f t="shared" si="12"/>
        <v>1879.5714285714287</v>
      </c>
      <c r="U54" s="629">
        <f t="shared" si="13"/>
        <v>3688.1155952380955</v>
      </c>
      <c r="V54" s="629">
        <f t="shared" si="14"/>
        <v>4470.3665476190472</v>
      </c>
      <c r="W54" s="629">
        <f t="shared" si="15"/>
        <v>4106.5282142857141</v>
      </c>
      <c r="X54" s="629">
        <f t="shared" si="16"/>
        <v>4018.7264285714286</v>
      </c>
      <c r="Y54" s="629">
        <f t="shared" si="17"/>
        <v>2916.0195238095239</v>
      </c>
      <c r="Z54" s="629">
        <f t="shared" si="18"/>
        <v>2546.3565476190479</v>
      </c>
      <c r="AA54" s="629">
        <f t="shared" si="19"/>
        <v>4932.6726190476193</v>
      </c>
      <c r="AB54" s="629">
        <f t="shared" si="21"/>
        <v>6082.1595238095242</v>
      </c>
      <c r="AC54" s="629">
        <f t="shared" si="22"/>
        <v>5612.689166666667</v>
      </c>
      <c r="AD54" s="629">
        <f t="shared" si="23"/>
        <v>5489.8403571428571</v>
      </c>
      <c r="AE54" s="629">
        <f t="shared" si="24"/>
        <v>7340.8214285714284</v>
      </c>
      <c r="AF54" s="629">
        <f t="shared" si="25"/>
        <v>7116.7023809523807</v>
      </c>
      <c r="AG54" s="629">
        <f t="shared" si="26"/>
        <v>5730.1814285714281</v>
      </c>
      <c r="AH54" s="629">
        <f t="shared" si="27"/>
        <v>4594.5159523809525</v>
      </c>
      <c r="AI54" s="629">
        <f t="shared" si="28"/>
        <v>5897.8397619047619</v>
      </c>
      <c r="AJ54" s="629">
        <f t="shared" si="29"/>
        <v>4094.22</v>
      </c>
      <c r="AK54" s="629">
        <f t="shared" si="30"/>
        <v>3846.1785714285716</v>
      </c>
      <c r="AL54" s="629">
        <f t="shared" si="31"/>
        <v>5212.7619047619046</v>
      </c>
      <c r="AM54" s="629">
        <f t="shared" si="32"/>
        <v>5086.5714285714284</v>
      </c>
      <c r="AN54" s="629">
        <f t="shared" si="33"/>
        <v>4475.4642857142853</v>
      </c>
      <c r="AO54" s="629">
        <f t="shared" si="34"/>
        <v>8016.1861904761909</v>
      </c>
      <c r="AP54" s="629">
        <f t="shared" si="35"/>
        <v>6195.7023809523807</v>
      </c>
      <c r="AQ54" s="629">
        <f t="shared" si="36"/>
        <v>5888.4404761904761</v>
      </c>
      <c r="AR54" s="629">
        <f t="shared" si="37"/>
        <v>5556.6428571428569</v>
      </c>
      <c r="AS54" s="629">
        <f t="shared" si="38"/>
        <v>4477.3095238095239</v>
      </c>
      <c r="AT54" s="629">
        <f t="shared" si="39"/>
        <v>5427.1904761904761</v>
      </c>
      <c r="AU54" s="629">
        <f t="shared" si="40"/>
        <v>6677.663333333333</v>
      </c>
      <c r="AV54" s="629">
        <f t="shared" si="41"/>
        <v>6107.0119047619046</v>
      </c>
      <c r="AW54" s="629">
        <f t="shared" si="42"/>
        <v>4976.3928571428569</v>
      </c>
      <c r="AX54" s="629">
        <f t="shared" si="43"/>
        <v>7551.6547619047615</v>
      </c>
      <c r="AY54" s="629">
        <f t="shared" si="44"/>
        <v>5223.333333333333</v>
      </c>
      <c r="AZ54" s="629">
        <f t="shared" si="45"/>
        <v>3548.2857142857142</v>
      </c>
      <c r="BA54" s="629">
        <f t="shared" si="46"/>
        <v>6709.5238095238092</v>
      </c>
      <c r="BB54" s="629">
        <f t="shared" si="47"/>
        <v>4503.1309523809523</v>
      </c>
      <c r="BC54" s="629">
        <f t="shared" si="48"/>
        <v>7544.2142857142853</v>
      </c>
      <c r="BD54" s="630">
        <f t="shared" si="49"/>
        <v>4744.083333333333</v>
      </c>
      <c r="BE54" s="630">
        <f t="shared" si="50"/>
        <v>3690.8333333333335</v>
      </c>
      <c r="BF54" s="630">
        <f t="shared" si="51"/>
        <v>2288.2142857142858</v>
      </c>
      <c r="BG54" s="630">
        <f t="shared" si="52"/>
        <v>1134.3071428571429</v>
      </c>
      <c r="BH54" s="630">
        <f t="shared" si="53"/>
        <v>595.23809523809518</v>
      </c>
      <c r="BI54" s="630">
        <f t="shared" si="54"/>
        <v>583.47619047619048</v>
      </c>
      <c r="BJ54" s="630">
        <f t="shared" si="55"/>
        <v>89.285714285714292</v>
      </c>
      <c r="BK54" s="630"/>
      <c r="BL54" s="630">
        <f>$G$54/84</f>
        <v>34.714285714285715</v>
      </c>
      <c r="BM54" s="629">
        <f t="shared" si="5"/>
        <v>201471.84547619053</v>
      </c>
    </row>
    <row r="55" spans="1:65" s="585" customFormat="1" ht="12.75" customHeight="1" outlineLevel="1">
      <c r="A55" s="308" t="s">
        <v>50</v>
      </c>
      <c r="B55" s="308">
        <f t="shared" si="20"/>
        <v>2019</v>
      </c>
      <c r="C55" s="308" t="s">
        <v>47</v>
      </c>
      <c r="D55" s="629">
        <v>0</v>
      </c>
      <c r="E55" s="629"/>
      <c r="F55" s="629">
        <v>0</v>
      </c>
      <c r="G55" s="629">
        <f t="shared" si="2"/>
        <v>0</v>
      </c>
      <c r="H55" s="629">
        <f t="shared" si="8"/>
        <v>16923635.02</v>
      </c>
      <c r="I55" s="629"/>
      <c r="J55" s="629">
        <v>250066.37</v>
      </c>
      <c r="K55" s="629">
        <f>SUM(J$5:J55)</f>
        <v>5783346.04</v>
      </c>
      <c r="L55" s="629"/>
      <c r="M55" s="629">
        <f t="shared" si="3"/>
        <v>11140288.98</v>
      </c>
      <c r="O55" s="629">
        <f t="shared" si="4"/>
        <v>0</v>
      </c>
      <c r="P55" s="629">
        <f t="shared" si="6"/>
        <v>0</v>
      </c>
      <c r="Q55" s="629">
        <f t="shared" si="7"/>
        <v>41.071428571428569</v>
      </c>
      <c r="R55" s="629">
        <f t="shared" si="9"/>
        <v>154.14285714285714</v>
      </c>
      <c r="S55" s="629">
        <f t="shared" si="10"/>
        <v>575.49285714285713</v>
      </c>
      <c r="T55" s="629">
        <f t="shared" si="12"/>
        <v>1879.5714285714287</v>
      </c>
      <c r="U55" s="629">
        <f t="shared" si="13"/>
        <v>3688.1155952380955</v>
      </c>
      <c r="V55" s="629">
        <f t="shared" si="14"/>
        <v>4470.3665476190472</v>
      </c>
      <c r="W55" s="629">
        <f t="shared" si="15"/>
        <v>4106.5282142857141</v>
      </c>
      <c r="X55" s="629">
        <f t="shared" si="16"/>
        <v>4018.7264285714286</v>
      </c>
      <c r="Y55" s="629">
        <f t="shared" si="17"/>
        <v>2916.0195238095239</v>
      </c>
      <c r="Z55" s="629">
        <f t="shared" si="18"/>
        <v>2546.3565476190479</v>
      </c>
      <c r="AA55" s="629">
        <f t="shared" si="19"/>
        <v>4932.6726190476193</v>
      </c>
      <c r="AB55" s="629">
        <f t="shared" si="21"/>
        <v>6082.1595238095242</v>
      </c>
      <c r="AC55" s="629">
        <f t="shared" si="22"/>
        <v>5612.689166666667</v>
      </c>
      <c r="AD55" s="629">
        <f t="shared" si="23"/>
        <v>5489.8403571428571</v>
      </c>
      <c r="AE55" s="629">
        <f t="shared" si="24"/>
        <v>7340.8214285714284</v>
      </c>
      <c r="AF55" s="629">
        <f t="shared" si="25"/>
        <v>7116.7023809523807</v>
      </c>
      <c r="AG55" s="629">
        <f t="shared" si="26"/>
        <v>5730.1814285714281</v>
      </c>
      <c r="AH55" s="629">
        <f t="shared" si="27"/>
        <v>4594.5159523809525</v>
      </c>
      <c r="AI55" s="629">
        <f t="shared" si="28"/>
        <v>5897.8397619047619</v>
      </c>
      <c r="AJ55" s="629">
        <f t="shared" si="29"/>
        <v>4094.22</v>
      </c>
      <c r="AK55" s="629">
        <f t="shared" si="30"/>
        <v>3846.1785714285716</v>
      </c>
      <c r="AL55" s="629">
        <f t="shared" si="31"/>
        <v>5212.7619047619046</v>
      </c>
      <c r="AM55" s="629">
        <f t="shared" si="32"/>
        <v>5086.5714285714284</v>
      </c>
      <c r="AN55" s="629">
        <f t="shared" si="33"/>
        <v>4475.4642857142853</v>
      </c>
      <c r="AO55" s="629">
        <f t="shared" si="34"/>
        <v>8016.1861904761909</v>
      </c>
      <c r="AP55" s="629">
        <f t="shared" si="35"/>
        <v>6195.7023809523807</v>
      </c>
      <c r="AQ55" s="629">
        <f t="shared" si="36"/>
        <v>5888.4404761904761</v>
      </c>
      <c r="AR55" s="629">
        <f t="shared" si="37"/>
        <v>5556.6428571428569</v>
      </c>
      <c r="AS55" s="629">
        <f t="shared" si="38"/>
        <v>4477.3095238095239</v>
      </c>
      <c r="AT55" s="629">
        <f t="shared" si="39"/>
        <v>5427.1904761904761</v>
      </c>
      <c r="AU55" s="629">
        <f t="shared" si="40"/>
        <v>6677.663333333333</v>
      </c>
      <c r="AV55" s="629">
        <f t="shared" si="41"/>
        <v>6107.0119047619046</v>
      </c>
      <c r="AW55" s="629">
        <f t="shared" si="42"/>
        <v>4976.3928571428569</v>
      </c>
      <c r="AX55" s="629">
        <f t="shared" si="43"/>
        <v>7551.6547619047615</v>
      </c>
      <c r="AY55" s="629">
        <f t="shared" si="44"/>
        <v>5223.333333333333</v>
      </c>
      <c r="AZ55" s="629">
        <f t="shared" si="45"/>
        <v>3548.2857142857142</v>
      </c>
      <c r="BA55" s="629">
        <f t="shared" si="46"/>
        <v>6709.5238095238092</v>
      </c>
      <c r="BB55" s="629">
        <f t="shared" si="47"/>
        <v>4503.1309523809523</v>
      </c>
      <c r="BC55" s="629">
        <f t="shared" si="48"/>
        <v>7544.2142857142853</v>
      </c>
      <c r="BD55" s="630">
        <f t="shared" si="49"/>
        <v>4744.083333333333</v>
      </c>
      <c r="BE55" s="630">
        <f t="shared" si="50"/>
        <v>3690.8333333333335</v>
      </c>
      <c r="BF55" s="630">
        <f t="shared" si="51"/>
        <v>2288.2142857142858</v>
      </c>
      <c r="BG55" s="630">
        <f t="shared" si="52"/>
        <v>1134.3071428571429</v>
      </c>
      <c r="BH55" s="630">
        <f t="shared" si="53"/>
        <v>595.23809523809518</v>
      </c>
      <c r="BI55" s="630">
        <f t="shared" si="54"/>
        <v>583.47619047619048</v>
      </c>
      <c r="BJ55" s="630">
        <f t="shared" si="55"/>
        <v>89.285714285714292</v>
      </c>
      <c r="BK55" s="630"/>
      <c r="BL55" s="630">
        <f t="shared" ref="BL55:BL118" si="56">$G$54/84</f>
        <v>34.714285714285715</v>
      </c>
      <c r="BM55" s="629">
        <f t="shared" si="5"/>
        <v>201471.84547619053</v>
      </c>
    </row>
    <row r="56" spans="1:65" s="585" customFormat="1" ht="12.75" customHeight="1" outlineLevel="1">
      <c r="A56" s="308" t="s">
        <v>51</v>
      </c>
      <c r="B56" s="308">
        <f t="shared" si="20"/>
        <v>2019</v>
      </c>
      <c r="C56" s="308" t="s">
        <v>47</v>
      </c>
      <c r="D56" s="629">
        <v>0</v>
      </c>
      <c r="E56" s="629"/>
      <c r="F56" s="629">
        <v>0</v>
      </c>
      <c r="G56" s="629">
        <f t="shared" si="2"/>
        <v>0</v>
      </c>
      <c r="H56" s="629">
        <f t="shared" si="8"/>
        <v>16923635.02</v>
      </c>
      <c r="I56" s="629"/>
      <c r="J56" s="629">
        <v>182900.09</v>
      </c>
      <c r="K56" s="629">
        <f>SUM(J$5:J56)</f>
        <v>5966246.1299999999</v>
      </c>
      <c r="L56" s="629"/>
      <c r="M56" s="629">
        <f t="shared" si="3"/>
        <v>10957388.890000001</v>
      </c>
      <c r="O56" s="629">
        <f t="shared" si="4"/>
        <v>0</v>
      </c>
      <c r="P56" s="629">
        <f t="shared" si="6"/>
        <v>0</v>
      </c>
      <c r="Q56" s="629">
        <f t="shared" si="7"/>
        <v>41.071428571428569</v>
      </c>
      <c r="R56" s="629">
        <f t="shared" si="9"/>
        <v>154.14285714285714</v>
      </c>
      <c r="S56" s="629">
        <f t="shared" si="10"/>
        <v>575.49285714285713</v>
      </c>
      <c r="T56" s="629">
        <f t="shared" si="12"/>
        <v>1879.5714285714287</v>
      </c>
      <c r="U56" s="629">
        <f t="shared" si="13"/>
        <v>3688.1155952380955</v>
      </c>
      <c r="V56" s="629">
        <f t="shared" si="14"/>
        <v>4470.3665476190472</v>
      </c>
      <c r="W56" s="629">
        <f t="shared" si="15"/>
        <v>4106.5282142857141</v>
      </c>
      <c r="X56" s="629">
        <f t="shared" si="16"/>
        <v>4018.7264285714286</v>
      </c>
      <c r="Y56" s="629">
        <f t="shared" si="17"/>
        <v>2916.0195238095239</v>
      </c>
      <c r="Z56" s="629">
        <f t="shared" si="18"/>
        <v>2546.3565476190479</v>
      </c>
      <c r="AA56" s="629">
        <f t="shared" si="19"/>
        <v>4932.6726190476193</v>
      </c>
      <c r="AB56" s="629">
        <f t="shared" si="21"/>
        <v>6082.1595238095242</v>
      </c>
      <c r="AC56" s="629">
        <f t="shared" si="22"/>
        <v>5612.689166666667</v>
      </c>
      <c r="AD56" s="629">
        <f t="shared" si="23"/>
        <v>5489.8403571428571</v>
      </c>
      <c r="AE56" s="629">
        <f t="shared" si="24"/>
        <v>7340.8214285714284</v>
      </c>
      <c r="AF56" s="629">
        <f t="shared" si="25"/>
        <v>7116.7023809523807</v>
      </c>
      <c r="AG56" s="629">
        <f t="shared" si="26"/>
        <v>5730.1814285714281</v>
      </c>
      <c r="AH56" s="629">
        <f t="shared" si="27"/>
        <v>4594.5159523809525</v>
      </c>
      <c r="AI56" s="629">
        <f t="shared" si="28"/>
        <v>5897.8397619047619</v>
      </c>
      <c r="AJ56" s="629">
        <f t="shared" si="29"/>
        <v>4094.22</v>
      </c>
      <c r="AK56" s="629">
        <f t="shared" si="30"/>
        <v>3846.1785714285716</v>
      </c>
      <c r="AL56" s="629">
        <f t="shared" si="31"/>
        <v>5212.7619047619046</v>
      </c>
      <c r="AM56" s="629">
        <f t="shared" si="32"/>
        <v>5086.5714285714284</v>
      </c>
      <c r="AN56" s="629">
        <f t="shared" si="33"/>
        <v>4475.4642857142853</v>
      </c>
      <c r="AO56" s="629">
        <f t="shared" si="34"/>
        <v>8016.1861904761909</v>
      </c>
      <c r="AP56" s="629">
        <f t="shared" si="35"/>
        <v>6195.7023809523807</v>
      </c>
      <c r="AQ56" s="629">
        <f t="shared" si="36"/>
        <v>5888.4404761904761</v>
      </c>
      <c r="AR56" s="629">
        <f t="shared" si="37"/>
        <v>5556.6428571428569</v>
      </c>
      <c r="AS56" s="629">
        <f t="shared" si="38"/>
        <v>4477.3095238095239</v>
      </c>
      <c r="AT56" s="629">
        <f t="shared" si="39"/>
        <v>5427.1904761904761</v>
      </c>
      <c r="AU56" s="629">
        <f t="shared" si="40"/>
        <v>6677.663333333333</v>
      </c>
      <c r="AV56" s="629">
        <f t="shared" si="41"/>
        <v>6107.0119047619046</v>
      </c>
      <c r="AW56" s="629">
        <f t="shared" si="42"/>
        <v>4976.3928571428569</v>
      </c>
      <c r="AX56" s="629">
        <f t="shared" si="43"/>
        <v>7551.6547619047615</v>
      </c>
      <c r="AY56" s="629">
        <f t="shared" si="44"/>
        <v>5223.333333333333</v>
      </c>
      <c r="AZ56" s="629">
        <f t="shared" si="45"/>
        <v>3548.2857142857142</v>
      </c>
      <c r="BA56" s="629">
        <f t="shared" si="46"/>
        <v>6709.5238095238092</v>
      </c>
      <c r="BB56" s="629">
        <f t="shared" si="47"/>
        <v>4503.1309523809523</v>
      </c>
      <c r="BC56" s="629">
        <f t="shared" si="48"/>
        <v>7544.2142857142853</v>
      </c>
      <c r="BD56" s="630">
        <f t="shared" si="49"/>
        <v>4744.083333333333</v>
      </c>
      <c r="BE56" s="630">
        <f t="shared" si="50"/>
        <v>3690.8333333333335</v>
      </c>
      <c r="BF56" s="630">
        <f t="shared" si="51"/>
        <v>2288.2142857142858</v>
      </c>
      <c r="BG56" s="630">
        <f t="shared" si="52"/>
        <v>1134.3071428571429</v>
      </c>
      <c r="BH56" s="630">
        <f t="shared" si="53"/>
        <v>595.23809523809518</v>
      </c>
      <c r="BI56" s="630">
        <f t="shared" si="54"/>
        <v>583.47619047619048</v>
      </c>
      <c r="BJ56" s="630">
        <f t="shared" si="55"/>
        <v>89.285714285714292</v>
      </c>
      <c r="BK56" s="630"/>
      <c r="BL56" s="630">
        <f t="shared" si="56"/>
        <v>34.714285714285715</v>
      </c>
      <c r="BM56" s="629">
        <f t="shared" si="5"/>
        <v>201471.84547619053</v>
      </c>
    </row>
    <row r="57" spans="1:65" s="585" customFormat="1" ht="12.75" customHeight="1" outlineLevel="1">
      <c r="A57" s="308" t="s">
        <v>52</v>
      </c>
      <c r="B57" s="308">
        <f t="shared" si="20"/>
        <v>2019</v>
      </c>
      <c r="C57" s="308" t="s">
        <v>47</v>
      </c>
      <c r="D57" s="629"/>
      <c r="E57" s="629"/>
      <c r="F57" s="629"/>
      <c r="G57" s="629"/>
      <c r="H57" s="629">
        <f t="shared" si="8"/>
        <v>16923635.02</v>
      </c>
      <c r="I57" s="629"/>
      <c r="J57" s="629">
        <v>224037.11</v>
      </c>
      <c r="K57" s="629">
        <f>SUM(J$5:J57)</f>
        <v>6190283.2400000002</v>
      </c>
      <c r="L57" s="629"/>
      <c r="M57" s="629">
        <f t="shared" si="3"/>
        <v>10733351.779999999</v>
      </c>
      <c r="O57" s="629">
        <f t="shared" si="4"/>
        <v>0</v>
      </c>
      <c r="P57" s="629">
        <f t="shared" si="6"/>
        <v>0</v>
      </c>
      <c r="Q57" s="629">
        <f t="shared" si="7"/>
        <v>41.071428571428569</v>
      </c>
      <c r="R57" s="629">
        <f t="shared" si="9"/>
        <v>154.14285714285714</v>
      </c>
      <c r="S57" s="629">
        <f t="shared" si="10"/>
        <v>575.49285714285713</v>
      </c>
      <c r="T57" s="629">
        <f t="shared" si="12"/>
        <v>1879.5714285714287</v>
      </c>
      <c r="U57" s="629">
        <f t="shared" si="13"/>
        <v>3688.1155952380955</v>
      </c>
      <c r="V57" s="629">
        <f t="shared" si="14"/>
        <v>4470.3665476190472</v>
      </c>
      <c r="W57" s="629">
        <f t="shared" si="15"/>
        <v>4106.5282142857141</v>
      </c>
      <c r="X57" s="629">
        <f t="shared" si="16"/>
        <v>4018.7264285714286</v>
      </c>
      <c r="Y57" s="629">
        <f t="shared" si="17"/>
        <v>2916.0195238095239</v>
      </c>
      <c r="Z57" s="629">
        <f t="shared" si="18"/>
        <v>2546.3565476190479</v>
      </c>
      <c r="AA57" s="629">
        <f t="shared" si="19"/>
        <v>4932.6726190476193</v>
      </c>
      <c r="AB57" s="629">
        <f t="shared" si="21"/>
        <v>6082.1595238095242</v>
      </c>
      <c r="AC57" s="629">
        <f t="shared" si="22"/>
        <v>5612.689166666667</v>
      </c>
      <c r="AD57" s="629">
        <f t="shared" si="23"/>
        <v>5489.8403571428571</v>
      </c>
      <c r="AE57" s="629">
        <f t="shared" si="24"/>
        <v>7340.8214285714284</v>
      </c>
      <c r="AF57" s="629">
        <f t="shared" si="25"/>
        <v>7116.7023809523807</v>
      </c>
      <c r="AG57" s="629">
        <f t="shared" si="26"/>
        <v>5730.1814285714281</v>
      </c>
      <c r="AH57" s="629">
        <f t="shared" si="27"/>
        <v>4594.5159523809525</v>
      </c>
      <c r="AI57" s="629">
        <f t="shared" si="28"/>
        <v>5897.8397619047619</v>
      </c>
      <c r="AJ57" s="629">
        <f t="shared" si="29"/>
        <v>4094.22</v>
      </c>
      <c r="AK57" s="629">
        <f t="shared" si="30"/>
        <v>3846.1785714285716</v>
      </c>
      <c r="AL57" s="629">
        <f t="shared" si="31"/>
        <v>5212.7619047619046</v>
      </c>
      <c r="AM57" s="629">
        <f t="shared" si="32"/>
        <v>5086.5714285714284</v>
      </c>
      <c r="AN57" s="629">
        <f t="shared" si="33"/>
        <v>4475.4642857142853</v>
      </c>
      <c r="AO57" s="629">
        <f t="shared" si="34"/>
        <v>8016.1861904761909</v>
      </c>
      <c r="AP57" s="629">
        <f t="shared" si="35"/>
        <v>6195.7023809523807</v>
      </c>
      <c r="AQ57" s="629">
        <f t="shared" si="36"/>
        <v>5888.4404761904761</v>
      </c>
      <c r="AR57" s="629">
        <f t="shared" si="37"/>
        <v>5556.6428571428569</v>
      </c>
      <c r="AS57" s="629">
        <f t="shared" si="38"/>
        <v>4477.3095238095239</v>
      </c>
      <c r="AT57" s="629">
        <f t="shared" si="39"/>
        <v>5427.1904761904761</v>
      </c>
      <c r="AU57" s="629">
        <f t="shared" si="40"/>
        <v>6677.663333333333</v>
      </c>
      <c r="AV57" s="629">
        <f t="shared" si="41"/>
        <v>6107.0119047619046</v>
      </c>
      <c r="AW57" s="629">
        <f t="shared" si="42"/>
        <v>4976.3928571428569</v>
      </c>
      <c r="AX57" s="629">
        <f t="shared" si="43"/>
        <v>7551.6547619047615</v>
      </c>
      <c r="AY57" s="629">
        <f t="shared" si="44"/>
        <v>5223.333333333333</v>
      </c>
      <c r="AZ57" s="629">
        <f t="shared" si="45"/>
        <v>3548.2857142857142</v>
      </c>
      <c r="BA57" s="629">
        <f t="shared" si="46"/>
        <v>6709.5238095238092</v>
      </c>
      <c r="BB57" s="629">
        <f t="shared" si="47"/>
        <v>4503.1309523809523</v>
      </c>
      <c r="BC57" s="629">
        <f t="shared" si="48"/>
        <v>7544.2142857142853</v>
      </c>
      <c r="BD57" s="630">
        <f t="shared" si="49"/>
        <v>4744.083333333333</v>
      </c>
      <c r="BE57" s="630">
        <f t="shared" si="50"/>
        <v>3690.8333333333335</v>
      </c>
      <c r="BF57" s="630">
        <f t="shared" si="51"/>
        <v>2288.2142857142858</v>
      </c>
      <c r="BG57" s="630">
        <f t="shared" si="52"/>
        <v>1134.3071428571429</v>
      </c>
      <c r="BH57" s="630">
        <f t="shared" si="53"/>
        <v>595.23809523809518</v>
      </c>
      <c r="BI57" s="630">
        <f t="shared" si="54"/>
        <v>583.47619047619048</v>
      </c>
      <c r="BJ57" s="630">
        <f t="shared" si="55"/>
        <v>89.285714285714292</v>
      </c>
      <c r="BK57" s="630"/>
      <c r="BL57" s="630">
        <f t="shared" si="56"/>
        <v>34.714285714285715</v>
      </c>
      <c r="BM57" s="629">
        <f t="shared" si="5"/>
        <v>201471.84547619053</v>
      </c>
    </row>
    <row r="58" spans="1:65" s="585" customFormat="1" ht="12.75" customHeight="1" outlineLevel="1">
      <c r="A58" s="308" t="s">
        <v>53</v>
      </c>
      <c r="B58" s="308">
        <f t="shared" si="20"/>
        <v>2020</v>
      </c>
      <c r="C58" s="308" t="s">
        <v>47</v>
      </c>
      <c r="D58" s="629"/>
      <c r="E58" s="629"/>
      <c r="F58" s="629"/>
      <c r="G58" s="629"/>
      <c r="H58" s="629">
        <f t="shared" si="8"/>
        <v>16923635.02</v>
      </c>
      <c r="I58" s="629"/>
      <c r="J58" s="629">
        <v>207272.19</v>
      </c>
      <c r="K58" s="629">
        <f>SUM(J$5:J58)</f>
        <v>6397555.4300000006</v>
      </c>
      <c r="L58" s="629"/>
      <c r="M58" s="629">
        <f t="shared" si="3"/>
        <v>10526079.59</v>
      </c>
      <c r="O58" s="629">
        <f t="shared" si="4"/>
        <v>0</v>
      </c>
      <c r="P58" s="629">
        <f t="shared" si="6"/>
        <v>0</v>
      </c>
      <c r="Q58" s="629">
        <f t="shared" si="7"/>
        <v>41.071428571428569</v>
      </c>
      <c r="R58" s="629">
        <f t="shared" si="9"/>
        <v>154.14285714285714</v>
      </c>
      <c r="S58" s="629">
        <f t="shared" si="10"/>
        <v>575.49285714285713</v>
      </c>
      <c r="T58" s="629">
        <f t="shared" si="12"/>
        <v>1879.5714285714287</v>
      </c>
      <c r="U58" s="629">
        <f t="shared" si="13"/>
        <v>3688.1155952380955</v>
      </c>
      <c r="V58" s="629">
        <f t="shared" si="14"/>
        <v>4470.3665476190472</v>
      </c>
      <c r="W58" s="629">
        <f t="shared" si="15"/>
        <v>4106.5282142857141</v>
      </c>
      <c r="X58" s="629">
        <f t="shared" si="16"/>
        <v>4018.7264285714286</v>
      </c>
      <c r="Y58" s="629">
        <f t="shared" si="17"/>
        <v>2916.0195238095239</v>
      </c>
      <c r="Z58" s="629">
        <f t="shared" si="18"/>
        <v>2546.3565476190479</v>
      </c>
      <c r="AA58" s="629">
        <f t="shared" si="19"/>
        <v>4932.6726190476193</v>
      </c>
      <c r="AB58" s="629">
        <f t="shared" si="21"/>
        <v>6082.1595238095242</v>
      </c>
      <c r="AC58" s="629">
        <f t="shared" si="22"/>
        <v>5612.689166666667</v>
      </c>
      <c r="AD58" s="629">
        <f t="shared" si="23"/>
        <v>5489.8403571428571</v>
      </c>
      <c r="AE58" s="629">
        <f t="shared" si="24"/>
        <v>7340.8214285714284</v>
      </c>
      <c r="AF58" s="629">
        <f t="shared" si="25"/>
        <v>7116.7023809523807</v>
      </c>
      <c r="AG58" s="629">
        <f t="shared" si="26"/>
        <v>5730.1814285714281</v>
      </c>
      <c r="AH58" s="629">
        <f t="shared" si="27"/>
        <v>4594.5159523809525</v>
      </c>
      <c r="AI58" s="629">
        <f t="shared" si="28"/>
        <v>5897.8397619047619</v>
      </c>
      <c r="AJ58" s="629">
        <f t="shared" si="29"/>
        <v>4094.22</v>
      </c>
      <c r="AK58" s="629">
        <f t="shared" si="30"/>
        <v>3846.1785714285716</v>
      </c>
      <c r="AL58" s="629">
        <f t="shared" si="31"/>
        <v>5212.7619047619046</v>
      </c>
      <c r="AM58" s="629">
        <f t="shared" si="32"/>
        <v>5086.5714285714284</v>
      </c>
      <c r="AN58" s="629">
        <f t="shared" si="33"/>
        <v>4475.4642857142853</v>
      </c>
      <c r="AO58" s="629">
        <f t="shared" si="34"/>
        <v>8016.1861904761909</v>
      </c>
      <c r="AP58" s="629">
        <f t="shared" si="35"/>
        <v>6195.7023809523807</v>
      </c>
      <c r="AQ58" s="629">
        <f t="shared" si="36"/>
        <v>5888.4404761904761</v>
      </c>
      <c r="AR58" s="629">
        <f t="shared" si="37"/>
        <v>5556.6428571428569</v>
      </c>
      <c r="AS58" s="629">
        <f t="shared" si="38"/>
        <v>4477.3095238095239</v>
      </c>
      <c r="AT58" s="629">
        <f t="shared" si="39"/>
        <v>5427.1904761904761</v>
      </c>
      <c r="AU58" s="629">
        <f t="shared" si="40"/>
        <v>6677.663333333333</v>
      </c>
      <c r="AV58" s="629">
        <f t="shared" si="41"/>
        <v>6107.0119047619046</v>
      </c>
      <c r="AW58" s="629">
        <f t="shared" si="42"/>
        <v>4976.3928571428569</v>
      </c>
      <c r="AX58" s="629">
        <f t="shared" si="43"/>
        <v>7551.6547619047615</v>
      </c>
      <c r="AY58" s="629">
        <f t="shared" si="44"/>
        <v>5223.333333333333</v>
      </c>
      <c r="AZ58" s="629">
        <f t="shared" si="45"/>
        <v>3548.2857142857142</v>
      </c>
      <c r="BA58" s="629">
        <f t="shared" si="46"/>
        <v>6709.5238095238092</v>
      </c>
      <c r="BB58" s="629">
        <f t="shared" si="47"/>
        <v>4503.1309523809523</v>
      </c>
      <c r="BC58" s="629">
        <f t="shared" si="48"/>
        <v>7544.2142857142853</v>
      </c>
      <c r="BD58" s="630">
        <f t="shared" si="49"/>
        <v>4744.083333333333</v>
      </c>
      <c r="BE58" s="630">
        <f t="shared" si="50"/>
        <v>3690.8333333333335</v>
      </c>
      <c r="BF58" s="630">
        <f t="shared" si="51"/>
        <v>2288.2142857142858</v>
      </c>
      <c r="BG58" s="630">
        <f t="shared" si="52"/>
        <v>1134.3071428571429</v>
      </c>
      <c r="BH58" s="630">
        <f t="shared" si="53"/>
        <v>595.23809523809518</v>
      </c>
      <c r="BI58" s="630">
        <f t="shared" si="54"/>
        <v>583.47619047619048</v>
      </c>
      <c r="BJ58" s="630">
        <f t="shared" si="55"/>
        <v>89.285714285714292</v>
      </c>
      <c r="BK58" s="630"/>
      <c r="BL58" s="630">
        <f t="shared" si="56"/>
        <v>34.714285714285715</v>
      </c>
      <c r="BM58" s="629">
        <f t="shared" si="5"/>
        <v>201471.84547619053</v>
      </c>
    </row>
    <row r="59" spans="1:65" s="585" customFormat="1" ht="12.75" customHeight="1" outlineLevel="1">
      <c r="A59" s="308" t="s">
        <v>54</v>
      </c>
      <c r="B59" s="308">
        <f t="shared" si="20"/>
        <v>2020</v>
      </c>
      <c r="C59" s="308" t="s">
        <v>47</v>
      </c>
      <c r="D59" s="629"/>
      <c r="E59" s="629"/>
      <c r="F59" s="629"/>
      <c r="G59" s="629"/>
      <c r="H59" s="629">
        <f t="shared" si="8"/>
        <v>16923635.02</v>
      </c>
      <c r="I59" s="629"/>
      <c r="J59" s="629">
        <v>181601.03</v>
      </c>
      <c r="K59" s="629">
        <f>SUM(J$5:J59)</f>
        <v>6579156.4600000009</v>
      </c>
      <c r="L59" s="629"/>
      <c r="M59" s="629">
        <f t="shared" si="3"/>
        <v>10344478.559999999</v>
      </c>
      <c r="O59" s="629">
        <f t="shared" si="4"/>
        <v>0</v>
      </c>
      <c r="P59" s="629">
        <f t="shared" si="6"/>
        <v>0</v>
      </c>
      <c r="Q59" s="629">
        <f t="shared" si="7"/>
        <v>41.071428571428569</v>
      </c>
      <c r="R59" s="629">
        <f t="shared" si="9"/>
        <v>154.14285714285714</v>
      </c>
      <c r="S59" s="629">
        <f t="shared" si="10"/>
        <v>575.49285714285713</v>
      </c>
      <c r="T59" s="629">
        <f t="shared" si="12"/>
        <v>1879.5714285714287</v>
      </c>
      <c r="U59" s="629">
        <f t="shared" si="13"/>
        <v>3688.1155952380955</v>
      </c>
      <c r="V59" s="629">
        <f t="shared" si="14"/>
        <v>4470.3665476190472</v>
      </c>
      <c r="W59" s="629">
        <f t="shared" si="15"/>
        <v>4106.5282142857141</v>
      </c>
      <c r="X59" s="629">
        <f t="shared" si="16"/>
        <v>4018.7264285714286</v>
      </c>
      <c r="Y59" s="629">
        <f t="shared" si="17"/>
        <v>2916.0195238095239</v>
      </c>
      <c r="Z59" s="629">
        <f t="shared" si="18"/>
        <v>2546.3565476190479</v>
      </c>
      <c r="AA59" s="629">
        <f t="shared" si="19"/>
        <v>4932.6726190476193</v>
      </c>
      <c r="AB59" s="629">
        <f t="shared" si="21"/>
        <v>6082.1595238095242</v>
      </c>
      <c r="AC59" s="629">
        <f t="shared" si="22"/>
        <v>5612.689166666667</v>
      </c>
      <c r="AD59" s="629">
        <f t="shared" si="23"/>
        <v>5489.8403571428571</v>
      </c>
      <c r="AE59" s="629">
        <f t="shared" si="24"/>
        <v>7340.8214285714284</v>
      </c>
      <c r="AF59" s="629">
        <f t="shared" si="25"/>
        <v>7116.7023809523807</v>
      </c>
      <c r="AG59" s="629">
        <f t="shared" si="26"/>
        <v>5730.1814285714281</v>
      </c>
      <c r="AH59" s="629">
        <f t="shared" si="27"/>
        <v>4594.5159523809525</v>
      </c>
      <c r="AI59" s="629">
        <f t="shared" si="28"/>
        <v>5897.8397619047619</v>
      </c>
      <c r="AJ59" s="629">
        <f t="shared" si="29"/>
        <v>4094.22</v>
      </c>
      <c r="AK59" s="629">
        <f t="shared" si="30"/>
        <v>3846.1785714285716</v>
      </c>
      <c r="AL59" s="629">
        <f t="shared" si="31"/>
        <v>5212.7619047619046</v>
      </c>
      <c r="AM59" s="629">
        <f t="shared" si="32"/>
        <v>5086.5714285714284</v>
      </c>
      <c r="AN59" s="629">
        <f t="shared" si="33"/>
        <v>4475.4642857142853</v>
      </c>
      <c r="AO59" s="629">
        <f t="shared" si="34"/>
        <v>8016.1861904761909</v>
      </c>
      <c r="AP59" s="629">
        <f t="shared" si="35"/>
        <v>6195.7023809523807</v>
      </c>
      <c r="AQ59" s="629">
        <f t="shared" si="36"/>
        <v>5888.4404761904761</v>
      </c>
      <c r="AR59" s="629">
        <f t="shared" si="37"/>
        <v>5556.6428571428569</v>
      </c>
      <c r="AS59" s="629">
        <f t="shared" si="38"/>
        <v>4477.3095238095239</v>
      </c>
      <c r="AT59" s="629">
        <f t="shared" si="39"/>
        <v>5427.1904761904761</v>
      </c>
      <c r="AU59" s="629">
        <f t="shared" si="40"/>
        <v>6677.663333333333</v>
      </c>
      <c r="AV59" s="629">
        <f t="shared" si="41"/>
        <v>6107.0119047619046</v>
      </c>
      <c r="AW59" s="629">
        <f t="shared" si="42"/>
        <v>4976.3928571428569</v>
      </c>
      <c r="AX59" s="629">
        <f t="shared" si="43"/>
        <v>7551.6547619047615</v>
      </c>
      <c r="AY59" s="629">
        <f t="shared" si="44"/>
        <v>5223.333333333333</v>
      </c>
      <c r="AZ59" s="629">
        <f t="shared" si="45"/>
        <v>3548.2857142857142</v>
      </c>
      <c r="BA59" s="629">
        <f t="shared" si="46"/>
        <v>6709.5238095238092</v>
      </c>
      <c r="BB59" s="629">
        <f t="shared" si="47"/>
        <v>4503.1309523809523</v>
      </c>
      <c r="BC59" s="629">
        <f t="shared" si="48"/>
        <v>7544.2142857142853</v>
      </c>
      <c r="BD59" s="630">
        <f t="shared" si="49"/>
        <v>4744.083333333333</v>
      </c>
      <c r="BE59" s="630">
        <f t="shared" si="50"/>
        <v>3690.8333333333335</v>
      </c>
      <c r="BF59" s="630">
        <f t="shared" si="51"/>
        <v>2288.2142857142858</v>
      </c>
      <c r="BG59" s="630">
        <f t="shared" si="52"/>
        <v>1134.3071428571429</v>
      </c>
      <c r="BH59" s="630">
        <f t="shared" si="53"/>
        <v>595.23809523809518</v>
      </c>
      <c r="BI59" s="630">
        <f t="shared" si="54"/>
        <v>583.47619047619048</v>
      </c>
      <c r="BJ59" s="630">
        <f t="shared" si="55"/>
        <v>89.285714285714292</v>
      </c>
      <c r="BK59" s="630"/>
      <c r="BL59" s="630">
        <f t="shared" si="56"/>
        <v>34.714285714285715</v>
      </c>
      <c r="BM59" s="629">
        <f t="shared" si="5"/>
        <v>201471.84547619053</v>
      </c>
    </row>
    <row r="60" spans="1:65" s="585" customFormat="1" ht="12.75" customHeight="1" outlineLevel="1">
      <c r="A60" s="308" t="s">
        <v>55</v>
      </c>
      <c r="B60" s="308">
        <f t="shared" si="20"/>
        <v>2020</v>
      </c>
      <c r="C60" s="308" t="s">
        <v>47</v>
      </c>
      <c r="D60" s="629"/>
      <c r="E60" s="629"/>
      <c r="F60" s="629"/>
      <c r="G60" s="629"/>
      <c r="H60" s="629">
        <f t="shared" si="8"/>
        <v>16923635.02</v>
      </c>
      <c r="I60" s="629"/>
      <c r="J60" s="629">
        <v>228424.4</v>
      </c>
      <c r="K60" s="629">
        <f>SUM(J$5:J60)</f>
        <v>6807580.8600000013</v>
      </c>
      <c r="L60" s="629"/>
      <c r="M60" s="629">
        <f t="shared" si="3"/>
        <v>10116054.159999998</v>
      </c>
      <c r="O60" s="629">
        <f t="shared" si="4"/>
        <v>0</v>
      </c>
      <c r="P60" s="629">
        <f t="shared" si="6"/>
        <v>0</v>
      </c>
      <c r="Q60" s="629">
        <f t="shared" si="7"/>
        <v>41.071428571428569</v>
      </c>
      <c r="R60" s="629">
        <f t="shared" si="9"/>
        <v>154.14285714285714</v>
      </c>
      <c r="S60" s="629">
        <f t="shared" si="10"/>
        <v>575.49285714285713</v>
      </c>
      <c r="T60" s="629">
        <f t="shared" si="12"/>
        <v>1879.5714285714287</v>
      </c>
      <c r="U60" s="629">
        <f t="shared" si="13"/>
        <v>3688.1155952380955</v>
      </c>
      <c r="V60" s="629">
        <f t="shared" si="14"/>
        <v>4470.3665476190472</v>
      </c>
      <c r="W60" s="629">
        <f t="shared" si="15"/>
        <v>4106.5282142857141</v>
      </c>
      <c r="X60" s="629">
        <f t="shared" si="16"/>
        <v>4018.7264285714286</v>
      </c>
      <c r="Y60" s="629">
        <f t="shared" si="17"/>
        <v>2916.0195238095239</v>
      </c>
      <c r="Z60" s="629">
        <f t="shared" si="18"/>
        <v>2546.3565476190479</v>
      </c>
      <c r="AA60" s="629">
        <f t="shared" si="19"/>
        <v>4932.6726190476193</v>
      </c>
      <c r="AB60" s="629">
        <f t="shared" si="21"/>
        <v>6082.1595238095242</v>
      </c>
      <c r="AC60" s="629">
        <f t="shared" si="22"/>
        <v>5612.689166666667</v>
      </c>
      <c r="AD60" s="629">
        <f t="shared" si="23"/>
        <v>5489.8403571428571</v>
      </c>
      <c r="AE60" s="629">
        <f t="shared" si="24"/>
        <v>7340.8214285714284</v>
      </c>
      <c r="AF60" s="629">
        <f t="shared" si="25"/>
        <v>7116.7023809523807</v>
      </c>
      <c r="AG60" s="629">
        <f t="shared" si="26"/>
        <v>5730.1814285714281</v>
      </c>
      <c r="AH60" s="629">
        <f t="shared" si="27"/>
        <v>4594.5159523809525</v>
      </c>
      <c r="AI60" s="629">
        <f t="shared" si="28"/>
        <v>5897.8397619047619</v>
      </c>
      <c r="AJ60" s="629">
        <f t="shared" si="29"/>
        <v>4094.22</v>
      </c>
      <c r="AK60" s="629">
        <f t="shared" si="30"/>
        <v>3846.1785714285716</v>
      </c>
      <c r="AL60" s="629">
        <f t="shared" si="31"/>
        <v>5212.7619047619046</v>
      </c>
      <c r="AM60" s="629">
        <f t="shared" si="32"/>
        <v>5086.5714285714284</v>
      </c>
      <c r="AN60" s="629">
        <f t="shared" si="33"/>
        <v>4475.4642857142853</v>
      </c>
      <c r="AO60" s="629">
        <f t="shared" si="34"/>
        <v>8016.1861904761909</v>
      </c>
      <c r="AP60" s="629">
        <f t="shared" si="35"/>
        <v>6195.7023809523807</v>
      </c>
      <c r="AQ60" s="629">
        <f t="shared" si="36"/>
        <v>5888.4404761904761</v>
      </c>
      <c r="AR60" s="629">
        <f t="shared" si="37"/>
        <v>5556.6428571428569</v>
      </c>
      <c r="AS60" s="629">
        <f t="shared" si="38"/>
        <v>4477.3095238095239</v>
      </c>
      <c r="AT60" s="629">
        <f t="shared" si="39"/>
        <v>5427.1904761904761</v>
      </c>
      <c r="AU60" s="629">
        <f t="shared" si="40"/>
        <v>6677.663333333333</v>
      </c>
      <c r="AV60" s="629">
        <f t="shared" si="41"/>
        <v>6107.0119047619046</v>
      </c>
      <c r="AW60" s="629">
        <f t="shared" si="42"/>
        <v>4976.3928571428569</v>
      </c>
      <c r="AX60" s="629">
        <f t="shared" si="43"/>
        <v>7551.6547619047615</v>
      </c>
      <c r="AY60" s="629">
        <f t="shared" si="44"/>
        <v>5223.333333333333</v>
      </c>
      <c r="AZ60" s="629">
        <f t="shared" si="45"/>
        <v>3548.2857142857142</v>
      </c>
      <c r="BA60" s="629">
        <f t="shared" si="46"/>
        <v>6709.5238095238092</v>
      </c>
      <c r="BB60" s="629">
        <f t="shared" si="47"/>
        <v>4503.1309523809523</v>
      </c>
      <c r="BC60" s="629">
        <f t="shared" si="48"/>
        <v>7544.2142857142853</v>
      </c>
      <c r="BD60" s="630">
        <f t="shared" si="49"/>
        <v>4744.083333333333</v>
      </c>
      <c r="BE60" s="630">
        <f t="shared" si="50"/>
        <v>3690.8333333333335</v>
      </c>
      <c r="BF60" s="630">
        <f t="shared" si="51"/>
        <v>2288.2142857142858</v>
      </c>
      <c r="BG60" s="630">
        <f t="shared" si="52"/>
        <v>1134.3071428571429</v>
      </c>
      <c r="BH60" s="630">
        <f t="shared" si="53"/>
        <v>595.23809523809518</v>
      </c>
      <c r="BI60" s="630">
        <f t="shared" si="54"/>
        <v>583.47619047619048</v>
      </c>
      <c r="BJ60" s="630">
        <f t="shared" si="55"/>
        <v>89.285714285714292</v>
      </c>
      <c r="BK60" s="630"/>
      <c r="BL60" s="630">
        <f t="shared" si="56"/>
        <v>34.714285714285715</v>
      </c>
      <c r="BM60" s="629">
        <f t="shared" si="5"/>
        <v>201471.84547619053</v>
      </c>
    </row>
    <row r="61" spans="1:65" s="585" customFormat="1" ht="12.75" customHeight="1" outlineLevel="1">
      <c r="A61" s="308" t="s">
        <v>56</v>
      </c>
      <c r="B61" s="308">
        <f t="shared" si="20"/>
        <v>2020</v>
      </c>
      <c r="C61" s="308" t="s">
        <v>47</v>
      </c>
      <c r="D61" s="629"/>
      <c r="E61" s="629"/>
      <c r="F61" s="629"/>
      <c r="G61" s="629"/>
      <c r="H61" s="629">
        <f t="shared" si="8"/>
        <v>16923635.02</v>
      </c>
      <c r="I61" s="629"/>
      <c r="J61" s="629">
        <v>210628.8</v>
      </c>
      <c r="K61" s="629">
        <f>SUM(J$5:J61)</f>
        <v>7018209.6600000011</v>
      </c>
      <c r="L61" s="629"/>
      <c r="M61" s="629">
        <f t="shared" si="3"/>
        <v>9905425.3599999994</v>
      </c>
      <c r="O61" s="629">
        <f t="shared" si="4"/>
        <v>0</v>
      </c>
      <c r="P61" s="629">
        <f t="shared" si="6"/>
        <v>0</v>
      </c>
      <c r="Q61" s="629">
        <f t="shared" si="7"/>
        <v>41.071428571428569</v>
      </c>
      <c r="R61" s="629">
        <f t="shared" si="9"/>
        <v>154.14285714285714</v>
      </c>
      <c r="S61" s="629">
        <f t="shared" si="10"/>
        <v>575.49285714285713</v>
      </c>
      <c r="T61" s="629">
        <f t="shared" si="12"/>
        <v>1879.5714285714287</v>
      </c>
      <c r="U61" s="629">
        <f t="shared" si="13"/>
        <v>3688.1155952380955</v>
      </c>
      <c r="V61" s="629">
        <f t="shared" si="14"/>
        <v>4470.3665476190472</v>
      </c>
      <c r="W61" s="629">
        <f t="shared" si="15"/>
        <v>4106.5282142857141</v>
      </c>
      <c r="X61" s="629">
        <f t="shared" si="16"/>
        <v>4018.7264285714286</v>
      </c>
      <c r="Y61" s="629">
        <f t="shared" si="17"/>
        <v>2916.0195238095239</v>
      </c>
      <c r="Z61" s="629">
        <f t="shared" si="18"/>
        <v>2546.3565476190479</v>
      </c>
      <c r="AA61" s="629">
        <f t="shared" si="19"/>
        <v>4932.6726190476193</v>
      </c>
      <c r="AB61" s="629">
        <f t="shared" si="21"/>
        <v>6082.1595238095242</v>
      </c>
      <c r="AC61" s="629">
        <f t="shared" si="22"/>
        <v>5612.689166666667</v>
      </c>
      <c r="AD61" s="629">
        <f t="shared" si="23"/>
        <v>5489.8403571428571</v>
      </c>
      <c r="AE61" s="629">
        <f t="shared" si="24"/>
        <v>7340.8214285714284</v>
      </c>
      <c r="AF61" s="629">
        <f t="shared" si="25"/>
        <v>7116.7023809523807</v>
      </c>
      <c r="AG61" s="629">
        <f t="shared" si="26"/>
        <v>5730.1814285714281</v>
      </c>
      <c r="AH61" s="629">
        <f t="shared" si="27"/>
        <v>4594.5159523809525</v>
      </c>
      <c r="AI61" s="629">
        <f t="shared" si="28"/>
        <v>5897.8397619047619</v>
      </c>
      <c r="AJ61" s="629">
        <f t="shared" si="29"/>
        <v>4094.22</v>
      </c>
      <c r="AK61" s="629">
        <f t="shared" si="30"/>
        <v>3846.1785714285716</v>
      </c>
      <c r="AL61" s="629">
        <f t="shared" si="31"/>
        <v>5212.7619047619046</v>
      </c>
      <c r="AM61" s="629">
        <f t="shared" si="32"/>
        <v>5086.5714285714284</v>
      </c>
      <c r="AN61" s="629">
        <f t="shared" si="33"/>
        <v>4475.4642857142853</v>
      </c>
      <c r="AO61" s="629">
        <f t="shared" si="34"/>
        <v>8016.1861904761909</v>
      </c>
      <c r="AP61" s="629">
        <f t="shared" si="35"/>
        <v>6195.7023809523807</v>
      </c>
      <c r="AQ61" s="629">
        <f t="shared" si="36"/>
        <v>5888.4404761904761</v>
      </c>
      <c r="AR61" s="629">
        <f t="shared" si="37"/>
        <v>5556.6428571428569</v>
      </c>
      <c r="AS61" s="629">
        <f t="shared" si="38"/>
        <v>4477.3095238095239</v>
      </c>
      <c r="AT61" s="629">
        <f t="shared" si="39"/>
        <v>5427.1904761904761</v>
      </c>
      <c r="AU61" s="629">
        <f t="shared" si="40"/>
        <v>6677.663333333333</v>
      </c>
      <c r="AV61" s="629">
        <f t="shared" si="41"/>
        <v>6107.0119047619046</v>
      </c>
      <c r="AW61" s="629">
        <f t="shared" si="42"/>
        <v>4976.3928571428569</v>
      </c>
      <c r="AX61" s="629">
        <f t="shared" si="43"/>
        <v>7551.6547619047615</v>
      </c>
      <c r="AY61" s="629">
        <f t="shared" si="44"/>
        <v>5223.333333333333</v>
      </c>
      <c r="AZ61" s="629">
        <f t="shared" si="45"/>
        <v>3548.2857142857142</v>
      </c>
      <c r="BA61" s="629">
        <f t="shared" si="46"/>
        <v>6709.5238095238092</v>
      </c>
      <c r="BB61" s="629">
        <f t="shared" si="47"/>
        <v>4503.1309523809523</v>
      </c>
      <c r="BC61" s="629">
        <f t="shared" si="48"/>
        <v>7544.2142857142853</v>
      </c>
      <c r="BD61" s="630">
        <f t="shared" si="49"/>
        <v>4744.083333333333</v>
      </c>
      <c r="BE61" s="630">
        <f t="shared" si="50"/>
        <v>3690.8333333333335</v>
      </c>
      <c r="BF61" s="630">
        <f t="shared" si="51"/>
        <v>2288.2142857142858</v>
      </c>
      <c r="BG61" s="630">
        <f t="shared" si="52"/>
        <v>1134.3071428571429</v>
      </c>
      <c r="BH61" s="630">
        <f t="shared" si="53"/>
        <v>595.23809523809518</v>
      </c>
      <c r="BI61" s="630">
        <f t="shared" si="54"/>
        <v>583.47619047619048</v>
      </c>
      <c r="BJ61" s="630">
        <f t="shared" si="55"/>
        <v>89.285714285714292</v>
      </c>
      <c r="BK61" s="630"/>
      <c r="BL61" s="630">
        <f t="shared" si="56"/>
        <v>34.714285714285715</v>
      </c>
      <c r="BM61" s="629">
        <f t="shared" si="5"/>
        <v>201471.84547619053</v>
      </c>
    </row>
    <row r="62" spans="1:65" s="585" customFormat="1" ht="12.75" customHeight="1" outlineLevel="1">
      <c r="A62" s="308" t="s">
        <v>57</v>
      </c>
      <c r="B62" s="308">
        <f t="shared" si="20"/>
        <v>2020</v>
      </c>
      <c r="C62" s="308" t="s">
        <v>47</v>
      </c>
      <c r="D62" s="629"/>
      <c r="E62" s="629"/>
      <c r="F62" s="629"/>
      <c r="G62" s="629"/>
      <c r="H62" s="629">
        <f t="shared" si="8"/>
        <v>16923635.02</v>
      </c>
      <c r="I62" s="629"/>
      <c r="J62" s="629">
        <v>184948.89</v>
      </c>
      <c r="K62" s="629">
        <f>SUM(J$5:J62)</f>
        <v>7203158.5500000007</v>
      </c>
      <c r="L62" s="629"/>
      <c r="M62" s="629">
        <f t="shared" si="3"/>
        <v>9720476.4699999988</v>
      </c>
      <c r="O62" s="629">
        <f t="shared" si="4"/>
        <v>0</v>
      </c>
      <c r="P62" s="629">
        <f t="shared" si="6"/>
        <v>0</v>
      </c>
      <c r="Q62" s="629">
        <f t="shared" si="7"/>
        <v>41.071428571428569</v>
      </c>
      <c r="R62" s="629">
        <f t="shared" si="9"/>
        <v>154.14285714285714</v>
      </c>
      <c r="S62" s="629">
        <f t="shared" si="10"/>
        <v>575.49285714285713</v>
      </c>
      <c r="T62" s="629">
        <f t="shared" si="12"/>
        <v>1879.5714285714287</v>
      </c>
      <c r="U62" s="629">
        <f t="shared" si="13"/>
        <v>3688.1155952380955</v>
      </c>
      <c r="V62" s="629">
        <f t="shared" si="14"/>
        <v>4470.3665476190472</v>
      </c>
      <c r="W62" s="629">
        <f t="shared" si="15"/>
        <v>4106.5282142857141</v>
      </c>
      <c r="X62" s="629">
        <f t="shared" si="16"/>
        <v>4018.7264285714286</v>
      </c>
      <c r="Y62" s="629">
        <f t="shared" si="17"/>
        <v>2916.0195238095239</v>
      </c>
      <c r="Z62" s="629">
        <f t="shared" si="18"/>
        <v>2546.3565476190479</v>
      </c>
      <c r="AA62" s="629">
        <f t="shared" si="19"/>
        <v>4932.6726190476193</v>
      </c>
      <c r="AB62" s="629">
        <f t="shared" si="21"/>
        <v>6082.1595238095242</v>
      </c>
      <c r="AC62" s="629">
        <f t="shared" si="22"/>
        <v>5612.689166666667</v>
      </c>
      <c r="AD62" s="629">
        <f t="shared" si="23"/>
        <v>5489.8403571428571</v>
      </c>
      <c r="AE62" s="629">
        <f t="shared" si="24"/>
        <v>7340.8214285714284</v>
      </c>
      <c r="AF62" s="629">
        <f t="shared" si="25"/>
        <v>7116.7023809523807</v>
      </c>
      <c r="AG62" s="629">
        <f t="shared" si="26"/>
        <v>5730.1814285714281</v>
      </c>
      <c r="AH62" s="629">
        <f t="shared" si="27"/>
        <v>4594.5159523809525</v>
      </c>
      <c r="AI62" s="629">
        <f t="shared" si="28"/>
        <v>5897.8397619047619</v>
      </c>
      <c r="AJ62" s="629">
        <f t="shared" si="29"/>
        <v>4094.22</v>
      </c>
      <c r="AK62" s="629">
        <f t="shared" si="30"/>
        <v>3846.1785714285716</v>
      </c>
      <c r="AL62" s="629">
        <f t="shared" si="31"/>
        <v>5212.7619047619046</v>
      </c>
      <c r="AM62" s="629">
        <f t="shared" si="32"/>
        <v>5086.5714285714284</v>
      </c>
      <c r="AN62" s="629">
        <f t="shared" si="33"/>
        <v>4475.4642857142853</v>
      </c>
      <c r="AO62" s="629">
        <f t="shared" si="34"/>
        <v>8016.1861904761909</v>
      </c>
      <c r="AP62" s="629">
        <f t="shared" si="35"/>
        <v>6195.7023809523807</v>
      </c>
      <c r="AQ62" s="629">
        <f t="shared" si="36"/>
        <v>5888.4404761904761</v>
      </c>
      <c r="AR62" s="629">
        <f t="shared" si="37"/>
        <v>5556.6428571428569</v>
      </c>
      <c r="AS62" s="629">
        <f t="shared" si="38"/>
        <v>4477.3095238095239</v>
      </c>
      <c r="AT62" s="629">
        <f t="shared" si="39"/>
        <v>5427.1904761904761</v>
      </c>
      <c r="AU62" s="629">
        <f t="shared" si="40"/>
        <v>6677.663333333333</v>
      </c>
      <c r="AV62" s="629">
        <f t="shared" si="41"/>
        <v>6107.0119047619046</v>
      </c>
      <c r="AW62" s="629">
        <f t="shared" si="42"/>
        <v>4976.3928571428569</v>
      </c>
      <c r="AX62" s="629">
        <f t="shared" si="43"/>
        <v>7551.6547619047615</v>
      </c>
      <c r="AY62" s="629">
        <f t="shared" si="44"/>
        <v>5223.333333333333</v>
      </c>
      <c r="AZ62" s="629">
        <f t="shared" si="45"/>
        <v>3548.2857142857142</v>
      </c>
      <c r="BA62" s="629">
        <f t="shared" si="46"/>
        <v>6709.5238095238092</v>
      </c>
      <c r="BB62" s="629">
        <f t="shared" si="47"/>
        <v>4503.1309523809523</v>
      </c>
      <c r="BC62" s="629">
        <f t="shared" si="48"/>
        <v>7544.2142857142853</v>
      </c>
      <c r="BD62" s="630">
        <f t="shared" si="49"/>
        <v>4744.083333333333</v>
      </c>
      <c r="BE62" s="630">
        <f t="shared" si="50"/>
        <v>3690.8333333333335</v>
      </c>
      <c r="BF62" s="630">
        <f t="shared" si="51"/>
        <v>2288.2142857142858</v>
      </c>
      <c r="BG62" s="630">
        <f t="shared" si="52"/>
        <v>1134.3071428571429</v>
      </c>
      <c r="BH62" s="630">
        <f t="shared" si="53"/>
        <v>595.23809523809518</v>
      </c>
      <c r="BI62" s="630">
        <f t="shared" si="54"/>
        <v>583.47619047619048</v>
      </c>
      <c r="BJ62" s="630">
        <f t="shared" si="55"/>
        <v>89.285714285714292</v>
      </c>
      <c r="BK62" s="630"/>
      <c r="BL62" s="630">
        <f t="shared" si="56"/>
        <v>34.714285714285715</v>
      </c>
      <c r="BM62" s="629">
        <f t="shared" si="5"/>
        <v>201471.84547619053</v>
      </c>
    </row>
    <row r="63" spans="1:65" s="585" customFormat="1" ht="12.75" customHeight="1" outlineLevel="1">
      <c r="A63" s="308" t="s">
        <v>58</v>
      </c>
      <c r="B63" s="308">
        <f t="shared" si="20"/>
        <v>2020</v>
      </c>
      <c r="C63" s="308" t="s">
        <v>47</v>
      </c>
      <c r="D63" s="629"/>
      <c r="E63" s="629"/>
      <c r="F63" s="629"/>
      <c r="G63" s="629"/>
      <c r="H63" s="629">
        <f t="shared" si="8"/>
        <v>16923635.02</v>
      </c>
      <c r="I63" s="629"/>
      <c r="J63" s="629">
        <v>208486.53</v>
      </c>
      <c r="K63" s="629">
        <f>SUM(J$5:J63)</f>
        <v>7411645.080000001</v>
      </c>
      <c r="L63" s="629"/>
      <c r="M63" s="629">
        <f t="shared" si="3"/>
        <v>9511989.9399999976</v>
      </c>
      <c r="O63" s="629">
        <f t="shared" si="4"/>
        <v>0</v>
      </c>
      <c r="P63" s="629">
        <f t="shared" si="6"/>
        <v>0</v>
      </c>
      <c r="Q63" s="629">
        <f t="shared" si="7"/>
        <v>41.071428571428569</v>
      </c>
      <c r="R63" s="629">
        <f t="shared" si="9"/>
        <v>154.14285714285714</v>
      </c>
      <c r="S63" s="629">
        <f t="shared" si="10"/>
        <v>575.49285714285713</v>
      </c>
      <c r="T63" s="629">
        <f t="shared" si="12"/>
        <v>1879.5714285714287</v>
      </c>
      <c r="U63" s="629">
        <f t="shared" si="13"/>
        <v>3688.1155952380955</v>
      </c>
      <c r="V63" s="629">
        <f t="shared" si="14"/>
        <v>4470.3665476190472</v>
      </c>
      <c r="W63" s="629">
        <f t="shared" si="15"/>
        <v>4106.5282142857141</v>
      </c>
      <c r="X63" s="629">
        <f t="shared" si="16"/>
        <v>4018.7264285714286</v>
      </c>
      <c r="Y63" s="629">
        <f t="shared" si="17"/>
        <v>2916.0195238095239</v>
      </c>
      <c r="Z63" s="629">
        <f t="shared" si="18"/>
        <v>2546.3565476190479</v>
      </c>
      <c r="AA63" s="629">
        <f t="shared" si="19"/>
        <v>4932.6726190476193</v>
      </c>
      <c r="AB63" s="629">
        <f t="shared" si="21"/>
        <v>6082.1595238095242</v>
      </c>
      <c r="AC63" s="629">
        <f t="shared" si="22"/>
        <v>5612.689166666667</v>
      </c>
      <c r="AD63" s="629">
        <f t="shared" si="23"/>
        <v>5489.8403571428571</v>
      </c>
      <c r="AE63" s="629">
        <f t="shared" si="24"/>
        <v>7340.8214285714284</v>
      </c>
      <c r="AF63" s="629">
        <f t="shared" si="25"/>
        <v>7116.7023809523807</v>
      </c>
      <c r="AG63" s="629">
        <f t="shared" si="26"/>
        <v>5730.1814285714281</v>
      </c>
      <c r="AH63" s="629">
        <f t="shared" si="27"/>
        <v>4594.5159523809525</v>
      </c>
      <c r="AI63" s="629">
        <f t="shared" si="28"/>
        <v>5897.8397619047619</v>
      </c>
      <c r="AJ63" s="629">
        <f t="shared" si="29"/>
        <v>4094.22</v>
      </c>
      <c r="AK63" s="629">
        <f t="shared" si="30"/>
        <v>3846.1785714285716</v>
      </c>
      <c r="AL63" s="629">
        <f t="shared" si="31"/>
        <v>5212.7619047619046</v>
      </c>
      <c r="AM63" s="629">
        <f t="shared" si="32"/>
        <v>5086.5714285714284</v>
      </c>
      <c r="AN63" s="629">
        <f t="shared" si="33"/>
        <v>4475.4642857142853</v>
      </c>
      <c r="AO63" s="629">
        <f t="shared" si="34"/>
        <v>8016.1861904761909</v>
      </c>
      <c r="AP63" s="629">
        <f t="shared" si="35"/>
        <v>6195.7023809523807</v>
      </c>
      <c r="AQ63" s="629">
        <f t="shared" si="36"/>
        <v>5888.4404761904761</v>
      </c>
      <c r="AR63" s="629">
        <f t="shared" si="37"/>
        <v>5556.6428571428569</v>
      </c>
      <c r="AS63" s="629">
        <f t="shared" si="38"/>
        <v>4477.3095238095239</v>
      </c>
      <c r="AT63" s="629">
        <f t="shared" si="39"/>
        <v>5427.1904761904761</v>
      </c>
      <c r="AU63" s="629">
        <f t="shared" si="40"/>
        <v>6677.663333333333</v>
      </c>
      <c r="AV63" s="629">
        <f t="shared" si="41"/>
        <v>6107.0119047619046</v>
      </c>
      <c r="AW63" s="629">
        <f t="shared" si="42"/>
        <v>4976.3928571428569</v>
      </c>
      <c r="AX63" s="629">
        <f t="shared" si="43"/>
        <v>7551.6547619047615</v>
      </c>
      <c r="AY63" s="629">
        <f t="shared" si="44"/>
        <v>5223.333333333333</v>
      </c>
      <c r="AZ63" s="629">
        <f t="shared" si="45"/>
        <v>3548.2857142857142</v>
      </c>
      <c r="BA63" s="629">
        <f t="shared" si="46"/>
        <v>6709.5238095238092</v>
      </c>
      <c r="BB63" s="629">
        <f t="shared" si="47"/>
        <v>4503.1309523809523</v>
      </c>
      <c r="BC63" s="629">
        <f t="shared" si="48"/>
        <v>7544.2142857142853</v>
      </c>
      <c r="BD63" s="630">
        <f t="shared" si="49"/>
        <v>4744.083333333333</v>
      </c>
      <c r="BE63" s="630">
        <f t="shared" si="50"/>
        <v>3690.8333333333335</v>
      </c>
      <c r="BF63" s="630">
        <f t="shared" si="51"/>
        <v>2288.2142857142858</v>
      </c>
      <c r="BG63" s="630">
        <f t="shared" si="52"/>
        <v>1134.3071428571429</v>
      </c>
      <c r="BH63" s="630">
        <f t="shared" si="53"/>
        <v>595.23809523809518</v>
      </c>
      <c r="BI63" s="630">
        <f t="shared" si="54"/>
        <v>583.47619047619048</v>
      </c>
      <c r="BJ63" s="630">
        <f t="shared" si="55"/>
        <v>89.285714285714292</v>
      </c>
      <c r="BK63" s="630"/>
      <c r="BL63" s="630">
        <f t="shared" si="56"/>
        <v>34.714285714285715</v>
      </c>
      <c r="BM63" s="629">
        <f t="shared" si="5"/>
        <v>201471.84547619053</v>
      </c>
    </row>
    <row r="64" spans="1:65" s="585" customFormat="1" ht="12.75" customHeight="1" outlineLevel="1">
      <c r="A64" s="308" t="s">
        <v>59</v>
      </c>
      <c r="B64" s="308">
        <f t="shared" si="20"/>
        <v>2020</v>
      </c>
      <c r="C64" s="308" t="s">
        <v>47</v>
      </c>
      <c r="D64" s="629"/>
      <c r="E64" s="629"/>
      <c r="F64" s="629"/>
      <c r="G64" s="629"/>
      <c r="H64" s="629">
        <f t="shared" si="8"/>
        <v>16923635.02</v>
      </c>
      <c r="I64" s="629"/>
      <c r="J64" s="629">
        <v>232679</v>
      </c>
      <c r="K64" s="629">
        <f>SUM(J$5:J64)</f>
        <v>7644324.080000001</v>
      </c>
      <c r="L64" s="629"/>
      <c r="M64" s="629">
        <f t="shared" si="3"/>
        <v>9279310.9399999976</v>
      </c>
      <c r="O64" s="629">
        <f t="shared" si="4"/>
        <v>0</v>
      </c>
      <c r="P64" s="629">
        <f t="shared" si="6"/>
        <v>0</v>
      </c>
      <c r="Q64" s="629">
        <f t="shared" si="7"/>
        <v>41.071428571428569</v>
      </c>
      <c r="R64" s="629">
        <f t="shared" si="9"/>
        <v>154.14285714285714</v>
      </c>
      <c r="S64" s="629">
        <f t="shared" si="10"/>
        <v>575.49285714285713</v>
      </c>
      <c r="T64" s="629">
        <f t="shared" si="12"/>
        <v>1879.5714285714287</v>
      </c>
      <c r="U64" s="629">
        <f t="shared" si="13"/>
        <v>3688.1155952380955</v>
      </c>
      <c r="V64" s="629">
        <f t="shared" si="14"/>
        <v>4470.3665476190472</v>
      </c>
      <c r="W64" s="629">
        <f t="shared" si="15"/>
        <v>4106.5282142857141</v>
      </c>
      <c r="X64" s="629">
        <f t="shared" si="16"/>
        <v>4018.7264285714286</v>
      </c>
      <c r="Y64" s="629">
        <f t="shared" si="17"/>
        <v>2916.0195238095239</v>
      </c>
      <c r="Z64" s="629">
        <f t="shared" si="18"/>
        <v>2546.3565476190479</v>
      </c>
      <c r="AA64" s="629">
        <f t="shared" si="19"/>
        <v>4932.6726190476193</v>
      </c>
      <c r="AB64" s="629">
        <f t="shared" si="21"/>
        <v>6082.1595238095242</v>
      </c>
      <c r="AC64" s="629">
        <f t="shared" si="22"/>
        <v>5612.689166666667</v>
      </c>
      <c r="AD64" s="629">
        <f t="shared" si="23"/>
        <v>5489.8403571428571</v>
      </c>
      <c r="AE64" s="629">
        <f t="shared" si="24"/>
        <v>7340.8214285714284</v>
      </c>
      <c r="AF64" s="629">
        <f t="shared" si="25"/>
        <v>7116.7023809523807</v>
      </c>
      <c r="AG64" s="629">
        <f t="shared" si="26"/>
        <v>5730.1814285714281</v>
      </c>
      <c r="AH64" s="629">
        <f t="shared" si="27"/>
        <v>4594.5159523809525</v>
      </c>
      <c r="AI64" s="629">
        <f t="shared" si="28"/>
        <v>5897.8397619047619</v>
      </c>
      <c r="AJ64" s="629">
        <f t="shared" si="29"/>
        <v>4094.22</v>
      </c>
      <c r="AK64" s="629">
        <f t="shared" si="30"/>
        <v>3846.1785714285716</v>
      </c>
      <c r="AL64" s="629">
        <f t="shared" si="31"/>
        <v>5212.7619047619046</v>
      </c>
      <c r="AM64" s="629">
        <f t="shared" si="32"/>
        <v>5086.5714285714284</v>
      </c>
      <c r="AN64" s="629">
        <f t="shared" si="33"/>
        <v>4475.4642857142853</v>
      </c>
      <c r="AO64" s="629">
        <f t="shared" si="34"/>
        <v>8016.1861904761909</v>
      </c>
      <c r="AP64" s="629">
        <f t="shared" si="35"/>
        <v>6195.7023809523807</v>
      </c>
      <c r="AQ64" s="629">
        <f t="shared" si="36"/>
        <v>5888.4404761904761</v>
      </c>
      <c r="AR64" s="629">
        <f t="shared" si="37"/>
        <v>5556.6428571428569</v>
      </c>
      <c r="AS64" s="629">
        <f t="shared" si="38"/>
        <v>4477.3095238095239</v>
      </c>
      <c r="AT64" s="629">
        <f t="shared" si="39"/>
        <v>5427.1904761904761</v>
      </c>
      <c r="AU64" s="629">
        <f t="shared" si="40"/>
        <v>6677.663333333333</v>
      </c>
      <c r="AV64" s="629">
        <f t="shared" si="41"/>
        <v>6107.0119047619046</v>
      </c>
      <c r="AW64" s="629">
        <f t="shared" si="42"/>
        <v>4976.3928571428569</v>
      </c>
      <c r="AX64" s="629">
        <f t="shared" si="43"/>
        <v>7551.6547619047615</v>
      </c>
      <c r="AY64" s="629">
        <f t="shared" si="44"/>
        <v>5223.333333333333</v>
      </c>
      <c r="AZ64" s="629">
        <f t="shared" si="45"/>
        <v>3548.2857142857142</v>
      </c>
      <c r="BA64" s="629">
        <f t="shared" si="46"/>
        <v>6709.5238095238092</v>
      </c>
      <c r="BB64" s="629">
        <f t="shared" si="47"/>
        <v>4503.1309523809523</v>
      </c>
      <c r="BC64" s="629">
        <f t="shared" si="48"/>
        <v>7544.2142857142853</v>
      </c>
      <c r="BD64" s="630">
        <f t="shared" si="49"/>
        <v>4744.083333333333</v>
      </c>
      <c r="BE64" s="630">
        <f t="shared" si="50"/>
        <v>3690.8333333333335</v>
      </c>
      <c r="BF64" s="630">
        <f t="shared" si="51"/>
        <v>2288.2142857142858</v>
      </c>
      <c r="BG64" s="630">
        <f t="shared" si="52"/>
        <v>1134.3071428571429</v>
      </c>
      <c r="BH64" s="630">
        <f t="shared" si="53"/>
        <v>595.23809523809518</v>
      </c>
      <c r="BI64" s="630">
        <f t="shared" si="54"/>
        <v>583.47619047619048</v>
      </c>
      <c r="BJ64" s="630">
        <f t="shared" si="55"/>
        <v>89.285714285714292</v>
      </c>
      <c r="BK64" s="630"/>
      <c r="BL64" s="630">
        <f t="shared" si="56"/>
        <v>34.714285714285715</v>
      </c>
      <c r="BM64" s="629">
        <f t="shared" si="5"/>
        <v>201471.84547619053</v>
      </c>
    </row>
    <row r="65" spans="1:65" s="585" customFormat="1" ht="12.75" customHeight="1" outlineLevel="1">
      <c r="A65" s="308" t="s">
        <v>46</v>
      </c>
      <c r="B65" s="308">
        <f t="shared" si="20"/>
        <v>2020</v>
      </c>
      <c r="C65" s="308" t="s">
        <v>47</v>
      </c>
      <c r="D65" s="629"/>
      <c r="E65" s="629"/>
      <c r="F65" s="629"/>
      <c r="G65" s="629"/>
      <c r="H65" s="629">
        <f t="shared" si="8"/>
        <v>16923635.02</v>
      </c>
      <c r="I65" s="629"/>
      <c r="J65" s="629">
        <v>243305.66</v>
      </c>
      <c r="K65" s="629">
        <f>SUM(J$5:J65)</f>
        <v>7887629.7400000012</v>
      </c>
      <c r="L65" s="629"/>
      <c r="M65" s="629">
        <f t="shared" si="3"/>
        <v>9036005.2799999975</v>
      </c>
      <c r="O65" s="629">
        <f t="shared" si="4"/>
        <v>0</v>
      </c>
      <c r="P65" s="629">
        <f t="shared" si="6"/>
        <v>0</v>
      </c>
      <c r="Q65" s="629">
        <f t="shared" si="7"/>
        <v>41.071428571428569</v>
      </c>
      <c r="R65" s="629">
        <f t="shared" si="9"/>
        <v>154.14285714285714</v>
      </c>
      <c r="S65" s="629">
        <f t="shared" si="10"/>
        <v>575.49285714285713</v>
      </c>
      <c r="T65" s="629">
        <f t="shared" si="12"/>
        <v>1879.5714285714287</v>
      </c>
      <c r="U65" s="629">
        <f t="shared" si="13"/>
        <v>3688.1155952380955</v>
      </c>
      <c r="V65" s="629">
        <f t="shared" si="14"/>
        <v>4470.3665476190472</v>
      </c>
      <c r="W65" s="629">
        <f t="shared" si="15"/>
        <v>4106.5282142857141</v>
      </c>
      <c r="X65" s="629">
        <f t="shared" si="16"/>
        <v>4018.7264285714286</v>
      </c>
      <c r="Y65" s="629">
        <f t="shared" si="17"/>
        <v>2916.0195238095239</v>
      </c>
      <c r="Z65" s="629">
        <f t="shared" si="18"/>
        <v>2546.3565476190479</v>
      </c>
      <c r="AA65" s="629">
        <f t="shared" si="19"/>
        <v>4932.6726190476193</v>
      </c>
      <c r="AB65" s="629">
        <f t="shared" si="21"/>
        <v>6082.1595238095242</v>
      </c>
      <c r="AC65" s="629">
        <f t="shared" si="22"/>
        <v>5612.689166666667</v>
      </c>
      <c r="AD65" s="629">
        <f t="shared" si="23"/>
        <v>5489.8403571428571</v>
      </c>
      <c r="AE65" s="629">
        <f t="shared" si="24"/>
        <v>7340.8214285714284</v>
      </c>
      <c r="AF65" s="629">
        <f t="shared" si="25"/>
        <v>7116.7023809523807</v>
      </c>
      <c r="AG65" s="629">
        <f t="shared" si="26"/>
        <v>5730.1814285714281</v>
      </c>
      <c r="AH65" s="629">
        <f t="shared" si="27"/>
        <v>4594.5159523809525</v>
      </c>
      <c r="AI65" s="629">
        <f t="shared" si="28"/>
        <v>5897.8397619047619</v>
      </c>
      <c r="AJ65" s="629">
        <f t="shared" si="29"/>
        <v>4094.22</v>
      </c>
      <c r="AK65" s="629">
        <f t="shared" si="30"/>
        <v>3846.1785714285716</v>
      </c>
      <c r="AL65" s="629">
        <f t="shared" si="31"/>
        <v>5212.7619047619046</v>
      </c>
      <c r="AM65" s="629">
        <f t="shared" si="32"/>
        <v>5086.5714285714284</v>
      </c>
      <c r="AN65" s="629">
        <f t="shared" si="33"/>
        <v>4475.4642857142853</v>
      </c>
      <c r="AO65" s="629">
        <f t="shared" si="34"/>
        <v>8016.1861904761909</v>
      </c>
      <c r="AP65" s="629">
        <f t="shared" si="35"/>
        <v>6195.7023809523807</v>
      </c>
      <c r="AQ65" s="629">
        <f t="shared" si="36"/>
        <v>5888.4404761904761</v>
      </c>
      <c r="AR65" s="629">
        <f t="shared" si="37"/>
        <v>5556.6428571428569</v>
      </c>
      <c r="AS65" s="629">
        <f t="shared" si="38"/>
        <v>4477.3095238095239</v>
      </c>
      <c r="AT65" s="629">
        <f t="shared" si="39"/>
        <v>5427.1904761904761</v>
      </c>
      <c r="AU65" s="629">
        <f t="shared" si="40"/>
        <v>6677.663333333333</v>
      </c>
      <c r="AV65" s="629">
        <f t="shared" si="41"/>
        <v>6107.0119047619046</v>
      </c>
      <c r="AW65" s="629">
        <f t="shared" si="42"/>
        <v>4976.3928571428569</v>
      </c>
      <c r="AX65" s="629">
        <f t="shared" si="43"/>
        <v>7551.6547619047615</v>
      </c>
      <c r="AY65" s="629">
        <f t="shared" si="44"/>
        <v>5223.333333333333</v>
      </c>
      <c r="AZ65" s="629">
        <f t="shared" si="45"/>
        <v>3548.2857142857142</v>
      </c>
      <c r="BA65" s="629">
        <f t="shared" si="46"/>
        <v>6709.5238095238092</v>
      </c>
      <c r="BB65" s="629">
        <f t="shared" si="47"/>
        <v>4503.1309523809523</v>
      </c>
      <c r="BC65" s="629">
        <f t="shared" si="48"/>
        <v>7544.2142857142853</v>
      </c>
      <c r="BD65" s="630">
        <f t="shared" si="49"/>
        <v>4744.083333333333</v>
      </c>
      <c r="BE65" s="630">
        <f t="shared" si="50"/>
        <v>3690.8333333333335</v>
      </c>
      <c r="BF65" s="630">
        <f t="shared" si="51"/>
        <v>2288.2142857142858</v>
      </c>
      <c r="BG65" s="630">
        <f t="shared" si="52"/>
        <v>1134.3071428571429</v>
      </c>
      <c r="BH65" s="630">
        <f t="shared" si="53"/>
        <v>595.23809523809518</v>
      </c>
      <c r="BI65" s="630">
        <f t="shared" si="54"/>
        <v>583.47619047619048</v>
      </c>
      <c r="BJ65" s="630">
        <f t="shared" si="55"/>
        <v>89.285714285714292</v>
      </c>
      <c r="BK65" s="630"/>
      <c r="BL65" s="630">
        <f t="shared" si="56"/>
        <v>34.714285714285715</v>
      </c>
      <c r="BM65" s="629">
        <f t="shared" si="5"/>
        <v>201471.84547619053</v>
      </c>
    </row>
    <row r="66" spans="1:65" s="585" customFormat="1" ht="12.75" customHeight="1" outlineLevel="1">
      <c r="A66" s="308" t="s">
        <v>48</v>
      </c>
      <c r="B66" s="308">
        <f t="shared" si="20"/>
        <v>2020</v>
      </c>
      <c r="C66" s="308" t="s">
        <v>47</v>
      </c>
      <c r="D66" s="629"/>
      <c r="E66" s="629"/>
      <c r="F66" s="629"/>
      <c r="G66" s="629"/>
      <c r="H66" s="629">
        <f t="shared" si="8"/>
        <v>16923635.02</v>
      </c>
      <c r="I66" s="629"/>
      <c r="J66" s="629">
        <v>236675.24</v>
      </c>
      <c r="K66" s="629">
        <f>SUM(J$5:J66)</f>
        <v>8124304.9800000014</v>
      </c>
      <c r="L66" s="629"/>
      <c r="M66" s="629">
        <f t="shared" si="3"/>
        <v>8799330.0399999991</v>
      </c>
      <c r="O66" s="629">
        <f t="shared" si="4"/>
        <v>0</v>
      </c>
      <c r="P66" s="629">
        <f t="shared" si="6"/>
        <v>0</v>
      </c>
      <c r="Q66" s="629">
        <f t="shared" si="7"/>
        <v>41.071428571428569</v>
      </c>
      <c r="R66" s="629">
        <f t="shared" si="9"/>
        <v>154.14285714285714</v>
      </c>
      <c r="S66" s="629">
        <f t="shared" si="10"/>
        <v>575.49285714285713</v>
      </c>
      <c r="T66" s="629">
        <f t="shared" si="12"/>
        <v>1879.5714285714287</v>
      </c>
      <c r="U66" s="629">
        <f t="shared" si="13"/>
        <v>3688.1155952380955</v>
      </c>
      <c r="V66" s="629">
        <f t="shared" si="14"/>
        <v>4470.3665476190472</v>
      </c>
      <c r="W66" s="629">
        <f t="shared" si="15"/>
        <v>4106.5282142857141</v>
      </c>
      <c r="X66" s="629">
        <f t="shared" si="16"/>
        <v>4018.7264285714286</v>
      </c>
      <c r="Y66" s="629">
        <f t="shared" si="17"/>
        <v>2916.0195238095239</v>
      </c>
      <c r="Z66" s="629">
        <f t="shared" si="18"/>
        <v>2546.3565476190479</v>
      </c>
      <c r="AA66" s="629">
        <f t="shared" si="19"/>
        <v>4932.6726190476193</v>
      </c>
      <c r="AB66" s="629">
        <f t="shared" si="21"/>
        <v>6082.1595238095242</v>
      </c>
      <c r="AC66" s="629">
        <f t="shared" si="22"/>
        <v>5612.689166666667</v>
      </c>
      <c r="AD66" s="629">
        <f t="shared" si="23"/>
        <v>5489.8403571428571</v>
      </c>
      <c r="AE66" s="629">
        <f t="shared" si="24"/>
        <v>7340.8214285714284</v>
      </c>
      <c r="AF66" s="629">
        <f t="shared" si="25"/>
        <v>7116.7023809523807</v>
      </c>
      <c r="AG66" s="629">
        <f t="shared" si="26"/>
        <v>5730.1814285714281</v>
      </c>
      <c r="AH66" s="629">
        <f t="shared" si="27"/>
        <v>4594.5159523809525</v>
      </c>
      <c r="AI66" s="629">
        <f t="shared" si="28"/>
        <v>5897.8397619047619</v>
      </c>
      <c r="AJ66" s="629">
        <f t="shared" si="29"/>
        <v>4094.22</v>
      </c>
      <c r="AK66" s="629">
        <f t="shared" si="30"/>
        <v>3846.1785714285716</v>
      </c>
      <c r="AL66" s="629">
        <f t="shared" si="31"/>
        <v>5212.7619047619046</v>
      </c>
      <c r="AM66" s="629">
        <f t="shared" si="32"/>
        <v>5086.5714285714284</v>
      </c>
      <c r="AN66" s="629">
        <f t="shared" si="33"/>
        <v>4475.4642857142853</v>
      </c>
      <c r="AO66" s="629">
        <f t="shared" si="34"/>
        <v>8016.1861904761909</v>
      </c>
      <c r="AP66" s="629">
        <f t="shared" si="35"/>
        <v>6195.7023809523807</v>
      </c>
      <c r="AQ66" s="629">
        <f t="shared" si="36"/>
        <v>5888.4404761904761</v>
      </c>
      <c r="AR66" s="629">
        <f t="shared" si="37"/>
        <v>5556.6428571428569</v>
      </c>
      <c r="AS66" s="629">
        <f t="shared" si="38"/>
        <v>4477.3095238095239</v>
      </c>
      <c r="AT66" s="629">
        <f t="shared" si="39"/>
        <v>5427.1904761904761</v>
      </c>
      <c r="AU66" s="629">
        <f t="shared" si="40"/>
        <v>6677.663333333333</v>
      </c>
      <c r="AV66" s="629">
        <f t="shared" si="41"/>
        <v>6107.0119047619046</v>
      </c>
      <c r="AW66" s="629">
        <f t="shared" si="42"/>
        <v>4976.3928571428569</v>
      </c>
      <c r="AX66" s="629">
        <f t="shared" si="43"/>
        <v>7551.6547619047615</v>
      </c>
      <c r="AY66" s="629">
        <f t="shared" si="44"/>
        <v>5223.333333333333</v>
      </c>
      <c r="AZ66" s="629">
        <f t="shared" si="45"/>
        <v>3548.2857142857142</v>
      </c>
      <c r="BA66" s="629">
        <f t="shared" si="46"/>
        <v>6709.5238095238092</v>
      </c>
      <c r="BB66" s="629">
        <f t="shared" si="47"/>
        <v>4503.1309523809523</v>
      </c>
      <c r="BC66" s="629">
        <f t="shared" si="48"/>
        <v>7544.2142857142853</v>
      </c>
      <c r="BD66" s="630">
        <f t="shared" si="49"/>
        <v>4744.083333333333</v>
      </c>
      <c r="BE66" s="630">
        <f t="shared" si="50"/>
        <v>3690.8333333333335</v>
      </c>
      <c r="BF66" s="630">
        <f t="shared" si="51"/>
        <v>2288.2142857142858</v>
      </c>
      <c r="BG66" s="630">
        <f t="shared" si="52"/>
        <v>1134.3071428571429</v>
      </c>
      <c r="BH66" s="630">
        <f t="shared" si="53"/>
        <v>595.23809523809518</v>
      </c>
      <c r="BI66" s="630">
        <f t="shared" si="54"/>
        <v>583.47619047619048</v>
      </c>
      <c r="BJ66" s="630">
        <f t="shared" si="55"/>
        <v>89.285714285714292</v>
      </c>
      <c r="BK66" s="630"/>
      <c r="BL66" s="630">
        <f t="shared" si="56"/>
        <v>34.714285714285715</v>
      </c>
      <c r="BM66" s="629">
        <f t="shared" si="5"/>
        <v>201471.84547619053</v>
      </c>
    </row>
    <row r="67" spans="1:65" s="585" customFormat="1" ht="12.75" customHeight="1" outlineLevel="1">
      <c r="A67" s="308" t="s">
        <v>50</v>
      </c>
      <c r="B67" s="308">
        <f t="shared" si="20"/>
        <v>2020</v>
      </c>
      <c r="C67" s="308" t="s">
        <v>47</v>
      </c>
      <c r="D67" s="629"/>
      <c r="E67" s="629"/>
      <c r="F67" s="629"/>
      <c r="G67" s="629"/>
      <c r="H67" s="629">
        <f t="shared" si="8"/>
        <v>16923635.02</v>
      </c>
      <c r="I67" s="629"/>
      <c r="J67" s="629">
        <v>264411.69</v>
      </c>
      <c r="K67" s="629">
        <f>SUM(J$5:J67)</f>
        <v>8388716.6700000018</v>
      </c>
      <c r="L67" s="629"/>
      <c r="M67" s="629">
        <f t="shared" si="3"/>
        <v>8534918.3499999978</v>
      </c>
      <c r="O67" s="629">
        <f t="shared" si="4"/>
        <v>0</v>
      </c>
      <c r="P67" s="629">
        <f t="shared" si="6"/>
        <v>0</v>
      </c>
      <c r="Q67" s="629">
        <f t="shared" si="7"/>
        <v>41.071428571428569</v>
      </c>
      <c r="R67" s="629">
        <f t="shared" si="9"/>
        <v>154.14285714285714</v>
      </c>
      <c r="S67" s="629">
        <f t="shared" si="10"/>
        <v>575.49285714285713</v>
      </c>
      <c r="T67" s="629">
        <f t="shared" si="12"/>
        <v>1879.5714285714287</v>
      </c>
      <c r="U67" s="629">
        <f t="shared" si="13"/>
        <v>3688.1155952380955</v>
      </c>
      <c r="V67" s="629">
        <f t="shared" si="14"/>
        <v>4470.3665476190472</v>
      </c>
      <c r="W67" s="629">
        <f t="shared" si="15"/>
        <v>4106.5282142857141</v>
      </c>
      <c r="X67" s="629">
        <f t="shared" si="16"/>
        <v>4018.7264285714286</v>
      </c>
      <c r="Y67" s="629">
        <f t="shared" si="17"/>
        <v>2916.0195238095239</v>
      </c>
      <c r="Z67" s="629">
        <f t="shared" si="18"/>
        <v>2546.3565476190479</v>
      </c>
      <c r="AA67" s="629">
        <f t="shared" si="19"/>
        <v>4932.6726190476193</v>
      </c>
      <c r="AB67" s="629">
        <f t="shared" si="21"/>
        <v>6082.1595238095242</v>
      </c>
      <c r="AC67" s="629">
        <f t="shared" si="22"/>
        <v>5612.689166666667</v>
      </c>
      <c r="AD67" s="629">
        <f t="shared" si="23"/>
        <v>5489.8403571428571</v>
      </c>
      <c r="AE67" s="629">
        <f t="shared" si="24"/>
        <v>7340.8214285714284</v>
      </c>
      <c r="AF67" s="629">
        <f t="shared" si="25"/>
        <v>7116.7023809523807</v>
      </c>
      <c r="AG67" s="629">
        <f t="shared" si="26"/>
        <v>5730.1814285714281</v>
      </c>
      <c r="AH67" s="629">
        <f t="shared" si="27"/>
        <v>4594.5159523809525</v>
      </c>
      <c r="AI67" s="629">
        <f t="shared" si="28"/>
        <v>5897.8397619047619</v>
      </c>
      <c r="AJ67" s="629">
        <f t="shared" si="29"/>
        <v>4094.22</v>
      </c>
      <c r="AK67" s="629">
        <f t="shared" si="30"/>
        <v>3846.1785714285716</v>
      </c>
      <c r="AL67" s="629">
        <f t="shared" si="31"/>
        <v>5212.7619047619046</v>
      </c>
      <c r="AM67" s="629">
        <f t="shared" si="32"/>
        <v>5086.5714285714284</v>
      </c>
      <c r="AN67" s="629">
        <f t="shared" si="33"/>
        <v>4475.4642857142853</v>
      </c>
      <c r="AO67" s="629">
        <f t="shared" si="34"/>
        <v>8016.1861904761909</v>
      </c>
      <c r="AP67" s="629">
        <f t="shared" si="35"/>
        <v>6195.7023809523807</v>
      </c>
      <c r="AQ67" s="629">
        <f t="shared" si="36"/>
        <v>5888.4404761904761</v>
      </c>
      <c r="AR67" s="629">
        <f t="shared" si="37"/>
        <v>5556.6428571428569</v>
      </c>
      <c r="AS67" s="629">
        <f t="shared" si="38"/>
        <v>4477.3095238095239</v>
      </c>
      <c r="AT67" s="629">
        <f t="shared" si="39"/>
        <v>5427.1904761904761</v>
      </c>
      <c r="AU67" s="629">
        <f t="shared" si="40"/>
        <v>6677.663333333333</v>
      </c>
      <c r="AV67" s="629">
        <f t="shared" si="41"/>
        <v>6107.0119047619046</v>
      </c>
      <c r="AW67" s="629">
        <f t="shared" si="42"/>
        <v>4976.3928571428569</v>
      </c>
      <c r="AX67" s="629">
        <f t="shared" si="43"/>
        <v>7551.6547619047615</v>
      </c>
      <c r="AY67" s="629">
        <f t="shared" si="44"/>
        <v>5223.333333333333</v>
      </c>
      <c r="AZ67" s="629">
        <f t="shared" si="45"/>
        <v>3548.2857142857142</v>
      </c>
      <c r="BA67" s="629">
        <f t="shared" si="46"/>
        <v>6709.5238095238092</v>
      </c>
      <c r="BB67" s="629">
        <f t="shared" si="47"/>
        <v>4503.1309523809523</v>
      </c>
      <c r="BC67" s="629">
        <f t="shared" si="48"/>
        <v>7544.2142857142853</v>
      </c>
      <c r="BD67" s="630">
        <f t="shared" si="49"/>
        <v>4744.083333333333</v>
      </c>
      <c r="BE67" s="630">
        <f t="shared" si="50"/>
        <v>3690.8333333333335</v>
      </c>
      <c r="BF67" s="630">
        <f t="shared" si="51"/>
        <v>2288.2142857142858</v>
      </c>
      <c r="BG67" s="630">
        <f t="shared" si="52"/>
        <v>1134.3071428571429</v>
      </c>
      <c r="BH67" s="630">
        <f t="shared" si="53"/>
        <v>595.23809523809518</v>
      </c>
      <c r="BI67" s="630">
        <f t="shared" si="54"/>
        <v>583.47619047619048</v>
      </c>
      <c r="BJ67" s="630">
        <f t="shared" si="55"/>
        <v>89.285714285714292</v>
      </c>
      <c r="BK67" s="630"/>
      <c r="BL67" s="630">
        <f t="shared" si="56"/>
        <v>34.714285714285715</v>
      </c>
      <c r="BM67" s="629">
        <f t="shared" si="5"/>
        <v>201471.84547619053</v>
      </c>
    </row>
    <row r="68" spans="1:65" s="585" customFormat="1" ht="12.75" customHeight="1" outlineLevel="1">
      <c r="A68" s="308" t="s">
        <v>51</v>
      </c>
      <c r="B68" s="308">
        <f t="shared" si="20"/>
        <v>2020</v>
      </c>
      <c r="C68" s="308" t="s">
        <v>47</v>
      </c>
      <c r="D68" s="629"/>
      <c r="E68" s="629"/>
      <c r="F68" s="629"/>
      <c r="G68" s="629"/>
      <c r="H68" s="629">
        <f t="shared" si="8"/>
        <v>16923635.02</v>
      </c>
      <c r="I68" s="629"/>
      <c r="J68" s="629">
        <f>163968.7+19558.6</f>
        <v>183527.30000000002</v>
      </c>
      <c r="K68" s="629">
        <f>SUM(J$5:J68)</f>
        <v>8572243.9700000025</v>
      </c>
      <c r="L68" s="629"/>
      <c r="M68" s="629">
        <f t="shared" si="3"/>
        <v>8351391.049999997</v>
      </c>
      <c r="O68" s="629">
        <f t="shared" si="4"/>
        <v>0</v>
      </c>
      <c r="P68" s="629">
        <f t="shared" si="6"/>
        <v>0</v>
      </c>
      <c r="Q68" s="629">
        <f t="shared" si="7"/>
        <v>41.071428571428569</v>
      </c>
      <c r="R68" s="629">
        <f t="shared" si="9"/>
        <v>154.14285714285714</v>
      </c>
      <c r="S68" s="629">
        <f t="shared" si="10"/>
        <v>575.49285714285713</v>
      </c>
      <c r="T68" s="629">
        <f t="shared" si="12"/>
        <v>1879.5714285714287</v>
      </c>
      <c r="U68" s="629">
        <f t="shared" si="13"/>
        <v>3688.1155952380955</v>
      </c>
      <c r="V68" s="629">
        <f t="shared" si="14"/>
        <v>4470.3665476190472</v>
      </c>
      <c r="W68" s="629">
        <f t="shared" si="15"/>
        <v>4106.5282142857141</v>
      </c>
      <c r="X68" s="629">
        <f t="shared" si="16"/>
        <v>4018.7264285714286</v>
      </c>
      <c r="Y68" s="629">
        <f t="shared" si="17"/>
        <v>2916.0195238095239</v>
      </c>
      <c r="Z68" s="629">
        <f t="shared" si="18"/>
        <v>2546.3565476190479</v>
      </c>
      <c r="AA68" s="629">
        <f t="shared" si="19"/>
        <v>4932.6726190476193</v>
      </c>
      <c r="AB68" s="629">
        <f t="shared" si="21"/>
        <v>6082.1595238095242</v>
      </c>
      <c r="AC68" s="629">
        <f t="shared" si="22"/>
        <v>5612.689166666667</v>
      </c>
      <c r="AD68" s="629">
        <f t="shared" si="23"/>
        <v>5489.8403571428571</v>
      </c>
      <c r="AE68" s="629">
        <f t="shared" si="24"/>
        <v>7340.8214285714284</v>
      </c>
      <c r="AF68" s="629">
        <f t="shared" si="25"/>
        <v>7116.7023809523807</v>
      </c>
      <c r="AG68" s="629">
        <f t="shared" si="26"/>
        <v>5730.1814285714281</v>
      </c>
      <c r="AH68" s="629">
        <f t="shared" si="27"/>
        <v>4594.5159523809525</v>
      </c>
      <c r="AI68" s="629">
        <f t="shared" si="28"/>
        <v>5897.8397619047619</v>
      </c>
      <c r="AJ68" s="629">
        <f t="shared" si="29"/>
        <v>4094.22</v>
      </c>
      <c r="AK68" s="629">
        <f t="shared" si="30"/>
        <v>3846.1785714285716</v>
      </c>
      <c r="AL68" s="629">
        <f t="shared" si="31"/>
        <v>5212.7619047619046</v>
      </c>
      <c r="AM68" s="629">
        <f t="shared" si="32"/>
        <v>5086.5714285714284</v>
      </c>
      <c r="AN68" s="629">
        <f t="shared" si="33"/>
        <v>4475.4642857142853</v>
      </c>
      <c r="AO68" s="629">
        <f t="shared" si="34"/>
        <v>8016.1861904761909</v>
      </c>
      <c r="AP68" s="629">
        <f t="shared" si="35"/>
        <v>6195.7023809523807</v>
      </c>
      <c r="AQ68" s="629">
        <f t="shared" si="36"/>
        <v>5888.4404761904761</v>
      </c>
      <c r="AR68" s="629">
        <f t="shared" si="37"/>
        <v>5556.6428571428569</v>
      </c>
      <c r="AS68" s="629">
        <f t="shared" si="38"/>
        <v>4477.3095238095239</v>
      </c>
      <c r="AT68" s="629">
        <f t="shared" si="39"/>
        <v>5427.1904761904761</v>
      </c>
      <c r="AU68" s="629">
        <f t="shared" si="40"/>
        <v>6677.663333333333</v>
      </c>
      <c r="AV68" s="629">
        <f t="shared" si="41"/>
        <v>6107.0119047619046</v>
      </c>
      <c r="AW68" s="629">
        <f t="shared" si="42"/>
        <v>4976.3928571428569</v>
      </c>
      <c r="AX68" s="629">
        <f t="shared" si="43"/>
        <v>7551.6547619047615</v>
      </c>
      <c r="AY68" s="629">
        <f t="shared" si="44"/>
        <v>5223.333333333333</v>
      </c>
      <c r="AZ68" s="629">
        <f t="shared" si="45"/>
        <v>3548.2857142857142</v>
      </c>
      <c r="BA68" s="629">
        <f t="shared" si="46"/>
        <v>6709.5238095238092</v>
      </c>
      <c r="BB68" s="629">
        <f t="shared" si="47"/>
        <v>4503.1309523809523</v>
      </c>
      <c r="BC68" s="629">
        <f t="shared" si="48"/>
        <v>7544.2142857142853</v>
      </c>
      <c r="BD68" s="630">
        <f t="shared" si="49"/>
        <v>4744.083333333333</v>
      </c>
      <c r="BE68" s="630">
        <f t="shared" si="50"/>
        <v>3690.8333333333335</v>
      </c>
      <c r="BF68" s="630">
        <f t="shared" si="51"/>
        <v>2288.2142857142858</v>
      </c>
      <c r="BG68" s="630">
        <f t="shared" si="52"/>
        <v>1134.3071428571429</v>
      </c>
      <c r="BH68" s="630">
        <f t="shared" si="53"/>
        <v>595.23809523809518</v>
      </c>
      <c r="BI68" s="630">
        <f t="shared" si="54"/>
        <v>583.47619047619048</v>
      </c>
      <c r="BJ68" s="630">
        <f t="shared" si="55"/>
        <v>89.285714285714292</v>
      </c>
      <c r="BK68" s="630"/>
      <c r="BL68" s="630">
        <f t="shared" si="56"/>
        <v>34.714285714285715</v>
      </c>
      <c r="BM68" s="629">
        <f t="shared" si="5"/>
        <v>201471.84547619053</v>
      </c>
    </row>
    <row r="69" spans="1:65" s="585" customFormat="1" ht="12.75" customHeight="1" outlineLevel="1">
      <c r="A69" s="308" t="s">
        <v>52</v>
      </c>
      <c r="B69" s="308">
        <f t="shared" si="20"/>
        <v>2020</v>
      </c>
      <c r="C69" s="308" t="s">
        <v>47</v>
      </c>
      <c r="D69" s="629"/>
      <c r="E69" s="629"/>
      <c r="F69" s="629"/>
      <c r="G69" s="629"/>
      <c r="H69" s="629">
        <f t="shared" si="8"/>
        <v>16923635.02</v>
      </c>
      <c r="I69" s="629"/>
      <c r="J69" s="629">
        <v>246223</v>
      </c>
      <c r="K69" s="629">
        <f>SUM(J$5:J69)</f>
        <v>8818466.9700000025</v>
      </c>
      <c r="L69" s="629"/>
      <c r="M69" s="629">
        <f t="shared" si="3"/>
        <v>8105168.049999997</v>
      </c>
      <c r="O69" s="629">
        <f t="shared" si="4"/>
        <v>0</v>
      </c>
      <c r="P69" s="629">
        <f t="shared" si="6"/>
        <v>0</v>
      </c>
      <c r="Q69" s="629">
        <f t="shared" si="7"/>
        <v>41.071428571428569</v>
      </c>
      <c r="R69" s="629">
        <f t="shared" si="9"/>
        <v>154.14285714285714</v>
      </c>
      <c r="S69" s="629">
        <f t="shared" si="10"/>
        <v>575.49285714285713</v>
      </c>
      <c r="T69" s="629">
        <f t="shared" si="12"/>
        <v>1879.5714285714287</v>
      </c>
      <c r="U69" s="629">
        <f t="shared" si="13"/>
        <v>3688.1155952380955</v>
      </c>
      <c r="V69" s="629">
        <f t="shared" si="14"/>
        <v>4470.3665476190472</v>
      </c>
      <c r="W69" s="629">
        <f t="shared" si="15"/>
        <v>4106.5282142857141</v>
      </c>
      <c r="X69" s="629">
        <f t="shared" si="16"/>
        <v>4018.7264285714286</v>
      </c>
      <c r="Y69" s="629">
        <f t="shared" si="17"/>
        <v>2916.0195238095239</v>
      </c>
      <c r="Z69" s="629">
        <f t="shared" si="18"/>
        <v>2546.3565476190479</v>
      </c>
      <c r="AA69" s="629">
        <f t="shared" si="19"/>
        <v>4932.6726190476193</v>
      </c>
      <c r="AB69" s="629">
        <f t="shared" si="21"/>
        <v>6082.1595238095242</v>
      </c>
      <c r="AC69" s="629">
        <f t="shared" si="22"/>
        <v>5612.689166666667</v>
      </c>
      <c r="AD69" s="629">
        <f t="shared" si="23"/>
        <v>5489.8403571428571</v>
      </c>
      <c r="AE69" s="629">
        <f t="shared" si="24"/>
        <v>7340.8214285714284</v>
      </c>
      <c r="AF69" s="629">
        <f t="shared" si="25"/>
        <v>7116.7023809523807</v>
      </c>
      <c r="AG69" s="629">
        <f t="shared" si="26"/>
        <v>5730.1814285714281</v>
      </c>
      <c r="AH69" s="629">
        <f t="shared" si="27"/>
        <v>4594.5159523809525</v>
      </c>
      <c r="AI69" s="629">
        <f t="shared" si="28"/>
        <v>5897.8397619047619</v>
      </c>
      <c r="AJ69" s="629">
        <f t="shared" si="29"/>
        <v>4094.22</v>
      </c>
      <c r="AK69" s="629">
        <f t="shared" si="30"/>
        <v>3846.1785714285716</v>
      </c>
      <c r="AL69" s="629">
        <f t="shared" si="31"/>
        <v>5212.7619047619046</v>
      </c>
      <c r="AM69" s="629">
        <f t="shared" si="32"/>
        <v>5086.5714285714284</v>
      </c>
      <c r="AN69" s="629">
        <f t="shared" si="33"/>
        <v>4475.4642857142853</v>
      </c>
      <c r="AO69" s="629">
        <f t="shared" si="34"/>
        <v>8016.1861904761909</v>
      </c>
      <c r="AP69" s="629">
        <f t="shared" si="35"/>
        <v>6195.7023809523807</v>
      </c>
      <c r="AQ69" s="629">
        <f t="shared" si="36"/>
        <v>5888.4404761904761</v>
      </c>
      <c r="AR69" s="629">
        <f t="shared" si="37"/>
        <v>5556.6428571428569</v>
      </c>
      <c r="AS69" s="629">
        <f t="shared" si="38"/>
        <v>4477.3095238095239</v>
      </c>
      <c r="AT69" s="629">
        <f t="shared" si="39"/>
        <v>5427.1904761904761</v>
      </c>
      <c r="AU69" s="629">
        <f t="shared" si="40"/>
        <v>6677.663333333333</v>
      </c>
      <c r="AV69" s="629">
        <f t="shared" si="41"/>
        <v>6107.0119047619046</v>
      </c>
      <c r="AW69" s="629">
        <f t="shared" si="42"/>
        <v>4976.3928571428569</v>
      </c>
      <c r="AX69" s="629">
        <f t="shared" si="43"/>
        <v>7551.6547619047615</v>
      </c>
      <c r="AY69" s="629">
        <f t="shared" si="44"/>
        <v>5223.333333333333</v>
      </c>
      <c r="AZ69" s="629">
        <f t="shared" si="45"/>
        <v>3548.2857142857142</v>
      </c>
      <c r="BA69" s="629">
        <f t="shared" si="46"/>
        <v>6709.5238095238092</v>
      </c>
      <c r="BB69" s="629">
        <f t="shared" si="47"/>
        <v>4503.1309523809523</v>
      </c>
      <c r="BC69" s="629">
        <f t="shared" si="48"/>
        <v>7544.2142857142853</v>
      </c>
      <c r="BD69" s="630">
        <f t="shared" si="49"/>
        <v>4744.083333333333</v>
      </c>
      <c r="BE69" s="630">
        <f t="shared" si="50"/>
        <v>3690.8333333333335</v>
      </c>
      <c r="BF69" s="630">
        <f t="shared" si="51"/>
        <v>2288.2142857142858</v>
      </c>
      <c r="BG69" s="630">
        <f t="shared" si="52"/>
        <v>1134.3071428571429</v>
      </c>
      <c r="BH69" s="630">
        <f t="shared" si="53"/>
        <v>595.23809523809518</v>
      </c>
      <c r="BI69" s="630">
        <f t="shared" si="54"/>
        <v>583.47619047619048</v>
      </c>
      <c r="BJ69" s="630">
        <f t="shared" si="55"/>
        <v>89.285714285714292</v>
      </c>
      <c r="BK69" s="630"/>
      <c r="BL69" s="630">
        <f t="shared" si="56"/>
        <v>34.714285714285715</v>
      </c>
      <c r="BM69" s="629">
        <f t="shared" si="5"/>
        <v>201471.84547619053</v>
      </c>
    </row>
    <row r="70" spans="1:65" s="585" customFormat="1" ht="12.75" customHeight="1" outlineLevel="1">
      <c r="A70" s="308" t="s">
        <v>53</v>
      </c>
      <c r="B70" s="308">
        <f t="shared" si="20"/>
        <v>2021</v>
      </c>
      <c r="C70" s="308" t="s">
        <v>47</v>
      </c>
      <c r="D70" s="629"/>
      <c r="E70" s="629"/>
      <c r="F70" s="629"/>
      <c r="G70" s="629"/>
      <c r="H70" s="629">
        <f t="shared" si="8"/>
        <v>16923635.02</v>
      </c>
      <c r="I70" s="629"/>
      <c r="J70" s="629">
        <v>211260.67</v>
      </c>
      <c r="K70" s="629">
        <f>SUM(J$5:J70)</f>
        <v>9029727.6400000025</v>
      </c>
      <c r="L70" s="629"/>
      <c r="M70" s="629">
        <f t="shared" ref="M70:M93" si="57">H70-K70</f>
        <v>7893907.3799999971</v>
      </c>
      <c r="O70" s="629">
        <f t="shared" ref="O70:O93" si="58">$H$5/84</f>
        <v>0</v>
      </c>
      <c r="P70" s="629">
        <f t="shared" si="6"/>
        <v>0</v>
      </c>
      <c r="Q70" s="629">
        <f t="shared" si="7"/>
        <v>41.071428571428569</v>
      </c>
      <c r="R70" s="629">
        <f t="shared" si="9"/>
        <v>154.14285714285714</v>
      </c>
      <c r="S70" s="629">
        <f t="shared" si="10"/>
        <v>575.49285714285713</v>
      </c>
      <c r="T70" s="629">
        <f t="shared" si="12"/>
        <v>1879.5714285714287</v>
      </c>
      <c r="U70" s="629">
        <f t="shared" si="13"/>
        <v>3688.1155952380955</v>
      </c>
      <c r="V70" s="629">
        <f t="shared" si="14"/>
        <v>4470.3665476190472</v>
      </c>
      <c r="W70" s="629">
        <f t="shared" si="15"/>
        <v>4106.5282142857141</v>
      </c>
      <c r="X70" s="629">
        <f t="shared" si="16"/>
        <v>4018.7264285714286</v>
      </c>
      <c r="Y70" s="629">
        <f t="shared" si="17"/>
        <v>2916.0195238095239</v>
      </c>
      <c r="Z70" s="629">
        <f t="shared" si="18"/>
        <v>2546.3565476190479</v>
      </c>
      <c r="AA70" s="629">
        <f t="shared" si="19"/>
        <v>4932.6726190476193</v>
      </c>
      <c r="AB70" s="629">
        <f t="shared" si="21"/>
        <v>6082.1595238095242</v>
      </c>
      <c r="AC70" s="629">
        <f t="shared" si="22"/>
        <v>5612.689166666667</v>
      </c>
      <c r="AD70" s="629">
        <f t="shared" si="23"/>
        <v>5489.8403571428571</v>
      </c>
      <c r="AE70" s="629">
        <f t="shared" si="24"/>
        <v>7340.8214285714284</v>
      </c>
      <c r="AF70" s="629">
        <f t="shared" si="25"/>
        <v>7116.7023809523807</v>
      </c>
      <c r="AG70" s="629">
        <f t="shared" si="26"/>
        <v>5730.1814285714281</v>
      </c>
      <c r="AH70" s="629">
        <f t="shared" si="27"/>
        <v>4594.5159523809525</v>
      </c>
      <c r="AI70" s="629">
        <f t="shared" si="28"/>
        <v>5897.8397619047619</v>
      </c>
      <c r="AJ70" s="629">
        <f t="shared" si="29"/>
        <v>4094.22</v>
      </c>
      <c r="AK70" s="629">
        <f t="shared" si="30"/>
        <v>3846.1785714285716</v>
      </c>
      <c r="AL70" s="629">
        <f t="shared" si="31"/>
        <v>5212.7619047619046</v>
      </c>
      <c r="AM70" s="629">
        <f t="shared" si="32"/>
        <v>5086.5714285714284</v>
      </c>
      <c r="AN70" s="629">
        <f t="shared" si="33"/>
        <v>4475.4642857142853</v>
      </c>
      <c r="AO70" s="629">
        <f t="shared" si="34"/>
        <v>8016.1861904761909</v>
      </c>
      <c r="AP70" s="629">
        <f t="shared" si="35"/>
        <v>6195.7023809523807</v>
      </c>
      <c r="AQ70" s="629">
        <f t="shared" si="36"/>
        <v>5888.4404761904761</v>
      </c>
      <c r="AR70" s="629">
        <f t="shared" si="37"/>
        <v>5556.6428571428569</v>
      </c>
      <c r="AS70" s="629">
        <f t="shared" si="38"/>
        <v>4477.3095238095239</v>
      </c>
      <c r="AT70" s="629">
        <f t="shared" si="39"/>
        <v>5427.1904761904761</v>
      </c>
      <c r="AU70" s="629">
        <f t="shared" si="40"/>
        <v>6677.663333333333</v>
      </c>
      <c r="AV70" s="629">
        <f t="shared" si="41"/>
        <v>6107.0119047619046</v>
      </c>
      <c r="AW70" s="629">
        <f t="shared" si="42"/>
        <v>4976.3928571428569</v>
      </c>
      <c r="AX70" s="629">
        <f t="shared" si="43"/>
        <v>7551.6547619047615</v>
      </c>
      <c r="AY70" s="629">
        <f t="shared" si="44"/>
        <v>5223.333333333333</v>
      </c>
      <c r="AZ70" s="629">
        <f t="shared" si="45"/>
        <v>3548.2857142857142</v>
      </c>
      <c r="BA70" s="629">
        <f t="shared" si="46"/>
        <v>6709.5238095238092</v>
      </c>
      <c r="BB70" s="629">
        <f t="shared" si="47"/>
        <v>4503.1309523809523</v>
      </c>
      <c r="BC70" s="629">
        <f t="shared" si="48"/>
        <v>7544.2142857142853</v>
      </c>
      <c r="BD70" s="630">
        <f t="shared" si="49"/>
        <v>4744.083333333333</v>
      </c>
      <c r="BE70" s="630">
        <f t="shared" si="50"/>
        <v>3690.8333333333335</v>
      </c>
      <c r="BF70" s="630">
        <f t="shared" si="51"/>
        <v>2288.2142857142858</v>
      </c>
      <c r="BG70" s="630">
        <f t="shared" si="52"/>
        <v>1134.3071428571429</v>
      </c>
      <c r="BH70" s="630">
        <f t="shared" si="53"/>
        <v>595.23809523809518</v>
      </c>
      <c r="BI70" s="630">
        <f t="shared" si="54"/>
        <v>583.47619047619048</v>
      </c>
      <c r="BJ70" s="630">
        <f t="shared" si="55"/>
        <v>89.285714285714292</v>
      </c>
      <c r="BK70" s="630"/>
      <c r="BL70" s="630">
        <f t="shared" si="56"/>
        <v>34.714285714285715</v>
      </c>
      <c r="BM70" s="629">
        <f t="shared" ref="BM70:BM133" si="59">SUM(O70:BL70)</f>
        <v>201471.84547619053</v>
      </c>
    </row>
    <row r="71" spans="1:65" s="585" customFormat="1" ht="12.75" customHeight="1" outlineLevel="1">
      <c r="A71" s="308" t="s">
        <v>54</v>
      </c>
      <c r="B71" s="308">
        <f t="shared" si="20"/>
        <v>2021</v>
      </c>
      <c r="C71" s="308" t="s">
        <v>47</v>
      </c>
      <c r="D71" s="629"/>
      <c r="E71" s="629"/>
      <c r="F71" s="629"/>
      <c r="G71" s="629"/>
      <c r="H71" s="629">
        <f t="shared" si="8"/>
        <v>16923635.02</v>
      </c>
      <c r="I71" s="629"/>
      <c r="J71" s="629">
        <v>202717.61</v>
      </c>
      <c r="K71" s="629">
        <f>SUM(J$5:J71)</f>
        <v>9232445.2500000019</v>
      </c>
      <c r="L71" s="629"/>
      <c r="M71" s="629">
        <f t="shared" si="57"/>
        <v>7691189.7699999977</v>
      </c>
      <c r="O71" s="629">
        <f t="shared" si="58"/>
        <v>0</v>
      </c>
      <c r="P71" s="629">
        <f t="shared" ref="P71:P93" si="60">$H$6/84</f>
        <v>0</v>
      </c>
      <c r="Q71" s="629">
        <f t="shared" si="7"/>
        <v>41.071428571428569</v>
      </c>
      <c r="R71" s="629">
        <f t="shared" si="9"/>
        <v>154.14285714285714</v>
      </c>
      <c r="S71" s="629">
        <f t="shared" si="10"/>
        <v>575.49285714285713</v>
      </c>
      <c r="T71" s="629">
        <f t="shared" si="12"/>
        <v>1879.5714285714287</v>
      </c>
      <c r="U71" s="629">
        <f t="shared" si="13"/>
        <v>3688.1155952380955</v>
      </c>
      <c r="V71" s="629">
        <f t="shared" si="14"/>
        <v>4470.3665476190472</v>
      </c>
      <c r="W71" s="629">
        <f t="shared" si="15"/>
        <v>4106.5282142857141</v>
      </c>
      <c r="X71" s="629">
        <f t="shared" si="16"/>
        <v>4018.7264285714286</v>
      </c>
      <c r="Y71" s="629">
        <f t="shared" si="17"/>
        <v>2916.0195238095239</v>
      </c>
      <c r="Z71" s="629">
        <f t="shared" si="18"/>
        <v>2546.3565476190479</v>
      </c>
      <c r="AA71" s="629">
        <f t="shared" si="19"/>
        <v>4932.6726190476193</v>
      </c>
      <c r="AB71" s="629">
        <f t="shared" si="21"/>
        <v>6082.1595238095242</v>
      </c>
      <c r="AC71" s="629">
        <f t="shared" si="22"/>
        <v>5612.689166666667</v>
      </c>
      <c r="AD71" s="629">
        <f t="shared" si="23"/>
        <v>5489.8403571428571</v>
      </c>
      <c r="AE71" s="629">
        <f t="shared" si="24"/>
        <v>7340.8214285714284</v>
      </c>
      <c r="AF71" s="629">
        <f t="shared" si="25"/>
        <v>7116.7023809523807</v>
      </c>
      <c r="AG71" s="629">
        <f t="shared" si="26"/>
        <v>5730.1814285714281</v>
      </c>
      <c r="AH71" s="629">
        <f t="shared" si="27"/>
        <v>4594.5159523809525</v>
      </c>
      <c r="AI71" s="629">
        <f t="shared" si="28"/>
        <v>5897.8397619047619</v>
      </c>
      <c r="AJ71" s="629">
        <f t="shared" si="29"/>
        <v>4094.22</v>
      </c>
      <c r="AK71" s="629">
        <f t="shared" si="30"/>
        <v>3846.1785714285716</v>
      </c>
      <c r="AL71" s="629">
        <f t="shared" si="31"/>
        <v>5212.7619047619046</v>
      </c>
      <c r="AM71" s="629">
        <f t="shared" si="32"/>
        <v>5086.5714285714284</v>
      </c>
      <c r="AN71" s="629">
        <f t="shared" si="33"/>
        <v>4475.4642857142853</v>
      </c>
      <c r="AO71" s="629">
        <f t="shared" si="34"/>
        <v>8016.1861904761909</v>
      </c>
      <c r="AP71" s="629">
        <f t="shared" si="35"/>
        <v>6195.7023809523807</v>
      </c>
      <c r="AQ71" s="629">
        <f t="shared" si="36"/>
        <v>5888.4404761904761</v>
      </c>
      <c r="AR71" s="629">
        <f t="shared" si="37"/>
        <v>5556.6428571428569</v>
      </c>
      <c r="AS71" s="629">
        <f t="shared" si="38"/>
        <v>4477.3095238095239</v>
      </c>
      <c r="AT71" s="629">
        <f t="shared" si="39"/>
        <v>5427.1904761904761</v>
      </c>
      <c r="AU71" s="629">
        <f t="shared" si="40"/>
        <v>6677.663333333333</v>
      </c>
      <c r="AV71" s="629">
        <f t="shared" si="41"/>
        <v>6107.0119047619046</v>
      </c>
      <c r="AW71" s="629">
        <f t="shared" si="42"/>
        <v>4976.3928571428569</v>
      </c>
      <c r="AX71" s="629">
        <f t="shared" si="43"/>
        <v>7551.6547619047615</v>
      </c>
      <c r="AY71" s="629">
        <f t="shared" si="44"/>
        <v>5223.333333333333</v>
      </c>
      <c r="AZ71" s="629">
        <f t="shared" si="45"/>
        <v>3548.2857142857142</v>
      </c>
      <c r="BA71" s="629">
        <f t="shared" si="46"/>
        <v>6709.5238095238092</v>
      </c>
      <c r="BB71" s="629">
        <f t="shared" si="47"/>
        <v>4503.1309523809523</v>
      </c>
      <c r="BC71" s="629">
        <f t="shared" si="48"/>
        <v>7544.2142857142853</v>
      </c>
      <c r="BD71" s="630">
        <f t="shared" si="49"/>
        <v>4744.083333333333</v>
      </c>
      <c r="BE71" s="630">
        <f t="shared" si="50"/>
        <v>3690.8333333333335</v>
      </c>
      <c r="BF71" s="630">
        <f t="shared" si="51"/>
        <v>2288.2142857142858</v>
      </c>
      <c r="BG71" s="630">
        <f t="shared" si="52"/>
        <v>1134.3071428571429</v>
      </c>
      <c r="BH71" s="630">
        <f t="shared" si="53"/>
        <v>595.23809523809518</v>
      </c>
      <c r="BI71" s="630">
        <f t="shared" si="54"/>
        <v>583.47619047619048</v>
      </c>
      <c r="BJ71" s="630">
        <f t="shared" si="55"/>
        <v>89.285714285714292</v>
      </c>
      <c r="BK71" s="630"/>
      <c r="BL71" s="630">
        <f t="shared" si="56"/>
        <v>34.714285714285715</v>
      </c>
      <c r="BM71" s="629">
        <f t="shared" si="59"/>
        <v>201471.84547619053</v>
      </c>
    </row>
    <row r="72" spans="1:65" s="585" customFormat="1" ht="12.75" customHeight="1" outlineLevel="1">
      <c r="A72" s="308" t="s">
        <v>55</v>
      </c>
      <c r="B72" s="308">
        <f t="shared" si="20"/>
        <v>2021</v>
      </c>
      <c r="C72" s="308" t="s">
        <v>47</v>
      </c>
      <c r="D72" s="629"/>
      <c r="E72" s="629"/>
      <c r="F72" s="629"/>
      <c r="G72" s="629"/>
      <c r="H72" s="629">
        <f t="shared" si="8"/>
        <v>16923635.02</v>
      </c>
      <c r="I72" s="629"/>
      <c r="J72" s="629">
        <v>210104.08</v>
      </c>
      <c r="K72" s="629">
        <f>SUM(J$5:J72)</f>
        <v>9442549.3300000019</v>
      </c>
      <c r="L72" s="629"/>
      <c r="M72" s="629">
        <f t="shared" si="57"/>
        <v>7481085.6899999976</v>
      </c>
      <c r="O72" s="629">
        <f t="shared" si="58"/>
        <v>0</v>
      </c>
      <c r="P72" s="629">
        <f t="shared" si="60"/>
        <v>0</v>
      </c>
      <c r="Q72" s="629">
        <f t="shared" ref="Q72:Q90" si="61">$G$7/84</f>
        <v>41.071428571428569</v>
      </c>
      <c r="R72" s="629">
        <f t="shared" si="9"/>
        <v>154.14285714285714</v>
      </c>
      <c r="S72" s="629">
        <f t="shared" si="10"/>
        <v>575.49285714285713</v>
      </c>
      <c r="T72" s="629">
        <f t="shared" si="12"/>
        <v>1879.5714285714287</v>
      </c>
      <c r="U72" s="629">
        <f t="shared" si="13"/>
        <v>3688.1155952380955</v>
      </c>
      <c r="V72" s="629">
        <f t="shared" si="14"/>
        <v>4470.3665476190472</v>
      </c>
      <c r="W72" s="629">
        <f t="shared" si="15"/>
        <v>4106.5282142857141</v>
      </c>
      <c r="X72" s="629">
        <f t="shared" si="16"/>
        <v>4018.7264285714286</v>
      </c>
      <c r="Y72" s="629">
        <f t="shared" si="17"/>
        <v>2916.0195238095239</v>
      </c>
      <c r="Z72" s="629">
        <f t="shared" si="18"/>
        <v>2546.3565476190479</v>
      </c>
      <c r="AA72" s="629">
        <f t="shared" si="19"/>
        <v>4932.6726190476193</v>
      </c>
      <c r="AB72" s="629">
        <f t="shared" si="21"/>
        <v>6082.1595238095242</v>
      </c>
      <c r="AC72" s="629">
        <f t="shared" si="22"/>
        <v>5612.689166666667</v>
      </c>
      <c r="AD72" s="629">
        <f t="shared" si="23"/>
        <v>5489.8403571428571</v>
      </c>
      <c r="AE72" s="629">
        <f t="shared" si="24"/>
        <v>7340.8214285714284</v>
      </c>
      <c r="AF72" s="629">
        <f t="shared" si="25"/>
        <v>7116.7023809523807</v>
      </c>
      <c r="AG72" s="629">
        <f t="shared" si="26"/>
        <v>5730.1814285714281</v>
      </c>
      <c r="AH72" s="629">
        <f t="shared" si="27"/>
        <v>4594.5159523809525</v>
      </c>
      <c r="AI72" s="629">
        <f t="shared" si="28"/>
        <v>5897.8397619047619</v>
      </c>
      <c r="AJ72" s="629">
        <f t="shared" si="29"/>
        <v>4094.22</v>
      </c>
      <c r="AK72" s="629">
        <f t="shared" si="30"/>
        <v>3846.1785714285716</v>
      </c>
      <c r="AL72" s="629">
        <f t="shared" si="31"/>
        <v>5212.7619047619046</v>
      </c>
      <c r="AM72" s="629">
        <f t="shared" si="32"/>
        <v>5086.5714285714284</v>
      </c>
      <c r="AN72" s="629">
        <f t="shared" si="33"/>
        <v>4475.4642857142853</v>
      </c>
      <c r="AO72" s="629">
        <f t="shared" si="34"/>
        <v>8016.1861904761909</v>
      </c>
      <c r="AP72" s="629">
        <f t="shared" si="35"/>
        <v>6195.7023809523807</v>
      </c>
      <c r="AQ72" s="629">
        <f t="shared" si="36"/>
        <v>5888.4404761904761</v>
      </c>
      <c r="AR72" s="629">
        <f t="shared" si="37"/>
        <v>5556.6428571428569</v>
      </c>
      <c r="AS72" s="629">
        <f t="shared" si="38"/>
        <v>4477.3095238095239</v>
      </c>
      <c r="AT72" s="629">
        <f t="shared" si="39"/>
        <v>5427.1904761904761</v>
      </c>
      <c r="AU72" s="629">
        <f t="shared" si="40"/>
        <v>6677.663333333333</v>
      </c>
      <c r="AV72" s="629">
        <f t="shared" si="41"/>
        <v>6107.0119047619046</v>
      </c>
      <c r="AW72" s="629">
        <f t="shared" si="42"/>
        <v>4976.3928571428569</v>
      </c>
      <c r="AX72" s="629">
        <f t="shared" si="43"/>
        <v>7551.6547619047615</v>
      </c>
      <c r="AY72" s="629">
        <f t="shared" si="44"/>
        <v>5223.333333333333</v>
      </c>
      <c r="AZ72" s="629">
        <f t="shared" si="45"/>
        <v>3548.2857142857142</v>
      </c>
      <c r="BA72" s="629">
        <f t="shared" si="46"/>
        <v>6709.5238095238092</v>
      </c>
      <c r="BB72" s="629">
        <f t="shared" si="47"/>
        <v>4503.1309523809523</v>
      </c>
      <c r="BC72" s="629">
        <f t="shared" si="48"/>
        <v>7544.2142857142853</v>
      </c>
      <c r="BD72" s="630">
        <f t="shared" si="49"/>
        <v>4744.083333333333</v>
      </c>
      <c r="BE72" s="630">
        <f t="shared" si="50"/>
        <v>3690.8333333333335</v>
      </c>
      <c r="BF72" s="630">
        <f t="shared" si="51"/>
        <v>2288.2142857142858</v>
      </c>
      <c r="BG72" s="630">
        <f t="shared" si="52"/>
        <v>1134.3071428571429</v>
      </c>
      <c r="BH72" s="630">
        <f t="shared" si="53"/>
        <v>595.23809523809518</v>
      </c>
      <c r="BI72" s="630">
        <f t="shared" si="54"/>
        <v>583.47619047619048</v>
      </c>
      <c r="BJ72" s="630">
        <f t="shared" si="55"/>
        <v>89.285714285714292</v>
      </c>
      <c r="BK72" s="630"/>
      <c r="BL72" s="630">
        <f t="shared" si="56"/>
        <v>34.714285714285715</v>
      </c>
      <c r="BM72" s="629">
        <f t="shared" si="59"/>
        <v>201471.84547619053</v>
      </c>
    </row>
    <row r="73" spans="1:65" s="585" customFormat="1" ht="12.75" customHeight="1" outlineLevel="1">
      <c r="A73" s="308" t="s">
        <v>56</v>
      </c>
      <c r="B73" s="308">
        <f t="shared" si="20"/>
        <v>2021</v>
      </c>
      <c r="C73" s="308" t="s">
        <v>47</v>
      </c>
      <c r="D73" s="629"/>
      <c r="E73" s="629"/>
      <c r="F73" s="629"/>
      <c r="G73" s="629"/>
      <c r="H73" s="629">
        <f t="shared" ref="H73:H93" si="62">H72+G73</f>
        <v>16923635.02</v>
      </c>
      <c r="I73" s="629"/>
      <c r="J73" s="629">
        <v>213591.96</v>
      </c>
      <c r="K73" s="629">
        <f>SUM(J$5:J73)</f>
        <v>9656141.2900000028</v>
      </c>
      <c r="L73" s="629"/>
      <c r="M73" s="629">
        <f t="shared" si="57"/>
        <v>7267493.7299999967</v>
      </c>
      <c r="O73" s="629">
        <f t="shared" si="58"/>
        <v>0</v>
      </c>
      <c r="P73" s="629">
        <f t="shared" si="60"/>
        <v>0</v>
      </c>
      <c r="Q73" s="629">
        <f t="shared" si="61"/>
        <v>41.071428571428569</v>
      </c>
      <c r="R73" s="629">
        <f t="shared" ref="R73:R91" si="63">$G$8/84</f>
        <v>154.14285714285714</v>
      </c>
      <c r="S73" s="629">
        <f t="shared" si="10"/>
        <v>575.49285714285713</v>
      </c>
      <c r="T73" s="629">
        <f t="shared" si="12"/>
        <v>1879.5714285714287</v>
      </c>
      <c r="U73" s="629">
        <f t="shared" si="13"/>
        <v>3688.1155952380955</v>
      </c>
      <c r="V73" s="629">
        <f t="shared" si="14"/>
        <v>4470.3665476190472</v>
      </c>
      <c r="W73" s="629">
        <f t="shared" si="15"/>
        <v>4106.5282142857141</v>
      </c>
      <c r="X73" s="629">
        <f t="shared" si="16"/>
        <v>4018.7264285714286</v>
      </c>
      <c r="Y73" s="629">
        <f t="shared" si="17"/>
        <v>2916.0195238095239</v>
      </c>
      <c r="Z73" s="629">
        <f t="shared" si="18"/>
        <v>2546.3565476190479</v>
      </c>
      <c r="AA73" s="629">
        <f t="shared" si="19"/>
        <v>4932.6726190476193</v>
      </c>
      <c r="AB73" s="629">
        <f t="shared" si="21"/>
        <v>6082.1595238095242</v>
      </c>
      <c r="AC73" s="629">
        <f t="shared" si="22"/>
        <v>5612.689166666667</v>
      </c>
      <c r="AD73" s="629">
        <f t="shared" si="23"/>
        <v>5489.8403571428571</v>
      </c>
      <c r="AE73" s="629">
        <f t="shared" si="24"/>
        <v>7340.8214285714284</v>
      </c>
      <c r="AF73" s="629">
        <f t="shared" si="25"/>
        <v>7116.7023809523807</v>
      </c>
      <c r="AG73" s="629">
        <f t="shared" si="26"/>
        <v>5730.1814285714281</v>
      </c>
      <c r="AH73" s="629">
        <f t="shared" si="27"/>
        <v>4594.5159523809525</v>
      </c>
      <c r="AI73" s="629">
        <f t="shared" si="28"/>
        <v>5897.8397619047619</v>
      </c>
      <c r="AJ73" s="629">
        <f t="shared" si="29"/>
        <v>4094.22</v>
      </c>
      <c r="AK73" s="629">
        <f t="shared" si="30"/>
        <v>3846.1785714285716</v>
      </c>
      <c r="AL73" s="629">
        <f t="shared" si="31"/>
        <v>5212.7619047619046</v>
      </c>
      <c r="AM73" s="629">
        <f t="shared" si="32"/>
        <v>5086.5714285714284</v>
      </c>
      <c r="AN73" s="629">
        <f t="shared" si="33"/>
        <v>4475.4642857142853</v>
      </c>
      <c r="AO73" s="629">
        <f t="shared" si="34"/>
        <v>8016.1861904761909</v>
      </c>
      <c r="AP73" s="629">
        <f t="shared" si="35"/>
        <v>6195.7023809523807</v>
      </c>
      <c r="AQ73" s="629">
        <f t="shared" si="36"/>
        <v>5888.4404761904761</v>
      </c>
      <c r="AR73" s="629">
        <f t="shared" si="37"/>
        <v>5556.6428571428569</v>
      </c>
      <c r="AS73" s="629">
        <f t="shared" si="38"/>
        <v>4477.3095238095239</v>
      </c>
      <c r="AT73" s="629">
        <f t="shared" si="39"/>
        <v>5427.1904761904761</v>
      </c>
      <c r="AU73" s="629">
        <f t="shared" si="40"/>
        <v>6677.663333333333</v>
      </c>
      <c r="AV73" s="629">
        <f t="shared" si="41"/>
        <v>6107.0119047619046</v>
      </c>
      <c r="AW73" s="629">
        <f t="shared" si="42"/>
        <v>4976.3928571428569</v>
      </c>
      <c r="AX73" s="629">
        <f t="shared" si="43"/>
        <v>7551.6547619047615</v>
      </c>
      <c r="AY73" s="629">
        <f t="shared" si="44"/>
        <v>5223.333333333333</v>
      </c>
      <c r="AZ73" s="629">
        <f t="shared" si="45"/>
        <v>3548.2857142857142</v>
      </c>
      <c r="BA73" s="629">
        <f t="shared" si="46"/>
        <v>6709.5238095238092</v>
      </c>
      <c r="BB73" s="629">
        <f t="shared" si="47"/>
        <v>4503.1309523809523</v>
      </c>
      <c r="BC73" s="629">
        <f t="shared" si="48"/>
        <v>7544.2142857142853</v>
      </c>
      <c r="BD73" s="630">
        <f t="shared" si="49"/>
        <v>4744.083333333333</v>
      </c>
      <c r="BE73" s="630">
        <f t="shared" si="50"/>
        <v>3690.8333333333335</v>
      </c>
      <c r="BF73" s="630">
        <f t="shared" si="51"/>
        <v>2288.2142857142858</v>
      </c>
      <c r="BG73" s="630">
        <f t="shared" si="52"/>
        <v>1134.3071428571429</v>
      </c>
      <c r="BH73" s="630">
        <f t="shared" si="53"/>
        <v>595.23809523809518</v>
      </c>
      <c r="BI73" s="630">
        <f t="shared" si="54"/>
        <v>583.47619047619048</v>
      </c>
      <c r="BJ73" s="630">
        <f t="shared" si="55"/>
        <v>89.285714285714292</v>
      </c>
      <c r="BK73" s="630"/>
      <c r="BL73" s="630">
        <f t="shared" si="56"/>
        <v>34.714285714285715</v>
      </c>
      <c r="BM73" s="629">
        <f t="shared" si="59"/>
        <v>201471.84547619053</v>
      </c>
    </row>
    <row r="74" spans="1:65" s="585" customFormat="1" ht="12.75" customHeight="1" outlineLevel="1">
      <c r="A74" s="308" t="s">
        <v>57</v>
      </c>
      <c r="B74" s="308">
        <f t="shared" si="20"/>
        <v>2021</v>
      </c>
      <c r="C74" s="308" t="s">
        <v>47</v>
      </c>
      <c r="D74" s="629"/>
      <c r="E74" s="629"/>
      <c r="F74" s="629"/>
      <c r="G74" s="629"/>
      <c r="H74" s="629">
        <f t="shared" si="62"/>
        <v>16923635.02</v>
      </c>
      <c r="I74" s="629"/>
      <c r="J74" s="629">
        <v>210754.85</v>
      </c>
      <c r="K74" s="629">
        <f>SUM(J$5:J74)</f>
        <v>9866896.1400000025</v>
      </c>
      <c r="L74" s="629"/>
      <c r="M74" s="629">
        <f t="shared" si="57"/>
        <v>7056738.8799999971</v>
      </c>
      <c r="O74" s="629">
        <f t="shared" si="58"/>
        <v>0</v>
      </c>
      <c r="P74" s="629">
        <f t="shared" si="60"/>
        <v>0</v>
      </c>
      <c r="Q74" s="629">
        <f t="shared" si="61"/>
        <v>41.071428571428569</v>
      </c>
      <c r="R74" s="629">
        <f t="shared" si="63"/>
        <v>154.14285714285714</v>
      </c>
      <c r="S74" s="629">
        <f t="shared" ref="S74:S92" si="64">$G$9/84</f>
        <v>575.49285714285713</v>
      </c>
      <c r="T74" s="629">
        <f t="shared" si="12"/>
        <v>1879.5714285714287</v>
      </c>
      <c r="U74" s="629">
        <f t="shared" si="13"/>
        <v>3688.1155952380955</v>
      </c>
      <c r="V74" s="629">
        <f t="shared" si="14"/>
        <v>4470.3665476190472</v>
      </c>
      <c r="W74" s="629">
        <f t="shared" si="15"/>
        <v>4106.5282142857141</v>
      </c>
      <c r="X74" s="629">
        <f t="shared" si="16"/>
        <v>4018.7264285714286</v>
      </c>
      <c r="Y74" s="629">
        <f t="shared" si="17"/>
        <v>2916.0195238095239</v>
      </c>
      <c r="Z74" s="629">
        <f t="shared" si="18"/>
        <v>2546.3565476190479</v>
      </c>
      <c r="AA74" s="629">
        <f t="shared" si="19"/>
        <v>4932.6726190476193</v>
      </c>
      <c r="AB74" s="629">
        <f t="shared" si="21"/>
        <v>6082.1595238095242</v>
      </c>
      <c r="AC74" s="629">
        <f t="shared" si="22"/>
        <v>5612.689166666667</v>
      </c>
      <c r="AD74" s="629">
        <f t="shared" si="23"/>
        <v>5489.8403571428571</v>
      </c>
      <c r="AE74" s="629">
        <f t="shared" si="24"/>
        <v>7340.8214285714284</v>
      </c>
      <c r="AF74" s="629">
        <f t="shared" si="25"/>
        <v>7116.7023809523807</v>
      </c>
      <c r="AG74" s="629">
        <f t="shared" si="26"/>
        <v>5730.1814285714281</v>
      </c>
      <c r="AH74" s="629">
        <f t="shared" si="27"/>
        <v>4594.5159523809525</v>
      </c>
      <c r="AI74" s="629">
        <f t="shared" si="28"/>
        <v>5897.8397619047619</v>
      </c>
      <c r="AJ74" s="629">
        <f t="shared" si="29"/>
        <v>4094.22</v>
      </c>
      <c r="AK74" s="629">
        <f t="shared" si="30"/>
        <v>3846.1785714285716</v>
      </c>
      <c r="AL74" s="629">
        <f t="shared" si="31"/>
        <v>5212.7619047619046</v>
      </c>
      <c r="AM74" s="629">
        <f t="shared" si="32"/>
        <v>5086.5714285714284</v>
      </c>
      <c r="AN74" s="629">
        <f t="shared" si="33"/>
        <v>4475.4642857142853</v>
      </c>
      <c r="AO74" s="629">
        <f t="shared" si="34"/>
        <v>8016.1861904761909</v>
      </c>
      <c r="AP74" s="629">
        <f t="shared" si="35"/>
        <v>6195.7023809523807</v>
      </c>
      <c r="AQ74" s="629">
        <f t="shared" si="36"/>
        <v>5888.4404761904761</v>
      </c>
      <c r="AR74" s="629">
        <f t="shared" si="37"/>
        <v>5556.6428571428569</v>
      </c>
      <c r="AS74" s="629">
        <f t="shared" si="38"/>
        <v>4477.3095238095239</v>
      </c>
      <c r="AT74" s="629">
        <f t="shared" si="39"/>
        <v>5427.1904761904761</v>
      </c>
      <c r="AU74" s="629">
        <f t="shared" si="40"/>
        <v>6677.663333333333</v>
      </c>
      <c r="AV74" s="629">
        <f t="shared" si="41"/>
        <v>6107.0119047619046</v>
      </c>
      <c r="AW74" s="629">
        <f t="shared" si="42"/>
        <v>4976.3928571428569</v>
      </c>
      <c r="AX74" s="629">
        <f t="shared" si="43"/>
        <v>7551.6547619047615</v>
      </c>
      <c r="AY74" s="629">
        <f t="shared" si="44"/>
        <v>5223.333333333333</v>
      </c>
      <c r="AZ74" s="629">
        <f t="shared" si="45"/>
        <v>3548.2857142857142</v>
      </c>
      <c r="BA74" s="629">
        <f t="shared" si="46"/>
        <v>6709.5238095238092</v>
      </c>
      <c r="BB74" s="629">
        <f t="shared" si="47"/>
        <v>4503.1309523809523</v>
      </c>
      <c r="BC74" s="629">
        <f t="shared" si="48"/>
        <v>7544.2142857142853</v>
      </c>
      <c r="BD74" s="630">
        <f t="shared" si="49"/>
        <v>4744.083333333333</v>
      </c>
      <c r="BE74" s="630">
        <f t="shared" si="50"/>
        <v>3690.8333333333335</v>
      </c>
      <c r="BF74" s="630">
        <f t="shared" si="51"/>
        <v>2288.2142857142858</v>
      </c>
      <c r="BG74" s="630">
        <f t="shared" si="52"/>
        <v>1134.3071428571429</v>
      </c>
      <c r="BH74" s="630">
        <f t="shared" si="53"/>
        <v>595.23809523809518</v>
      </c>
      <c r="BI74" s="630">
        <f t="shared" si="54"/>
        <v>583.47619047619048</v>
      </c>
      <c r="BJ74" s="630">
        <f t="shared" si="55"/>
        <v>89.285714285714292</v>
      </c>
      <c r="BK74" s="630"/>
      <c r="BL74" s="630">
        <f t="shared" si="56"/>
        <v>34.714285714285715</v>
      </c>
      <c r="BM74" s="629">
        <f t="shared" si="59"/>
        <v>201471.84547619053</v>
      </c>
    </row>
    <row r="75" spans="1:65" s="585" customFormat="1" ht="12.75" customHeight="1" outlineLevel="1">
      <c r="A75" s="308" t="s">
        <v>58</v>
      </c>
      <c r="B75" s="308">
        <f t="shared" si="20"/>
        <v>2021</v>
      </c>
      <c r="C75" s="308" t="s">
        <v>47</v>
      </c>
      <c r="D75" s="629"/>
      <c r="E75" s="629"/>
      <c r="F75" s="629"/>
      <c r="G75" s="629"/>
      <c r="H75" s="629">
        <f t="shared" si="62"/>
        <v>16923635.02</v>
      </c>
      <c r="I75" s="629"/>
      <c r="J75" s="629">
        <v>213524.67</v>
      </c>
      <c r="K75" s="629">
        <f>SUM(J$5:J75)</f>
        <v>10080420.810000002</v>
      </c>
      <c r="L75" s="629"/>
      <c r="M75" s="629">
        <f t="shared" si="57"/>
        <v>6843214.2099999972</v>
      </c>
      <c r="O75" s="629">
        <f t="shared" si="58"/>
        <v>0</v>
      </c>
      <c r="P75" s="629">
        <f t="shared" si="60"/>
        <v>0</v>
      </c>
      <c r="Q75" s="629">
        <f t="shared" si="61"/>
        <v>41.071428571428569</v>
      </c>
      <c r="R75" s="629">
        <f t="shared" si="63"/>
        <v>154.14285714285714</v>
      </c>
      <c r="S75" s="629">
        <f t="shared" si="64"/>
        <v>575.49285714285713</v>
      </c>
      <c r="T75" s="629">
        <f t="shared" ref="T75:T93" si="65">$G$10/84</f>
        <v>1879.5714285714287</v>
      </c>
      <c r="U75" s="629">
        <f t="shared" si="13"/>
        <v>3688.1155952380955</v>
      </c>
      <c r="V75" s="629">
        <f t="shared" si="14"/>
        <v>4470.3665476190472</v>
      </c>
      <c r="W75" s="629">
        <f t="shared" si="15"/>
        <v>4106.5282142857141</v>
      </c>
      <c r="X75" s="629">
        <f t="shared" si="16"/>
        <v>4018.7264285714286</v>
      </c>
      <c r="Y75" s="629">
        <f t="shared" si="17"/>
        <v>2916.0195238095239</v>
      </c>
      <c r="Z75" s="629">
        <f t="shared" si="18"/>
        <v>2546.3565476190479</v>
      </c>
      <c r="AA75" s="629">
        <f t="shared" si="19"/>
        <v>4932.6726190476193</v>
      </c>
      <c r="AB75" s="629">
        <f t="shared" si="21"/>
        <v>6082.1595238095242</v>
      </c>
      <c r="AC75" s="629">
        <f t="shared" si="22"/>
        <v>5612.689166666667</v>
      </c>
      <c r="AD75" s="629">
        <f t="shared" si="23"/>
        <v>5489.8403571428571</v>
      </c>
      <c r="AE75" s="629">
        <f t="shared" si="24"/>
        <v>7340.8214285714284</v>
      </c>
      <c r="AF75" s="629">
        <f t="shared" si="25"/>
        <v>7116.7023809523807</v>
      </c>
      <c r="AG75" s="629">
        <f t="shared" si="26"/>
        <v>5730.1814285714281</v>
      </c>
      <c r="AH75" s="629">
        <f t="shared" si="27"/>
        <v>4594.5159523809525</v>
      </c>
      <c r="AI75" s="629">
        <f t="shared" si="28"/>
        <v>5897.8397619047619</v>
      </c>
      <c r="AJ75" s="629">
        <f t="shared" si="29"/>
        <v>4094.22</v>
      </c>
      <c r="AK75" s="629">
        <f t="shared" si="30"/>
        <v>3846.1785714285716</v>
      </c>
      <c r="AL75" s="629">
        <f t="shared" si="31"/>
        <v>5212.7619047619046</v>
      </c>
      <c r="AM75" s="629">
        <f t="shared" si="32"/>
        <v>5086.5714285714284</v>
      </c>
      <c r="AN75" s="629">
        <f t="shared" si="33"/>
        <v>4475.4642857142853</v>
      </c>
      <c r="AO75" s="629">
        <f t="shared" si="34"/>
        <v>8016.1861904761909</v>
      </c>
      <c r="AP75" s="629">
        <f t="shared" si="35"/>
        <v>6195.7023809523807</v>
      </c>
      <c r="AQ75" s="629">
        <f t="shared" si="36"/>
        <v>5888.4404761904761</v>
      </c>
      <c r="AR75" s="629">
        <f t="shared" si="37"/>
        <v>5556.6428571428569</v>
      </c>
      <c r="AS75" s="629">
        <f t="shared" si="38"/>
        <v>4477.3095238095239</v>
      </c>
      <c r="AT75" s="629">
        <f t="shared" si="39"/>
        <v>5427.1904761904761</v>
      </c>
      <c r="AU75" s="629">
        <f t="shared" si="40"/>
        <v>6677.663333333333</v>
      </c>
      <c r="AV75" s="629">
        <f t="shared" si="41"/>
        <v>6107.0119047619046</v>
      </c>
      <c r="AW75" s="629">
        <f t="shared" si="42"/>
        <v>4976.3928571428569</v>
      </c>
      <c r="AX75" s="629">
        <f t="shared" si="43"/>
        <v>7551.6547619047615</v>
      </c>
      <c r="AY75" s="629">
        <f t="shared" si="44"/>
        <v>5223.333333333333</v>
      </c>
      <c r="AZ75" s="629">
        <f t="shared" si="45"/>
        <v>3548.2857142857142</v>
      </c>
      <c r="BA75" s="629">
        <f t="shared" si="46"/>
        <v>6709.5238095238092</v>
      </c>
      <c r="BB75" s="629">
        <f t="shared" si="47"/>
        <v>4503.1309523809523</v>
      </c>
      <c r="BC75" s="629">
        <f t="shared" si="48"/>
        <v>7544.2142857142853</v>
      </c>
      <c r="BD75" s="630">
        <f t="shared" si="49"/>
        <v>4744.083333333333</v>
      </c>
      <c r="BE75" s="630">
        <f t="shared" si="50"/>
        <v>3690.8333333333335</v>
      </c>
      <c r="BF75" s="630">
        <f t="shared" si="51"/>
        <v>2288.2142857142858</v>
      </c>
      <c r="BG75" s="630">
        <f t="shared" si="52"/>
        <v>1134.3071428571429</v>
      </c>
      <c r="BH75" s="630">
        <f t="shared" si="53"/>
        <v>595.23809523809518</v>
      </c>
      <c r="BI75" s="630">
        <f t="shared" si="54"/>
        <v>583.47619047619048</v>
      </c>
      <c r="BJ75" s="630">
        <f t="shared" si="55"/>
        <v>89.285714285714292</v>
      </c>
      <c r="BK75" s="630"/>
      <c r="BL75" s="630">
        <f t="shared" si="56"/>
        <v>34.714285714285715</v>
      </c>
      <c r="BM75" s="629">
        <f t="shared" si="59"/>
        <v>201471.84547619053</v>
      </c>
    </row>
    <row r="76" spans="1:65" s="585" customFormat="1" ht="12.75" customHeight="1" outlineLevel="1">
      <c r="A76" s="308" t="s">
        <v>59</v>
      </c>
      <c r="B76" s="308">
        <f t="shared" si="20"/>
        <v>2021</v>
      </c>
      <c r="C76" s="308" t="s">
        <v>47</v>
      </c>
      <c r="D76" s="629"/>
      <c r="E76" s="629"/>
      <c r="F76" s="629"/>
      <c r="G76" s="629"/>
      <c r="H76" s="629">
        <f t="shared" si="62"/>
        <v>16923635.02</v>
      </c>
      <c r="I76" s="629"/>
      <c r="J76" s="629">
        <v>197504.95</v>
      </c>
      <c r="K76" s="629">
        <f>SUM(J$5:J76)</f>
        <v>10277925.760000002</v>
      </c>
      <c r="L76" s="629"/>
      <c r="M76" s="629">
        <f t="shared" si="57"/>
        <v>6645709.2599999979</v>
      </c>
      <c r="O76" s="629">
        <f t="shared" si="58"/>
        <v>0</v>
      </c>
      <c r="P76" s="629">
        <f t="shared" si="60"/>
        <v>0</v>
      </c>
      <c r="Q76" s="629">
        <f t="shared" si="61"/>
        <v>41.071428571428569</v>
      </c>
      <c r="R76" s="629">
        <f t="shared" si="63"/>
        <v>154.14285714285714</v>
      </c>
      <c r="S76" s="629">
        <f t="shared" si="64"/>
        <v>575.49285714285713</v>
      </c>
      <c r="T76" s="629">
        <f t="shared" si="65"/>
        <v>1879.5714285714287</v>
      </c>
      <c r="U76" s="629">
        <f t="shared" ref="U76:U94" si="66">$G$11/84</f>
        <v>3688.1155952380955</v>
      </c>
      <c r="V76" s="629">
        <f t="shared" si="14"/>
        <v>4470.3665476190472</v>
      </c>
      <c r="W76" s="629">
        <f t="shared" si="15"/>
        <v>4106.5282142857141</v>
      </c>
      <c r="X76" s="629">
        <f t="shared" si="16"/>
        <v>4018.7264285714286</v>
      </c>
      <c r="Y76" s="629">
        <f t="shared" si="17"/>
        <v>2916.0195238095239</v>
      </c>
      <c r="Z76" s="629">
        <f t="shared" si="18"/>
        <v>2546.3565476190479</v>
      </c>
      <c r="AA76" s="629">
        <f t="shared" si="19"/>
        <v>4932.6726190476193</v>
      </c>
      <c r="AB76" s="629">
        <f t="shared" si="21"/>
        <v>6082.1595238095242</v>
      </c>
      <c r="AC76" s="629">
        <f t="shared" si="22"/>
        <v>5612.689166666667</v>
      </c>
      <c r="AD76" s="629">
        <f t="shared" si="23"/>
        <v>5489.8403571428571</v>
      </c>
      <c r="AE76" s="629">
        <f t="shared" si="24"/>
        <v>7340.8214285714284</v>
      </c>
      <c r="AF76" s="629">
        <f t="shared" si="25"/>
        <v>7116.7023809523807</v>
      </c>
      <c r="AG76" s="629">
        <f t="shared" si="26"/>
        <v>5730.1814285714281</v>
      </c>
      <c r="AH76" s="629">
        <f t="shared" si="27"/>
        <v>4594.5159523809525</v>
      </c>
      <c r="AI76" s="629">
        <f t="shared" si="28"/>
        <v>5897.8397619047619</v>
      </c>
      <c r="AJ76" s="629">
        <f t="shared" si="29"/>
        <v>4094.22</v>
      </c>
      <c r="AK76" s="629">
        <f t="shared" si="30"/>
        <v>3846.1785714285716</v>
      </c>
      <c r="AL76" s="629">
        <f t="shared" si="31"/>
        <v>5212.7619047619046</v>
      </c>
      <c r="AM76" s="629">
        <f t="shared" si="32"/>
        <v>5086.5714285714284</v>
      </c>
      <c r="AN76" s="629">
        <f t="shared" si="33"/>
        <v>4475.4642857142853</v>
      </c>
      <c r="AO76" s="629">
        <f t="shared" si="34"/>
        <v>8016.1861904761909</v>
      </c>
      <c r="AP76" s="629">
        <f t="shared" si="35"/>
        <v>6195.7023809523807</v>
      </c>
      <c r="AQ76" s="629">
        <f t="shared" si="36"/>
        <v>5888.4404761904761</v>
      </c>
      <c r="AR76" s="629">
        <f t="shared" si="37"/>
        <v>5556.6428571428569</v>
      </c>
      <c r="AS76" s="629">
        <f t="shared" si="38"/>
        <v>4477.3095238095239</v>
      </c>
      <c r="AT76" s="629">
        <f t="shared" si="39"/>
        <v>5427.1904761904761</v>
      </c>
      <c r="AU76" s="629">
        <f t="shared" si="40"/>
        <v>6677.663333333333</v>
      </c>
      <c r="AV76" s="629">
        <f t="shared" si="41"/>
        <v>6107.0119047619046</v>
      </c>
      <c r="AW76" s="629">
        <f t="shared" si="42"/>
        <v>4976.3928571428569</v>
      </c>
      <c r="AX76" s="629">
        <f t="shared" si="43"/>
        <v>7551.6547619047615</v>
      </c>
      <c r="AY76" s="629">
        <f t="shared" si="44"/>
        <v>5223.333333333333</v>
      </c>
      <c r="AZ76" s="629">
        <f t="shared" si="45"/>
        <v>3548.2857142857142</v>
      </c>
      <c r="BA76" s="629">
        <f t="shared" si="46"/>
        <v>6709.5238095238092</v>
      </c>
      <c r="BB76" s="629">
        <f t="shared" si="47"/>
        <v>4503.1309523809523</v>
      </c>
      <c r="BC76" s="629">
        <f t="shared" si="48"/>
        <v>7544.2142857142853</v>
      </c>
      <c r="BD76" s="630">
        <f t="shared" si="49"/>
        <v>4744.083333333333</v>
      </c>
      <c r="BE76" s="630">
        <f t="shared" si="50"/>
        <v>3690.8333333333335</v>
      </c>
      <c r="BF76" s="630">
        <f t="shared" si="51"/>
        <v>2288.2142857142858</v>
      </c>
      <c r="BG76" s="630">
        <f t="shared" si="52"/>
        <v>1134.3071428571429</v>
      </c>
      <c r="BH76" s="630">
        <f t="shared" si="53"/>
        <v>595.23809523809518</v>
      </c>
      <c r="BI76" s="630">
        <f t="shared" si="54"/>
        <v>583.47619047619048</v>
      </c>
      <c r="BJ76" s="630">
        <f t="shared" si="55"/>
        <v>89.285714285714292</v>
      </c>
      <c r="BK76" s="630"/>
      <c r="BL76" s="630">
        <f t="shared" si="56"/>
        <v>34.714285714285715</v>
      </c>
      <c r="BM76" s="629">
        <f t="shared" si="59"/>
        <v>201471.84547619053</v>
      </c>
    </row>
    <row r="77" spans="1:65" s="585" customFormat="1" ht="12.75" customHeight="1" outlineLevel="1">
      <c r="A77" s="308" t="s">
        <v>46</v>
      </c>
      <c r="B77" s="308">
        <f t="shared" si="20"/>
        <v>2021</v>
      </c>
      <c r="C77" s="308" t="s">
        <v>47</v>
      </c>
      <c r="D77" s="629"/>
      <c r="E77" s="629"/>
      <c r="F77" s="629"/>
      <c r="G77" s="629"/>
      <c r="H77" s="629">
        <f t="shared" si="62"/>
        <v>16923635.02</v>
      </c>
      <c r="I77" s="629"/>
      <c r="J77" s="629">
        <v>220982.5</v>
      </c>
      <c r="K77" s="629">
        <f>SUM(J$5:J77)</f>
        <v>10498908.260000002</v>
      </c>
      <c r="L77" s="629"/>
      <c r="M77" s="629">
        <f t="shared" si="57"/>
        <v>6424726.7599999979</v>
      </c>
      <c r="O77" s="629">
        <f t="shared" si="58"/>
        <v>0</v>
      </c>
      <c r="P77" s="629">
        <f t="shared" si="60"/>
        <v>0</v>
      </c>
      <c r="Q77" s="629">
        <f t="shared" si="61"/>
        <v>41.071428571428569</v>
      </c>
      <c r="R77" s="629">
        <f t="shared" si="63"/>
        <v>154.14285714285714</v>
      </c>
      <c r="S77" s="629">
        <f t="shared" si="64"/>
        <v>575.49285714285713</v>
      </c>
      <c r="T77" s="629">
        <f t="shared" si="65"/>
        <v>1879.5714285714287</v>
      </c>
      <c r="U77" s="629">
        <f t="shared" si="66"/>
        <v>3688.1155952380955</v>
      </c>
      <c r="V77" s="629">
        <f t="shared" ref="V77:V95" si="67">$G$12/84</f>
        <v>4470.3665476190472</v>
      </c>
      <c r="W77" s="629">
        <f t="shared" ref="W77:W96" si="68">$G$13/84</f>
        <v>4106.5282142857141</v>
      </c>
      <c r="X77" s="629">
        <f t="shared" si="16"/>
        <v>4018.7264285714286</v>
      </c>
      <c r="Y77" s="629">
        <f t="shared" si="17"/>
        <v>2916.0195238095239</v>
      </c>
      <c r="Z77" s="629">
        <f t="shared" si="18"/>
        <v>2546.3565476190479</v>
      </c>
      <c r="AA77" s="629">
        <f t="shared" si="19"/>
        <v>4932.6726190476193</v>
      </c>
      <c r="AB77" s="629">
        <f t="shared" si="21"/>
        <v>6082.1595238095242</v>
      </c>
      <c r="AC77" s="629">
        <f t="shared" si="22"/>
        <v>5612.689166666667</v>
      </c>
      <c r="AD77" s="629">
        <f t="shared" si="23"/>
        <v>5489.8403571428571</v>
      </c>
      <c r="AE77" s="629">
        <f t="shared" si="24"/>
        <v>7340.8214285714284</v>
      </c>
      <c r="AF77" s="629">
        <f t="shared" si="25"/>
        <v>7116.7023809523807</v>
      </c>
      <c r="AG77" s="629">
        <f t="shared" si="26"/>
        <v>5730.1814285714281</v>
      </c>
      <c r="AH77" s="629">
        <f t="shared" si="27"/>
        <v>4594.5159523809525</v>
      </c>
      <c r="AI77" s="629">
        <f t="shared" si="28"/>
        <v>5897.8397619047619</v>
      </c>
      <c r="AJ77" s="629">
        <f t="shared" si="29"/>
        <v>4094.22</v>
      </c>
      <c r="AK77" s="629">
        <f t="shared" si="30"/>
        <v>3846.1785714285716</v>
      </c>
      <c r="AL77" s="629">
        <f t="shared" si="31"/>
        <v>5212.7619047619046</v>
      </c>
      <c r="AM77" s="629">
        <f t="shared" si="32"/>
        <v>5086.5714285714284</v>
      </c>
      <c r="AN77" s="629">
        <f t="shared" si="33"/>
        <v>4475.4642857142853</v>
      </c>
      <c r="AO77" s="629">
        <f t="shared" si="34"/>
        <v>8016.1861904761909</v>
      </c>
      <c r="AP77" s="629">
        <f t="shared" si="35"/>
        <v>6195.7023809523807</v>
      </c>
      <c r="AQ77" s="629">
        <f t="shared" si="36"/>
        <v>5888.4404761904761</v>
      </c>
      <c r="AR77" s="629">
        <f t="shared" si="37"/>
        <v>5556.6428571428569</v>
      </c>
      <c r="AS77" s="629">
        <f t="shared" si="38"/>
        <v>4477.3095238095239</v>
      </c>
      <c r="AT77" s="629">
        <f t="shared" si="39"/>
        <v>5427.1904761904761</v>
      </c>
      <c r="AU77" s="629">
        <f t="shared" si="40"/>
        <v>6677.663333333333</v>
      </c>
      <c r="AV77" s="629">
        <f t="shared" si="41"/>
        <v>6107.0119047619046</v>
      </c>
      <c r="AW77" s="629">
        <f t="shared" si="42"/>
        <v>4976.3928571428569</v>
      </c>
      <c r="AX77" s="629">
        <f t="shared" si="43"/>
        <v>7551.6547619047615</v>
      </c>
      <c r="AY77" s="629">
        <f t="shared" si="44"/>
        <v>5223.333333333333</v>
      </c>
      <c r="AZ77" s="629">
        <f t="shared" si="45"/>
        <v>3548.2857142857142</v>
      </c>
      <c r="BA77" s="629">
        <f t="shared" si="46"/>
        <v>6709.5238095238092</v>
      </c>
      <c r="BB77" s="629">
        <f t="shared" si="47"/>
        <v>4503.1309523809523</v>
      </c>
      <c r="BC77" s="629">
        <f t="shared" si="48"/>
        <v>7544.2142857142853</v>
      </c>
      <c r="BD77" s="630">
        <f t="shared" si="49"/>
        <v>4744.083333333333</v>
      </c>
      <c r="BE77" s="630">
        <f t="shared" si="50"/>
        <v>3690.8333333333335</v>
      </c>
      <c r="BF77" s="630">
        <f t="shared" si="51"/>
        <v>2288.2142857142858</v>
      </c>
      <c r="BG77" s="630">
        <f t="shared" si="52"/>
        <v>1134.3071428571429</v>
      </c>
      <c r="BH77" s="630">
        <f t="shared" si="53"/>
        <v>595.23809523809518</v>
      </c>
      <c r="BI77" s="630">
        <f t="shared" si="54"/>
        <v>583.47619047619048</v>
      </c>
      <c r="BJ77" s="630">
        <f t="shared" si="55"/>
        <v>89.285714285714292</v>
      </c>
      <c r="BK77" s="630"/>
      <c r="BL77" s="630">
        <f t="shared" si="56"/>
        <v>34.714285714285715</v>
      </c>
      <c r="BM77" s="629">
        <f t="shared" si="59"/>
        <v>201471.84547619053</v>
      </c>
    </row>
    <row r="78" spans="1:65" s="585" customFormat="1" ht="12.75" customHeight="1" outlineLevel="1">
      <c r="A78" s="308" t="s">
        <v>48</v>
      </c>
      <c r="B78" s="308">
        <f t="shared" si="20"/>
        <v>2021</v>
      </c>
      <c r="C78" s="308" t="s">
        <v>47</v>
      </c>
      <c r="D78" s="629"/>
      <c r="E78" s="629"/>
      <c r="F78" s="629"/>
      <c r="G78" s="629"/>
      <c r="H78" s="629">
        <f t="shared" si="62"/>
        <v>16923635.02</v>
      </c>
      <c r="I78" s="629"/>
      <c r="J78" s="629">
        <v>190810.18</v>
      </c>
      <c r="K78" s="629">
        <f>SUM(J$5:J78)</f>
        <v>10689718.440000001</v>
      </c>
      <c r="L78" s="629"/>
      <c r="M78" s="629">
        <f t="shared" si="57"/>
        <v>6233916.5799999982</v>
      </c>
      <c r="O78" s="629">
        <f t="shared" si="58"/>
        <v>0</v>
      </c>
      <c r="P78" s="629">
        <f t="shared" si="60"/>
        <v>0</v>
      </c>
      <c r="Q78" s="629">
        <f t="shared" si="61"/>
        <v>41.071428571428569</v>
      </c>
      <c r="R78" s="629">
        <f t="shared" si="63"/>
        <v>154.14285714285714</v>
      </c>
      <c r="S78" s="629">
        <f t="shared" si="64"/>
        <v>575.49285714285713</v>
      </c>
      <c r="T78" s="629">
        <f t="shared" si="65"/>
        <v>1879.5714285714287</v>
      </c>
      <c r="U78" s="629">
        <f t="shared" si="66"/>
        <v>3688.1155952380955</v>
      </c>
      <c r="V78" s="629">
        <f t="shared" si="67"/>
        <v>4470.3665476190472</v>
      </c>
      <c r="W78" s="629">
        <f t="shared" si="68"/>
        <v>4106.5282142857141</v>
      </c>
      <c r="X78" s="629">
        <f t="shared" si="16"/>
        <v>4018.7264285714286</v>
      </c>
      <c r="Y78" s="629">
        <f t="shared" si="17"/>
        <v>2916.0195238095239</v>
      </c>
      <c r="Z78" s="629">
        <f t="shared" si="18"/>
        <v>2546.3565476190479</v>
      </c>
      <c r="AA78" s="629">
        <f t="shared" si="19"/>
        <v>4932.6726190476193</v>
      </c>
      <c r="AB78" s="629">
        <f t="shared" si="21"/>
        <v>6082.1595238095242</v>
      </c>
      <c r="AC78" s="629">
        <f t="shared" si="22"/>
        <v>5612.689166666667</v>
      </c>
      <c r="AD78" s="629">
        <f t="shared" si="23"/>
        <v>5489.8403571428571</v>
      </c>
      <c r="AE78" s="629">
        <f t="shared" si="24"/>
        <v>7340.8214285714284</v>
      </c>
      <c r="AF78" s="629">
        <f t="shared" si="25"/>
        <v>7116.7023809523807</v>
      </c>
      <c r="AG78" s="629">
        <f t="shared" si="26"/>
        <v>5730.1814285714281</v>
      </c>
      <c r="AH78" s="629">
        <f t="shared" si="27"/>
        <v>4594.5159523809525</v>
      </c>
      <c r="AI78" s="629">
        <f t="shared" si="28"/>
        <v>5897.8397619047619</v>
      </c>
      <c r="AJ78" s="629">
        <f t="shared" si="29"/>
        <v>4094.22</v>
      </c>
      <c r="AK78" s="629">
        <f t="shared" si="30"/>
        <v>3846.1785714285716</v>
      </c>
      <c r="AL78" s="629">
        <f t="shared" si="31"/>
        <v>5212.7619047619046</v>
      </c>
      <c r="AM78" s="629">
        <f t="shared" si="32"/>
        <v>5086.5714285714284</v>
      </c>
      <c r="AN78" s="629">
        <f t="shared" si="33"/>
        <v>4475.4642857142853</v>
      </c>
      <c r="AO78" s="629">
        <f t="shared" si="34"/>
        <v>8016.1861904761909</v>
      </c>
      <c r="AP78" s="629">
        <f t="shared" si="35"/>
        <v>6195.7023809523807</v>
      </c>
      <c r="AQ78" s="629">
        <f t="shared" si="36"/>
        <v>5888.4404761904761</v>
      </c>
      <c r="AR78" s="629">
        <f t="shared" si="37"/>
        <v>5556.6428571428569</v>
      </c>
      <c r="AS78" s="629">
        <f t="shared" si="38"/>
        <v>4477.3095238095239</v>
      </c>
      <c r="AT78" s="629">
        <f t="shared" si="39"/>
        <v>5427.1904761904761</v>
      </c>
      <c r="AU78" s="629">
        <f t="shared" si="40"/>
        <v>6677.663333333333</v>
      </c>
      <c r="AV78" s="629">
        <f t="shared" si="41"/>
        <v>6107.0119047619046</v>
      </c>
      <c r="AW78" s="629">
        <f t="shared" si="42"/>
        <v>4976.3928571428569</v>
      </c>
      <c r="AX78" s="629">
        <f t="shared" si="43"/>
        <v>7551.6547619047615</v>
      </c>
      <c r="AY78" s="629">
        <f t="shared" si="44"/>
        <v>5223.333333333333</v>
      </c>
      <c r="AZ78" s="629">
        <f t="shared" si="45"/>
        <v>3548.2857142857142</v>
      </c>
      <c r="BA78" s="629">
        <f t="shared" si="46"/>
        <v>6709.5238095238092</v>
      </c>
      <c r="BB78" s="629">
        <f t="shared" si="47"/>
        <v>4503.1309523809523</v>
      </c>
      <c r="BC78" s="629">
        <f t="shared" si="48"/>
        <v>7544.2142857142853</v>
      </c>
      <c r="BD78" s="630">
        <f t="shared" si="49"/>
        <v>4744.083333333333</v>
      </c>
      <c r="BE78" s="630">
        <f t="shared" si="50"/>
        <v>3690.8333333333335</v>
      </c>
      <c r="BF78" s="630">
        <f t="shared" si="51"/>
        <v>2288.2142857142858</v>
      </c>
      <c r="BG78" s="630">
        <f t="shared" si="52"/>
        <v>1134.3071428571429</v>
      </c>
      <c r="BH78" s="630">
        <f t="shared" si="53"/>
        <v>595.23809523809518</v>
      </c>
      <c r="BI78" s="630">
        <f t="shared" si="54"/>
        <v>583.47619047619048</v>
      </c>
      <c r="BJ78" s="630">
        <f t="shared" si="55"/>
        <v>89.285714285714292</v>
      </c>
      <c r="BK78" s="630"/>
      <c r="BL78" s="630">
        <f t="shared" si="56"/>
        <v>34.714285714285715</v>
      </c>
      <c r="BM78" s="629">
        <f t="shared" si="59"/>
        <v>201471.84547619053</v>
      </c>
    </row>
    <row r="79" spans="1:65" s="585" customFormat="1" ht="12.75" customHeight="1" outlineLevel="1">
      <c r="A79" s="308" t="s">
        <v>50</v>
      </c>
      <c r="B79" s="308">
        <f t="shared" si="20"/>
        <v>2021</v>
      </c>
      <c r="C79" s="308" t="s">
        <v>47</v>
      </c>
      <c r="D79" s="629"/>
      <c r="E79" s="629"/>
      <c r="F79" s="629"/>
      <c r="G79" s="629"/>
      <c r="H79" s="629">
        <f t="shared" si="62"/>
        <v>16923635.02</v>
      </c>
      <c r="I79" s="629"/>
      <c r="J79" s="629">
        <v>187879.89</v>
      </c>
      <c r="K79" s="629">
        <f>SUM(J$5:J79)</f>
        <v>10877598.330000002</v>
      </c>
      <c r="L79" s="629"/>
      <c r="M79" s="629">
        <f t="shared" si="57"/>
        <v>6046036.6899999976</v>
      </c>
      <c r="O79" s="629">
        <f t="shared" si="58"/>
        <v>0</v>
      </c>
      <c r="P79" s="629">
        <f t="shared" si="60"/>
        <v>0</v>
      </c>
      <c r="Q79" s="629">
        <f t="shared" si="61"/>
        <v>41.071428571428569</v>
      </c>
      <c r="R79" s="629">
        <f t="shared" si="63"/>
        <v>154.14285714285714</v>
      </c>
      <c r="S79" s="629">
        <f t="shared" si="64"/>
        <v>575.49285714285713</v>
      </c>
      <c r="T79" s="629">
        <f t="shared" si="65"/>
        <v>1879.5714285714287</v>
      </c>
      <c r="U79" s="629">
        <f t="shared" si="66"/>
        <v>3688.1155952380955</v>
      </c>
      <c r="V79" s="629">
        <f t="shared" si="67"/>
        <v>4470.3665476190472</v>
      </c>
      <c r="W79" s="629">
        <f t="shared" si="68"/>
        <v>4106.5282142857141</v>
      </c>
      <c r="X79" s="629">
        <f t="shared" ref="X79:X97" si="69">$G$14/84</f>
        <v>4018.7264285714286</v>
      </c>
      <c r="Y79" s="629">
        <f t="shared" ref="Y79:Y98" si="70">$G$15/84</f>
        <v>2916.0195238095239</v>
      </c>
      <c r="Z79" s="629">
        <f t="shared" si="18"/>
        <v>2546.3565476190479</v>
      </c>
      <c r="AA79" s="629">
        <f t="shared" si="19"/>
        <v>4932.6726190476193</v>
      </c>
      <c r="AB79" s="629">
        <f t="shared" si="21"/>
        <v>6082.1595238095242</v>
      </c>
      <c r="AC79" s="629">
        <f t="shared" si="22"/>
        <v>5612.689166666667</v>
      </c>
      <c r="AD79" s="629">
        <f t="shared" si="23"/>
        <v>5489.8403571428571</v>
      </c>
      <c r="AE79" s="629">
        <f t="shared" si="24"/>
        <v>7340.8214285714284</v>
      </c>
      <c r="AF79" s="629">
        <f t="shared" si="25"/>
        <v>7116.7023809523807</v>
      </c>
      <c r="AG79" s="629">
        <f t="shared" si="26"/>
        <v>5730.1814285714281</v>
      </c>
      <c r="AH79" s="629">
        <f t="shared" si="27"/>
        <v>4594.5159523809525</v>
      </c>
      <c r="AI79" s="629">
        <f t="shared" si="28"/>
        <v>5897.8397619047619</v>
      </c>
      <c r="AJ79" s="629">
        <f t="shared" si="29"/>
        <v>4094.22</v>
      </c>
      <c r="AK79" s="629">
        <f t="shared" si="30"/>
        <v>3846.1785714285716</v>
      </c>
      <c r="AL79" s="629">
        <f t="shared" si="31"/>
        <v>5212.7619047619046</v>
      </c>
      <c r="AM79" s="629">
        <f t="shared" si="32"/>
        <v>5086.5714285714284</v>
      </c>
      <c r="AN79" s="629">
        <f t="shared" si="33"/>
        <v>4475.4642857142853</v>
      </c>
      <c r="AO79" s="629">
        <f t="shared" si="34"/>
        <v>8016.1861904761909</v>
      </c>
      <c r="AP79" s="629">
        <f t="shared" si="35"/>
        <v>6195.7023809523807</v>
      </c>
      <c r="AQ79" s="629">
        <f t="shared" si="36"/>
        <v>5888.4404761904761</v>
      </c>
      <c r="AR79" s="629">
        <f t="shared" si="37"/>
        <v>5556.6428571428569</v>
      </c>
      <c r="AS79" s="629">
        <f t="shared" si="38"/>
        <v>4477.3095238095239</v>
      </c>
      <c r="AT79" s="629">
        <f t="shared" si="39"/>
        <v>5427.1904761904761</v>
      </c>
      <c r="AU79" s="629">
        <f t="shared" si="40"/>
        <v>6677.663333333333</v>
      </c>
      <c r="AV79" s="629">
        <f t="shared" si="41"/>
        <v>6107.0119047619046</v>
      </c>
      <c r="AW79" s="629">
        <f t="shared" si="42"/>
        <v>4976.3928571428569</v>
      </c>
      <c r="AX79" s="629">
        <f t="shared" si="43"/>
        <v>7551.6547619047615</v>
      </c>
      <c r="AY79" s="629">
        <f t="shared" si="44"/>
        <v>5223.333333333333</v>
      </c>
      <c r="AZ79" s="629">
        <f t="shared" si="45"/>
        <v>3548.2857142857142</v>
      </c>
      <c r="BA79" s="629">
        <f t="shared" si="46"/>
        <v>6709.5238095238092</v>
      </c>
      <c r="BB79" s="629">
        <f t="shared" si="47"/>
        <v>4503.1309523809523</v>
      </c>
      <c r="BC79" s="629">
        <f t="shared" si="48"/>
        <v>7544.2142857142853</v>
      </c>
      <c r="BD79" s="630">
        <f t="shared" si="49"/>
        <v>4744.083333333333</v>
      </c>
      <c r="BE79" s="630">
        <f t="shared" si="50"/>
        <v>3690.8333333333335</v>
      </c>
      <c r="BF79" s="630">
        <f t="shared" si="51"/>
        <v>2288.2142857142858</v>
      </c>
      <c r="BG79" s="630">
        <f t="shared" si="52"/>
        <v>1134.3071428571429</v>
      </c>
      <c r="BH79" s="630">
        <f t="shared" si="53"/>
        <v>595.23809523809518</v>
      </c>
      <c r="BI79" s="630">
        <f t="shared" si="54"/>
        <v>583.47619047619048</v>
      </c>
      <c r="BJ79" s="630">
        <f t="shared" si="55"/>
        <v>89.285714285714292</v>
      </c>
      <c r="BK79" s="630"/>
      <c r="BL79" s="630">
        <f t="shared" si="56"/>
        <v>34.714285714285715</v>
      </c>
      <c r="BM79" s="629">
        <f t="shared" si="59"/>
        <v>201471.84547619053</v>
      </c>
    </row>
    <row r="80" spans="1:65" s="585" customFormat="1" ht="12.75" customHeight="1" outlineLevel="1">
      <c r="A80" s="308" t="s">
        <v>51</v>
      </c>
      <c r="B80" s="308">
        <f t="shared" si="20"/>
        <v>2021</v>
      </c>
      <c r="C80" s="308" t="s">
        <v>47</v>
      </c>
      <c r="D80" s="629"/>
      <c r="E80" s="629"/>
      <c r="F80" s="629"/>
      <c r="G80" s="629"/>
      <c r="H80" s="629">
        <f t="shared" si="62"/>
        <v>16923635.02</v>
      </c>
      <c r="I80" s="629"/>
      <c r="J80" s="629">
        <v>210306.82</v>
      </c>
      <c r="K80" s="629">
        <f>SUM(J$5:J80)</f>
        <v>11087905.150000002</v>
      </c>
      <c r="L80" s="629"/>
      <c r="M80" s="629">
        <f t="shared" si="57"/>
        <v>5835729.8699999973</v>
      </c>
      <c r="O80" s="629">
        <f t="shared" si="58"/>
        <v>0</v>
      </c>
      <c r="P80" s="629">
        <f t="shared" si="60"/>
        <v>0</v>
      </c>
      <c r="Q80" s="629">
        <f t="shared" si="61"/>
        <v>41.071428571428569</v>
      </c>
      <c r="R80" s="629">
        <f t="shared" si="63"/>
        <v>154.14285714285714</v>
      </c>
      <c r="S80" s="629">
        <f t="shared" si="64"/>
        <v>575.49285714285713</v>
      </c>
      <c r="T80" s="629">
        <f t="shared" si="65"/>
        <v>1879.5714285714287</v>
      </c>
      <c r="U80" s="629">
        <f t="shared" si="66"/>
        <v>3688.1155952380955</v>
      </c>
      <c r="V80" s="629">
        <f t="shared" si="67"/>
        <v>4470.3665476190472</v>
      </c>
      <c r="W80" s="629">
        <f t="shared" si="68"/>
        <v>4106.5282142857141</v>
      </c>
      <c r="X80" s="629">
        <f t="shared" si="69"/>
        <v>4018.7264285714286</v>
      </c>
      <c r="Y80" s="629">
        <f t="shared" si="70"/>
        <v>2916.0195238095239</v>
      </c>
      <c r="Z80" s="629">
        <f t="shared" si="18"/>
        <v>2546.3565476190479</v>
      </c>
      <c r="AA80" s="629">
        <f t="shared" si="19"/>
        <v>4932.6726190476193</v>
      </c>
      <c r="AB80" s="629">
        <f t="shared" si="21"/>
        <v>6082.1595238095242</v>
      </c>
      <c r="AC80" s="629">
        <f t="shared" si="22"/>
        <v>5612.689166666667</v>
      </c>
      <c r="AD80" s="629">
        <f t="shared" si="23"/>
        <v>5489.8403571428571</v>
      </c>
      <c r="AE80" s="629">
        <f t="shared" si="24"/>
        <v>7340.8214285714284</v>
      </c>
      <c r="AF80" s="629">
        <f t="shared" si="25"/>
        <v>7116.7023809523807</v>
      </c>
      <c r="AG80" s="629">
        <f t="shared" si="26"/>
        <v>5730.1814285714281</v>
      </c>
      <c r="AH80" s="629">
        <f t="shared" si="27"/>
        <v>4594.5159523809525</v>
      </c>
      <c r="AI80" s="629">
        <f t="shared" si="28"/>
        <v>5897.8397619047619</v>
      </c>
      <c r="AJ80" s="629">
        <f t="shared" si="29"/>
        <v>4094.22</v>
      </c>
      <c r="AK80" s="629">
        <f t="shared" si="30"/>
        <v>3846.1785714285716</v>
      </c>
      <c r="AL80" s="629">
        <f t="shared" si="31"/>
        <v>5212.7619047619046</v>
      </c>
      <c r="AM80" s="629">
        <f t="shared" si="32"/>
        <v>5086.5714285714284</v>
      </c>
      <c r="AN80" s="629">
        <f t="shared" si="33"/>
        <v>4475.4642857142853</v>
      </c>
      <c r="AO80" s="629">
        <f t="shared" si="34"/>
        <v>8016.1861904761909</v>
      </c>
      <c r="AP80" s="629">
        <f t="shared" si="35"/>
        <v>6195.7023809523807</v>
      </c>
      <c r="AQ80" s="629">
        <f t="shared" si="36"/>
        <v>5888.4404761904761</v>
      </c>
      <c r="AR80" s="629">
        <f t="shared" si="37"/>
        <v>5556.6428571428569</v>
      </c>
      <c r="AS80" s="629">
        <f t="shared" si="38"/>
        <v>4477.3095238095239</v>
      </c>
      <c r="AT80" s="629">
        <f t="shared" si="39"/>
        <v>5427.1904761904761</v>
      </c>
      <c r="AU80" s="629">
        <f t="shared" si="40"/>
        <v>6677.663333333333</v>
      </c>
      <c r="AV80" s="629">
        <f t="shared" si="41"/>
        <v>6107.0119047619046</v>
      </c>
      <c r="AW80" s="629">
        <f t="shared" si="42"/>
        <v>4976.3928571428569</v>
      </c>
      <c r="AX80" s="629">
        <f t="shared" si="43"/>
        <v>7551.6547619047615</v>
      </c>
      <c r="AY80" s="629">
        <f t="shared" si="44"/>
        <v>5223.333333333333</v>
      </c>
      <c r="AZ80" s="629">
        <f t="shared" si="45"/>
        <v>3548.2857142857142</v>
      </c>
      <c r="BA80" s="629">
        <f t="shared" si="46"/>
        <v>6709.5238095238092</v>
      </c>
      <c r="BB80" s="629">
        <f t="shared" si="47"/>
        <v>4503.1309523809523</v>
      </c>
      <c r="BC80" s="629">
        <f t="shared" si="48"/>
        <v>7544.2142857142853</v>
      </c>
      <c r="BD80" s="630">
        <f t="shared" si="49"/>
        <v>4744.083333333333</v>
      </c>
      <c r="BE80" s="630">
        <f t="shared" si="50"/>
        <v>3690.8333333333335</v>
      </c>
      <c r="BF80" s="630">
        <f t="shared" si="51"/>
        <v>2288.2142857142858</v>
      </c>
      <c r="BG80" s="630">
        <f t="shared" si="52"/>
        <v>1134.3071428571429</v>
      </c>
      <c r="BH80" s="630">
        <f t="shared" si="53"/>
        <v>595.23809523809518</v>
      </c>
      <c r="BI80" s="630">
        <f t="shared" si="54"/>
        <v>583.47619047619048</v>
      </c>
      <c r="BJ80" s="630">
        <f t="shared" si="55"/>
        <v>89.285714285714292</v>
      </c>
      <c r="BK80" s="630"/>
      <c r="BL80" s="630">
        <f t="shared" si="56"/>
        <v>34.714285714285715</v>
      </c>
      <c r="BM80" s="629">
        <f t="shared" si="59"/>
        <v>201471.84547619053</v>
      </c>
    </row>
    <row r="81" spans="1:65" s="585" customFormat="1" ht="12.75" customHeight="1" outlineLevel="1">
      <c r="A81" s="308" t="s">
        <v>52</v>
      </c>
      <c r="B81" s="308">
        <f t="shared" si="20"/>
        <v>2021</v>
      </c>
      <c r="C81" s="308" t="s">
        <v>47</v>
      </c>
      <c r="D81" s="629"/>
      <c r="E81" s="629"/>
      <c r="F81" s="629"/>
      <c r="G81" s="629"/>
      <c r="H81" s="629">
        <f t="shared" si="62"/>
        <v>16923635.02</v>
      </c>
      <c r="I81" s="629"/>
      <c r="J81" s="629">
        <v>193323.01</v>
      </c>
      <c r="K81" s="629">
        <f>SUM(J$5:J81)</f>
        <v>11281228.160000002</v>
      </c>
      <c r="L81" s="629"/>
      <c r="M81" s="629">
        <f t="shared" si="57"/>
        <v>5642406.8599999975</v>
      </c>
      <c r="O81" s="629">
        <f t="shared" si="58"/>
        <v>0</v>
      </c>
      <c r="P81" s="629">
        <f t="shared" si="60"/>
        <v>0</v>
      </c>
      <c r="Q81" s="629">
        <f t="shared" si="61"/>
        <v>41.071428571428569</v>
      </c>
      <c r="R81" s="629">
        <f t="shared" si="63"/>
        <v>154.14285714285714</v>
      </c>
      <c r="S81" s="629">
        <f t="shared" si="64"/>
        <v>575.49285714285713</v>
      </c>
      <c r="T81" s="629">
        <f t="shared" si="65"/>
        <v>1879.5714285714287</v>
      </c>
      <c r="U81" s="629">
        <f t="shared" si="66"/>
        <v>3688.1155952380955</v>
      </c>
      <c r="V81" s="629">
        <f t="shared" si="67"/>
        <v>4470.3665476190472</v>
      </c>
      <c r="W81" s="629">
        <f t="shared" si="68"/>
        <v>4106.5282142857141</v>
      </c>
      <c r="X81" s="629">
        <f t="shared" si="69"/>
        <v>4018.7264285714286</v>
      </c>
      <c r="Y81" s="629">
        <f t="shared" si="70"/>
        <v>2916.0195238095239</v>
      </c>
      <c r="Z81" s="629">
        <f t="shared" ref="Z81:Z99" si="71">$G$16/84</f>
        <v>2546.3565476190479</v>
      </c>
      <c r="AA81" s="629">
        <f t="shared" ref="AA81:AA100" si="72">$G$17/84</f>
        <v>4932.6726190476193</v>
      </c>
      <c r="AB81" s="629">
        <f t="shared" si="21"/>
        <v>6082.1595238095242</v>
      </c>
      <c r="AC81" s="629">
        <f t="shared" si="22"/>
        <v>5612.689166666667</v>
      </c>
      <c r="AD81" s="629">
        <f t="shared" si="23"/>
        <v>5489.8403571428571</v>
      </c>
      <c r="AE81" s="629">
        <f t="shared" si="24"/>
        <v>7340.8214285714284</v>
      </c>
      <c r="AF81" s="629">
        <f t="shared" si="25"/>
        <v>7116.7023809523807</v>
      </c>
      <c r="AG81" s="629">
        <f t="shared" si="26"/>
        <v>5730.1814285714281</v>
      </c>
      <c r="AH81" s="629">
        <f t="shared" si="27"/>
        <v>4594.5159523809525</v>
      </c>
      <c r="AI81" s="629">
        <f t="shared" si="28"/>
        <v>5897.8397619047619</v>
      </c>
      <c r="AJ81" s="629">
        <f t="shared" si="29"/>
        <v>4094.22</v>
      </c>
      <c r="AK81" s="629">
        <f t="shared" si="30"/>
        <v>3846.1785714285716</v>
      </c>
      <c r="AL81" s="629">
        <f t="shared" si="31"/>
        <v>5212.7619047619046</v>
      </c>
      <c r="AM81" s="629">
        <f t="shared" si="32"/>
        <v>5086.5714285714284</v>
      </c>
      <c r="AN81" s="629">
        <f t="shared" si="33"/>
        <v>4475.4642857142853</v>
      </c>
      <c r="AO81" s="629">
        <f t="shared" si="34"/>
        <v>8016.1861904761909</v>
      </c>
      <c r="AP81" s="629">
        <f t="shared" si="35"/>
        <v>6195.7023809523807</v>
      </c>
      <c r="AQ81" s="629">
        <f t="shared" si="36"/>
        <v>5888.4404761904761</v>
      </c>
      <c r="AR81" s="629">
        <f t="shared" si="37"/>
        <v>5556.6428571428569</v>
      </c>
      <c r="AS81" s="629">
        <f t="shared" si="38"/>
        <v>4477.3095238095239</v>
      </c>
      <c r="AT81" s="629">
        <f t="shared" si="39"/>
        <v>5427.1904761904761</v>
      </c>
      <c r="AU81" s="629">
        <f t="shared" si="40"/>
        <v>6677.663333333333</v>
      </c>
      <c r="AV81" s="629">
        <f t="shared" si="41"/>
        <v>6107.0119047619046</v>
      </c>
      <c r="AW81" s="629">
        <f t="shared" si="42"/>
        <v>4976.3928571428569</v>
      </c>
      <c r="AX81" s="629">
        <f t="shared" si="43"/>
        <v>7551.6547619047615</v>
      </c>
      <c r="AY81" s="629">
        <f t="shared" si="44"/>
        <v>5223.333333333333</v>
      </c>
      <c r="AZ81" s="629">
        <f t="shared" si="45"/>
        <v>3548.2857142857142</v>
      </c>
      <c r="BA81" s="629">
        <f t="shared" si="46"/>
        <v>6709.5238095238092</v>
      </c>
      <c r="BB81" s="629">
        <f t="shared" si="47"/>
        <v>4503.1309523809523</v>
      </c>
      <c r="BC81" s="629">
        <f t="shared" si="48"/>
        <v>7544.2142857142853</v>
      </c>
      <c r="BD81" s="630">
        <f t="shared" si="49"/>
        <v>4744.083333333333</v>
      </c>
      <c r="BE81" s="630">
        <f t="shared" si="50"/>
        <v>3690.8333333333335</v>
      </c>
      <c r="BF81" s="630">
        <f t="shared" si="51"/>
        <v>2288.2142857142858</v>
      </c>
      <c r="BG81" s="630">
        <f t="shared" si="52"/>
        <v>1134.3071428571429</v>
      </c>
      <c r="BH81" s="630">
        <f t="shared" si="53"/>
        <v>595.23809523809518</v>
      </c>
      <c r="BI81" s="630">
        <f t="shared" si="54"/>
        <v>583.47619047619048</v>
      </c>
      <c r="BJ81" s="630">
        <f t="shared" si="55"/>
        <v>89.285714285714292</v>
      </c>
      <c r="BK81" s="630"/>
      <c r="BL81" s="630">
        <f t="shared" si="56"/>
        <v>34.714285714285715</v>
      </c>
      <c r="BM81" s="629">
        <f t="shared" si="59"/>
        <v>201471.84547619053</v>
      </c>
    </row>
    <row r="82" spans="1:65" s="585" customFormat="1" ht="12.75" customHeight="1" outlineLevel="1">
      <c r="A82" s="308" t="s">
        <v>53</v>
      </c>
      <c r="B82" s="308">
        <f t="shared" ref="B82:B129" si="73">+B70+1</f>
        <v>2022</v>
      </c>
      <c r="C82" s="308" t="s">
        <v>47</v>
      </c>
      <c r="D82" s="629"/>
      <c r="E82" s="629"/>
      <c r="F82" s="629"/>
      <c r="G82" s="629"/>
      <c r="H82" s="629">
        <f t="shared" si="62"/>
        <v>16923635.02</v>
      </c>
      <c r="I82" s="629"/>
      <c r="J82" s="629">
        <v>194693.77</v>
      </c>
      <c r="K82" s="629">
        <f>SUM(J$5:J82)</f>
        <v>11475921.930000002</v>
      </c>
      <c r="L82" s="629"/>
      <c r="M82" s="629">
        <f t="shared" si="57"/>
        <v>5447713.089999998</v>
      </c>
      <c r="O82" s="629">
        <f t="shared" si="58"/>
        <v>0</v>
      </c>
      <c r="P82" s="629">
        <f t="shared" si="60"/>
        <v>0</v>
      </c>
      <c r="Q82" s="629">
        <f t="shared" si="61"/>
        <v>41.071428571428569</v>
      </c>
      <c r="R82" s="629">
        <f t="shared" si="63"/>
        <v>154.14285714285714</v>
      </c>
      <c r="S82" s="629">
        <f t="shared" si="64"/>
        <v>575.49285714285713</v>
      </c>
      <c r="T82" s="629">
        <f t="shared" si="65"/>
        <v>1879.5714285714287</v>
      </c>
      <c r="U82" s="629">
        <f t="shared" si="66"/>
        <v>3688.1155952380955</v>
      </c>
      <c r="V82" s="629">
        <f t="shared" si="67"/>
        <v>4470.3665476190472</v>
      </c>
      <c r="W82" s="629">
        <f t="shared" si="68"/>
        <v>4106.5282142857141</v>
      </c>
      <c r="X82" s="629">
        <f t="shared" si="69"/>
        <v>4018.7264285714286</v>
      </c>
      <c r="Y82" s="629">
        <f t="shared" si="70"/>
        <v>2916.0195238095239</v>
      </c>
      <c r="Z82" s="629">
        <f t="shared" si="71"/>
        <v>2546.3565476190479</v>
      </c>
      <c r="AA82" s="629">
        <f t="shared" si="72"/>
        <v>4932.6726190476193</v>
      </c>
      <c r="AB82" s="629">
        <f t="shared" si="21"/>
        <v>6082.1595238095242</v>
      </c>
      <c r="AC82" s="629">
        <f t="shared" si="22"/>
        <v>5612.689166666667</v>
      </c>
      <c r="AD82" s="629">
        <f t="shared" si="23"/>
        <v>5489.8403571428571</v>
      </c>
      <c r="AE82" s="629">
        <f t="shared" si="24"/>
        <v>7340.8214285714284</v>
      </c>
      <c r="AF82" s="629">
        <f t="shared" si="25"/>
        <v>7116.7023809523807</v>
      </c>
      <c r="AG82" s="629">
        <f t="shared" si="26"/>
        <v>5730.1814285714281</v>
      </c>
      <c r="AH82" s="629">
        <f t="shared" si="27"/>
        <v>4594.5159523809525</v>
      </c>
      <c r="AI82" s="629">
        <f t="shared" si="28"/>
        <v>5897.8397619047619</v>
      </c>
      <c r="AJ82" s="629">
        <f t="shared" si="29"/>
        <v>4094.22</v>
      </c>
      <c r="AK82" s="629">
        <f t="shared" si="30"/>
        <v>3846.1785714285716</v>
      </c>
      <c r="AL82" s="629">
        <f t="shared" si="31"/>
        <v>5212.7619047619046</v>
      </c>
      <c r="AM82" s="629">
        <f t="shared" si="32"/>
        <v>5086.5714285714284</v>
      </c>
      <c r="AN82" s="629">
        <f t="shared" si="33"/>
        <v>4475.4642857142853</v>
      </c>
      <c r="AO82" s="629">
        <f t="shared" si="34"/>
        <v>8016.1861904761909</v>
      </c>
      <c r="AP82" s="629">
        <f t="shared" si="35"/>
        <v>6195.7023809523807</v>
      </c>
      <c r="AQ82" s="629">
        <f t="shared" si="36"/>
        <v>5888.4404761904761</v>
      </c>
      <c r="AR82" s="629">
        <f t="shared" si="37"/>
        <v>5556.6428571428569</v>
      </c>
      <c r="AS82" s="629">
        <f t="shared" si="38"/>
        <v>4477.3095238095239</v>
      </c>
      <c r="AT82" s="629">
        <f t="shared" si="39"/>
        <v>5427.1904761904761</v>
      </c>
      <c r="AU82" s="629">
        <f t="shared" si="40"/>
        <v>6677.663333333333</v>
      </c>
      <c r="AV82" s="629">
        <f t="shared" si="41"/>
        <v>6107.0119047619046</v>
      </c>
      <c r="AW82" s="629">
        <f t="shared" si="42"/>
        <v>4976.3928571428569</v>
      </c>
      <c r="AX82" s="629">
        <f t="shared" si="43"/>
        <v>7551.6547619047615</v>
      </c>
      <c r="AY82" s="629">
        <f t="shared" si="44"/>
        <v>5223.333333333333</v>
      </c>
      <c r="AZ82" s="629">
        <f t="shared" si="45"/>
        <v>3548.2857142857142</v>
      </c>
      <c r="BA82" s="629">
        <f t="shared" si="46"/>
        <v>6709.5238095238092</v>
      </c>
      <c r="BB82" s="629">
        <f t="shared" si="47"/>
        <v>4503.1309523809523</v>
      </c>
      <c r="BC82" s="629">
        <f t="shared" si="48"/>
        <v>7544.2142857142853</v>
      </c>
      <c r="BD82" s="630">
        <f t="shared" si="49"/>
        <v>4744.083333333333</v>
      </c>
      <c r="BE82" s="630">
        <f t="shared" si="50"/>
        <v>3690.8333333333335</v>
      </c>
      <c r="BF82" s="630">
        <f t="shared" si="51"/>
        <v>2288.2142857142858</v>
      </c>
      <c r="BG82" s="630">
        <f t="shared" si="52"/>
        <v>1134.3071428571429</v>
      </c>
      <c r="BH82" s="630">
        <f t="shared" si="53"/>
        <v>595.23809523809518</v>
      </c>
      <c r="BI82" s="630">
        <f t="shared" si="54"/>
        <v>583.47619047619048</v>
      </c>
      <c r="BJ82" s="630">
        <f t="shared" si="55"/>
        <v>89.285714285714292</v>
      </c>
      <c r="BK82" s="630"/>
      <c r="BL82" s="630">
        <f t="shared" si="56"/>
        <v>34.714285714285715</v>
      </c>
      <c r="BM82" s="629">
        <f t="shared" si="59"/>
        <v>201471.84547619053</v>
      </c>
    </row>
    <row r="83" spans="1:65" s="585" customFormat="1" ht="12.75" customHeight="1" outlineLevel="1">
      <c r="A83" s="308" t="s">
        <v>54</v>
      </c>
      <c r="B83" s="308">
        <f t="shared" si="73"/>
        <v>2022</v>
      </c>
      <c r="C83" s="308" t="s">
        <v>47</v>
      </c>
      <c r="D83" s="629"/>
      <c r="E83" s="629"/>
      <c r="F83" s="629"/>
      <c r="G83" s="629"/>
      <c r="H83" s="629">
        <f t="shared" si="62"/>
        <v>16923635.02</v>
      </c>
      <c r="I83" s="629"/>
      <c r="J83" s="629">
        <v>166727.95000000001</v>
      </c>
      <c r="K83" s="629">
        <f>SUM(J$5:J83)</f>
        <v>11642649.880000001</v>
      </c>
      <c r="L83" s="629"/>
      <c r="M83" s="629">
        <f t="shared" si="57"/>
        <v>5280985.1399999987</v>
      </c>
      <c r="O83" s="629">
        <f t="shared" si="58"/>
        <v>0</v>
      </c>
      <c r="P83" s="629">
        <f t="shared" si="60"/>
        <v>0</v>
      </c>
      <c r="Q83" s="629">
        <f t="shared" si="61"/>
        <v>41.071428571428569</v>
      </c>
      <c r="R83" s="629">
        <f t="shared" si="63"/>
        <v>154.14285714285714</v>
      </c>
      <c r="S83" s="629">
        <f t="shared" si="64"/>
        <v>575.49285714285713</v>
      </c>
      <c r="T83" s="629">
        <f t="shared" si="65"/>
        <v>1879.5714285714287</v>
      </c>
      <c r="U83" s="629">
        <f t="shared" si="66"/>
        <v>3688.1155952380955</v>
      </c>
      <c r="V83" s="629">
        <f t="shared" si="67"/>
        <v>4470.3665476190472</v>
      </c>
      <c r="W83" s="629">
        <f t="shared" si="68"/>
        <v>4106.5282142857141</v>
      </c>
      <c r="X83" s="629">
        <f t="shared" si="69"/>
        <v>4018.7264285714286</v>
      </c>
      <c r="Y83" s="629">
        <f t="shared" si="70"/>
        <v>2916.0195238095239</v>
      </c>
      <c r="Z83" s="629">
        <f t="shared" si="71"/>
        <v>2546.3565476190479</v>
      </c>
      <c r="AA83" s="629">
        <f t="shared" si="72"/>
        <v>4932.6726190476193</v>
      </c>
      <c r="AB83" s="629">
        <f t="shared" ref="AB83:AB101" si="74">$G$18/84</f>
        <v>6082.1595238095242</v>
      </c>
      <c r="AC83" s="629">
        <f t="shared" ref="AC83:AC102" si="75">$G$19/84</f>
        <v>5612.689166666667</v>
      </c>
      <c r="AD83" s="629">
        <f t="shared" si="23"/>
        <v>5489.8403571428571</v>
      </c>
      <c r="AE83" s="629">
        <f t="shared" si="24"/>
        <v>7340.8214285714284</v>
      </c>
      <c r="AF83" s="629">
        <f t="shared" si="25"/>
        <v>7116.7023809523807</v>
      </c>
      <c r="AG83" s="629">
        <f t="shared" si="26"/>
        <v>5730.1814285714281</v>
      </c>
      <c r="AH83" s="629">
        <f t="shared" si="27"/>
        <v>4594.5159523809525</v>
      </c>
      <c r="AI83" s="629">
        <f t="shared" si="28"/>
        <v>5897.8397619047619</v>
      </c>
      <c r="AJ83" s="629">
        <f t="shared" si="29"/>
        <v>4094.22</v>
      </c>
      <c r="AK83" s="629">
        <f t="shared" si="30"/>
        <v>3846.1785714285716</v>
      </c>
      <c r="AL83" s="629">
        <f t="shared" si="31"/>
        <v>5212.7619047619046</v>
      </c>
      <c r="AM83" s="629">
        <f t="shared" si="32"/>
        <v>5086.5714285714284</v>
      </c>
      <c r="AN83" s="629">
        <f t="shared" si="33"/>
        <v>4475.4642857142853</v>
      </c>
      <c r="AO83" s="629">
        <f t="shared" si="34"/>
        <v>8016.1861904761909</v>
      </c>
      <c r="AP83" s="629">
        <f t="shared" si="35"/>
        <v>6195.7023809523807</v>
      </c>
      <c r="AQ83" s="629">
        <f t="shared" si="36"/>
        <v>5888.4404761904761</v>
      </c>
      <c r="AR83" s="629">
        <f t="shared" si="37"/>
        <v>5556.6428571428569</v>
      </c>
      <c r="AS83" s="629">
        <f t="shared" si="38"/>
        <v>4477.3095238095239</v>
      </c>
      <c r="AT83" s="629">
        <f t="shared" si="39"/>
        <v>5427.1904761904761</v>
      </c>
      <c r="AU83" s="629">
        <f t="shared" si="40"/>
        <v>6677.663333333333</v>
      </c>
      <c r="AV83" s="629">
        <f t="shared" si="41"/>
        <v>6107.0119047619046</v>
      </c>
      <c r="AW83" s="629">
        <f t="shared" si="42"/>
        <v>4976.3928571428569</v>
      </c>
      <c r="AX83" s="629">
        <f t="shared" si="43"/>
        <v>7551.6547619047615</v>
      </c>
      <c r="AY83" s="629">
        <f t="shared" si="44"/>
        <v>5223.333333333333</v>
      </c>
      <c r="AZ83" s="629">
        <f t="shared" si="45"/>
        <v>3548.2857142857142</v>
      </c>
      <c r="BA83" s="629">
        <f t="shared" si="46"/>
        <v>6709.5238095238092</v>
      </c>
      <c r="BB83" s="629">
        <f t="shared" si="47"/>
        <v>4503.1309523809523</v>
      </c>
      <c r="BC83" s="629">
        <f t="shared" si="48"/>
        <v>7544.2142857142853</v>
      </c>
      <c r="BD83" s="630">
        <f t="shared" si="49"/>
        <v>4744.083333333333</v>
      </c>
      <c r="BE83" s="630">
        <f t="shared" si="50"/>
        <v>3690.8333333333335</v>
      </c>
      <c r="BF83" s="630">
        <f t="shared" si="51"/>
        <v>2288.2142857142858</v>
      </c>
      <c r="BG83" s="630">
        <f t="shared" si="52"/>
        <v>1134.3071428571429</v>
      </c>
      <c r="BH83" s="630">
        <f t="shared" si="53"/>
        <v>595.23809523809518</v>
      </c>
      <c r="BI83" s="630">
        <f t="shared" si="54"/>
        <v>583.47619047619048</v>
      </c>
      <c r="BJ83" s="630">
        <f t="shared" si="55"/>
        <v>89.285714285714292</v>
      </c>
      <c r="BK83" s="630"/>
      <c r="BL83" s="630">
        <f t="shared" si="56"/>
        <v>34.714285714285715</v>
      </c>
      <c r="BM83" s="629">
        <f t="shared" si="59"/>
        <v>201471.84547619053</v>
      </c>
    </row>
    <row r="84" spans="1:65" s="585" customFormat="1" ht="12.75" customHeight="1" outlineLevel="1">
      <c r="A84" s="308" t="s">
        <v>55</v>
      </c>
      <c r="B84" s="308">
        <f t="shared" si="73"/>
        <v>2022</v>
      </c>
      <c r="C84" s="308" t="s">
        <v>47</v>
      </c>
      <c r="D84" s="629"/>
      <c r="E84" s="629"/>
      <c r="F84" s="629"/>
      <c r="G84" s="629"/>
      <c r="H84" s="629">
        <f t="shared" si="62"/>
        <v>16923635.02</v>
      </c>
      <c r="I84" s="629"/>
      <c r="J84" s="629">
        <v>218217.45</v>
      </c>
      <c r="K84" s="629">
        <f>SUM(J$5:J84)</f>
        <v>11860867.33</v>
      </c>
      <c r="L84" s="629"/>
      <c r="M84" s="629">
        <f t="shared" si="57"/>
        <v>5062767.6899999995</v>
      </c>
      <c r="O84" s="629">
        <f t="shared" si="58"/>
        <v>0</v>
      </c>
      <c r="P84" s="629">
        <f t="shared" si="60"/>
        <v>0</v>
      </c>
      <c r="Q84" s="629">
        <f t="shared" si="61"/>
        <v>41.071428571428569</v>
      </c>
      <c r="R84" s="629">
        <f t="shared" si="63"/>
        <v>154.14285714285714</v>
      </c>
      <c r="S84" s="629">
        <f t="shared" si="64"/>
        <v>575.49285714285713</v>
      </c>
      <c r="T84" s="629">
        <f t="shared" si="65"/>
        <v>1879.5714285714287</v>
      </c>
      <c r="U84" s="629">
        <f t="shared" si="66"/>
        <v>3688.1155952380955</v>
      </c>
      <c r="V84" s="629">
        <f t="shared" si="67"/>
        <v>4470.3665476190472</v>
      </c>
      <c r="W84" s="629">
        <f t="shared" si="68"/>
        <v>4106.5282142857141</v>
      </c>
      <c r="X84" s="629">
        <f t="shared" si="69"/>
        <v>4018.7264285714286</v>
      </c>
      <c r="Y84" s="629">
        <f t="shared" si="70"/>
        <v>2916.0195238095239</v>
      </c>
      <c r="Z84" s="629">
        <f t="shared" si="71"/>
        <v>2546.3565476190479</v>
      </c>
      <c r="AA84" s="629">
        <f t="shared" si="72"/>
        <v>4932.6726190476193</v>
      </c>
      <c r="AB84" s="629">
        <f t="shared" si="74"/>
        <v>6082.1595238095242</v>
      </c>
      <c r="AC84" s="629">
        <f t="shared" si="75"/>
        <v>5612.689166666667</v>
      </c>
      <c r="AD84" s="629">
        <f t="shared" si="23"/>
        <v>5489.8403571428571</v>
      </c>
      <c r="AE84" s="629">
        <f t="shared" si="24"/>
        <v>7340.8214285714284</v>
      </c>
      <c r="AF84" s="629">
        <f t="shared" si="25"/>
        <v>7116.7023809523807</v>
      </c>
      <c r="AG84" s="629">
        <f t="shared" si="26"/>
        <v>5730.1814285714281</v>
      </c>
      <c r="AH84" s="629">
        <f t="shared" si="27"/>
        <v>4594.5159523809525</v>
      </c>
      <c r="AI84" s="629">
        <f t="shared" si="28"/>
        <v>5897.8397619047619</v>
      </c>
      <c r="AJ84" s="629">
        <f t="shared" si="29"/>
        <v>4094.22</v>
      </c>
      <c r="AK84" s="629">
        <f t="shared" si="30"/>
        <v>3846.1785714285716</v>
      </c>
      <c r="AL84" s="629">
        <f t="shared" si="31"/>
        <v>5212.7619047619046</v>
      </c>
      <c r="AM84" s="629">
        <f t="shared" si="32"/>
        <v>5086.5714285714284</v>
      </c>
      <c r="AN84" s="629">
        <f t="shared" si="33"/>
        <v>4475.4642857142853</v>
      </c>
      <c r="AO84" s="629">
        <f t="shared" si="34"/>
        <v>8016.1861904761909</v>
      </c>
      <c r="AP84" s="629">
        <f t="shared" si="35"/>
        <v>6195.7023809523807</v>
      </c>
      <c r="AQ84" s="629">
        <f t="shared" si="36"/>
        <v>5888.4404761904761</v>
      </c>
      <c r="AR84" s="629">
        <f t="shared" si="37"/>
        <v>5556.6428571428569</v>
      </c>
      <c r="AS84" s="629">
        <f t="shared" si="38"/>
        <v>4477.3095238095239</v>
      </c>
      <c r="AT84" s="629">
        <f t="shared" si="39"/>
        <v>5427.1904761904761</v>
      </c>
      <c r="AU84" s="629">
        <f t="shared" si="40"/>
        <v>6677.663333333333</v>
      </c>
      <c r="AV84" s="629">
        <f t="shared" si="41"/>
        <v>6107.0119047619046</v>
      </c>
      <c r="AW84" s="629">
        <f t="shared" si="42"/>
        <v>4976.3928571428569</v>
      </c>
      <c r="AX84" s="629">
        <f t="shared" si="43"/>
        <v>7551.6547619047615</v>
      </c>
      <c r="AY84" s="629">
        <f t="shared" si="44"/>
        <v>5223.333333333333</v>
      </c>
      <c r="AZ84" s="629">
        <f t="shared" si="45"/>
        <v>3548.2857142857142</v>
      </c>
      <c r="BA84" s="629">
        <f t="shared" si="46"/>
        <v>6709.5238095238092</v>
      </c>
      <c r="BB84" s="629">
        <f t="shared" si="47"/>
        <v>4503.1309523809523</v>
      </c>
      <c r="BC84" s="629">
        <f t="shared" si="48"/>
        <v>7544.2142857142853</v>
      </c>
      <c r="BD84" s="630">
        <f t="shared" si="49"/>
        <v>4744.083333333333</v>
      </c>
      <c r="BE84" s="630">
        <f t="shared" si="50"/>
        <v>3690.8333333333335</v>
      </c>
      <c r="BF84" s="630">
        <f t="shared" si="51"/>
        <v>2288.2142857142858</v>
      </c>
      <c r="BG84" s="630">
        <f t="shared" si="52"/>
        <v>1134.3071428571429</v>
      </c>
      <c r="BH84" s="630">
        <f t="shared" si="53"/>
        <v>595.23809523809518</v>
      </c>
      <c r="BI84" s="630">
        <f t="shared" si="54"/>
        <v>583.47619047619048</v>
      </c>
      <c r="BJ84" s="630">
        <f t="shared" si="55"/>
        <v>89.285714285714292</v>
      </c>
      <c r="BK84" s="630"/>
      <c r="BL84" s="630">
        <f t="shared" si="56"/>
        <v>34.714285714285715</v>
      </c>
      <c r="BM84" s="629">
        <f t="shared" si="59"/>
        <v>201471.84547619053</v>
      </c>
    </row>
    <row r="85" spans="1:65" s="585" customFormat="1" ht="12.75" customHeight="1" outlineLevel="1">
      <c r="A85" s="308" t="s">
        <v>56</v>
      </c>
      <c r="B85" s="308">
        <f t="shared" si="73"/>
        <v>2022</v>
      </c>
      <c r="C85" s="308" t="s">
        <v>47</v>
      </c>
      <c r="D85" s="629"/>
      <c r="E85" s="629"/>
      <c r="F85" s="629"/>
      <c r="G85" s="629"/>
      <c r="H85" s="629">
        <f t="shared" si="62"/>
        <v>16923635.02</v>
      </c>
      <c r="I85" s="629"/>
      <c r="J85" s="629">
        <v>198228.34</v>
      </c>
      <c r="K85" s="629">
        <f>SUM(J$5:J85)</f>
        <v>12059095.67</v>
      </c>
      <c r="L85" s="629"/>
      <c r="M85" s="629">
        <f t="shared" si="57"/>
        <v>4864539.3499999996</v>
      </c>
      <c r="O85" s="629">
        <f t="shared" si="58"/>
        <v>0</v>
      </c>
      <c r="P85" s="629">
        <f t="shared" si="60"/>
        <v>0</v>
      </c>
      <c r="Q85" s="629">
        <f t="shared" si="61"/>
        <v>41.071428571428569</v>
      </c>
      <c r="R85" s="629">
        <f t="shared" si="63"/>
        <v>154.14285714285714</v>
      </c>
      <c r="S85" s="629">
        <f t="shared" si="64"/>
        <v>575.49285714285713</v>
      </c>
      <c r="T85" s="629">
        <f t="shared" si="65"/>
        <v>1879.5714285714287</v>
      </c>
      <c r="U85" s="629">
        <f t="shared" si="66"/>
        <v>3688.1155952380955</v>
      </c>
      <c r="V85" s="629">
        <f t="shared" si="67"/>
        <v>4470.3665476190472</v>
      </c>
      <c r="W85" s="629">
        <f t="shared" si="68"/>
        <v>4106.5282142857141</v>
      </c>
      <c r="X85" s="629">
        <f t="shared" si="69"/>
        <v>4018.7264285714286</v>
      </c>
      <c r="Y85" s="629">
        <f t="shared" si="70"/>
        <v>2916.0195238095239</v>
      </c>
      <c r="Z85" s="629">
        <f t="shared" si="71"/>
        <v>2546.3565476190479</v>
      </c>
      <c r="AA85" s="629">
        <f t="shared" si="72"/>
        <v>4932.6726190476193</v>
      </c>
      <c r="AB85" s="629">
        <f t="shared" si="74"/>
        <v>6082.1595238095242</v>
      </c>
      <c r="AC85" s="629">
        <f t="shared" si="75"/>
        <v>5612.689166666667</v>
      </c>
      <c r="AD85" s="629">
        <f t="shared" ref="AD85:AD103" si="76">$G$20/84</f>
        <v>5489.8403571428571</v>
      </c>
      <c r="AE85" s="629">
        <f t="shared" ref="AE85:AE104" si="77">$G$21/84</f>
        <v>7340.8214285714284</v>
      </c>
      <c r="AF85" s="629">
        <f t="shared" si="25"/>
        <v>7116.7023809523807</v>
      </c>
      <c r="AG85" s="629">
        <f t="shared" si="26"/>
        <v>5730.1814285714281</v>
      </c>
      <c r="AH85" s="629">
        <f t="shared" si="27"/>
        <v>4594.5159523809525</v>
      </c>
      <c r="AI85" s="629">
        <f t="shared" si="28"/>
        <v>5897.8397619047619</v>
      </c>
      <c r="AJ85" s="629">
        <f t="shared" si="29"/>
        <v>4094.22</v>
      </c>
      <c r="AK85" s="629">
        <f t="shared" si="30"/>
        <v>3846.1785714285716</v>
      </c>
      <c r="AL85" s="629">
        <f t="shared" si="31"/>
        <v>5212.7619047619046</v>
      </c>
      <c r="AM85" s="629">
        <f t="shared" si="32"/>
        <v>5086.5714285714284</v>
      </c>
      <c r="AN85" s="629">
        <f t="shared" si="33"/>
        <v>4475.4642857142853</v>
      </c>
      <c r="AO85" s="629">
        <f t="shared" si="34"/>
        <v>8016.1861904761909</v>
      </c>
      <c r="AP85" s="629">
        <f t="shared" si="35"/>
        <v>6195.7023809523807</v>
      </c>
      <c r="AQ85" s="629">
        <f t="shared" si="36"/>
        <v>5888.4404761904761</v>
      </c>
      <c r="AR85" s="629">
        <f t="shared" si="37"/>
        <v>5556.6428571428569</v>
      </c>
      <c r="AS85" s="629">
        <f t="shared" si="38"/>
        <v>4477.3095238095239</v>
      </c>
      <c r="AT85" s="629">
        <f t="shared" si="39"/>
        <v>5427.1904761904761</v>
      </c>
      <c r="AU85" s="629">
        <f t="shared" si="40"/>
        <v>6677.663333333333</v>
      </c>
      <c r="AV85" s="629">
        <f t="shared" si="41"/>
        <v>6107.0119047619046</v>
      </c>
      <c r="AW85" s="629">
        <f t="shared" si="42"/>
        <v>4976.3928571428569</v>
      </c>
      <c r="AX85" s="629">
        <f t="shared" si="43"/>
        <v>7551.6547619047615</v>
      </c>
      <c r="AY85" s="629">
        <f t="shared" si="44"/>
        <v>5223.333333333333</v>
      </c>
      <c r="AZ85" s="629">
        <f t="shared" si="45"/>
        <v>3548.2857142857142</v>
      </c>
      <c r="BA85" s="629">
        <f t="shared" si="46"/>
        <v>6709.5238095238092</v>
      </c>
      <c r="BB85" s="629">
        <f t="shared" si="47"/>
        <v>4503.1309523809523</v>
      </c>
      <c r="BC85" s="629">
        <f t="shared" si="48"/>
        <v>7544.2142857142853</v>
      </c>
      <c r="BD85" s="630">
        <f t="shared" si="49"/>
        <v>4744.083333333333</v>
      </c>
      <c r="BE85" s="630">
        <f t="shared" si="50"/>
        <v>3690.8333333333335</v>
      </c>
      <c r="BF85" s="630">
        <f t="shared" si="51"/>
        <v>2288.2142857142858</v>
      </c>
      <c r="BG85" s="630">
        <f t="shared" si="52"/>
        <v>1134.3071428571429</v>
      </c>
      <c r="BH85" s="630">
        <f t="shared" si="53"/>
        <v>595.23809523809518</v>
      </c>
      <c r="BI85" s="630">
        <f t="shared" si="54"/>
        <v>583.47619047619048</v>
      </c>
      <c r="BJ85" s="630">
        <f t="shared" si="55"/>
        <v>89.285714285714292</v>
      </c>
      <c r="BK85" s="630"/>
      <c r="BL85" s="630">
        <f t="shared" si="56"/>
        <v>34.714285714285715</v>
      </c>
      <c r="BM85" s="629">
        <f t="shared" si="59"/>
        <v>201471.84547619053</v>
      </c>
    </row>
    <row r="86" spans="1:65" s="585" customFormat="1" ht="12.75" customHeight="1" outlineLevel="1">
      <c r="A86" s="308" t="s">
        <v>57</v>
      </c>
      <c r="B86" s="308">
        <f t="shared" si="73"/>
        <v>2022</v>
      </c>
      <c r="C86" s="308" t="s">
        <v>47</v>
      </c>
      <c r="D86" s="629"/>
      <c r="E86" s="629"/>
      <c r="F86" s="629"/>
      <c r="G86" s="629"/>
      <c r="H86" s="629">
        <f t="shared" si="62"/>
        <v>16923635.02</v>
      </c>
      <c r="I86" s="629"/>
      <c r="J86" s="629">
        <v>174342.02</v>
      </c>
      <c r="K86" s="629">
        <f>SUM(J$5:J86)</f>
        <v>12233437.689999999</v>
      </c>
      <c r="L86" s="629"/>
      <c r="M86" s="629">
        <f t="shared" si="57"/>
        <v>4690197.33</v>
      </c>
      <c r="O86" s="629">
        <f t="shared" si="58"/>
        <v>0</v>
      </c>
      <c r="P86" s="629">
        <f t="shared" si="60"/>
        <v>0</v>
      </c>
      <c r="Q86" s="629">
        <f t="shared" si="61"/>
        <v>41.071428571428569</v>
      </c>
      <c r="R86" s="629">
        <f t="shared" si="63"/>
        <v>154.14285714285714</v>
      </c>
      <c r="S86" s="629">
        <f t="shared" si="64"/>
        <v>575.49285714285713</v>
      </c>
      <c r="T86" s="629">
        <f t="shared" si="65"/>
        <v>1879.5714285714287</v>
      </c>
      <c r="U86" s="629">
        <f t="shared" si="66"/>
        <v>3688.1155952380955</v>
      </c>
      <c r="V86" s="629">
        <f t="shared" si="67"/>
        <v>4470.3665476190472</v>
      </c>
      <c r="W86" s="629">
        <f t="shared" si="68"/>
        <v>4106.5282142857141</v>
      </c>
      <c r="X86" s="629">
        <f t="shared" si="69"/>
        <v>4018.7264285714286</v>
      </c>
      <c r="Y86" s="629">
        <f t="shared" si="70"/>
        <v>2916.0195238095239</v>
      </c>
      <c r="Z86" s="629">
        <f t="shared" si="71"/>
        <v>2546.3565476190479</v>
      </c>
      <c r="AA86" s="629">
        <f t="shared" si="72"/>
        <v>4932.6726190476193</v>
      </c>
      <c r="AB86" s="629">
        <f t="shared" si="74"/>
        <v>6082.1595238095242</v>
      </c>
      <c r="AC86" s="629">
        <f t="shared" si="75"/>
        <v>5612.689166666667</v>
      </c>
      <c r="AD86" s="629">
        <f t="shared" si="76"/>
        <v>5489.8403571428571</v>
      </c>
      <c r="AE86" s="629">
        <f t="shared" si="77"/>
        <v>7340.8214285714284</v>
      </c>
      <c r="AF86" s="629">
        <f t="shared" si="25"/>
        <v>7116.7023809523807</v>
      </c>
      <c r="AG86" s="629">
        <f t="shared" si="26"/>
        <v>5730.1814285714281</v>
      </c>
      <c r="AH86" s="629">
        <f t="shared" si="27"/>
        <v>4594.5159523809525</v>
      </c>
      <c r="AI86" s="629">
        <f t="shared" si="28"/>
        <v>5897.8397619047619</v>
      </c>
      <c r="AJ86" s="629">
        <f t="shared" si="29"/>
        <v>4094.22</v>
      </c>
      <c r="AK86" s="629">
        <f t="shared" si="30"/>
        <v>3846.1785714285716</v>
      </c>
      <c r="AL86" s="629">
        <f t="shared" si="31"/>
        <v>5212.7619047619046</v>
      </c>
      <c r="AM86" s="629">
        <f t="shared" si="32"/>
        <v>5086.5714285714284</v>
      </c>
      <c r="AN86" s="629">
        <f t="shared" si="33"/>
        <v>4475.4642857142853</v>
      </c>
      <c r="AO86" s="629">
        <f t="shared" si="34"/>
        <v>8016.1861904761909</v>
      </c>
      <c r="AP86" s="629">
        <f t="shared" si="35"/>
        <v>6195.7023809523807</v>
      </c>
      <c r="AQ86" s="629">
        <f t="shared" si="36"/>
        <v>5888.4404761904761</v>
      </c>
      <c r="AR86" s="629">
        <f t="shared" si="37"/>
        <v>5556.6428571428569</v>
      </c>
      <c r="AS86" s="629">
        <f t="shared" si="38"/>
        <v>4477.3095238095239</v>
      </c>
      <c r="AT86" s="629">
        <f t="shared" si="39"/>
        <v>5427.1904761904761</v>
      </c>
      <c r="AU86" s="629">
        <f t="shared" si="40"/>
        <v>6677.663333333333</v>
      </c>
      <c r="AV86" s="629">
        <f t="shared" si="41"/>
        <v>6107.0119047619046</v>
      </c>
      <c r="AW86" s="629">
        <f t="shared" si="42"/>
        <v>4976.3928571428569</v>
      </c>
      <c r="AX86" s="629">
        <f t="shared" si="43"/>
        <v>7551.6547619047615</v>
      </c>
      <c r="AY86" s="629">
        <f t="shared" si="44"/>
        <v>5223.333333333333</v>
      </c>
      <c r="AZ86" s="629">
        <f t="shared" si="45"/>
        <v>3548.2857142857142</v>
      </c>
      <c r="BA86" s="629">
        <f t="shared" si="46"/>
        <v>6709.5238095238092</v>
      </c>
      <c r="BB86" s="629">
        <f t="shared" si="47"/>
        <v>4503.1309523809523</v>
      </c>
      <c r="BC86" s="629">
        <f t="shared" si="48"/>
        <v>7544.2142857142853</v>
      </c>
      <c r="BD86" s="630">
        <f t="shared" si="49"/>
        <v>4744.083333333333</v>
      </c>
      <c r="BE86" s="630">
        <f t="shared" si="50"/>
        <v>3690.8333333333335</v>
      </c>
      <c r="BF86" s="630">
        <f t="shared" si="51"/>
        <v>2288.2142857142858</v>
      </c>
      <c r="BG86" s="630">
        <f t="shared" si="52"/>
        <v>1134.3071428571429</v>
      </c>
      <c r="BH86" s="630">
        <f t="shared" si="53"/>
        <v>595.23809523809518</v>
      </c>
      <c r="BI86" s="630">
        <f t="shared" si="54"/>
        <v>583.47619047619048</v>
      </c>
      <c r="BJ86" s="630">
        <f t="shared" si="55"/>
        <v>89.285714285714292</v>
      </c>
      <c r="BK86" s="630"/>
      <c r="BL86" s="630">
        <f t="shared" si="56"/>
        <v>34.714285714285715</v>
      </c>
      <c r="BM86" s="629">
        <f t="shared" si="59"/>
        <v>201471.84547619053</v>
      </c>
    </row>
    <row r="87" spans="1:65" s="585" customFormat="1" ht="12.75" customHeight="1" outlineLevel="1">
      <c r="A87" s="308" t="s">
        <v>58</v>
      </c>
      <c r="B87" s="308">
        <f t="shared" si="73"/>
        <v>2022</v>
      </c>
      <c r="C87" s="308" t="s">
        <v>47</v>
      </c>
      <c r="D87" s="629"/>
      <c r="E87" s="629"/>
      <c r="F87" s="629"/>
      <c r="G87" s="629"/>
      <c r="H87" s="629">
        <f t="shared" si="62"/>
        <v>16923635.02</v>
      </c>
      <c r="I87" s="629"/>
      <c r="J87" s="629">
        <v>204137.63</v>
      </c>
      <c r="K87" s="629">
        <f>SUM(J$5:J87)</f>
        <v>12437575.32</v>
      </c>
      <c r="L87" s="629"/>
      <c r="M87" s="629">
        <f t="shared" si="57"/>
        <v>4486059.6999999993</v>
      </c>
      <c r="O87" s="629">
        <f t="shared" si="58"/>
        <v>0</v>
      </c>
      <c r="P87" s="629">
        <f t="shared" si="60"/>
        <v>0</v>
      </c>
      <c r="Q87" s="629">
        <f t="shared" si="61"/>
        <v>41.071428571428569</v>
      </c>
      <c r="R87" s="629">
        <f t="shared" si="63"/>
        <v>154.14285714285714</v>
      </c>
      <c r="S87" s="629">
        <f t="shared" si="64"/>
        <v>575.49285714285713</v>
      </c>
      <c r="T87" s="629">
        <f t="shared" si="65"/>
        <v>1879.5714285714287</v>
      </c>
      <c r="U87" s="629">
        <f t="shared" si="66"/>
        <v>3688.1155952380955</v>
      </c>
      <c r="V87" s="629">
        <f t="shared" si="67"/>
        <v>4470.3665476190472</v>
      </c>
      <c r="W87" s="629">
        <f t="shared" si="68"/>
        <v>4106.5282142857141</v>
      </c>
      <c r="X87" s="629">
        <f t="shared" si="69"/>
        <v>4018.7264285714286</v>
      </c>
      <c r="Y87" s="629">
        <f t="shared" si="70"/>
        <v>2916.0195238095239</v>
      </c>
      <c r="Z87" s="629">
        <f t="shared" si="71"/>
        <v>2546.3565476190479</v>
      </c>
      <c r="AA87" s="629">
        <f t="shared" si="72"/>
        <v>4932.6726190476193</v>
      </c>
      <c r="AB87" s="629">
        <f t="shared" si="74"/>
        <v>6082.1595238095242</v>
      </c>
      <c r="AC87" s="629">
        <f t="shared" si="75"/>
        <v>5612.689166666667</v>
      </c>
      <c r="AD87" s="629">
        <f t="shared" si="76"/>
        <v>5489.8403571428571</v>
      </c>
      <c r="AE87" s="629">
        <f t="shared" si="77"/>
        <v>7340.8214285714284</v>
      </c>
      <c r="AF87" s="629">
        <f t="shared" ref="AF87:AF105" si="78">$G$22/84</f>
        <v>7116.7023809523807</v>
      </c>
      <c r="AG87" s="629">
        <f t="shared" si="26"/>
        <v>5730.1814285714281</v>
      </c>
      <c r="AH87" s="629">
        <f t="shared" si="27"/>
        <v>4594.5159523809525</v>
      </c>
      <c r="AI87" s="629">
        <f t="shared" si="28"/>
        <v>5897.8397619047619</v>
      </c>
      <c r="AJ87" s="629">
        <f t="shared" si="29"/>
        <v>4094.22</v>
      </c>
      <c r="AK87" s="629">
        <f t="shared" si="30"/>
        <v>3846.1785714285716</v>
      </c>
      <c r="AL87" s="629">
        <f t="shared" si="31"/>
        <v>5212.7619047619046</v>
      </c>
      <c r="AM87" s="629">
        <f t="shared" si="32"/>
        <v>5086.5714285714284</v>
      </c>
      <c r="AN87" s="629">
        <f t="shared" si="33"/>
        <v>4475.4642857142853</v>
      </c>
      <c r="AO87" s="629">
        <f t="shared" si="34"/>
        <v>8016.1861904761909</v>
      </c>
      <c r="AP87" s="629">
        <f t="shared" si="35"/>
        <v>6195.7023809523807</v>
      </c>
      <c r="AQ87" s="629">
        <f t="shared" si="36"/>
        <v>5888.4404761904761</v>
      </c>
      <c r="AR87" s="629">
        <f t="shared" si="37"/>
        <v>5556.6428571428569</v>
      </c>
      <c r="AS87" s="629">
        <f t="shared" si="38"/>
        <v>4477.3095238095239</v>
      </c>
      <c r="AT87" s="629">
        <f t="shared" si="39"/>
        <v>5427.1904761904761</v>
      </c>
      <c r="AU87" s="629">
        <f t="shared" si="40"/>
        <v>6677.663333333333</v>
      </c>
      <c r="AV87" s="629">
        <f t="shared" si="41"/>
        <v>6107.0119047619046</v>
      </c>
      <c r="AW87" s="629">
        <f t="shared" si="42"/>
        <v>4976.3928571428569</v>
      </c>
      <c r="AX87" s="629">
        <f t="shared" si="43"/>
        <v>7551.6547619047615</v>
      </c>
      <c r="AY87" s="629">
        <f t="shared" si="44"/>
        <v>5223.333333333333</v>
      </c>
      <c r="AZ87" s="629">
        <f t="shared" si="45"/>
        <v>3548.2857142857142</v>
      </c>
      <c r="BA87" s="629">
        <f t="shared" si="46"/>
        <v>6709.5238095238092</v>
      </c>
      <c r="BB87" s="629">
        <f t="shared" si="47"/>
        <v>4503.1309523809523</v>
      </c>
      <c r="BC87" s="629">
        <f t="shared" si="48"/>
        <v>7544.2142857142853</v>
      </c>
      <c r="BD87" s="630">
        <f t="shared" si="49"/>
        <v>4744.083333333333</v>
      </c>
      <c r="BE87" s="630">
        <f t="shared" si="50"/>
        <v>3690.8333333333335</v>
      </c>
      <c r="BF87" s="630">
        <f t="shared" si="51"/>
        <v>2288.2142857142858</v>
      </c>
      <c r="BG87" s="630">
        <f t="shared" si="52"/>
        <v>1134.3071428571429</v>
      </c>
      <c r="BH87" s="630">
        <f t="shared" si="53"/>
        <v>595.23809523809518</v>
      </c>
      <c r="BI87" s="630">
        <f t="shared" si="54"/>
        <v>583.47619047619048</v>
      </c>
      <c r="BJ87" s="630">
        <f t="shared" si="55"/>
        <v>89.285714285714292</v>
      </c>
      <c r="BK87" s="630"/>
      <c r="BL87" s="630">
        <f t="shared" si="56"/>
        <v>34.714285714285715</v>
      </c>
      <c r="BM87" s="629">
        <f t="shared" si="59"/>
        <v>201471.84547619053</v>
      </c>
    </row>
    <row r="88" spans="1:65" s="585" customFormat="1" ht="12.75" customHeight="1" outlineLevel="1">
      <c r="A88" s="308" t="s">
        <v>59</v>
      </c>
      <c r="B88" s="308">
        <f t="shared" si="73"/>
        <v>2022</v>
      </c>
      <c r="C88" s="308" t="s">
        <v>47</v>
      </c>
      <c r="D88" s="629"/>
      <c r="E88" s="629"/>
      <c r="F88" s="629"/>
      <c r="G88" s="629"/>
      <c r="H88" s="629">
        <f t="shared" si="62"/>
        <v>16923635.02</v>
      </c>
      <c r="I88" s="629"/>
      <c r="J88" s="629">
        <v>170077</v>
      </c>
      <c r="K88" s="629">
        <f>SUM(J$5:J88)</f>
        <v>12607652.32</v>
      </c>
      <c r="L88" s="629"/>
      <c r="M88" s="629">
        <f t="shared" si="57"/>
        <v>4315982.6999999993</v>
      </c>
      <c r="O88" s="629">
        <f t="shared" si="58"/>
        <v>0</v>
      </c>
      <c r="P88" s="629">
        <f t="shared" si="60"/>
        <v>0</v>
      </c>
      <c r="Q88" s="629">
        <f t="shared" si="61"/>
        <v>41.071428571428569</v>
      </c>
      <c r="R88" s="629">
        <f t="shared" si="63"/>
        <v>154.14285714285714</v>
      </c>
      <c r="S88" s="629">
        <f t="shared" si="64"/>
        <v>575.49285714285713</v>
      </c>
      <c r="T88" s="629">
        <f t="shared" si="65"/>
        <v>1879.5714285714287</v>
      </c>
      <c r="U88" s="629">
        <f t="shared" si="66"/>
        <v>3688.1155952380955</v>
      </c>
      <c r="V88" s="629">
        <f t="shared" si="67"/>
        <v>4470.3665476190472</v>
      </c>
      <c r="W88" s="629">
        <f t="shared" si="68"/>
        <v>4106.5282142857141</v>
      </c>
      <c r="X88" s="629">
        <f t="shared" si="69"/>
        <v>4018.7264285714286</v>
      </c>
      <c r="Y88" s="629">
        <f t="shared" si="70"/>
        <v>2916.0195238095239</v>
      </c>
      <c r="Z88" s="629">
        <f t="shared" si="71"/>
        <v>2546.3565476190479</v>
      </c>
      <c r="AA88" s="629">
        <f t="shared" si="72"/>
        <v>4932.6726190476193</v>
      </c>
      <c r="AB88" s="629">
        <f t="shared" si="74"/>
        <v>6082.1595238095242</v>
      </c>
      <c r="AC88" s="629">
        <f t="shared" si="75"/>
        <v>5612.689166666667</v>
      </c>
      <c r="AD88" s="629">
        <f t="shared" si="76"/>
        <v>5489.8403571428571</v>
      </c>
      <c r="AE88" s="629">
        <f t="shared" si="77"/>
        <v>7340.8214285714284</v>
      </c>
      <c r="AF88" s="629">
        <f t="shared" si="78"/>
        <v>7116.7023809523807</v>
      </c>
      <c r="AG88" s="629">
        <f t="shared" ref="AG88:AG106" si="79">$G$23/84</f>
        <v>5730.1814285714281</v>
      </c>
      <c r="AH88" s="629">
        <f t="shared" si="27"/>
        <v>4594.5159523809525</v>
      </c>
      <c r="AI88" s="629">
        <f t="shared" si="28"/>
        <v>5897.8397619047619</v>
      </c>
      <c r="AJ88" s="629">
        <f t="shared" si="29"/>
        <v>4094.22</v>
      </c>
      <c r="AK88" s="629">
        <f t="shared" si="30"/>
        <v>3846.1785714285716</v>
      </c>
      <c r="AL88" s="629">
        <f t="shared" si="31"/>
        <v>5212.7619047619046</v>
      </c>
      <c r="AM88" s="629">
        <f t="shared" si="32"/>
        <v>5086.5714285714284</v>
      </c>
      <c r="AN88" s="629">
        <f t="shared" si="33"/>
        <v>4475.4642857142853</v>
      </c>
      <c r="AO88" s="629">
        <f t="shared" si="34"/>
        <v>8016.1861904761909</v>
      </c>
      <c r="AP88" s="629">
        <f t="shared" si="35"/>
        <v>6195.7023809523807</v>
      </c>
      <c r="AQ88" s="629">
        <f t="shared" si="36"/>
        <v>5888.4404761904761</v>
      </c>
      <c r="AR88" s="629">
        <f t="shared" si="37"/>
        <v>5556.6428571428569</v>
      </c>
      <c r="AS88" s="629">
        <f t="shared" si="38"/>
        <v>4477.3095238095239</v>
      </c>
      <c r="AT88" s="629">
        <f t="shared" si="39"/>
        <v>5427.1904761904761</v>
      </c>
      <c r="AU88" s="629">
        <f t="shared" si="40"/>
        <v>6677.663333333333</v>
      </c>
      <c r="AV88" s="629">
        <f t="shared" si="41"/>
        <v>6107.0119047619046</v>
      </c>
      <c r="AW88" s="629">
        <f t="shared" si="42"/>
        <v>4976.3928571428569</v>
      </c>
      <c r="AX88" s="629">
        <f t="shared" si="43"/>
        <v>7551.6547619047615</v>
      </c>
      <c r="AY88" s="629">
        <f t="shared" si="44"/>
        <v>5223.333333333333</v>
      </c>
      <c r="AZ88" s="629">
        <f t="shared" si="45"/>
        <v>3548.2857142857142</v>
      </c>
      <c r="BA88" s="629">
        <f t="shared" si="46"/>
        <v>6709.5238095238092</v>
      </c>
      <c r="BB88" s="629">
        <f t="shared" si="47"/>
        <v>4503.1309523809523</v>
      </c>
      <c r="BC88" s="629">
        <f t="shared" si="48"/>
        <v>7544.2142857142853</v>
      </c>
      <c r="BD88" s="630">
        <f t="shared" si="49"/>
        <v>4744.083333333333</v>
      </c>
      <c r="BE88" s="630">
        <f t="shared" si="50"/>
        <v>3690.8333333333335</v>
      </c>
      <c r="BF88" s="630">
        <f t="shared" si="51"/>
        <v>2288.2142857142858</v>
      </c>
      <c r="BG88" s="630">
        <f t="shared" si="52"/>
        <v>1134.3071428571429</v>
      </c>
      <c r="BH88" s="630">
        <f t="shared" si="53"/>
        <v>595.23809523809518</v>
      </c>
      <c r="BI88" s="630">
        <f t="shared" si="54"/>
        <v>583.47619047619048</v>
      </c>
      <c r="BJ88" s="630">
        <f t="shared" si="55"/>
        <v>89.285714285714292</v>
      </c>
      <c r="BK88" s="630"/>
      <c r="BL88" s="630">
        <f t="shared" si="56"/>
        <v>34.714285714285715</v>
      </c>
      <c r="BM88" s="629">
        <f t="shared" si="59"/>
        <v>201471.84547619053</v>
      </c>
    </row>
    <row r="89" spans="1:65" s="585" customFormat="1" ht="12.75" customHeight="1" outlineLevel="1">
      <c r="A89" s="308" t="s">
        <v>46</v>
      </c>
      <c r="B89" s="308">
        <f t="shared" si="73"/>
        <v>2022</v>
      </c>
      <c r="C89" s="308" t="s">
        <v>47</v>
      </c>
      <c r="D89" s="629"/>
      <c r="E89" s="629"/>
      <c r="F89" s="629"/>
      <c r="G89" s="629"/>
      <c r="H89" s="629">
        <f t="shared" si="62"/>
        <v>16923635.02</v>
      </c>
      <c r="I89" s="629"/>
      <c r="J89" s="629">
        <v>222496</v>
      </c>
      <c r="K89" s="629">
        <f>SUM(J$5:J89)</f>
        <v>12830148.32</v>
      </c>
      <c r="L89" s="629"/>
      <c r="M89" s="629">
        <f t="shared" si="57"/>
        <v>4093486.6999999993</v>
      </c>
      <c r="O89" s="629">
        <f t="shared" si="58"/>
        <v>0</v>
      </c>
      <c r="P89" s="629">
        <f t="shared" si="60"/>
        <v>0</v>
      </c>
      <c r="Q89" s="629">
        <f t="shared" si="61"/>
        <v>41.071428571428569</v>
      </c>
      <c r="R89" s="629">
        <f t="shared" si="63"/>
        <v>154.14285714285714</v>
      </c>
      <c r="S89" s="629">
        <f t="shared" si="64"/>
        <v>575.49285714285713</v>
      </c>
      <c r="T89" s="629">
        <f t="shared" si="65"/>
        <v>1879.5714285714287</v>
      </c>
      <c r="U89" s="629">
        <f t="shared" si="66"/>
        <v>3688.1155952380955</v>
      </c>
      <c r="V89" s="629">
        <f t="shared" si="67"/>
        <v>4470.3665476190472</v>
      </c>
      <c r="W89" s="629">
        <f t="shared" si="68"/>
        <v>4106.5282142857141</v>
      </c>
      <c r="X89" s="629">
        <f t="shared" si="69"/>
        <v>4018.7264285714286</v>
      </c>
      <c r="Y89" s="629">
        <f t="shared" si="70"/>
        <v>2916.0195238095239</v>
      </c>
      <c r="Z89" s="629">
        <f t="shared" si="71"/>
        <v>2546.3565476190479</v>
      </c>
      <c r="AA89" s="629">
        <f t="shared" si="72"/>
        <v>4932.6726190476193</v>
      </c>
      <c r="AB89" s="629">
        <f t="shared" si="74"/>
        <v>6082.1595238095242</v>
      </c>
      <c r="AC89" s="629">
        <f t="shared" si="75"/>
        <v>5612.689166666667</v>
      </c>
      <c r="AD89" s="629">
        <f t="shared" si="76"/>
        <v>5489.8403571428571</v>
      </c>
      <c r="AE89" s="629">
        <f t="shared" si="77"/>
        <v>7340.8214285714284</v>
      </c>
      <c r="AF89" s="629">
        <f t="shared" si="78"/>
        <v>7116.7023809523807</v>
      </c>
      <c r="AG89" s="629">
        <f t="shared" si="79"/>
        <v>5730.1814285714281</v>
      </c>
      <c r="AH89" s="629">
        <f t="shared" ref="AH89:AH107" si="80">$G$24/84</f>
        <v>4594.5159523809525</v>
      </c>
      <c r="AI89" s="629">
        <f t="shared" si="28"/>
        <v>5897.8397619047619</v>
      </c>
      <c r="AJ89" s="629">
        <f t="shared" si="29"/>
        <v>4094.22</v>
      </c>
      <c r="AK89" s="629">
        <f t="shared" si="30"/>
        <v>3846.1785714285716</v>
      </c>
      <c r="AL89" s="629">
        <f t="shared" si="31"/>
        <v>5212.7619047619046</v>
      </c>
      <c r="AM89" s="629">
        <f t="shared" si="32"/>
        <v>5086.5714285714284</v>
      </c>
      <c r="AN89" s="629">
        <f t="shared" si="33"/>
        <v>4475.4642857142853</v>
      </c>
      <c r="AO89" s="629">
        <f t="shared" si="34"/>
        <v>8016.1861904761909</v>
      </c>
      <c r="AP89" s="629">
        <f t="shared" si="35"/>
        <v>6195.7023809523807</v>
      </c>
      <c r="AQ89" s="629">
        <f t="shared" si="36"/>
        <v>5888.4404761904761</v>
      </c>
      <c r="AR89" s="629">
        <f t="shared" si="37"/>
        <v>5556.6428571428569</v>
      </c>
      <c r="AS89" s="629">
        <f t="shared" si="38"/>
        <v>4477.3095238095239</v>
      </c>
      <c r="AT89" s="629">
        <f t="shared" si="39"/>
        <v>5427.1904761904761</v>
      </c>
      <c r="AU89" s="629">
        <f t="shared" si="40"/>
        <v>6677.663333333333</v>
      </c>
      <c r="AV89" s="629">
        <f t="shared" si="41"/>
        <v>6107.0119047619046</v>
      </c>
      <c r="AW89" s="629">
        <f t="shared" si="42"/>
        <v>4976.3928571428569</v>
      </c>
      <c r="AX89" s="629">
        <f t="shared" si="43"/>
        <v>7551.6547619047615</v>
      </c>
      <c r="AY89" s="629">
        <f t="shared" si="44"/>
        <v>5223.333333333333</v>
      </c>
      <c r="AZ89" s="629">
        <f t="shared" si="45"/>
        <v>3548.2857142857142</v>
      </c>
      <c r="BA89" s="629">
        <f t="shared" si="46"/>
        <v>6709.5238095238092</v>
      </c>
      <c r="BB89" s="629">
        <f t="shared" si="47"/>
        <v>4503.1309523809523</v>
      </c>
      <c r="BC89" s="629">
        <f t="shared" si="48"/>
        <v>7544.2142857142853</v>
      </c>
      <c r="BD89" s="630">
        <f t="shared" si="49"/>
        <v>4744.083333333333</v>
      </c>
      <c r="BE89" s="630">
        <f t="shared" si="50"/>
        <v>3690.8333333333335</v>
      </c>
      <c r="BF89" s="630">
        <f t="shared" si="51"/>
        <v>2288.2142857142858</v>
      </c>
      <c r="BG89" s="630">
        <f t="shared" si="52"/>
        <v>1134.3071428571429</v>
      </c>
      <c r="BH89" s="630">
        <f t="shared" si="53"/>
        <v>595.23809523809518</v>
      </c>
      <c r="BI89" s="630">
        <f t="shared" si="54"/>
        <v>583.47619047619048</v>
      </c>
      <c r="BJ89" s="630">
        <f t="shared" si="55"/>
        <v>89.285714285714292</v>
      </c>
      <c r="BK89" s="630"/>
      <c r="BL89" s="630">
        <f t="shared" si="56"/>
        <v>34.714285714285715</v>
      </c>
      <c r="BM89" s="629">
        <f t="shared" si="59"/>
        <v>201471.84547619053</v>
      </c>
    </row>
    <row r="90" spans="1:65" s="585" customFormat="1" ht="12.75" customHeight="1" outlineLevel="1">
      <c r="A90" s="308" t="s">
        <v>48</v>
      </c>
      <c r="B90" s="308">
        <f t="shared" si="73"/>
        <v>2022</v>
      </c>
      <c r="C90" s="308" t="s">
        <v>47</v>
      </c>
      <c r="D90" s="629"/>
      <c r="E90" s="629"/>
      <c r="F90" s="629"/>
      <c r="G90" s="629"/>
      <c r="H90" s="629">
        <f t="shared" si="62"/>
        <v>16923635.02</v>
      </c>
      <c r="I90" s="629"/>
      <c r="J90" s="629">
        <v>171063</v>
      </c>
      <c r="K90" s="629">
        <f>SUM(J$5:J90)</f>
        <v>13001211.32</v>
      </c>
      <c r="L90" s="629"/>
      <c r="M90" s="629">
        <f t="shared" si="57"/>
        <v>3922423.6999999993</v>
      </c>
      <c r="O90" s="629">
        <f t="shared" si="58"/>
        <v>0</v>
      </c>
      <c r="P90" s="629">
        <f t="shared" si="60"/>
        <v>0</v>
      </c>
      <c r="Q90" s="629">
        <f t="shared" si="61"/>
        <v>41.071428571428569</v>
      </c>
      <c r="R90" s="629">
        <f t="shared" si="63"/>
        <v>154.14285714285714</v>
      </c>
      <c r="S90" s="629">
        <f t="shared" si="64"/>
        <v>575.49285714285713</v>
      </c>
      <c r="T90" s="629">
        <f t="shared" si="65"/>
        <v>1879.5714285714287</v>
      </c>
      <c r="U90" s="629">
        <f t="shared" si="66"/>
        <v>3688.1155952380955</v>
      </c>
      <c r="V90" s="629">
        <f t="shared" si="67"/>
        <v>4470.3665476190472</v>
      </c>
      <c r="W90" s="629">
        <f t="shared" si="68"/>
        <v>4106.5282142857141</v>
      </c>
      <c r="X90" s="629">
        <f t="shared" si="69"/>
        <v>4018.7264285714286</v>
      </c>
      <c r="Y90" s="629">
        <f t="shared" si="70"/>
        <v>2916.0195238095239</v>
      </c>
      <c r="Z90" s="629">
        <f t="shared" si="71"/>
        <v>2546.3565476190479</v>
      </c>
      <c r="AA90" s="629">
        <f t="shared" si="72"/>
        <v>4932.6726190476193</v>
      </c>
      <c r="AB90" s="629">
        <f t="shared" si="74"/>
        <v>6082.1595238095242</v>
      </c>
      <c r="AC90" s="629">
        <f t="shared" si="75"/>
        <v>5612.689166666667</v>
      </c>
      <c r="AD90" s="629">
        <f t="shared" si="76"/>
        <v>5489.8403571428571</v>
      </c>
      <c r="AE90" s="629">
        <f t="shared" si="77"/>
        <v>7340.8214285714284</v>
      </c>
      <c r="AF90" s="629">
        <f t="shared" si="78"/>
        <v>7116.7023809523807</v>
      </c>
      <c r="AG90" s="629">
        <f t="shared" si="79"/>
        <v>5730.1814285714281</v>
      </c>
      <c r="AH90" s="629">
        <f t="shared" si="80"/>
        <v>4594.5159523809525</v>
      </c>
      <c r="AI90" s="629">
        <f t="shared" ref="AI90:AI108" si="81">$G$25/84</f>
        <v>5897.8397619047619</v>
      </c>
      <c r="AJ90" s="629">
        <f t="shared" si="29"/>
        <v>4094.22</v>
      </c>
      <c r="AK90" s="629">
        <f t="shared" si="30"/>
        <v>3846.1785714285716</v>
      </c>
      <c r="AL90" s="629">
        <f t="shared" si="31"/>
        <v>5212.7619047619046</v>
      </c>
      <c r="AM90" s="629">
        <f t="shared" si="32"/>
        <v>5086.5714285714284</v>
      </c>
      <c r="AN90" s="629">
        <f t="shared" si="33"/>
        <v>4475.4642857142853</v>
      </c>
      <c r="AO90" s="629">
        <f t="shared" si="34"/>
        <v>8016.1861904761909</v>
      </c>
      <c r="AP90" s="629">
        <f t="shared" si="35"/>
        <v>6195.7023809523807</v>
      </c>
      <c r="AQ90" s="629">
        <f t="shared" si="36"/>
        <v>5888.4404761904761</v>
      </c>
      <c r="AR90" s="629">
        <f t="shared" si="37"/>
        <v>5556.6428571428569</v>
      </c>
      <c r="AS90" s="629">
        <f t="shared" si="38"/>
        <v>4477.3095238095239</v>
      </c>
      <c r="AT90" s="629">
        <f t="shared" si="39"/>
        <v>5427.1904761904761</v>
      </c>
      <c r="AU90" s="629">
        <f t="shared" si="40"/>
        <v>6677.663333333333</v>
      </c>
      <c r="AV90" s="629">
        <f t="shared" si="41"/>
        <v>6107.0119047619046</v>
      </c>
      <c r="AW90" s="629">
        <f t="shared" si="42"/>
        <v>4976.3928571428569</v>
      </c>
      <c r="AX90" s="629">
        <f t="shared" si="43"/>
        <v>7551.6547619047615</v>
      </c>
      <c r="AY90" s="629">
        <f t="shared" si="44"/>
        <v>5223.333333333333</v>
      </c>
      <c r="AZ90" s="629">
        <f t="shared" si="45"/>
        <v>3548.2857142857142</v>
      </c>
      <c r="BA90" s="629">
        <f t="shared" si="46"/>
        <v>6709.5238095238092</v>
      </c>
      <c r="BB90" s="629">
        <f t="shared" si="47"/>
        <v>4503.1309523809523</v>
      </c>
      <c r="BC90" s="629">
        <f t="shared" si="48"/>
        <v>7544.2142857142853</v>
      </c>
      <c r="BD90" s="630">
        <f t="shared" si="49"/>
        <v>4744.083333333333</v>
      </c>
      <c r="BE90" s="630">
        <f t="shared" si="50"/>
        <v>3690.8333333333335</v>
      </c>
      <c r="BF90" s="630">
        <f t="shared" si="51"/>
        <v>2288.2142857142858</v>
      </c>
      <c r="BG90" s="630">
        <f t="shared" si="52"/>
        <v>1134.3071428571429</v>
      </c>
      <c r="BH90" s="630">
        <f t="shared" si="53"/>
        <v>595.23809523809518</v>
      </c>
      <c r="BI90" s="630">
        <f t="shared" si="54"/>
        <v>583.47619047619048</v>
      </c>
      <c r="BJ90" s="630">
        <f t="shared" si="55"/>
        <v>89.285714285714292</v>
      </c>
      <c r="BK90" s="630"/>
      <c r="BL90" s="630">
        <f t="shared" si="56"/>
        <v>34.714285714285715</v>
      </c>
      <c r="BM90" s="629">
        <f t="shared" si="59"/>
        <v>201471.84547619053</v>
      </c>
    </row>
    <row r="91" spans="1:65" s="585" customFormat="1" ht="12.75" customHeight="1" outlineLevel="1">
      <c r="A91" s="308" t="s">
        <v>50</v>
      </c>
      <c r="B91" s="308">
        <f t="shared" si="73"/>
        <v>2022</v>
      </c>
      <c r="C91" s="308" t="s">
        <v>47</v>
      </c>
      <c r="D91" s="629"/>
      <c r="E91" s="629"/>
      <c r="F91" s="629"/>
      <c r="G91" s="629"/>
      <c r="H91" s="629">
        <f t="shared" si="62"/>
        <v>16923635.02</v>
      </c>
      <c r="I91" s="629"/>
      <c r="J91" s="629">
        <v>162034</v>
      </c>
      <c r="K91" s="629">
        <f>SUM(J$5:J91)</f>
        <v>13163245.32</v>
      </c>
      <c r="L91" s="629"/>
      <c r="M91" s="629">
        <f t="shared" si="57"/>
        <v>3760389.6999999993</v>
      </c>
      <c r="O91" s="629">
        <f t="shared" si="58"/>
        <v>0</v>
      </c>
      <c r="P91" s="629">
        <f t="shared" si="60"/>
        <v>0</v>
      </c>
      <c r="Q91" s="629"/>
      <c r="R91" s="629">
        <f t="shared" si="63"/>
        <v>154.14285714285714</v>
      </c>
      <c r="S91" s="629">
        <f t="shared" si="64"/>
        <v>575.49285714285713</v>
      </c>
      <c r="T91" s="629">
        <f t="shared" si="65"/>
        <v>1879.5714285714287</v>
      </c>
      <c r="U91" s="629">
        <f t="shared" si="66"/>
        <v>3688.1155952380955</v>
      </c>
      <c r="V91" s="629">
        <f t="shared" si="67"/>
        <v>4470.3665476190472</v>
      </c>
      <c r="W91" s="629">
        <f t="shared" si="68"/>
        <v>4106.5282142857141</v>
      </c>
      <c r="X91" s="629">
        <f t="shared" si="69"/>
        <v>4018.7264285714286</v>
      </c>
      <c r="Y91" s="629">
        <f t="shared" si="70"/>
        <v>2916.0195238095239</v>
      </c>
      <c r="Z91" s="629">
        <f t="shared" si="71"/>
        <v>2546.3565476190479</v>
      </c>
      <c r="AA91" s="629">
        <f t="shared" si="72"/>
        <v>4932.6726190476193</v>
      </c>
      <c r="AB91" s="629">
        <f t="shared" si="74"/>
        <v>6082.1595238095242</v>
      </c>
      <c r="AC91" s="629">
        <f t="shared" si="75"/>
        <v>5612.689166666667</v>
      </c>
      <c r="AD91" s="629">
        <f t="shared" si="76"/>
        <v>5489.8403571428571</v>
      </c>
      <c r="AE91" s="629">
        <f t="shared" si="77"/>
        <v>7340.8214285714284</v>
      </c>
      <c r="AF91" s="629">
        <f t="shared" si="78"/>
        <v>7116.7023809523807</v>
      </c>
      <c r="AG91" s="629">
        <f t="shared" si="79"/>
        <v>5730.1814285714281</v>
      </c>
      <c r="AH91" s="629">
        <f t="shared" si="80"/>
        <v>4594.5159523809525</v>
      </c>
      <c r="AI91" s="629">
        <f t="shared" si="81"/>
        <v>5897.8397619047619</v>
      </c>
      <c r="AJ91" s="629">
        <f t="shared" ref="AJ91:AJ109" si="82">$G$26/84</f>
        <v>4094.22</v>
      </c>
      <c r="AK91" s="629">
        <f t="shared" si="30"/>
        <v>3846.1785714285716</v>
      </c>
      <c r="AL91" s="629">
        <f t="shared" si="31"/>
        <v>5212.7619047619046</v>
      </c>
      <c r="AM91" s="629">
        <f t="shared" si="32"/>
        <v>5086.5714285714284</v>
      </c>
      <c r="AN91" s="629">
        <f t="shared" si="33"/>
        <v>4475.4642857142853</v>
      </c>
      <c r="AO91" s="629">
        <f t="shared" si="34"/>
        <v>8016.1861904761909</v>
      </c>
      <c r="AP91" s="629">
        <f t="shared" si="35"/>
        <v>6195.7023809523807</v>
      </c>
      <c r="AQ91" s="629">
        <f t="shared" si="36"/>
        <v>5888.4404761904761</v>
      </c>
      <c r="AR91" s="629">
        <f t="shared" si="37"/>
        <v>5556.6428571428569</v>
      </c>
      <c r="AS91" s="629">
        <f t="shared" si="38"/>
        <v>4477.3095238095239</v>
      </c>
      <c r="AT91" s="629">
        <f t="shared" si="39"/>
        <v>5427.1904761904761</v>
      </c>
      <c r="AU91" s="629">
        <f t="shared" si="40"/>
        <v>6677.663333333333</v>
      </c>
      <c r="AV91" s="629">
        <f t="shared" si="41"/>
        <v>6107.0119047619046</v>
      </c>
      <c r="AW91" s="629">
        <f t="shared" si="42"/>
        <v>4976.3928571428569</v>
      </c>
      <c r="AX91" s="629">
        <f t="shared" si="43"/>
        <v>7551.6547619047615</v>
      </c>
      <c r="AY91" s="629">
        <f t="shared" si="44"/>
        <v>5223.333333333333</v>
      </c>
      <c r="AZ91" s="629">
        <f t="shared" si="45"/>
        <v>3548.2857142857142</v>
      </c>
      <c r="BA91" s="629">
        <f t="shared" si="46"/>
        <v>6709.5238095238092</v>
      </c>
      <c r="BB91" s="629">
        <f t="shared" si="47"/>
        <v>4503.1309523809523</v>
      </c>
      <c r="BC91" s="629">
        <f t="shared" si="48"/>
        <v>7544.2142857142853</v>
      </c>
      <c r="BD91" s="630">
        <f t="shared" si="49"/>
        <v>4744.083333333333</v>
      </c>
      <c r="BE91" s="630">
        <f t="shared" si="50"/>
        <v>3690.8333333333335</v>
      </c>
      <c r="BF91" s="630">
        <f t="shared" si="51"/>
        <v>2288.2142857142858</v>
      </c>
      <c r="BG91" s="630">
        <f t="shared" si="52"/>
        <v>1134.3071428571429</v>
      </c>
      <c r="BH91" s="630">
        <f t="shared" si="53"/>
        <v>595.23809523809518</v>
      </c>
      <c r="BI91" s="630">
        <f t="shared" si="54"/>
        <v>583.47619047619048</v>
      </c>
      <c r="BJ91" s="630">
        <f t="shared" si="55"/>
        <v>89.285714285714292</v>
      </c>
      <c r="BK91" s="630"/>
      <c r="BL91" s="630">
        <f t="shared" si="56"/>
        <v>34.714285714285715</v>
      </c>
      <c r="BM91" s="629">
        <f t="shared" si="59"/>
        <v>201430.77404761908</v>
      </c>
    </row>
    <row r="92" spans="1:65" s="585" customFormat="1" ht="12.75" customHeight="1" outlineLevel="1">
      <c r="A92" s="308" t="s">
        <v>51</v>
      </c>
      <c r="B92" s="308">
        <f t="shared" si="73"/>
        <v>2022</v>
      </c>
      <c r="C92" s="308" t="s">
        <v>47</v>
      </c>
      <c r="D92" s="629"/>
      <c r="E92" s="629"/>
      <c r="F92" s="629"/>
      <c r="G92" s="629"/>
      <c r="H92" s="629">
        <f t="shared" si="62"/>
        <v>16923635.02</v>
      </c>
      <c r="I92" s="629"/>
      <c r="J92" s="629">
        <v>156946</v>
      </c>
      <c r="K92" s="629">
        <f>SUM(J$5:J92)</f>
        <v>13320191.32</v>
      </c>
      <c r="L92" s="629"/>
      <c r="M92" s="629">
        <f t="shared" si="57"/>
        <v>3603443.6999999993</v>
      </c>
      <c r="O92" s="629">
        <f t="shared" si="58"/>
        <v>0</v>
      </c>
      <c r="P92" s="629">
        <f t="shared" si="60"/>
        <v>0</v>
      </c>
      <c r="Q92" s="629"/>
      <c r="R92" s="629"/>
      <c r="S92" s="629">
        <f t="shared" si="64"/>
        <v>575.49285714285713</v>
      </c>
      <c r="T92" s="629">
        <f t="shared" si="65"/>
        <v>1879.5714285714287</v>
      </c>
      <c r="U92" s="629">
        <f t="shared" si="66"/>
        <v>3688.1155952380955</v>
      </c>
      <c r="V92" s="629">
        <f t="shared" si="67"/>
        <v>4470.3665476190472</v>
      </c>
      <c r="W92" s="629">
        <f t="shared" si="68"/>
        <v>4106.5282142857141</v>
      </c>
      <c r="X92" s="629">
        <f t="shared" si="69"/>
        <v>4018.7264285714286</v>
      </c>
      <c r="Y92" s="629">
        <f t="shared" si="70"/>
        <v>2916.0195238095239</v>
      </c>
      <c r="Z92" s="629">
        <f t="shared" si="71"/>
        <v>2546.3565476190479</v>
      </c>
      <c r="AA92" s="629">
        <f t="shared" si="72"/>
        <v>4932.6726190476193</v>
      </c>
      <c r="AB92" s="629">
        <f t="shared" si="74"/>
        <v>6082.1595238095242</v>
      </c>
      <c r="AC92" s="629">
        <f t="shared" si="75"/>
        <v>5612.689166666667</v>
      </c>
      <c r="AD92" s="629">
        <f t="shared" si="76"/>
        <v>5489.8403571428571</v>
      </c>
      <c r="AE92" s="629">
        <f t="shared" si="77"/>
        <v>7340.8214285714284</v>
      </c>
      <c r="AF92" s="629">
        <f t="shared" si="78"/>
        <v>7116.7023809523807</v>
      </c>
      <c r="AG92" s="629">
        <f t="shared" si="79"/>
        <v>5730.1814285714281</v>
      </c>
      <c r="AH92" s="629">
        <f t="shared" si="80"/>
        <v>4594.5159523809525</v>
      </c>
      <c r="AI92" s="629">
        <f t="shared" si="81"/>
        <v>5897.8397619047619</v>
      </c>
      <c r="AJ92" s="629">
        <f t="shared" si="82"/>
        <v>4094.22</v>
      </c>
      <c r="AK92" s="629">
        <f t="shared" ref="AK92:AK110" si="83">$G$27/84</f>
        <v>3846.1785714285716</v>
      </c>
      <c r="AL92" s="629">
        <f t="shared" si="31"/>
        <v>5212.7619047619046</v>
      </c>
      <c r="AM92" s="629">
        <f t="shared" si="32"/>
        <v>5086.5714285714284</v>
      </c>
      <c r="AN92" s="629">
        <f t="shared" si="33"/>
        <v>4475.4642857142853</v>
      </c>
      <c r="AO92" s="629">
        <f t="shared" si="34"/>
        <v>8016.1861904761909</v>
      </c>
      <c r="AP92" s="629">
        <f t="shared" si="35"/>
        <v>6195.7023809523807</v>
      </c>
      <c r="AQ92" s="629">
        <f t="shared" si="36"/>
        <v>5888.4404761904761</v>
      </c>
      <c r="AR92" s="629">
        <f t="shared" si="37"/>
        <v>5556.6428571428569</v>
      </c>
      <c r="AS92" s="629">
        <f t="shared" si="38"/>
        <v>4477.3095238095239</v>
      </c>
      <c r="AT92" s="629">
        <f t="shared" si="39"/>
        <v>5427.1904761904761</v>
      </c>
      <c r="AU92" s="629">
        <f t="shared" si="40"/>
        <v>6677.663333333333</v>
      </c>
      <c r="AV92" s="629">
        <f t="shared" si="41"/>
        <v>6107.0119047619046</v>
      </c>
      <c r="AW92" s="629">
        <f t="shared" si="42"/>
        <v>4976.3928571428569</v>
      </c>
      <c r="AX92" s="629">
        <f t="shared" si="43"/>
        <v>7551.6547619047615</v>
      </c>
      <c r="AY92" s="629">
        <f t="shared" si="44"/>
        <v>5223.333333333333</v>
      </c>
      <c r="AZ92" s="629">
        <f t="shared" si="45"/>
        <v>3548.2857142857142</v>
      </c>
      <c r="BA92" s="629">
        <f t="shared" si="46"/>
        <v>6709.5238095238092</v>
      </c>
      <c r="BB92" s="629">
        <f t="shared" si="47"/>
        <v>4503.1309523809523</v>
      </c>
      <c r="BC92" s="629">
        <f t="shared" si="48"/>
        <v>7544.2142857142853</v>
      </c>
      <c r="BD92" s="630">
        <f t="shared" si="49"/>
        <v>4744.083333333333</v>
      </c>
      <c r="BE92" s="630">
        <f t="shared" si="50"/>
        <v>3690.8333333333335</v>
      </c>
      <c r="BF92" s="630">
        <f t="shared" si="51"/>
        <v>2288.2142857142858</v>
      </c>
      <c r="BG92" s="630">
        <f t="shared" si="52"/>
        <v>1134.3071428571429</v>
      </c>
      <c r="BH92" s="630">
        <f t="shared" si="53"/>
        <v>595.23809523809518</v>
      </c>
      <c r="BI92" s="630">
        <f t="shared" si="54"/>
        <v>583.47619047619048</v>
      </c>
      <c r="BJ92" s="630">
        <f t="shared" si="55"/>
        <v>89.285714285714292</v>
      </c>
      <c r="BK92" s="630"/>
      <c r="BL92" s="630">
        <f t="shared" si="56"/>
        <v>34.714285714285715</v>
      </c>
      <c r="BM92" s="629">
        <f t="shared" si="59"/>
        <v>201276.63119047624</v>
      </c>
    </row>
    <row r="93" spans="1:65" s="585" customFormat="1" ht="12.75" customHeight="1" outlineLevel="1">
      <c r="A93" s="308" t="s">
        <v>52</v>
      </c>
      <c r="B93" s="308">
        <f t="shared" si="73"/>
        <v>2022</v>
      </c>
      <c r="C93" s="308" t="s">
        <v>47</v>
      </c>
      <c r="D93" s="629"/>
      <c r="E93" s="629"/>
      <c r="F93" s="629"/>
      <c r="G93" s="629"/>
      <c r="H93" s="629">
        <f t="shared" si="62"/>
        <v>16923635.02</v>
      </c>
      <c r="I93" s="629"/>
      <c r="J93" s="629">
        <v>170225.35</v>
      </c>
      <c r="K93" s="629">
        <f>SUM(J$5:J93)</f>
        <v>13490416.67</v>
      </c>
      <c r="L93" s="629"/>
      <c r="M93" s="629">
        <f t="shared" si="57"/>
        <v>3433218.3499999996</v>
      </c>
      <c r="O93" s="629">
        <f t="shared" si="58"/>
        <v>0</v>
      </c>
      <c r="P93" s="629">
        <f t="shared" si="60"/>
        <v>0</v>
      </c>
      <c r="Q93" s="629"/>
      <c r="R93" s="629"/>
      <c r="S93" s="629"/>
      <c r="T93" s="629">
        <f t="shared" si="65"/>
        <v>1879.5714285714287</v>
      </c>
      <c r="U93" s="629">
        <f t="shared" si="66"/>
        <v>3688.1155952380955</v>
      </c>
      <c r="V93" s="629">
        <f t="shared" si="67"/>
        <v>4470.3665476190472</v>
      </c>
      <c r="W93" s="629">
        <f t="shared" si="68"/>
        <v>4106.5282142857141</v>
      </c>
      <c r="X93" s="629">
        <f t="shared" si="69"/>
        <v>4018.7264285714286</v>
      </c>
      <c r="Y93" s="629">
        <f t="shared" si="70"/>
        <v>2916.0195238095239</v>
      </c>
      <c r="Z93" s="629">
        <f t="shared" si="71"/>
        <v>2546.3565476190479</v>
      </c>
      <c r="AA93" s="629">
        <f t="shared" si="72"/>
        <v>4932.6726190476193</v>
      </c>
      <c r="AB93" s="629">
        <f t="shared" si="74"/>
        <v>6082.1595238095242</v>
      </c>
      <c r="AC93" s="629">
        <f t="shared" si="75"/>
        <v>5612.689166666667</v>
      </c>
      <c r="AD93" s="629">
        <f t="shared" si="76"/>
        <v>5489.8403571428571</v>
      </c>
      <c r="AE93" s="629">
        <f t="shared" si="77"/>
        <v>7340.8214285714284</v>
      </c>
      <c r="AF93" s="629">
        <f t="shared" si="78"/>
        <v>7116.7023809523807</v>
      </c>
      <c r="AG93" s="629">
        <f t="shared" si="79"/>
        <v>5730.1814285714281</v>
      </c>
      <c r="AH93" s="629">
        <f t="shared" si="80"/>
        <v>4594.5159523809525</v>
      </c>
      <c r="AI93" s="629">
        <f t="shared" si="81"/>
        <v>5897.8397619047619</v>
      </c>
      <c r="AJ93" s="629">
        <f t="shared" si="82"/>
        <v>4094.22</v>
      </c>
      <c r="AK93" s="629">
        <f t="shared" si="83"/>
        <v>3846.1785714285716</v>
      </c>
      <c r="AL93" s="629">
        <f t="shared" ref="AL93:AL111" si="84">$G$28/84</f>
        <v>5212.7619047619046</v>
      </c>
      <c r="AM93" s="629">
        <f t="shared" si="32"/>
        <v>5086.5714285714284</v>
      </c>
      <c r="AN93" s="629">
        <f t="shared" si="33"/>
        <v>4475.4642857142853</v>
      </c>
      <c r="AO93" s="629">
        <f t="shared" si="34"/>
        <v>8016.1861904761909</v>
      </c>
      <c r="AP93" s="629">
        <f t="shared" si="35"/>
        <v>6195.7023809523807</v>
      </c>
      <c r="AQ93" s="629">
        <f t="shared" si="36"/>
        <v>5888.4404761904761</v>
      </c>
      <c r="AR93" s="629">
        <f t="shared" si="37"/>
        <v>5556.6428571428569</v>
      </c>
      <c r="AS93" s="629">
        <f t="shared" si="38"/>
        <v>4477.3095238095239</v>
      </c>
      <c r="AT93" s="629">
        <f t="shared" si="39"/>
        <v>5427.1904761904761</v>
      </c>
      <c r="AU93" s="629">
        <f t="shared" si="40"/>
        <v>6677.663333333333</v>
      </c>
      <c r="AV93" s="629">
        <f t="shared" si="41"/>
        <v>6107.0119047619046</v>
      </c>
      <c r="AW93" s="629">
        <f t="shared" si="42"/>
        <v>4976.3928571428569</v>
      </c>
      <c r="AX93" s="629">
        <f t="shared" si="43"/>
        <v>7551.6547619047615</v>
      </c>
      <c r="AY93" s="629">
        <f t="shared" si="44"/>
        <v>5223.333333333333</v>
      </c>
      <c r="AZ93" s="629">
        <f t="shared" si="45"/>
        <v>3548.2857142857142</v>
      </c>
      <c r="BA93" s="629">
        <f t="shared" si="46"/>
        <v>6709.5238095238092</v>
      </c>
      <c r="BB93" s="629">
        <f t="shared" si="47"/>
        <v>4503.1309523809523</v>
      </c>
      <c r="BC93" s="629">
        <f t="shared" si="48"/>
        <v>7544.2142857142853</v>
      </c>
      <c r="BD93" s="630">
        <f t="shared" si="49"/>
        <v>4744.083333333333</v>
      </c>
      <c r="BE93" s="630">
        <f t="shared" si="50"/>
        <v>3690.8333333333335</v>
      </c>
      <c r="BF93" s="630">
        <f t="shared" si="51"/>
        <v>2288.2142857142858</v>
      </c>
      <c r="BG93" s="630">
        <f t="shared" si="52"/>
        <v>1134.3071428571429</v>
      </c>
      <c r="BH93" s="630">
        <f t="shared" si="53"/>
        <v>595.23809523809518</v>
      </c>
      <c r="BI93" s="630">
        <f t="shared" si="54"/>
        <v>583.47619047619048</v>
      </c>
      <c r="BJ93" s="630">
        <f t="shared" si="55"/>
        <v>89.285714285714292</v>
      </c>
      <c r="BK93" s="630"/>
      <c r="BL93" s="630">
        <f t="shared" si="56"/>
        <v>34.714285714285715</v>
      </c>
      <c r="BM93" s="629">
        <f t="shared" si="59"/>
        <v>200701.13833333339</v>
      </c>
    </row>
    <row r="94" spans="1:65" s="585" customFormat="1" outlineLevel="1">
      <c r="A94" s="308" t="s">
        <v>53</v>
      </c>
      <c r="B94" s="308">
        <f t="shared" si="73"/>
        <v>2023</v>
      </c>
      <c r="C94" s="308" t="s">
        <v>47</v>
      </c>
      <c r="D94" s="629"/>
      <c r="E94" s="629"/>
      <c r="F94" s="629"/>
      <c r="G94" s="629"/>
      <c r="H94" s="629">
        <f t="shared" ref="H94:H115" si="85">H93+G94</f>
        <v>16923635.02</v>
      </c>
      <c r="I94" s="629"/>
      <c r="J94" s="629">
        <v>167818.75</v>
      </c>
      <c r="K94" s="629">
        <f>SUM(J$5:J94)</f>
        <v>13658235.42</v>
      </c>
      <c r="L94" s="629"/>
      <c r="M94" s="629">
        <f t="shared" ref="M94:M115" si="86">H94-K94</f>
        <v>3265399.5999999996</v>
      </c>
      <c r="Q94" s="629"/>
      <c r="R94" s="629"/>
      <c r="S94" s="629"/>
      <c r="T94" s="629"/>
      <c r="U94" s="629">
        <f t="shared" si="66"/>
        <v>3688.1155952380955</v>
      </c>
      <c r="V94" s="629">
        <f t="shared" si="67"/>
        <v>4470.3665476190472</v>
      </c>
      <c r="W94" s="629">
        <f t="shared" si="68"/>
        <v>4106.5282142857141</v>
      </c>
      <c r="X94" s="629">
        <f t="shared" si="69"/>
        <v>4018.7264285714286</v>
      </c>
      <c r="Y94" s="629">
        <f t="shared" si="70"/>
        <v>2916.0195238095239</v>
      </c>
      <c r="Z94" s="629">
        <f t="shared" si="71"/>
        <v>2546.3565476190479</v>
      </c>
      <c r="AA94" s="629">
        <f t="shared" si="72"/>
        <v>4932.6726190476193</v>
      </c>
      <c r="AB94" s="629">
        <f t="shared" si="74"/>
        <v>6082.1595238095242</v>
      </c>
      <c r="AC94" s="629">
        <f t="shared" si="75"/>
        <v>5612.689166666667</v>
      </c>
      <c r="AD94" s="629">
        <f t="shared" si="76"/>
        <v>5489.8403571428571</v>
      </c>
      <c r="AE94" s="629">
        <f t="shared" si="77"/>
        <v>7340.8214285714284</v>
      </c>
      <c r="AF94" s="629">
        <f t="shared" si="78"/>
        <v>7116.7023809523807</v>
      </c>
      <c r="AG94" s="629">
        <f t="shared" si="79"/>
        <v>5730.1814285714281</v>
      </c>
      <c r="AH94" s="629">
        <f t="shared" si="80"/>
        <v>4594.5159523809525</v>
      </c>
      <c r="AI94" s="629">
        <f t="shared" si="81"/>
        <v>5897.8397619047619</v>
      </c>
      <c r="AJ94" s="629">
        <f t="shared" si="82"/>
        <v>4094.22</v>
      </c>
      <c r="AK94" s="629">
        <f t="shared" si="83"/>
        <v>3846.1785714285716</v>
      </c>
      <c r="AL94" s="629">
        <f t="shared" si="84"/>
        <v>5212.7619047619046</v>
      </c>
      <c r="AM94" s="629">
        <f t="shared" ref="AM94:AM112" si="87">$G$29/84</f>
        <v>5086.5714285714284</v>
      </c>
      <c r="AN94" s="629">
        <f t="shared" si="33"/>
        <v>4475.4642857142853</v>
      </c>
      <c r="AO94" s="629">
        <f t="shared" si="34"/>
        <v>8016.1861904761909</v>
      </c>
      <c r="AP94" s="629">
        <f t="shared" si="35"/>
        <v>6195.7023809523807</v>
      </c>
      <c r="AQ94" s="629">
        <f t="shared" si="36"/>
        <v>5888.4404761904761</v>
      </c>
      <c r="AR94" s="629">
        <f t="shared" si="37"/>
        <v>5556.6428571428569</v>
      </c>
      <c r="AS94" s="629">
        <f t="shared" si="38"/>
        <v>4477.3095238095239</v>
      </c>
      <c r="AT94" s="629">
        <f t="shared" si="39"/>
        <v>5427.1904761904761</v>
      </c>
      <c r="AU94" s="629">
        <f t="shared" si="40"/>
        <v>6677.663333333333</v>
      </c>
      <c r="AV94" s="629">
        <f t="shared" si="41"/>
        <v>6107.0119047619046</v>
      </c>
      <c r="AW94" s="629">
        <f t="shared" si="42"/>
        <v>4976.3928571428569</v>
      </c>
      <c r="AX94" s="629">
        <f t="shared" si="43"/>
        <v>7551.6547619047615</v>
      </c>
      <c r="AY94" s="629">
        <f t="shared" si="44"/>
        <v>5223.333333333333</v>
      </c>
      <c r="AZ94" s="629">
        <f t="shared" si="45"/>
        <v>3548.2857142857142</v>
      </c>
      <c r="BA94" s="629">
        <f t="shared" si="46"/>
        <v>6709.5238095238092</v>
      </c>
      <c r="BB94" s="629">
        <f t="shared" si="47"/>
        <v>4503.1309523809523</v>
      </c>
      <c r="BC94" s="629">
        <f t="shared" si="48"/>
        <v>7544.2142857142853</v>
      </c>
      <c r="BD94" s="630">
        <f t="shared" si="49"/>
        <v>4744.083333333333</v>
      </c>
      <c r="BE94" s="630">
        <f t="shared" si="50"/>
        <v>3690.8333333333335</v>
      </c>
      <c r="BF94" s="630">
        <f t="shared" si="51"/>
        <v>2288.2142857142858</v>
      </c>
      <c r="BG94" s="630">
        <f t="shared" si="52"/>
        <v>1134.3071428571429</v>
      </c>
      <c r="BH94" s="630">
        <f t="shared" si="53"/>
        <v>595.23809523809518</v>
      </c>
      <c r="BI94" s="630">
        <f t="shared" si="54"/>
        <v>583.47619047619048</v>
      </c>
      <c r="BJ94" s="630">
        <f t="shared" si="55"/>
        <v>89.285714285714292</v>
      </c>
      <c r="BK94" s="630"/>
      <c r="BL94" s="630">
        <f t="shared" si="56"/>
        <v>34.714285714285715</v>
      </c>
      <c r="BM94" s="629">
        <f t="shared" si="59"/>
        <v>198821.56690476194</v>
      </c>
    </row>
    <row r="95" spans="1:65" s="585" customFormat="1" outlineLevel="1">
      <c r="A95" s="308" t="s">
        <v>54</v>
      </c>
      <c r="B95" s="308">
        <f t="shared" si="73"/>
        <v>2023</v>
      </c>
      <c r="C95" s="308" t="s">
        <v>47</v>
      </c>
      <c r="D95" s="629"/>
      <c r="E95" s="629"/>
      <c r="F95" s="629"/>
      <c r="G95" s="629"/>
      <c r="H95" s="629">
        <f t="shared" si="85"/>
        <v>16923635.02</v>
      </c>
      <c r="I95" s="629"/>
      <c r="J95" s="629">
        <v>148299.06</v>
      </c>
      <c r="K95" s="629">
        <f>SUM(J$5:J95)</f>
        <v>13806534.48</v>
      </c>
      <c r="L95" s="629"/>
      <c r="M95" s="629">
        <f t="shared" si="86"/>
        <v>3117100.5399999991</v>
      </c>
      <c r="Q95" s="630"/>
      <c r="R95" s="630"/>
      <c r="U95" s="630"/>
      <c r="V95" s="629">
        <f t="shared" si="67"/>
        <v>4470.3665476190472</v>
      </c>
      <c r="W95" s="629">
        <f t="shared" si="68"/>
        <v>4106.5282142857141</v>
      </c>
      <c r="X95" s="629">
        <f t="shared" si="69"/>
        <v>4018.7264285714286</v>
      </c>
      <c r="Y95" s="629">
        <f t="shared" si="70"/>
        <v>2916.0195238095239</v>
      </c>
      <c r="Z95" s="629">
        <f t="shared" si="71"/>
        <v>2546.3565476190479</v>
      </c>
      <c r="AA95" s="629">
        <f t="shared" si="72"/>
        <v>4932.6726190476193</v>
      </c>
      <c r="AB95" s="629">
        <f t="shared" si="74"/>
        <v>6082.1595238095242</v>
      </c>
      <c r="AC95" s="629">
        <f t="shared" si="75"/>
        <v>5612.689166666667</v>
      </c>
      <c r="AD95" s="629">
        <f t="shared" si="76"/>
        <v>5489.8403571428571</v>
      </c>
      <c r="AE95" s="629">
        <f t="shared" si="77"/>
        <v>7340.8214285714284</v>
      </c>
      <c r="AF95" s="629">
        <f t="shared" si="78"/>
        <v>7116.7023809523807</v>
      </c>
      <c r="AG95" s="629">
        <f t="shared" si="79"/>
        <v>5730.1814285714281</v>
      </c>
      <c r="AH95" s="629">
        <f t="shared" si="80"/>
        <v>4594.5159523809525</v>
      </c>
      <c r="AI95" s="629">
        <f t="shared" si="81"/>
        <v>5897.8397619047619</v>
      </c>
      <c r="AJ95" s="629">
        <f t="shared" si="82"/>
        <v>4094.22</v>
      </c>
      <c r="AK95" s="629">
        <f t="shared" si="83"/>
        <v>3846.1785714285716</v>
      </c>
      <c r="AL95" s="629">
        <f t="shared" si="84"/>
        <v>5212.7619047619046</v>
      </c>
      <c r="AM95" s="629">
        <f t="shared" si="87"/>
        <v>5086.5714285714284</v>
      </c>
      <c r="AN95" s="629">
        <f t="shared" ref="AN95:AN113" si="88">$G$30/84</f>
        <v>4475.4642857142853</v>
      </c>
      <c r="AO95" s="629">
        <f t="shared" si="34"/>
        <v>8016.1861904761909</v>
      </c>
      <c r="AP95" s="629">
        <f t="shared" si="35"/>
        <v>6195.7023809523807</v>
      </c>
      <c r="AQ95" s="629">
        <f t="shared" si="36"/>
        <v>5888.4404761904761</v>
      </c>
      <c r="AR95" s="629">
        <f t="shared" si="37"/>
        <v>5556.6428571428569</v>
      </c>
      <c r="AS95" s="629">
        <f t="shared" si="38"/>
        <v>4477.3095238095239</v>
      </c>
      <c r="AT95" s="629">
        <f t="shared" si="39"/>
        <v>5427.1904761904761</v>
      </c>
      <c r="AU95" s="629">
        <f t="shared" si="40"/>
        <v>6677.663333333333</v>
      </c>
      <c r="AV95" s="629">
        <f t="shared" si="41"/>
        <v>6107.0119047619046</v>
      </c>
      <c r="AW95" s="629">
        <f t="shared" si="42"/>
        <v>4976.3928571428569</v>
      </c>
      <c r="AX95" s="629">
        <f t="shared" si="43"/>
        <v>7551.6547619047615</v>
      </c>
      <c r="AY95" s="629">
        <f t="shared" si="44"/>
        <v>5223.333333333333</v>
      </c>
      <c r="AZ95" s="629">
        <f t="shared" si="45"/>
        <v>3548.2857142857142</v>
      </c>
      <c r="BA95" s="629">
        <f t="shared" si="46"/>
        <v>6709.5238095238092</v>
      </c>
      <c r="BB95" s="629">
        <f t="shared" si="47"/>
        <v>4503.1309523809523</v>
      </c>
      <c r="BC95" s="629">
        <f t="shared" si="48"/>
        <v>7544.2142857142853</v>
      </c>
      <c r="BD95" s="630">
        <f t="shared" si="49"/>
        <v>4744.083333333333</v>
      </c>
      <c r="BE95" s="630">
        <f t="shared" si="50"/>
        <v>3690.8333333333335</v>
      </c>
      <c r="BF95" s="630">
        <f t="shared" si="51"/>
        <v>2288.2142857142858</v>
      </c>
      <c r="BG95" s="630">
        <f t="shared" si="52"/>
        <v>1134.3071428571429</v>
      </c>
      <c r="BH95" s="630">
        <f t="shared" si="53"/>
        <v>595.23809523809518</v>
      </c>
      <c r="BI95" s="630">
        <f t="shared" si="54"/>
        <v>583.47619047619048</v>
      </c>
      <c r="BJ95" s="630">
        <f t="shared" si="55"/>
        <v>89.285714285714292</v>
      </c>
      <c r="BK95" s="630"/>
      <c r="BL95" s="630">
        <f t="shared" si="56"/>
        <v>34.714285714285715</v>
      </c>
      <c r="BM95" s="629">
        <f t="shared" si="59"/>
        <v>195133.45130952387</v>
      </c>
    </row>
    <row r="96" spans="1:65" s="585" customFormat="1" outlineLevel="1">
      <c r="A96" s="308" t="s">
        <v>55</v>
      </c>
      <c r="B96" s="308">
        <f t="shared" si="73"/>
        <v>2023</v>
      </c>
      <c r="C96" s="308" t="s">
        <v>47</v>
      </c>
      <c r="D96" s="629"/>
      <c r="E96" s="629"/>
      <c r="F96" s="629"/>
      <c r="G96" s="629"/>
      <c r="H96" s="629">
        <f t="shared" si="85"/>
        <v>16923635.02</v>
      </c>
      <c r="I96" s="629"/>
      <c r="J96" s="629">
        <v>181943.74</v>
      </c>
      <c r="K96" s="629">
        <f>SUM(J$5:J96)</f>
        <v>13988478.220000001</v>
      </c>
      <c r="L96" s="629"/>
      <c r="M96" s="629">
        <f t="shared" si="86"/>
        <v>2935156.7999999989</v>
      </c>
      <c r="Q96" s="630"/>
      <c r="R96" s="630"/>
      <c r="V96" s="629"/>
      <c r="W96" s="629">
        <f t="shared" si="68"/>
        <v>4106.5282142857141</v>
      </c>
      <c r="X96" s="629">
        <f t="shared" si="69"/>
        <v>4018.7264285714286</v>
      </c>
      <c r="Y96" s="629">
        <f t="shared" si="70"/>
        <v>2916.0195238095239</v>
      </c>
      <c r="Z96" s="629">
        <f t="shared" si="71"/>
        <v>2546.3565476190479</v>
      </c>
      <c r="AA96" s="629">
        <f t="shared" si="72"/>
        <v>4932.6726190476193</v>
      </c>
      <c r="AB96" s="629">
        <f t="shared" si="74"/>
        <v>6082.1595238095242</v>
      </c>
      <c r="AC96" s="629">
        <f t="shared" si="75"/>
        <v>5612.689166666667</v>
      </c>
      <c r="AD96" s="629">
        <f t="shared" si="76"/>
        <v>5489.8403571428571</v>
      </c>
      <c r="AE96" s="629">
        <f t="shared" si="77"/>
        <v>7340.8214285714284</v>
      </c>
      <c r="AF96" s="629">
        <f t="shared" si="78"/>
        <v>7116.7023809523807</v>
      </c>
      <c r="AG96" s="629">
        <f t="shared" si="79"/>
        <v>5730.1814285714281</v>
      </c>
      <c r="AH96" s="629">
        <f t="shared" si="80"/>
        <v>4594.5159523809525</v>
      </c>
      <c r="AI96" s="629">
        <f t="shared" si="81"/>
        <v>5897.8397619047619</v>
      </c>
      <c r="AJ96" s="629">
        <f t="shared" si="82"/>
        <v>4094.22</v>
      </c>
      <c r="AK96" s="629">
        <f t="shared" si="83"/>
        <v>3846.1785714285716</v>
      </c>
      <c r="AL96" s="629">
        <f t="shared" si="84"/>
        <v>5212.7619047619046</v>
      </c>
      <c r="AM96" s="629">
        <f t="shared" si="87"/>
        <v>5086.5714285714284</v>
      </c>
      <c r="AN96" s="629">
        <f t="shared" si="88"/>
        <v>4475.4642857142853</v>
      </c>
      <c r="AO96" s="629">
        <f t="shared" ref="AO96:AO114" si="89">$G$31/84</f>
        <v>8016.1861904761909</v>
      </c>
      <c r="AP96" s="629">
        <f t="shared" si="35"/>
        <v>6195.7023809523807</v>
      </c>
      <c r="AQ96" s="629">
        <f t="shared" si="36"/>
        <v>5888.4404761904761</v>
      </c>
      <c r="AR96" s="629">
        <f t="shared" si="37"/>
        <v>5556.6428571428569</v>
      </c>
      <c r="AS96" s="629">
        <f t="shared" si="38"/>
        <v>4477.3095238095239</v>
      </c>
      <c r="AT96" s="629">
        <f t="shared" si="39"/>
        <v>5427.1904761904761</v>
      </c>
      <c r="AU96" s="629">
        <f t="shared" si="40"/>
        <v>6677.663333333333</v>
      </c>
      <c r="AV96" s="629">
        <f t="shared" si="41"/>
        <v>6107.0119047619046</v>
      </c>
      <c r="AW96" s="629">
        <f t="shared" si="42"/>
        <v>4976.3928571428569</v>
      </c>
      <c r="AX96" s="629">
        <f t="shared" si="43"/>
        <v>7551.6547619047615</v>
      </c>
      <c r="AY96" s="629">
        <f t="shared" si="44"/>
        <v>5223.333333333333</v>
      </c>
      <c r="AZ96" s="629">
        <f t="shared" si="45"/>
        <v>3548.2857142857142</v>
      </c>
      <c r="BA96" s="629">
        <f t="shared" si="46"/>
        <v>6709.5238095238092</v>
      </c>
      <c r="BB96" s="629">
        <f t="shared" si="47"/>
        <v>4503.1309523809523</v>
      </c>
      <c r="BC96" s="629">
        <f t="shared" si="48"/>
        <v>7544.2142857142853</v>
      </c>
      <c r="BD96" s="630">
        <f t="shared" si="49"/>
        <v>4744.083333333333</v>
      </c>
      <c r="BE96" s="630">
        <f t="shared" si="50"/>
        <v>3690.8333333333335</v>
      </c>
      <c r="BF96" s="630">
        <f t="shared" si="51"/>
        <v>2288.2142857142858</v>
      </c>
      <c r="BG96" s="630">
        <f t="shared" si="52"/>
        <v>1134.3071428571429</v>
      </c>
      <c r="BH96" s="630">
        <f t="shared" si="53"/>
        <v>595.23809523809518</v>
      </c>
      <c r="BI96" s="630">
        <f t="shared" si="54"/>
        <v>583.47619047619048</v>
      </c>
      <c r="BJ96" s="630">
        <f t="shared" si="55"/>
        <v>89.285714285714292</v>
      </c>
      <c r="BK96" s="630"/>
      <c r="BL96" s="630">
        <f t="shared" si="56"/>
        <v>34.714285714285715</v>
      </c>
      <c r="BM96" s="629">
        <f t="shared" si="59"/>
        <v>190663.08476190481</v>
      </c>
    </row>
    <row r="97" spans="1:65" s="585" customFormat="1" outlineLevel="1">
      <c r="A97" s="308" t="s">
        <v>56</v>
      </c>
      <c r="B97" s="308">
        <f t="shared" si="73"/>
        <v>2023</v>
      </c>
      <c r="C97" s="308" t="s">
        <v>102</v>
      </c>
      <c r="D97" s="629"/>
      <c r="E97" s="629"/>
      <c r="F97" s="629"/>
      <c r="G97" s="629"/>
      <c r="H97" s="629">
        <f t="shared" si="85"/>
        <v>16923635.02</v>
      </c>
      <c r="I97" s="629"/>
      <c r="J97" s="629">
        <f t="shared" ref="J97:J114" si="90">BM97</f>
        <v>186556.55654761911</v>
      </c>
      <c r="K97" s="629">
        <f>SUM(J$5:J97)</f>
        <v>14175034.77654762</v>
      </c>
      <c r="L97" s="629"/>
      <c r="M97" s="629">
        <f t="shared" si="86"/>
        <v>2748600.2434523795</v>
      </c>
      <c r="Q97" s="630"/>
      <c r="R97" s="630"/>
      <c r="W97" s="629"/>
      <c r="X97" s="629">
        <f t="shared" si="69"/>
        <v>4018.7264285714286</v>
      </c>
      <c r="Y97" s="629">
        <f t="shared" si="70"/>
        <v>2916.0195238095239</v>
      </c>
      <c r="Z97" s="629">
        <f t="shared" si="71"/>
        <v>2546.3565476190479</v>
      </c>
      <c r="AA97" s="629">
        <f t="shared" si="72"/>
        <v>4932.6726190476193</v>
      </c>
      <c r="AB97" s="629">
        <f t="shared" si="74"/>
        <v>6082.1595238095242</v>
      </c>
      <c r="AC97" s="629">
        <f t="shared" si="75"/>
        <v>5612.689166666667</v>
      </c>
      <c r="AD97" s="629">
        <f t="shared" si="76"/>
        <v>5489.8403571428571</v>
      </c>
      <c r="AE97" s="629">
        <f t="shared" si="77"/>
        <v>7340.8214285714284</v>
      </c>
      <c r="AF97" s="629">
        <f t="shared" si="78"/>
        <v>7116.7023809523807</v>
      </c>
      <c r="AG97" s="629">
        <f t="shared" si="79"/>
        <v>5730.1814285714281</v>
      </c>
      <c r="AH97" s="629">
        <f t="shared" si="80"/>
        <v>4594.5159523809525</v>
      </c>
      <c r="AI97" s="629">
        <f t="shared" si="81"/>
        <v>5897.8397619047619</v>
      </c>
      <c r="AJ97" s="629">
        <f t="shared" si="82"/>
        <v>4094.22</v>
      </c>
      <c r="AK97" s="629">
        <f t="shared" si="83"/>
        <v>3846.1785714285716</v>
      </c>
      <c r="AL97" s="629">
        <f t="shared" si="84"/>
        <v>5212.7619047619046</v>
      </c>
      <c r="AM97" s="629">
        <f t="shared" si="87"/>
        <v>5086.5714285714284</v>
      </c>
      <c r="AN97" s="629">
        <f t="shared" si="88"/>
        <v>4475.4642857142853</v>
      </c>
      <c r="AO97" s="629">
        <f t="shared" si="89"/>
        <v>8016.1861904761909</v>
      </c>
      <c r="AP97" s="629">
        <f t="shared" ref="AP97:AP115" si="91">$G$32/84</f>
        <v>6195.7023809523807</v>
      </c>
      <c r="AQ97" s="629">
        <f t="shared" si="36"/>
        <v>5888.4404761904761</v>
      </c>
      <c r="AR97" s="629">
        <f t="shared" si="37"/>
        <v>5556.6428571428569</v>
      </c>
      <c r="AS97" s="629">
        <f t="shared" si="38"/>
        <v>4477.3095238095239</v>
      </c>
      <c r="AT97" s="629">
        <f t="shared" si="39"/>
        <v>5427.1904761904761</v>
      </c>
      <c r="AU97" s="629">
        <f t="shared" si="40"/>
        <v>6677.663333333333</v>
      </c>
      <c r="AV97" s="629">
        <f t="shared" si="41"/>
        <v>6107.0119047619046</v>
      </c>
      <c r="AW97" s="629">
        <f t="shared" si="42"/>
        <v>4976.3928571428569</v>
      </c>
      <c r="AX97" s="629">
        <f t="shared" si="43"/>
        <v>7551.6547619047615</v>
      </c>
      <c r="AY97" s="629">
        <f t="shared" si="44"/>
        <v>5223.333333333333</v>
      </c>
      <c r="AZ97" s="629">
        <f t="shared" si="45"/>
        <v>3548.2857142857142</v>
      </c>
      <c r="BA97" s="629">
        <f t="shared" si="46"/>
        <v>6709.5238095238092</v>
      </c>
      <c r="BB97" s="629">
        <f t="shared" si="47"/>
        <v>4503.1309523809523</v>
      </c>
      <c r="BC97" s="629">
        <f t="shared" si="48"/>
        <v>7544.2142857142853</v>
      </c>
      <c r="BD97" s="630">
        <f t="shared" si="49"/>
        <v>4744.083333333333</v>
      </c>
      <c r="BE97" s="630">
        <f t="shared" si="50"/>
        <v>3690.8333333333335</v>
      </c>
      <c r="BF97" s="630">
        <f t="shared" si="51"/>
        <v>2288.2142857142858</v>
      </c>
      <c r="BG97" s="630">
        <f t="shared" si="52"/>
        <v>1134.3071428571429</v>
      </c>
      <c r="BH97" s="630">
        <f t="shared" si="53"/>
        <v>595.23809523809518</v>
      </c>
      <c r="BI97" s="630">
        <f t="shared" si="54"/>
        <v>583.47619047619048</v>
      </c>
      <c r="BJ97" s="630">
        <f t="shared" si="55"/>
        <v>89.285714285714292</v>
      </c>
      <c r="BK97" s="630"/>
      <c r="BL97" s="630">
        <f t="shared" si="56"/>
        <v>34.714285714285715</v>
      </c>
      <c r="BM97" s="629">
        <f t="shared" si="59"/>
        <v>186556.55654761911</v>
      </c>
    </row>
    <row r="98" spans="1:65" s="585" customFormat="1" outlineLevel="1">
      <c r="A98" s="308" t="s">
        <v>57</v>
      </c>
      <c r="B98" s="308">
        <f t="shared" si="73"/>
        <v>2023</v>
      </c>
      <c r="C98" s="308" t="s">
        <v>102</v>
      </c>
      <c r="H98" s="629">
        <f t="shared" si="85"/>
        <v>16923635.02</v>
      </c>
      <c r="I98" s="629"/>
      <c r="J98" s="629">
        <f t="shared" si="90"/>
        <v>182537.83011904766</v>
      </c>
      <c r="K98" s="629">
        <f>SUM(J$5:J98)</f>
        <v>14357572.606666667</v>
      </c>
      <c r="L98" s="629"/>
      <c r="M98" s="629">
        <f t="shared" si="86"/>
        <v>2566062.4133333322</v>
      </c>
      <c r="Q98" s="630"/>
      <c r="R98" s="630"/>
      <c r="X98" s="629"/>
      <c r="Y98" s="629">
        <f t="shared" si="70"/>
        <v>2916.0195238095239</v>
      </c>
      <c r="Z98" s="629">
        <f t="shared" si="71"/>
        <v>2546.3565476190479</v>
      </c>
      <c r="AA98" s="629">
        <f t="shared" si="72"/>
        <v>4932.6726190476193</v>
      </c>
      <c r="AB98" s="629">
        <f t="shared" si="74"/>
        <v>6082.1595238095242</v>
      </c>
      <c r="AC98" s="629">
        <f t="shared" si="75"/>
        <v>5612.689166666667</v>
      </c>
      <c r="AD98" s="629">
        <f t="shared" si="76"/>
        <v>5489.8403571428571</v>
      </c>
      <c r="AE98" s="629">
        <f t="shared" si="77"/>
        <v>7340.8214285714284</v>
      </c>
      <c r="AF98" s="629">
        <f t="shared" si="78"/>
        <v>7116.7023809523807</v>
      </c>
      <c r="AG98" s="629">
        <f t="shared" si="79"/>
        <v>5730.1814285714281</v>
      </c>
      <c r="AH98" s="629">
        <f t="shared" si="80"/>
        <v>4594.5159523809525</v>
      </c>
      <c r="AI98" s="629">
        <f t="shared" si="81"/>
        <v>5897.8397619047619</v>
      </c>
      <c r="AJ98" s="629">
        <f t="shared" si="82"/>
        <v>4094.22</v>
      </c>
      <c r="AK98" s="629">
        <f t="shared" si="83"/>
        <v>3846.1785714285716</v>
      </c>
      <c r="AL98" s="629">
        <f t="shared" si="84"/>
        <v>5212.7619047619046</v>
      </c>
      <c r="AM98" s="629">
        <f t="shared" si="87"/>
        <v>5086.5714285714284</v>
      </c>
      <c r="AN98" s="629">
        <f t="shared" si="88"/>
        <v>4475.4642857142853</v>
      </c>
      <c r="AO98" s="629">
        <f t="shared" si="89"/>
        <v>8016.1861904761909</v>
      </c>
      <c r="AP98" s="629">
        <f t="shared" si="91"/>
        <v>6195.7023809523807</v>
      </c>
      <c r="AQ98" s="629">
        <f t="shared" ref="AQ98:AQ116" si="92">$G$33/84</f>
        <v>5888.4404761904761</v>
      </c>
      <c r="AR98" s="629">
        <f t="shared" si="37"/>
        <v>5556.6428571428569</v>
      </c>
      <c r="AS98" s="629">
        <f t="shared" si="38"/>
        <v>4477.3095238095239</v>
      </c>
      <c r="AT98" s="629">
        <f t="shared" si="39"/>
        <v>5427.1904761904761</v>
      </c>
      <c r="AU98" s="629">
        <f t="shared" si="40"/>
        <v>6677.663333333333</v>
      </c>
      <c r="AV98" s="629">
        <f t="shared" si="41"/>
        <v>6107.0119047619046</v>
      </c>
      <c r="AW98" s="629">
        <f t="shared" si="42"/>
        <v>4976.3928571428569</v>
      </c>
      <c r="AX98" s="629">
        <f t="shared" si="43"/>
        <v>7551.6547619047615</v>
      </c>
      <c r="AY98" s="629">
        <f t="shared" si="44"/>
        <v>5223.333333333333</v>
      </c>
      <c r="AZ98" s="629">
        <f t="shared" si="45"/>
        <v>3548.2857142857142</v>
      </c>
      <c r="BA98" s="629">
        <f t="shared" si="46"/>
        <v>6709.5238095238092</v>
      </c>
      <c r="BB98" s="629">
        <f t="shared" si="47"/>
        <v>4503.1309523809523</v>
      </c>
      <c r="BC98" s="629">
        <f t="shared" si="48"/>
        <v>7544.2142857142853</v>
      </c>
      <c r="BD98" s="630">
        <f t="shared" si="49"/>
        <v>4744.083333333333</v>
      </c>
      <c r="BE98" s="630">
        <f t="shared" si="50"/>
        <v>3690.8333333333335</v>
      </c>
      <c r="BF98" s="630">
        <f t="shared" si="51"/>
        <v>2288.2142857142858</v>
      </c>
      <c r="BG98" s="630">
        <f t="shared" si="52"/>
        <v>1134.3071428571429</v>
      </c>
      <c r="BH98" s="630">
        <f t="shared" si="53"/>
        <v>595.23809523809518</v>
      </c>
      <c r="BI98" s="630">
        <f t="shared" si="54"/>
        <v>583.47619047619048</v>
      </c>
      <c r="BJ98" s="630">
        <f t="shared" si="55"/>
        <v>89.285714285714292</v>
      </c>
      <c r="BK98" s="630"/>
      <c r="BL98" s="630">
        <f t="shared" si="56"/>
        <v>34.714285714285715</v>
      </c>
      <c r="BM98" s="629">
        <f t="shared" si="59"/>
        <v>182537.83011904766</v>
      </c>
    </row>
    <row r="99" spans="1:65" s="585" customFormat="1" outlineLevel="1">
      <c r="A99" s="308" t="s">
        <v>58</v>
      </c>
      <c r="B99" s="308">
        <f t="shared" si="73"/>
        <v>2023</v>
      </c>
      <c r="C99" s="308" t="s">
        <v>102</v>
      </c>
      <c r="H99" s="629">
        <f t="shared" si="85"/>
        <v>16923635.02</v>
      </c>
      <c r="I99" s="629"/>
      <c r="J99" s="629">
        <f t="shared" si="90"/>
        <v>179621.81059523814</v>
      </c>
      <c r="K99" s="629">
        <f>SUM(J$5:J99)</f>
        <v>14537194.417261906</v>
      </c>
      <c r="L99" s="629"/>
      <c r="M99" s="629">
        <f t="shared" si="86"/>
        <v>2386440.6027380936</v>
      </c>
      <c r="Y99" s="629"/>
      <c r="Z99" s="629">
        <f t="shared" si="71"/>
        <v>2546.3565476190479</v>
      </c>
      <c r="AA99" s="629">
        <f t="shared" si="72"/>
        <v>4932.6726190476193</v>
      </c>
      <c r="AB99" s="629">
        <f t="shared" si="74"/>
        <v>6082.1595238095242</v>
      </c>
      <c r="AC99" s="629">
        <f t="shared" si="75"/>
        <v>5612.689166666667</v>
      </c>
      <c r="AD99" s="629">
        <f t="shared" si="76"/>
        <v>5489.8403571428571</v>
      </c>
      <c r="AE99" s="629">
        <f t="shared" si="77"/>
        <v>7340.8214285714284</v>
      </c>
      <c r="AF99" s="629">
        <f t="shared" si="78"/>
        <v>7116.7023809523807</v>
      </c>
      <c r="AG99" s="629">
        <f t="shared" si="79"/>
        <v>5730.1814285714281</v>
      </c>
      <c r="AH99" s="629">
        <f t="shared" si="80"/>
        <v>4594.5159523809525</v>
      </c>
      <c r="AI99" s="629">
        <f t="shared" si="81"/>
        <v>5897.8397619047619</v>
      </c>
      <c r="AJ99" s="629">
        <f t="shared" si="82"/>
        <v>4094.22</v>
      </c>
      <c r="AK99" s="629">
        <f t="shared" si="83"/>
        <v>3846.1785714285716</v>
      </c>
      <c r="AL99" s="629">
        <f t="shared" si="84"/>
        <v>5212.7619047619046</v>
      </c>
      <c r="AM99" s="629">
        <f t="shared" si="87"/>
        <v>5086.5714285714284</v>
      </c>
      <c r="AN99" s="629">
        <f t="shared" si="88"/>
        <v>4475.4642857142853</v>
      </c>
      <c r="AO99" s="629">
        <f t="shared" si="89"/>
        <v>8016.1861904761909</v>
      </c>
      <c r="AP99" s="629">
        <f t="shared" si="91"/>
        <v>6195.7023809523807</v>
      </c>
      <c r="AQ99" s="629">
        <f t="shared" si="92"/>
        <v>5888.4404761904761</v>
      </c>
      <c r="AR99" s="629">
        <f t="shared" ref="AR99:AR117" si="93">$G$34/84</f>
        <v>5556.6428571428569</v>
      </c>
      <c r="AS99" s="629">
        <f t="shared" si="38"/>
        <v>4477.3095238095239</v>
      </c>
      <c r="AT99" s="629">
        <f t="shared" si="39"/>
        <v>5427.1904761904761</v>
      </c>
      <c r="AU99" s="629">
        <f t="shared" si="40"/>
        <v>6677.663333333333</v>
      </c>
      <c r="AV99" s="629">
        <f t="shared" si="41"/>
        <v>6107.0119047619046</v>
      </c>
      <c r="AW99" s="629">
        <f t="shared" si="42"/>
        <v>4976.3928571428569</v>
      </c>
      <c r="AX99" s="629">
        <f t="shared" si="43"/>
        <v>7551.6547619047615</v>
      </c>
      <c r="AY99" s="629">
        <f t="shared" si="44"/>
        <v>5223.333333333333</v>
      </c>
      <c r="AZ99" s="629">
        <f t="shared" si="45"/>
        <v>3548.2857142857142</v>
      </c>
      <c r="BA99" s="629">
        <f t="shared" si="46"/>
        <v>6709.5238095238092</v>
      </c>
      <c r="BB99" s="629">
        <f t="shared" si="47"/>
        <v>4503.1309523809523</v>
      </c>
      <c r="BC99" s="629">
        <f t="shared" si="48"/>
        <v>7544.2142857142853</v>
      </c>
      <c r="BD99" s="630">
        <f t="shared" si="49"/>
        <v>4744.083333333333</v>
      </c>
      <c r="BE99" s="630">
        <f t="shared" si="50"/>
        <v>3690.8333333333335</v>
      </c>
      <c r="BF99" s="630">
        <f t="shared" si="51"/>
        <v>2288.2142857142858</v>
      </c>
      <c r="BG99" s="630">
        <f t="shared" si="52"/>
        <v>1134.3071428571429</v>
      </c>
      <c r="BH99" s="630">
        <f t="shared" si="53"/>
        <v>595.23809523809518</v>
      </c>
      <c r="BI99" s="630">
        <f t="shared" si="54"/>
        <v>583.47619047619048</v>
      </c>
      <c r="BJ99" s="630">
        <f t="shared" si="55"/>
        <v>89.285714285714292</v>
      </c>
      <c r="BK99" s="630"/>
      <c r="BL99" s="630">
        <f t="shared" si="56"/>
        <v>34.714285714285715</v>
      </c>
      <c r="BM99" s="629">
        <f t="shared" si="59"/>
        <v>179621.81059523814</v>
      </c>
    </row>
    <row r="100" spans="1:65" s="585" customFormat="1" outlineLevel="1">
      <c r="A100" s="308" t="s">
        <v>59</v>
      </c>
      <c r="B100" s="308">
        <f t="shared" si="73"/>
        <v>2023</v>
      </c>
      <c r="C100" s="308" t="s">
        <v>102</v>
      </c>
      <c r="H100" s="629">
        <f t="shared" si="85"/>
        <v>16923635.02</v>
      </c>
      <c r="I100" s="629"/>
      <c r="J100" s="629">
        <f t="shared" si="90"/>
        <v>177075.45404761907</v>
      </c>
      <c r="K100" s="629">
        <f>SUM(J$5:J100)</f>
        <v>14714269.871309524</v>
      </c>
      <c r="L100" s="629"/>
      <c r="M100" s="629">
        <f t="shared" si="86"/>
        <v>2209365.1486904752</v>
      </c>
      <c r="Z100" s="629"/>
      <c r="AA100" s="629">
        <f t="shared" si="72"/>
        <v>4932.6726190476193</v>
      </c>
      <c r="AB100" s="629">
        <f t="shared" si="74"/>
        <v>6082.1595238095242</v>
      </c>
      <c r="AC100" s="629">
        <f t="shared" si="75"/>
        <v>5612.689166666667</v>
      </c>
      <c r="AD100" s="629">
        <f t="shared" si="76"/>
        <v>5489.8403571428571</v>
      </c>
      <c r="AE100" s="629">
        <f t="shared" si="77"/>
        <v>7340.8214285714284</v>
      </c>
      <c r="AF100" s="629">
        <f t="shared" si="78"/>
        <v>7116.7023809523807</v>
      </c>
      <c r="AG100" s="629">
        <f t="shared" si="79"/>
        <v>5730.1814285714281</v>
      </c>
      <c r="AH100" s="629">
        <f t="shared" si="80"/>
        <v>4594.5159523809525</v>
      </c>
      <c r="AI100" s="629">
        <f t="shared" si="81"/>
        <v>5897.8397619047619</v>
      </c>
      <c r="AJ100" s="629">
        <f t="shared" si="82"/>
        <v>4094.22</v>
      </c>
      <c r="AK100" s="629">
        <f t="shared" si="83"/>
        <v>3846.1785714285716</v>
      </c>
      <c r="AL100" s="629">
        <f t="shared" si="84"/>
        <v>5212.7619047619046</v>
      </c>
      <c r="AM100" s="629">
        <f t="shared" si="87"/>
        <v>5086.5714285714284</v>
      </c>
      <c r="AN100" s="629">
        <f t="shared" si="88"/>
        <v>4475.4642857142853</v>
      </c>
      <c r="AO100" s="629">
        <f t="shared" si="89"/>
        <v>8016.1861904761909</v>
      </c>
      <c r="AP100" s="629">
        <f t="shared" si="91"/>
        <v>6195.7023809523807</v>
      </c>
      <c r="AQ100" s="629">
        <f t="shared" si="92"/>
        <v>5888.4404761904761</v>
      </c>
      <c r="AR100" s="629">
        <f t="shared" si="93"/>
        <v>5556.6428571428569</v>
      </c>
      <c r="AS100" s="629">
        <f t="shared" ref="AS100:AS118" si="94">$G$35/84</f>
        <v>4477.3095238095239</v>
      </c>
      <c r="AT100" s="629">
        <f t="shared" si="39"/>
        <v>5427.1904761904761</v>
      </c>
      <c r="AU100" s="629">
        <f t="shared" si="40"/>
        <v>6677.663333333333</v>
      </c>
      <c r="AV100" s="629">
        <f t="shared" si="41"/>
        <v>6107.0119047619046</v>
      </c>
      <c r="AW100" s="629">
        <f t="shared" si="42"/>
        <v>4976.3928571428569</v>
      </c>
      <c r="AX100" s="629">
        <f t="shared" si="43"/>
        <v>7551.6547619047615</v>
      </c>
      <c r="AY100" s="629">
        <f t="shared" si="44"/>
        <v>5223.333333333333</v>
      </c>
      <c r="AZ100" s="629">
        <f t="shared" si="45"/>
        <v>3548.2857142857142</v>
      </c>
      <c r="BA100" s="629">
        <f t="shared" si="46"/>
        <v>6709.5238095238092</v>
      </c>
      <c r="BB100" s="629">
        <f t="shared" si="47"/>
        <v>4503.1309523809523</v>
      </c>
      <c r="BC100" s="629">
        <f t="shared" si="48"/>
        <v>7544.2142857142853</v>
      </c>
      <c r="BD100" s="630">
        <f t="shared" si="49"/>
        <v>4744.083333333333</v>
      </c>
      <c r="BE100" s="630">
        <f t="shared" si="50"/>
        <v>3690.8333333333335</v>
      </c>
      <c r="BF100" s="630">
        <f t="shared" si="51"/>
        <v>2288.2142857142858</v>
      </c>
      <c r="BG100" s="630">
        <f t="shared" si="52"/>
        <v>1134.3071428571429</v>
      </c>
      <c r="BH100" s="630">
        <f t="shared" si="53"/>
        <v>595.23809523809518</v>
      </c>
      <c r="BI100" s="630">
        <f t="shared" si="54"/>
        <v>583.47619047619048</v>
      </c>
      <c r="BJ100" s="630">
        <f t="shared" si="55"/>
        <v>89.285714285714292</v>
      </c>
      <c r="BK100" s="630"/>
      <c r="BL100" s="630">
        <f t="shared" si="56"/>
        <v>34.714285714285715</v>
      </c>
      <c r="BM100" s="629">
        <f t="shared" si="59"/>
        <v>177075.45404761907</v>
      </c>
    </row>
    <row r="101" spans="1:65" s="585" customFormat="1" outlineLevel="1">
      <c r="A101" s="308" t="s">
        <v>46</v>
      </c>
      <c r="B101" s="308">
        <f t="shared" si="73"/>
        <v>2023</v>
      </c>
      <c r="C101" s="308" t="s">
        <v>102</v>
      </c>
      <c r="H101" s="629">
        <f t="shared" si="85"/>
        <v>16923635.02</v>
      </c>
      <c r="I101" s="629"/>
      <c r="J101" s="629">
        <f t="shared" si="90"/>
        <v>172142.78142857147</v>
      </c>
      <c r="K101" s="629">
        <f>SUM(J$5:J101)</f>
        <v>14886412.652738096</v>
      </c>
      <c r="L101" s="629"/>
      <c r="M101" s="629">
        <f t="shared" si="86"/>
        <v>2037222.3672619034</v>
      </c>
      <c r="AA101" s="629"/>
      <c r="AB101" s="629">
        <f t="shared" si="74"/>
        <v>6082.1595238095242</v>
      </c>
      <c r="AC101" s="629">
        <f t="shared" si="75"/>
        <v>5612.689166666667</v>
      </c>
      <c r="AD101" s="629">
        <f t="shared" si="76"/>
        <v>5489.8403571428571</v>
      </c>
      <c r="AE101" s="629">
        <f t="shared" si="77"/>
        <v>7340.8214285714284</v>
      </c>
      <c r="AF101" s="629">
        <f t="shared" si="78"/>
        <v>7116.7023809523807</v>
      </c>
      <c r="AG101" s="629">
        <f t="shared" si="79"/>
        <v>5730.1814285714281</v>
      </c>
      <c r="AH101" s="629">
        <f t="shared" si="80"/>
        <v>4594.5159523809525</v>
      </c>
      <c r="AI101" s="629">
        <f t="shared" si="81"/>
        <v>5897.8397619047619</v>
      </c>
      <c r="AJ101" s="629">
        <f t="shared" si="82"/>
        <v>4094.22</v>
      </c>
      <c r="AK101" s="629">
        <f t="shared" si="83"/>
        <v>3846.1785714285716</v>
      </c>
      <c r="AL101" s="629">
        <f t="shared" si="84"/>
        <v>5212.7619047619046</v>
      </c>
      <c r="AM101" s="629">
        <f t="shared" si="87"/>
        <v>5086.5714285714284</v>
      </c>
      <c r="AN101" s="629">
        <f t="shared" si="88"/>
        <v>4475.4642857142853</v>
      </c>
      <c r="AO101" s="629">
        <f t="shared" si="89"/>
        <v>8016.1861904761909</v>
      </c>
      <c r="AP101" s="629">
        <f t="shared" si="91"/>
        <v>6195.7023809523807</v>
      </c>
      <c r="AQ101" s="629">
        <f t="shared" si="92"/>
        <v>5888.4404761904761</v>
      </c>
      <c r="AR101" s="629">
        <f t="shared" si="93"/>
        <v>5556.6428571428569</v>
      </c>
      <c r="AS101" s="629">
        <f t="shared" si="94"/>
        <v>4477.3095238095239</v>
      </c>
      <c r="AT101" s="629">
        <f t="shared" ref="AT101:AT119" si="95">$G$36/84</f>
        <v>5427.1904761904761</v>
      </c>
      <c r="AU101" s="629">
        <f t="shared" si="40"/>
        <v>6677.663333333333</v>
      </c>
      <c r="AV101" s="629">
        <f t="shared" si="41"/>
        <v>6107.0119047619046</v>
      </c>
      <c r="AW101" s="629">
        <f t="shared" si="42"/>
        <v>4976.3928571428569</v>
      </c>
      <c r="AX101" s="629">
        <f t="shared" si="43"/>
        <v>7551.6547619047615</v>
      </c>
      <c r="AY101" s="629">
        <f t="shared" si="44"/>
        <v>5223.333333333333</v>
      </c>
      <c r="AZ101" s="629">
        <f t="shared" si="45"/>
        <v>3548.2857142857142</v>
      </c>
      <c r="BA101" s="629">
        <f t="shared" si="46"/>
        <v>6709.5238095238092</v>
      </c>
      <c r="BB101" s="629">
        <f t="shared" si="47"/>
        <v>4503.1309523809523</v>
      </c>
      <c r="BC101" s="629">
        <f t="shared" si="48"/>
        <v>7544.2142857142853</v>
      </c>
      <c r="BD101" s="630">
        <f t="shared" si="49"/>
        <v>4744.083333333333</v>
      </c>
      <c r="BE101" s="630">
        <f t="shared" si="50"/>
        <v>3690.8333333333335</v>
      </c>
      <c r="BF101" s="630">
        <f t="shared" si="51"/>
        <v>2288.2142857142858</v>
      </c>
      <c r="BG101" s="630">
        <f t="shared" si="52"/>
        <v>1134.3071428571429</v>
      </c>
      <c r="BH101" s="630">
        <f t="shared" si="53"/>
        <v>595.23809523809518</v>
      </c>
      <c r="BI101" s="630">
        <f t="shared" si="54"/>
        <v>583.47619047619048</v>
      </c>
      <c r="BJ101" s="630">
        <f t="shared" si="55"/>
        <v>89.285714285714292</v>
      </c>
      <c r="BK101" s="630"/>
      <c r="BL101" s="630">
        <f t="shared" si="56"/>
        <v>34.714285714285715</v>
      </c>
      <c r="BM101" s="629">
        <f t="shared" si="59"/>
        <v>172142.78142857147</v>
      </c>
    </row>
    <row r="102" spans="1:65" s="585" customFormat="1" outlineLevel="1">
      <c r="A102" s="308" t="s">
        <v>48</v>
      </c>
      <c r="B102" s="308">
        <f t="shared" si="73"/>
        <v>2023</v>
      </c>
      <c r="C102" s="308" t="s">
        <v>102</v>
      </c>
      <c r="H102" s="629">
        <f t="shared" si="85"/>
        <v>16923635.02</v>
      </c>
      <c r="I102" s="629"/>
      <c r="J102" s="629">
        <f t="shared" si="90"/>
        <v>166060.62190476194</v>
      </c>
      <c r="K102" s="629">
        <f>SUM(J$5:J102)</f>
        <v>15052473.274642859</v>
      </c>
      <c r="L102" s="629"/>
      <c r="M102" s="629">
        <f t="shared" si="86"/>
        <v>1871161.7453571409</v>
      </c>
      <c r="AB102" s="629"/>
      <c r="AC102" s="629">
        <f t="shared" si="75"/>
        <v>5612.689166666667</v>
      </c>
      <c r="AD102" s="629">
        <f t="shared" si="76"/>
        <v>5489.8403571428571</v>
      </c>
      <c r="AE102" s="629">
        <f t="shared" si="77"/>
        <v>7340.8214285714284</v>
      </c>
      <c r="AF102" s="629">
        <f t="shared" si="78"/>
        <v>7116.7023809523807</v>
      </c>
      <c r="AG102" s="629">
        <f t="shared" si="79"/>
        <v>5730.1814285714281</v>
      </c>
      <c r="AH102" s="629">
        <f t="shared" si="80"/>
        <v>4594.5159523809525</v>
      </c>
      <c r="AI102" s="629">
        <f t="shared" si="81"/>
        <v>5897.8397619047619</v>
      </c>
      <c r="AJ102" s="629">
        <f t="shared" si="82"/>
        <v>4094.22</v>
      </c>
      <c r="AK102" s="629">
        <f t="shared" si="83"/>
        <v>3846.1785714285716</v>
      </c>
      <c r="AL102" s="629">
        <f t="shared" si="84"/>
        <v>5212.7619047619046</v>
      </c>
      <c r="AM102" s="629">
        <f t="shared" si="87"/>
        <v>5086.5714285714284</v>
      </c>
      <c r="AN102" s="629">
        <f t="shared" si="88"/>
        <v>4475.4642857142853</v>
      </c>
      <c r="AO102" s="629">
        <f t="shared" si="89"/>
        <v>8016.1861904761909</v>
      </c>
      <c r="AP102" s="629">
        <f t="shared" si="91"/>
        <v>6195.7023809523807</v>
      </c>
      <c r="AQ102" s="629">
        <f t="shared" si="92"/>
        <v>5888.4404761904761</v>
      </c>
      <c r="AR102" s="629">
        <f t="shared" si="93"/>
        <v>5556.6428571428569</v>
      </c>
      <c r="AS102" s="629">
        <f t="shared" si="94"/>
        <v>4477.3095238095239</v>
      </c>
      <c r="AT102" s="629">
        <f t="shared" si="95"/>
        <v>5427.1904761904761</v>
      </c>
      <c r="AU102" s="629">
        <f t="shared" ref="AU102:AU120" si="96">$G$37/84</f>
        <v>6677.663333333333</v>
      </c>
      <c r="AV102" s="629">
        <f t="shared" si="41"/>
        <v>6107.0119047619046</v>
      </c>
      <c r="AW102" s="629">
        <f t="shared" si="42"/>
        <v>4976.3928571428569</v>
      </c>
      <c r="AX102" s="629">
        <f t="shared" si="43"/>
        <v>7551.6547619047615</v>
      </c>
      <c r="AY102" s="629">
        <f t="shared" si="44"/>
        <v>5223.333333333333</v>
      </c>
      <c r="AZ102" s="629">
        <f t="shared" si="45"/>
        <v>3548.2857142857142</v>
      </c>
      <c r="BA102" s="629">
        <f t="shared" si="46"/>
        <v>6709.5238095238092</v>
      </c>
      <c r="BB102" s="629">
        <f t="shared" si="47"/>
        <v>4503.1309523809523</v>
      </c>
      <c r="BC102" s="629">
        <f t="shared" si="48"/>
        <v>7544.2142857142853</v>
      </c>
      <c r="BD102" s="630">
        <f t="shared" si="49"/>
        <v>4744.083333333333</v>
      </c>
      <c r="BE102" s="630">
        <f t="shared" si="50"/>
        <v>3690.8333333333335</v>
      </c>
      <c r="BF102" s="630">
        <f t="shared" si="51"/>
        <v>2288.2142857142858</v>
      </c>
      <c r="BG102" s="630">
        <f t="shared" si="52"/>
        <v>1134.3071428571429</v>
      </c>
      <c r="BH102" s="630">
        <f t="shared" si="53"/>
        <v>595.23809523809518</v>
      </c>
      <c r="BI102" s="630">
        <f t="shared" si="54"/>
        <v>583.47619047619048</v>
      </c>
      <c r="BJ102" s="630">
        <f t="shared" si="55"/>
        <v>89.285714285714292</v>
      </c>
      <c r="BK102" s="630"/>
      <c r="BL102" s="630">
        <f t="shared" si="56"/>
        <v>34.714285714285715</v>
      </c>
      <c r="BM102" s="629">
        <f t="shared" si="59"/>
        <v>166060.62190476194</v>
      </c>
    </row>
    <row r="103" spans="1:65" s="585" customFormat="1" outlineLevel="1">
      <c r="A103" s="308" t="s">
        <v>50</v>
      </c>
      <c r="B103" s="308">
        <f t="shared" si="73"/>
        <v>2023</v>
      </c>
      <c r="C103" s="308" t="s">
        <v>102</v>
      </c>
      <c r="H103" s="629">
        <f t="shared" si="85"/>
        <v>16923635.02</v>
      </c>
      <c r="I103" s="629"/>
      <c r="J103" s="629">
        <f t="shared" si="90"/>
        <v>160447.93273809526</v>
      </c>
      <c r="K103" s="629">
        <f>SUM(J$5:J103)</f>
        <v>15212921.207380954</v>
      </c>
      <c r="L103" s="629"/>
      <c r="M103" s="629">
        <f t="shared" si="86"/>
        <v>1710713.8126190454</v>
      </c>
      <c r="AC103" s="629"/>
      <c r="AD103" s="629">
        <f t="shared" si="76"/>
        <v>5489.8403571428571</v>
      </c>
      <c r="AE103" s="629">
        <f t="shared" si="77"/>
        <v>7340.8214285714284</v>
      </c>
      <c r="AF103" s="629">
        <f t="shared" si="78"/>
        <v>7116.7023809523807</v>
      </c>
      <c r="AG103" s="629">
        <f t="shared" si="79"/>
        <v>5730.1814285714281</v>
      </c>
      <c r="AH103" s="629">
        <f t="shared" si="80"/>
        <v>4594.5159523809525</v>
      </c>
      <c r="AI103" s="629">
        <f t="shared" si="81"/>
        <v>5897.8397619047619</v>
      </c>
      <c r="AJ103" s="629">
        <f t="shared" si="82"/>
        <v>4094.22</v>
      </c>
      <c r="AK103" s="629">
        <f t="shared" si="83"/>
        <v>3846.1785714285716</v>
      </c>
      <c r="AL103" s="629">
        <f t="shared" si="84"/>
        <v>5212.7619047619046</v>
      </c>
      <c r="AM103" s="629">
        <f t="shared" si="87"/>
        <v>5086.5714285714284</v>
      </c>
      <c r="AN103" s="629">
        <f t="shared" si="88"/>
        <v>4475.4642857142853</v>
      </c>
      <c r="AO103" s="629">
        <f t="shared" si="89"/>
        <v>8016.1861904761909</v>
      </c>
      <c r="AP103" s="629">
        <f t="shared" si="91"/>
        <v>6195.7023809523807</v>
      </c>
      <c r="AQ103" s="629">
        <f t="shared" si="92"/>
        <v>5888.4404761904761</v>
      </c>
      <c r="AR103" s="629">
        <f t="shared" si="93"/>
        <v>5556.6428571428569</v>
      </c>
      <c r="AS103" s="629">
        <f t="shared" si="94"/>
        <v>4477.3095238095239</v>
      </c>
      <c r="AT103" s="629">
        <f t="shared" si="95"/>
        <v>5427.1904761904761</v>
      </c>
      <c r="AU103" s="629">
        <f t="shared" si="96"/>
        <v>6677.663333333333</v>
      </c>
      <c r="AV103" s="629">
        <f t="shared" ref="AV103:AV121" si="97">$G$38/84</f>
        <v>6107.0119047619046</v>
      </c>
      <c r="AW103" s="629">
        <f t="shared" si="42"/>
        <v>4976.3928571428569</v>
      </c>
      <c r="AX103" s="629">
        <f t="shared" si="43"/>
        <v>7551.6547619047615</v>
      </c>
      <c r="AY103" s="629">
        <f t="shared" si="44"/>
        <v>5223.333333333333</v>
      </c>
      <c r="AZ103" s="629">
        <f t="shared" si="45"/>
        <v>3548.2857142857142</v>
      </c>
      <c r="BA103" s="629">
        <f t="shared" si="46"/>
        <v>6709.5238095238092</v>
      </c>
      <c r="BB103" s="629">
        <f t="shared" si="47"/>
        <v>4503.1309523809523</v>
      </c>
      <c r="BC103" s="629">
        <f t="shared" si="48"/>
        <v>7544.2142857142853</v>
      </c>
      <c r="BD103" s="630">
        <f t="shared" si="49"/>
        <v>4744.083333333333</v>
      </c>
      <c r="BE103" s="630">
        <f t="shared" si="50"/>
        <v>3690.8333333333335</v>
      </c>
      <c r="BF103" s="630">
        <f t="shared" si="51"/>
        <v>2288.2142857142858</v>
      </c>
      <c r="BG103" s="630">
        <f t="shared" si="52"/>
        <v>1134.3071428571429</v>
      </c>
      <c r="BH103" s="630">
        <f t="shared" si="53"/>
        <v>595.23809523809518</v>
      </c>
      <c r="BI103" s="630">
        <f t="shared" si="54"/>
        <v>583.47619047619048</v>
      </c>
      <c r="BJ103" s="630">
        <f t="shared" si="55"/>
        <v>89.285714285714292</v>
      </c>
      <c r="BK103" s="630"/>
      <c r="BL103" s="630">
        <f t="shared" si="56"/>
        <v>34.714285714285715</v>
      </c>
      <c r="BM103" s="629">
        <f t="shared" si="59"/>
        <v>160447.93273809526</v>
      </c>
    </row>
    <row r="104" spans="1:65" s="585" customFormat="1" ht="13.5" customHeight="1" outlineLevel="1">
      <c r="A104" s="308" t="s">
        <v>51</v>
      </c>
      <c r="B104" s="308">
        <f t="shared" si="73"/>
        <v>2023</v>
      </c>
      <c r="C104" s="308" t="s">
        <v>102</v>
      </c>
      <c r="H104" s="629">
        <f t="shared" si="85"/>
        <v>16923635.02</v>
      </c>
      <c r="I104" s="629"/>
      <c r="J104" s="629">
        <f t="shared" si="90"/>
        <v>154958.09238095238</v>
      </c>
      <c r="K104" s="629">
        <f>SUM(J$5:J104)</f>
        <v>15367879.299761906</v>
      </c>
      <c r="L104" s="629"/>
      <c r="M104" s="629">
        <f t="shared" si="86"/>
        <v>1555755.7202380933</v>
      </c>
      <c r="AD104" s="629"/>
      <c r="AE104" s="629">
        <f t="shared" si="77"/>
        <v>7340.8214285714284</v>
      </c>
      <c r="AF104" s="629">
        <f t="shared" si="78"/>
        <v>7116.7023809523807</v>
      </c>
      <c r="AG104" s="629">
        <f t="shared" si="79"/>
        <v>5730.1814285714281</v>
      </c>
      <c r="AH104" s="629">
        <f t="shared" si="80"/>
        <v>4594.5159523809525</v>
      </c>
      <c r="AI104" s="629">
        <f t="shared" si="81"/>
        <v>5897.8397619047619</v>
      </c>
      <c r="AJ104" s="629">
        <f t="shared" si="82"/>
        <v>4094.22</v>
      </c>
      <c r="AK104" s="629">
        <f t="shared" si="83"/>
        <v>3846.1785714285716</v>
      </c>
      <c r="AL104" s="629">
        <f t="shared" si="84"/>
        <v>5212.7619047619046</v>
      </c>
      <c r="AM104" s="629">
        <f t="shared" si="87"/>
        <v>5086.5714285714284</v>
      </c>
      <c r="AN104" s="629">
        <f t="shared" si="88"/>
        <v>4475.4642857142853</v>
      </c>
      <c r="AO104" s="629">
        <f t="shared" si="89"/>
        <v>8016.1861904761909</v>
      </c>
      <c r="AP104" s="629">
        <f t="shared" si="91"/>
        <v>6195.7023809523807</v>
      </c>
      <c r="AQ104" s="629">
        <f t="shared" si="92"/>
        <v>5888.4404761904761</v>
      </c>
      <c r="AR104" s="629">
        <f t="shared" si="93"/>
        <v>5556.6428571428569</v>
      </c>
      <c r="AS104" s="629">
        <f t="shared" si="94"/>
        <v>4477.3095238095239</v>
      </c>
      <c r="AT104" s="629">
        <f t="shared" si="95"/>
        <v>5427.1904761904761</v>
      </c>
      <c r="AU104" s="629">
        <f t="shared" si="96"/>
        <v>6677.663333333333</v>
      </c>
      <c r="AV104" s="629">
        <f t="shared" si="97"/>
        <v>6107.0119047619046</v>
      </c>
      <c r="AW104" s="629">
        <f t="shared" ref="AW104:AW122" si="98">$G$39/84</f>
        <v>4976.3928571428569</v>
      </c>
      <c r="AX104" s="629">
        <f t="shared" si="43"/>
        <v>7551.6547619047615</v>
      </c>
      <c r="AY104" s="629">
        <f t="shared" si="44"/>
        <v>5223.333333333333</v>
      </c>
      <c r="AZ104" s="629">
        <f t="shared" si="45"/>
        <v>3548.2857142857142</v>
      </c>
      <c r="BA104" s="629">
        <f t="shared" si="46"/>
        <v>6709.5238095238092</v>
      </c>
      <c r="BB104" s="629">
        <f t="shared" si="47"/>
        <v>4503.1309523809523</v>
      </c>
      <c r="BC104" s="629">
        <f t="shared" si="48"/>
        <v>7544.2142857142853</v>
      </c>
      <c r="BD104" s="630">
        <f t="shared" si="49"/>
        <v>4744.083333333333</v>
      </c>
      <c r="BE104" s="630">
        <f t="shared" si="50"/>
        <v>3690.8333333333335</v>
      </c>
      <c r="BF104" s="630">
        <f t="shared" si="51"/>
        <v>2288.2142857142858</v>
      </c>
      <c r="BG104" s="630">
        <f t="shared" si="52"/>
        <v>1134.3071428571429</v>
      </c>
      <c r="BH104" s="630">
        <f t="shared" si="53"/>
        <v>595.23809523809518</v>
      </c>
      <c r="BI104" s="630">
        <f t="shared" si="54"/>
        <v>583.47619047619048</v>
      </c>
      <c r="BJ104" s="630">
        <f t="shared" si="55"/>
        <v>89.285714285714292</v>
      </c>
      <c r="BK104" s="630"/>
      <c r="BL104" s="630">
        <f t="shared" si="56"/>
        <v>34.714285714285715</v>
      </c>
      <c r="BM104" s="629">
        <f t="shared" si="59"/>
        <v>154958.09238095238</v>
      </c>
    </row>
    <row r="105" spans="1:65" s="585" customFormat="1" ht="12.75" customHeight="1" outlineLevel="1">
      <c r="A105" s="308" t="s">
        <v>52</v>
      </c>
      <c r="B105" s="308">
        <f t="shared" si="73"/>
        <v>2023</v>
      </c>
      <c r="C105" s="308" t="s">
        <v>102</v>
      </c>
      <c r="D105" s="629"/>
      <c r="E105" s="629"/>
      <c r="F105" s="629"/>
      <c r="G105" s="629"/>
      <c r="H105" s="629">
        <f t="shared" si="85"/>
        <v>16923635.02</v>
      </c>
      <c r="I105" s="629"/>
      <c r="J105" s="629">
        <f t="shared" si="90"/>
        <v>147617.27095238096</v>
      </c>
      <c r="K105" s="629">
        <f>SUM(J$5:J105)</f>
        <v>15515496.570714287</v>
      </c>
      <c r="L105" s="629"/>
      <c r="M105" s="629">
        <f t="shared" si="86"/>
        <v>1408138.4492857121</v>
      </c>
      <c r="O105" s="629"/>
      <c r="P105" s="629"/>
      <c r="Q105" s="630"/>
      <c r="R105" s="630"/>
      <c r="S105" s="630"/>
      <c r="T105" s="630"/>
      <c r="U105" s="629"/>
      <c r="V105" s="629"/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>
        <f t="shared" si="78"/>
        <v>7116.7023809523807</v>
      </c>
      <c r="AG105" s="629">
        <f t="shared" si="79"/>
        <v>5730.1814285714281</v>
      </c>
      <c r="AH105" s="629">
        <f t="shared" si="80"/>
        <v>4594.5159523809525</v>
      </c>
      <c r="AI105" s="629">
        <f t="shared" si="81"/>
        <v>5897.8397619047619</v>
      </c>
      <c r="AJ105" s="629">
        <f t="shared" si="82"/>
        <v>4094.22</v>
      </c>
      <c r="AK105" s="629">
        <f t="shared" si="83"/>
        <v>3846.1785714285716</v>
      </c>
      <c r="AL105" s="629">
        <f t="shared" si="84"/>
        <v>5212.7619047619046</v>
      </c>
      <c r="AM105" s="629">
        <f t="shared" si="87"/>
        <v>5086.5714285714284</v>
      </c>
      <c r="AN105" s="629">
        <f t="shared" si="88"/>
        <v>4475.4642857142853</v>
      </c>
      <c r="AO105" s="629">
        <f t="shared" si="89"/>
        <v>8016.1861904761909</v>
      </c>
      <c r="AP105" s="629">
        <f t="shared" si="91"/>
        <v>6195.7023809523807</v>
      </c>
      <c r="AQ105" s="629">
        <f t="shared" si="92"/>
        <v>5888.4404761904761</v>
      </c>
      <c r="AR105" s="629">
        <f t="shared" si="93"/>
        <v>5556.6428571428569</v>
      </c>
      <c r="AS105" s="629">
        <f t="shared" si="94"/>
        <v>4477.3095238095239</v>
      </c>
      <c r="AT105" s="629">
        <f t="shared" si="95"/>
        <v>5427.1904761904761</v>
      </c>
      <c r="AU105" s="629">
        <f t="shared" si="96"/>
        <v>6677.663333333333</v>
      </c>
      <c r="AV105" s="629">
        <f t="shared" si="97"/>
        <v>6107.0119047619046</v>
      </c>
      <c r="AW105" s="629">
        <f t="shared" si="98"/>
        <v>4976.3928571428569</v>
      </c>
      <c r="AX105" s="629">
        <f t="shared" ref="AX105:AX123" si="99">$G$40/84</f>
        <v>7551.6547619047615</v>
      </c>
      <c r="AY105" s="629">
        <f t="shared" si="44"/>
        <v>5223.333333333333</v>
      </c>
      <c r="AZ105" s="629">
        <f t="shared" si="45"/>
        <v>3548.2857142857142</v>
      </c>
      <c r="BA105" s="629">
        <f t="shared" si="46"/>
        <v>6709.5238095238092</v>
      </c>
      <c r="BB105" s="629">
        <f t="shared" si="47"/>
        <v>4503.1309523809523</v>
      </c>
      <c r="BC105" s="629">
        <f t="shared" si="48"/>
        <v>7544.2142857142853</v>
      </c>
      <c r="BD105" s="630">
        <f t="shared" si="49"/>
        <v>4744.083333333333</v>
      </c>
      <c r="BE105" s="630">
        <f t="shared" si="50"/>
        <v>3690.8333333333335</v>
      </c>
      <c r="BF105" s="630">
        <f t="shared" si="51"/>
        <v>2288.2142857142858</v>
      </c>
      <c r="BG105" s="630">
        <f t="shared" si="52"/>
        <v>1134.3071428571429</v>
      </c>
      <c r="BH105" s="630">
        <f t="shared" si="53"/>
        <v>595.23809523809518</v>
      </c>
      <c r="BI105" s="630">
        <f t="shared" si="54"/>
        <v>583.47619047619048</v>
      </c>
      <c r="BJ105" s="630">
        <f t="shared" si="55"/>
        <v>89.285714285714292</v>
      </c>
      <c r="BK105" s="630"/>
      <c r="BL105" s="630">
        <f t="shared" si="56"/>
        <v>34.714285714285715</v>
      </c>
      <c r="BM105" s="629">
        <f t="shared" si="59"/>
        <v>147617.27095238096</v>
      </c>
    </row>
    <row r="106" spans="1:65" s="585" customFormat="1" outlineLevel="1">
      <c r="A106" s="308" t="s">
        <v>53</v>
      </c>
      <c r="B106" s="308">
        <f t="shared" si="73"/>
        <v>2024</v>
      </c>
      <c r="C106" s="308" t="s">
        <v>102</v>
      </c>
      <c r="H106" s="629">
        <f t="shared" si="85"/>
        <v>16923635.02</v>
      </c>
      <c r="I106" s="629"/>
      <c r="J106" s="629">
        <f t="shared" si="90"/>
        <v>140500.56857142856</v>
      </c>
      <c r="K106" s="629">
        <f>SUM(J$5:J106)</f>
        <v>15655997.139285715</v>
      </c>
      <c r="L106" s="629"/>
      <c r="M106" s="629">
        <f t="shared" si="86"/>
        <v>1267637.8807142843</v>
      </c>
      <c r="AF106" s="629"/>
      <c r="AG106" s="629">
        <f t="shared" si="79"/>
        <v>5730.1814285714281</v>
      </c>
      <c r="AH106" s="629">
        <f t="shared" si="80"/>
        <v>4594.5159523809525</v>
      </c>
      <c r="AI106" s="629">
        <f t="shared" si="81"/>
        <v>5897.8397619047619</v>
      </c>
      <c r="AJ106" s="629">
        <f t="shared" si="82"/>
        <v>4094.22</v>
      </c>
      <c r="AK106" s="629">
        <f t="shared" si="83"/>
        <v>3846.1785714285716</v>
      </c>
      <c r="AL106" s="629">
        <f t="shared" si="84"/>
        <v>5212.7619047619046</v>
      </c>
      <c r="AM106" s="629">
        <f t="shared" si="87"/>
        <v>5086.5714285714284</v>
      </c>
      <c r="AN106" s="629">
        <f t="shared" si="88"/>
        <v>4475.4642857142853</v>
      </c>
      <c r="AO106" s="629">
        <f t="shared" si="89"/>
        <v>8016.1861904761909</v>
      </c>
      <c r="AP106" s="629">
        <f t="shared" si="91"/>
        <v>6195.7023809523807</v>
      </c>
      <c r="AQ106" s="629">
        <f t="shared" si="92"/>
        <v>5888.4404761904761</v>
      </c>
      <c r="AR106" s="629">
        <f t="shared" si="93"/>
        <v>5556.6428571428569</v>
      </c>
      <c r="AS106" s="629">
        <f t="shared" si="94"/>
        <v>4477.3095238095239</v>
      </c>
      <c r="AT106" s="629">
        <f t="shared" si="95"/>
        <v>5427.1904761904761</v>
      </c>
      <c r="AU106" s="629">
        <f t="shared" si="96"/>
        <v>6677.663333333333</v>
      </c>
      <c r="AV106" s="629">
        <f t="shared" si="97"/>
        <v>6107.0119047619046</v>
      </c>
      <c r="AW106" s="629">
        <f t="shared" si="98"/>
        <v>4976.3928571428569</v>
      </c>
      <c r="AX106" s="629">
        <f t="shared" si="99"/>
        <v>7551.6547619047615</v>
      </c>
      <c r="AY106" s="629">
        <f t="shared" ref="AY106:AY124" si="100">$G$41/84</f>
        <v>5223.333333333333</v>
      </c>
      <c r="AZ106" s="629">
        <f t="shared" si="45"/>
        <v>3548.2857142857142</v>
      </c>
      <c r="BA106" s="629">
        <f t="shared" si="46"/>
        <v>6709.5238095238092</v>
      </c>
      <c r="BB106" s="629">
        <f t="shared" si="47"/>
        <v>4503.1309523809523</v>
      </c>
      <c r="BC106" s="629">
        <f t="shared" si="48"/>
        <v>7544.2142857142853</v>
      </c>
      <c r="BD106" s="630">
        <f t="shared" si="49"/>
        <v>4744.083333333333</v>
      </c>
      <c r="BE106" s="630">
        <f t="shared" si="50"/>
        <v>3690.8333333333335</v>
      </c>
      <c r="BF106" s="630">
        <f t="shared" si="51"/>
        <v>2288.2142857142858</v>
      </c>
      <c r="BG106" s="630">
        <f t="shared" si="52"/>
        <v>1134.3071428571429</v>
      </c>
      <c r="BH106" s="630">
        <f t="shared" si="53"/>
        <v>595.23809523809518</v>
      </c>
      <c r="BI106" s="630">
        <f t="shared" si="54"/>
        <v>583.47619047619048</v>
      </c>
      <c r="BJ106" s="630">
        <f t="shared" si="55"/>
        <v>89.285714285714292</v>
      </c>
      <c r="BK106" s="630"/>
      <c r="BL106" s="630">
        <f t="shared" si="56"/>
        <v>34.714285714285715</v>
      </c>
      <c r="BM106" s="629">
        <f t="shared" si="59"/>
        <v>140500.56857142856</v>
      </c>
    </row>
    <row r="107" spans="1:65" s="585" customFormat="1" outlineLevel="1">
      <c r="A107" s="308" t="s">
        <v>54</v>
      </c>
      <c r="B107" s="308">
        <f t="shared" si="73"/>
        <v>2024</v>
      </c>
      <c r="C107" s="308" t="s">
        <v>102</v>
      </c>
      <c r="H107" s="629">
        <f t="shared" si="85"/>
        <v>16923635.02</v>
      </c>
      <c r="I107" s="629"/>
      <c r="J107" s="629">
        <f t="shared" si="90"/>
        <v>134770.38714285713</v>
      </c>
      <c r="K107" s="629">
        <f>SUM(J$5:J107)</f>
        <v>15790767.526428573</v>
      </c>
      <c r="L107" s="629"/>
      <c r="M107" s="629">
        <f t="shared" si="86"/>
        <v>1132867.4935714267</v>
      </c>
      <c r="AG107" s="629"/>
      <c r="AH107" s="629">
        <f t="shared" si="80"/>
        <v>4594.5159523809525</v>
      </c>
      <c r="AI107" s="629">
        <f t="shared" si="81"/>
        <v>5897.8397619047619</v>
      </c>
      <c r="AJ107" s="629">
        <f t="shared" si="82"/>
        <v>4094.22</v>
      </c>
      <c r="AK107" s="629">
        <f t="shared" si="83"/>
        <v>3846.1785714285716</v>
      </c>
      <c r="AL107" s="629">
        <f t="shared" si="84"/>
        <v>5212.7619047619046</v>
      </c>
      <c r="AM107" s="629">
        <f t="shared" si="87"/>
        <v>5086.5714285714284</v>
      </c>
      <c r="AN107" s="629">
        <f t="shared" si="88"/>
        <v>4475.4642857142853</v>
      </c>
      <c r="AO107" s="629">
        <f t="shared" si="89"/>
        <v>8016.1861904761909</v>
      </c>
      <c r="AP107" s="629">
        <f t="shared" si="91"/>
        <v>6195.7023809523807</v>
      </c>
      <c r="AQ107" s="629">
        <f t="shared" si="92"/>
        <v>5888.4404761904761</v>
      </c>
      <c r="AR107" s="629">
        <f t="shared" si="93"/>
        <v>5556.6428571428569</v>
      </c>
      <c r="AS107" s="629">
        <f t="shared" si="94"/>
        <v>4477.3095238095239</v>
      </c>
      <c r="AT107" s="629">
        <f t="shared" si="95"/>
        <v>5427.1904761904761</v>
      </c>
      <c r="AU107" s="629">
        <f t="shared" si="96"/>
        <v>6677.663333333333</v>
      </c>
      <c r="AV107" s="629">
        <f t="shared" si="97"/>
        <v>6107.0119047619046</v>
      </c>
      <c r="AW107" s="629">
        <f t="shared" si="98"/>
        <v>4976.3928571428569</v>
      </c>
      <c r="AX107" s="629">
        <f t="shared" si="99"/>
        <v>7551.6547619047615</v>
      </c>
      <c r="AY107" s="629">
        <f t="shared" si="100"/>
        <v>5223.333333333333</v>
      </c>
      <c r="AZ107" s="629">
        <f t="shared" ref="AZ107:AZ125" si="101">$G$42/84</f>
        <v>3548.2857142857142</v>
      </c>
      <c r="BA107" s="629">
        <f t="shared" si="46"/>
        <v>6709.5238095238092</v>
      </c>
      <c r="BB107" s="629">
        <f t="shared" si="47"/>
        <v>4503.1309523809523</v>
      </c>
      <c r="BC107" s="629">
        <f t="shared" si="48"/>
        <v>7544.2142857142853</v>
      </c>
      <c r="BD107" s="630">
        <f t="shared" si="49"/>
        <v>4744.083333333333</v>
      </c>
      <c r="BE107" s="630">
        <f t="shared" si="50"/>
        <v>3690.8333333333335</v>
      </c>
      <c r="BF107" s="630">
        <f t="shared" si="51"/>
        <v>2288.2142857142858</v>
      </c>
      <c r="BG107" s="630">
        <f t="shared" si="52"/>
        <v>1134.3071428571429</v>
      </c>
      <c r="BH107" s="630">
        <f t="shared" si="53"/>
        <v>595.23809523809518</v>
      </c>
      <c r="BI107" s="630">
        <f t="shared" si="54"/>
        <v>583.47619047619048</v>
      </c>
      <c r="BJ107" s="630">
        <f t="shared" si="55"/>
        <v>89.285714285714292</v>
      </c>
      <c r="BK107" s="630"/>
      <c r="BL107" s="630">
        <f t="shared" si="56"/>
        <v>34.714285714285715</v>
      </c>
      <c r="BM107" s="629">
        <f t="shared" si="59"/>
        <v>134770.38714285713</v>
      </c>
    </row>
    <row r="108" spans="1:65" s="585" customFormat="1" outlineLevel="1">
      <c r="A108" s="308" t="s">
        <v>55</v>
      </c>
      <c r="B108" s="308">
        <f t="shared" si="73"/>
        <v>2024</v>
      </c>
      <c r="C108" s="308" t="s">
        <v>102</v>
      </c>
      <c r="H108" s="629">
        <f t="shared" si="85"/>
        <v>16923635.02</v>
      </c>
      <c r="I108" s="629"/>
      <c r="J108" s="629">
        <f t="shared" si="90"/>
        <v>130175.87119047616</v>
      </c>
      <c r="K108" s="629">
        <f>SUM(J$5:J108)</f>
        <v>15920943.397619048</v>
      </c>
      <c r="L108" s="629"/>
      <c r="M108" s="629">
        <f t="shared" si="86"/>
        <v>1002691.6223809514</v>
      </c>
      <c r="AI108" s="629">
        <f t="shared" si="81"/>
        <v>5897.8397619047619</v>
      </c>
      <c r="AJ108" s="629">
        <f t="shared" si="82"/>
        <v>4094.22</v>
      </c>
      <c r="AK108" s="629">
        <f t="shared" si="83"/>
        <v>3846.1785714285716</v>
      </c>
      <c r="AL108" s="629">
        <f t="shared" si="84"/>
        <v>5212.7619047619046</v>
      </c>
      <c r="AM108" s="629">
        <f t="shared" si="87"/>
        <v>5086.5714285714284</v>
      </c>
      <c r="AN108" s="629">
        <f t="shared" si="88"/>
        <v>4475.4642857142853</v>
      </c>
      <c r="AO108" s="629">
        <f t="shared" si="89"/>
        <v>8016.1861904761909</v>
      </c>
      <c r="AP108" s="629">
        <f t="shared" si="91"/>
        <v>6195.7023809523807</v>
      </c>
      <c r="AQ108" s="629">
        <f t="shared" si="92"/>
        <v>5888.4404761904761</v>
      </c>
      <c r="AR108" s="629">
        <f t="shared" si="93"/>
        <v>5556.6428571428569</v>
      </c>
      <c r="AS108" s="629">
        <f t="shared" si="94"/>
        <v>4477.3095238095239</v>
      </c>
      <c r="AT108" s="629">
        <f t="shared" si="95"/>
        <v>5427.1904761904761</v>
      </c>
      <c r="AU108" s="629">
        <f t="shared" si="96"/>
        <v>6677.663333333333</v>
      </c>
      <c r="AV108" s="629">
        <f t="shared" si="97"/>
        <v>6107.0119047619046</v>
      </c>
      <c r="AW108" s="629">
        <f t="shared" si="98"/>
        <v>4976.3928571428569</v>
      </c>
      <c r="AX108" s="629">
        <f t="shared" si="99"/>
        <v>7551.6547619047615</v>
      </c>
      <c r="AY108" s="629">
        <f t="shared" si="100"/>
        <v>5223.333333333333</v>
      </c>
      <c r="AZ108" s="629">
        <f t="shared" si="101"/>
        <v>3548.2857142857142</v>
      </c>
      <c r="BA108" s="629">
        <f t="shared" ref="BA108:BA126" si="102">$G$43/84</f>
        <v>6709.5238095238092</v>
      </c>
      <c r="BB108" s="629">
        <f t="shared" si="47"/>
        <v>4503.1309523809523</v>
      </c>
      <c r="BC108" s="629">
        <f t="shared" si="48"/>
        <v>7544.2142857142853</v>
      </c>
      <c r="BD108" s="630">
        <f t="shared" si="49"/>
        <v>4744.083333333333</v>
      </c>
      <c r="BE108" s="630">
        <f t="shared" si="50"/>
        <v>3690.8333333333335</v>
      </c>
      <c r="BF108" s="630">
        <f t="shared" si="51"/>
        <v>2288.2142857142858</v>
      </c>
      <c r="BG108" s="630">
        <f t="shared" si="52"/>
        <v>1134.3071428571429</v>
      </c>
      <c r="BH108" s="630">
        <f t="shared" si="53"/>
        <v>595.23809523809518</v>
      </c>
      <c r="BI108" s="630">
        <f t="shared" si="54"/>
        <v>583.47619047619048</v>
      </c>
      <c r="BJ108" s="630">
        <f t="shared" si="55"/>
        <v>89.285714285714292</v>
      </c>
      <c r="BK108" s="630"/>
      <c r="BL108" s="630">
        <f t="shared" si="56"/>
        <v>34.714285714285715</v>
      </c>
      <c r="BM108" s="629">
        <f t="shared" si="59"/>
        <v>130175.87119047616</v>
      </c>
    </row>
    <row r="109" spans="1:65" s="585" customFormat="1" outlineLevel="1">
      <c r="A109" s="308" t="s">
        <v>56</v>
      </c>
      <c r="B109" s="308">
        <f t="shared" si="73"/>
        <v>2024</v>
      </c>
      <c r="C109" s="308" t="s">
        <v>102</v>
      </c>
      <c r="H109" s="629">
        <f t="shared" si="85"/>
        <v>16923635.02</v>
      </c>
      <c r="I109" s="629"/>
      <c r="J109" s="629">
        <f t="shared" si="90"/>
        <v>124278.0314285714</v>
      </c>
      <c r="K109" s="629">
        <f>SUM(J$5:J109)</f>
        <v>16045221.42904762</v>
      </c>
      <c r="L109" s="629"/>
      <c r="M109" s="629">
        <f t="shared" si="86"/>
        <v>878413.59095237963</v>
      </c>
      <c r="AJ109" s="629">
        <f t="shared" si="82"/>
        <v>4094.22</v>
      </c>
      <c r="AK109" s="629">
        <f t="shared" si="83"/>
        <v>3846.1785714285716</v>
      </c>
      <c r="AL109" s="629">
        <f t="shared" si="84"/>
        <v>5212.7619047619046</v>
      </c>
      <c r="AM109" s="629">
        <f t="shared" si="87"/>
        <v>5086.5714285714284</v>
      </c>
      <c r="AN109" s="629">
        <f t="shared" si="88"/>
        <v>4475.4642857142853</v>
      </c>
      <c r="AO109" s="629">
        <f t="shared" si="89"/>
        <v>8016.1861904761909</v>
      </c>
      <c r="AP109" s="629">
        <f t="shared" si="91"/>
        <v>6195.7023809523807</v>
      </c>
      <c r="AQ109" s="629">
        <f t="shared" si="92"/>
        <v>5888.4404761904761</v>
      </c>
      <c r="AR109" s="629">
        <f t="shared" si="93"/>
        <v>5556.6428571428569</v>
      </c>
      <c r="AS109" s="629">
        <f t="shared" si="94"/>
        <v>4477.3095238095239</v>
      </c>
      <c r="AT109" s="629">
        <f t="shared" si="95"/>
        <v>5427.1904761904761</v>
      </c>
      <c r="AU109" s="629">
        <f t="shared" si="96"/>
        <v>6677.663333333333</v>
      </c>
      <c r="AV109" s="629">
        <f t="shared" si="97"/>
        <v>6107.0119047619046</v>
      </c>
      <c r="AW109" s="629">
        <f t="shared" si="98"/>
        <v>4976.3928571428569</v>
      </c>
      <c r="AX109" s="629">
        <f t="shared" si="99"/>
        <v>7551.6547619047615</v>
      </c>
      <c r="AY109" s="629">
        <f t="shared" si="100"/>
        <v>5223.333333333333</v>
      </c>
      <c r="AZ109" s="629">
        <f t="shared" si="101"/>
        <v>3548.2857142857142</v>
      </c>
      <c r="BA109" s="629">
        <f t="shared" si="102"/>
        <v>6709.5238095238092</v>
      </c>
      <c r="BB109" s="629">
        <f t="shared" ref="BB109:BB127" si="103">$G$44/84</f>
        <v>4503.1309523809523</v>
      </c>
      <c r="BC109" s="629">
        <f t="shared" si="48"/>
        <v>7544.2142857142853</v>
      </c>
      <c r="BD109" s="630">
        <f t="shared" si="49"/>
        <v>4744.083333333333</v>
      </c>
      <c r="BE109" s="630">
        <f t="shared" si="50"/>
        <v>3690.8333333333335</v>
      </c>
      <c r="BF109" s="630">
        <f t="shared" si="51"/>
        <v>2288.2142857142858</v>
      </c>
      <c r="BG109" s="630">
        <f t="shared" si="52"/>
        <v>1134.3071428571429</v>
      </c>
      <c r="BH109" s="630">
        <f t="shared" si="53"/>
        <v>595.23809523809518</v>
      </c>
      <c r="BI109" s="630">
        <f t="shared" si="54"/>
        <v>583.47619047619048</v>
      </c>
      <c r="BJ109" s="630">
        <f t="shared" si="55"/>
        <v>89.285714285714292</v>
      </c>
      <c r="BK109" s="630"/>
      <c r="BL109" s="630">
        <f t="shared" si="56"/>
        <v>34.714285714285715</v>
      </c>
      <c r="BM109" s="629">
        <f t="shared" si="59"/>
        <v>124278.0314285714</v>
      </c>
    </row>
    <row r="110" spans="1:65" s="585" customFormat="1" outlineLevel="1">
      <c r="A110" s="308" t="s">
        <v>57</v>
      </c>
      <c r="B110" s="308">
        <f t="shared" si="73"/>
        <v>2024</v>
      </c>
      <c r="C110" s="308" t="s">
        <v>102</v>
      </c>
      <c r="H110" s="629">
        <f t="shared" si="85"/>
        <v>16923635.02</v>
      </c>
      <c r="I110" s="629"/>
      <c r="J110" s="629">
        <f t="shared" si="90"/>
        <v>120183.8114285714</v>
      </c>
      <c r="K110" s="629">
        <f>SUM(J$5:J110)</f>
        <v>16165405.240476191</v>
      </c>
      <c r="L110" s="629"/>
      <c r="M110" s="629">
        <f t="shared" si="86"/>
        <v>758229.77952380851</v>
      </c>
      <c r="AK110" s="629">
        <f t="shared" si="83"/>
        <v>3846.1785714285716</v>
      </c>
      <c r="AL110" s="629">
        <f t="shared" si="84"/>
        <v>5212.7619047619046</v>
      </c>
      <c r="AM110" s="629">
        <f t="shared" si="87"/>
        <v>5086.5714285714284</v>
      </c>
      <c r="AN110" s="629">
        <f t="shared" si="88"/>
        <v>4475.4642857142853</v>
      </c>
      <c r="AO110" s="629">
        <f t="shared" si="89"/>
        <v>8016.1861904761909</v>
      </c>
      <c r="AP110" s="629">
        <f t="shared" si="91"/>
        <v>6195.7023809523807</v>
      </c>
      <c r="AQ110" s="629">
        <f t="shared" si="92"/>
        <v>5888.4404761904761</v>
      </c>
      <c r="AR110" s="629">
        <f t="shared" si="93"/>
        <v>5556.6428571428569</v>
      </c>
      <c r="AS110" s="629">
        <f t="shared" si="94"/>
        <v>4477.3095238095239</v>
      </c>
      <c r="AT110" s="629">
        <f t="shared" si="95"/>
        <v>5427.1904761904761</v>
      </c>
      <c r="AU110" s="629">
        <f t="shared" si="96"/>
        <v>6677.663333333333</v>
      </c>
      <c r="AV110" s="629">
        <f t="shared" si="97"/>
        <v>6107.0119047619046</v>
      </c>
      <c r="AW110" s="629">
        <f t="shared" si="98"/>
        <v>4976.3928571428569</v>
      </c>
      <c r="AX110" s="629">
        <f t="shared" si="99"/>
        <v>7551.6547619047615</v>
      </c>
      <c r="AY110" s="629">
        <f t="shared" si="100"/>
        <v>5223.333333333333</v>
      </c>
      <c r="AZ110" s="629">
        <f t="shared" si="101"/>
        <v>3548.2857142857142</v>
      </c>
      <c r="BA110" s="629">
        <f t="shared" si="102"/>
        <v>6709.5238095238092</v>
      </c>
      <c r="BB110" s="629">
        <f t="shared" si="103"/>
        <v>4503.1309523809523</v>
      </c>
      <c r="BC110" s="629">
        <f t="shared" ref="BC110:BC128" si="104">$G$45/84</f>
        <v>7544.2142857142853</v>
      </c>
      <c r="BD110" s="630">
        <f t="shared" si="49"/>
        <v>4744.083333333333</v>
      </c>
      <c r="BE110" s="630">
        <f t="shared" si="50"/>
        <v>3690.8333333333335</v>
      </c>
      <c r="BF110" s="630">
        <f t="shared" si="51"/>
        <v>2288.2142857142858</v>
      </c>
      <c r="BG110" s="630">
        <f t="shared" si="52"/>
        <v>1134.3071428571429</v>
      </c>
      <c r="BH110" s="630">
        <f t="shared" si="53"/>
        <v>595.23809523809518</v>
      </c>
      <c r="BI110" s="630">
        <f t="shared" si="54"/>
        <v>583.47619047619048</v>
      </c>
      <c r="BJ110" s="630">
        <f t="shared" si="55"/>
        <v>89.285714285714292</v>
      </c>
      <c r="BK110" s="630"/>
      <c r="BL110" s="630">
        <f t="shared" si="56"/>
        <v>34.714285714285715</v>
      </c>
      <c r="BM110" s="629">
        <f t="shared" si="59"/>
        <v>120183.8114285714</v>
      </c>
    </row>
    <row r="111" spans="1:65" s="585" customFormat="1" outlineLevel="1">
      <c r="A111" s="308" t="s">
        <v>58</v>
      </c>
      <c r="B111" s="308">
        <f t="shared" si="73"/>
        <v>2024</v>
      </c>
      <c r="C111" s="308" t="s">
        <v>102</v>
      </c>
      <c r="H111" s="629">
        <f t="shared" si="85"/>
        <v>16923635.02</v>
      </c>
      <c r="I111" s="629"/>
      <c r="J111" s="629">
        <f t="shared" si="90"/>
        <v>116337.63285714282</v>
      </c>
      <c r="K111" s="629">
        <f>SUM(J$5:J111)</f>
        <v>16281742.873333333</v>
      </c>
      <c r="L111" s="629"/>
      <c r="M111" s="629">
        <f t="shared" si="86"/>
        <v>641892.14666666649</v>
      </c>
      <c r="AL111" s="629">
        <f t="shared" si="84"/>
        <v>5212.7619047619046</v>
      </c>
      <c r="AM111" s="629">
        <f t="shared" si="87"/>
        <v>5086.5714285714284</v>
      </c>
      <c r="AN111" s="629">
        <f t="shared" si="88"/>
        <v>4475.4642857142853</v>
      </c>
      <c r="AO111" s="629">
        <f t="shared" si="89"/>
        <v>8016.1861904761909</v>
      </c>
      <c r="AP111" s="629">
        <f t="shared" si="91"/>
        <v>6195.7023809523807</v>
      </c>
      <c r="AQ111" s="629">
        <f t="shared" si="92"/>
        <v>5888.4404761904761</v>
      </c>
      <c r="AR111" s="629">
        <f t="shared" si="93"/>
        <v>5556.6428571428569</v>
      </c>
      <c r="AS111" s="629">
        <f t="shared" si="94"/>
        <v>4477.3095238095239</v>
      </c>
      <c r="AT111" s="629">
        <f t="shared" si="95"/>
        <v>5427.1904761904761</v>
      </c>
      <c r="AU111" s="629">
        <f t="shared" si="96"/>
        <v>6677.663333333333</v>
      </c>
      <c r="AV111" s="629">
        <f t="shared" si="97"/>
        <v>6107.0119047619046</v>
      </c>
      <c r="AW111" s="629">
        <f t="shared" si="98"/>
        <v>4976.3928571428569</v>
      </c>
      <c r="AX111" s="629">
        <f t="shared" si="99"/>
        <v>7551.6547619047615</v>
      </c>
      <c r="AY111" s="629">
        <f t="shared" si="100"/>
        <v>5223.333333333333</v>
      </c>
      <c r="AZ111" s="629">
        <f t="shared" si="101"/>
        <v>3548.2857142857142</v>
      </c>
      <c r="BA111" s="629">
        <f t="shared" si="102"/>
        <v>6709.5238095238092</v>
      </c>
      <c r="BB111" s="629">
        <f t="shared" si="103"/>
        <v>4503.1309523809523</v>
      </c>
      <c r="BC111" s="629">
        <f t="shared" si="104"/>
        <v>7544.2142857142853</v>
      </c>
      <c r="BD111" s="630">
        <f t="shared" ref="BD111:BD129" si="105">$G$46/84</f>
        <v>4744.083333333333</v>
      </c>
      <c r="BE111" s="630">
        <f t="shared" si="50"/>
        <v>3690.8333333333335</v>
      </c>
      <c r="BF111" s="630">
        <f t="shared" si="51"/>
        <v>2288.2142857142858</v>
      </c>
      <c r="BG111" s="630">
        <f t="shared" si="52"/>
        <v>1134.3071428571429</v>
      </c>
      <c r="BH111" s="630">
        <f t="shared" si="53"/>
        <v>595.23809523809518</v>
      </c>
      <c r="BI111" s="630">
        <f t="shared" si="54"/>
        <v>583.47619047619048</v>
      </c>
      <c r="BJ111" s="630">
        <f t="shared" si="55"/>
        <v>89.285714285714292</v>
      </c>
      <c r="BK111" s="630"/>
      <c r="BL111" s="630">
        <f t="shared" si="56"/>
        <v>34.714285714285715</v>
      </c>
      <c r="BM111" s="629">
        <f t="shared" si="59"/>
        <v>116337.63285714282</v>
      </c>
    </row>
    <row r="112" spans="1:65" s="585" customFormat="1" outlineLevel="1">
      <c r="A112" s="308" t="s">
        <v>59</v>
      </c>
      <c r="B112" s="308">
        <f t="shared" si="73"/>
        <v>2024</v>
      </c>
      <c r="C112" s="308" t="s">
        <v>102</v>
      </c>
      <c r="H112" s="629">
        <f t="shared" si="85"/>
        <v>16923635.02</v>
      </c>
      <c r="I112" s="629"/>
      <c r="J112" s="629">
        <f t="shared" si="90"/>
        <v>111124.87095238092</v>
      </c>
      <c r="K112" s="629">
        <f>SUM(J$5:J112)</f>
        <v>16392867.744285714</v>
      </c>
      <c r="L112" s="629"/>
      <c r="M112" s="629">
        <f t="shared" si="86"/>
        <v>530767.27571428567</v>
      </c>
      <c r="AM112" s="629">
        <f t="shared" si="87"/>
        <v>5086.5714285714284</v>
      </c>
      <c r="AN112" s="629">
        <f t="shared" si="88"/>
        <v>4475.4642857142853</v>
      </c>
      <c r="AO112" s="629">
        <f t="shared" si="89"/>
        <v>8016.1861904761909</v>
      </c>
      <c r="AP112" s="629">
        <f t="shared" si="91"/>
        <v>6195.7023809523807</v>
      </c>
      <c r="AQ112" s="629">
        <f t="shared" si="92"/>
        <v>5888.4404761904761</v>
      </c>
      <c r="AR112" s="629">
        <f t="shared" si="93"/>
        <v>5556.6428571428569</v>
      </c>
      <c r="AS112" s="629">
        <f t="shared" si="94"/>
        <v>4477.3095238095239</v>
      </c>
      <c r="AT112" s="629">
        <f t="shared" si="95"/>
        <v>5427.1904761904761</v>
      </c>
      <c r="AU112" s="629">
        <f t="shared" si="96"/>
        <v>6677.663333333333</v>
      </c>
      <c r="AV112" s="629">
        <f t="shared" si="97"/>
        <v>6107.0119047619046</v>
      </c>
      <c r="AW112" s="629">
        <f t="shared" si="98"/>
        <v>4976.3928571428569</v>
      </c>
      <c r="AX112" s="629">
        <f t="shared" si="99"/>
        <v>7551.6547619047615</v>
      </c>
      <c r="AY112" s="629">
        <f t="shared" si="100"/>
        <v>5223.333333333333</v>
      </c>
      <c r="AZ112" s="629">
        <f t="shared" si="101"/>
        <v>3548.2857142857142</v>
      </c>
      <c r="BA112" s="629">
        <f t="shared" si="102"/>
        <v>6709.5238095238092</v>
      </c>
      <c r="BB112" s="629">
        <f t="shared" si="103"/>
        <v>4503.1309523809523</v>
      </c>
      <c r="BC112" s="629">
        <f t="shared" si="104"/>
        <v>7544.2142857142853</v>
      </c>
      <c r="BD112" s="630">
        <f t="shared" si="105"/>
        <v>4744.083333333333</v>
      </c>
      <c r="BE112" s="630">
        <f t="shared" ref="BE112:BE130" si="106">$G$47/84</f>
        <v>3690.8333333333335</v>
      </c>
      <c r="BF112" s="630">
        <f t="shared" si="51"/>
        <v>2288.2142857142858</v>
      </c>
      <c r="BG112" s="630">
        <f t="shared" si="52"/>
        <v>1134.3071428571429</v>
      </c>
      <c r="BH112" s="630">
        <f t="shared" si="53"/>
        <v>595.23809523809518</v>
      </c>
      <c r="BI112" s="630">
        <f t="shared" si="54"/>
        <v>583.47619047619048</v>
      </c>
      <c r="BJ112" s="630">
        <f t="shared" si="55"/>
        <v>89.285714285714292</v>
      </c>
      <c r="BK112" s="630"/>
      <c r="BL112" s="630">
        <f t="shared" si="56"/>
        <v>34.714285714285715</v>
      </c>
      <c r="BM112" s="629">
        <f t="shared" si="59"/>
        <v>111124.87095238092</v>
      </c>
    </row>
    <row r="113" spans="1:65" s="585" customFormat="1" outlineLevel="1">
      <c r="A113" s="308" t="s">
        <v>46</v>
      </c>
      <c r="B113" s="308">
        <f t="shared" si="73"/>
        <v>2024</v>
      </c>
      <c r="C113" s="308" t="s">
        <v>102</v>
      </c>
      <c r="H113" s="629">
        <f t="shared" si="85"/>
        <v>16923635.02</v>
      </c>
      <c r="I113" s="629"/>
      <c r="J113" s="629">
        <f t="shared" si="90"/>
        <v>106038.2995238095</v>
      </c>
      <c r="K113" s="629">
        <f>SUM(J$5:J113)</f>
        <v>16498906.043809524</v>
      </c>
      <c r="L113" s="629"/>
      <c r="M113" s="629">
        <f t="shared" si="86"/>
        <v>424728.97619047575</v>
      </c>
      <c r="AN113" s="629">
        <f t="shared" si="88"/>
        <v>4475.4642857142853</v>
      </c>
      <c r="AO113" s="629">
        <f t="shared" si="89"/>
        <v>8016.1861904761909</v>
      </c>
      <c r="AP113" s="629">
        <f t="shared" si="91"/>
        <v>6195.7023809523807</v>
      </c>
      <c r="AQ113" s="629">
        <f t="shared" si="92"/>
        <v>5888.4404761904761</v>
      </c>
      <c r="AR113" s="629">
        <f t="shared" si="93"/>
        <v>5556.6428571428569</v>
      </c>
      <c r="AS113" s="629">
        <f t="shared" si="94"/>
        <v>4477.3095238095239</v>
      </c>
      <c r="AT113" s="629">
        <f t="shared" si="95"/>
        <v>5427.1904761904761</v>
      </c>
      <c r="AU113" s="629">
        <f t="shared" si="96"/>
        <v>6677.663333333333</v>
      </c>
      <c r="AV113" s="629">
        <f t="shared" si="97"/>
        <v>6107.0119047619046</v>
      </c>
      <c r="AW113" s="629">
        <f t="shared" si="98"/>
        <v>4976.3928571428569</v>
      </c>
      <c r="AX113" s="629">
        <f t="shared" si="99"/>
        <v>7551.6547619047615</v>
      </c>
      <c r="AY113" s="629">
        <f t="shared" si="100"/>
        <v>5223.333333333333</v>
      </c>
      <c r="AZ113" s="629">
        <f t="shared" si="101"/>
        <v>3548.2857142857142</v>
      </c>
      <c r="BA113" s="629">
        <f t="shared" si="102"/>
        <v>6709.5238095238092</v>
      </c>
      <c r="BB113" s="629">
        <f t="shared" si="103"/>
        <v>4503.1309523809523</v>
      </c>
      <c r="BC113" s="629">
        <f t="shared" si="104"/>
        <v>7544.2142857142853</v>
      </c>
      <c r="BD113" s="630">
        <f t="shared" si="105"/>
        <v>4744.083333333333</v>
      </c>
      <c r="BE113" s="630">
        <f t="shared" si="106"/>
        <v>3690.8333333333335</v>
      </c>
      <c r="BF113" s="630">
        <f t="shared" ref="BF113:BF131" si="107">$G$48/84</f>
        <v>2288.2142857142858</v>
      </c>
      <c r="BG113" s="630">
        <f t="shared" si="52"/>
        <v>1134.3071428571429</v>
      </c>
      <c r="BH113" s="630">
        <f t="shared" si="53"/>
        <v>595.23809523809518</v>
      </c>
      <c r="BI113" s="630">
        <f t="shared" si="54"/>
        <v>583.47619047619048</v>
      </c>
      <c r="BJ113" s="630">
        <f t="shared" si="55"/>
        <v>89.285714285714292</v>
      </c>
      <c r="BK113" s="630"/>
      <c r="BL113" s="630">
        <f t="shared" si="56"/>
        <v>34.714285714285715</v>
      </c>
      <c r="BM113" s="629">
        <f t="shared" si="59"/>
        <v>106038.2995238095</v>
      </c>
    </row>
    <row r="114" spans="1:65" s="585" customFormat="1" outlineLevel="1">
      <c r="A114" s="308" t="s">
        <v>48</v>
      </c>
      <c r="B114" s="308">
        <f t="shared" si="73"/>
        <v>2024</v>
      </c>
      <c r="C114" s="308" t="s">
        <v>102</v>
      </c>
      <c r="H114" s="629">
        <f t="shared" si="85"/>
        <v>16923635.02</v>
      </c>
      <c r="I114" s="629"/>
      <c r="J114" s="629">
        <f t="shared" si="90"/>
        <v>101562.83523809521</v>
      </c>
      <c r="K114" s="629">
        <f>SUM(J$5:J114)</f>
        <v>16600468.879047619</v>
      </c>
      <c r="L114" s="629"/>
      <c r="M114" s="629">
        <f t="shared" si="86"/>
        <v>323166.14095238037</v>
      </c>
      <c r="AO114" s="629">
        <f t="shared" si="89"/>
        <v>8016.1861904761909</v>
      </c>
      <c r="AP114" s="629">
        <f t="shared" si="91"/>
        <v>6195.7023809523807</v>
      </c>
      <c r="AQ114" s="629">
        <f t="shared" si="92"/>
        <v>5888.4404761904761</v>
      </c>
      <c r="AR114" s="629">
        <f t="shared" si="93"/>
        <v>5556.6428571428569</v>
      </c>
      <c r="AS114" s="629">
        <f t="shared" si="94"/>
        <v>4477.3095238095239</v>
      </c>
      <c r="AT114" s="629">
        <f t="shared" si="95"/>
        <v>5427.1904761904761</v>
      </c>
      <c r="AU114" s="629">
        <f t="shared" si="96"/>
        <v>6677.663333333333</v>
      </c>
      <c r="AV114" s="629">
        <f t="shared" si="97"/>
        <v>6107.0119047619046</v>
      </c>
      <c r="AW114" s="629">
        <f t="shared" si="98"/>
        <v>4976.3928571428569</v>
      </c>
      <c r="AX114" s="629">
        <f t="shared" si="99"/>
        <v>7551.6547619047615</v>
      </c>
      <c r="AY114" s="629">
        <f t="shared" si="100"/>
        <v>5223.333333333333</v>
      </c>
      <c r="AZ114" s="629">
        <f t="shared" si="101"/>
        <v>3548.2857142857142</v>
      </c>
      <c r="BA114" s="629">
        <f t="shared" si="102"/>
        <v>6709.5238095238092</v>
      </c>
      <c r="BB114" s="629">
        <f t="shared" si="103"/>
        <v>4503.1309523809523</v>
      </c>
      <c r="BC114" s="629">
        <f t="shared" si="104"/>
        <v>7544.2142857142853</v>
      </c>
      <c r="BD114" s="630">
        <f t="shared" si="105"/>
        <v>4744.083333333333</v>
      </c>
      <c r="BE114" s="630">
        <f t="shared" si="106"/>
        <v>3690.8333333333335</v>
      </c>
      <c r="BF114" s="630">
        <f t="shared" si="107"/>
        <v>2288.2142857142858</v>
      </c>
      <c r="BG114" s="630">
        <f t="shared" ref="BG114:BG132" si="108">$G$49/84</f>
        <v>1134.3071428571429</v>
      </c>
      <c r="BH114" s="630">
        <f t="shared" si="53"/>
        <v>595.23809523809518</v>
      </c>
      <c r="BI114" s="630">
        <f t="shared" si="54"/>
        <v>583.47619047619048</v>
      </c>
      <c r="BJ114" s="630">
        <f t="shared" si="55"/>
        <v>89.285714285714292</v>
      </c>
      <c r="BK114" s="630"/>
      <c r="BL114" s="630">
        <f t="shared" si="56"/>
        <v>34.714285714285715</v>
      </c>
      <c r="BM114" s="629">
        <f t="shared" si="59"/>
        <v>101562.83523809521</v>
      </c>
    </row>
    <row r="115" spans="1:65" s="585" customFormat="1" outlineLevel="1">
      <c r="A115" s="308" t="s">
        <v>50</v>
      </c>
      <c r="B115" s="308">
        <f t="shared" si="73"/>
        <v>2024</v>
      </c>
      <c r="C115" s="308" t="s">
        <v>102</v>
      </c>
      <c r="H115" s="629">
        <f t="shared" si="85"/>
        <v>16923635.02</v>
      </c>
      <c r="I115" s="629"/>
      <c r="J115" s="629">
        <f>H115-K114</f>
        <v>323166.14095238037</v>
      </c>
      <c r="K115" s="629">
        <f>SUM(J$5:J115)</f>
        <v>16923635.02</v>
      </c>
      <c r="L115" s="629"/>
      <c r="M115" s="629">
        <f t="shared" si="86"/>
        <v>0</v>
      </c>
      <c r="AP115" s="629">
        <f t="shared" si="91"/>
        <v>6195.7023809523807</v>
      </c>
      <c r="AQ115" s="629">
        <f t="shared" si="92"/>
        <v>5888.4404761904761</v>
      </c>
      <c r="AR115" s="629">
        <f t="shared" si="93"/>
        <v>5556.6428571428569</v>
      </c>
      <c r="AS115" s="629">
        <f t="shared" si="94"/>
        <v>4477.3095238095239</v>
      </c>
      <c r="AT115" s="629">
        <f t="shared" si="95"/>
        <v>5427.1904761904761</v>
      </c>
      <c r="AU115" s="629">
        <f t="shared" si="96"/>
        <v>6677.663333333333</v>
      </c>
      <c r="AV115" s="629">
        <f t="shared" si="97"/>
        <v>6107.0119047619046</v>
      </c>
      <c r="AW115" s="629">
        <f t="shared" si="98"/>
        <v>4976.3928571428569</v>
      </c>
      <c r="AX115" s="629">
        <f t="shared" si="99"/>
        <v>7551.6547619047615</v>
      </c>
      <c r="AY115" s="629">
        <f t="shared" si="100"/>
        <v>5223.333333333333</v>
      </c>
      <c r="AZ115" s="629">
        <f t="shared" si="101"/>
        <v>3548.2857142857142</v>
      </c>
      <c r="BA115" s="629">
        <f t="shared" si="102"/>
        <v>6709.5238095238092</v>
      </c>
      <c r="BB115" s="629">
        <f t="shared" si="103"/>
        <v>4503.1309523809523</v>
      </c>
      <c r="BC115" s="629">
        <f t="shared" si="104"/>
        <v>7544.2142857142853</v>
      </c>
      <c r="BD115" s="630">
        <f t="shared" si="105"/>
        <v>4744.083333333333</v>
      </c>
      <c r="BE115" s="630">
        <f t="shared" si="106"/>
        <v>3690.8333333333335</v>
      </c>
      <c r="BF115" s="630">
        <f t="shared" si="107"/>
        <v>2288.2142857142858</v>
      </c>
      <c r="BG115" s="630">
        <f t="shared" si="108"/>
        <v>1134.3071428571429</v>
      </c>
      <c r="BH115" s="630">
        <f t="shared" ref="BH115:BH133" si="109">$G$50/84</f>
        <v>595.23809523809518</v>
      </c>
      <c r="BI115" s="630">
        <f t="shared" si="54"/>
        <v>583.47619047619048</v>
      </c>
      <c r="BJ115" s="630">
        <f t="shared" si="55"/>
        <v>89.285714285714292</v>
      </c>
      <c r="BK115" s="630"/>
      <c r="BL115" s="630">
        <f t="shared" si="56"/>
        <v>34.714285714285715</v>
      </c>
      <c r="BM115" s="629">
        <f t="shared" si="59"/>
        <v>93546.649047619037</v>
      </c>
    </row>
    <row r="116" spans="1:65" s="585" customFormat="1" outlineLevel="1">
      <c r="A116" s="308" t="s">
        <v>51</v>
      </c>
      <c r="B116" s="308">
        <f t="shared" si="73"/>
        <v>2024</v>
      </c>
      <c r="C116" s="308" t="s">
        <v>102</v>
      </c>
      <c r="H116" s="629"/>
      <c r="I116" s="629"/>
      <c r="J116" s="629"/>
      <c r="K116" s="629"/>
      <c r="L116" s="629"/>
      <c r="M116" s="629"/>
      <c r="AQ116" s="629">
        <f t="shared" si="92"/>
        <v>5888.4404761904761</v>
      </c>
      <c r="AR116" s="629">
        <f t="shared" si="93"/>
        <v>5556.6428571428569</v>
      </c>
      <c r="AS116" s="629">
        <f t="shared" si="94"/>
        <v>4477.3095238095239</v>
      </c>
      <c r="AT116" s="629">
        <f t="shared" si="95"/>
        <v>5427.1904761904761</v>
      </c>
      <c r="AU116" s="629">
        <f t="shared" si="96"/>
        <v>6677.663333333333</v>
      </c>
      <c r="AV116" s="629">
        <f t="shared" si="97"/>
        <v>6107.0119047619046</v>
      </c>
      <c r="AW116" s="629">
        <f t="shared" si="98"/>
        <v>4976.3928571428569</v>
      </c>
      <c r="AX116" s="629">
        <f t="shared" si="99"/>
        <v>7551.6547619047615</v>
      </c>
      <c r="AY116" s="629">
        <f t="shared" si="100"/>
        <v>5223.333333333333</v>
      </c>
      <c r="AZ116" s="629">
        <f t="shared" si="101"/>
        <v>3548.2857142857142</v>
      </c>
      <c r="BA116" s="629">
        <f t="shared" si="102"/>
        <v>6709.5238095238092</v>
      </c>
      <c r="BB116" s="629">
        <f t="shared" si="103"/>
        <v>4503.1309523809523</v>
      </c>
      <c r="BC116" s="629">
        <f t="shared" si="104"/>
        <v>7544.2142857142853</v>
      </c>
      <c r="BD116" s="630">
        <f t="shared" si="105"/>
        <v>4744.083333333333</v>
      </c>
      <c r="BE116" s="630">
        <f t="shared" si="106"/>
        <v>3690.8333333333335</v>
      </c>
      <c r="BF116" s="630">
        <f t="shared" si="107"/>
        <v>2288.2142857142858</v>
      </c>
      <c r="BG116" s="630">
        <f t="shared" si="108"/>
        <v>1134.3071428571429</v>
      </c>
      <c r="BH116" s="630">
        <f t="shared" si="109"/>
        <v>595.23809523809518</v>
      </c>
      <c r="BI116" s="630">
        <f t="shared" ref="BI116:BI134" si="110">$G$51/84</f>
        <v>583.47619047619048</v>
      </c>
      <c r="BJ116" s="630">
        <f t="shared" si="55"/>
        <v>89.285714285714292</v>
      </c>
      <c r="BK116" s="630"/>
      <c r="BL116" s="630">
        <f t="shared" si="56"/>
        <v>34.714285714285715</v>
      </c>
      <c r="BM116" s="629">
        <f t="shared" si="59"/>
        <v>87350.946666666656</v>
      </c>
    </row>
    <row r="117" spans="1:65" s="585" customFormat="1" outlineLevel="1">
      <c r="A117" s="308" t="s">
        <v>52</v>
      </c>
      <c r="B117" s="308">
        <f t="shared" si="73"/>
        <v>2024</v>
      </c>
      <c r="C117" s="308" t="s">
        <v>102</v>
      </c>
      <c r="H117" s="629"/>
      <c r="I117" s="629"/>
      <c r="J117" s="629"/>
      <c r="K117" s="629"/>
      <c r="L117" s="629"/>
      <c r="M117" s="629"/>
      <c r="AR117" s="629">
        <f t="shared" si="93"/>
        <v>5556.6428571428569</v>
      </c>
      <c r="AS117" s="629">
        <f t="shared" si="94"/>
        <v>4477.3095238095239</v>
      </c>
      <c r="AT117" s="629">
        <f t="shared" si="95"/>
        <v>5427.1904761904761</v>
      </c>
      <c r="AU117" s="629">
        <f t="shared" si="96"/>
        <v>6677.663333333333</v>
      </c>
      <c r="AV117" s="629">
        <f t="shared" si="97"/>
        <v>6107.0119047619046</v>
      </c>
      <c r="AW117" s="629">
        <f t="shared" si="98"/>
        <v>4976.3928571428569</v>
      </c>
      <c r="AX117" s="629">
        <f t="shared" si="99"/>
        <v>7551.6547619047615</v>
      </c>
      <c r="AY117" s="629">
        <f t="shared" si="100"/>
        <v>5223.333333333333</v>
      </c>
      <c r="AZ117" s="629">
        <f t="shared" si="101"/>
        <v>3548.2857142857142</v>
      </c>
      <c r="BA117" s="629">
        <f t="shared" si="102"/>
        <v>6709.5238095238092</v>
      </c>
      <c r="BB117" s="629">
        <f t="shared" si="103"/>
        <v>4503.1309523809523</v>
      </c>
      <c r="BC117" s="629">
        <f t="shared" si="104"/>
        <v>7544.2142857142853</v>
      </c>
      <c r="BD117" s="630">
        <f t="shared" si="105"/>
        <v>4744.083333333333</v>
      </c>
      <c r="BE117" s="630">
        <f t="shared" si="106"/>
        <v>3690.8333333333335</v>
      </c>
      <c r="BF117" s="630">
        <f t="shared" si="107"/>
        <v>2288.2142857142858</v>
      </c>
      <c r="BG117" s="630">
        <f t="shared" si="108"/>
        <v>1134.3071428571429</v>
      </c>
      <c r="BH117" s="630">
        <f t="shared" si="109"/>
        <v>595.23809523809518</v>
      </c>
      <c r="BI117" s="630">
        <f t="shared" si="110"/>
        <v>583.47619047619048</v>
      </c>
      <c r="BJ117" s="630">
        <f t="shared" ref="BJ117:BJ135" si="111">$G$52/84</f>
        <v>89.285714285714292</v>
      </c>
      <c r="BK117" s="630"/>
      <c r="BL117" s="630">
        <f t="shared" si="56"/>
        <v>34.714285714285715</v>
      </c>
      <c r="BM117" s="629">
        <f t="shared" si="59"/>
        <v>81462.506190476182</v>
      </c>
    </row>
    <row r="118" spans="1:65" s="585" customFormat="1" outlineLevel="1">
      <c r="A118" s="308" t="s">
        <v>53</v>
      </c>
      <c r="B118" s="308">
        <f t="shared" si="73"/>
        <v>2025</v>
      </c>
      <c r="C118" s="308" t="s">
        <v>102</v>
      </c>
      <c r="H118" s="629"/>
      <c r="J118" s="629"/>
      <c r="K118" s="629"/>
      <c r="M118" s="629"/>
      <c r="AS118" s="629">
        <f t="shared" si="94"/>
        <v>4477.3095238095239</v>
      </c>
      <c r="AT118" s="629">
        <f t="shared" si="95"/>
        <v>5427.1904761904761</v>
      </c>
      <c r="AU118" s="629">
        <f t="shared" si="96"/>
        <v>6677.663333333333</v>
      </c>
      <c r="AV118" s="629">
        <f t="shared" si="97"/>
        <v>6107.0119047619046</v>
      </c>
      <c r="AW118" s="629">
        <f t="shared" si="98"/>
        <v>4976.3928571428569</v>
      </c>
      <c r="AX118" s="629">
        <f t="shared" si="99"/>
        <v>7551.6547619047615</v>
      </c>
      <c r="AY118" s="629">
        <f t="shared" si="100"/>
        <v>5223.333333333333</v>
      </c>
      <c r="AZ118" s="629">
        <f t="shared" si="101"/>
        <v>3548.2857142857142</v>
      </c>
      <c r="BA118" s="629">
        <f t="shared" si="102"/>
        <v>6709.5238095238092</v>
      </c>
      <c r="BB118" s="629">
        <f t="shared" si="103"/>
        <v>4503.1309523809523</v>
      </c>
      <c r="BC118" s="629">
        <f t="shared" si="104"/>
        <v>7544.2142857142853</v>
      </c>
      <c r="BD118" s="630">
        <f t="shared" si="105"/>
        <v>4744.083333333333</v>
      </c>
      <c r="BE118" s="630">
        <f t="shared" si="106"/>
        <v>3690.8333333333335</v>
      </c>
      <c r="BF118" s="630">
        <f t="shared" si="107"/>
        <v>2288.2142857142858</v>
      </c>
      <c r="BG118" s="630">
        <f t="shared" si="108"/>
        <v>1134.3071428571429</v>
      </c>
      <c r="BH118" s="630">
        <f t="shared" si="109"/>
        <v>595.23809523809518</v>
      </c>
      <c r="BI118" s="630">
        <f t="shared" si="110"/>
        <v>583.47619047619048</v>
      </c>
      <c r="BJ118" s="630">
        <f t="shared" si="111"/>
        <v>89.285714285714292</v>
      </c>
      <c r="BK118" s="630"/>
      <c r="BL118" s="630">
        <f t="shared" si="56"/>
        <v>34.714285714285715</v>
      </c>
      <c r="BM118" s="629">
        <f t="shared" si="59"/>
        <v>75905.863333333327</v>
      </c>
    </row>
    <row r="119" spans="1:65" s="585" customFormat="1" outlineLevel="1">
      <c r="A119" s="308" t="s">
        <v>54</v>
      </c>
      <c r="B119" s="308">
        <f t="shared" si="73"/>
        <v>2025</v>
      </c>
      <c r="C119" s="308" t="s">
        <v>102</v>
      </c>
      <c r="H119" s="629"/>
      <c r="J119" s="629"/>
      <c r="K119" s="629"/>
      <c r="M119" s="629"/>
      <c r="AT119" s="629">
        <f t="shared" si="95"/>
        <v>5427.1904761904761</v>
      </c>
      <c r="AU119" s="629">
        <f t="shared" si="96"/>
        <v>6677.663333333333</v>
      </c>
      <c r="AV119" s="629">
        <f t="shared" si="97"/>
        <v>6107.0119047619046</v>
      </c>
      <c r="AW119" s="629">
        <f t="shared" si="98"/>
        <v>4976.3928571428569</v>
      </c>
      <c r="AX119" s="629">
        <f t="shared" si="99"/>
        <v>7551.6547619047615</v>
      </c>
      <c r="AY119" s="629">
        <f t="shared" si="100"/>
        <v>5223.333333333333</v>
      </c>
      <c r="AZ119" s="629">
        <f t="shared" si="101"/>
        <v>3548.2857142857142</v>
      </c>
      <c r="BA119" s="629">
        <f t="shared" si="102"/>
        <v>6709.5238095238092</v>
      </c>
      <c r="BB119" s="629">
        <f t="shared" si="103"/>
        <v>4503.1309523809523</v>
      </c>
      <c r="BC119" s="629">
        <f t="shared" si="104"/>
        <v>7544.2142857142853</v>
      </c>
      <c r="BD119" s="630">
        <f t="shared" si="105"/>
        <v>4744.083333333333</v>
      </c>
      <c r="BE119" s="630">
        <f t="shared" si="106"/>
        <v>3690.8333333333335</v>
      </c>
      <c r="BF119" s="630">
        <f t="shared" si="107"/>
        <v>2288.2142857142858</v>
      </c>
      <c r="BG119" s="630">
        <f t="shared" si="108"/>
        <v>1134.3071428571429</v>
      </c>
      <c r="BH119" s="630">
        <f t="shared" si="109"/>
        <v>595.23809523809518</v>
      </c>
      <c r="BI119" s="630">
        <f t="shared" si="110"/>
        <v>583.47619047619048</v>
      </c>
      <c r="BJ119" s="630">
        <f t="shared" si="111"/>
        <v>89.285714285714292</v>
      </c>
      <c r="BK119" s="630"/>
      <c r="BL119" s="630">
        <f t="shared" ref="BL119:BL137" si="112">$G$54/84</f>
        <v>34.714285714285715</v>
      </c>
      <c r="BM119" s="629">
        <f t="shared" si="59"/>
        <v>71428.553809523801</v>
      </c>
    </row>
    <row r="120" spans="1:65" s="585" customFormat="1" outlineLevel="1">
      <c r="A120" s="308" t="s">
        <v>55</v>
      </c>
      <c r="B120" s="308">
        <f t="shared" si="73"/>
        <v>2025</v>
      </c>
      <c r="C120" s="308" t="s">
        <v>102</v>
      </c>
      <c r="H120" s="629"/>
      <c r="J120" s="629"/>
      <c r="K120" s="629"/>
      <c r="M120" s="629"/>
      <c r="AU120" s="629">
        <f t="shared" si="96"/>
        <v>6677.663333333333</v>
      </c>
      <c r="AV120" s="629">
        <f t="shared" si="97"/>
        <v>6107.0119047619046</v>
      </c>
      <c r="AW120" s="629">
        <f t="shared" si="98"/>
        <v>4976.3928571428569</v>
      </c>
      <c r="AX120" s="629">
        <f t="shared" si="99"/>
        <v>7551.6547619047615</v>
      </c>
      <c r="AY120" s="629">
        <f t="shared" si="100"/>
        <v>5223.333333333333</v>
      </c>
      <c r="AZ120" s="629">
        <f t="shared" si="101"/>
        <v>3548.2857142857142</v>
      </c>
      <c r="BA120" s="629">
        <f t="shared" si="102"/>
        <v>6709.5238095238092</v>
      </c>
      <c r="BB120" s="629">
        <f t="shared" si="103"/>
        <v>4503.1309523809523</v>
      </c>
      <c r="BC120" s="629">
        <f t="shared" si="104"/>
        <v>7544.2142857142853</v>
      </c>
      <c r="BD120" s="630">
        <f t="shared" si="105"/>
        <v>4744.083333333333</v>
      </c>
      <c r="BE120" s="630">
        <f t="shared" si="106"/>
        <v>3690.8333333333335</v>
      </c>
      <c r="BF120" s="630">
        <f t="shared" si="107"/>
        <v>2288.2142857142858</v>
      </c>
      <c r="BG120" s="630">
        <f t="shared" si="108"/>
        <v>1134.3071428571429</v>
      </c>
      <c r="BH120" s="630">
        <f t="shared" si="109"/>
        <v>595.23809523809518</v>
      </c>
      <c r="BI120" s="630">
        <f t="shared" si="110"/>
        <v>583.47619047619048</v>
      </c>
      <c r="BJ120" s="630">
        <f t="shared" si="111"/>
        <v>89.285714285714292</v>
      </c>
      <c r="BK120" s="630"/>
      <c r="BL120" s="630">
        <f t="shared" si="112"/>
        <v>34.714285714285715</v>
      </c>
      <c r="BM120" s="629">
        <f t="shared" si="59"/>
        <v>66001.363333333327</v>
      </c>
    </row>
    <row r="121" spans="1:65" s="585" customFormat="1" outlineLevel="1">
      <c r="A121" s="308" t="s">
        <v>56</v>
      </c>
      <c r="B121" s="308">
        <f t="shared" si="73"/>
        <v>2025</v>
      </c>
      <c r="C121" s="308" t="s">
        <v>102</v>
      </c>
      <c r="H121" s="629"/>
      <c r="J121" s="629"/>
      <c r="K121" s="629"/>
      <c r="M121" s="629"/>
      <c r="AV121" s="629">
        <f t="shared" si="97"/>
        <v>6107.0119047619046</v>
      </c>
      <c r="AW121" s="629">
        <f t="shared" si="98"/>
        <v>4976.3928571428569</v>
      </c>
      <c r="AX121" s="629">
        <f t="shared" si="99"/>
        <v>7551.6547619047615</v>
      </c>
      <c r="AY121" s="629">
        <f t="shared" si="100"/>
        <v>5223.333333333333</v>
      </c>
      <c r="AZ121" s="629">
        <f t="shared" si="101"/>
        <v>3548.2857142857142</v>
      </c>
      <c r="BA121" s="629">
        <f t="shared" si="102"/>
        <v>6709.5238095238092</v>
      </c>
      <c r="BB121" s="629">
        <f t="shared" si="103"/>
        <v>4503.1309523809523</v>
      </c>
      <c r="BC121" s="629">
        <f t="shared" si="104"/>
        <v>7544.2142857142853</v>
      </c>
      <c r="BD121" s="630">
        <f t="shared" si="105"/>
        <v>4744.083333333333</v>
      </c>
      <c r="BE121" s="630">
        <f t="shared" si="106"/>
        <v>3690.8333333333335</v>
      </c>
      <c r="BF121" s="630">
        <f t="shared" si="107"/>
        <v>2288.2142857142858</v>
      </c>
      <c r="BG121" s="630">
        <f t="shared" si="108"/>
        <v>1134.3071428571429</v>
      </c>
      <c r="BH121" s="630">
        <f t="shared" si="109"/>
        <v>595.23809523809518</v>
      </c>
      <c r="BI121" s="630">
        <f t="shared" si="110"/>
        <v>583.47619047619048</v>
      </c>
      <c r="BJ121" s="630">
        <f t="shared" si="111"/>
        <v>89.285714285714292</v>
      </c>
      <c r="BK121" s="630"/>
      <c r="BL121" s="630">
        <f t="shared" si="112"/>
        <v>34.714285714285715</v>
      </c>
      <c r="BM121" s="629">
        <f t="shared" si="59"/>
        <v>59323.7</v>
      </c>
    </row>
    <row r="122" spans="1:65" s="585" customFormat="1" outlineLevel="1">
      <c r="A122" s="308" t="s">
        <v>57</v>
      </c>
      <c r="B122" s="308">
        <f t="shared" si="73"/>
        <v>2025</v>
      </c>
      <c r="C122" s="308" t="s">
        <v>102</v>
      </c>
      <c r="H122" s="629"/>
      <c r="J122" s="629"/>
      <c r="K122" s="629"/>
      <c r="M122" s="629"/>
      <c r="AW122" s="629">
        <f t="shared" si="98"/>
        <v>4976.3928571428569</v>
      </c>
      <c r="AX122" s="629">
        <f t="shared" si="99"/>
        <v>7551.6547619047615</v>
      </c>
      <c r="AY122" s="629">
        <f t="shared" si="100"/>
        <v>5223.333333333333</v>
      </c>
      <c r="AZ122" s="629">
        <f t="shared" si="101"/>
        <v>3548.2857142857142</v>
      </c>
      <c r="BA122" s="629">
        <f t="shared" si="102"/>
        <v>6709.5238095238092</v>
      </c>
      <c r="BB122" s="629">
        <f t="shared" si="103"/>
        <v>4503.1309523809523</v>
      </c>
      <c r="BC122" s="629">
        <f t="shared" si="104"/>
        <v>7544.2142857142853</v>
      </c>
      <c r="BD122" s="630">
        <f t="shared" si="105"/>
        <v>4744.083333333333</v>
      </c>
      <c r="BE122" s="630">
        <f t="shared" si="106"/>
        <v>3690.8333333333335</v>
      </c>
      <c r="BF122" s="630">
        <f t="shared" si="107"/>
        <v>2288.2142857142858</v>
      </c>
      <c r="BG122" s="630">
        <f t="shared" si="108"/>
        <v>1134.3071428571429</v>
      </c>
      <c r="BH122" s="630">
        <f t="shared" si="109"/>
        <v>595.23809523809518</v>
      </c>
      <c r="BI122" s="630">
        <f t="shared" si="110"/>
        <v>583.47619047619048</v>
      </c>
      <c r="BJ122" s="630">
        <f t="shared" si="111"/>
        <v>89.285714285714292</v>
      </c>
      <c r="BK122" s="630"/>
      <c r="BL122" s="630">
        <f t="shared" si="112"/>
        <v>34.714285714285715</v>
      </c>
      <c r="BM122" s="629">
        <f t="shared" si="59"/>
        <v>53216.688095238089</v>
      </c>
    </row>
    <row r="123" spans="1:65" s="585" customFormat="1" outlineLevel="1">
      <c r="A123" s="308" t="s">
        <v>58</v>
      </c>
      <c r="B123" s="308">
        <f t="shared" si="73"/>
        <v>2025</v>
      </c>
      <c r="C123" s="308" t="s">
        <v>102</v>
      </c>
      <c r="H123" s="629"/>
      <c r="J123" s="629"/>
      <c r="K123" s="629"/>
      <c r="M123" s="629"/>
      <c r="AX123" s="629">
        <f t="shared" si="99"/>
        <v>7551.6547619047615</v>
      </c>
      <c r="AY123" s="629">
        <f t="shared" si="100"/>
        <v>5223.333333333333</v>
      </c>
      <c r="AZ123" s="629">
        <f t="shared" si="101"/>
        <v>3548.2857142857142</v>
      </c>
      <c r="BA123" s="629">
        <f t="shared" si="102"/>
        <v>6709.5238095238092</v>
      </c>
      <c r="BB123" s="629">
        <f t="shared" si="103"/>
        <v>4503.1309523809523</v>
      </c>
      <c r="BC123" s="629">
        <f t="shared" si="104"/>
        <v>7544.2142857142853</v>
      </c>
      <c r="BD123" s="630">
        <f t="shared" si="105"/>
        <v>4744.083333333333</v>
      </c>
      <c r="BE123" s="630">
        <f t="shared" si="106"/>
        <v>3690.8333333333335</v>
      </c>
      <c r="BF123" s="630">
        <f t="shared" si="107"/>
        <v>2288.2142857142858</v>
      </c>
      <c r="BG123" s="630">
        <f t="shared" si="108"/>
        <v>1134.3071428571429</v>
      </c>
      <c r="BH123" s="630">
        <f t="shared" si="109"/>
        <v>595.23809523809518</v>
      </c>
      <c r="BI123" s="630">
        <f t="shared" si="110"/>
        <v>583.47619047619048</v>
      </c>
      <c r="BJ123" s="630">
        <f t="shared" si="111"/>
        <v>89.285714285714292</v>
      </c>
      <c r="BK123" s="630"/>
      <c r="BL123" s="630">
        <f t="shared" si="112"/>
        <v>34.714285714285715</v>
      </c>
      <c r="BM123" s="629">
        <f t="shared" si="59"/>
        <v>48240.295238095234</v>
      </c>
    </row>
    <row r="124" spans="1:65" s="585" customFormat="1" outlineLevel="1">
      <c r="A124" s="308" t="s">
        <v>59</v>
      </c>
      <c r="B124" s="308">
        <f t="shared" si="73"/>
        <v>2025</v>
      </c>
      <c r="C124" s="308" t="s">
        <v>102</v>
      </c>
      <c r="H124" s="629"/>
      <c r="J124" s="629"/>
      <c r="K124" s="629"/>
      <c r="M124" s="629"/>
      <c r="AY124" s="629">
        <f t="shared" si="100"/>
        <v>5223.333333333333</v>
      </c>
      <c r="AZ124" s="629">
        <f t="shared" si="101"/>
        <v>3548.2857142857142</v>
      </c>
      <c r="BA124" s="629">
        <f t="shared" si="102"/>
        <v>6709.5238095238092</v>
      </c>
      <c r="BB124" s="629">
        <f t="shared" si="103"/>
        <v>4503.1309523809523</v>
      </c>
      <c r="BC124" s="629">
        <f t="shared" si="104"/>
        <v>7544.2142857142853</v>
      </c>
      <c r="BD124" s="630">
        <f t="shared" si="105"/>
        <v>4744.083333333333</v>
      </c>
      <c r="BE124" s="630">
        <f t="shared" si="106"/>
        <v>3690.8333333333335</v>
      </c>
      <c r="BF124" s="630">
        <f t="shared" si="107"/>
        <v>2288.2142857142858</v>
      </c>
      <c r="BG124" s="630">
        <f t="shared" si="108"/>
        <v>1134.3071428571429</v>
      </c>
      <c r="BH124" s="630">
        <f t="shared" si="109"/>
        <v>595.23809523809518</v>
      </c>
      <c r="BI124" s="630">
        <f t="shared" si="110"/>
        <v>583.47619047619048</v>
      </c>
      <c r="BJ124" s="630">
        <f t="shared" si="111"/>
        <v>89.285714285714292</v>
      </c>
      <c r="BK124" s="630"/>
      <c r="BL124" s="630">
        <f t="shared" si="112"/>
        <v>34.714285714285715</v>
      </c>
      <c r="BM124" s="629">
        <f t="shared" si="59"/>
        <v>40688.640476190471</v>
      </c>
    </row>
    <row r="125" spans="1:65" s="585" customFormat="1" outlineLevel="1">
      <c r="A125" s="308" t="s">
        <v>46</v>
      </c>
      <c r="B125" s="308">
        <f t="shared" si="73"/>
        <v>2025</v>
      </c>
      <c r="C125" s="308" t="s">
        <v>102</v>
      </c>
      <c r="H125" s="629"/>
      <c r="J125" s="629"/>
      <c r="K125" s="629"/>
      <c r="M125" s="629"/>
      <c r="AZ125" s="629">
        <f t="shared" si="101"/>
        <v>3548.2857142857142</v>
      </c>
      <c r="BA125" s="629">
        <f t="shared" si="102"/>
        <v>6709.5238095238092</v>
      </c>
      <c r="BB125" s="629">
        <f t="shared" si="103"/>
        <v>4503.1309523809523</v>
      </c>
      <c r="BC125" s="629">
        <f t="shared" si="104"/>
        <v>7544.2142857142853</v>
      </c>
      <c r="BD125" s="630">
        <f t="shared" si="105"/>
        <v>4744.083333333333</v>
      </c>
      <c r="BE125" s="630">
        <f t="shared" si="106"/>
        <v>3690.8333333333335</v>
      </c>
      <c r="BF125" s="630">
        <f t="shared" si="107"/>
        <v>2288.2142857142858</v>
      </c>
      <c r="BG125" s="630">
        <f t="shared" si="108"/>
        <v>1134.3071428571429</v>
      </c>
      <c r="BH125" s="630">
        <f t="shared" si="109"/>
        <v>595.23809523809518</v>
      </c>
      <c r="BI125" s="630">
        <f t="shared" si="110"/>
        <v>583.47619047619048</v>
      </c>
      <c r="BJ125" s="630">
        <f t="shared" si="111"/>
        <v>89.285714285714292</v>
      </c>
      <c r="BK125" s="630"/>
      <c r="BL125" s="630">
        <f t="shared" si="112"/>
        <v>34.714285714285715</v>
      </c>
      <c r="BM125" s="629">
        <f t="shared" si="59"/>
        <v>35465.307142857135</v>
      </c>
    </row>
    <row r="126" spans="1:65" s="585" customFormat="1">
      <c r="A126" s="308" t="s">
        <v>48</v>
      </c>
      <c r="B126" s="308">
        <f t="shared" si="73"/>
        <v>2025</v>
      </c>
      <c r="C126" s="308" t="s">
        <v>102</v>
      </c>
      <c r="H126" s="629"/>
      <c r="J126" s="629"/>
      <c r="K126" s="629"/>
      <c r="M126" s="629"/>
      <c r="BA126" s="629">
        <f t="shared" si="102"/>
        <v>6709.5238095238092</v>
      </c>
      <c r="BB126" s="629">
        <f t="shared" si="103"/>
        <v>4503.1309523809523</v>
      </c>
      <c r="BC126" s="629">
        <f t="shared" si="104"/>
        <v>7544.2142857142853</v>
      </c>
      <c r="BD126" s="630">
        <f t="shared" si="105"/>
        <v>4744.083333333333</v>
      </c>
      <c r="BE126" s="630">
        <f t="shared" si="106"/>
        <v>3690.8333333333335</v>
      </c>
      <c r="BF126" s="630">
        <f t="shared" si="107"/>
        <v>2288.2142857142858</v>
      </c>
      <c r="BG126" s="630">
        <f t="shared" si="108"/>
        <v>1134.3071428571429</v>
      </c>
      <c r="BH126" s="630">
        <f t="shared" si="109"/>
        <v>595.23809523809518</v>
      </c>
      <c r="BI126" s="630">
        <f t="shared" si="110"/>
        <v>583.47619047619048</v>
      </c>
      <c r="BJ126" s="630">
        <f t="shared" si="111"/>
        <v>89.285714285714292</v>
      </c>
      <c r="BK126" s="630"/>
      <c r="BL126" s="630">
        <f t="shared" si="112"/>
        <v>34.714285714285715</v>
      </c>
      <c r="BM126" s="629">
        <f t="shared" si="59"/>
        <v>31917.021428571425</v>
      </c>
    </row>
    <row r="127" spans="1:65" s="585" customFormat="1">
      <c r="A127" s="308" t="s">
        <v>50</v>
      </c>
      <c r="B127" s="308">
        <f t="shared" si="73"/>
        <v>2025</v>
      </c>
      <c r="C127" s="308" t="s">
        <v>102</v>
      </c>
      <c r="H127" s="629"/>
      <c r="J127" s="629"/>
      <c r="K127" s="629"/>
      <c r="M127" s="629"/>
      <c r="BB127" s="629">
        <f t="shared" si="103"/>
        <v>4503.1309523809523</v>
      </c>
      <c r="BC127" s="629">
        <f t="shared" si="104"/>
        <v>7544.2142857142853</v>
      </c>
      <c r="BD127" s="630">
        <f t="shared" si="105"/>
        <v>4744.083333333333</v>
      </c>
      <c r="BE127" s="630">
        <f t="shared" si="106"/>
        <v>3690.8333333333335</v>
      </c>
      <c r="BF127" s="630">
        <f t="shared" si="107"/>
        <v>2288.2142857142858</v>
      </c>
      <c r="BG127" s="630">
        <f t="shared" si="108"/>
        <v>1134.3071428571429</v>
      </c>
      <c r="BH127" s="630">
        <f t="shared" si="109"/>
        <v>595.23809523809518</v>
      </c>
      <c r="BI127" s="630">
        <f t="shared" si="110"/>
        <v>583.47619047619048</v>
      </c>
      <c r="BJ127" s="630">
        <f t="shared" si="111"/>
        <v>89.285714285714292</v>
      </c>
      <c r="BK127" s="630"/>
      <c r="BL127" s="630">
        <f t="shared" si="112"/>
        <v>34.714285714285715</v>
      </c>
      <c r="BM127" s="629">
        <f t="shared" si="59"/>
        <v>25207.497619047615</v>
      </c>
    </row>
    <row r="128" spans="1:65" s="585" customFormat="1">
      <c r="A128" s="308" t="s">
        <v>51</v>
      </c>
      <c r="B128" s="308">
        <f t="shared" si="73"/>
        <v>2025</v>
      </c>
      <c r="C128" s="308" t="s">
        <v>102</v>
      </c>
      <c r="H128" s="629"/>
      <c r="J128" s="629"/>
      <c r="K128" s="629"/>
      <c r="M128" s="629"/>
      <c r="BC128" s="629">
        <f t="shared" si="104"/>
        <v>7544.2142857142853</v>
      </c>
      <c r="BD128" s="630">
        <f t="shared" si="105"/>
        <v>4744.083333333333</v>
      </c>
      <c r="BE128" s="630">
        <f t="shared" si="106"/>
        <v>3690.8333333333335</v>
      </c>
      <c r="BF128" s="630">
        <f t="shared" si="107"/>
        <v>2288.2142857142858</v>
      </c>
      <c r="BG128" s="630">
        <f t="shared" si="108"/>
        <v>1134.3071428571429</v>
      </c>
      <c r="BH128" s="630">
        <f t="shared" si="109"/>
        <v>595.23809523809518</v>
      </c>
      <c r="BI128" s="630">
        <f t="shared" si="110"/>
        <v>583.47619047619048</v>
      </c>
      <c r="BJ128" s="630">
        <f t="shared" si="111"/>
        <v>89.285714285714292</v>
      </c>
      <c r="BK128" s="630"/>
      <c r="BL128" s="630">
        <f t="shared" si="112"/>
        <v>34.714285714285715</v>
      </c>
      <c r="BM128" s="629">
        <f t="shared" si="59"/>
        <v>20704.366666666665</v>
      </c>
    </row>
    <row r="129" spans="1:65" s="585" customFormat="1">
      <c r="A129" s="308" t="s">
        <v>52</v>
      </c>
      <c r="B129" s="308">
        <f t="shared" si="73"/>
        <v>2025</v>
      </c>
      <c r="C129" s="308" t="s">
        <v>102</v>
      </c>
      <c r="H129" s="629"/>
      <c r="J129" s="629"/>
      <c r="K129" s="629"/>
      <c r="M129" s="629"/>
      <c r="BD129" s="630">
        <f t="shared" si="105"/>
        <v>4744.083333333333</v>
      </c>
      <c r="BE129" s="630">
        <f t="shared" si="106"/>
        <v>3690.8333333333335</v>
      </c>
      <c r="BF129" s="630">
        <f t="shared" si="107"/>
        <v>2288.2142857142858</v>
      </c>
      <c r="BG129" s="630">
        <f t="shared" si="108"/>
        <v>1134.3071428571429</v>
      </c>
      <c r="BH129" s="630">
        <f t="shared" si="109"/>
        <v>595.23809523809518</v>
      </c>
      <c r="BI129" s="630">
        <f t="shared" si="110"/>
        <v>583.47619047619048</v>
      </c>
      <c r="BJ129" s="630">
        <f t="shared" si="111"/>
        <v>89.285714285714292</v>
      </c>
      <c r="BK129" s="630"/>
      <c r="BL129" s="630">
        <f t="shared" si="112"/>
        <v>34.714285714285715</v>
      </c>
      <c r="BM129" s="629">
        <f t="shared" si="59"/>
        <v>13160.152380952382</v>
      </c>
    </row>
    <row r="130" spans="1:65" s="585" customFormat="1">
      <c r="A130" s="308" t="s">
        <v>53</v>
      </c>
      <c r="B130" s="585">
        <v>2026</v>
      </c>
      <c r="C130" s="308" t="s">
        <v>102</v>
      </c>
      <c r="H130" s="629"/>
      <c r="J130" s="629"/>
      <c r="K130" s="629"/>
      <c r="M130" s="629"/>
      <c r="BE130" s="630">
        <f t="shared" si="106"/>
        <v>3690.8333333333335</v>
      </c>
      <c r="BF130" s="630">
        <f t="shared" si="107"/>
        <v>2288.2142857142858</v>
      </c>
      <c r="BG130" s="630">
        <f t="shared" si="108"/>
        <v>1134.3071428571429</v>
      </c>
      <c r="BH130" s="630">
        <f t="shared" si="109"/>
        <v>595.23809523809518</v>
      </c>
      <c r="BI130" s="630">
        <f t="shared" si="110"/>
        <v>583.47619047619048</v>
      </c>
      <c r="BJ130" s="630">
        <f t="shared" si="111"/>
        <v>89.285714285714292</v>
      </c>
      <c r="BK130" s="630"/>
      <c r="BL130" s="630">
        <f t="shared" si="112"/>
        <v>34.714285714285715</v>
      </c>
      <c r="BM130" s="629">
        <f t="shared" si="59"/>
        <v>8416.0690476190484</v>
      </c>
    </row>
    <row r="131" spans="1:65" s="585" customFormat="1">
      <c r="A131" s="308" t="s">
        <v>54</v>
      </c>
      <c r="B131" s="585">
        <v>2026</v>
      </c>
      <c r="C131" s="308" t="s">
        <v>102</v>
      </c>
      <c r="H131" s="629"/>
      <c r="J131" s="629"/>
      <c r="K131" s="629"/>
      <c r="M131" s="629"/>
      <c r="BF131" s="630">
        <f t="shared" si="107"/>
        <v>2288.2142857142858</v>
      </c>
      <c r="BG131" s="630">
        <f t="shared" si="108"/>
        <v>1134.3071428571429</v>
      </c>
      <c r="BH131" s="630">
        <f t="shared" si="109"/>
        <v>595.23809523809518</v>
      </c>
      <c r="BI131" s="630">
        <f t="shared" si="110"/>
        <v>583.47619047619048</v>
      </c>
      <c r="BJ131" s="630">
        <f t="shared" si="111"/>
        <v>89.285714285714292</v>
      </c>
      <c r="BK131" s="630"/>
      <c r="BL131" s="630">
        <f t="shared" si="112"/>
        <v>34.714285714285715</v>
      </c>
      <c r="BM131" s="629">
        <f t="shared" si="59"/>
        <v>4725.2357142857145</v>
      </c>
    </row>
    <row r="132" spans="1:65" s="585" customFormat="1">
      <c r="A132" s="308" t="s">
        <v>55</v>
      </c>
      <c r="B132" s="585">
        <v>2026</v>
      </c>
      <c r="C132" s="308" t="s">
        <v>102</v>
      </c>
      <c r="H132" s="629"/>
      <c r="J132" s="629"/>
      <c r="K132" s="629"/>
      <c r="M132" s="629"/>
      <c r="BG132" s="630">
        <f t="shared" si="108"/>
        <v>1134.3071428571429</v>
      </c>
      <c r="BH132" s="630">
        <f t="shared" si="109"/>
        <v>595.23809523809518</v>
      </c>
      <c r="BI132" s="630">
        <f t="shared" si="110"/>
        <v>583.47619047619048</v>
      </c>
      <c r="BJ132" s="630">
        <f t="shared" si="111"/>
        <v>89.285714285714292</v>
      </c>
      <c r="BK132" s="630"/>
      <c r="BL132" s="630">
        <f t="shared" si="112"/>
        <v>34.714285714285715</v>
      </c>
      <c r="BM132" s="629">
        <f t="shared" si="59"/>
        <v>2437.0214285714287</v>
      </c>
    </row>
    <row r="133" spans="1:65" s="585" customFormat="1">
      <c r="A133" s="308" t="s">
        <v>56</v>
      </c>
      <c r="B133" s="585">
        <v>2026</v>
      </c>
      <c r="C133" s="308" t="s">
        <v>102</v>
      </c>
      <c r="H133" s="629"/>
      <c r="J133" s="629"/>
      <c r="K133" s="629"/>
      <c r="M133" s="629"/>
      <c r="BH133" s="630">
        <f t="shared" si="109"/>
        <v>595.23809523809518</v>
      </c>
      <c r="BI133" s="630">
        <f t="shared" si="110"/>
        <v>583.47619047619048</v>
      </c>
      <c r="BJ133" s="630">
        <f t="shared" si="111"/>
        <v>89.285714285714292</v>
      </c>
      <c r="BK133" s="630"/>
      <c r="BL133" s="630">
        <f t="shared" si="112"/>
        <v>34.714285714285715</v>
      </c>
      <c r="BM133" s="629">
        <f t="shared" si="59"/>
        <v>1302.7142857142858</v>
      </c>
    </row>
    <row r="134" spans="1:65" s="585" customFormat="1">
      <c r="A134" s="308" t="s">
        <v>57</v>
      </c>
      <c r="B134" s="585">
        <v>2026</v>
      </c>
      <c r="C134" s="308" t="s">
        <v>102</v>
      </c>
      <c r="H134" s="629"/>
      <c r="J134" s="629"/>
      <c r="K134" s="629"/>
      <c r="M134" s="629"/>
      <c r="BI134" s="630">
        <f t="shared" si="110"/>
        <v>583.47619047619048</v>
      </c>
      <c r="BJ134" s="630">
        <f t="shared" si="111"/>
        <v>89.285714285714292</v>
      </c>
      <c r="BK134" s="630"/>
      <c r="BL134" s="630">
        <f t="shared" si="112"/>
        <v>34.714285714285715</v>
      </c>
      <c r="BM134" s="629">
        <f>SUM(O134:BL134)</f>
        <v>707.47619047619048</v>
      </c>
    </row>
    <row r="135" spans="1:65" s="585" customFormat="1">
      <c r="A135" s="308" t="s">
        <v>58</v>
      </c>
      <c r="B135" s="585">
        <v>2026</v>
      </c>
      <c r="C135" s="308" t="s">
        <v>102</v>
      </c>
      <c r="H135" s="629"/>
      <c r="J135" s="629"/>
      <c r="K135" s="629"/>
      <c r="M135" s="629"/>
      <c r="BJ135" s="630">
        <f t="shared" si="111"/>
        <v>89.285714285714292</v>
      </c>
      <c r="BK135" s="630"/>
      <c r="BL135" s="630">
        <f t="shared" si="112"/>
        <v>34.714285714285715</v>
      </c>
      <c r="BM135" s="629">
        <f>SUM(O135:BL135)</f>
        <v>124</v>
      </c>
    </row>
    <row r="136" spans="1:65" s="585" customFormat="1">
      <c r="A136" s="308" t="s">
        <v>59</v>
      </c>
      <c r="B136" s="585">
        <v>2026</v>
      </c>
      <c r="C136" s="308" t="s">
        <v>102</v>
      </c>
      <c r="H136" s="629"/>
      <c r="J136" s="629"/>
      <c r="K136" s="629"/>
      <c r="M136" s="629"/>
      <c r="BL136" s="630">
        <f t="shared" si="112"/>
        <v>34.714285714285715</v>
      </c>
      <c r="BM136" s="629">
        <f>SUM(O136:BL136)</f>
        <v>34.714285714285715</v>
      </c>
    </row>
    <row r="137" spans="1:65" s="585" customFormat="1">
      <c r="A137" s="308" t="s">
        <v>46</v>
      </c>
      <c r="B137" s="585">
        <v>2026</v>
      </c>
      <c r="C137" s="308" t="s">
        <v>102</v>
      </c>
      <c r="H137" s="629"/>
      <c r="J137" s="629"/>
      <c r="K137" s="629"/>
      <c r="M137" s="629"/>
      <c r="BL137" s="630">
        <f t="shared" si="112"/>
        <v>34.714285714285715</v>
      </c>
      <c r="BM137" s="629">
        <f>SUM(O137:BL137)</f>
        <v>34.714285714285715</v>
      </c>
    </row>
    <row r="138" spans="1:65" s="585" customFormat="1">
      <c r="A138" s="308" t="s">
        <v>48</v>
      </c>
      <c r="B138" s="585">
        <v>2026</v>
      </c>
      <c r="C138" s="308" t="s">
        <v>102</v>
      </c>
      <c r="H138" s="629"/>
      <c r="J138" s="629"/>
      <c r="K138" s="629"/>
      <c r="M138" s="629"/>
    </row>
    <row r="139" spans="1:65" s="585" customFormat="1">
      <c r="A139" s="308"/>
    </row>
    <row r="140" spans="1:65" s="585" customFormat="1">
      <c r="A140" s="308"/>
    </row>
    <row r="141" spans="1:65" s="585" customFormat="1">
      <c r="A141" s="308"/>
    </row>
  </sheetData>
  <mergeCells count="2">
    <mergeCell ref="D1:M1"/>
    <mergeCell ref="O1:BM1"/>
  </mergeCells>
  <pageMargins left="0.7" right="0.7" top="0.75" bottom="0.75" header="0.3" footer="0.3"/>
  <pageSetup scale="9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  <pageSetUpPr fitToPage="1"/>
  </sheetPr>
  <dimension ref="A1:BO117"/>
  <sheetViews>
    <sheetView topLeftCell="A94" workbookViewId="0">
      <selection activeCell="H100" sqref="H100"/>
    </sheetView>
  </sheetViews>
  <sheetFormatPr defaultColWidth="9.140625" defaultRowHeight="12.75" outlineLevelRow="1" outlineLevelCol="1"/>
  <cols>
    <col min="1" max="1" width="9.140625" style="4"/>
    <col min="2" max="2" width="9.140625" style="29"/>
    <col min="3" max="3" width="9.140625" style="4"/>
    <col min="4" max="4" width="11.28515625" style="4" customWidth="1"/>
    <col min="5" max="5" width="2.85546875" style="4" customWidth="1"/>
    <col min="6" max="6" width="14.5703125" style="4" customWidth="1"/>
    <col min="7" max="7" width="2.42578125" style="4" customWidth="1"/>
    <col min="8" max="8" width="11.7109375" style="4" customWidth="1"/>
    <col min="9" max="9" width="11.5703125" style="4" customWidth="1"/>
    <col min="10" max="10" width="2.85546875" style="4" customWidth="1"/>
    <col min="11" max="11" width="16.140625" style="4" customWidth="1"/>
    <col min="12" max="12" width="3.140625" style="4" customWidth="1"/>
    <col min="13" max="18" width="9.140625" style="4" hidden="1" customWidth="1" outlineLevel="1"/>
    <col min="19" max="21" width="10.28515625" style="4" hidden="1" customWidth="1" outlineLevel="1"/>
    <col min="22" max="22" width="10.85546875" style="4" hidden="1" customWidth="1" outlineLevel="1"/>
    <col min="23" max="23" width="10.28515625" style="4" hidden="1" customWidth="1" outlineLevel="1"/>
    <col min="24" max="24" width="10.28515625" style="4" customWidth="1" collapsed="1"/>
    <col min="25" max="25" width="10.28515625" style="4" customWidth="1"/>
    <col min="26" max="26" width="10.140625" style="4" customWidth="1"/>
    <col min="27" max="27" width="10.85546875" style="4" customWidth="1"/>
    <col min="28" max="28" width="11.28515625" style="4" customWidth="1"/>
    <col min="29" max="29" width="11.140625" style="4" customWidth="1"/>
    <col min="30" max="30" width="10.5703125" style="4" customWidth="1"/>
    <col min="31" max="31" width="10.42578125" style="4" customWidth="1"/>
    <col min="32" max="32" width="10" style="4" customWidth="1"/>
    <col min="33" max="34" width="11.140625" style="4" customWidth="1"/>
    <col min="35" max="35" width="12.140625" style="4" customWidth="1"/>
    <col min="36" max="53" width="11.42578125" style="4" customWidth="1"/>
    <col min="54" max="54" width="10.42578125" style="4" customWidth="1"/>
    <col min="55" max="56" width="7.28515625" style="4" customWidth="1"/>
    <col min="57" max="65" width="9.5703125" style="4" customWidth="1"/>
    <col min="66" max="66" width="11.140625" style="4" customWidth="1"/>
    <col min="67" max="16384" width="9.140625" style="4"/>
  </cols>
  <sheetData>
    <row r="1" spans="1:67">
      <c r="D1" s="708"/>
      <c r="E1" s="708"/>
      <c r="F1" s="708"/>
      <c r="G1" s="708"/>
      <c r="H1" s="708"/>
      <c r="I1" s="708"/>
      <c r="J1" s="708"/>
      <c r="K1" s="708"/>
      <c r="M1" s="708" t="s">
        <v>210</v>
      </c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  <c r="AD1" s="708"/>
      <c r="AE1" s="708"/>
      <c r="AF1" s="708"/>
      <c r="AG1" s="708"/>
      <c r="AH1" s="708"/>
      <c r="AI1" s="708"/>
      <c r="AJ1" s="708"/>
      <c r="AK1" s="708"/>
      <c r="AL1" s="708"/>
      <c r="AM1" s="708"/>
      <c r="AN1" s="708"/>
      <c r="AO1" s="708"/>
      <c r="AP1" s="708"/>
      <c r="AQ1" s="708"/>
      <c r="AR1" s="708"/>
      <c r="AS1" s="708"/>
      <c r="AT1" s="708"/>
      <c r="AU1" s="708"/>
      <c r="AV1" s="708"/>
      <c r="AW1" s="708"/>
      <c r="AX1" s="708"/>
      <c r="AY1" s="708"/>
      <c r="AZ1" s="708"/>
      <c r="BA1" s="708"/>
      <c r="BB1" s="708"/>
      <c r="BC1" s="708"/>
      <c r="BD1" s="708"/>
      <c r="BE1" s="708"/>
      <c r="BF1" s="708"/>
      <c r="BG1" s="708"/>
      <c r="BH1" s="708"/>
      <c r="BI1" s="708"/>
      <c r="BJ1" s="708"/>
      <c r="BK1" s="708"/>
      <c r="BL1" s="708"/>
      <c r="BM1" s="708"/>
      <c r="BN1" s="708"/>
    </row>
    <row r="2" spans="1:67" ht="38.25">
      <c r="A2" s="338"/>
      <c r="B2" s="338"/>
      <c r="C2" s="29" t="s">
        <v>16</v>
      </c>
      <c r="D2" s="51" t="s">
        <v>221</v>
      </c>
      <c r="E2" s="51"/>
      <c r="F2" s="120" t="s">
        <v>149</v>
      </c>
      <c r="G2" s="120"/>
      <c r="H2" s="51" t="s">
        <v>99</v>
      </c>
      <c r="I2" s="51" t="s">
        <v>100</v>
      </c>
      <c r="J2" s="52"/>
      <c r="K2" s="52" t="s">
        <v>101</v>
      </c>
      <c r="L2" s="338"/>
      <c r="M2" s="341">
        <v>42217</v>
      </c>
      <c r="N2" s="341">
        <f t="shared" ref="N2:AF2" si="0">+M2+31</f>
        <v>42248</v>
      </c>
      <c r="O2" s="341">
        <f t="shared" si="0"/>
        <v>42279</v>
      </c>
      <c r="P2" s="341">
        <f t="shared" si="0"/>
        <v>42310</v>
      </c>
      <c r="Q2" s="341">
        <f t="shared" si="0"/>
        <v>42341</v>
      </c>
      <c r="R2" s="341">
        <f t="shared" si="0"/>
        <v>42372</v>
      </c>
      <c r="S2" s="341">
        <f t="shared" si="0"/>
        <v>42403</v>
      </c>
      <c r="T2" s="341">
        <f t="shared" si="0"/>
        <v>42434</v>
      </c>
      <c r="U2" s="341">
        <f t="shared" si="0"/>
        <v>42465</v>
      </c>
      <c r="V2" s="341">
        <f t="shared" si="0"/>
        <v>42496</v>
      </c>
      <c r="W2" s="341">
        <f t="shared" si="0"/>
        <v>42527</v>
      </c>
      <c r="X2" s="341">
        <f t="shared" si="0"/>
        <v>42558</v>
      </c>
      <c r="Y2" s="341">
        <f t="shared" si="0"/>
        <v>42589</v>
      </c>
      <c r="Z2" s="341">
        <f t="shared" si="0"/>
        <v>42620</v>
      </c>
      <c r="AA2" s="341">
        <f t="shared" si="0"/>
        <v>42651</v>
      </c>
      <c r="AB2" s="341">
        <f t="shared" si="0"/>
        <v>42682</v>
      </c>
      <c r="AC2" s="341">
        <f t="shared" si="0"/>
        <v>42713</v>
      </c>
      <c r="AD2" s="341">
        <f t="shared" si="0"/>
        <v>42744</v>
      </c>
      <c r="AE2" s="341">
        <f t="shared" si="0"/>
        <v>42775</v>
      </c>
      <c r="AF2" s="341">
        <f t="shared" si="0"/>
        <v>42806</v>
      </c>
      <c r="AG2" s="341">
        <f t="shared" ref="AG2:BA2" si="1">+AF2+31</f>
        <v>42837</v>
      </c>
      <c r="AH2" s="341">
        <f t="shared" si="1"/>
        <v>42868</v>
      </c>
      <c r="AI2" s="341">
        <f t="shared" si="1"/>
        <v>42899</v>
      </c>
      <c r="AJ2" s="341">
        <f t="shared" si="1"/>
        <v>42930</v>
      </c>
      <c r="AK2" s="341">
        <f t="shared" si="1"/>
        <v>42961</v>
      </c>
      <c r="AL2" s="341">
        <f t="shared" si="1"/>
        <v>42992</v>
      </c>
      <c r="AM2" s="341">
        <f t="shared" si="1"/>
        <v>43023</v>
      </c>
      <c r="AN2" s="341">
        <f t="shared" si="1"/>
        <v>43054</v>
      </c>
      <c r="AO2" s="341">
        <f t="shared" si="1"/>
        <v>43085</v>
      </c>
      <c r="AP2" s="341">
        <f t="shared" si="1"/>
        <v>43116</v>
      </c>
      <c r="AQ2" s="341">
        <f t="shared" si="1"/>
        <v>43147</v>
      </c>
      <c r="AR2" s="341">
        <f t="shared" si="1"/>
        <v>43178</v>
      </c>
      <c r="AS2" s="341">
        <f t="shared" si="1"/>
        <v>43209</v>
      </c>
      <c r="AT2" s="341">
        <f t="shared" si="1"/>
        <v>43240</v>
      </c>
      <c r="AU2" s="341">
        <f t="shared" si="1"/>
        <v>43271</v>
      </c>
      <c r="AV2" s="341">
        <f t="shared" si="1"/>
        <v>43302</v>
      </c>
      <c r="AW2" s="341">
        <f t="shared" si="1"/>
        <v>43333</v>
      </c>
      <c r="AX2" s="341">
        <f t="shared" si="1"/>
        <v>43364</v>
      </c>
      <c r="AY2" s="341">
        <f t="shared" si="1"/>
        <v>43395</v>
      </c>
      <c r="AZ2" s="341">
        <f t="shared" si="1"/>
        <v>43426</v>
      </c>
      <c r="BA2" s="341">
        <f t="shared" si="1"/>
        <v>43457</v>
      </c>
      <c r="BB2" s="341">
        <v>43466</v>
      </c>
      <c r="BC2" s="341">
        <v>43497</v>
      </c>
      <c r="BD2" s="341">
        <v>43525</v>
      </c>
      <c r="BE2" s="341">
        <v>43556</v>
      </c>
      <c r="BF2" s="341">
        <v>43586</v>
      </c>
      <c r="BG2" s="341">
        <v>43617</v>
      </c>
      <c r="BH2" s="341">
        <v>43647</v>
      </c>
      <c r="BI2" s="341">
        <v>43678</v>
      </c>
      <c r="BJ2" s="341">
        <v>43709</v>
      </c>
      <c r="BK2" s="341">
        <v>43739</v>
      </c>
      <c r="BL2" s="341">
        <v>43770</v>
      </c>
      <c r="BM2" s="341">
        <v>43800</v>
      </c>
      <c r="BN2" s="338" t="s">
        <v>69</v>
      </c>
      <c r="BO2" s="338"/>
    </row>
    <row r="3" spans="1:67" s="585" customFormat="1" ht="15.75">
      <c r="A3" s="585" t="s">
        <v>27</v>
      </c>
      <c r="B3" s="308" t="s">
        <v>203</v>
      </c>
      <c r="C3" s="308" t="s">
        <v>28</v>
      </c>
      <c r="D3" s="354" t="s">
        <v>67</v>
      </c>
      <c r="E3" s="354"/>
      <c r="F3" s="308"/>
      <c r="G3" s="308"/>
      <c r="H3" s="354"/>
      <c r="I3" s="354"/>
      <c r="J3" s="308"/>
      <c r="K3" s="308"/>
    </row>
    <row r="4" spans="1:67" s="585" customFormat="1">
      <c r="A4" s="308"/>
      <c r="B4" s="308"/>
      <c r="C4" s="308"/>
      <c r="D4" s="518"/>
      <c r="E4" s="518"/>
      <c r="F4" s="518"/>
      <c r="G4" s="518"/>
      <c r="H4" s="518"/>
      <c r="I4" s="518"/>
      <c r="J4" s="518"/>
      <c r="K4" s="584"/>
    </row>
    <row r="5" spans="1:67" s="585" customFormat="1" ht="12.75" customHeight="1" outlineLevel="1">
      <c r="A5" s="308" t="s">
        <v>46</v>
      </c>
      <c r="B5" s="308">
        <v>2015</v>
      </c>
      <c r="C5" s="308" t="s">
        <v>47</v>
      </c>
      <c r="D5" s="518">
        <v>6500</v>
      </c>
      <c r="E5" s="518"/>
      <c r="F5" s="518">
        <f>D5</f>
        <v>6500</v>
      </c>
      <c r="G5" s="518"/>
      <c r="H5" s="518">
        <v>0</v>
      </c>
      <c r="I5" s="518">
        <f>SUM(H$5:H5)</f>
        <v>0</v>
      </c>
      <c r="J5" s="518"/>
      <c r="K5" s="518">
        <f>F5-I5</f>
        <v>6500</v>
      </c>
      <c r="M5" s="518">
        <f>$D$5/60</f>
        <v>108.33333333333333</v>
      </c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518"/>
      <c r="BB5" s="518"/>
      <c r="BC5" s="518"/>
      <c r="BD5" s="518"/>
      <c r="BE5" s="518"/>
      <c r="BF5" s="518"/>
      <c r="BG5" s="518"/>
      <c r="BH5" s="518"/>
      <c r="BI5" s="518"/>
      <c r="BJ5" s="518"/>
      <c r="BK5" s="518"/>
      <c r="BL5" s="518"/>
      <c r="BM5" s="518"/>
      <c r="BN5" s="518">
        <f>SUM(M5:BM5)</f>
        <v>108.33333333333333</v>
      </c>
    </row>
    <row r="6" spans="1:67" s="585" customFormat="1" ht="12.75" customHeight="1" outlineLevel="1">
      <c r="A6" s="308" t="s">
        <v>48</v>
      </c>
      <c r="B6" s="308">
        <f>+B5</f>
        <v>2015</v>
      </c>
      <c r="C6" s="308" t="s">
        <v>47</v>
      </c>
      <c r="D6" s="518">
        <v>120550</v>
      </c>
      <c r="E6" s="518"/>
      <c r="F6" s="518">
        <f>F5+D6</f>
        <v>127050</v>
      </c>
      <c r="G6" s="518"/>
      <c r="H6" s="518">
        <v>626.70000000000005</v>
      </c>
      <c r="I6" s="518">
        <f>SUM(H$5:H6)</f>
        <v>626.70000000000005</v>
      </c>
      <c r="J6" s="518"/>
      <c r="K6" s="518">
        <f t="shared" ref="K6:K69" si="2">F6-I6</f>
        <v>126423.3</v>
      </c>
      <c r="M6" s="518">
        <f t="shared" ref="M6:M64" si="3">$D$5/60</f>
        <v>108.33333333333333</v>
      </c>
      <c r="N6" s="518">
        <f>$D$6/60</f>
        <v>2009.1666666666667</v>
      </c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  <c r="Z6" s="518"/>
      <c r="AA6" s="518"/>
      <c r="AB6" s="518"/>
      <c r="AC6" s="518"/>
      <c r="AD6" s="518"/>
      <c r="AE6" s="518"/>
      <c r="AF6" s="518"/>
      <c r="AG6" s="518"/>
      <c r="AH6" s="518"/>
      <c r="AI6" s="518"/>
      <c r="AJ6" s="518"/>
      <c r="AK6" s="518"/>
      <c r="AL6" s="518"/>
      <c r="AM6" s="518"/>
      <c r="AN6" s="518"/>
      <c r="AO6" s="518"/>
      <c r="AP6" s="518"/>
      <c r="AQ6" s="518"/>
      <c r="AR6" s="518"/>
      <c r="AS6" s="518"/>
      <c r="AT6" s="518"/>
      <c r="AU6" s="518"/>
      <c r="AV6" s="518"/>
      <c r="AW6" s="518"/>
      <c r="AX6" s="518"/>
      <c r="AY6" s="518"/>
      <c r="AZ6" s="518"/>
      <c r="BA6" s="518"/>
      <c r="BB6" s="518"/>
      <c r="BC6" s="518"/>
      <c r="BD6" s="518"/>
      <c r="BE6" s="518"/>
      <c r="BF6" s="518"/>
      <c r="BG6" s="518"/>
      <c r="BH6" s="518"/>
      <c r="BI6" s="518"/>
      <c r="BJ6" s="518"/>
      <c r="BK6" s="518"/>
      <c r="BL6" s="518"/>
      <c r="BM6" s="518"/>
      <c r="BN6" s="518">
        <f t="shared" ref="BN6:BN69" si="4">SUM(M6:BM6)</f>
        <v>2117.5</v>
      </c>
    </row>
    <row r="7" spans="1:67" s="585" customFormat="1" ht="12.75" customHeight="1" outlineLevel="1">
      <c r="A7" s="308" t="s">
        <v>50</v>
      </c>
      <c r="B7" s="308">
        <f>+B6</f>
        <v>2015</v>
      </c>
      <c r="C7" s="308" t="s">
        <v>47</v>
      </c>
      <c r="D7" s="518">
        <f>93130-6500</f>
        <v>86630</v>
      </c>
      <c r="E7" s="518"/>
      <c r="F7" s="518">
        <f t="shared" ref="F7:F70" si="5">F6+D7</f>
        <v>213680</v>
      </c>
      <c r="G7" s="518"/>
      <c r="H7" s="518">
        <v>2930.16</v>
      </c>
      <c r="I7" s="518">
        <f>SUM(H$5:H7)</f>
        <v>3556.8599999999997</v>
      </c>
      <c r="J7" s="518"/>
      <c r="K7" s="518">
        <f t="shared" si="2"/>
        <v>210123.14</v>
      </c>
      <c r="M7" s="518">
        <f t="shared" si="3"/>
        <v>108.33333333333333</v>
      </c>
      <c r="N7" s="518">
        <f t="shared" ref="N7:N65" si="6">$D$6/60</f>
        <v>2009.1666666666667</v>
      </c>
      <c r="O7" s="518">
        <f>$D$7/60</f>
        <v>1443.8333333333333</v>
      </c>
      <c r="P7" s="518"/>
      <c r="Q7" s="518"/>
      <c r="R7" s="518"/>
      <c r="S7" s="518"/>
      <c r="T7" s="518"/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518"/>
      <c r="AV7" s="518"/>
      <c r="AW7" s="518"/>
      <c r="AX7" s="518"/>
      <c r="AY7" s="518"/>
      <c r="AZ7" s="518"/>
      <c r="BA7" s="518"/>
      <c r="BB7" s="518"/>
      <c r="BC7" s="518"/>
      <c r="BD7" s="518"/>
      <c r="BE7" s="518"/>
      <c r="BF7" s="518"/>
      <c r="BG7" s="518"/>
      <c r="BH7" s="518"/>
      <c r="BI7" s="518"/>
      <c r="BJ7" s="518"/>
      <c r="BK7" s="518"/>
      <c r="BL7" s="518"/>
      <c r="BM7" s="518"/>
      <c r="BN7" s="518">
        <f t="shared" si="4"/>
        <v>3561.333333333333</v>
      </c>
    </row>
    <row r="8" spans="1:67" s="585" customFormat="1" ht="12.75" customHeight="1" outlineLevel="1">
      <c r="A8" s="308" t="s">
        <v>51</v>
      </c>
      <c r="B8" s="308">
        <f>+B7</f>
        <v>2015</v>
      </c>
      <c r="C8" s="308" t="s">
        <v>47</v>
      </c>
      <c r="D8" s="518">
        <f>195218-6500-6500</f>
        <v>182218</v>
      </c>
      <c r="E8" s="518"/>
      <c r="F8" s="518">
        <f t="shared" si="5"/>
        <v>395898</v>
      </c>
      <c r="G8" s="518"/>
      <c r="H8" s="518">
        <f>4528.55+5794.99-108.34-108.34-108.34</f>
        <v>9998.52</v>
      </c>
      <c r="I8" s="518">
        <f>SUM(H$5:H8)</f>
        <v>13555.380000000001</v>
      </c>
      <c r="J8" s="518"/>
      <c r="K8" s="518">
        <f t="shared" si="2"/>
        <v>382342.62</v>
      </c>
      <c r="M8" s="518">
        <f t="shared" si="3"/>
        <v>108.33333333333333</v>
      </c>
      <c r="N8" s="518">
        <f t="shared" si="6"/>
        <v>2009.1666666666667</v>
      </c>
      <c r="O8" s="518">
        <f t="shared" ref="O8:O66" si="7">$D$7/60</f>
        <v>1443.8333333333333</v>
      </c>
      <c r="P8" s="518">
        <f>$D$8/60</f>
        <v>3036.9666666666667</v>
      </c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  <c r="AQ8" s="518"/>
      <c r="AR8" s="518"/>
      <c r="AS8" s="518"/>
      <c r="AT8" s="518"/>
      <c r="AU8" s="518"/>
      <c r="AV8" s="518"/>
      <c r="AW8" s="518"/>
      <c r="AX8" s="518"/>
      <c r="AY8" s="518"/>
      <c r="AZ8" s="518"/>
      <c r="BA8" s="518"/>
      <c r="BB8" s="518"/>
      <c r="BC8" s="518"/>
      <c r="BD8" s="518"/>
      <c r="BE8" s="518"/>
      <c r="BF8" s="518"/>
      <c r="BG8" s="518"/>
      <c r="BH8" s="518"/>
      <c r="BI8" s="518"/>
      <c r="BJ8" s="518"/>
      <c r="BK8" s="518"/>
      <c r="BL8" s="518"/>
      <c r="BM8" s="518"/>
      <c r="BN8" s="518">
        <f t="shared" si="4"/>
        <v>6598.2999999999993</v>
      </c>
    </row>
    <row r="9" spans="1:67" s="585" customFormat="1" ht="12.75" customHeight="1" outlineLevel="1">
      <c r="A9" s="308" t="s">
        <v>52</v>
      </c>
      <c r="B9" s="308">
        <f>+B8</f>
        <v>2015</v>
      </c>
      <c r="C9" s="308" t="s">
        <v>47</v>
      </c>
      <c r="D9" s="518">
        <f>244515.3-6500-6500-6500</f>
        <v>225015.3</v>
      </c>
      <c r="E9" s="518"/>
      <c r="F9" s="518">
        <f t="shared" si="5"/>
        <v>620913.30000000005</v>
      </c>
      <c r="G9" s="518"/>
      <c r="H9" s="518">
        <f>8488.77-108.34-108.34-108.34-108.34</f>
        <v>8055.41</v>
      </c>
      <c r="I9" s="518">
        <f>SUM(H$5:H9)</f>
        <v>21610.79</v>
      </c>
      <c r="J9" s="518"/>
      <c r="K9" s="518">
        <f t="shared" si="2"/>
        <v>599302.51</v>
      </c>
      <c r="M9" s="518">
        <f t="shared" si="3"/>
        <v>108.33333333333333</v>
      </c>
      <c r="N9" s="518">
        <f t="shared" si="6"/>
        <v>2009.1666666666667</v>
      </c>
      <c r="O9" s="518">
        <f t="shared" si="7"/>
        <v>1443.8333333333333</v>
      </c>
      <c r="P9" s="518">
        <f t="shared" ref="P9:P67" si="8">$D$8/60</f>
        <v>3036.9666666666667</v>
      </c>
      <c r="Q9" s="518">
        <f>$D$9/60</f>
        <v>3750.2549999999997</v>
      </c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/>
      <c r="AD9" s="518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/>
      <c r="AR9" s="518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/>
      <c r="BF9" s="518"/>
      <c r="BG9" s="518"/>
      <c r="BH9" s="518"/>
      <c r="BI9" s="518"/>
      <c r="BJ9" s="518"/>
      <c r="BK9" s="518"/>
      <c r="BL9" s="518"/>
      <c r="BM9" s="518"/>
      <c r="BN9" s="518">
        <f t="shared" si="4"/>
        <v>10348.554999999998</v>
      </c>
    </row>
    <row r="10" spans="1:67" s="585" customFormat="1" ht="12.75" customHeight="1" outlineLevel="1">
      <c r="A10" s="308" t="s">
        <v>53</v>
      </c>
      <c r="B10" s="308">
        <f>B9+1</f>
        <v>2016</v>
      </c>
      <c r="C10" s="308" t="s">
        <v>47</v>
      </c>
      <c r="D10" s="518">
        <f>217740-6500-6500</f>
        <v>204740</v>
      </c>
      <c r="E10" s="518"/>
      <c r="F10" s="518">
        <f t="shared" si="5"/>
        <v>825653.3</v>
      </c>
      <c r="G10" s="518"/>
      <c r="H10" s="518">
        <f>11894.05-108.34-108.34-108.34</f>
        <v>11569.029999999999</v>
      </c>
      <c r="I10" s="518">
        <f>SUM(H$5:H10)</f>
        <v>33179.82</v>
      </c>
      <c r="J10" s="518"/>
      <c r="K10" s="518">
        <f t="shared" si="2"/>
        <v>792473.4800000001</v>
      </c>
      <c r="M10" s="518">
        <f t="shared" si="3"/>
        <v>108.33333333333333</v>
      </c>
      <c r="N10" s="518">
        <f t="shared" si="6"/>
        <v>2009.1666666666667</v>
      </c>
      <c r="O10" s="518">
        <f t="shared" si="7"/>
        <v>1443.8333333333333</v>
      </c>
      <c r="P10" s="518">
        <f t="shared" si="8"/>
        <v>3036.9666666666667</v>
      </c>
      <c r="Q10" s="518">
        <f t="shared" ref="Q10:Q68" si="9">$D$9/60</f>
        <v>3750.2549999999997</v>
      </c>
      <c r="R10" s="518">
        <f>$D$10/60</f>
        <v>3412.3333333333335</v>
      </c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8"/>
      <c r="BC10" s="518"/>
      <c r="BD10" s="518"/>
      <c r="BE10" s="518"/>
      <c r="BF10" s="518"/>
      <c r="BG10" s="518"/>
      <c r="BH10" s="518"/>
      <c r="BI10" s="518"/>
      <c r="BJ10" s="518"/>
      <c r="BK10" s="518"/>
      <c r="BL10" s="518"/>
      <c r="BM10" s="518"/>
      <c r="BN10" s="518">
        <f t="shared" si="4"/>
        <v>13760.888333333332</v>
      </c>
    </row>
    <row r="11" spans="1:67" s="585" customFormat="1" ht="12.75" customHeight="1" outlineLevel="1">
      <c r="A11" s="308" t="s">
        <v>54</v>
      </c>
      <c r="B11" s="308">
        <f t="shared" ref="B11:B16" si="10">+B10</f>
        <v>2016</v>
      </c>
      <c r="C11" s="308" t="s">
        <v>47</v>
      </c>
      <c r="D11" s="518">
        <f>188320-6500-6500</f>
        <v>175320</v>
      </c>
      <c r="E11" s="518"/>
      <c r="F11" s="518">
        <f t="shared" si="5"/>
        <v>1000973.3</v>
      </c>
      <c r="G11" s="518"/>
      <c r="H11" s="518">
        <f>15281.74-108.34-108.34-108.34-108.34</f>
        <v>14848.38</v>
      </c>
      <c r="I11" s="583">
        <f>SUM(H$5:H11)</f>
        <v>48028.2</v>
      </c>
      <c r="J11" s="518"/>
      <c r="K11" s="518">
        <f t="shared" si="2"/>
        <v>952945.10000000009</v>
      </c>
      <c r="M11" s="518">
        <f t="shared" si="3"/>
        <v>108.33333333333333</v>
      </c>
      <c r="N11" s="518">
        <f t="shared" si="6"/>
        <v>2009.1666666666667</v>
      </c>
      <c r="O11" s="518">
        <f t="shared" si="7"/>
        <v>1443.8333333333333</v>
      </c>
      <c r="P11" s="518">
        <f t="shared" si="8"/>
        <v>3036.9666666666667</v>
      </c>
      <c r="Q11" s="518">
        <f t="shared" si="9"/>
        <v>3750.2549999999997</v>
      </c>
      <c r="R11" s="518">
        <f t="shared" ref="R11:R69" si="11">$D$10/60</f>
        <v>3412.3333333333335</v>
      </c>
      <c r="S11" s="518">
        <f>$D$11/60</f>
        <v>2922</v>
      </c>
      <c r="T11" s="518"/>
      <c r="U11" s="518"/>
      <c r="V11" s="518"/>
      <c r="W11" s="518"/>
      <c r="X11" s="518"/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AT11" s="518"/>
      <c r="AU11" s="518"/>
      <c r="AV11" s="518"/>
      <c r="AW11" s="518"/>
      <c r="AX11" s="518"/>
      <c r="AY11" s="518"/>
      <c r="AZ11" s="518"/>
      <c r="BA11" s="518"/>
      <c r="BB11" s="518"/>
      <c r="BC11" s="518"/>
      <c r="BD11" s="518"/>
      <c r="BE11" s="518"/>
      <c r="BF11" s="518"/>
      <c r="BG11" s="518"/>
      <c r="BH11" s="518"/>
      <c r="BI11" s="518"/>
      <c r="BJ11" s="518"/>
      <c r="BK11" s="518"/>
      <c r="BL11" s="518"/>
      <c r="BM11" s="518"/>
      <c r="BN11" s="518">
        <f t="shared" si="4"/>
        <v>16682.888333333332</v>
      </c>
    </row>
    <row r="12" spans="1:67" s="585" customFormat="1" ht="12.75" customHeight="1" outlineLevel="1">
      <c r="A12" s="308" t="s">
        <v>55</v>
      </c>
      <c r="B12" s="308">
        <f t="shared" si="10"/>
        <v>2016</v>
      </c>
      <c r="C12" s="308" t="s">
        <v>47</v>
      </c>
      <c r="D12" s="518">
        <f>242733.91-6500-6500-6500-6500</f>
        <v>216733.91</v>
      </c>
      <c r="E12" s="518"/>
      <c r="F12" s="518">
        <f t="shared" si="5"/>
        <v>1217707.21</v>
      </c>
      <c r="G12" s="518"/>
      <c r="H12" s="518">
        <f>19766.5-108.34-108.34-108.34-108.34-108.34</f>
        <v>19224.8</v>
      </c>
      <c r="I12" s="583">
        <f>SUM(H$5:H12)</f>
        <v>67253</v>
      </c>
      <c r="J12" s="518"/>
      <c r="K12" s="518">
        <f t="shared" si="2"/>
        <v>1150454.21</v>
      </c>
      <c r="M12" s="518">
        <f t="shared" si="3"/>
        <v>108.33333333333333</v>
      </c>
      <c r="N12" s="518">
        <f t="shared" si="6"/>
        <v>2009.1666666666667</v>
      </c>
      <c r="O12" s="518">
        <f t="shared" si="7"/>
        <v>1443.8333333333333</v>
      </c>
      <c r="P12" s="518">
        <f t="shared" si="8"/>
        <v>3036.9666666666667</v>
      </c>
      <c r="Q12" s="518">
        <f t="shared" si="9"/>
        <v>3750.2549999999997</v>
      </c>
      <c r="R12" s="518">
        <f t="shared" si="11"/>
        <v>3412.3333333333335</v>
      </c>
      <c r="S12" s="518">
        <f t="shared" ref="S12:S70" si="12">$D$11/60</f>
        <v>2922</v>
      </c>
      <c r="T12" s="518">
        <f>$D$12/60</f>
        <v>3612.2318333333333</v>
      </c>
      <c r="U12" s="518"/>
      <c r="V12" s="518"/>
      <c r="W12" s="518"/>
      <c r="X12" s="518"/>
      <c r="Y12" s="518"/>
      <c r="Z12" s="518"/>
      <c r="AA12" s="518"/>
      <c r="AB12" s="518"/>
      <c r="AC12" s="518"/>
      <c r="AD12" s="518"/>
      <c r="AE12" s="518"/>
      <c r="AF12" s="518"/>
      <c r="AG12" s="518"/>
      <c r="AH12" s="518"/>
      <c r="AI12" s="518"/>
      <c r="AJ12" s="518"/>
      <c r="AK12" s="518"/>
      <c r="AL12" s="518"/>
      <c r="AM12" s="518"/>
      <c r="AN12" s="518"/>
      <c r="AO12" s="518"/>
      <c r="AP12" s="518"/>
      <c r="AQ12" s="518"/>
      <c r="AR12" s="518"/>
      <c r="AS12" s="518"/>
      <c r="AT12" s="518"/>
      <c r="AU12" s="518"/>
      <c r="AV12" s="518"/>
      <c r="AW12" s="518"/>
      <c r="AX12" s="518"/>
      <c r="AY12" s="518"/>
      <c r="AZ12" s="518"/>
      <c r="BA12" s="518"/>
      <c r="BB12" s="518"/>
      <c r="BC12" s="518"/>
      <c r="BD12" s="518"/>
      <c r="BE12" s="518"/>
      <c r="BF12" s="518"/>
      <c r="BG12" s="518"/>
      <c r="BH12" s="518"/>
      <c r="BI12" s="518"/>
      <c r="BJ12" s="518"/>
      <c r="BK12" s="518"/>
      <c r="BL12" s="518"/>
      <c r="BM12" s="518"/>
      <c r="BN12" s="518">
        <f t="shared" si="4"/>
        <v>20295.120166666668</v>
      </c>
    </row>
    <row r="13" spans="1:67" s="585" customFormat="1" ht="12.75" customHeight="1" outlineLevel="1">
      <c r="A13" s="308" t="s">
        <v>56</v>
      </c>
      <c r="B13" s="308">
        <f t="shared" si="10"/>
        <v>2016</v>
      </c>
      <c r="C13" s="308" t="s">
        <v>47</v>
      </c>
      <c r="D13" s="518">
        <f>121400-6500</f>
        <v>114900</v>
      </c>
      <c r="E13" s="518"/>
      <c r="F13" s="518">
        <f t="shared" si="5"/>
        <v>1332607.21</v>
      </c>
      <c r="G13" s="518"/>
      <c r="H13" s="518">
        <f>22792.93-108.34-108.34-108.34-108.34-108.34</f>
        <v>22251.23</v>
      </c>
      <c r="I13" s="583">
        <f>SUM(H$5:H13)</f>
        <v>89504.23</v>
      </c>
      <c r="J13" s="518"/>
      <c r="K13" s="518">
        <f t="shared" si="2"/>
        <v>1243102.98</v>
      </c>
      <c r="M13" s="518">
        <f t="shared" si="3"/>
        <v>108.33333333333333</v>
      </c>
      <c r="N13" s="518">
        <f t="shared" si="6"/>
        <v>2009.1666666666667</v>
      </c>
      <c r="O13" s="518">
        <f t="shared" si="7"/>
        <v>1443.8333333333333</v>
      </c>
      <c r="P13" s="518">
        <f t="shared" si="8"/>
        <v>3036.9666666666667</v>
      </c>
      <c r="Q13" s="518">
        <f t="shared" si="9"/>
        <v>3750.2549999999997</v>
      </c>
      <c r="R13" s="518">
        <f t="shared" si="11"/>
        <v>3412.3333333333335</v>
      </c>
      <c r="S13" s="518">
        <f t="shared" si="12"/>
        <v>2922</v>
      </c>
      <c r="T13" s="518">
        <f t="shared" ref="T13:T71" si="13">$D$12/60</f>
        <v>3612.2318333333333</v>
      </c>
      <c r="U13" s="518">
        <f>$D$13/60</f>
        <v>1915</v>
      </c>
      <c r="V13" s="518"/>
      <c r="W13" s="518"/>
      <c r="X13" s="518"/>
      <c r="Y13" s="518"/>
      <c r="Z13" s="518"/>
      <c r="AA13" s="518"/>
      <c r="AB13" s="518"/>
      <c r="AC13" s="518"/>
      <c r="AD13" s="518"/>
      <c r="AE13" s="518"/>
      <c r="AF13" s="518"/>
      <c r="AG13" s="518"/>
      <c r="AH13" s="518"/>
      <c r="AI13" s="518"/>
      <c r="AJ13" s="518"/>
      <c r="AK13" s="518"/>
      <c r="AL13" s="518"/>
      <c r="AM13" s="518"/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>
        <f t="shared" si="4"/>
        <v>22210.120166666668</v>
      </c>
    </row>
    <row r="14" spans="1:67" s="585" customFormat="1" ht="12.75" customHeight="1" outlineLevel="1">
      <c r="A14" s="308" t="s">
        <v>57</v>
      </c>
      <c r="B14" s="308">
        <f t="shared" si="10"/>
        <v>2016</v>
      </c>
      <c r="C14" s="308" t="s">
        <v>47</v>
      </c>
      <c r="D14" s="518">
        <f>198250-6500-6500</f>
        <v>185250</v>
      </c>
      <c r="E14" s="518"/>
      <c r="F14" s="518">
        <f t="shared" si="5"/>
        <v>1517857.21</v>
      </c>
      <c r="G14" s="518"/>
      <c r="H14" s="518">
        <f>24243.49-108.34-108.34-108.34-108.34-108.34-108.34</f>
        <v>23593.45</v>
      </c>
      <c r="I14" s="518">
        <f>SUM(H$5:H14)</f>
        <v>113097.68</v>
      </c>
      <c r="J14" s="518"/>
      <c r="K14" s="518">
        <f t="shared" si="2"/>
        <v>1404759.53</v>
      </c>
      <c r="M14" s="518">
        <f t="shared" si="3"/>
        <v>108.33333333333333</v>
      </c>
      <c r="N14" s="518">
        <f t="shared" si="6"/>
        <v>2009.1666666666667</v>
      </c>
      <c r="O14" s="518">
        <f t="shared" si="7"/>
        <v>1443.8333333333333</v>
      </c>
      <c r="P14" s="518">
        <f t="shared" si="8"/>
        <v>3036.9666666666667</v>
      </c>
      <c r="Q14" s="518">
        <f t="shared" si="9"/>
        <v>3750.2549999999997</v>
      </c>
      <c r="R14" s="518">
        <f t="shared" si="11"/>
        <v>3412.3333333333335</v>
      </c>
      <c r="S14" s="518">
        <f t="shared" si="12"/>
        <v>2922</v>
      </c>
      <c r="T14" s="518">
        <f t="shared" si="13"/>
        <v>3612.2318333333333</v>
      </c>
      <c r="U14" s="518">
        <f t="shared" ref="U14:U72" si="14">$D$13/60</f>
        <v>1915</v>
      </c>
      <c r="V14" s="518">
        <f>$D$14/60</f>
        <v>3087.5</v>
      </c>
      <c r="W14" s="518"/>
      <c r="X14" s="518"/>
      <c r="Y14" s="518"/>
      <c r="Z14" s="518"/>
      <c r="AA14" s="518"/>
      <c r="AB14" s="518"/>
      <c r="AC14" s="518"/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  <c r="AX14" s="518"/>
      <c r="AY14" s="518"/>
      <c r="AZ14" s="518"/>
      <c r="BA14" s="518"/>
      <c r="BB14" s="518"/>
      <c r="BC14" s="518"/>
      <c r="BD14" s="518"/>
      <c r="BE14" s="518"/>
      <c r="BF14" s="518"/>
      <c r="BG14" s="518"/>
      <c r="BH14" s="518"/>
      <c r="BI14" s="518"/>
      <c r="BJ14" s="518"/>
      <c r="BK14" s="518"/>
      <c r="BL14" s="518"/>
      <c r="BM14" s="518"/>
      <c r="BN14" s="518">
        <f t="shared" si="4"/>
        <v>25297.620166666668</v>
      </c>
    </row>
    <row r="15" spans="1:67" s="585" customFormat="1" ht="12.75" customHeight="1" outlineLevel="1">
      <c r="A15" s="308" t="s">
        <v>58</v>
      </c>
      <c r="B15" s="308">
        <f t="shared" si="10"/>
        <v>2016</v>
      </c>
      <c r="C15" s="308" t="s">
        <v>47</v>
      </c>
      <c r="D15" s="518">
        <f>142385-6500-6500</f>
        <v>129385</v>
      </c>
      <c r="E15" s="518"/>
      <c r="F15" s="518">
        <f t="shared" si="5"/>
        <v>1647242.21</v>
      </c>
      <c r="G15" s="518"/>
      <c r="H15" s="518">
        <f>26699.04-108.34-108.34-108.34-108.34-108.34-108.34</f>
        <v>26049</v>
      </c>
      <c r="I15" s="518">
        <f>SUM(H$5:H15)</f>
        <v>139146.68</v>
      </c>
      <c r="J15" s="518"/>
      <c r="K15" s="518">
        <f t="shared" si="2"/>
        <v>1508095.53</v>
      </c>
      <c r="M15" s="518">
        <f t="shared" si="3"/>
        <v>108.33333333333333</v>
      </c>
      <c r="N15" s="518">
        <f t="shared" si="6"/>
        <v>2009.1666666666667</v>
      </c>
      <c r="O15" s="518">
        <f t="shared" si="7"/>
        <v>1443.8333333333333</v>
      </c>
      <c r="P15" s="518">
        <f t="shared" si="8"/>
        <v>3036.9666666666667</v>
      </c>
      <c r="Q15" s="518">
        <f t="shared" si="9"/>
        <v>3750.2549999999997</v>
      </c>
      <c r="R15" s="518">
        <f t="shared" si="11"/>
        <v>3412.3333333333335</v>
      </c>
      <c r="S15" s="518">
        <f t="shared" si="12"/>
        <v>2922</v>
      </c>
      <c r="T15" s="518">
        <f t="shared" si="13"/>
        <v>3612.2318333333333</v>
      </c>
      <c r="U15" s="518">
        <f t="shared" si="14"/>
        <v>1915</v>
      </c>
      <c r="V15" s="518">
        <f t="shared" ref="V15:V73" si="15">$D$14/60</f>
        <v>3087.5</v>
      </c>
      <c r="W15" s="518">
        <f>$D$15/60</f>
        <v>2156.4166666666665</v>
      </c>
      <c r="X15" s="518"/>
      <c r="Y15" s="518"/>
      <c r="Z15" s="518"/>
      <c r="AA15" s="518"/>
      <c r="AB15" s="518"/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8"/>
      <c r="AR15" s="518"/>
      <c r="AS15" s="518"/>
      <c r="AT15" s="518"/>
      <c r="AU15" s="518"/>
      <c r="AV15" s="518"/>
      <c r="AW15" s="518"/>
      <c r="AX15" s="518"/>
      <c r="AY15" s="518"/>
      <c r="AZ15" s="518"/>
      <c r="BA15" s="518"/>
      <c r="BB15" s="518"/>
      <c r="BC15" s="518"/>
      <c r="BD15" s="518"/>
      <c r="BE15" s="518"/>
      <c r="BF15" s="518"/>
      <c r="BG15" s="518"/>
      <c r="BH15" s="518"/>
      <c r="BI15" s="518"/>
      <c r="BJ15" s="518"/>
      <c r="BK15" s="518"/>
      <c r="BL15" s="518"/>
      <c r="BM15" s="518"/>
      <c r="BN15" s="518">
        <f t="shared" si="4"/>
        <v>27454.036833333335</v>
      </c>
    </row>
    <row r="16" spans="1:67" s="585" customFormat="1" ht="12.75" customHeight="1">
      <c r="A16" s="308" t="s">
        <v>59</v>
      </c>
      <c r="B16" s="308">
        <f t="shared" si="10"/>
        <v>2016</v>
      </c>
      <c r="C16" s="308" t="s">
        <v>47</v>
      </c>
      <c r="D16" s="518">
        <v>102255</v>
      </c>
      <c r="E16" s="518"/>
      <c r="F16" s="518">
        <f t="shared" si="5"/>
        <v>1749497.21</v>
      </c>
      <c r="G16" s="518"/>
      <c r="H16" s="518">
        <f>28206.45-108.34-108.34-108.34-108.34</f>
        <v>27773.09</v>
      </c>
      <c r="I16" s="518">
        <f>SUM(H$5:H16)</f>
        <v>166919.76999999999</v>
      </c>
      <c r="J16" s="518"/>
      <c r="K16" s="518">
        <f t="shared" si="2"/>
        <v>1582577.44</v>
      </c>
      <c r="M16" s="518">
        <f t="shared" si="3"/>
        <v>108.33333333333333</v>
      </c>
      <c r="N16" s="518">
        <f t="shared" si="6"/>
        <v>2009.1666666666667</v>
      </c>
      <c r="O16" s="518">
        <f t="shared" si="7"/>
        <v>1443.8333333333333</v>
      </c>
      <c r="P16" s="518">
        <f t="shared" si="8"/>
        <v>3036.9666666666667</v>
      </c>
      <c r="Q16" s="518">
        <f t="shared" si="9"/>
        <v>3750.2549999999997</v>
      </c>
      <c r="R16" s="518">
        <f t="shared" si="11"/>
        <v>3412.3333333333335</v>
      </c>
      <c r="S16" s="518">
        <f t="shared" si="12"/>
        <v>2922</v>
      </c>
      <c r="T16" s="518">
        <f t="shared" si="13"/>
        <v>3612.2318333333333</v>
      </c>
      <c r="U16" s="518">
        <f t="shared" si="14"/>
        <v>1915</v>
      </c>
      <c r="V16" s="518">
        <f t="shared" si="15"/>
        <v>3087.5</v>
      </c>
      <c r="W16" s="518">
        <f t="shared" ref="W16:W74" si="16">$D$15/60</f>
        <v>2156.4166666666665</v>
      </c>
      <c r="X16" s="518">
        <f>$D$16/60</f>
        <v>1704.25</v>
      </c>
      <c r="Y16" s="518"/>
      <c r="Z16" s="518"/>
      <c r="AA16" s="518"/>
      <c r="AB16" s="518"/>
      <c r="AC16" s="518"/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  <c r="AQ16" s="518"/>
      <c r="AR16" s="518"/>
      <c r="AS16" s="518"/>
      <c r="AT16" s="518"/>
      <c r="AU16" s="518"/>
      <c r="AV16" s="518"/>
      <c r="AW16" s="518"/>
      <c r="AX16" s="518"/>
      <c r="AY16" s="518"/>
      <c r="AZ16" s="518"/>
      <c r="BA16" s="518"/>
      <c r="BB16" s="518"/>
      <c r="BC16" s="518"/>
      <c r="BD16" s="518"/>
      <c r="BE16" s="518"/>
      <c r="BF16" s="518"/>
      <c r="BG16" s="518"/>
      <c r="BH16" s="518"/>
      <c r="BI16" s="518"/>
      <c r="BJ16" s="518"/>
      <c r="BK16" s="518"/>
      <c r="BL16" s="518"/>
      <c r="BM16" s="518"/>
      <c r="BN16" s="518">
        <f t="shared" si="4"/>
        <v>29158.286833333335</v>
      </c>
    </row>
    <row r="17" spans="1:66" s="585" customFormat="1" ht="12.75" customHeight="1">
      <c r="A17" s="308" t="s">
        <v>46</v>
      </c>
      <c r="B17" s="308">
        <f>+B5+1</f>
        <v>2016</v>
      </c>
      <c r="C17" s="308" t="s">
        <v>47</v>
      </c>
      <c r="D17" s="518">
        <v>102085</v>
      </c>
      <c r="E17" s="518"/>
      <c r="F17" s="518">
        <f t="shared" si="5"/>
        <v>1851582.21</v>
      </c>
      <c r="G17" s="518"/>
      <c r="H17" s="518">
        <f>33359.71</f>
        <v>33359.71</v>
      </c>
      <c r="I17" s="518">
        <f>SUM(H$5:H17)</f>
        <v>200279.47999999998</v>
      </c>
      <c r="J17" s="518"/>
      <c r="K17" s="518">
        <f t="shared" si="2"/>
        <v>1651302.73</v>
      </c>
      <c r="M17" s="518">
        <f t="shared" si="3"/>
        <v>108.33333333333333</v>
      </c>
      <c r="N17" s="518">
        <f t="shared" si="6"/>
        <v>2009.1666666666667</v>
      </c>
      <c r="O17" s="518">
        <f t="shared" si="7"/>
        <v>1443.8333333333333</v>
      </c>
      <c r="P17" s="518">
        <f t="shared" si="8"/>
        <v>3036.9666666666667</v>
      </c>
      <c r="Q17" s="518">
        <f t="shared" si="9"/>
        <v>3750.2549999999997</v>
      </c>
      <c r="R17" s="518">
        <f t="shared" si="11"/>
        <v>3412.3333333333335</v>
      </c>
      <c r="S17" s="518">
        <f t="shared" si="12"/>
        <v>2922</v>
      </c>
      <c r="T17" s="518">
        <f t="shared" si="13"/>
        <v>3612.2318333333333</v>
      </c>
      <c r="U17" s="518">
        <f t="shared" si="14"/>
        <v>1915</v>
      </c>
      <c r="V17" s="518">
        <f t="shared" si="15"/>
        <v>3087.5</v>
      </c>
      <c r="W17" s="518">
        <f t="shared" si="16"/>
        <v>2156.4166666666665</v>
      </c>
      <c r="X17" s="518">
        <f t="shared" ref="X17:X75" si="17">$D$16/60</f>
        <v>1704.25</v>
      </c>
      <c r="Y17" s="518">
        <f>$D$17/60</f>
        <v>1701.4166666666667</v>
      </c>
      <c r="Z17" s="518"/>
      <c r="AA17" s="518"/>
      <c r="AB17" s="518"/>
      <c r="AC17" s="518"/>
      <c r="AD17" s="518"/>
      <c r="AE17" s="518"/>
      <c r="AF17" s="518"/>
      <c r="AG17" s="518"/>
      <c r="AH17" s="518"/>
      <c r="AI17" s="518"/>
      <c r="AJ17" s="518"/>
      <c r="AK17" s="518"/>
      <c r="AL17" s="518"/>
      <c r="AM17" s="518"/>
      <c r="AN17" s="518"/>
      <c r="AO17" s="518"/>
      <c r="AP17" s="518"/>
      <c r="AQ17" s="518"/>
      <c r="AR17" s="518"/>
      <c r="AS17" s="518"/>
      <c r="AT17" s="518"/>
      <c r="AU17" s="518"/>
      <c r="AV17" s="518"/>
      <c r="AW17" s="518"/>
      <c r="AX17" s="518"/>
      <c r="AY17" s="518"/>
      <c r="AZ17" s="518"/>
      <c r="BA17" s="518"/>
      <c r="BB17" s="518"/>
      <c r="BC17" s="518"/>
      <c r="BD17" s="518"/>
      <c r="BE17" s="518"/>
      <c r="BF17" s="518"/>
      <c r="BG17" s="518"/>
      <c r="BH17" s="518"/>
      <c r="BI17" s="518"/>
      <c r="BJ17" s="518"/>
      <c r="BK17" s="518"/>
      <c r="BL17" s="518"/>
      <c r="BM17" s="518"/>
      <c r="BN17" s="518">
        <f t="shared" si="4"/>
        <v>30859.703500000003</v>
      </c>
    </row>
    <row r="18" spans="1:66" s="585" customFormat="1" ht="12.75" customHeight="1">
      <c r="A18" s="308" t="s">
        <v>48</v>
      </c>
      <c r="B18" s="308">
        <f t="shared" ref="B18:B81" si="18">+B6+1</f>
        <v>2016</v>
      </c>
      <c r="C18" s="308" t="s">
        <v>47</v>
      </c>
      <c r="D18" s="518">
        <f>232420-6500-6500-6500-6500-6500</f>
        <v>199920</v>
      </c>
      <c r="E18" s="518"/>
      <c r="F18" s="518">
        <f t="shared" si="5"/>
        <v>2051502.21</v>
      </c>
      <c r="G18" s="518"/>
      <c r="H18" s="518">
        <f>38667.26-108.34-108.34-108.34</f>
        <v>38342.240000000013</v>
      </c>
      <c r="I18" s="518">
        <f>SUM(H$5:H18)</f>
        <v>238621.72</v>
      </c>
      <c r="J18" s="518"/>
      <c r="K18" s="518">
        <f t="shared" si="2"/>
        <v>1812880.49</v>
      </c>
      <c r="M18" s="518">
        <f t="shared" si="3"/>
        <v>108.33333333333333</v>
      </c>
      <c r="N18" s="518">
        <f t="shared" si="6"/>
        <v>2009.1666666666667</v>
      </c>
      <c r="O18" s="518">
        <f t="shared" si="7"/>
        <v>1443.8333333333333</v>
      </c>
      <c r="P18" s="518">
        <f t="shared" si="8"/>
        <v>3036.9666666666667</v>
      </c>
      <c r="Q18" s="518">
        <f t="shared" si="9"/>
        <v>3750.2549999999997</v>
      </c>
      <c r="R18" s="518">
        <f t="shared" si="11"/>
        <v>3412.3333333333335</v>
      </c>
      <c r="S18" s="518">
        <f t="shared" si="12"/>
        <v>2922</v>
      </c>
      <c r="T18" s="518">
        <f t="shared" si="13"/>
        <v>3612.2318333333333</v>
      </c>
      <c r="U18" s="518">
        <f t="shared" si="14"/>
        <v>1915</v>
      </c>
      <c r="V18" s="518">
        <f t="shared" si="15"/>
        <v>3087.5</v>
      </c>
      <c r="W18" s="518">
        <f t="shared" si="16"/>
        <v>2156.4166666666665</v>
      </c>
      <c r="X18" s="518">
        <f t="shared" si="17"/>
        <v>1704.25</v>
      </c>
      <c r="Y18" s="518">
        <f t="shared" ref="Y18:Y76" si="19">$D$17/60</f>
        <v>1701.4166666666667</v>
      </c>
      <c r="Z18" s="518">
        <f>$D$18/60</f>
        <v>3332</v>
      </c>
      <c r="AA18" s="518"/>
      <c r="AB18" s="518"/>
      <c r="AC18" s="518"/>
      <c r="AD18" s="518"/>
      <c r="AE18" s="518"/>
      <c r="AF18" s="518"/>
      <c r="AG18" s="518"/>
      <c r="AH18" s="518"/>
      <c r="AI18" s="518"/>
      <c r="AJ18" s="518"/>
      <c r="AK18" s="518"/>
      <c r="AL18" s="518"/>
      <c r="AM18" s="518"/>
      <c r="AN18" s="518"/>
      <c r="AO18" s="518"/>
      <c r="AP18" s="518"/>
      <c r="AQ18" s="518"/>
      <c r="AR18" s="518"/>
      <c r="AS18" s="518"/>
      <c r="AT18" s="518"/>
      <c r="AU18" s="518"/>
      <c r="AV18" s="518"/>
      <c r="AW18" s="518"/>
      <c r="AX18" s="518"/>
      <c r="AY18" s="518"/>
      <c r="AZ18" s="518"/>
      <c r="BA18" s="518"/>
      <c r="BB18" s="518"/>
      <c r="BC18" s="518"/>
      <c r="BD18" s="518"/>
      <c r="BE18" s="518"/>
      <c r="BF18" s="518"/>
      <c r="BG18" s="518"/>
      <c r="BH18" s="518"/>
      <c r="BI18" s="518"/>
      <c r="BJ18" s="518"/>
      <c r="BK18" s="518"/>
      <c r="BL18" s="518"/>
      <c r="BM18" s="518"/>
      <c r="BN18" s="518">
        <f t="shared" si="4"/>
        <v>34191.703500000003</v>
      </c>
    </row>
    <row r="19" spans="1:66" s="585" customFormat="1" ht="12.75" customHeight="1">
      <c r="A19" s="308" t="s">
        <v>50</v>
      </c>
      <c r="B19" s="308">
        <f t="shared" si="18"/>
        <v>2016</v>
      </c>
      <c r="C19" s="308" t="s">
        <v>47</v>
      </c>
      <c r="D19" s="518">
        <f>227335-6500-6500-6500</f>
        <v>207835</v>
      </c>
      <c r="E19" s="518"/>
      <c r="F19" s="518">
        <f t="shared" si="5"/>
        <v>2259337.21</v>
      </c>
      <c r="G19" s="518"/>
      <c r="H19" s="518">
        <f>37973.56-108.34-108.34-108.34-108.34-108.34</f>
        <v>37431.860000000015</v>
      </c>
      <c r="I19" s="518">
        <f>SUM(H$5:H19)</f>
        <v>276053.58</v>
      </c>
      <c r="J19" s="518"/>
      <c r="K19" s="518">
        <f t="shared" si="2"/>
        <v>1983283.63</v>
      </c>
      <c r="M19" s="518">
        <f t="shared" si="3"/>
        <v>108.33333333333333</v>
      </c>
      <c r="N19" s="518">
        <f t="shared" si="6"/>
        <v>2009.1666666666667</v>
      </c>
      <c r="O19" s="518">
        <f t="shared" si="7"/>
        <v>1443.8333333333333</v>
      </c>
      <c r="P19" s="518">
        <f t="shared" si="8"/>
        <v>3036.9666666666667</v>
      </c>
      <c r="Q19" s="518">
        <f t="shared" si="9"/>
        <v>3750.2549999999997</v>
      </c>
      <c r="R19" s="518">
        <f t="shared" si="11"/>
        <v>3412.3333333333335</v>
      </c>
      <c r="S19" s="518">
        <f t="shared" si="12"/>
        <v>2922</v>
      </c>
      <c r="T19" s="518">
        <f t="shared" si="13"/>
        <v>3612.2318333333333</v>
      </c>
      <c r="U19" s="518">
        <f t="shared" si="14"/>
        <v>1915</v>
      </c>
      <c r="V19" s="518">
        <f t="shared" si="15"/>
        <v>3087.5</v>
      </c>
      <c r="W19" s="518">
        <f t="shared" si="16"/>
        <v>2156.4166666666665</v>
      </c>
      <c r="X19" s="518">
        <f t="shared" si="17"/>
        <v>1704.25</v>
      </c>
      <c r="Y19" s="518">
        <f t="shared" si="19"/>
        <v>1701.4166666666667</v>
      </c>
      <c r="Z19" s="518">
        <f t="shared" ref="Z19:Z77" si="20">$D$18/60</f>
        <v>3332</v>
      </c>
      <c r="AA19" s="518">
        <f>$D$19/60</f>
        <v>3463.9166666666665</v>
      </c>
      <c r="AB19" s="518"/>
      <c r="AC19" s="518"/>
      <c r="AD19" s="518"/>
      <c r="AE19" s="518"/>
      <c r="AF19" s="518"/>
      <c r="AG19" s="518"/>
      <c r="AH19" s="518"/>
      <c r="AI19" s="518"/>
      <c r="AJ19" s="518"/>
      <c r="AK19" s="518"/>
      <c r="AL19" s="518"/>
      <c r="AM19" s="518"/>
      <c r="AN19" s="518"/>
      <c r="AO19" s="518"/>
      <c r="AP19" s="518"/>
      <c r="AQ19" s="518"/>
      <c r="AR19" s="518"/>
      <c r="AS19" s="518"/>
      <c r="AT19" s="518"/>
      <c r="AU19" s="518"/>
      <c r="AV19" s="518"/>
      <c r="AW19" s="518"/>
      <c r="AX19" s="518"/>
      <c r="AY19" s="518"/>
      <c r="AZ19" s="518"/>
      <c r="BA19" s="518"/>
      <c r="BB19" s="518"/>
      <c r="BC19" s="518"/>
      <c r="BD19" s="518"/>
      <c r="BE19" s="518"/>
      <c r="BF19" s="518"/>
      <c r="BG19" s="518"/>
      <c r="BH19" s="518"/>
      <c r="BI19" s="518"/>
      <c r="BJ19" s="518"/>
      <c r="BK19" s="518"/>
      <c r="BL19" s="518"/>
      <c r="BM19" s="518"/>
      <c r="BN19" s="518">
        <f t="shared" si="4"/>
        <v>37655.620166666668</v>
      </c>
    </row>
    <row r="20" spans="1:66" s="585" customFormat="1" ht="12.75" customHeight="1">
      <c r="A20" s="308" t="s">
        <v>51</v>
      </c>
      <c r="B20" s="308">
        <f t="shared" si="18"/>
        <v>2016</v>
      </c>
      <c r="C20" s="308" t="s">
        <v>47</v>
      </c>
      <c r="D20" s="518">
        <f>404403.04-6500-6500</f>
        <v>391403.04</v>
      </c>
      <c r="E20" s="518"/>
      <c r="F20" s="518">
        <f t="shared" si="5"/>
        <v>2650740.25</v>
      </c>
      <c r="G20" s="518"/>
      <c r="H20" s="518">
        <f>38886.74+108.34-108.34-108.34-108.34-108.34-108.34-108.34-108.34</f>
        <v>38236.700000000019</v>
      </c>
      <c r="I20" s="518">
        <f>SUM(H$5:H20)</f>
        <v>314290.28000000003</v>
      </c>
      <c r="J20" s="518"/>
      <c r="K20" s="518">
        <f t="shared" si="2"/>
        <v>2336449.9699999997</v>
      </c>
      <c r="M20" s="518">
        <f t="shared" si="3"/>
        <v>108.33333333333333</v>
      </c>
      <c r="N20" s="518">
        <f t="shared" si="6"/>
        <v>2009.1666666666667</v>
      </c>
      <c r="O20" s="518">
        <f t="shared" si="7"/>
        <v>1443.8333333333333</v>
      </c>
      <c r="P20" s="518">
        <f t="shared" si="8"/>
        <v>3036.9666666666667</v>
      </c>
      <c r="Q20" s="518">
        <f t="shared" si="9"/>
        <v>3750.2549999999997</v>
      </c>
      <c r="R20" s="518">
        <f t="shared" si="11"/>
        <v>3412.3333333333335</v>
      </c>
      <c r="S20" s="518">
        <f t="shared" si="12"/>
        <v>2922</v>
      </c>
      <c r="T20" s="518">
        <f t="shared" si="13"/>
        <v>3612.2318333333333</v>
      </c>
      <c r="U20" s="518">
        <f t="shared" si="14"/>
        <v>1915</v>
      </c>
      <c r="V20" s="518">
        <f t="shared" si="15"/>
        <v>3087.5</v>
      </c>
      <c r="W20" s="518">
        <f t="shared" si="16"/>
        <v>2156.4166666666665</v>
      </c>
      <c r="X20" s="518">
        <f t="shared" si="17"/>
        <v>1704.25</v>
      </c>
      <c r="Y20" s="518">
        <f t="shared" si="19"/>
        <v>1701.4166666666667</v>
      </c>
      <c r="Z20" s="518">
        <f t="shared" si="20"/>
        <v>3332</v>
      </c>
      <c r="AA20" s="518">
        <f t="shared" ref="AA20:AA78" si="21">$D$19/60</f>
        <v>3463.9166666666665</v>
      </c>
      <c r="AB20" s="518">
        <f>$D$20/60</f>
        <v>6523.384</v>
      </c>
      <c r="AC20" s="518"/>
      <c r="AD20" s="518"/>
      <c r="AE20" s="518"/>
      <c r="AF20" s="518"/>
      <c r="AG20" s="518"/>
      <c r="AH20" s="518"/>
      <c r="AI20" s="518"/>
      <c r="AJ20" s="518"/>
      <c r="AK20" s="518"/>
      <c r="AL20" s="518"/>
      <c r="AM20" s="518"/>
      <c r="AN20" s="518"/>
      <c r="AO20" s="518"/>
      <c r="AP20" s="518"/>
      <c r="AQ20" s="518"/>
      <c r="AR20" s="518"/>
      <c r="AS20" s="518"/>
      <c r="AT20" s="518"/>
      <c r="AU20" s="518"/>
      <c r="AV20" s="518"/>
      <c r="AW20" s="518"/>
      <c r="AX20" s="518"/>
      <c r="AY20" s="518"/>
      <c r="AZ20" s="518"/>
      <c r="BA20" s="518"/>
      <c r="BB20" s="518"/>
      <c r="BC20" s="518"/>
      <c r="BD20" s="518"/>
      <c r="BE20" s="518"/>
      <c r="BF20" s="518"/>
      <c r="BG20" s="518"/>
      <c r="BH20" s="518"/>
      <c r="BI20" s="518"/>
      <c r="BJ20" s="518"/>
      <c r="BK20" s="518"/>
      <c r="BL20" s="518"/>
      <c r="BM20" s="518"/>
      <c r="BN20" s="518">
        <f t="shared" si="4"/>
        <v>44179.004166666666</v>
      </c>
    </row>
    <row r="21" spans="1:66" s="585" customFormat="1" ht="12.75" customHeight="1">
      <c r="A21" s="308" t="s">
        <v>52</v>
      </c>
      <c r="B21" s="308">
        <f t="shared" si="18"/>
        <v>2016</v>
      </c>
      <c r="C21" s="308" t="s">
        <v>47</v>
      </c>
      <c r="D21" s="518">
        <f>368561.88-6500-6500-6500</f>
        <v>349061.88</v>
      </c>
      <c r="E21" s="518"/>
      <c r="F21" s="518">
        <f t="shared" si="5"/>
        <v>2999802.13</v>
      </c>
      <c r="G21" s="518"/>
      <c r="H21" s="518">
        <f>56802.56+108.34-108.34-108.34-108.34-108.34-108.34-108.34-108.34</f>
        <v>56152.520000000019</v>
      </c>
      <c r="I21" s="518">
        <f>SUM(H$5:H21)</f>
        <v>370442.80000000005</v>
      </c>
      <c r="J21" s="518"/>
      <c r="K21" s="518">
        <f t="shared" si="2"/>
        <v>2629359.33</v>
      </c>
      <c r="M21" s="518">
        <f t="shared" si="3"/>
        <v>108.33333333333333</v>
      </c>
      <c r="N21" s="518">
        <f t="shared" si="6"/>
        <v>2009.1666666666667</v>
      </c>
      <c r="O21" s="518">
        <f t="shared" si="7"/>
        <v>1443.8333333333333</v>
      </c>
      <c r="P21" s="518">
        <f t="shared" si="8"/>
        <v>3036.9666666666667</v>
      </c>
      <c r="Q21" s="518">
        <f t="shared" si="9"/>
        <v>3750.2549999999997</v>
      </c>
      <c r="R21" s="518">
        <f t="shared" si="11"/>
        <v>3412.3333333333335</v>
      </c>
      <c r="S21" s="518">
        <f t="shared" si="12"/>
        <v>2922</v>
      </c>
      <c r="T21" s="518">
        <f t="shared" si="13"/>
        <v>3612.2318333333333</v>
      </c>
      <c r="U21" s="518">
        <f t="shared" si="14"/>
        <v>1915</v>
      </c>
      <c r="V21" s="518">
        <f t="shared" si="15"/>
        <v>3087.5</v>
      </c>
      <c r="W21" s="518">
        <f t="shared" si="16"/>
        <v>2156.4166666666665</v>
      </c>
      <c r="X21" s="518">
        <f t="shared" si="17"/>
        <v>1704.25</v>
      </c>
      <c r="Y21" s="518">
        <f t="shared" si="19"/>
        <v>1701.4166666666667</v>
      </c>
      <c r="Z21" s="518">
        <f t="shared" si="20"/>
        <v>3332</v>
      </c>
      <c r="AA21" s="518">
        <f t="shared" si="21"/>
        <v>3463.9166666666665</v>
      </c>
      <c r="AB21" s="518">
        <f t="shared" ref="AB21:AB79" si="22">$D$20/60</f>
        <v>6523.384</v>
      </c>
      <c r="AC21" s="518">
        <f>$D$21/60</f>
        <v>5817.6980000000003</v>
      </c>
      <c r="AD21" s="518"/>
      <c r="AE21" s="518"/>
      <c r="AF21" s="518"/>
      <c r="AG21" s="518"/>
      <c r="AH21" s="518"/>
      <c r="AI21" s="518"/>
      <c r="AJ21" s="518"/>
      <c r="AK21" s="518"/>
      <c r="AL21" s="518"/>
      <c r="AM21" s="518"/>
      <c r="AN21" s="518"/>
      <c r="AO21" s="518"/>
      <c r="AP21" s="518"/>
      <c r="AQ21" s="518"/>
      <c r="AR21" s="518"/>
      <c r="AS21" s="518"/>
      <c r="AT21" s="518"/>
      <c r="AU21" s="518"/>
      <c r="AV21" s="518"/>
      <c r="AW21" s="518"/>
      <c r="AX21" s="518"/>
      <c r="AY21" s="518"/>
      <c r="AZ21" s="518"/>
      <c r="BA21" s="518"/>
      <c r="BB21" s="518"/>
      <c r="BC21" s="518"/>
      <c r="BD21" s="518"/>
      <c r="BE21" s="518"/>
      <c r="BF21" s="518"/>
      <c r="BG21" s="518"/>
      <c r="BH21" s="518"/>
      <c r="BI21" s="518"/>
      <c r="BJ21" s="518"/>
      <c r="BK21" s="518"/>
      <c r="BL21" s="518"/>
      <c r="BM21" s="518"/>
      <c r="BN21" s="518">
        <f t="shared" si="4"/>
        <v>49996.70216666667</v>
      </c>
    </row>
    <row r="22" spans="1:66" s="585" customFormat="1" ht="12.75" customHeight="1">
      <c r="A22" s="308" t="s">
        <v>53</v>
      </c>
      <c r="B22" s="308">
        <f t="shared" si="18"/>
        <v>2017</v>
      </c>
      <c r="C22" s="308" t="s">
        <v>47</v>
      </c>
      <c r="D22" s="518">
        <f>309411-6500</f>
        <v>302911</v>
      </c>
      <c r="E22" s="518"/>
      <c r="F22" s="518">
        <f t="shared" si="5"/>
        <v>3302713.13</v>
      </c>
      <c r="G22" s="518"/>
      <c r="H22" s="518">
        <f>56501.12+108.34-108.34-108.34-108.34-108.34-108.34-108.34</f>
        <v>55959.42000000002</v>
      </c>
      <c r="I22" s="518">
        <f>SUM(H$5:H22)</f>
        <v>426402.22000000009</v>
      </c>
      <c r="J22" s="518"/>
      <c r="K22" s="518">
        <f t="shared" si="2"/>
        <v>2876310.9099999997</v>
      </c>
      <c r="M22" s="518">
        <f t="shared" si="3"/>
        <v>108.33333333333333</v>
      </c>
      <c r="N22" s="518">
        <f t="shared" si="6"/>
        <v>2009.1666666666667</v>
      </c>
      <c r="O22" s="518">
        <f t="shared" si="7"/>
        <v>1443.8333333333333</v>
      </c>
      <c r="P22" s="518">
        <f t="shared" si="8"/>
        <v>3036.9666666666667</v>
      </c>
      <c r="Q22" s="518">
        <f t="shared" si="9"/>
        <v>3750.2549999999997</v>
      </c>
      <c r="R22" s="518">
        <f t="shared" si="11"/>
        <v>3412.3333333333335</v>
      </c>
      <c r="S22" s="518">
        <f t="shared" si="12"/>
        <v>2922</v>
      </c>
      <c r="T22" s="518">
        <f t="shared" si="13"/>
        <v>3612.2318333333333</v>
      </c>
      <c r="U22" s="518">
        <f t="shared" si="14"/>
        <v>1915</v>
      </c>
      <c r="V22" s="518">
        <f t="shared" si="15"/>
        <v>3087.5</v>
      </c>
      <c r="W22" s="518">
        <f t="shared" si="16"/>
        <v>2156.4166666666665</v>
      </c>
      <c r="X22" s="518">
        <f t="shared" si="17"/>
        <v>1704.25</v>
      </c>
      <c r="Y22" s="518">
        <f t="shared" si="19"/>
        <v>1701.4166666666667</v>
      </c>
      <c r="Z22" s="518">
        <f t="shared" si="20"/>
        <v>3332</v>
      </c>
      <c r="AA22" s="518">
        <f t="shared" si="21"/>
        <v>3463.9166666666665</v>
      </c>
      <c r="AB22" s="518">
        <f t="shared" si="22"/>
        <v>6523.384</v>
      </c>
      <c r="AC22" s="518">
        <f t="shared" ref="AC22:AC80" si="23">$D$21/60</f>
        <v>5817.6980000000003</v>
      </c>
      <c r="AD22" s="518">
        <f>$D$22/60</f>
        <v>5048.5166666666664</v>
      </c>
      <c r="AE22" s="518"/>
      <c r="AF22" s="518"/>
      <c r="AG22" s="518"/>
      <c r="AH22" s="518"/>
      <c r="AI22" s="518"/>
      <c r="AJ22" s="518"/>
      <c r="AK22" s="518"/>
      <c r="AL22" s="518"/>
      <c r="AM22" s="518"/>
      <c r="AN22" s="518"/>
      <c r="AO22" s="518"/>
      <c r="AP22" s="518"/>
      <c r="AQ22" s="518"/>
      <c r="AR22" s="518"/>
      <c r="AS22" s="518"/>
      <c r="AT22" s="518"/>
      <c r="AU22" s="518"/>
      <c r="AV22" s="518"/>
      <c r="AW22" s="518"/>
      <c r="AX22" s="518"/>
      <c r="AY22" s="518"/>
      <c r="AZ22" s="518"/>
      <c r="BA22" s="518"/>
      <c r="BB22" s="518"/>
      <c r="BC22" s="518"/>
      <c r="BD22" s="518"/>
      <c r="BE22" s="518"/>
      <c r="BF22" s="518"/>
      <c r="BG22" s="518"/>
      <c r="BH22" s="518"/>
      <c r="BI22" s="518"/>
      <c r="BJ22" s="518"/>
      <c r="BK22" s="518"/>
      <c r="BL22" s="518"/>
      <c r="BM22" s="518"/>
      <c r="BN22" s="518">
        <f t="shared" si="4"/>
        <v>55045.218833333332</v>
      </c>
    </row>
    <row r="23" spans="1:66" s="585" customFormat="1" ht="12.75" customHeight="1">
      <c r="A23" s="308" t="s">
        <v>54</v>
      </c>
      <c r="B23" s="308">
        <f t="shared" si="18"/>
        <v>2017</v>
      </c>
      <c r="C23" s="308" t="s">
        <v>47</v>
      </c>
      <c r="D23" s="518">
        <f>230100-6500-6500-6500</f>
        <v>210600</v>
      </c>
      <c r="E23" s="518"/>
      <c r="F23" s="518">
        <f t="shared" si="5"/>
        <v>3513313.13</v>
      </c>
      <c r="G23" s="518"/>
      <c r="H23" s="518">
        <f>52554.44+108.34-108.34-108.34-108.34-108.34</f>
        <v>52229.420000000013</v>
      </c>
      <c r="I23" s="518">
        <f>SUM(H$5:H23)</f>
        <v>478631.64000000013</v>
      </c>
      <c r="J23" s="518"/>
      <c r="K23" s="518">
        <f t="shared" si="2"/>
        <v>3034681.4899999998</v>
      </c>
      <c r="M23" s="518">
        <f t="shared" si="3"/>
        <v>108.33333333333333</v>
      </c>
      <c r="N23" s="518">
        <f t="shared" si="6"/>
        <v>2009.1666666666667</v>
      </c>
      <c r="O23" s="518">
        <f t="shared" si="7"/>
        <v>1443.8333333333333</v>
      </c>
      <c r="P23" s="518">
        <f t="shared" si="8"/>
        <v>3036.9666666666667</v>
      </c>
      <c r="Q23" s="518">
        <f t="shared" si="9"/>
        <v>3750.2549999999997</v>
      </c>
      <c r="R23" s="518">
        <f t="shared" si="11"/>
        <v>3412.3333333333335</v>
      </c>
      <c r="S23" s="518">
        <f t="shared" si="12"/>
        <v>2922</v>
      </c>
      <c r="T23" s="518">
        <f t="shared" si="13"/>
        <v>3612.2318333333333</v>
      </c>
      <c r="U23" s="518">
        <f t="shared" si="14"/>
        <v>1915</v>
      </c>
      <c r="V23" s="518">
        <f t="shared" si="15"/>
        <v>3087.5</v>
      </c>
      <c r="W23" s="518">
        <f t="shared" si="16"/>
        <v>2156.4166666666665</v>
      </c>
      <c r="X23" s="518">
        <f t="shared" si="17"/>
        <v>1704.25</v>
      </c>
      <c r="Y23" s="518">
        <f t="shared" si="19"/>
        <v>1701.4166666666667</v>
      </c>
      <c r="Z23" s="518">
        <f t="shared" si="20"/>
        <v>3332</v>
      </c>
      <c r="AA23" s="518">
        <f t="shared" si="21"/>
        <v>3463.9166666666665</v>
      </c>
      <c r="AB23" s="518">
        <f t="shared" si="22"/>
        <v>6523.384</v>
      </c>
      <c r="AC23" s="518">
        <f t="shared" si="23"/>
        <v>5817.6980000000003</v>
      </c>
      <c r="AD23" s="518">
        <f t="shared" ref="AD23:AD81" si="24">$D$22/60</f>
        <v>5048.5166666666664</v>
      </c>
      <c r="AE23" s="518">
        <f>$D$23/60</f>
        <v>3510</v>
      </c>
      <c r="AF23" s="518"/>
      <c r="AG23" s="518"/>
      <c r="AH23" s="518"/>
      <c r="AI23" s="518"/>
      <c r="AJ23" s="518"/>
      <c r="AK23" s="518"/>
      <c r="AL23" s="518"/>
      <c r="AM23" s="518"/>
      <c r="AN23" s="518"/>
      <c r="AO23" s="518"/>
      <c r="AP23" s="518"/>
      <c r="AQ23" s="518"/>
      <c r="AR23" s="518"/>
      <c r="AS23" s="518"/>
      <c r="AT23" s="518"/>
      <c r="AU23" s="518"/>
      <c r="AV23" s="518"/>
      <c r="AW23" s="518"/>
      <c r="AX23" s="518"/>
      <c r="AY23" s="518"/>
      <c r="AZ23" s="518"/>
      <c r="BA23" s="518"/>
      <c r="BB23" s="518"/>
      <c r="BC23" s="518"/>
      <c r="BD23" s="518"/>
      <c r="BE23" s="518"/>
      <c r="BF23" s="518"/>
      <c r="BG23" s="518"/>
      <c r="BH23" s="518"/>
      <c r="BI23" s="518"/>
      <c r="BJ23" s="518"/>
      <c r="BK23" s="518"/>
      <c r="BL23" s="518"/>
      <c r="BM23" s="518"/>
      <c r="BN23" s="518">
        <f t="shared" si="4"/>
        <v>58555.218833333332</v>
      </c>
    </row>
    <row r="24" spans="1:66" s="585" customFormat="1" ht="12.75" customHeight="1">
      <c r="A24" s="308" t="s">
        <v>55</v>
      </c>
      <c r="B24" s="308">
        <f t="shared" si="18"/>
        <v>2017</v>
      </c>
      <c r="C24" s="308" t="s">
        <v>47</v>
      </c>
      <c r="D24" s="518">
        <f>230335-6000-6500-6500</f>
        <v>211335</v>
      </c>
      <c r="E24" s="518"/>
      <c r="F24" s="518">
        <f t="shared" si="5"/>
        <v>3724648.13</v>
      </c>
      <c r="G24" s="518"/>
      <c r="H24" s="518">
        <f>62094.01+108.34-108.34-108.34-108.34-108.34</f>
        <v>61768.990000000013</v>
      </c>
      <c r="I24" s="518">
        <f>SUM(H$5:H24)</f>
        <v>540400.63000000012</v>
      </c>
      <c r="J24" s="518"/>
      <c r="K24" s="518">
        <f t="shared" si="2"/>
        <v>3184247.5</v>
      </c>
      <c r="M24" s="518">
        <f t="shared" si="3"/>
        <v>108.33333333333333</v>
      </c>
      <c r="N24" s="518">
        <f t="shared" si="6"/>
        <v>2009.1666666666667</v>
      </c>
      <c r="O24" s="518">
        <f t="shared" si="7"/>
        <v>1443.8333333333333</v>
      </c>
      <c r="P24" s="518">
        <f t="shared" si="8"/>
        <v>3036.9666666666667</v>
      </c>
      <c r="Q24" s="518">
        <f t="shared" si="9"/>
        <v>3750.2549999999997</v>
      </c>
      <c r="R24" s="518">
        <f t="shared" si="11"/>
        <v>3412.3333333333335</v>
      </c>
      <c r="S24" s="518">
        <f t="shared" si="12"/>
        <v>2922</v>
      </c>
      <c r="T24" s="518">
        <f t="shared" si="13"/>
        <v>3612.2318333333333</v>
      </c>
      <c r="U24" s="518">
        <f t="shared" si="14"/>
        <v>1915</v>
      </c>
      <c r="V24" s="518">
        <f t="shared" si="15"/>
        <v>3087.5</v>
      </c>
      <c r="W24" s="518">
        <f t="shared" si="16"/>
        <v>2156.4166666666665</v>
      </c>
      <c r="X24" s="518">
        <f t="shared" si="17"/>
        <v>1704.25</v>
      </c>
      <c r="Y24" s="518">
        <f t="shared" si="19"/>
        <v>1701.4166666666667</v>
      </c>
      <c r="Z24" s="518">
        <f t="shared" si="20"/>
        <v>3332</v>
      </c>
      <c r="AA24" s="518">
        <f t="shared" si="21"/>
        <v>3463.9166666666665</v>
      </c>
      <c r="AB24" s="518">
        <f t="shared" si="22"/>
        <v>6523.384</v>
      </c>
      <c r="AC24" s="518">
        <f t="shared" si="23"/>
        <v>5817.6980000000003</v>
      </c>
      <c r="AD24" s="518">
        <f t="shared" si="24"/>
        <v>5048.5166666666664</v>
      </c>
      <c r="AE24" s="518">
        <f t="shared" ref="AE24:AE82" si="25">$D$23/60</f>
        <v>3510</v>
      </c>
      <c r="AF24" s="518">
        <f>$D$24/60</f>
        <v>3522.25</v>
      </c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8"/>
      <c r="AV24" s="518"/>
      <c r="AW24" s="518"/>
      <c r="AX24" s="518"/>
      <c r="AY24" s="518"/>
      <c r="AZ24" s="518"/>
      <c r="BA24" s="518"/>
      <c r="BB24" s="518"/>
      <c r="BC24" s="518"/>
      <c r="BD24" s="518"/>
      <c r="BE24" s="518"/>
      <c r="BF24" s="518"/>
      <c r="BG24" s="518"/>
      <c r="BH24" s="518"/>
      <c r="BI24" s="518"/>
      <c r="BJ24" s="518"/>
      <c r="BK24" s="518"/>
      <c r="BL24" s="518"/>
      <c r="BM24" s="518"/>
      <c r="BN24" s="518">
        <f t="shared" si="4"/>
        <v>62077.468833333332</v>
      </c>
    </row>
    <row r="25" spans="1:66" s="585" customFormat="1" ht="12.75" customHeight="1">
      <c r="A25" s="308" t="s">
        <v>56</v>
      </c>
      <c r="B25" s="308">
        <f t="shared" si="18"/>
        <v>2017</v>
      </c>
      <c r="C25" s="308" t="s">
        <v>47</v>
      </c>
      <c r="D25" s="518">
        <v>130900</v>
      </c>
      <c r="E25" s="518"/>
      <c r="F25" s="518">
        <f t="shared" si="5"/>
        <v>3855548.13</v>
      </c>
      <c r="G25" s="518"/>
      <c r="H25" s="518">
        <f>64427+108.34-108.34-100-108.34-108.34</f>
        <v>64110.320000000007</v>
      </c>
      <c r="I25" s="518">
        <f>SUM(H$5:H25)</f>
        <v>604510.95000000019</v>
      </c>
      <c r="J25" s="518"/>
      <c r="K25" s="518">
        <f t="shared" si="2"/>
        <v>3251037.1799999997</v>
      </c>
      <c r="M25" s="518">
        <f t="shared" si="3"/>
        <v>108.33333333333333</v>
      </c>
      <c r="N25" s="518">
        <f t="shared" si="6"/>
        <v>2009.1666666666667</v>
      </c>
      <c r="O25" s="518">
        <f t="shared" si="7"/>
        <v>1443.8333333333333</v>
      </c>
      <c r="P25" s="518">
        <f t="shared" si="8"/>
        <v>3036.9666666666667</v>
      </c>
      <c r="Q25" s="518">
        <f t="shared" si="9"/>
        <v>3750.2549999999997</v>
      </c>
      <c r="R25" s="518">
        <f t="shared" si="11"/>
        <v>3412.3333333333335</v>
      </c>
      <c r="S25" s="518">
        <f t="shared" si="12"/>
        <v>2922</v>
      </c>
      <c r="T25" s="518">
        <f t="shared" si="13"/>
        <v>3612.2318333333333</v>
      </c>
      <c r="U25" s="518">
        <f t="shared" si="14"/>
        <v>1915</v>
      </c>
      <c r="V25" s="518">
        <f t="shared" si="15"/>
        <v>3087.5</v>
      </c>
      <c r="W25" s="518">
        <f t="shared" si="16"/>
        <v>2156.4166666666665</v>
      </c>
      <c r="X25" s="518">
        <f t="shared" si="17"/>
        <v>1704.25</v>
      </c>
      <c r="Y25" s="518">
        <f t="shared" si="19"/>
        <v>1701.4166666666667</v>
      </c>
      <c r="Z25" s="518">
        <f t="shared" si="20"/>
        <v>3332</v>
      </c>
      <c r="AA25" s="518">
        <f t="shared" si="21"/>
        <v>3463.9166666666665</v>
      </c>
      <c r="AB25" s="518">
        <f t="shared" si="22"/>
        <v>6523.384</v>
      </c>
      <c r="AC25" s="518">
        <f t="shared" si="23"/>
        <v>5817.6980000000003</v>
      </c>
      <c r="AD25" s="518">
        <f t="shared" si="24"/>
        <v>5048.5166666666664</v>
      </c>
      <c r="AE25" s="518">
        <f t="shared" si="25"/>
        <v>3510</v>
      </c>
      <c r="AF25" s="518">
        <f t="shared" ref="AF25:AF83" si="26">$D$24/60</f>
        <v>3522.25</v>
      </c>
      <c r="AG25" s="518">
        <f>$D$25/60</f>
        <v>2181.6666666666665</v>
      </c>
      <c r="AH25" s="518"/>
      <c r="AI25" s="518"/>
      <c r="AJ25" s="518"/>
      <c r="AK25" s="518"/>
      <c r="AL25" s="518"/>
      <c r="AM25" s="518"/>
      <c r="AN25" s="518"/>
      <c r="AO25" s="518"/>
      <c r="AP25" s="518"/>
      <c r="AQ25" s="518"/>
      <c r="AR25" s="518"/>
      <c r="AS25" s="518"/>
      <c r="AT25" s="518"/>
      <c r="AU25" s="518"/>
      <c r="AV25" s="518"/>
      <c r="AW25" s="518"/>
      <c r="AX25" s="518"/>
      <c r="AY25" s="518"/>
      <c r="AZ25" s="518"/>
      <c r="BA25" s="518"/>
      <c r="BB25" s="518"/>
      <c r="BC25" s="518"/>
      <c r="BD25" s="518"/>
      <c r="BE25" s="518"/>
      <c r="BF25" s="518"/>
      <c r="BG25" s="518"/>
      <c r="BH25" s="518"/>
      <c r="BI25" s="518"/>
      <c r="BJ25" s="518"/>
      <c r="BK25" s="518"/>
      <c r="BL25" s="518"/>
      <c r="BM25" s="518"/>
      <c r="BN25" s="518">
        <f t="shared" si="4"/>
        <v>64259.135499999997</v>
      </c>
    </row>
    <row r="26" spans="1:66" s="585" customFormat="1" ht="12.75" customHeight="1">
      <c r="A26" s="308" t="s">
        <v>57</v>
      </c>
      <c r="B26" s="308">
        <f t="shared" si="18"/>
        <v>2017</v>
      </c>
      <c r="C26" s="308" t="s">
        <v>47</v>
      </c>
      <c r="D26" s="518">
        <f>259980-6500</f>
        <v>253480</v>
      </c>
      <c r="E26" s="518"/>
      <c r="F26" s="518">
        <f t="shared" si="5"/>
        <v>4109028.13</v>
      </c>
      <c r="G26" s="518"/>
      <c r="H26" s="518">
        <f>83714.76+108.34-100-108.34</f>
        <v>83614.759999999995</v>
      </c>
      <c r="I26" s="518">
        <f>SUM(H$5:H26)</f>
        <v>688125.7100000002</v>
      </c>
      <c r="J26" s="518"/>
      <c r="K26" s="518">
        <f t="shared" si="2"/>
        <v>3420902.42</v>
      </c>
      <c r="M26" s="518">
        <f t="shared" si="3"/>
        <v>108.33333333333333</v>
      </c>
      <c r="N26" s="518">
        <f t="shared" si="6"/>
        <v>2009.1666666666667</v>
      </c>
      <c r="O26" s="518">
        <f t="shared" si="7"/>
        <v>1443.8333333333333</v>
      </c>
      <c r="P26" s="518">
        <f t="shared" si="8"/>
        <v>3036.9666666666667</v>
      </c>
      <c r="Q26" s="518">
        <f t="shared" si="9"/>
        <v>3750.2549999999997</v>
      </c>
      <c r="R26" s="518">
        <f t="shared" si="11"/>
        <v>3412.3333333333335</v>
      </c>
      <c r="S26" s="518">
        <f t="shared" si="12"/>
        <v>2922</v>
      </c>
      <c r="T26" s="518">
        <f t="shared" si="13"/>
        <v>3612.2318333333333</v>
      </c>
      <c r="U26" s="518">
        <f t="shared" si="14"/>
        <v>1915</v>
      </c>
      <c r="V26" s="518">
        <f t="shared" si="15"/>
        <v>3087.5</v>
      </c>
      <c r="W26" s="518">
        <f t="shared" si="16"/>
        <v>2156.4166666666665</v>
      </c>
      <c r="X26" s="518">
        <f t="shared" si="17"/>
        <v>1704.25</v>
      </c>
      <c r="Y26" s="518">
        <f t="shared" si="19"/>
        <v>1701.4166666666667</v>
      </c>
      <c r="Z26" s="518">
        <f t="shared" si="20"/>
        <v>3332</v>
      </c>
      <c r="AA26" s="518">
        <f t="shared" si="21"/>
        <v>3463.9166666666665</v>
      </c>
      <c r="AB26" s="518">
        <f t="shared" si="22"/>
        <v>6523.384</v>
      </c>
      <c r="AC26" s="518">
        <f t="shared" si="23"/>
        <v>5817.6980000000003</v>
      </c>
      <c r="AD26" s="518">
        <f t="shared" si="24"/>
        <v>5048.5166666666664</v>
      </c>
      <c r="AE26" s="518">
        <f t="shared" si="25"/>
        <v>3510</v>
      </c>
      <c r="AF26" s="518">
        <f t="shared" si="26"/>
        <v>3522.25</v>
      </c>
      <c r="AG26" s="518">
        <f t="shared" ref="AG26:AG84" si="27">$D$25/60</f>
        <v>2181.6666666666665</v>
      </c>
      <c r="AH26" s="518">
        <f>$D$26/60</f>
        <v>4224.666666666667</v>
      </c>
      <c r="AI26" s="518"/>
      <c r="AJ26" s="518"/>
      <c r="AK26" s="518"/>
      <c r="AL26" s="518"/>
      <c r="AM26" s="518"/>
      <c r="AN26" s="518"/>
      <c r="AO26" s="518"/>
      <c r="AP26" s="518"/>
      <c r="AQ26" s="518"/>
      <c r="AR26" s="518"/>
      <c r="AS26" s="518"/>
      <c r="AT26" s="518"/>
      <c r="AU26" s="518"/>
      <c r="AV26" s="518"/>
      <c r="AW26" s="518"/>
      <c r="AX26" s="518"/>
      <c r="AY26" s="518"/>
      <c r="AZ26" s="518"/>
      <c r="BA26" s="518"/>
      <c r="BB26" s="518"/>
      <c r="BC26" s="518"/>
      <c r="BD26" s="518"/>
      <c r="BE26" s="518"/>
      <c r="BF26" s="518"/>
      <c r="BG26" s="518"/>
      <c r="BH26" s="518"/>
      <c r="BI26" s="518"/>
      <c r="BJ26" s="518"/>
      <c r="BK26" s="518"/>
      <c r="BL26" s="518"/>
      <c r="BM26" s="518"/>
      <c r="BN26" s="518">
        <f t="shared" si="4"/>
        <v>68483.802166666661</v>
      </c>
    </row>
    <row r="27" spans="1:66" s="585" customFormat="1" ht="12.75" customHeight="1">
      <c r="A27" s="308" t="s">
        <v>58</v>
      </c>
      <c r="B27" s="308">
        <f t="shared" si="18"/>
        <v>2017</v>
      </c>
      <c r="C27" s="308" t="s">
        <v>47</v>
      </c>
      <c r="D27" s="518">
        <f>204209-6500-6500</f>
        <v>191209</v>
      </c>
      <c r="E27" s="518"/>
      <c r="F27" s="518">
        <f t="shared" si="5"/>
        <v>4300237.13</v>
      </c>
      <c r="G27" s="518"/>
      <c r="H27" s="518">
        <f>83317.19+108.34-100-108.34-108.34</f>
        <v>83108.850000000006</v>
      </c>
      <c r="I27" s="518">
        <f>SUM(H$5:H27)</f>
        <v>771234.56000000017</v>
      </c>
      <c r="J27" s="518"/>
      <c r="K27" s="518">
        <f t="shared" si="2"/>
        <v>3529002.57</v>
      </c>
      <c r="M27" s="518">
        <f t="shared" si="3"/>
        <v>108.33333333333333</v>
      </c>
      <c r="N27" s="518">
        <f t="shared" si="6"/>
        <v>2009.1666666666667</v>
      </c>
      <c r="O27" s="518">
        <f t="shared" si="7"/>
        <v>1443.8333333333333</v>
      </c>
      <c r="P27" s="518">
        <f t="shared" si="8"/>
        <v>3036.9666666666667</v>
      </c>
      <c r="Q27" s="518">
        <f t="shared" si="9"/>
        <v>3750.2549999999997</v>
      </c>
      <c r="R27" s="518">
        <f t="shared" si="11"/>
        <v>3412.3333333333335</v>
      </c>
      <c r="S27" s="518">
        <f t="shared" si="12"/>
        <v>2922</v>
      </c>
      <c r="T27" s="518">
        <f t="shared" si="13"/>
        <v>3612.2318333333333</v>
      </c>
      <c r="U27" s="518">
        <f t="shared" si="14"/>
        <v>1915</v>
      </c>
      <c r="V27" s="518">
        <f t="shared" si="15"/>
        <v>3087.5</v>
      </c>
      <c r="W27" s="518">
        <f t="shared" si="16"/>
        <v>2156.4166666666665</v>
      </c>
      <c r="X27" s="518">
        <f t="shared" si="17"/>
        <v>1704.25</v>
      </c>
      <c r="Y27" s="518">
        <f t="shared" si="19"/>
        <v>1701.4166666666667</v>
      </c>
      <c r="Z27" s="518">
        <f t="shared" si="20"/>
        <v>3332</v>
      </c>
      <c r="AA27" s="518">
        <f t="shared" si="21"/>
        <v>3463.9166666666665</v>
      </c>
      <c r="AB27" s="518">
        <f t="shared" si="22"/>
        <v>6523.384</v>
      </c>
      <c r="AC27" s="518">
        <f t="shared" si="23"/>
        <v>5817.6980000000003</v>
      </c>
      <c r="AD27" s="518">
        <f t="shared" si="24"/>
        <v>5048.5166666666664</v>
      </c>
      <c r="AE27" s="518">
        <f t="shared" si="25"/>
        <v>3510</v>
      </c>
      <c r="AF27" s="518">
        <f t="shared" si="26"/>
        <v>3522.25</v>
      </c>
      <c r="AG27" s="518">
        <f t="shared" si="27"/>
        <v>2181.6666666666665</v>
      </c>
      <c r="AH27" s="518">
        <f t="shared" ref="AH27:AH85" si="28">$D$26/60</f>
        <v>4224.666666666667</v>
      </c>
      <c r="AI27" s="518">
        <f>$D$27/60</f>
        <v>3186.8166666666666</v>
      </c>
      <c r="AJ27" s="518"/>
      <c r="AK27" s="518"/>
      <c r="AL27" s="518"/>
      <c r="AM27" s="518"/>
      <c r="AN27" s="518"/>
      <c r="AO27" s="518"/>
      <c r="AP27" s="518"/>
      <c r="AQ27" s="518"/>
      <c r="AR27" s="518"/>
      <c r="AS27" s="518"/>
      <c r="AT27" s="518"/>
      <c r="AU27" s="518"/>
      <c r="AV27" s="518"/>
      <c r="AW27" s="518"/>
      <c r="AX27" s="518"/>
      <c r="AY27" s="518"/>
      <c r="AZ27" s="518"/>
      <c r="BA27" s="518"/>
      <c r="BB27" s="518"/>
      <c r="BC27" s="518"/>
      <c r="BD27" s="518"/>
      <c r="BE27" s="518"/>
      <c r="BF27" s="518"/>
      <c r="BG27" s="518"/>
      <c r="BH27" s="518"/>
      <c r="BI27" s="518"/>
      <c r="BJ27" s="518"/>
      <c r="BK27" s="518"/>
      <c r="BL27" s="518"/>
      <c r="BM27" s="518"/>
      <c r="BN27" s="518">
        <f t="shared" si="4"/>
        <v>71670.618833333327</v>
      </c>
    </row>
    <row r="28" spans="1:66" s="585" customFormat="1" ht="12.75" customHeight="1">
      <c r="A28" s="308" t="s">
        <v>59</v>
      </c>
      <c r="B28" s="308">
        <f t="shared" si="18"/>
        <v>2017</v>
      </c>
      <c r="C28" s="308" t="s">
        <v>47</v>
      </c>
      <c r="D28" s="518">
        <f>117000-6500</f>
        <v>110500</v>
      </c>
      <c r="E28" s="518"/>
      <c r="F28" s="518">
        <f t="shared" si="5"/>
        <v>4410737.13</v>
      </c>
      <c r="G28" s="518"/>
      <c r="H28" s="518">
        <f>70307.32+108.34+5524.94-100-108.34-108.34</f>
        <v>75623.920000000013</v>
      </c>
      <c r="I28" s="518">
        <f>SUM(H$5:H28)</f>
        <v>846858.48000000021</v>
      </c>
      <c r="J28" s="518"/>
      <c r="K28" s="518">
        <f t="shared" si="2"/>
        <v>3563878.6499999994</v>
      </c>
      <c r="M28" s="518">
        <f t="shared" si="3"/>
        <v>108.33333333333333</v>
      </c>
      <c r="N28" s="518">
        <f t="shared" si="6"/>
        <v>2009.1666666666667</v>
      </c>
      <c r="O28" s="518">
        <f t="shared" si="7"/>
        <v>1443.8333333333333</v>
      </c>
      <c r="P28" s="518">
        <f t="shared" si="8"/>
        <v>3036.9666666666667</v>
      </c>
      <c r="Q28" s="518">
        <f t="shared" si="9"/>
        <v>3750.2549999999997</v>
      </c>
      <c r="R28" s="518">
        <f t="shared" si="11"/>
        <v>3412.3333333333335</v>
      </c>
      <c r="S28" s="518">
        <f t="shared" si="12"/>
        <v>2922</v>
      </c>
      <c r="T28" s="518">
        <f t="shared" si="13"/>
        <v>3612.2318333333333</v>
      </c>
      <c r="U28" s="518">
        <f t="shared" si="14"/>
        <v>1915</v>
      </c>
      <c r="V28" s="518">
        <f t="shared" si="15"/>
        <v>3087.5</v>
      </c>
      <c r="W28" s="518">
        <f t="shared" si="16"/>
        <v>2156.4166666666665</v>
      </c>
      <c r="X28" s="518">
        <f t="shared" si="17"/>
        <v>1704.25</v>
      </c>
      <c r="Y28" s="518">
        <f t="shared" si="19"/>
        <v>1701.4166666666667</v>
      </c>
      <c r="Z28" s="518">
        <f t="shared" si="20"/>
        <v>3332</v>
      </c>
      <c r="AA28" s="518">
        <f t="shared" si="21"/>
        <v>3463.9166666666665</v>
      </c>
      <c r="AB28" s="518">
        <f t="shared" si="22"/>
        <v>6523.384</v>
      </c>
      <c r="AC28" s="518">
        <f t="shared" si="23"/>
        <v>5817.6980000000003</v>
      </c>
      <c r="AD28" s="518">
        <f t="shared" si="24"/>
        <v>5048.5166666666664</v>
      </c>
      <c r="AE28" s="518">
        <f t="shared" si="25"/>
        <v>3510</v>
      </c>
      <c r="AF28" s="518">
        <f t="shared" si="26"/>
        <v>3522.25</v>
      </c>
      <c r="AG28" s="518">
        <f t="shared" si="27"/>
        <v>2181.6666666666665</v>
      </c>
      <c r="AH28" s="518">
        <f t="shared" si="28"/>
        <v>4224.666666666667</v>
      </c>
      <c r="AI28" s="518">
        <f t="shared" ref="AI28:AI86" si="29">$D$27/60</f>
        <v>3186.8166666666666</v>
      </c>
      <c r="AJ28" s="518">
        <f>$D$28/60</f>
        <v>1841.6666666666667</v>
      </c>
      <c r="AK28" s="518"/>
      <c r="AL28" s="518"/>
      <c r="AM28" s="518"/>
      <c r="AN28" s="518"/>
      <c r="AO28" s="518"/>
      <c r="AP28" s="518"/>
      <c r="AQ28" s="518"/>
      <c r="AR28" s="518"/>
      <c r="AS28" s="518"/>
      <c r="AT28" s="518"/>
      <c r="AU28" s="518"/>
      <c r="AV28" s="518"/>
      <c r="AW28" s="518"/>
      <c r="AX28" s="518"/>
      <c r="AY28" s="518"/>
      <c r="AZ28" s="518"/>
      <c r="BA28" s="518"/>
      <c r="BB28" s="518"/>
      <c r="BC28" s="518"/>
      <c r="BD28" s="518"/>
      <c r="BE28" s="518"/>
      <c r="BF28" s="518"/>
      <c r="BG28" s="518"/>
      <c r="BH28" s="518"/>
      <c r="BI28" s="518"/>
      <c r="BJ28" s="518"/>
      <c r="BK28" s="518"/>
      <c r="BL28" s="518"/>
      <c r="BM28" s="518"/>
      <c r="BN28" s="518">
        <f t="shared" si="4"/>
        <v>73512.285499999998</v>
      </c>
    </row>
    <row r="29" spans="1:66" s="585" customFormat="1" ht="12.75" customHeight="1">
      <c r="A29" s="308" t="s">
        <v>46</v>
      </c>
      <c r="B29" s="308">
        <f t="shared" si="18"/>
        <v>2017</v>
      </c>
      <c r="C29" s="308" t="s">
        <v>47</v>
      </c>
      <c r="D29" s="518">
        <v>160276.75</v>
      </c>
      <c r="E29" s="583"/>
      <c r="F29" s="518">
        <f t="shared" si="5"/>
        <v>4571013.88</v>
      </c>
      <c r="G29" s="518"/>
      <c r="H29" s="518">
        <f>98044.75-100-108.34-108.34</f>
        <v>97728.07</v>
      </c>
      <c r="I29" s="518">
        <f>SUM(H$5:H29)</f>
        <v>944586.55000000028</v>
      </c>
      <c r="J29" s="518"/>
      <c r="K29" s="518">
        <f t="shared" si="2"/>
        <v>3626427.3299999996</v>
      </c>
      <c r="M29" s="518">
        <f t="shared" si="3"/>
        <v>108.33333333333333</v>
      </c>
      <c r="N29" s="518">
        <f t="shared" si="6"/>
        <v>2009.1666666666667</v>
      </c>
      <c r="O29" s="518">
        <f t="shared" si="7"/>
        <v>1443.8333333333333</v>
      </c>
      <c r="P29" s="518">
        <f t="shared" si="8"/>
        <v>3036.9666666666667</v>
      </c>
      <c r="Q29" s="518">
        <f t="shared" si="9"/>
        <v>3750.2549999999997</v>
      </c>
      <c r="R29" s="518">
        <f t="shared" si="11"/>
        <v>3412.3333333333335</v>
      </c>
      <c r="S29" s="518">
        <f t="shared" si="12"/>
        <v>2922</v>
      </c>
      <c r="T29" s="518">
        <f t="shared" si="13"/>
        <v>3612.2318333333333</v>
      </c>
      <c r="U29" s="518">
        <f t="shared" si="14"/>
        <v>1915</v>
      </c>
      <c r="V29" s="518">
        <f t="shared" si="15"/>
        <v>3087.5</v>
      </c>
      <c r="W29" s="518">
        <f t="shared" si="16"/>
        <v>2156.4166666666665</v>
      </c>
      <c r="X29" s="518">
        <f t="shared" si="17"/>
        <v>1704.25</v>
      </c>
      <c r="Y29" s="518">
        <f t="shared" si="19"/>
        <v>1701.4166666666667</v>
      </c>
      <c r="Z29" s="518">
        <f t="shared" si="20"/>
        <v>3332</v>
      </c>
      <c r="AA29" s="518">
        <f t="shared" si="21"/>
        <v>3463.9166666666665</v>
      </c>
      <c r="AB29" s="518">
        <f t="shared" si="22"/>
        <v>6523.384</v>
      </c>
      <c r="AC29" s="518">
        <f t="shared" si="23"/>
        <v>5817.6980000000003</v>
      </c>
      <c r="AD29" s="518">
        <f t="shared" si="24"/>
        <v>5048.5166666666664</v>
      </c>
      <c r="AE29" s="518">
        <f t="shared" si="25"/>
        <v>3510</v>
      </c>
      <c r="AF29" s="518">
        <f t="shared" si="26"/>
        <v>3522.25</v>
      </c>
      <c r="AG29" s="518">
        <f t="shared" si="27"/>
        <v>2181.6666666666665</v>
      </c>
      <c r="AH29" s="518">
        <f t="shared" si="28"/>
        <v>4224.666666666667</v>
      </c>
      <c r="AI29" s="518">
        <f t="shared" si="29"/>
        <v>3186.8166666666666</v>
      </c>
      <c r="AJ29" s="518">
        <f t="shared" ref="AJ29:AJ87" si="30">$D$28/60</f>
        <v>1841.6666666666667</v>
      </c>
      <c r="AK29" s="518">
        <f>$D$29/60</f>
        <v>2671.2791666666667</v>
      </c>
      <c r="AL29" s="518"/>
      <c r="AM29" s="518"/>
      <c r="AN29" s="518"/>
      <c r="AO29" s="518"/>
      <c r="AP29" s="518"/>
      <c r="AQ29" s="518"/>
      <c r="AR29" s="518"/>
      <c r="AS29" s="518"/>
      <c r="AT29" s="518"/>
      <c r="AU29" s="518"/>
      <c r="AV29" s="518"/>
      <c r="AW29" s="518"/>
      <c r="AX29" s="518"/>
      <c r="AY29" s="518"/>
      <c r="AZ29" s="518"/>
      <c r="BA29" s="518"/>
      <c r="BB29" s="518"/>
      <c r="BC29" s="518"/>
      <c r="BD29" s="518"/>
      <c r="BE29" s="518"/>
      <c r="BF29" s="518"/>
      <c r="BG29" s="518"/>
      <c r="BH29" s="518"/>
      <c r="BI29" s="518"/>
      <c r="BJ29" s="518"/>
      <c r="BK29" s="518"/>
      <c r="BL29" s="518"/>
      <c r="BM29" s="518"/>
      <c r="BN29" s="518">
        <f t="shared" si="4"/>
        <v>76183.564666666658</v>
      </c>
    </row>
    <row r="30" spans="1:66" s="585" customFormat="1" ht="12.75" customHeight="1">
      <c r="A30" s="308" t="s">
        <v>48</v>
      </c>
      <c r="B30" s="308">
        <f t="shared" si="18"/>
        <v>2017</v>
      </c>
      <c r="C30" s="308" t="s">
        <v>47</v>
      </c>
      <c r="D30" s="518">
        <v>182000</v>
      </c>
      <c r="E30" s="583"/>
      <c r="F30" s="518">
        <f t="shared" si="5"/>
        <v>4753013.88</v>
      </c>
      <c r="G30" s="518"/>
      <c r="H30" s="518">
        <f>83290.83-108.34</f>
        <v>83182.490000000005</v>
      </c>
      <c r="I30" s="518">
        <f>SUM(H$5:H30)</f>
        <v>1027769.0400000003</v>
      </c>
      <c r="J30" s="518"/>
      <c r="K30" s="518">
        <f t="shared" si="2"/>
        <v>3725244.84</v>
      </c>
      <c r="M30" s="518">
        <f t="shared" si="3"/>
        <v>108.33333333333333</v>
      </c>
      <c r="N30" s="518">
        <f t="shared" si="6"/>
        <v>2009.1666666666667</v>
      </c>
      <c r="O30" s="518">
        <f t="shared" si="7"/>
        <v>1443.8333333333333</v>
      </c>
      <c r="P30" s="518">
        <f t="shared" si="8"/>
        <v>3036.9666666666667</v>
      </c>
      <c r="Q30" s="518">
        <f t="shared" si="9"/>
        <v>3750.2549999999997</v>
      </c>
      <c r="R30" s="518">
        <f t="shared" si="11"/>
        <v>3412.3333333333335</v>
      </c>
      <c r="S30" s="518">
        <f t="shared" si="12"/>
        <v>2922</v>
      </c>
      <c r="T30" s="518">
        <f t="shared" si="13"/>
        <v>3612.2318333333333</v>
      </c>
      <c r="U30" s="518">
        <f t="shared" si="14"/>
        <v>1915</v>
      </c>
      <c r="V30" s="518">
        <f t="shared" si="15"/>
        <v>3087.5</v>
      </c>
      <c r="W30" s="518">
        <f t="shared" si="16"/>
        <v>2156.4166666666665</v>
      </c>
      <c r="X30" s="518">
        <f t="shared" si="17"/>
        <v>1704.25</v>
      </c>
      <c r="Y30" s="518">
        <f t="shared" si="19"/>
        <v>1701.4166666666667</v>
      </c>
      <c r="Z30" s="518">
        <f t="shared" si="20"/>
        <v>3332</v>
      </c>
      <c r="AA30" s="518">
        <f t="shared" si="21"/>
        <v>3463.9166666666665</v>
      </c>
      <c r="AB30" s="518">
        <f t="shared" si="22"/>
        <v>6523.384</v>
      </c>
      <c r="AC30" s="518">
        <f t="shared" si="23"/>
        <v>5817.6980000000003</v>
      </c>
      <c r="AD30" s="518">
        <f t="shared" si="24"/>
        <v>5048.5166666666664</v>
      </c>
      <c r="AE30" s="518">
        <f t="shared" si="25"/>
        <v>3510</v>
      </c>
      <c r="AF30" s="518">
        <f t="shared" si="26"/>
        <v>3522.25</v>
      </c>
      <c r="AG30" s="518">
        <f t="shared" si="27"/>
        <v>2181.6666666666665</v>
      </c>
      <c r="AH30" s="518">
        <f t="shared" si="28"/>
        <v>4224.666666666667</v>
      </c>
      <c r="AI30" s="518">
        <f t="shared" si="29"/>
        <v>3186.8166666666666</v>
      </c>
      <c r="AJ30" s="518">
        <f t="shared" si="30"/>
        <v>1841.6666666666667</v>
      </c>
      <c r="AK30" s="518">
        <f t="shared" ref="AK30:AK88" si="31">$D$29/60</f>
        <v>2671.2791666666667</v>
      </c>
      <c r="AL30" s="518">
        <f>$D$30/60</f>
        <v>3033.3333333333335</v>
      </c>
      <c r="AM30" s="518"/>
      <c r="AN30" s="518"/>
      <c r="AO30" s="518"/>
      <c r="AP30" s="518"/>
      <c r="AQ30" s="518"/>
      <c r="AR30" s="518"/>
      <c r="AS30" s="518"/>
      <c r="AT30" s="518"/>
      <c r="AU30" s="518"/>
      <c r="AV30" s="518"/>
      <c r="AW30" s="518"/>
      <c r="AX30" s="518"/>
      <c r="AY30" s="518"/>
      <c r="AZ30" s="518"/>
      <c r="BA30" s="518"/>
      <c r="BB30" s="518"/>
      <c r="BC30" s="518"/>
      <c r="BD30" s="518"/>
      <c r="BE30" s="518"/>
      <c r="BF30" s="518"/>
      <c r="BG30" s="518"/>
      <c r="BH30" s="518"/>
      <c r="BI30" s="518"/>
      <c r="BJ30" s="518"/>
      <c r="BK30" s="518"/>
      <c r="BL30" s="518"/>
      <c r="BM30" s="518"/>
      <c r="BN30" s="518">
        <f t="shared" si="4"/>
        <v>79216.897999999986</v>
      </c>
    </row>
    <row r="31" spans="1:66" s="585" customFormat="1" ht="12.75" customHeight="1">
      <c r="A31" s="308" t="s">
        <v>50</v>
      </c>
      <c r="B31" s="308">
        <f t="shared" si="18"/>
        <v>2017</v>
      </c>
      <c r="C31" s="308" t="s">
        <v>47</v>
      </c>
      <c r="D31" s="518">
        <v>141850</v>
      </c>
      <c r="E31" s="583"/>
      <c r="F31" s="518">
        <f t="shared" si="5"/>
        <v>4894863.88</v>
      </c>
      <c r="G31" s="518"/>
      <c r="H31" s="518">
        <f>90907.61-108.34</f>
        <v>90799.27</v>
      </c>
      <c r="I31" s="518">
        <f>SUM(H$5:H31)</f>
        <v>1118568.3100000003</v>
      </c>
      <c r="J31" s="518"/>
      <c r="K31" s="518">
        <f t="shared" si="2"/>
        <v>3776295.5699999994</v>
      </c>
      <c r="M31" s="518">
        <f t="shared" si="3"/>
        <v>108.33333333333333</v>
      </c>
      <c r="N31" s="518">
        <f t="shared" si="6"/>
        <v>2009.1666666666667</v>
      </c>
      <c r="O31" s="518">
        <f t="shared" si="7"/>
        <v>1443.8333333333333</v>
      </c>
      <c r="P31" s="518">
        <f t="shared" si="8"/>
        <v>3036.9666666666667</v>
      </c>
      <c r="Q31" s="518">
        <f t="shared" si="9"/>
        <v>3750.2549999999997</v>
      </c>
      <c r="R31" s="518">
        <f t="shared" si="11"/>
        <v>3412.3333333333335</v>
      </c>
      <c r="S31" s="518">
        <f t="shared" si="12"/>
        <v>2922</v>
      </c>
      <c r="T31" s="518">
        <f t="shared" si="13"/>
        <v>3612.2318333333333</v>
      </c>
      <c r="U31" s="518">
        <f t="shared" si="14"/>
        <v>1915</v>
      </c>
      <c r="V31" s="518">
        <f t="shared" si="15"/>
        <v>3087.5</v>
      </c>
      <c r="W31" s="518">
        <f t="shared" si="16"/>
        <v>2156.4166666666665</v>
      </c>
      <c r="X31" s="518">
        <f t="shared" si="17"/>
        <v>1704.25</v>
      </c>
      <c r="Y31" s="518">
        <f t="shared" si="19"/>
        <v>1701.4166666666667</v>
      </c>
      <c r="Z31" s="518">
        <f t="shared" si="20"/>
        <v>3332</v>
      </c>
      <c r="AA31" s="518">
        <f t="shared" si="21"/>
        <v>3463.9166666666665</v>
      </c>
      <c r="AB31" s="518">
        <f t="shared" si="22"/>
        <v>6523.384</v>
      </c>
      <c r="AC31" s="518">
        <f t="shared" si="23"/>
        <v>5817.6980000000003</v>
      </c>
      <c r="AD31" s="518">
        <f t="shared" si="24"/>
        <v>5048.5166666666664</v>
      </c>
      <c r="AE31" s="518">
        <f t="shared" si="25"/>
        <v>3510</v>
      </c>
      <c r="AF31" s="518">
        <f t="shared" si="26"/>
        <v>3522.25</v>
      </c>
      <c r="AG31" s="518">
        <f t="shared" si="27"/>
        <v>2181.6666666666665</v>
      </c>
      <c r="AH31" s="518">
        <f t="shared" si="28"/>
        <v>4224.666666666667</v>
      </c>
      <c r="AI31" s="518">
        <f t="shared" si="29"/>
        <v>3186.8166666666666</v>
      </c>
      <c r="AJ31" s="518">
        <f t="shared" si="30"/>
        <v>1841.6666666666667</v>
      </c>
      <c r="AK31" s="518">
        <f t="shared" si="31"/>
        <v>2671.2791666666667</v>
      </c>
      <c r="AL31" s="518">
        <f t="shared" ref="AL31:AL89" si="32">$D$30/60</f>
        <v>3033.3333333333335</v>
      </c>
      <c r="AM31" s="518">
        <f>$D$31/60</f>
        <v>2364.1666666666665</v>
      </c>
      <c r="AN31" s="518"/>
      <c r="AO31" s="518"/>
      <c r="AP31" s="518"/>
      <c r="AQ31" s="518"/>
      <c r="AR31" s="518"/>
      <c r="AS31" s="518"/>
      <c r="AT31" s="518"/>
      <c r="AU31" s="518"/>
      <c r="AV31" s="518"/>
      <c r="AW31" s="518"/>
      <c r="AX31" s="518"/>
      <c r="AY31" s="518"/>
      <c r="AZ31" s="518"/>
      <c r="BA31" s="518"/>
      <c r="BB31" s="518"/>
      <c r="BC31" s="518"/>
      <c r="BD31" s="518"/>
      <c r="BE31" s="518"/>
      <c r="BF31" s="518"/>
      <c r="BG31" s="518"/>
      <c r="BH31" s="518"/>
      <c r="BI31" s="518"/>
      <c r="BJ31" s="518"/>
      <c r="BK31" s="518"/>
      <c r="BL31" s="518"/>
      <c r="BM31" s="518"/>
      <c r="BN31" s="518">
        <f t="shared" si="4"/>
        <v>81581.064666666658</v>
      </c>
    </row>
    <row r="32" spans="1:66" s="585" customFormat="1" ht="12.75" customHeight="1">
      <c r="A32" s="308" t="s">
        <v>51</v>
      </c>
      <c r="B32" s="308">
        <f t="shared" si="18"/>
        <v>2017</v>
      </c>
      <c r="C32" s="308" t="s">
        <v>47</v>
      </c>
      <c r="D32" s="518">
        <f>231350-6500-6500</f>
        <v>218350</v>
      </c>
      <c r="E32" s="583"/>
      <c r="F32" s="518">
        <f t="shared" si="5"/>
        <v>5113213.88</v>
      </c>
      <c r="G32" s="518"/>
      <c r="H32" s="518">
        <f>101327.42-108.34-108.34</f>
        <v>101110.74</v>
      </c>
      <c r="I32" s="518">
        <f>SUM(H$5:H32)</f>
        <v>1219679.0500000003</v>
      </c>
      <c r="J32" s="518"/>
      <c r="K32" s="518">
        <f t="shared" si="2"/>
        <v>3893534.8299999996</v>
      </c>
      <c r="M32" s="518">
        <f t="shared" si="3"/>
        <v>108.33333333333333</v>
      </c>
      <c r="N32" s="518">
        <f t="shared" si="6"/>
        <v>2009.1666666666667</v>
      </c>
      <c r="O32" s="518">
        <f t="shared" si="7"/>
        <v>1443.8333333333333</v>
      </c>
      <c r="P32" s="518">
        <f t="shared" si="8"/>
        <v>3036.9666666666667</v>
      </c>
      <c r="Q32" s="518">
        <f t="shared" si="9"/>
        <v>3750.2549999999997</v>
      </c>
      <c r="R32" s="518">
        <f t="shared" si="11"/>
        <v>3412.3333333333335</v>
      </c>
      <c r="S32" s="518">
        <f t="shared" si="12"/>
        <v>2922</v>
      </c>
      <c r="T32" s="518">
        <f t="shared" si="13"/>
        <v>3612.2318333333333</v>
      </c>
      <c r="U32" s="518">
        <f t="shared" si="14"/>
        <v>1915</v>
      </c>
      <c r="V32" s="518">
        <f t="shared" si="15"/>
        <v>3087.5</v>
      </c>
      <c r="W32" s="518">
        <f t="shared" si="16"/>
        <v>2156.4166666666665</v>
      </c>
      <c r="X32" s="518">
        <f t="shared" si="17"/>
        <v>1704.25</v>
      </c>
      <c r="Y32" s="518">
        <f t="shared" si="19"/>
        <v>1701.4166666666667</v>
      </c>
      <c r="Z32" s="518">
        <f t="shared" si="20"/>
        <v>3332</v>
      </c>
      <c r="AA32" s="518">
        <f t="shared" si="21"/>
        <v>3463.9166666666665</v>
      </c>
      <c r="AB32" s="518">
        <f t="shared" si="22"/>
        <v>6523.384</v>
      </c>
      <c r="AC32" s="518">
        <f t="shared" si="23"/>
        <v>5817.6980000000003</v>
      </c>
      <c r="AD32" s="518">
        <f t="shared" si="24"/>
        <v>5048.5166666666664</v>
      </c>
      <c r="AE32" s="518">
        <f t="shared" si="25"/>
        <v>3510</v>
      </c>
      <c r="AF32" s="518">
        <f t="shared" si="26"/>
        <v>3522.25</v>
      </c>
      <c r="AG32" s="518">
        <f t="shared" si="27"/>
        <v>2181.6666666666665</v>
      </c>
      <c r="AH32" s="518">
        <f t="shared" si="28"/>
        <v>4224.666666666667</v>
      </c>
      <c r="AI32" s="518">
        <f t="shared" si="29"/>
        <v>3186.8166666666666</v>
      </c>
      <c r="AJ32" s="518">
        <f t="shared" si="30"/>
        <v>1841.6666666666667</v>
      </c>
      <c r="AK32" s="518">
        <f t="shared" si="31"/>
        <v>2671.2791666666667</v>
      </c>
      <c r="AL32" s="518">
        <f t="shared" si="32"/>
        <v>3033.3333333333335</v>
      </c>
      <c r="AM32" s="518">
        <f t="shared" ref="AM32:AM90" si="33">$D$31/60</f>
        <v>2364.1666666666665</v>
      </c>
      <c r="AN32" s="518">
        <f>$D$32/60</f>
        <v>3639.1666666666665</v>
      </c>
      <c r="AO32" s="518"/>
      <c r="AP32" s="518"/>
      <c r="AQ32" s="518"/>
      <c r="AR32" s="518"/>
      <c r="AS32" s="518"/>
      <c r="AT32" s="518"/>
      <c r="AU32" s="518"/>
      <c r="AV32" s="518"/>
      <c r="AW32" s="518"/>
      <c r="AX32" s="518"/>
      <c r="AY32" s="518"/>
      <c r="AZ32" s="518"/>
      <c r="BA32" s="518"/>
      <c r="BB32" s="518"/>
      <c r="BC32" s="518"/>
      <c r="BD32" s="518"/>
      <c r="BE32" s="518"/>
      <c r="BF32" s="518"/>
      <c r="BG32" s="518"/>
      <c r="BH32" s="518"/>
      <c r="BI32" s="518"/>
      <c r="BJ32" s="518"/>
      <c r="BK32" s="518"/>
      <c r="BL32" s="518"/>
      <c r="BM32" s="518"/>
      <c r="BN32" s="518">
        <f t="shared" si="4"/>
        <v>85220.23133333333</v>
      </c>
    </row>
    <row r="33" spans="1:66" s="585" customFormat="1" ht="12.75" customHeight="1">
      <c r="A33" s="308" t="s">
        <v>52</v>
      </c>
      <c r="B33" s="308">
        <f t="shared" si="18"/>
        <v>2017</v>
      </c>
      <c r="C33" s="308" t="s">
        <v>47</v>
      </c>
      <c r="D33" s="518">
        <v>158110</v>
      </c>
      <c r="E33" s="518"/>
      <c r="F33" s="518">
        <f t="shared" si="5"/>
        <v>5271323.88</v>
      </c>
      <c r="G33" s="518"/>
      <c r="H33" s="518">
        <f>86769.77-108.34-108.34-108.34</f>
        <v>86444.750000000015</v>
      </c>
      <c r="I33" s="518">
        <f>SUM(H$5:H33)</f>
        <v>1306123.8000000003</v>
      </c>
      <c r="J33" s="518"/>
      <c r="K33" s="518">
        <f t="shared" si="2"/>
        <v>3965200.0799999996</v>
      </c>
      <c r="M33" s="518">
        <f t="shared" si="3"/>
        <v>108.33333333333333</v>
      </c>
      <c r="N33" s="518">
        <f t="shared" si="6"/>
        <v>2009.1666666666667</v>
      </c>
      <c r="O33" s="518">
        <f t="shared" si="7"/>
        <v>1443.8333333333333</v>
      </c>
      <c r="P33" s="518">
        <f t="shared" si="8"/>
        <v>3036.9666666666667</v>
      </c>
      <c r="Q33" s="518">
        <f t="shared" si="9"/>
        <v>3750.2549999999997</v>
      </c>
      <c r="R33" s="518">
        <f t="shared" si="11"/>
        <v>3412.3333333333335</v>
      </c>
      <c r="S33" s="518">
        <f t="shared" si="12"/>
        <v>2922</v>
      </c>
      <c r="T33" s="518">
        <f t="shared" si="13"/>
        <v>3612.2318333333333</v>
      </c>
      <c r="U33" s="518">
        <f t="shared" si="14"/>
        <v>1915</v>
      </c>
      <c r="V33" s="518">
        <f t="shared" si="15"/>
        <v>3087.5</v>
      </c>
      <c r="W33" s="518">
        <f t="shared" si="16"/>
        <v>2156.4166666666665</v>
      </c>
      <c r="X33" s="518">
        <f t="shared" si="17"/>
        <v>1704.25</v>
      </c>
      <c r="Y33" s="518">
        <f t="shared" si="19"/>
        <v>1701.4166666666667</v>
      </c>
      <c r="Z33" s="518">
        <f t="shared" si="20"/>
        <v>3332</v>
      </c>
      <c r="AA33" s="518">
        <f t="shared" si="21"/>
        <v>3463.9166666666665</v>
      </c>
      <c r="AB33" s="518">
        <f t="shared" si="22"/>
        <v>6523.384</v>
      </c>
      <c r="AC33" s="518">
        <f t="shared" si="23"/>
        <v>5817.6980000000003</v>
      </c>
      <c r="AD33" s="518">
        <f t="shared" si="24"/>
        <v>5048.5166666666664</v>
      </c>
      <c r="AE33" s="518">
        <f t="shared" si="25"/>
        <v>3510</v>
      </c>
      <c r="AF33" s="518">
        <f t="shared" si="26"/>
        <v>3522.25</v>
      </c>
      <c r="AG33" s="518">
        <f t="shared" si="27"/>
        <v>2181.6666666666665</v>
      </c>
      <c r="AH33" s="518">
        <f t="shared" si="28"/>
        <v>4224.666666666667</v>
      </c>
      <c r="AI33" s="518">
        <f t="shared" si="29"/>
        <v>3186.8166666666666</v>
      </c>
      <c r="AJ33" s="518">
        <f t="shared" si="30"/>
        <v>1841.6666666666667</v>
      </c>
      <c r="AK33" s="518">
        <f t="shared" si="31"/>
        <v>2671.2791666666667</v>
      </c>
      <c r="AL33" s="518">
        <f t="shared" si="32"/>
        <v>3033.3333333333335</v>
      </c>
      <c r="AM33" s="518">
        <f t="shared" si="33"/>
        <v>2364.1666666666665</v>
      </c>
      <c r="AN33" s="518">
        <f t="shared" ref="AN33:AN91" si="34">$D$32/60</f>
        <v>3639.1666666666665</v>
      </c>
      <c r="AO33" s="518">
        <f>$D$33/60</f>
        <v>2635.1666666666665</v>
      </c>
      <c r="AP33" s="518"/>
      <c r="AQ33" s="518"/>
      <c r="AR33" s="518"/>
      <c r="AS33" s="518"/>
      <c r="AT33" s="518"/>
      <c r="AU33" s="518"/>
      <c r="AV33" s="518"/>
      <c r="AW33" s="518"/>
      <c r="AX33" s="518"/>
      <c r="AY33" s="518"/>
      <c r="AZ33" s="518"/>
      <c r="BA33" s="518"/>
      <c r="BB33" s="518"/>
      <c r="BC33" s="518"/>
      <c r="BD33" s="518"/>
      <c r="BE33" s="518"/>
      <c r="BF33" s="518"/>
      <c r="BG33" s="518"/>
      <c r="BH33" s="518"/>
      <c r="BI33" s="518"/>
      <c r="BJ33" s="518"/>
      <c r="BK33" s="518"/>
      <c r="BL33" s="518"/>
      <c r="BM33" s="518"/>
      <c r="BN33" s="518">
        <f t="shared" si="4"/>
        <v>87855.398000000001</v>
      </c>
    </row>
    <row r="34" spans="1:66" s="585" customFormat="1" ht="12.75" customHeight="1">
      <c r="A34" s="308" t="s">
        <v>53</v>
      </c>
      <c r="B34" s="308">
        <f t="shared" si="18"/>
        <v>2018</v>
      </c>
      <c r="C34" s="308" t="s">
        <v>47</v>
      </c>
      <c r="D34" s="518">
        <v>296656.49</v>
      </c>
      <c r="E34" s="626"/>
      <c r="F34" s="518">
        <f t="shared" si="5"/>
        <v>5567980.3700000001</v>
      </c>
      <c r="G34" s="518"/>
      <c r="H34" s="518">
        <f>94685.2-108.34-108.34</f>
        <v>94468.52</v>
      </c>
      <c r="I34" s="518">
        <f>SUM(H$5:H34)</f>
        <v>1400592.3200000003</v>
      </c>
      <c r="J34" s="518"/>
      <c r="K34" s="518">
        <f t="shared" si="2"/>
        <v>4167388.05</v>
      </c>
      <c r="M34" s="518">
        <f t="shared" si="3"/>
        <v>108.33333333333333</v>
      </c>
      <c r="N34" s="518">
        <f t="shared" si="6"/>
        <v>2009.1666666666667</v>
      </c>
      <c r="O34" s="518">
        <f t="shared" si="7"/>
        <v>1443.8333333333333</v>
      </c>
      <c r="P34" s="518">
        <f t="shared" si="8"/>
        <v>3036.9666666666667</v>
      </c>
      <c r="Q34" s="518">
        <f t="shared" si="9"/>
        <v>3750.2549999999997</v>
      </c>
      <c r="R34" s="518">
        <f t="shared" si="11"/>
        <v>3412.3333333333335</v>
      </c>
      <c r="S34" s="518">
        <f t="shared" si="12"/>
        <v>2922</v>
      </c>
      <c r="T34" s="518">
        <f t="shared" si="13"/>
        <v>3612.2318333333333</v>
      </c>
      <c r="U34" s="518">
        <f t="shared" si="14"/>
        <v>1915</v>
      </c>
      <c r="V34" s="518">
        <f t="shared" si="15"/>
        <v>3087.5</v>
      </c>
      <c r="W34" s="518">
        <f t="shared" si="16"/>
        <v>2156.4166666666665</v>
      </c>
      <c r="X34" s="518">
        <f t="shared" si="17"/>
        <v>1704.25</v>
      </c>
      <c r="Y34" s="518">
        <f t="shared" si="19"/>
        <v>1701.4166666666667</v>
      </c>
      <c r="Z34" s="518">
        <f t="shared" si="20"/>
        <v>3332</v>
      </c>
      <c r="AA34" s="518">
        <f t="shared" si="21"/>
        <v>3463.9166666666665</v>
      </c>
      <c r="AB34" s="518">
        <f t="shared" si="22"/>
        <v>6523.384</v>
      </c>
      <c r="AC34" s="518">
        <f t="shared" si="23"/>
        <v>5817.6980000000003</v>
      </c>
      <c r="AD34" s="518">
        <f t="shared" si="24"/>
        <v>5048.5166666666664</v>
      </c>
      <c r="AE34" s="518">
        <f t="shared" si="25"/>
        <v>3510</v>
      </c>
      <c r="AF34" s="518">
        <f t="shared" si="26"/>
        <v>3522.25</v>
      </c>
      <c r="AG34" s="518">
        <f t="shared" si="27"/>
        <v>2181.6666666666665</v>
      </c>
      <c r="AH34" s="518">
        <f t="shared" si="28"/>
        <v>4224.666666666667</v>
      </c>
      <c r="AI34" s="518">
        <f t="shared" si="29"/>
        <v>3186.8166666666666</v>
      </c>
      <c r="AJ34" s="518">
        <f t="shared" si="30"/>
        <v>1841.6666666666667</v>
      </c>
      <c r="AK34" s="518">
        <f t="shared" si="31"/>
        <v>2671.2791666666667</v>
      </c>
      <c r="AL34" s="518">
        <f t="shared" si="32"/>
        <v>3033.3333333333335</v>
      </c>
      <c r="AM34" s="518">
        <f t="shared" si="33"/>
        <v>2364.1666666666665</v>
      </c>
      <c r="AN34" s="518">
        <f t="shared" si="34"/>
        <v>3639.1666666666665</v>
      </c>
      <c r="AO34" s="518">
        <f t="shared" ref="AO34:AO92" si="35">$D$33/60</f>
        <v>2635.1666666666665</v>
      </c>
      <c r="AP34" s="518">
        <f>$D$34/60</f>
        <v>4944.2748333333329</v>
      </c>
      <c r="AQ34" s="518"/>
      <c r="AR34" s="518"/>
      <c r="AS34" s="518"/>
      <c r="AT34" s="518"/>
      <c r="AU34" s="518"/>
      <c r="AV34" s="518"/>
      <c r="AW34" s="518"/>
      <c r="AX34" s="518"/>
      <c r="AY34" s="518"/>
      <c r="AZ34" s="518"/>
      <c r="BA34" s="518"/>
      <c r="BB34" s="518"/>
      <c r="BC34" s="518"/>
      <c r="BD34" s="518"/>
      <c r="BE34" s="518"/>
      <c r="BF34" s="518"/>
      <c r="BG34" s="518"/>
      <c r="BH34" s="518"/>
      <c r="BI34" s="518"/>
      <c r="BJ34" s="518"/>
      <c r="BK34" s="518"/>
      <c r="BL34" s="518"/>
      <c r="BM34" s="518"/>
      <c r="BN34" s="518">
        <f t="shared" si="4"/>
        <v>92799.67283333333</v>
      </c>
    </row>
    <row r="35" spans="1:66" s="585" customFormat="1" ht="12.75" customHeight="1">
      <c r="A35" s="308" t="s">
        <v>54</v>
      </c>
      <c r="B35" s="308">
        <f t="shared" si="18"/>
        <v>2018</v>
      </c>
      <c r="C35" s="308" t="s">
        <v>47</v>
      </c>
      <c r="D35" s="518">
        <v>181300</v>
      </c>
      <c r="E35" s="626"/>
      <c r="F35" s="518">
        <f t="shared" si="5"/>
        <v>5749280.3700000001</v>
      </c>
      <c r="G35" s="518"/>
      <c r="H35" s="518">
        <f>102324.04-108.34-108.34</f>
        <v>102107.36</v>
      </c>
      <c r="I35" s="518">
        <f>SUM(H$5:H35)</f>
        <v>1502699.6800000004</v>
      </c>
      <c r="J35" s="518"/>
      <c r="K35" s="518">
        <f t="shared" si="2"/>
        <v>4246580.6899999995</v>
      </c>
      <c r="M35" s="518">
        <f t="shared" si="3"/>
        <v>108.33333333333333</v>
      </c>
      <c r="N35" s="518">
        <f t="shared" si="6"/>
        <v>2009.1666666666667</v>
      </c>
      <c r="O35" s="518">
        <f t="shared" si="7"/>
        <v>1443.8333333333333</v>
      </c>
      <c r="P35" s="518">
        <f t="shared" si="8"/>
        <v>3036.9666666666667</v>
      </c>
      <c r="Q35" s="518">
        <f t="shared" si="9"/>
        <v>3750.2549999999997</v>
      </c>
      <c r="R35" s="518">
        <f t="shared" si="11"/>
        <v>3412.3333333333335</v>
      </c>
      <c r="S35" s="518">
        <f t="shared" si="12"/>
        <v>2922</v>
      </c>
      <c r="T35" s="518">
        <f t="shared" si="13"/>
        <v>3612.2318333333333</v>
      </c>
      <c r="U35" s="518">
        <f t="shared" si="14"/>
        <v>1915</v>
      </c>
      <c r="V35" s="518">
        <f t="shared" si="15"/>
        <v>3087.5</v>
      </c>
      <c r="W35" s="518">
        <f t="shared" si="16"/>
        <v>2156.4166666666665</v>
      </c>
      <c r="X35" s="518">
        <f t="shared" si="17"/>
        <v>1704.25</v>
      </c>
      <c r="Y35" s="518">
        <f t="shared" si="19"/>
        <v>1701.4166666666667</v>
      </c>
      <c r="Z35" s="518">
        <f t="shared" si="20"/>
        <v>3332</v>
      </c>
      <c r="AA35" s="518">
        <f t="shared" si="21"/>
        <v>3463.9166666666665</v>
      </c>
      <c r="AB35" s="518">
        <f t="shared" si="22"/>
        <v>6523.384</v>
      </c>
      <c r="AC35" s="518">
        <f t="shared" si="23"/>
        <v>5817.6980000000003</v>
      </c>
      <c r="AD35" s="518">
        <f t="shared" si="24"/>
        <v>5048.5166666666664</v>
      </c>
      <c r="AE35" s="518">
        <f t="shared" si="25"/>
        <v>3510</v>
      </c>
      <c r="AF35" s="518">
        <f t="shared" si="26"/>
        <v>3522.25</v>
      </c>
      <c r="AG35" s="518">
        <f t="shared" si="27"/>
        <v>2181.6666666666665</v>
      </c>
      <c r="AH35" s="518">
        <f t="shared" si="28"/>
        <v>4224.666666666667</v>
      </c>
      <c r="AI35" s="518">
        <f t="shared" si="29"/>
        <v>3186.8166666666666</v>
      </c>
      <c r="AJ35" s="518">
        <f t="shared" si="30"/>
        <v>1841.6666666666667</v>
      </c>
      <c r="AK35" s="518">
        <f t="shared" si="31"/>
        <v>2671.2791666666667</v>
      </c>
      <c r="AL35" s="518">
        <f t="shared" si="32"/>
        <v>3033.3333333333335</v>
      </c>
      <c r="AM35" s="518">
        <f t="shared" si="33"/>
        <v>2364.1666666666665</v>
      </c>
      <c r="AN35" s="518">
        <f t="shared" si="34"/>
        <v>3639.1666666666665</v>
      </c>
      <c r="AO35" s="518">
        <f t="shared" si="35"/>
        <v>2635.1666666666665</v>
      </c>
      <c r="AP35" s="518">
        <f t="shared" ref="AP35:AP93" si="36">$D$34/60</f>
        <v>4944.2748333333329</v>
      </c>
      <c r="AQ35" s="518">
        <f>$D$35/60</f>
        <v>3021.6666666666665</v>
      </c>
      <c r="AR35" s="518"/>
      <c r="AS35" s="518"/>
      <c r="AT35" s="518"/>
      <c r="AU35" s="518"/>
      <c r="AV35" s="518"/>
      <c r="AW35" s="518"/>
      <c r="AX35" s="518"/>
      <c r="AY35" s="518"/>
      <c r="AZ35" s="518"/>
      <c r="BA35" s="518"/>
      <c r="BB35" s="518"/>
      <c r="BC35" s="518"/>
      <c r="BD35" s="518"/>
      <c r="BE35" s="518"/>
      <c r="BF35" s="518"/>
      <c r="BG35" s="518"/>
      <c r="BH35" s="518"/>
      <c r="BI35" s="518"/>
      <c r="BJ35" s="518"/>
      <c r="BK35" s="518"/>
      <c r="BL35" s="518"/>
      <c r="BM35" s="518"/>
      <c r="BN35" s="518">
        <f t="shared" si="4"/>
        <v>95821.339500000002</v>
      </c>
    </row>
    <row r="36" spans="1:66" s="585" customFormat="1" ht="12.75" customHeight="1">
      <c r="A36" s="308" t="s">
        <v>55</v>
      </c>
      <c r="B36" s="308">
        <f t="shared" si="18"/>
        <v>2018</v>
      </c>
      <c r="C36" s="308" t="s">
        <v>47</v>
      </c>
      <c r="D36" s="518">
        <v>160975</v>
      </c>
      <c r="E36" s="626"/>
      <c r="F36" s="518">
        <f t="shared" si="5"/>
        <v>5910255.3700000001</v>
      </c>
      <c r="G36" s="518"/>
      <c r="H36" s="518">
        <f>106087.68-108.34</f>
        <v>105979.34</v>
      </c>
      <c r="I36" s="518">
        <f>SUM(H$5:H36)</f>
        <v>1608679.0200000005</v>
      </c>
      <c r="J36" s="518"/>
      <c r="K36" s="518">
        <f t="shared" si="2"/>
        <v>4301576.3499999996</v>
      </c>
      <c r="M36" s="518">
        <f t="shared" si="3"/>
        <v>108.33333333333333</v>
      </c>
      <c r="N36" s="518">
        <f t="shared" si="6"/>
        <v>2009.1666666666667</v>
      </c>
      <c r="O36" s="518">
        <f t="shared" si="7"/>
        <v>1443.8333333333333</v>
      </c>
      <c r="P36" s="518">
        <f t="shared" si="8"/>
        <v>3036.9666666666667</v>
      </c>
      <c r="Q36" s="518">
        <f t="shared" si="9"/>
        <v>3750.2549999999997</v>
      </c>
      <c r="R36" s="518">
        <f t="shared" si="11"/>
        <v>3412.3333333333335</v>
      </c>
      <c r="S36" s="518">
        <f t="shared" si="12"/>
        <v>2922</v>
      </c>
      <c r="T36" s="518">
        <f t="shared" si="13"/>
        <v>3612.2318333333333</v>
      </c>
      <c r="U36" s="518">
        <f t="shared" si="14"/>
        <v>1915</v>
      </c>
      <c r="V36" s="518">
        <f t="shared" si="15"/>
        <v>3087.5</v>
      </c>
      <c r="W36" s="518">
        <f t="shared" si="16"/>
        <v>2156.4166666666665</v>
      </c>
      <c r="X36" s="518">
        <f t="shared" si="17"/>
        <v>1704.25</v>
      </c>
      <c r="Y36" s="518">
        <f t="shared" si="19"/>
        <v>1701.4166666666667</v>
      </c>
      <c r="Z36" s="518">
        <f t="shared" si="20"/>
        <v>3332</v>
      </c>
      <c r="AA36" s="518">
        <f t="shared" si="21"/>
        <v>3463.9166666666665</v>
      </c>
      <c r="AB36" s="518">
        <f t="shared" si="22"/>
        <v>6523.384</v>
      </c>
      <c r="AC36" s="518">
        <f t="shared" si="23"/>
        <v>5817.6980000000003</v>
      </c>
      <c r="AD36" s="518">
        <f t="shared" si="24"/>
        <v>5048.5166666666664</v>
      </c>
      <c r="AE36" s="518">
        <f t="shared" si="25"/>
        <v>3510</v>
      </c>
      <c r="AF36" s="518">
        <f t="shared" si="26"/>
        <v>3522.25</v>
      </c>
      <c r="AG36" s="518">
        <f t="shared" si="27"/>
        <v>2181.6666666666665</v>
      </c>
      <c r="AH36" s="518">
        <f t="shared" si="28"/>
        <v>4224.666666666667</v>
      </c>
      <c r="AI36" s="518">
        <f t="shared" si="29"/>
        <v>3186.8166666666666</v>
      </c>
      <c r="AJ36" s="518">
        <f t="shared" si="30"/>
        <v>1841.6666666666667</v>
      </c>
      <c r="AK36" s="518">
        <f t="shared" si="31"/>
        <v>2671.2791666666667</v>
      </c>
      <c r="AL36" s="518">
        <f t="shared" si="32"/>
        <v>3033.3333333333335</v>
      </c>
      <c r="AM36" s="518">
        <f t="shared" si="33"/>
        <v>2364.1666666666665</v>
      </c>
      <c r="AN36" s="518">
        <f t="shared" si="34"/>
        <v>3639.1666666666665</v>
      </c>
      <c r="AO36" s="518">
        <f t="shared" si="35"/>
        <v>2635.1666666666665</v>
      </c>
      <c r="AP36" s="518">
        <f t="shared" si="36"/>
        <v>4944.2748333333329</v>
      </c>
      <c r="AQ36" s="518">
        <f t="shared" ref="AQ36:AQ94" si="37">$D$35/60</f>
        <v>3021.6666666666665</v>
      </c>
      <c r="AR36" s="518">
        <f>$D$36/60</f>
        <v>2682.9166666666665</v>
      </c>
      <c r="AS36" s="518"/>
      <c r="AT36" s="518"/>
      <c r="AU36" s="518"/>
      <c r="AV36" s="518"/>
      <c r="AW36" s="518"/>
      <c r="AX36" s="518"/>
      <c r="AY36" s="518"/>
      <c r="AZ36" s="518"/>
      <c r="BA36" s="518"/>
      <c r="BB36" s="518"/>
      <c r="BC36" s="518"/>
      <c r="BD36" s="518"/>
      <c r="BE36" s="518"/>
      <c r="BF36" s="518"/>
      <c r="BG36" s="518"/>
      <c r="BH36" s="518"/>
      <c r="BI36" s="518"/>
      <c r="BJ36" s="518"/>
      <c r="BK36" s="518"/>
      <c r="BL36" s="518"/>
      <c r="BM36" s="518"/>
      <c r="BN36" s="518">
        <f t="shared" si="4"/>
        <v>98504.256166666673</v>
      </c>
    </row>
    <row r="37" spans="1:66" s="585" customFormat="1" ht="12.75" customHeight="1">
      <c r="A37" s="308" t="s">
        <v>56</v>
      </c>
      <c r="B37" s="308">
        <f t="shared" si="18"/>
        <v>2018</v>
      </c>
      <c r="C37" s="308" t="s">
        <v>47</v>
      </c>
      <c r="D37" s="518">
        <v>192165</v>
      </c>
      <c r="E37" s="626"/>
      <c r="F37" s="518">
        <f t="shared" si="5"/>
        <v>6102420.3700000001</v>
      </c>
      <c r="G37" s="518"/>
      <c r="H37" s="518">
        <f>100745.65-108.34</f>
        <v>100637.31</v>
      </c>
      <c r="I37" s="518">
        <f>SUM(H$5:H37)</f>
        <v>1709316.3300000005</v>
      </c>
      <c r="J37" s="518"/>
      <c r="K37" s="518">
        <f t="shared" si="2"/>
        <v>4393104.0399999991</v>
      </c>
      <c r="M37" s="518">
        <f t="shared" si="3"/>
        <v>108.33333333333333</v>
      </c>
      <c r="N37" s="518">
        <f t="shared" si="6"/>
        <v>2009.1666666666667</v>
      </c>
      <c r="O37" s="518">
        <f t="shared" si="7"/>
        <v>1443.8333333333333</v>
      </c>
      <c r="P37" s="518">
        <f t="shared" si="8"/>
        <v>3036.9666666666667</v>
      </c>
      <c r="Q37" s="518">
        <f t="shared" si="9"/>
        <v>3750.2549999999997</v>
      </c>
      <c r="R37" s="518">
        <f t="shared" si="11"/>
        <v>3412.3333333333335</v>
      </c>
      <c r="S37" s="518">
        <f t="shared" si="12"/>
        <v>2922</v>
      </c>
      <c r="T37" s="518">
        <f t="shared" si="13"/>
        <v>3612.2318333333333</v>
      </c>
      <c r="U37" s="518">
        <f t="shared" si="14"/>
        <v>1915</v>
      </c>
      <c r="V37" s="518">
        <f t="shared" si="15"/>
        <v>3087.5</v>
      </c>
      <c r="W37" s="518">
        <f t="shared" si="16"/>
        <v>2156.4166666666665</v>
      </c>
      <c r="X37" s="518">
        <f t="shared" si="17"/>
        <v>1704.25</v>
      </c>
      <c r="Y37" s="518">
        <f t="shared" si="19"/>
        <v>1701.4166666666667</v>
      </c>
      <c r="Z37" s="518">
        <f t="shared" si="20"/>
        <v>3332</v>
      </c>
      <c r="AA37" s="518">
        <f t="shared" si="21"/>
        <v>3463.9166666666665</v>
      </c>
      <c r="AB37" s="518">
        <f t="shared" si="22"/>
        <v>6523.384</v>
      </c>
      <c r="AC37" s="518">
        <f t="shared" si="23"/>
        <v>5817.6980000000003</v>
      </c>
      <c r="AD37" s="518">
        <f t="shared" si="24"/>
        <v>5048.5166666666664</v>
      </c>
      <c r="AE37" s="518">
        <f t="shared" si="25"/>
        <v>3510</v>
      </c>
      <c r="AF37" s="518">
        <f t="shared" si="26"/>
        <v>3522.25</v>
      </c>
      <c r="AG37" s="518">
        <f t="shared" si="27"/>
        <v>2181.6666666666665</v>
      </c>
      <c r="AH37" s="518">
        <f t="shared" si="28"/>
        <v>4224.666666666667</v>
      </c>
      <c r="AI37" s="518">
        <f t="shared" si="29"/>
        <v>3186.8166666666666</v>
      </c>
      <c r="AJ37" s="518">
        <f t="shared" si="30"/>
        <v>1841.6666666666667</v>
      </c>
      <c r="AK37" s="518">
        <f t="shared" si="31"/>
        <v>2671.2791666666667</v>
      </c>
      <c r="AL37" s="518">
        <f t="shared" si="32"/>
        <v>3033.3333333333335</v>
      </c>
      <c r="AM37" s="518">
        <f t="shared" si="33"/>
        <v>2364.1666666666665</v>
      </c>
      <c r="AN37" s="518">
        <f t="shared" si="34"/>
        <v>3639.1666666666665</v>
      </c>
      <c r="AO37" s="518">
        <f t="shared" si="35"/>
        <v>2635.1666666666665</v>
      </c>
      <c r="AP37" s="518">
        <f t="shared" si="36"/>
        <v>4944.2748333333329</v>
      </c>
      <c r="AQ37" s="518">
        <f t="shared" si="37"/>
        <v>3021.6666666666665</v>
      </c>
      <c r="AR37" s="518">
        <f t="shared" ref="AR37:AR95" si="38">$D$36/60</f>
        <v>2682.9166666666665</v>
      </c>
      <c r="AS37" s="518">
        <f>$D$37/60</f>
        <v>3202.75</v>
      </c>
      <c r="AT37" s="518"/>
      <c r="AU37" s="518"/>
      <c r="AV37" s="518"/>
      <c r="AW37" s="518"/>
      <c r="AX37" s="518"/>
      <c r="AY37" s="518"/>
      <c r="AZ37" s="518"/>
      <c r="BA37" s="518"/>
      <c r="BB37" s="518"/>
      <c r="BC37" s="518"/>
      <c r="BD37" s="518"/>
      <c r="BE37" s="518"/>
      <c r="BF37" s="518"/>
      <c r="BG37" s="518"/>
      <c r="BH37" s="518"/>
      <c r="BI37" s="518"/>
      <c r="BJ37" s="518"/>
      <c r="BK37" s="518"/>
      <c r="BL37" s="518"/>
      <c r="BM37" s="518"/>
      <c r="BN37" s="518">
        <f t="shared" si="4"/>
        <v>101707.00616666667</v>
      </c>
    </row>
    <row r="38" spans="1:66" s="585" customFormat="1" ht="12.75" customHeight="1">
      <c r="A38" s="308" t="s">
        <v>57</v>
      </c>
      <c r="B38" s="308">
        <f t="shared" si="18"/>
        <v>2018</v>
      </c>
      <c r="C38" s="308" t="s">
        <v>47</v>
      </c>
      <c r="D38" s="518">
        <f>170150-6500</f>
        <v>163650</v>
      </c>
      <c r="E38" s="518"/>
      <c r="F38" s="518">
        <f t="shared" si="5"/>
        <v>6266070.3700000001</v>
      </c>
      <c r="G38" s="518"/>
      <c r="H38" s="518">
        <f>108918.85-108.34</f>
        <v>108810.51000000001</v>
      </c>
      <c r="I38" s="518">
        <f>SUM(H$5:H38)</f>
        <v>1818126.8400000005</v>
      </c>
      <c r="J38" s="518"/>
      <c r="K38" s="518">
        <f t="shared" si="2"/>
        <v>4447943.5299999993</v>
      </c>
      <c r="M38" s="518">
        <f t="shared" si="3"/>
        <v>108.33333333333333</v>
      </c>
      <c r="N38" s="518">
        <f t="shared" si="6"/>
        <v>2009.1666666666667</v>
      </c>
      <c r="O38" s="518">
        <f t="shared" si="7"/>
        <v>1443.8333333333333</v>
      </c>
      <c r="P38" s="518">
        <f t="shared" si="8"/>
        <v>3036.9666666666667</v>
      </c>
      <c r="Q38" s="518">
        <f t="shared" si="9"/>
        <v>3750.2549999999997</v>
      </c>
      <c r="R38" s="518">
        <f t="shared" si="11"/>
        <v>3412.3333333333335</v>
      </c>
      <c r="S38" s="518">
        <f t="shared" si="12"/>
        <v>2922</v>
      </c>
      <c r="T38" s="518">
        <f t="shared" si="13"/>
        <v>3612.2318333333333</v>
      </c>
      <c r="U38" s="518">
        <f t="shared" si="14"/>
        <v>1915</v>
      </c>
      <c r="V38" s="518">
        <f t="shared" si="15"/>
        <v>3087.5</v>
      </c>
      <c r="W38" s="518">
        <f t="shared" si="16"/>
        <v>2156.4166666666665</v>
      </c>
      <c r="X38" s="518">
        <f t="shared" si="17"/>
        <v>1704.25</v>
      </c>
      <c r="Y38" s="518">
        <f t="shared" si="19"/>
        <v>1701.4166666666667</v>
      </c>
      <c r="Z38" s="518">
        <f t="shared" si="20"/>
        <v>3332</v>
      </c>
      <c r="AA38" s="518">
        <f t="shared" si="21"/>
        <v>3463.9166666666665</v>
      </c>
      <c r="AB38" s="518">
        <f t="shared" si="22"/>
        <v>6523.384</v>
      </c>
      <c r="AC38" s="518">
        <f t="shared" si="23"/>
        <v>5817.6980000000003</v>
      </c>
      <c r="AD38" s="518">
        <f t="shared" si="24"/>
        <v>5048.5166666666664</v>
      </c>
      <c r="AE38" s="518">
        <f t="shared" si="25"/>
        <v>3510</v>
      </c>
      <c r="AF38" s="518">
        <f t="shared" si="26"/>
        <v>3522.25</v>
      </c>
      <c r="AG38" s="518">
        <f t="shared" si="27"/>
        <v>2181.6666666666665</v>
      </c>
      <c r="AH38" s="518">
        <f t="shared" si="28"/>
        <v>4224.666666666667</v>
      </c>
      <c r="AI38" s="518">
        <f t="shared" si="29"/>
        <v>3186.8166666666666</v>
      </c>
      <c r="AJ38" s="518">
        <f t="shared" si="30"/>
        <v>1841.6666666666667</v>
      </c>
      <c r="AK38" s="518">
        <f t="shared" si="31"/>
        <v>2671.2791666666667</v>
      </c>
      <c r="AL38" s="518">
        <f t="shared" si="32"/>
        <v>3033.3333333333335</v>
      </c>
      <c r="AM38" s="518">
        <f t="shared" si="33"/>
        <v>2364.1666666666665</v>
      </c>
      <c r="AN38" s="518">
        <f t="shared" si="34"/>
        <v>3639.1666666666665</v>
      </c>
      <c r="AO38" s="518">
        <f t="shared" si="35"/>
        <v>2635.1666666666665</v>
      </c>
      <c r="AP38" s="518">
        <f t="shared" si="36"/>
        <v>4944.2748333333329</v>
      </c>
      <c r="AQ38" s="518">
        <f t="shared" si="37"/>
        <v>3021.6666666666665</v>
      </c>
      <c r="AR38" s="518">
        <f t="shared" si="38"/>
        <v>2682.9166666666665</v>
      </c>
      <c r="AS38" s="518">
        <f t="shared" ref="AS38:AS96" si="39">$D$37/60</f>
        <v>3202.75</v>
      </c>
      <c r="AT38" s="518">
        <f>$D$38/60</f>
        <v>2727.5</v>
      </c>
      <c r="AU38" s="518"/>
      <c r="AV38" s="518"/>
      <c r="AW38" s="518"/>
      <c r="AX38" s="518"/>
      <c r="AY38" s="518"/>
      <c r="AZ38" s="518"/>
      <c r="BA38" s="518"/>
      <c r="BB38" s="518"/>
      <c r="BC38" s="518"/>
      <c r="BD38" s="518"/>
      <c r="BE38" s="518"/>
      <c r="BF38" s="518"/>
      <c r="BG38" s="518"/>
      <c r="BH38" s="518"/>
      <c r="BI38" s="518"/>
      <c r="BJ38" s="518"/>
      <c r="BK38" s="518"/>
      <c r="BL38" s="518"/>
      <c r="BM38" s="518"/>
      <c r="BN38" s="518">
        <f t="shared" si="4"/>
        <v>104434.50616666667</v>
      </c>
    </row>
    <row r="39" spans="1:66" s="585" customFormat="1" ht="12.75" customHeight="1">
      <c r="A39" s="308" t="s">
        <v>58</v>
      </c>
      <c r="B39" s="308">
        <f t="shared" si="18"/>
        <v>2018</v>
      </c>
      <c r="C39" s="308" t="s">
        <v>47</v>
      </c>
      <c r="D39" s="518">
        <v>143000</v>
      </c>
      <c r="E39" s="518"/>
      <c r="F39" s="518">
        <f t="shared" si="5"/>
        <v>6409070.3700000001</v>
      </c>
      <c r="G39" s="518"/>
      <c r="H39" s="518">
        <v>112314.9</v>
      </c>
      <c r="I39" s="518">
        <f>SUM(H$5:H39)</f>
        <v>1930441.7400000005</v>
      </c>
      <c r="J39" s="518"/>
      <c r="K39" s="518">
        <f t="shared" si="2"/>
        <v>4478628.63</v>
      </c>
      <c r="M39" s="518">
        <f t="shared" si="3"/>
        <v>108.33333333333333</v>
      </c>
      <c r="N39" s="518">
        <f t="shared" si="6"/>
        <v>2009.1666666666667</v>
      </c>
      <c r="O39" s="518">
        <f t="shared" si="7"/>
        <v>1443.8333333333333</v>
      </c>
      <c r="P39" s="518">
        <f t="shared" si="8"/>
        <v>3036.9666666666667</v>
      </c>
      <c r="Q39" s="518">
        <f t="shared" si="9"/>
        <v>3750.2549999999997</v>
      </c>
      <c r="R39" s="518">
        <f t="shared" si="11"/>
        <v>3412.3333333333335</v>
      </c>
      <c r="S39" s="518">
        <f t="shared" si="12"/>
        <v>2922</v>
      </c>
      <c r="T39" s="518">
        <f t="shared" si="13"/>
        <v>3612.2318333333333</v>
      </c>
      <c r="U39" s="518">
        <f t="shared" si="14"/>
        <v>1915</v>
      </c>
      <c r="V39" s="518">
        <f t="shared" si="15"/>
        <v>3087.5</v>
      </c>
      <c r="W39" s="518">
        <f t="shared" si="16"/>
        <v>2156.4166666666665</v>
      </c>
      <c r="X39" s="518">
        <f t="shared" si="17"/>
        <v>1704.25</v>
      </c>
      <c r="Y39" s="518">
        <f t="shared" si="19"/>
        <v>1701.4166666666667</v>
      </c>
      <c r="Z39" s="518">
        <f t="shared" si="20"/>
        <v>3332</v>
      </c>
      <c r="AA39" s="518">
        <f t="shared" si="21"/>
        <v>3463.9166666666665</v>
      </c>
      <c r="AB39" s="518">
        <f t="shared" si="22"/>
        <v>6523.384</v>
      </c>
      <c r="AC39" s="518">
        <f t="shared" si="23"/>
        <v>5817.6980000000003</v>
      </c>
      <c r="AD39" s="518">
        <f t="shared" si="24"/>
        <v>5048.5166666666664</v>
      </c>
      <c r="AE39" s="518">
        <f t="shared" si="25"/>
        <v>3510</v>
      </c>
      <c r="AF39" s="518">
        <f t="shared" si="26"/>
        <v>3522.25</v>
      </c>
      <c r="AG39" s="518">
        <f t="shared" si="27"/>
        <v>2181.6666666666665</v>
      </c>
      <c r="AH39" s="518">
        <f t="shared" si="28"/>
        <v>4224.666666666667</v>
      </c>
      <c r="AI39" s="518">
        <f t="shared" si="29"/>
        <v>3186.8166666666666</v>
      </c>
      <c r="AJ39" s="518">
        <f t="shared" si="30"/>
        <v>1841.6666666666667</v>
      </c>
      <c r="AK39" s="518">
        <f t="shared" si="31"/>
        <v>2671.2791666666667</v>
      </c>
      <c r="AL39" s="518">
        <f t="shared" si="32"/>
        <v>3033.3333333333335</v>
      </c>
      <c r="AM39" s="518">
        <f t="shared" si="33"/>
        <v>2364.1666666666665</v>
      </c>
      <c r="AN39" s="518">
        <f t="shared" si="34"/>
        <v>3639.1666666666665</v>
      </c>
      <c r="AO39" s="518">
        <f t="shared" si="35"/>
        <v>2635.1666666666665</v>
      </c>
      <c r="AP39" s="518">
        <f t="shared" si="36"/>
        <v>4944.2748333333329</v>
      </c>
      <c r="AQ39" s="518">
        <f t="shared" si="37"/>
        <v>3021.6666666666665</v>
      </c>
      <c r="AR39" s="518">
        <f t="shared" si="38"/>
        <v>2682.9166666666665</v>
      </c>
      <c r="AS39" s="518">
        <f t="shared" si="39"/>
        <v>3202.75</v>
      </c>
      <c r="AT39" s="518">
        <f t="shared" ref="AT39:AT97" si="40">$D$38/60</f>
        <v>2727.5</v>
      </c>
      <c r="AU39" s="518">
        <f>$D$39/60</f>
        <v>2383.3333333333335</v>
      </c>
      <c r="AV39" s="518"/>
      <c r="AW39" s="518"/>
      <c r="AX39" s="518"/>
      <c r="AY39" s="518"/>
      <c r="AZ39" s="518"/>
      <c r="BA39" s="518"/>
      <c r="BB39" s="518"/>
      <c r="BC39" s="518"/>
      <c r="BD39" s="518"/>
      <c r="BE39" s="518"/>
      <c r="BF39" s="518"/>
      <c r="BG39" s="518"/>
      <c r="BH39" s="518"/>
      <c r="BI39" s="518"/>
      <c r="BJ39" s="518"/>
      <c r="BK39" s="518"/>
      <c r="BL39" s="518"/>
      <c r="BM39" s="518"/>
      <c r="BN39" s="518">
        <f t="shared" si="4"/>
        <v>106817.8395</v>
      </c>
    </row>
    <row r="40" spans="1:66" s="585" customFormat="1" ht="12.75" customHeight="1">
      <c r="A40" s="308" t="s">
        <v>59</v>
      </c>
      <c r="B40" s="308">
        <f t="shared" si="18"/>
        <v>2018</v>
      </c>
      <c r="C40" s="308" t="s">
        <v>47</v>
      </c>
      <c r="D40" s="518">
        <f>141158-6250</f>
        <v>134908</v>
      </c>
      <c r="E40" s="518"/>
      <c r="F40" s="518">
        <f t="shared" si="5"/>
        <v>6543978.3700000001</v>
      </c>
      <c r="G40" s="518"/>
      <c r="H40" s="518">
        <v>131380.93</v>
      </c>
      <c r="I40" s="518">
        <f>SUM(H$5:H40)</f>
        <v>2061822.6700000004</v>
      </c>
      <c r="J40" s="518"/>
      <c r="K40" s="518">
        <f t="shared" si="2"/>
        <v>4482155.6999999993</v>
      </c>
      <c r="M40" s="518">
        <f t="shared" si="3"/>
        <v>108.33333333333333</v>
      </c>
      <c r="N40" s="518">
        <f t="shared" si="6"/>
        <v>2009.1666666666667</v>
      </c>
      <c r="O40" s="518">
        <f t="shared" si="7"/>
        <v>1443.8333333333333</v>
      </c>
      <c r="P40" s="518">
        <f t="shared" si="8"/>
        <v>3036.9666666666667</v>
      </c>
      <c r="Q40" s="518">
        <f t="shared" si="9"/>
        <v>3750.2549999999997</v>
      </c>
      <c r="R40" s="518">
        <f t="shared" si="11"/>
        <v>3412.3333333333335</v>
      </c>
      <c r="S40" s="518">
        <f t="shared" si="12"/>
        <v>2922</v>
      </c>
      <c r="T40" s="518">
        <f t="shared" si="13"/>
        <v>3612.2318333333333</v>
      </c>
      <c r="U40" s="518">
        <f t="shared" si="14"/>
        <v>1915</v>
      </c>
      <c r="V40" s="518">
        <f t="shared" si="15"/>
        <v>3087.5</v>
      </c>
      <c r="W40" s="518">
        <f t="shared" si="16"/>
        <v>2156.4166666666665</v>
      </c>
      <c r="X40" s="518">
        <f t="shared" si="17"/>
        <v>1704.25</v>
      </c>
      <c r="Y40" s="518">
        <f t="shared" si="19"/>
        <v>1701.4166666666667</v>
      </c>
      <c r="Z40" s="518">
        <f t="shared" si="20"/>
        <v>3332</v>
      </c>
      <c r="AA40" s="518">
        <f t="shared" si="21"/>
        <v>3463.9166666666665</v>
      </c>
      <c r="AB40" s="518">
        <f t="shared" si="22"/>
        <v>6523.384</v>
      </c>
      <c r="AC40" s="518">
        <f t="shared" si="23"/>
        <v>5817.6980000000003</v>
      </c>
      <c r="AD40" s="518">
        <f t="shared" si="24"/>
        <v>5048.5166666666664</v>
      </c>
      <c r="AE40" s="518">
        <f t="shared" si="25"/>
        <v>3510</v>
      </c>
      <c r="AF40" s="518">
        <f t="shared" si="26"/>
        <v>3522.25</v>
      </c>
      <c r="AG40" s="518">
        <f t="shared" si="27"/>
        <v>2181.6666666666665</v>
      </c>
      <c r="AH40" s="518">
        <f t="shared" si="28"/>
        <v>4224.666666666667</v>
      </c>
      <c r="AI40" s="518">
        <f t="shared" si="29"/>
        <v>3186.8166666666666</v>
      </c>
      <c r="AJ40" s="518">
        <f t="shared" si="30"/>
        <v>1841.6666666666667</v>
      </c>
      <c r="AK40" s="518">
        <f t="shared" si="31"/>
        <v>2671.2791666666667</v>
      </c>
      <c r="AL40" s="518">
        <f t="shared" si="32"/>
        <v>3033.3333333333335</v>
      </c>
      <c r="AM40" s="518">
        <f t="shared" si="33"/>
        <v>2364.1666666666665</v>
      </c>
      <c r="AN40" s="518">
        <f t="shared" si="34"/>
        <v>3639.1666666666665</v>
      </c>
      <c r="AO40" s="518">
        <f t="shared" si="35"/>
        <v>2635.1666666666665</v>
      </c>
      <c r="AP40" s="518">
        <f t="shared" si="36"/>
        <v>4944.2748333333329</v>
      </c>
      <c r="AQ40" s="518">
        <f t="shared" si="37"/>
        <v>3021.6666666666665</v>
      </c>
      <c r="AR40" s="518">
        <f t="shared" si="38"/>
        <v>2682.9166666666665</v>
      </c>
      <c r="AS40" s="518">
        <f t="shared" si="39"/>
        <v>3202.75</v>
      </c>
      <c r="AT40" s="518">
        <f t="shared" si="40"/>
        <v>2727.5</v>
      </c>
      <c r="AU40" s="518">
        <f t="shared" ref="AU40:AU98" si="41">$D$39/60</f>
        <v>2383.3333333333335</v>
      </c>
      <c r="AV40" s="518">
        <f>$D$40/60</f>
        <v>2248.4666666666667</v>
      </c>
      <c r="AW40" s="518"/>
      <c r="AX40" s="518"/>
      <c r="AY40" s="518"/>
      <c r="AZ40" s="518"/>
      <c r="BA40" s="518"/>
      <c r="BB40" s="518"/>
      <c r="BC40" s="518"/>
      <c r="BD40" s="518"/>
      <c r="BE40" s="518"/>
      <c r="BF40" s="518"/>
      <c r="BG40" s="518"/>
      <c r="BH40" s="518"/>
      <c r="BI40" s="518"/>
      <c r="BJ40" s="518"/>
      <c r="BK40" s="518"/>
      <c r="BL40" s="518"/>
      <c r="BM40" s="518"/>
      <c r="BN40" s="518">
        <f t="shared" si="4"/>
        <v>109066.30616666666</v>
      </c>
    </row>
    <row r="41" spans="1:66" s="585" customFormat="1" ht="12.75" customHeight="1">
      <c r="A41" s="308" t="s">
        <v>46</v>
      </c>
      <c r="B41" s="308">
        <f t="shared" si="18"/>
        <v>2018</v>
      </c>
      <c r="C41" s="308" t="s">
        <v>47</v>
      </c>
      <c r="D41" s="518">
        <v>129600</v>
      </c>
      <c r="E41" s="518"/>
      <c r="F41" s="518">
        <f t="shared" si="5"/>
        <v>6673578.3700000001</v>
      </c>
      <c r="G41" s="518"/>
      <c r="H41" s="518">
        <v>128552.89</v>
      </c>
      <c r="I41" s="518">
        <f>SUM(H$5:H41)</f>
        <v>2190375.5600000005</v>
      </c>
      <c r="J41" s="518"/>
      <c r="K41" s="518">
        <f t="shared" si="2"/>
        <v>4483202.8099999996</v>
      </c>
      <c r="M41" s="518">
        <f t="shared" si="3"/>
        <v>108.33333333333333</v>
      </c>
      <c r="N41" s="518">
        <f t="shared" si="6"/>
        <v>2009.1666666666667</v>
      </c>
      <c r="O41" s="518">
        <f t="shared" si="7"/>
        <v>1443.8333333333333</v>
      </c>
      <c r="P41" s="518">
        <f t="shared" si="8"/>
        <v>3036.9666666666667</v>
      </c>
      <c r="Q41" s="518">
        <f t="shared" si="9"/>
        <v>3750.2549999999997</v>
      </c>
      <c r="R41" s="518">
        <f t="shared" si="11"/>
        <v>3412.3333333333335</v>
      </c>
      <c r="S41" s="518">
        <f t="shared" si="12"/>
        <v>2922</v>
      </c>
      <c r="T41" s="518">
        <f t="shared" si="13"/>
        <v>3612.2318333333333</v>
      </c>
      <c r="U41" s="518">
        <f t="shared" si="14"/>
        <v>1915</v>
      </c>
      <c r="V41" s="518">
        <f t="shared" si="15"/>
        <v>3087.5</v>
      </c>
      <c r="W41" s="518">
        <f t="shared" si="16"/>
        <v>2156.4166666666665</v>
      </c>
      <c r="X41" s="518">
        <f t="shared" si="17"/>
        <v>1704.25</v>
      </c>
      <c r="Y41" s="518">
        <f t="shared" si="19"/>
        <v>1701.4166666666667</v>
      </c>
      <c r="Z41" s="518">
        <f t="shared" si="20"/>
        <v>3332</v>
      </c>
      <c r="AA41" s="518">
        <f t="shared" si="21"/>
        <v>3463.9166666666665</v>
      </c>
      <c r="AB41" s="518">
        <f t="shared" si="22"/>
        <v>6523.384</v>
      </c>
      <c r="AC41" s="518">
        <f t="shared" si="23"/>
        <v>5817.6980000000003</v>
      </c>
      <c r="AD41" s="518">
        <f t="shared" si="24"/>
        <v>5048.5166666666664</v>
      </c>
      <c r="AE41" s="518">
        <f t="shared" si="25"/>
        <v>3510</v>
      </c>
      <c r="AF41" s="518">
        <f t="shared" si="26"/>
        <v>3522.25</v>
      </c>
      <c r="AG41" s="518">
        <f t="shared" si="27"/>
        <v>2181.6666666666665</v>
      </c>
      <c r="AH41" s="518">
        <f t="shared" si="28"/>
        <v>4224.666666666667</v>
      </c>
      <c r="AI41" s="518">
        <f t="shared" si="29"/>
        <v>3186.8166666666666</v>
      </c>
      <c r="AJ41" s="518">
        <f t="shared" si="30"/>
        <v>1841.6666666666667</v>
      </c>
      <c r="AK41" s="518">
        <f t="shared" si="31"/>
        <v>2671.2791666666667</v>
      </c>
      <c r="AL41" s="518">
        <f t="shared" si="32"/>
        <v>3033.3333333333335</v>
      </c>
      <c r="AM41" s="518">
        <f t="shared" si="33"/>
        <v>2364.1666666666665</v>
      </c>
      <c r="AN41" s="518">
        <f t="shared" si="34"/>
        <v>3639.1666666666665</v>
      </c>
      <c r="AO41" s="518">
        <f t="shared" si="35"/>
        <v>2635.1666666666665</v>
      </c>
      <c r="AP41" s="518">
        <f t="shared" si="36"/>
        <v>4944.2748333333329</v>
      </c>
      <c r="AQ41" s="518">
        <f t="shared" si="37"/>
        <v>3021.6666666666665</v>
      </c>
      <c r="AR41" s="518">
        <f t="shared" si="38"/>
        <v>2682.9166666666665</v>
      </c>
      <c r="AS41" s="518">
        <f t="shared" si="39"/>
        <v>3202.75</v>
      </c>
      <c r="AT41" s="518">
        <f t="shared" si="40"/>
        <v>2727.5</v>
      </c>
      <c r="AU41" s="518">
        <f t="shared" si="41"/>
        <v>2383.3333333333335</v>
      </c>
      <c r="AV41" s="518">
        <f t="shared" ref="AV41:AV99" si="42">$D$40/60</f>
        <v>2248.4666666666667</v>
      </c>
      <c r="AW41" s="518">
        <f>$D$41/60</f>
        <v>2160</v>
      </c>
      <c r="AX41" s="518"/>
      <c r="AY41" s="518"/>
      <c r="AZ41" s="518"/>
      <c r="BA41" s="518"/>
      <c r="BB41" s="518"/>
      <c r="BC41" s="518"/>
      <c r="BD41" s="518"/>
      <c r="BE41" s="518"/>
      <c r="BF41" s="518"/>
      <c r="BG41" s="518"/>
      <c r="BH41" s="518"/>
      <c r="BI41" s="518"/>
      <c r="BJ41" s="518"/>
      <c r="BK41" s="518"/>
      <c r="BL41" s="518"/>
      <c r="BM41" s="518"/>
      <c r="BN41" s="518">
        <f t="shared" si="4"/>
        <v>111226.30616666666</v>
      </c>
    </row>
    <row r="42" spans="1:66" s="585" customFormat="1" ht="12.75" customHeight="1">
      <c r="A42" s="308" t="s">
        <v>48</v>
      </c>
      <c r="B42" s="308">
        <f t="shared" si="18"/>
        <v>2018</v>
      </c>
      <c r="C42" s="308" t="s">
        <v>47</v>
      </c>
      <c r="D42" s="518">
        <v>71500</v>
      </c>
      <c r="E42" s="518"/>
      <c r="F42" s="518">
        <f t="shared" si="5"/>
        <v>6745078.3700000001</v>
      </c>
      <c r="G42" s="518"/>
      <c r="H42" s="518">
        <v>98394.29</v>
      </c>
      <c r="I42" s="518">
        <f>SUM(H$5:H42)</f>
        <v>2288769.8500000006</v>
      </c>
      <c r="J42" s="518"/>
      <c r="K42" s="518">
        <f t="shared" si="2"/>
        <v>4456308.5199999996</v>
      </c>
      <c r="M42" s="518">
        <f t="shared" si="3"/>
        <v>108.33333333333333</v>
      </c>
      <c r="N42" s="518">
        <f t="shared" si="6"/>
        <v>2009.1666666666667</v>
      </c>
      <c r="O42" s="518">
        <f t="shared" si="7"/>
        <v>1443.8333333333333</v>
      </c>
      <c r="P42" s="518">
        <f t="shared" si="8"/>
        <v>3036.9666666666667</v>
      </c>
      <c r="Q42" s="518">
        <f t="shared" si="9"/>
        <v>3750.2549999999997</v>
      </c>
      <c r="R42" s="518">
        <f t="shared" si="11"/>
        <v>3412.3333333333335</v>
      </c>
      <c r="S42" s="518">
        <f t="shared" si="12"/>
        <v>2922</v>
      </c>
      <c r="T42" s="518">
        <f t="shared" si="13"/>
        <v>3612.2318333333333</v>
      </c>
      <c r="U42" s="518">
        <f t="shared" si="14"/>
        <v>1915</v>
      </c>
      <c r="V42" s="518">
        <f t="shared" si="15"/>
        <v>3087.5</v>
      </c>
      <c r="W42" s="518">
        <f t="shared" si="16"/>
        <v>2156.4166666666665</v>
      </c>
      <c r="X42" s="518">
        <f t="shared" si="17"/>
        <v>1704.25</v>
      </c>
      <c r="Y42" s="518">
        <f t="shared" si="19"/>
        <v>1701.4166666666667</v>
      </c>
      <c r="Z42" s="518">
        <f t="shared" si="20"/>
        <v>3332</v>
      </c>
      <c r="AA42" s="518">
        <f t="shared" si="21"/>
        <v>3463.9166666666665</v>
      </c>
      <c r="AB42" s="518">
        <f t="shared" si="22"/>
        <v>6523.384</v>
      </c>
      <c r="AC42" s="518">
        <f t="shared" si="23"/>
        <v>5817.6980000000003</v>
      </c>
      <c r="AD42" s="518">
        <f t="shared" si="24"/>
        <v>5048.5166666666664</v>
      </c>
      <c r="AE42" s="518">
        <f t="shared" si="25"/>
        <v>3510</v>
      </c>
      <c r="AF42" s="518">
        <f t="shared" si="26"/>
        <v>3522.25</v>
      </c>
      <c r="AG42" s="518">
        <f t="shared" si="27"/>
        <v>2181.6666666666665</v>
      </c>
      <c r="AH42" s="518">
        <f t="shared" si="28"/>
        <v>4224.666666666667</v>
      </c>
      <c r="AI42" s="518">
        <f t="shared" si="29"/>
        <v>3186.8166666666666</v>
      </c>
      <c r="AJ42" s="518">
        <f t="shared" si="30"/>
        <v>1841.6666666666667</v>
      </c>
      <c r="AK42" s="518">
        <f t="shared" si="31"/>
        <v>2671.2791666666667</v>
      </c>
      <c r="AL42" s="518">
        <f t="shared" si="32"/>
        <v>3033.3333333333335</v>
      </c>
      <c r="AM42" s="518">
        <f t="shared" si="33"/>
        <v>2364.1666666666665</v>
      </c>
      <c r="AN42" s="518">
        <f t="shared" si="34"/>
        <v>3639.1666666666665</v>
      </c>
      <c r="AO42" s="518">
        <f t="shared" si="35"/>
        <v>2635.1666666666665</v>
      </c>
      <c r="AP42" s="518">
        <f t="shared" si="36"/>
        <v>4944.2748333333329</v>
      </c>
      <c r="AQ42" s="518">
        <f t="shared" si="37"/>
        <v>3021.6666666666665</v>
      </c>
      <c r="AR42" s="518">
        <f t="shared" si="38"/>
        <v>2682.9166666666665</v>
      </c>
      <c r="AS42" s="518">
        <f t="shared" si="39"/>
        <v>3202.75</v>
      </c>
      <c r="AT42" s="518">
        <f t="shared" si="40"/>
        <v>2727.5</v>
      </c>
      <c r="AU42" s="518">
        <f t="shared" si="41"/>
        <v>2383.3333333333335</v>
      </c>
      <c r="AV42" s="518">
        <f t="shared" si="42"/>
        <v>2248.4666666666667</v>
      </c>
      <c r="AW42" s="518">
        <f t="shared" ref="AW42:AW100" si="43">$D$41/60</f>
        <v>2160</v>
      </c>
      <c r="AX42" s="518">
        <f>$D$42/60</f>
        <v>1191.6666666666667</v>
      </c>
      <c r="AY42" s="518"/>
      <c r="AZ42" s="518"/>
      <c r="BA42" s="518"/>
      <c r="BB42" s="518"/>
      <c r="BC42" s="518"/>
      <c r="BD42" s="518"/>
      <c r="BE42" s="518"/>
      <c r="BF42" s="518"/>
      <c r="BG42" s="518"/>
      <c r="BH42" s="518"/>
      <c r="BI42" s="518"/>
      <c r="BJ42" s="518"/>
      <c r="BK42" s="518"/>
      <c r="BL42" s="518"/>
      <c r="BM42" s="518"/>
      <c r="BN42" s="518">
        <f t="shared" si="4"/>
        <v>112417.97283333333</v>
      </c>
    </row>
    <row r="43" spans="1:66" s="585" customFormat="1" ht="12.75" customHeight="1" outlineLevel="1">
      <c r="A43" s="308" t="s">
        <v>50</v>
      </c>
      <c r="B43" s="308">
        <f t="shared" si="18"/>
        <v>2018</v>
      </c>
      <c r="C43" s="308" t="s">
        <v>47</v>
      </c>
      <c r="D43" s="518">
        <f>310230-6500</f>
        <v>303730</v>
      </c>
      <c r="E43" s="518"/>
      <c r="F43" s="518">
        <f t="shared" si="5"/>
        <v>7048808.3700000001</v>
      </c>
      <c r="G43" s="518"/>
      <c r="H43" s="518">
        <v>139006.64000000001</v>
      </c>
      <c r="I43" s="518">
        <f>SUM(H$5:H43)</f>
        <v>2427776.4900000007</v>
      </c>
      <c r="J43" s="518"/>
      <c r="K43" s="518">
        <f t="shared" si="2"/>
        <v>4621031.879999999</v>
      </c>
      <c r="M43" s="518">
        <f t="shared" si="3"/>
        <v>108.33333333333333</v>
      </c>
      <c r="N43" s="518">
        <f t="shared" si="6"/>
        <v>2009.1666666666667</v>
      </c>
      <c r="O43" s="518">
        <f t="shared" si="7"/>
        <v>1443.8333333333333</v>
      </c>
      <c r="P43" s="518">
        <f t="shared" si="8"/>
        <v>3036.9666666666667</v>
      </c>
      <c r="Q43" s="518">
        <f t="shared" si="9"/>
        <v>3750.2549999999997</v>
      </c>
      <c r="R43" s="518">
        <f t="shared" si="11"/>
        <v>3412.3333333333335</v>
      </c>
      <c r="S43" s="518">
        <f t="shared" si="12"/>
        <v>2922</v>
      </c>
      <c r="T43" s="518">
        <f t="shared" si="13"/>
        <v>3612.2318333333333</v>
      </c>
      <c r="U43" s="518">
        <f t="shared" si="14"/>
        <v>1915</v>
      </c>
      <c r="V43" s="518">
        <f t="shared" si="15"/>
        <v>3087.5</v>
      </c>
      <c r="W43" s="518">
        <f t="shared" si="16"/>
        <v>2156.4166666666665</v>
      </c>
      <c r="X43" s="518">
        <f t="shared" si="17"/>
        <v>1704.25</v>
      </c>
      <c r="Y43" s="518">
        <f t="shared" si="19"/>
        <v>1701.4166666666667</v>
      </c>
      <c r="Z43" s="518">
        <f t="shared" si="20"/>
        <v>3332</v>
      </c>
      <c r="AA43" s="518">
        <f t="shared" si="21"/>
        <v>3463.9166666666665</v>
      </c>
      <c r="AB43" s="518">
        <f t="shared" si="22"/>
        <v>6523.384</v>
      </c>
      <c r="AC43" s="518">
        <f t="shared" si="23"/>
        <v>5817.6980000000003</v>
      </c>
      <c r="AD43" s="518">
        <f t="shared" si="24"/>
        <v>5048.5166666666664</v>
      </c>
      <c r="AE43" s="518">
        <f t="shared" si="25"/>
        <v>3510</v>
      </c>
      <c r="AF43" s="518">
        <f t="shared" si="26"/>
        <v>3522.25</v>
      </c>
      <c r="AG43" s="518">
        <f t="shared" si="27"/>
        <v>2181.6666666666665</v>
      </c>
      <c r="AH43" s="518">
        <f t="shared" si="28"/>
        <v>4224.666666666667</v>
      </c>
      <c r="AI43" s="518">
        <f t="shared" si="29"/>
        <v>3186.8166666666666</v>
      </c>
      <c r="AJ43" s="518">
        <f t="shared" si="30"/>
        <v>1841.6666666666667</v>
      </c>
      <c r="AK43" s="518">
        <f t="shared" si="31"/>
        <v>2671.2791666666667</v>
      </c>
      <c r="AL43" s="518">
        <f t="shared" si="32"/>
        <v>3033.3333333333335</v>
      </c>
      <c r="AM43" s="518">
        <f t="shared" si="33"/>
        <v>2364.1666666666665</v>
      </c>
      <c r="AN43" s="518">
        <f t="shared" si="34"/>
        <v>3639.1666666666665</v>
      </c>
      <c r="AO43" s="518">
        <f t="shared" si="35"/>
        <v>2635.1666666666665</v>
      </c>
      <c r="AP43" s="518">
        <f t="shared" si="36"/>
        <v>4944.2748333333329</v>
      </c>
      <c r="AQ43" s="518">
        <f t="shared" si="37"/>
        <v>3021.6666666666665</v>
      </c>
      <c r="AR43" s="518">
        <f t="shared" si="38"/>
        <v>2682.9166666666665</v>
      </c>
      <c r="AS43" s="518">
        <f t="shared" si="39"/>
        <v>3202.75</v>
      </c>
      <c r="AT43" s="518">
        <f t="shared" si="40"/>
        <v>2727.5</v>
      </c>
      <c r="AU43" s="518">
        <f t="shared" si="41"/>
        <v>2383.3333333333335</v>
      </c>
      <c r="AV43" s="518">
        <f t="shared" si="42"/>
        <v>2248.4666666666667</v>
      </c>
      <c r="AW43" s="518">
        <f t="shared" si="43"/>
        <v>2160</v>
      </c>
      <c r="AX43" s="518">
        <f t="shared" ref="AX43:AX101" si="44">$D$42/60</f>
        <v>1191.6666666666667</v>
      </c>
      <c r="AY43" s="518">
        <f>$D$43/60</f>
        <v>5062.166666666667</v>
      </c>
      <c r="AZ43" s="518"/>
      <c r="BA43" s="518"/>
      <c r="BB43" s="518"/>
      <c r="BC43" s="518"/>
      <c r="BD43" s="518"/>
      <c r="BE43" s="518"/>
      <c r="BF43" s="518"/>
      <c r="BG43" s="518"/>
      <c r="BH43" s="518"/>
      <c r="BI43" s="518"/>
      <c r="BJ43" s="518"/>
      <c r="BK43" s="518"/>
      <c r="BL43" s="518"/>
      <c r="BM43" s="518"/>
      <c r="BN43" s="518">
        <f t="shared" si="4"/>
        <v>117480.1395</v>
      </c>
    </row>
    <row r="44" spans="1:66" s="585" customFormat="1" ht="12.75" customHeight="1" outlineLevel="1">
      <c r="A44" s="308" t="s">
        <v>51</v>
      </c>
      <c r="B44" s="308">
        <f t="shared" si="18"/>
        <v>2018</v>
      </c>
      <c r="C44" s="308" t="s">
        <v>47</v>
      </c>
      <c r="D44" s="518">
        <v>231800</v>
      </c>
      <c r="E44" s="518"/>
      <c r="F44" s="518">
        <f t="shared" si="5"/>
        <v>7280608.3700000001</v>
      </c>
      <c r="G44" s="518"/>
      <c r="H44" s="518">
        <v>126031.58</v>
      </c>
      <c r="I44" s="518">
        <f>SUM(H$5:H44)</f>
        <v>2553808.0700000008</v>
      </c>
      <c r="J44" s="518"/>
      <c r="K44" s="518">
        <f t="shared" si="2"/>
        <v>4726800.2999999989</v>
      </c>
      <c r="M44" s="518">
        <f t="shared" si="3"/>
        <v>108.33333333333333</v>
      </c>
      <c r="N44" s="518">
        <f t="shared" si="6"/>
        <v>2009.1666666666667</v>
      </c>
      <c r="O44" s="518">
        <f t="shared" si="7"/>
        <v>1443.8333333333333</v>
      </c>
      <c r="P44" s="518">
        <f t="shared" si="8"/>
        <v>3036.9666666666667</v>
      </c>
      <c r="Q44" s="518">
        <f t="shared" si="9"/>
        <v>3750.2549999999997</v>
      </c>
      <c r="R44" s="518">
        <f t="shared" si="11"/>
        <v>3412.3333333333335</v>
      </c>
      <c r="S44" s="518">
        <f t="shared" si="12"/>
        <v>2922</v>
      </c>
      <c r="T44" s="518">
        <f t="shared" si="13"/>
        <v>3612.2318333333333</v>
      </c>
      <c r="U44" s="518">
        <f t="shared" si="14"/>
        <v>1915</v>
      </c>
      <c r="V44" s="518">
        <f t="shared" si="15"/>
        <v>3087.5</v>
      </c>
      <c r="W44" s="518">
        <f t="shared" si="16"/>
        <v>2156.4166666666665</v>
      </c>
      <c r="X44" s="518">
        <f t="shared" si="17"/>
        <v>1704.25</v>
      </c>
      <c r="Y44" s="518">
        <f t="shared" si="19"/>
        <v>1701.4166666666667</v>
      </c>
      <c r="Z44" s="518">
        <f t="shared" si="20"/>
        <v>3332</v>
      </c>
      <c r="AA44" s="518">
        <f t="shared" si="21"/>
        <v>3463.9166666666665</v>
      </c>
      <c r="AB44" s="518">
        <f t="shared" si="22"/>
        <v>6523.384</v>
      </c>
      <c r="AC44" s="518">
        <f t="shared" si="23"/>
        <v>5817.6980000000003</v>
      </c>
      <c r="AD44" s="518">
        <f t="shared" si="24"/>
        <v>5048.5166666666664</v>
      </c>
      <c r="AE44" s="518">
        <f t="shared" si="25"/>
        <v>3510</v>
      </c>
      <c r="AF44" s="518">
        <f t="shared" si="26"/>
        <v>3522.25</v>
      </c>
      <c r="AG44" s="518">
        <f t="shared" si="27"/>
        <v>2181.6666666666665</v>
      </c>
      <c r="AH44" s="518">
        <f t="shared" si="28"/>
        <v>4224.666666666667</v>
      </c>
      <c r="AI44" s="518">
        <f t="shared" si="29"/>
        <v>3186.8166666666666</v>
      </c>
      <c r="AJ44" s="518">
        <f t="shared" si="30"/>
        <v>1841.6666666666667</v>
      </c>
      <c r="AK44" s="518">
        <f t="shared" si="31"/>
        <v>2671.2791666666667</v>
      </c>
      <c r="AL44" s="518">
        <f t="shared" si="32"/>
        <v>3033.3333333333335</v>
      </c>
      <c r="AM44" s="518">
        <f t="shared" si="33"/>
        <v>2364.1666666666665</v>
      </c>
      <c r="AN44" s="518">
        <f t="shared" si="34"/>
        <v>3639.1666666666665</v>
      </c>
      <c r="AO44" s="518">
        <f t="shared" si="35"/>
        <v>2635.1666666666665</v>
      </c>
      <c r="AP44" s="518">
        <f t="shared" si="36"/>
        <v>4944.2748333333329</v>
      </c>
      <c r="AQ44" s="518">
        <f t="shared" si="37"/>
        <v>3021.6666666666665</v>
      </c>
      <c r="AR44" s="518">
        <f t="shared" si="38"/>
        <v>2682.9166666666665</v>
      </c>
      <c r="AS44" s="518">
        <f t="shared" si="39"/>
        <v>3202.75</v>
      </c>
      <c r="AT44" s="518">
        <f t="shared" si="40"/>
        <v>2727.5</v>
      </c>
      <c r="AU44" s="518">
        <f t="shared" si="41"/>
        <v>2383.3333333333335</v>
      </c>
      <c r="AV44" s="518">
        <f t="shared" si="42"/>
        <v>2248.4666666666667</v>
      </c>
      <c r="AW44" s="518">
        <f t="shared" si="43"/>
        <v>2160</v>
      </c>
      <c r="AX44" s="518">
        <f t="shared" si="44"/>
        <v>1191.6666666666667</v>
      </c>
      <c r="AY44" s="518">
        <f t="shared" ref="AY44:AY102" si="45">$D$43/60</f>
        <v>5062.166666666667</v>
      </c>
      <c r="AZ44" s="518">
        <f>$D$44/60</f>
        <v>3863.3333333333335</v>
      </c>
      <c r="BA44" s="518"/>
      <c r="BB44" s="518"/>
      <c r="BC44" s="518"/>
      <c r="BD44" s="518"/>
      <c r="BE44" s="518"/>
      <c r="BF44" s="518"/>
      <c r="BG44" s="518"/>
      <c r="BH44" s="518"/>
      <c r="BI44" s="518"/>
      <c r="BJ44" s="518"/>
      <c r="BK44" s="518"/>
      <c r="BL44" s="518"/>
      <c r="BM44" s="518"/>
      <c r="BN44" s="518">
        <f t="shared" si="4"/>
        <v>121343.47283333333</v>
      </c>
    </row>
    <row r="45" spans="1:66" s="585" customFormat="1" ht="12.75" customHeight="1" outlineLevel="1">
      <c r="A45" s="308" t="s">
        <v>52</v>
      </c>
      <c r="B45" s="308">
        <f t="shared" si="18"/>
        <v>2018</v>
      </c>
      <c r="C45" s="308" t="s">
        <v>47</v>
      </c>
      <c r="D45" s="518">
        <v>362093</v>
      </c>
      <c r="E45" s="518"/>
      <c r="F45" s="518">
        <f t="shared" si="5"/>
        <v>7642701.3700000001</v>
      </c>
      <c r="G45" s="518"/>
      <c r="H45" s="518">
        <v>113941.69</v>
      </c>
      <c r="I45" s="518">
        <f>SUM(H$5:H45)</f>
        <v>2667749.7600000007</v>
      </c>
      <c r="J45" s="518"/>
      <c r="K45" s="518">
        <f t="shared" si="2"/>
        <v>4974951.6099999994</v>
      </c>
      <c r="M45" s="518">
        <f t="shared" si="3"/>
        <v>108.33333333333333</v>
      </c>
      <c r="N45" s="518">
        <f t="shared" si="6"/>
        <v>2009.1666666666667</v>
      </c>
      <c r="O45" s="518">
        <f t="shared" si="7"/>
        <v>1443.8333333333333</v>
      </c>
      <c r="P45" s="518">
        <f t="shared" si="8"/>
        <v>3036.9666666666667</v>
      </c>
      <c r="Q45" s="518">
        <f t="shared" si="9"/>
        <v>3750.2549999999997</v>
      </c>
      <c r="R45" s="518">
        <f t="shared" si="11"/>
        <v>3412.3333333333335</v>
      </c>
      <c r="S45" s="518">
        <f t="shared" si="12"/>
        <v>2922</v>
      </c>
      <c r="T45" s="518">
        <f t="shared" si="13"/>
        <v>3612.2318333333333</v>
      </c>
      <c r="U45" s="518">
        <f t="shared" si="14"/>
        <v>1915</v>
      </c>
      <c r="V45" s="518">
        <f t="shared" si="15"/>
        <v>3087.5</v>
      </c>
      <c r="W45" s="518">
        <f t="shared" si="16"/>
        <v>2156.4166666666665</v>
      </c>
      <c r="X45" s="518">
        <f t="shared" si="17"/>
        <v>1704.25</v>
      </c>
      <c r="Y45" s="518">
        <f t="shared" si="19"/>
        <v>1701.4166666666667</v>
      </c>
      <c r="Z45" s="518">
        <f t="shared" si="20"/>
        <v>3332</v>
      </c>
      <c r="AA45" s="518">
        <f t="shared" si="21"/>
        <v>3463.9166666666665</v>
      </c>
      <c r="AB45" s="518">
        <f t="shared" si="22"/>
        <v>6523.384</v>
      </c>
      <c r="AC45" s="518">
        <f t="shared" si="23"/>
        <v>5817.6980000000003</v>
      </c>
      <c r="AD45" s="518">
        <f t="shared" si="24"/>
        <v>5048.5166666666664</v>
      </c>
      <c r="AE45" s="518">
        <f t="shared" si="25"/>
        <v>3510</v>
      </c>
      <c r="AF45" s="518">
        <f t="shared" si="26"/>
        <v>3522.25</v>
      </c>
      <c r="AG45" s="518">
        <f t="shared" si="27"/>
        <v>2181.6666666666665</v>
      </c>
      <c r="AH45" s="518">
        <f t="shared" si="28"/>
        <v>4224.666666666667</v>
      </c>
      <c r="AI45" s="518">
        <f t="shared" si="29"/>
        <v>3186.8166666666666</v>
      </c>
      <c r="AJ45" s="518">
        <f t="shared" si="30"/>
        <v>1841.6666666666667</v>
      </c>
      <c r="AK45" s="518">
        <f t="shared" si="31"/>
        <v>2671.2791666666667</v>
      </c>
      <c r="AL45" s="518">
        <f t="shared" si="32"/>
        <v>3033.3333333333335</v>
      </c>
      <c r="AM45" s="518">
        <f t="shared" si="33"/>
        <v>2364.1666666666665</v>
      </c>
      <c r="AN45" s="518">
        <f t="shared" si="34"/>
        <v>3639.1666666666665</v>
      </c>
      <c r="AO45" s="518">
        <f t="shared" si="35"/>
        <v>2635.1666666666665</v>
      </c>
      <c r="AP45" s="518">
        <f t="shared" si="36"/>
        <v>4944.2748333333329</v>
      </c>
      <c r="AQ45" s="518">
        <f t="shared" si="37"/>
        <v>3021.6666666666665</v>
      </c>
      <c r="AR45" s="518">
        <f t="shared" si="38"/>
        <v>2682.9166666666665</v>
      </c>
      <c r="AS45" s="518">
        <f t="shared" si="39"/>
        <v>3202.75</v>
      </c>
      <c r="AT45" s="518">
        <f t="shared" si="40"/>
        <v>2727.5</v>
      </c>
      <c r="AU45" s="518">
        <f t="shared" si="41"/>
        <v>2383.3333333333335</v>
      </c>
      <c r="AV45" s="518">
        <f t="shared" si="42"/>
        <v>2248.4666666666667</v>
      </c>
      <c r="AW45" s="518">
        <f t="shared" si="43"/>
        <v>2160</v>
      </c>
      <c r="AX45" s="518">
        <f t="shared" si="44"/>
        <v>1191.6666666666667</v>
      </c>
      <c r="AY45" s="518">
        <f t="shared" si="45"/>
        <v>5062.166666666667</v>
      </c>
      <c r="AZ45" s="518">
        <f t="shared" ref="AZ45:AZ103" si="46">$D$44/60</f>
        <v>3863.3333333333335</v>
      </c>
      <c r="BA45" s="518">
        <f>$D$45/60</f>
        <v>6034.8833333333332</v>
      </c>
      <c r="BB45" s="518"/>
      <c r="BC45" s="518"/>
      <c r="BD45" s="518"/>
      <c r="BE45" s="518"/>
      <c r="BF45" s="518"/>
      <c r="BG45" s="518"/>
      <c r="BH45" s="518"/>
      <c r="BI45" s="518"/>
      <c r="BJ45" s="518"/>
      <c r="BK45" s="518"/>
      <c r="BL45" s="518"/>
      <c r="BM45" s="518"/>
      <c r="BN45" s="518">
        <f t="shared" si="4"/>
        <v>127378.35616666666</v>
      </c>
    </row>
    <row r="46" spans="1:66" s="585" customFormat="1" ht="12.75" customHeight="1" outlineLevel="1">
      <c r="A46" s="308" t="s">
        <v>53</v>
      </c>
      <c r="B46" s="308">
        <f t="shared" si="18"/>
        <v>2019</v>
      </c>
      <c r="C46" s="308" t="s">
        <v>47</v>
      </c>
      <c r="D46" s="518">
        <v>97500</v>
      </c>
      <c r="E46" s="518"/>
      <c r="F46" s="518">
        <f t="shared" si="5"/>
        <v>7740201.3700000001</v>
      </c>
      <c r="G46" s="518"/>
      <c r="H46" s="518">
        <v>127885.45</v>
      </c>
      <c r="I46" s="518">
        <f>SUM(H$5:H46)</f>
        <v>2795635.2100000009</v>
      </c>
      <c r="J46" s="518"/>
      <c r="K46" s="518">
        <f t="shared" si="2"/>
        <v>4944566.1599999992</v>
      </c>
      <c r="M46" s="518">
        <f t="shared" si="3"/>
        <v>108.33333333333333</v>
      </c>
      <c r="N46" s="518">
        <f t="shared" si="6"/>
        <v>2009.1666666666667</v>
      </c>
      <c r="O46" s="518">
        <f t="shared" si="7"/>
        <v>1443.8333333333333</v>
      </c>
      <c r="P46" s="518">
        <f t="shared" si="8"/>
        <v>3036.9666666666667</v>
      </c>
      <c r="Q46" s="518">
        <f t="shared" si="9"/>
        <v>3750.2549999999997</v>
      </c>
      <c r="R46" s="518">
        <f t="shared" si="11"/>
        <v>3412.3333333333335</v>
      </c>
      <c r="S46" s="518">
        <f t="shared" si="12"/>
        <v>2922</v>
      </c>
      <c r="T46" s="518">
        <f t="shared" si="13"/>
        <v>3612.2318333333333</v>
      </c>
      <c r="U46" s="518">
        <f t="shared" si="14"/>
        <v>1915</v>
      </c>
      <c r="V46" s="518">
        <f t="shared" si="15"/>
        <v>3087.5</v>
      </c>
      <c r="W46" s="518">
        <f t="shared" si="16"/>
        <v>2156.4166666666665</v>
      </c>
      <c r="X46" s="518">
        <f t="shared" si="17"/>
        <v>1704.25</v>
      </c>
      <c r="Y46" s="518">
        <f t="shared" si="19"/>
        <v>1701.4166666666667</v>
      </c>
      <c r="Z46" s="518">
        <f t="shared" si="20"/>
        <v>3332</v>
      </c>
      <c r="AA46" s="518">
        <f t="shared" si="21"/>
        <v>3463.9166666666665</v>
      </c>
      <c r="AB46" s="518">
        <f t="shared" si="22"/>
        <v>6523.384</v>
      </c>
      <c r="AC46" s="518">
        <f t="shared" si="23"/>
        <v>5817.6980000000003</v>
      </c>
      <c r="AD46" s="518">
        <f t="shared" si="24"/>
        <v>5048.5166666666664</v>
      </c>
      <c r="AE46" s="518">
        <f t="shared" si="25"/>
        <v>3510</v>
      </c>
      <c r="AF46" s="518">
        <f t="shared" si="26"/>
        <v>3522.25</v>
      </c>
      <c r="AG46" s="518">
        <f t="shared" si="27"/>
        <v>2181.6666666666665</v>
      </c>
      <c r="AH46" s="518">
        <f t="shared" si="28"/>
        <v>4224.666666666667</v>
      </c>
      <c r="AI46" s="518">
        <f t="shared" si="29"/>
        <v>3186.8166666666666</v>
      </c>
      <c r="AJ46" s="518">
        <f t="shared" si="30"/>
        <v>1841.6666666666667</v>
      </c>
      <c r="AK46" s="518">
        <f t="shared" si="31"/>
        <v>2671.2791666666667</v>
      </c>
      <c r="AL46" s="518">
        <f t="shared" si="32"/>
        <v>3033.3333333333335</v>
      </c>
      <c r="AM46" s="518">
        <f t="shared" si="33"/>
        <v>2364.1666666666665</v>
      </c>
      <c r="AN46" s="518">
        <f t="shared" si="34"/>
        <v>3639.1666666666665</v>
      </c>
      <c r="AO46" s="518">
        <f t="shared" si="35"/>
        <v>2635.1666666666665</v>
      </c>
      <c r="AP46" s="518">
        <f t="shared" si="36"/>
        <v>4944.2748333333329</v>
      </c>
      <c r="AQ46" s="518">
        <f t="shared" si="37"/>
        <v>3021.6666666666665</v>
      </c>
      <c r="AR46" s="518">
        <f t="shared" si="38"/>
        <v>2682.9166666666665</v>
      </c>
      <c r="AS46" s="518">
        <f t="shared" si="39"/>
        <v>3202.75</v>
      </c>
      <c r="AT46" s="518">
        <f t="shared" si="40"/>
        <v>2727.5</v>
      </c>
      <c r="AU46" s="518">
        <f t="shared" si="41"/>
        <v>2383.3333333333335</v>
      </c>
      <c r="AV46" s="518">
        <f t="shared" si="42"/>
        <v>2248.4666666666667</v>
      </c>
      <c r="AW46" s="518">
        <f t="shared" si="43"/>
        <v>2160</v>
      </c>
      <c r="AX46" s="518">
        <f t="shared" si="44"/>
        <v>1191.6666666666667</v>
      </c>
      <c r="AY46" s="518">
        <f t="shared" si="45"/>
        <v>5062.166666666667</v>
      </c>
      <c r="AZ46" s="518">
        <f t="shared" si="46"/>
        <v>3863.3333333333335</v>
      </c>
      <c r="BA46" s="518">
        <f t="shared" ref="BA46:BA104" si="47">$D$45/60</f>
        <v>6034.8833333333332</v>
      </c>
      <c r="BB46" s="518">
        <f>$D$46/60</f>
        <v>1625</v>
      </c>
      <c r="BC46" s="518"/>
      <c r="BD46" s="518"/>
      <c r="BE46" s="518"/>
      <c r="BF46" s="518"/>
      <c r="BG46" s="518"/>
      <c r="BH46" s="518"/>
      <c r="BI46" s="518"/>
      <c r="BJ46" s="518"/>
      <c r="BK46" s="518"/>
      <c r="BL46" s="518"/>
      <c r="BM46" s="518"/>
      <c r="BN46" s="518">
        <f t="shared" si="4"/>
        <v>129003.35616666666</v>
      </c>
    </row>
    <row r="47" spans="1:66" s="585" customFormat="1" ht="12.75" customHeight="1" outlineLevel="1">
      <c r="A47" s="308" t="s">
        <v>54</v>
      </c>
      <c r="B47" s="308">
        <f t="shared" si="18"/>
        <v>2019</v>
      </c>
      <c r="C47" s="308" t="s">
        <v>47</v>
      </c>
      <c r="D47" s="518">
        <v>160800</v>
      </c>
      <c r="E47" s="518"/>
      <c r="F47" s="518">
        <f t="shared" si="5"/>
        <v>7901001.3700000001</v>
      </c>
      <c r="G47" s="518"/>
      <c r="H47" s="518">
        <v>130106.67</v>
      </c>
      <c r="I47" s="518">
        <f>SUM(H$5:H47)</f>
        <v>2925741.8800000008</v>
      </c>
      <c r="J47" s="518"/>
      <c r="K47" s="518">
        <f t="shared" si="2"/>
        <v>4975259.4899999993</v>
      </c>
      <c r="M47" s="518">
        <f t="shared" si="3"/>
        <v>108.33333333333333</v>
      </c>
      <c r="N47" s="518">
        <f t="shared" si="6"/>
        <v>2009.1666666666667</v>
      </c>
      <c r="O47" s="518">
        <f t="shared" si="7"/>
        <v>1443.8333333333333</v>
      </c>
      <c r="P47" s="518">
        <f t="shared" si="8"/>
        <v>3036.9666666666667</v>
      </c>
      <c r="Q47" s="518">
        <f t="shared" si="9"/>
        <v>3750.2549999999997</v>
      </c>
      <c r="R47" s="518">
        <f t="shared" si="11"/>
        <v>3412.3333333333335</v>
      </c>
      <c r="S47" s="518">
        <f t="shared" si="12"/>
        <v>2922</v>
      </c>
      <c r="T47" s="518">
        <f t="shared" si="13"/>
        <v>3612.2318333333333</v>
      </c>
      <c r="U47" s="518">
        <f t="shared" si="14"/>
        <v>1915</v>
      </c>
      <c r="V47" s="518">
        <f t="shared" si="15"/>
        <v>3087.5</v>
      </c>
      <c r="W47" s="518">
        <f t="shared" si="16"/>
        <v>2156.4166666666665</v>
      </c>
      <c r="X47" s="518">
        <f t="shared" si="17"/>
        <v>1704.25</v>
      </c>
      <c r="Y47" s="518">
        <f t="shared" si="19"/>
        <v>1701.4166666666667</v>
      </c>
      <c r="Z47" s="518">
        <f t="shared" si="20"/>
        <v>3332</v>
      </c>
      <c r="AA47" s="518">
        <f t="shared" si="21"/>
        <v>3463.9166666666665</v>
      </c>
      <c r="AB47" s="518">
        <f t="shared" si="22"/>
        <v>6523.384</v>
      </c>
      <c r="AC47" s="518">
        <f t="shared" si="23"/>
        <v>5817.6980000000003</v>
      </c>
      <c r="AD47" s="518">
        <f t="shared" si="24"/>
        <v>5048.5166666666664</v>
      </c>
      <c r="AE47" s="518">
        <f t="shared" si="25"/>
        <v>3510</v>
      </c>
      <c r="AF47" s="518">
        <f t="shared" si="26"/>
        <v>3522.25</v>
      </c>
      <c r="AG47" s="518">
        <f t="shared" si="27"/>
        <v>2181.6666666666665</v>
      </c>
      <c r="AH47" s="518">
        <f t="shared" si="28"/>
        <v>4224.666666666667</v>
      </c>
      <c r="AI47" s="518">
        <f t="shared" si="29"/>
        <v>3186.8166666666666</v>
      </c>
      <c r="AJ47" s="518">
        <f t="shared" si="30"/>
        <v>1841.6666666666667</v>
      </c>
      <c r="AK47" s="518">
        <f t="shared" si="31"/>
        <v>2671.2791666666667</v>
      </c>
      <c r="AL47" s="518">
        <f t="shared" si="32"/>
        <v>3033.3333333333335</v>
      </c>
      <c r="AM47" s="518">
        <f t="shared" si="33"/>
        <v>2364.1666666666665</v>
      </c>
      <c r="AN47" s="518">
        <f t="shared" si="34"/>
        <v>3639.1666666666665</v>
      </c>
      <c r="AO47" s="518">
        <f t="shared" si="35"/>
        <v>2635.1666666666665</v>
      </c>
      <c r="AP47" s="518">
        <f t="shared" si="36"/>
        <v>4944.2748333333329</v>
      </c>
      <c r="AQ47" s="518">
        <f t="shared" si="37"/>
        <v>3021.6666666666665</v>
      </c>
      <c r="AR47" s="518">
        <f t="shared" si="38"/>
        <v>2682.9166666666665</v>
      </c>
      <c r="AS47" s="518">
        <f t="shared" si="39"/>
        <v>3202.75</v>
      </c>
      <c r="AT47" s="518">
        <f t="shared" si="40"/>
        <v>2727.5</v>
      </c>
      <c r="AU47" s="518">
        <f t="shared" si="41"/>
        <v>2383.3333333333335</v>
      </c>
      <c r="AV47" s="518">
        <f t="shared" si="42"/>
        <v>2248.4666666666667</v>
      </c>
      <c r="AW47" s="518">
        <f t="shared" si="43"/>
        <v>2160</v>
      </c>
      <c r="AX47" s="518">
        <f t="shared" si="44"/>
        <v>1191.6666666666667</v>
      </c>
      <c r="AY47" s="518">
        <f t="shared" si="45"/>
        <v>5062.166666666667</v>
      </c>
      <c r="AZ47" s="518">
        <f t="shared" si="46"/>
        <v>3863.3333333333335</v>
      </c>
      <c r="BA47" s="518">
        <f t="shared" si="47"/>
        <v>6034.8833333333332</v>
      </c>
      <c r="BB47" s="518">
        <f t="shared" ref="BB47:BB105" si="48">$D$46/60</f>
        <v>1625</v>
      </c>
      <c r="BC47" s="518">
        <f>$D$47/60</f>
        <v>2680</v>
      </c>
      <c r="BD47" s="518"/>
      <c r="BE47" s="518"/>
      <c r="BF47" s="518"/>
      <c r="BG47" s="518"/>
      <c r="BH47" s="518"/>
      <c r="BI47" s="518"/>
      <c r="BJ47" s="518"/>
      <c r="BK47" s="518"/>
      <c r="BL47" s="518"/>
      <c r="BM47" s="518"/>
      <c r="BN47" s="518">
        <f t="shared" si="4"/>
        <v>131683.35616666666</v>
      </c>
    </row>
    <row r="48" spans="1:66" s="585" customFormat="1" ht="12.75" customHeight="1" outlineLevel="1">
      <c r="A48" s="308" t="s">
        <v>55</v>
      </c>
      <c r="B48" s="308">
        <f t="shared" si="18"/>
        <v>2019</v>
      </c>
      <c r="C48" s="308" t="s">
        <v>47</v>
      </c>
      <c r="D48" s="518">
        <v>84100</v>
      </c>
      <c r="E48" s="518"/>
      <c r="F48" s="518">
        <f t="shared" si="5"/>
        <v>7985101.3700000001</v>
      </c>
      <c r="G48" s="518"/>
      <c r="H48" s="518">
        <v>125448.85</v>
      </c>
      <c r="I48" s="518">
        <f>SUM(H$5:H48)</f>
        <v>3051190.7300000009</v>
      </c>
      <c r="J48" s="518"/>
      <c r="K48" s="518">
        <f t="shared" si="2"/>
        <v>4933910.6399999987</v>
      </c>
      <c r="M48" s="518">
        <f t="shared" si="3"/>
        <v>108.33333333333333</v>
      </c>
      <c r="N48" s="518">
        <f t="shared" si="6"/>
        <v>2009.1666666666667</v>
      </c>
      <c r="O48" s="518">
        <f t="shared" si="7"/>
        <v>1443.8333333333333</v>
      </c>
      <c r="P48" s="518">
        <f t="shared" si="8"/>
        <v>3036.9666666666667</v>
      </c>
      <c r="Q48" s="518">
        <f t="shared" si="9"/>
        <v>3750.2549999999997</v>
      </c>
      <c r="R48" s="518">
        <f t="shared" si="11"/>
        <v>3412.3333333333335</v>
      </c>
      <c r="S48" s="518">
        <f t="shared" si="12"/>
        <v>2922</v>
      </c>
      <c r="T48" s="518">
        <f t="shared" si="13"/>
        <v>3612.2318333333333</v>
      </c>
      <c r="U48" s="518">
        <f t="shared" si="14"/>
        <v>1915</v>
      </c>
      <c r="V48" s="518">
        <f t="shared" si="15"/>
        <v>3087.5</v>
      </c>
      <c r="W48" s="518">
        <f t="shared" si="16"/>
        <v>2156.4166666666665</v>
      </c>
      <c r="X48" s="518">
        <f t="shared" si="17"/>
        <v>1704.25</v>
      </c>
      <c r="Y48" s="518">
        <f t="shared" si="19"/>
        <v>1701.4166666666667</v>
      </c>
      <c r="Z48" s="518">
        <f t="shared" si="20"/>
        <v>3332</v>
      </c>
      <c r="AA48" s="518">
        <f t="shared" si="21"/>
        <v>3463.9166666666665</v>
      </c>
      <c r="AB48" s="518">
        <f t="shared" si="22"/>
        <v>6523.384</v>
      </c>
      <c r="AC48" s="518">
        <f t="shared" si="23"/>
        <v>5817.6980000000003</v>
      </c>
      <c r="AD48" s="518">
        <f t="shared" si="24"/>
        <v>5048.5166666666664</v>
      </c>
      <c r="AE48" s="518">
        <f t="shared" si="25"/>
        <v>3510</v>
      </c>
      <c r="AF48" s="518">
        <f t="shared" si="26"/>
        <v>3522.25</v>
      </c>
      <c r="AG48" s="518">
        <f t="shared" si="27"/>
        <v>2181.6666666666665</v>
      </c>
      <c r="AH48" s="518">
        <f t="shared" si="28"/>
        <v>4224.666666666667</v>
      </c>
      <c r="AI48" s="518">
        <f t="shared" si="29"/>
        <v>3186.8166666666666</v>
      </c>
      <c r="AJ48" s="518">
        <f t="shared" si="30"/>
        <v>1841.6666666666667</v>
      </c>
      <c r="AK48" s="518">
        <f t="shared" si="31"/>
        <v>2671.2791666666667</v>
      </c>
      <c r="AL48" s="518">
        <f t="shared" si="32"/>
        <v>3033.3333333333335</v>
      </c>
      <c r="AM48" s="518">
        <f t="shared" si="33"/>
        <v>2364.1666666666665</v>
      </c>
      <c r="AN48" s="518">
        <f t="shared" si="34"/>
        <v>3639.1666666666665</v>
      </c>
      <c r="AO48" s="518">
        <f t="shared" si="35"/>
        <v>2635.1666666666665</v>
      </c>
      <c r="AP48" s="518">
        <f t="shared" si="36"/>
        <v>4944.2748333333329</v>
      </c>
      <c r="AQ48" s="518">
        <f t="shared" si="37"/>
        <v>3021.6666666666665</v>
      </c>
      <c r="AR48" s="518">
        <f t="shared" si="38"/>
        <v>2682.9166666666665</v>
      </c>
      <c r="AS48" s="518">
        <f t="shared" si="39"/>
        <v>3202.75</v>
      </c>
      <c r="AT48" s="518">
        <f t="shared" si="40"/>
        <v>2727.5</v>
      </c>
      <c r="AU48" s="518">
        <f t="shared" si="41"/>
        <v>2383.3333333333335</v>
      </c>
      <c r="AV48" s="518">
        <f t="shared" si="42"/>
        <v>2248.4666666666667</v>
      </c>
      <c r="AW48" s="518">
        <f t="shared" si="43"/>
        <v>2160</v>
      </c>
      <c r="AX48" s="518">
        <f t="shared" si="44"/>
        <v>1191.6666666666667</v>
      </c>
      <c r="AY48" s="518">
        <f t="shared" si="45"/>
        <v>5062.166666666667</v>
      </c>
      <c r="AZ48" s="518">
        <f t="shared" si="46"/>
        <v>3863.3333333333335</v>
      </c>
      <c r="BA48" s="518">
        <f t="shared" si="47"/>
        <v>6034.8833333333332</v>
      </c>
      <c r="BB48" s="518">
        <f t="shared" si="48"/>
        <v>1625</v>
      </c>
      <c r="BC48" s="518">
        <f t="shared" ref="BC48:BC106" si="49">$D$47/60</f>
        <v>2680</v>
      </c>
      <c r="BD48" s="518">
        <f>$D$48/60</f>
        <v>1401.6666666666667</v>
      </c>
      <c r="BE48" s="518"/>
      <c r="BF48" s="518"/>
      <c r="BG48" s="518"/>
      <c r="BH48" s="518"/>
      <c r="BI48" s="518"/>
      <c r="BJ48" s="518"/>
      <c r="BK48" s="518"/>
      <c r="BL48" s="518"/>
      <c r="BM48" s="518"/>
      <c r="BN48" s="518">
        <f t="shared" si="4"/>
        <v>133085.02283333332</v>
      </c>
    </row>
    <row r="49" spans="1:66" s="585" customFormat="1" ht="12.75" customHeight="1" outlineLevel="1">
      <c r="A49" s="308" t="s">
        <v>56</v>
      </c>
      <c r="B49" s="308">
        <f t="shared" si="18"/>
        <v>2019</v>
      </c>
      <c r="C49" s="308" t="s">
        <v>47</v>
      </c>
      <c r="D49" s="518">
        <v>44680</v>
      </c>
      <c r="E49" s="518"/>
      <c r="F49" s="518">
        <f t="shared" si="5"/>
        <v>8029781.3700000001</v>
      </c>
      <c r="G49" s="518"/>
      <c r="H49" s="518">
        <v>131576.22</v>
      </c>
      <c r="I49" s="518">
        <f>SUM(H$5:H49)</f>
        <v>3182766.9500000011</v>
      </c>
      <c r="J49" s="518"/>
      <c r="K49" s="518">
        <f t="shared" si="2"/>
        <v>4847014.419999999</v>
      </c>
      <c r="M49" s="518">
        <f t="shared" si="3"/>
        <v>108.33333333333333</v>
      </c>
      <c r="N49" s="518">
        <f t="shared" si="6"/>
        <v>2009.1666666666667</v>
      </c>
      <c r="O49" s="518">
        <f t="shared" si="7"/>
        <v>1443.8333333333333</v>
      </c>
      <c r="P49" s="518">
        <f t="shared" si="8"/>
        <v>3036.9666666666667</v>
      </c>
      <c r="Q49" s="518">
        <f t="shared" si="9"/>
        <v>3750.2549999999997</v>
      </c>
      <c r="R49" s="518">
        <f t="shared" si="11"/>
        <v>3412.3333333333335</v>
      </c>
      <c r="S49" s="518">
        <f t="shared" si="12"/>
        <v>2922</v>
      </c>
      <c r="T49" s="518">
        <f t="shared" si="13"/>
        <v>3612.2318333333333</v>
      </c>
      <c r="U49" s="518">
        <f t="shared" si="14"/>
        <v>1915</v>
      </c>
      <c r="V49" s="518">
        <f t="shared" si="15"/>
        <v>3087.5</v>
      </c>
      <c r="W49" s="518">
        <f t="shared" si="16"/>
        <v>2156.4166666666665</v>
      </c>
      <c r="X49" s="518">
        <f t="shared" si="17"/>
        <v>1704.25</v>
      </c>
      <c r="Y49" s="518">
        <f t="shared" si="19"/>
        <v>1701.4166666666667</v>
      </c>
      <c r="Z49" s="518">
        <f t="shared" si="20"/>
        <v>3332</v>
      </c>
      <c r="AA49" s="518">
        <f t="shared" si="21"/>
        <v>3463.9166666666665</v>
      </c>
      <c r="AB49" s="518">
        <f t="shared" si="22"/>
        <v>6523.384</v>
      </c>
      <c r="AC49" s="518">
        <f t="shared" si="23"/>
        <v>5817.6980000000003</v>
      </c>
      <c r="AD49" s="518">
        <f t="shared" si="24"/>
        <v>5048.5166666666664</v>
      </c>
      <c r="AE49" s="518">
        <f t="shared" si="25"/>
        <v>3510</v>
      </c>
      <c r="AF49" s="518">
        <f t="shared" si="26"/>
        <v>3522.25</v>
      </c>
      <c r="AG49" s="518">
        <f t="shared" si="27"/>
        <v>2181.6666666666665</v>
      </c>
      <c r="AH49" s="518">
        <f t="shared" si="28"/>
        <v>4224.666666666667</v>
      </c>
      <c r="AI49" s="518">
        <f t="shared" si="29"/>
        <v>3186.8166666666666</v>
      </c>
      <c r="AJ49" s="518">
        <f t="shared" si="30"/>
        <v>1841.6666666666667</v>
      </c>
      <c r="AK49" s="518">
        <f t="shared" si="31"/>
        <v>2671.2791666666667</v>
      </c>
      <c r="AL49" s="518">
        <f t="shared" si="32"/>
        <v>3033.3333333333335</v>
      </c>
      <c r="AM49" s="518">
        <f t="shared" si="33"/>
        <v>2364.1666666666665</v>
      </c>
      <c r="AN49" s="518">
        <f t="shared" si="34"/>
        <v>3639.1666666666665</v>
      </c>
      <c r="AO49" s="518">
        <f t="shared" si="35"/>
        <v>2635.1666666666665</v>
      </c>
      <c r="AP49" s="518">
        <f t="shared" si="36"/>
        <v>4944.2748333333329</v>
      </c>
      <c r="AQ49" s="518">
        <f t="shared" si="37"/>
        <v>3021.6666666666665</v>
      </c>
      <c r="AR49" s="518">
        <f t="shared" si="38"/>
        <v>2682.9166666666665</v>
      </c>
      <c r="AS49" s="518">
        <f t="shared" si="39"/>
        <v>3202.75</v>
      </c>
      <c r="AT49" s="518">
        <f t="shared" si="40"/>
        <v>2727.5</v>
      </c>
      <c r="AU49" s="518">
        <f t="shared" si="41"/>
        <v>2383.3333333333335</v>
      </c>
      <c r="AV49" s="518">
        <f t="shared" si="42"/>
        <v>2248.4666666666667</v>
      </c>
      <c r="AW49" s="518">
        <f t="shared" si="43"/>
        <v>2160</v>
      </c>
      <c r="AX49" s="518">
        <f t="shared" si="44"/>
        <v>1191.6666666666667</v>
      </c>
      <c r="AY49" s="518">
        <f t="shared" si="45"/>
        <v>5062.166666666667</v>
      </c>
      <c r="AZ49" s="518">
        <f t="shared" si="46"/>
        <v>3863.3333333333335</v>
      </c>
      <c r="BA49" s="518">
        <f t="shared" si="47"/>
        <v>6034.8833333333332</v>
      </c>
      <c r="BB49" s="518">
        <f t="shared" si="48"/>
        <v>1625</v>
      </c>
      <c r="BC49" s="518">
        <f t="shared" si="49"/>
        <v>2680</v>
      </c>
      <c r="BD49" s="518">
        <f t="shared" ref="BD49:BD107" si="50">$D$48/60</f>
        <v>1401.6666666666667</v>
      </c>
      <c r="BE49" s="619">
        <f>$D$49/60</f>
        <v>744.66666666666663</v>
      </c>
      <c r="BF49" s="619"/>
      <c r="BG49" s="619"/>
      <c r="BH49" s="619"/>
      <c r="BI49" s="619"/>
      <c r="BJ49" s="619"/>
      <c r="BK49" s="619"/>
      <c r="BL49" s="619"/>
      <c r="BM49" s="619"/>
      <c r="BN49" s="518">
        <f t="shared" si="4"/>
        <v>133829.68949999998</v>
      </c>
    </row>
    <row r="50" spans="1:66" s="585" customFormat="1" ht="12.75" customHeight="1" outlineLevel="1">
      <c r="A50" s="308" t="s">
        <v>57</v>
      </c>
      <c r="B50" s="308">
        <f t="shared" si="18"/>
        <v>2019</v>
      </c>
      <c r="C50" s="308" t="s">
        <v>47</v>
      </c>
      <c r="D50" s="518">
        <v>25600</v>
      </c>
      <c r="E50" s="518"/>
      <c r="F50" s="518">
        <f t="shared" si="5"/>
        <v>8055381.3700000001</v>
      </c>
      <c r="G50" s="518"/>
      <c r="H50" s="518">
        <v>150548.84</v>
      </c>
      <c r="I50" s="518">
        <f>SUM(H$5:H50)</f>
        <v>3333315.790000001</v>
      </c>
      <c r="J50" s="518"/>
      <c r="K50" s="518">
        <f t="shared" si="2"/>
        <v>4722065.5799999991</v>
      </c>
      <c r="M50" s="518">
        <f t="shared" si="3"/>
        <v>108.33333333333333</v>
      </c>
      <c r="N50" s="518">
        <f t="shared" si="6"/>
        <v>2009.1666666666667</v>
      </c>
      <c r="O50" s="518">
        <f t="shared" si="7"/>
        <v>1443.8333333333333</v>
      </c>
      <c r="P50" s="518">
        <f t="shared" si="8"/>
        <v>3036.9666666666667</v>
      </c>
      <c r="Q50" s="518">
        <f t="shared" si="9"/>
        <v>3750.2549999999997</v>
      </c>
      <c r="R50" s="518">
        <f t="shared" si="11"/>
        <v>3412.3333333333335</v>
      </c>
      <c r="S50" s="518">
        <f t="shared" si="12"/>
        <v>2922</v>
      </c>
      <c r="T50" s="518">
        <f t="shared" si="13"/>
        <v>3612.2318333333333</v>
      </c>
      <c r="U50" s="518">
        <f t="shared" si="14"/>
        <v>1915</v>
      </c>
      <c r="V50" s="518">
        <f t="shared" si="15"/>
        <v>3087.5</v>
      </c>
      <c r="W50" s="518">
        <f t="shared" si="16"/>
        <v>2156.4166666666665</v>
      </c>
      <c r="X50" s="518">
        <f t="shared" si="17"/>
        <v>1704.25</v>
      </c>
      <c r="Y50" s="518">
        <f t="shared" si="19"/>
        <v>1701.4166666666667</v>
      </c>
      <c r="Z50" s="518">
        <f t="shared" si="20"/>
        <v>3332</v>
      </c>
      <c r="AA50" s="518">
        <f t="shared" si="21"/>
        <v>3463.9166666666665</v>
      </c>
      <c r="AB50" s="518">
        <f t="shared" si="22"/>
        <v>6523.384</v>
      </c>
      <c r="AC50" s="518">
        <f t="shared" si="23"/>
        <v>5817.6980000000003</v>
      </c>
      <c r="AD50" s="518">
        <f t="shared" si="24"/>
        <v>5048.5166666666664</v>
      </c>
      <c r="AE50" s="518">
        <f t="shared" si="25"/>
        <v>3510</v>
      </c>
      <c r="AF50" s="518">
        <f t="shared" si="26"/>
        <v>3522.25</v>
      </c>
      <c r="AG50" s="518">
        <f t="shared" si="27"/>
        <v>2181.6666666666665</v>
      </c>
      <c r="AH50" s="518">
        <f t="shared" si="28"/>
        <v>4224.666666666667</v>
      </c>
      <c r="AI50" s="518">
        <f t="shared" si="29"/>
        <v>3186.8166666666666</v>
      </c>
      <c r="AJ50" s="518">
        <f t="shared" si="30"/>
        <v>1841.6666666666667</v>
      </c>
      <c r="AK50" s="518">
        <f t="shared" si="31"/>
        <v>2671.2791666666667</v>
      </c>
      <c r="AL50" s="518">
        <f t="shared" si="32"/>
        <v>3033.3333333333335</v>
      </c>
      <c r="AM50" s="518">
        <f t="shared" si="33"/>
        <v>2364.1666666666665</v>
      </c>
      <c r="AN50" s="518">
        <f t="shared" si="34"/>
        <v>3639.1666666666665</v>
      </c>
      <c r="AO50" s="518">
        <f t="shared" si="35"/>
        <v>2635.1666666666665</v>
      </c>
      <c r="AP50" s="518">
        <f t="shared" si="36"/>
        <v>4944.2748333333329</v>
      </c>
      <c r="AQ50" s="518">
        <f t="shared" si="37"/>
        <v>3021.6666666666665</v>
      </c>
      <c r="AR50" s="518">
        <f t="shared" si="38"/>
        <v>2682.9166666666665</v>
      </c>
      <c r="AS50" s="518">
        <f t="shared" si="39"/>
        <v>3202.75</v>
      </c>
      <c r="AT50" s="518">
        <f t="shared" si="40"/>
        <v>2727.5</v>
      </c>
      <c r="AU50" s="518">
        <f t="shared" si="41"/>
        <v>2383.3333333333335</v>
      </c>
      <c r="AV50" s="518">
        <f t="shared" si="42"/>
        <v>2248.4666666666667</v>
      </c>
      <c r="AW50" s="518">
        <f t="shared" si="43"/>
        <v>2160</v>
      </c>
      <c r="AX50" s="518">
        <f t="shared" si="44"/>
        <v>1191.6666666666667</v>
      </c>
      <c r="AY50" s="518">
        <f t="shared" si="45"/>
        <v>5062.166666666667</v>
      </c>
      <c r="AZ50" s="518">
        <f t="shared" si="46"/>
        <v>3863.3333333333335</v>
      </c>
      <c r="BA50" s="518">
        <f t="shared" si="47"/>
        <v>6034.8833333333332</v>
      </c>
      <c r="BB50" s="518">
        <f t="shared" si="48"/>
        <v>1625</v>
      </c>
      <c r="BC50" s="518">
        <f t="shared" si="49"/>
        <v>2680</v>
      </c>
      <c r="BD50" s="518">
        <f t="shared" si="50"/>
        <v>1401.6666666666667</v>
      </c>
      <c r="BE50" s="619">
        <f t="shared" ref="BE50:BE108" si="51">$D$49/60</f>
        <v>744.66666666666663</v>
      </c>
      <c r="BF50" s="619">
        <f>$D$50/60</f>
        <v>426.66666666666669</v>
      </c>
      <c r="BG50" s="619"/>
      <c r="BH50" s="619"/>
      <c r="BI50" s="619"/>
      <c r="BJ50" s="619"/>
      <c r="BK50" s="619"/>
      <c r="BL50" s="619"/>
      <c r="BM50" s="619"/>
      <c r="BN50" s="518">
        <f t="shared" si="4"/>
        <v>134256.35616666664</v>
      </c>
    </row>
    <row r="51" spans="1:66" s="585" customFormat="1" ht="12.75" customHeight="1" outlineLevel="1">
      <c r="A51" s="308" t="s">
        <v>58</v>
      </c>
      <c r="B51" s="308">
        <f t="shared" si="18"/>
        <v>2019</v>
      </c>
      <c r="C51" s="308" t="s">
        <v>47</v>
      </c>
      <c r="D51" s="518">
        <v>6500</v>
      </c>
      <c r="E51" s="518"/>
      <c r="F51" s="518">
        <f t="shared" si="5"/>
        <v>8061881.3700000001</v>
      </c>
      <c r="G51" s="518"/>
      <c r="H51" s="518">
        <v>128325.15</v>
      </c>
      <c r="I51" s="518">
        <f>SUM(H$5:H51)</f>
        <v>3461640.9400000009</v>
      </c>
      <c r="J51" s="518"/>
      <c r="K51" s="518">
        <f t="shared" si="2"/>
        <v>4600240.43</v>
      </c>
      <c r="M51" s="518">
        <f t="shared" si="3"/>
        <v>108.33333333333333</v>
      </c>
      <c r="N51" s="518">
        <f t="shared" si="6"/>
        <v>2009.1666666666667</v>
      </c>
      <c r="O51" s="518">
        <f t="shared" si="7"/>
        <v>1443.8333333333333</v>
      </c>
      <c r="P51" s="518">
        <f t="shared" si="8"/>
        <v>3036.9666666666667</v>
      </c>
      <c r="Q51" s="518">
        <f t="shared" si="9"/>
        <v>3750.2549999999997</v>
      </c>
      <c r="R51" s="518">
        <f t="shared" si="11"/>
        <v>3412.3333333333335</v>
      </c>
      <c r="S51" s="518">
        <f t="shared" si="12"/>
        <v>2922</v>
      </c>
      <c r="T51" s="518">
        <f t="shared" si="13"/>
        <v>3612.2318333333333</v>
      </c>
      <c r="U51" s="518">
        <f t="shared" si="14"/>
        <v>1915</v>
      </c>
      <c r="V51" s="518">
        <f t="shared" si="15"/>
        <v>3087.5</v>
      </c>
      <c r="W51" s="518">
        <f t="shared" si="16"/>
        <v>2156.4166666666665</v>
      </c>
      <c r="X51" s="518">
        <f t="shared" si="17"/>
        <v>1704.25</v>
      </c>
      <c r="Y51" s="518">
        <f t="shared" si="19"/>
        <v>1701.4166666666667</v>
      </c>
      <c r="Z51" s="518">
        <f t="shared" si="20"/>
        <v>3332</v>
      </c>
      <c r="AA51" s="518">
        <f t="shared" si="21"/>
        <v>3463.9166666666665</v>
      </c>
      <c r="AB51" s="518">
        <f t="shared" si="22"/>
        <v>6523.384</v>
      </c>
      <c r="AC51" s="518">
        <f t="shared" si="23"/>
        <v>5817.6980000000003</v>
      </c>
      <c r="AD51" s="518">
        <f t="shared" si="24"/>
        <v>5048.5166666666664</v>
      </c>
      <c r="AE51" s="518">
        <f t="shared" si="25"/>
        <v>3510</v>
      </c>
      <c r="AF51" s="518">
        <f t="shared" si="26"/>
        <v>3522.25</v>
      </c>
      <c r="AG51" s="518">
        <f t="shared" si="27"/>
        <v>2181.6666666666665</v>
      </c>
      <c r="AH51" s="518">
        <f t="shared" si="28"/>
        <v>4224.666666666667</v>
      </c>
      <c r="AI51" s="518">
        <f t="shared" si="29"/>
        <v>3186.8166666666666</v>
      </c>
      <c r="AJ51" s="518">
        <f t="shared" si="30"/>
        <v>1841.6666666666667</v>
      </c>
      <c r="AK51" s="518">
        <f t="shared" si="31"/>
        <v>2671.2791666666667</v>
      </c>
      <c r="AL51" s="518">
        <f t="shared" si="32"/>
        <v>3033.3333333333335</v>
      </c>
      <c r="AM51" s="518">
        <f t="shared" si="33"/>
        <v>2364.1666666666665</v>
      </c>
      <c r="AN51" s="518">
        <f t="shared" si="34"/>
        <v>3639.1666666666665</v>
      </c>
      <c r="AO51" s="518">
        <f t="shared" si="35"/>
        <v>2635.1666666666665</v>
      </c>
      <c r="AP51" s="518">
        <f t="shared" si="36"/>
        <v>4944.2748333333329</v>
      </c>
      <c r="AQ51" s="518">
        <f t="shared" si="37"/>
        <v>3021.6666666666665</v>
      </c>
      <c r="AR51" s="518">
        <f t="shared" si="38"/>
        <v>2682.9166666666665</v>
      </c>
      <c r="AS51" s="518">
        <f t="shared" si="39"/>
        <v>3202.75</v>
      </c>
      <c r="AT51" s="518">
        <f t="shared" si="40"/>
        <v>2727.5</v>
      </c>
      <c r="AU51" s="518">
        <f t="shared" si="41"/>
        <v>2383.3333333333335</v>
      </c>
      <c r="AV51" s="518">
        <f t="shared" si="42"/>
        <v>2248.4666666666667</v>
      </c>
      <c r="AW51" s="518">
        <f t="shared" si="43"/>
        <v>2160</v>
      </c>
      <c r="AX51" s="518">
        <f t="shared" si="44"/>
        <v>1191.6666666666667</v>
      </c>
      <c r="AY51" s="518">
        <f t="shared" si="45"/>
        <v>5062.166666666667</v>
      </c>
      <c r="AZ51" s="518">
        <f t="shared" si="46"/>
        <v>3863.3333333333335</v>
      </c>
      <c r="BA51" s="518">
        <f t="shared" si="47"/>
        <v>6034.8833333333332</v>
      </c>
      <c r="BB51" s="518">
        <f t="shared" si="48"/>
        <v>1625</v>
      </c>
      <c r="BC51" s="518">
        <f t="shared" si="49"/>
        <v>2680</v>
      </c>
      <c r="BD51" s="518">
        <f t="shared" si="50"/>
        <v>1401.6666666666667</v>
      </c>
      <c r="BE51" s="619">
        <f t="shared" si="51"/>
        <v>744.66666666666663</v>
      </c>
      <c r="BF51" s="619">
        <f t="shared" ref="BF51:BF109" si="52">$D$50/60</f>
        <v>426.66666666666669</v>
      </c>
      <c r="BG51" s="619">
        <f>$D$51/60</f>
        <v>108.33333333333333</v>
      </c>
      <c r="BH51" s="619"/>
      <c r="BI51" s="619"/>
      <c r="BJ51" s="619"/>
      <c r="BK51" s="619"/>
      <c r="BL51" s="619"/>
      <c r="BM51" s="619"/>
      <c r="BN51" s="518">
        <f t="shared" si="4"/>
        <v>134364.68949999998</v>
      </c>
    </row>
    <row r="52" spans="1:66" s="585" customFormat="1" ht="12.75" customHeight="1" outlineLevel="1">
      <c r="A52" s="308" t="s">
        <v>59</v>
      </c>
      <c r="B52" s="308">
        <f t="shared" si="18"/>
        <v>2019</v>
      </c>
      <c r="C52" s="308" t="s">
        <v>47</v>
      </c>
      <c r="D52" s="518">
        <v>11600</v>
      </c>
      <c r="E52" s="518"/>
      <c r="F52" s="518">
        <f t="shared" si="5"/>
        <v>8073481.3700000001</v>
      </c>
      <c r="G52" s="518"/>
      <c r="H52" s="629">
        <f>195764.82-40722.85</f>
        <v>155041.97</v>
      </c>
      <c r="I52" s="518">
        <f>SUM(H$5:H52)</f>
        <v>3616682.9100000011</v>
      </c>
      <c r="J52" s="518"/>
      <c r="K52" s="518">
        <f t="shared" si="2"/>
        <v>4456798.459999999</v>
      </c>
      <c r="M52" s="518">
        <f t="shared" si="3"/>
        <v>108.33333333333333</v>
      </c>
      <c r="N52" s="518">
        <f t="shared" si="6"/>
        <v>2009.1666666666667</v>
      </c>
      <c r="O52" s="518">
        <f t="shared" si="7"/>
        <v>1443.8333333333333</v>
      </c>
      <c r="P52" s="518">
        <f t="shared" si="8"/>
        <v>3036.9666666666667</v>
      </c>
      <c r="Q52" s="518">
        <f t="shared" si="9"/>
        <v>3750.2549999999997</v>
      </c>
      <c r="R52" s="518">
        <f t="shared" si="11"/>
        <v>3412.3333333333335</v>
      </c>
      <c r="S52" s="518">
        <f t="shared" si="12"/>
        <v>2922</v>
      </c>
      <c r="T52" s="518">
        <f t="shared" si="13"/>
        <v>3612.2318333333333</v>
      </c>
      <c r="U52" s="518">
        <f t="shared" si="14"/>
        <v>1915</v>
      </c>
      <c r="V52" s="518">
        <f t="shared" si="15"/>
        <v>3087.5</v>
      </c>
      <c r="W52" s="518">
        <f t="shared" si="16"/>
        <v>2156.4166666666665</v>
      </c>
      <c r="X52" s="518">
        <f t="shared" si="17"/>
        <v>1704.25</v>
      </c>
      <c r="Y52" s="518">
        <f t="shared" si="19"/>
        <v>1701.4166666666667</v>
      </c>
      <c r="Z52" s="518">
        <f t="shared" si="20"/>
        <v>3332</v>
      </c>
      <c r="AA52" s="518">
        <f t="shared" si="21"/>
        <v>3463.9166666666665</v>
      </c>
      <c r="AB52" s="518">
        <f t="shared" si="22"/>
        <v>6523.384</v>
      </c>
      <c r="AC52" s="518">
        <f t="shared" si="23"/>
        <v>5817.6980000000003</v>
      </c>
      <c r="AD52" s="518">
        <f t="shared" si="24"/>
        <v>5048.5166666666664</v>
      </c>
      <c r="AE52" s="518">
        <f t="shared" si="25"/>
        <v>3510</v>
      </c>
      <c r="AF52" s="518">
        <f t="shared" si="26"/>
        <v>3522.25</v>
      </c>
      <c r="AG52" s="518">
        <f t="shared" si="27"/>
        <v>2181.6666666666665</v>
      </c>
      <c r="AH52" s="518">
        <f t="shared" si="28"/>
        <v>4224.666666666667</v>
      </c>
      <c r="AI52" s="518">
        <f t="shared" si="29"/>
        <v>3186.8166666666666</v>
      </c>
      <c r="AJ52" s="518">
        <f t="shared" si="30"/>
        <v>1841.6666666666667</v>
      </c>
      <c r="AK52" s="518">
        <f t="shared" si="31"/>
        <v>2671.2791666666667</v>
      </c>
      <c r="AL52" s="518">
        <f t="shared" si="32"/>
        <v>3033.3333333333335</v>
      </c>
      <c r="AM52" s="518">
        <f t="shared" si="33"/>
        <v>2364.1666666666665</v>
      </c>
      <c r="AN52" s="518">
        <f t="shared" si="34"/>
        <v>3639.1666666666665</v>
      </c>
      <c r="AO52" s="518">
        <f t="shared" si="35"/>
        <v>2635.1666666666665</v>
      </c>
      <c r="AP52" s="518">
        <f t="shared" si="36"/>
        <v>4944.2748333333329</v>
      </c>
      <c r="AQ52" s="518">
        <f t="shared" si="37"/>
        <v>3021.6666666666665</v>
      </c>
      <c r="AR52" s="518">
        <f t="shared" si="38"/>
        <v>2682.9166666666665</v>
      </c>
      <c r="AS52" s="518">
        <f t="shared" si="39"/>
        <v>3202.75</v>
      </c>
      <c r="AT52" s="518">
        <f t="shared" si="40"/>
        <v>2727.5</v>
      </c>
      <c r="AU52" s="518">
        <f t="shared" si="41"/>
        <v>2383.3333333333335</v>
      </c>
      <c r="AV52" s="518">
        <f t="shared" si="42"/>
        <v>2248.4666666666667</v>
      </c>
      <c r="AW52" s="518">
        <f t="shared" si="43"/>
        <v>2160</v>
      </c>
      <c r="AX52" s="518">
        <f t="shared" si="44"/>
        <v>1191.6666666666667</v>
      </c>
      <c r="AY52" s="518">
        <f t="shared" si="45"/>
        <v>5062.166666666667</v>
      </c>
      <c r="AZ52" s="518">
        <f t="shared" si="46"/>
        <v>3863.3333333333335</v>
      </c>
      <c r="BA52" s="518">
        <f t="shared" si="47"/>
        <v>6034.8833333333332</v>
      </c>
      <c r="BB52" s="518">
        <f t="shared" si="48"/>
        <v>1625</v>
      </c>
      <c r="BC52" s="518">
        <f t="shared" si="49"/>
        <v>2680</v>
      </c>
      <c r="BD52" s="518">
        <f t="shared" si="50"/>
        <v>1401.6666666666667</v>
      </c>
      <c r="BE52" s="619">
        <f t="shared" si="51"/>
        <v>744.66666666666663</v>
      </c>
      <c r="BF52" s="619">
        <f t="shared" si="52"/>
        <v>426.66666666666669</v>
      </c>
      <c r="BG52" s="619">
        <f t="shared" ref="BG52:BG110" si="53">$D$51/60</f>
        <v>108.33333333333333</v>
      </c>
      <c r="BH52" s="619">
        <f>$D$52/60</f>
        <v>193.33333333333334</v>
      </c>
      <c r="BI52" s="619"/>
      <c r="BJ52" s="619"/>
      <c r="BK52" s="619"/>
      <c r="BL52" s="619"/>
      <c r="BM52" s="619"/>
      <c r="BN52" s="518">
        <f t="shared" si="4"/>
        <v>134558.02283333332</v>
      </c>
    </row>
    <row r="53" spans="1:66" s="585" customFormat="1" ht="12.75" customHeight="1" outlineLevel="1">
      <c r="A53" s="308" t="s">
        <v>46</v>
      </c>
      <c r="B53" s="308">
        <f t="shared" si="18"/>
        <v>2019</v>
      </c>
      <c r="C53" s="308" t="s">
        <v>47</v>
      </c>
      <c r="D53" s="518">
        <v>6500</v>
      </c>
      <c r="E53" s="518"/>
      <c r="F53" s="518">
        <f t="shared" si="5"/>
        <v>8079981.3700000001</v>
      </c>
      <c r="G53" s="518"/>
      <c r="H53" s="518">
        <v>152940.57</v>
      </c>
      <c r="I53" s="518">
        <f>SUM(H$5:H53)</f>
        <v>3769623.4800000009</v>
      </c>
      <c r="J53" s="518"/>
      <c r="K53" s="518">
        <f t="shared" si="2"/>
        <v>4310357.8899999987</v>
      </c>
      <c r="M53" s="518">
        <f t="shared" si="3"/>
        <v>108.33333333333333</v>
      </c>
      <c r="N53" s="518">
        <f t="shared" si="6"/>
        <v>2009.1666666666667</v>
      </c>
      <c r="O53" s="518">
        <f t="shared" si="7"/>
        <v>1443.8333333333333</v>
      </c>
      <c r="P53" s="518">
        <f t="shared" si="8"/>
        <v>3036.9666666666667</v>
      </c>
      <c r="Q53" s="518">
        <f t="shared" si="9"/>
        <v>3750.2549999999997</v>
      </c>
      <c r="R53" s="518">
        <f t="shared" si="11"/>
        <v>3412.3333333333335</v>
      </c>
      <c r="S53" s="518">
        <f t="shared" si="12"/>
        <v>2922</v>
      </c>
      <c r="T53" s="518">
        <f t="shared" si="13"/>
        <v>3612.2318333333333</v>
      </c>
      <c r="U53" s="518">
        <f t="shared" si="14"/>
        <v>1915</v>
      </c>
      <c r="V53" s="518">
        <f t="shared" si="15"/>
        <v>3087.5</v>
      </c>
      <c r="W53" s="518">
        <f t="shared" si="16"/>
        <v>2156.4166666666665</v>
      </c>
      <c r="X53" s="518">
        <f t="shared" si="17"/>
        <v>1704.25</v>
      </c>
      <c r="Y53" s="518">
        <f t="shared" si="19"/>
        <v>1701.4166666666667</v>
      </c>
      <c r="Z53" s="518">
        <f t="shared" si="20"/>
        <v>3332</v>
      </c>
      <c r="AA53" s="518">
        <f t="shared" si="21"/>
        <v>3463.9166666666665</v>
      </c>
      <c r="AB53" s="518">
        <f t="shared" si="22"/>
        <v>6523.384</v>
      </c>
      <c r="AC53" s="518">
        <f t="shared" si="23"/>
        <v>5817.6980000000003</v>
      </c>
      <c r="AD53" s="518">
        <f t="shared" si="24"/>
        <v>5048.5166666666664</v>
      </c>
      <c r="AE53" s="518">
        <f t="shared" si="25"/>
        <v>3510</v>
      </c>
      <c r="AF53" s="518">
        <f t="shared" si="26"/>
        <v>3522.25</v>
      </c>
      <c r="AG53" s="518">
        <f t="shared" si="27"/>
        <v>2181.6666666666665</v>
      </c>
      <c r="AH53" s="518">
        <f t="shared" si="28"/>
        <v>4224.666666666667</v>
      </c>
      <c r="AI53" s="518">
        <f t="shared" si="29"/>
        <v>3186.8166666666666</v>
      </c>
      <c r="AJ53" s="518">
        <f t="shared" si="30"/>
        <v>1841.6666666666667</v>
      </c>
      <c r="AK53" s="518">
        <f t="shared" si="31"/>
        <v>2671.2791666666667</v>
      </c>
      <c r="AL53" s="518">
        <f t="shared" si="32"/>
        <v>3033.3333333333335</v>
      </c>
      <c r="AM53" s="518">
        <f t="shared" si="33"/>
        <v>2364.1666666666665</v>
      </c>
      <c r="AN53" s="518">
        <f t="shared" si="34"/>
        <v>3639.1666666666665</v>
      </c>
      <c r="AO53" s="518">
        <f t="shared" si="35"/>
        <v>2635.1666666666665</v>
      </c>
      <c r="AP53" s="518">
        <f t="shared" si="36"/>
        <v>4944.2748333333329</v>
      </c>
      <c r="AQ53" s="518">
        <f t="shared" si="37"/>
        <v>3021.6666666666665</v>
      </c>
      <c r="AR53" s="518">
        <f t="shared" si="38"/>
        <v>2682.9166666666665</v>
      </c>
      <c r="AS53" s="518">
        <f t="shared" si="39"/>
        <v>3202.75</v>
      </c>
      <c r="AT53" s="518">
        <f t="shared" si="40"/>
        <v>2727.5</v>
      </c>
      <c r="AU53" s="518">
        <f t="shared" si="41"/>
        <v>2383.3333333333335</v>
      </c>
      <c r="AV53" s="518">
        <f t="shared" si="42"/>
        <v>2248.4666666666667</v>
      </c>
      <c r="AW53" s="518">
        <f t="shared" si="43"/>
        <v>2160</v>
      </c>
      <c r="AX53" s="518">
        <f t="shared" si="44"/>
        <v>1191.6666666666667</v>
      </c>
      <c r="AY53" s="518">
        <f t="shared" si="45"/>
        <v>5062.166666666667</v>
      </c>
      <c r="AZ53" s="518">
        <f t="shared" si="46"/>
        <v>3863.3333333333335</v>
      </c>
      <c r="BA53" s="518">
        <f t="shared" si="47"/>
        <v>6034.8833333333332</v>
      </c>
      <c r="BB53" s="518">
        <f t="shared" si="48"/>
        <v>1625</v>
      </c>
      <c r="BC53" s="518">
        <f t="shared" si="49"/>
        <v>2680</v>
      </c>
      <c r="BD53" s="518">
        <f t="shared" si="50"/>
        <v>1401.6666666666667</v>
      </c>
      <c r="BE53" s="619">
        <f t="shared" si="51"/>
        <v>744.66666666666663</v>
      </c>
      <c r="BF53" s="619">
        <f t="shared" si="52"/>
        <v>426.66666666666669</v>
      </c>
      <c r="BG53" s="619">
        <f t="shared" si="53"/>
        <v>108.33333333333333</v>
      </c>
      <c r="BH53" s="619">
        <f t="shared" ref="BH53:BH111" si="54">$D$52/60</f>
        <v>193.33333333333334</v>
      </c>
      <c r="BI53" s="619">
        <f>$D$53/60</f>
        <v>108.33333333333333</v>
      </c>
      <c r="BJ53" s="619"/>
      <c r="BK53" s="619"/>
      <c r="BL53" s="619"/>
      <c r="BM53" s="619"/>
      <c r="BN53" s="518">
        <f t="shared" si="4"/>
        <v>134666.35616666666</v>
      </c>
    </row>
    <row r="54" spans="1:66" s="585" customFormat="1" ht="12.75" customHeight="1" outlineLevel="1">
      <c r="A54" s="308" t="s">
        <v>48</v>
      </c>
      <c r="B54" s="308">
        <f t="shared" si="18"/>
        <v>2019</v>
      </c>
      <c r="C54" s="308" t="s">
        <v>47</v>
      </c>
      <c r="D54" s="518"/>
      <c r="E54" s="518"/>
      <c r="F54" s="518">
        <f t="shared" si="5"/>
        <v>8079981.3700000001</v>
      </c>
      <c r="G54" s="518"/>
      <c r="H54" s="518">
        <v>136158.43</v>
      </c>
      <c r="I54" s="518">
        <f>SUM(H$5:H54)</f>
        <v>3905781.9100000011</v>
      </c>
      <c r="J54" s="518"/>
      <c r="K54" s="518">
        <f t="shared" si="2"/>
        <v>4174199.459999999</v>
      </c>
      <c r="M54" s="518">
        <f t="shared" si="3"/>
        <v>108.33333333333333</v>
      </c>
      <c r="N54" s="518">
        <f t="shared" si="6"/>
        <v>2009.1666666666667</v>
      </c>
      <c r="O54" s="518">
        <f t="shared" si="7"/>
        <v>1443.8333333333333</v>
      </c>
      <c r="P54" s="518">
        <f t="shared" si="8"/>
        <v>3036.9666666666667</v>
      </c>
      <c r="Q54" s="518">
        <f t="shared" si="9"/>
        <v>3750.2549999999997</v>
      </c>
      <c r="R54" s="518">
        <f t="shared" si="11"/>
        <v>3412.3333333333335</v>
      </c>
      <c r="S54" s="518">
        <f t="shared" si="12"/>
        <v>2922</v>
      </c>
      <c r="T54" s="518">
        <f t="shared" si="13"/>
        <v>3612.2318333333333</v>
      </c>
      <c r="U54" s="518">
        <f t="shared" si="14"/>
        <v>1915</v>
      </c>
      <c r="V54" s="518">
        <f t="shared" si="15"/>
        <v>3087.5</v>
      </c>
      <c r="W54" s="518">
        <f t="shared" si="16"/>
        <v>2156.4166666666665</v>
      </c>
      <c r="X54" s="518">
        <f t="shared" si="17"/>
        <v>1704.25</v>
      </c>
      <c r="Y54" s="518">
        <f t="shared" si="19"/>
        <v>1701.4166666666667</v>
      </c>
      <c r="Z54" s="518">
        <f t="shared" si="20"/>
        <v>3332</v>
      </c>
      <c r="AA54" s="518">
        <f t="shared" si="21"/>
        <v>3463.9166666666665</v>
      </c>
      <c r="AB54" s="518">
        <f t="shared" si="22"/>
        <v>6523.384</v>
      </c>
      <c r="AC54" s="518">
        <f t="shared" si="23"/>
        <v>5817.6980000000003</v>
      </c>
      <c r="AD54" s="518">
        <f t="shared" si="24"/>
        <v>5048.5166666666664</v>
      </c>
      <c r="AE54" s="518">
        <f t="shared" si="25"/>
        <v>3510</v>
      </c>
      <c r="AF54" s="518">
        <f t="shared" si="26"/>
        <v>3522.25</v>
      </c>
      <c r="AG54" s="518">
        <f t="shared" si="27"/>
        <v>2181.6666666666665</v>
      </c>
      <c r="AH54" s="518">
        <f t="shared" si="28"/>
        <v>4224.666666666667</v>
      </c>
      <c r="AI54" s="518">
        <f t="shared" si="29"/>
        <v>3186.8166666666666</v>
      </c>
      <c r="AJ54" s="518">
        <f t="shared" si="30"/>
        <v>1841.6666666666667</v>
      </c>
      <c r="AK54" s="518">
        <f t="shared" si="31"/>
        <v>2671.2791666666667</v>
      </c>
      <c r="AL54" s="518">
        <f t="shared" si="32"/>
        <v>3033.3333333333335</v>
      </c>
      <c r="AM54" s="518">
        <f t="shared" si="33"/>
        <v>2364.1666666666665</v>
      </c>
      <c r="AN54" s="518">
        <f t="shared" si="34"/>
        <v>3639.1666666666665</v>
      </c>
      <c r="AO54" s="518">
        <f t="shared" si="35"/>
        <v>2635.1666666666665</v>
      </c>
      <c r="AP54" s="518">
        <f t="shared" si="36"/>
        <v>4944.2748333333329</v>
      </c>
      <c r="AQ54" s="518">
        <f t="shared" si="37"/>
        <v>3021.6666666666665</v>
      </c>
      <c r="AR54" s="518">
        <f t="shared" si="38"/>
        <v>2682.9166666666665</v>
      </c>
      <c r="AS54" s="518">
        <f t="shared" si="39"/>
        <v>3202.75</v>
      </c>
      <c r="AT54" s="518">
        <f t="shared" si="40"/>
        <v>2727.5</v>
      </c>
      <c r="AU54" s="518">
        <f t="shared" si="41"/>
        <v>2383.3333333333335</v>
      </c>
      <c r="AV54" s="518">
        <f t="shared" si="42"/>
        <v>2248.4666666666667</v>
      </c>
      <c r="AW54" s="518">
        <f t="shared" si="43"/>
        <v>2160</v>
      </c>
      <c r="AX54" s="518">
        <f t="shared" si="44"/>
        <v>1191.6666666666667</v>
      </c>
      <c r="AY54" s="518">
        <f t="shared" si="45"/>
        <v>5062.166666666667</v>
      </c>
      <c r="AZ54" s="518">
        <f t="shared" si="46"/>
        <v>3863.3333333333335</v>
      </c>
      <c r="BA54" s="518">
        <f t="shared" si="47"/>
        <v>6034.8833333333332</v>
      </c>
      <c r="BB54" s="518">
        <f t="shared" si="48"/>
        <v>1625</v>
      </c>
      <c r="BC54" s="518">
        <f t="shared" si="49"/>
        <v>2680</v>
      </c>
      <c r="BD54" s="518">
        <f t="shared" si="50"/>
        <v>1401.6666666666667</v>
      </c>
      <c r="BE54" s="619">
        <f t="shared" si="51"/>
        <v>744.66666666666663</v>
      </c>
      <c r="BF54" s="619">
        <f t="shared" si="52"/>
        <v>426.66666666666669</v>
      </c>
      <c r="BG54" s="619">
        <f t="shared" si="53"/>
        <v>108.33333333333333</v>
      </c>
      <c r="BH54" s="619">
        <f t="shared" si="54"/>
        <v>193.33333333333334</v>
      </c>
      <c r="BI54" s="619">
        <f t="shared" ref="BI54:BI112" si="55">$D$53/60</f>
        <v>108.33333333333333</v>
      </c>
      <c r="BJ54" s="619">
        <f>$D$54/60</f>
        <v>0</v>
      </c>
      <c r="BK54" s="619"/>
      <c r="BL54" s="619"/>
      <c r="BM54" s="619"/>
      <c r="BN54" s="518">
        <f t="shared" si="4"/>
        <v>134666.35616666666</v>
      </c>
    </row>
    <row r="55" spans="1:66" s="585" customFormat="1" ht="12.75" customHeight="1" outlineLevel="1">
      <c r="A55" s="308" t="s">
        <v>50</v>
      </c>
      <c r="B55" s="308">
        <f t="shared" si="18"/>
        <v>2019</v>
      </c>
      <c r="C55" s="308" t="s">
        <v>47</v>
      </c>
      <c r="D55" s="518">
        <v>5800</v>
      </c>
      <c r="E55" s="518"/>
      <c r="F55" s="518">
        <f t="shared" si="5"/>
        <v>8085781.3700000001</v>
      </c>
      <c r="G55" s="518"/>
      <c r="H55" s="518">
        <v>139379.70000000001</v>
      </c>
      <c r="I55" s="518">
        <f>SUM(H$5:H55)</f>
        <v>4045161.6100000013</v>
      </c>
      <c r="J55" s="518"/>
      <c r="K55" s="518">
        <f t="shared" si="2"/>
        <v>4040619.7599999988</v>
      </c>
      <c r="M55" s="518">
        <f t="shared" si="3"/>
        <v>108.33333333333333</v>
      </c>
      <c r="N55" s="518">
        <f t="shared" si="6"/>
        <v>2009.1666666666667</v>
      </c>
      <c r="O55" s="518">
        <f t="shared" si="7"/>
        <v>1443.8333333333333</v>
      </c>
      <c r="P55" s="518">
        <f t="shared" si="8"/>
        <v>3036.9666666666667</v>
      </c>
      <c r="Q55" s="518">
        <f t="shared" si="9"/>
        <v>3750.2549999999997</v>
      </c>
      <c r="R55" s="518">
        <f t="shared" si="11"/>
        <v>3412.3333333333335</v>
      </c>
      <c r="S55" s="518">
        <f t="shared" si="12"/>
        <v>2922</v>
      </c>
      <c r="T55" s="518">
        <f t="shared" si="13"/>
        <v>3612.2318333333333</v>
      </c>
      <c r="U55" s="518">
        <f t="shared" si="14"/>
        <v>1915</v>
      </c>
      <c r="V55" s="518">
        <f t="shared" si="15"/>
        <v>3087.5</v>
      </c>
      <c r="W55" s="518">
        <f t="shared" si="16"/>
        <v>2156.4166666666665</v>
      </c>
      <c r="X55" s="518">
        <f t="shared" si="17"/>
        <v>1704.25</v>
      </c>
      <c r="Y55" s="518">
        <f t="shared" si="19"/>
        <v>1701.4166666666667</v>
      </c>
      <c r="Z55" s="518">
        <f t="shared" si="20"/>
        <v>3332</v>
      </c>
      <c r="AA55" s="518">
        <f t="shared" si="21"/>
        <v>3463.9166666666665</v>
      </c>
      <c r="AB55" s="518">
        <f t="shared" si="22"/>
        <v>6523.384</v>
      </c>
      <c r="AC55" s="518">
        <f t="shared" si="23"/>
        <v>5817.6980000000003</v>
      </c>
      <c r="AD55" s="518">
        <f t="shared" si="24"/>
        <v>5048.5166666666664</v>
      </c>
      <c r="AE55" s="518">
        <f t="shared" si="25"/>
        <v>3510</v>
      </c>
      <c r="AF55" s="518">
        <f t="shared" si="26"/>
        <v>3522.25</v>
      </c>
      <c r="AG55" s="518">
        <f t="shared" si="27"/>
        <v>2181.6666666666665</v>
      </c>
      <c r="AH55" s="518">
        <f t="shared" si="28"/>
        <v>4224.666666666667</v>
      </c>
      <c r="AI55" s="518">
        <f t="shared" si="29"/>
        <v>3186.8166666666666</v>
      </c>
      <c r="AJ55" s="518">
        <f t="shared" si="30"/>
        <v>1841.6666666666667</v>
      </c>
      <c r="AK55" s="518">
        <f t="shared" si="31"/>
        <v>2671.2791666666667</v>
      </c>
      <c r="AL55" s="518">
        <f t="shared" si="32"/>
        <v>3033.3333333333335</v>
      </c>
      <c r="AM55" s="518">
        <f t="shared" si="33"/>
        <v>2364.1666666666665</v>
      </c>
      <c r="AN55" s="518">
        <f t="shared" si="34"/>
        <v>3639.1666666666665</v>
      </c>
      <c r="AO55" s="518">
        <f t="shared" si="35"/>
        <v>2635.1666666666665</v>
      </c>
      <c r="AP55" s="518">
        <f t="shared" si="36"/>
        <v>4944.2748333333329</v>
      </c>
      <c r="AQ55" s="518">
        <f t="shared" si="37"/>
        <v>3021.6666666666665</v>
      </c>
      <c r="AR55" s="518">
        <f t="shared" si="38"/>
        <v>2682.9166666666665</v>
      </c>
      <c r="AS55" s="518">
        <f t="shared" si="39"/>
        <v>3202.75</v>
      </c>
      <c r="AT55" s="518">
        <f t="shared" si="40"/>
        <v>2727.5</v>
      </c>
      <c r="AU55" s="518">
        <f t="shared" si="41"/>
        <v>2383.3333333333335</v>
      </c>
      <c r="AV55" s="518">
        <f t="shared" si="42"/>
        <v>2248.4666666666667</v>
      </c>
      <c r="AW55" s="518">
        <f t="shared" si="43"/>
        <v>2160</v>
      </c>
      <c r="AX55" s="518">
        <f t="shared" si="44"/>
        <v>1191.6666666666667</v>
      </c>
      <c r="AY55" s="518">
        <f t="shared" si="45"/>
        <v>5062.166666666667</v>
      </c>
      <c r="AZ55" s="518">
        <f t="shared" si="46"/>
        <v>3863.3333333333335</v>
      </c>
      <c r="BA55" s="518">
        <f t="shared" si="47"/>
        <v>6034.8833333333332</v>
      </c>
      <c r="BB55" s="518">
        <f t="shared" si="48"/>
        <v>1625</v>
      </c>
      <c r="BC55" s="518">
        <f t="shared" si="49"/>
        <v>2680</v>
      </c>
      <c r="BD55" s="518">
        <f t="shared" si="50"/>
        <v>1401.6666666666667</v>
      </c>
      <c r="BE55" s="619">
        <f t="shared" si="51"/>
        <v>744.66666666666663</v>
      </c>
      <c r="BF55" s="619">
        <f t="shared" si="52"/>
        <v>426.66666666666669</v>
      </c>
      <c r="BG55" s="619">
        <f t="shared" si="53"/>
        <v>108.33333333333333</v>
      </c>
      <c r="BH55" s="619">
        <f t="shared" si="54"/>
        <v>193.33333333333334</v>
      </c>
      <c r="BI55" s="619">
        <f t="shared" si="55"/>
        <v>108.33333333333333</v>
      </c>
      <c r="BJ55" s="619">
        <f t="shared" ref="BJ55:BJ113" si="56">$D$54/60</f>
        <v>0</v>
      </c>
      <c r="BK55" s="619">
        <f>$D$55/60</f>
        <v>96.666666666666671</v>
      </c>
      <c r="BL55" s="619"/>
      <c r="BM55" s="619"/>
      <c r="BN55" s="518">
        <f t="shared" si="4"/>
        <v>134763.02283333332</v>
      </c>
    </row>
    <row r="56" spans="1:66" s="585" customFormat="1" ht="12.75" customHeight="1" outlineLevel="1">
      <c r="A56" s="308" t="s">
        <v>51</v>
      </c>
      <c r="B56" s="308">
        <f t="shared" si="18"/>
        <v>2019</v>
      </c>
      <c r="C56" s="308" t="s">
        <v>47</v>
      </c>
      <c r="D56" s="518">
        <v>0</v>
      </c>
      <c r="E56" s="518"/>
      <c r="F56" s="518">
        <f t="shared" si="5"/>
        <v>8085781.3700000001</v>
      </c>
      <c r="G56" s="518"/>
      <c r="H56" s="629">
        <f>150939.52-28101.67</f>
        <v>122837.84999999999</v>
      </c>
      <c r="I56" s="518">
        <f>SUM(H$5:H56)</f>
        <v>4167999.4600000014</v>
      </c>
      <c r="J56" s="518"/>
      <c r="K56" s="518">
        <f t="shared" si="2"/>
        <v>3917781.9099999988</v>
      </c>
      <c r="M56" s="518">
        <f t="shared" si="3"/>
        <v>108.33333333333333</v>
      </c>
      <c r="N56" s="518">
        <f t="shared" si="6"/>
        <v>2009.1666666666667</v>
      </c>
      <c r="O56" s="518">
        <f t="shared" si="7"/>
        <v>1443.8333333333333</v>
      </c>
      <c r="P56" s="518">
        <f t="shared" si="8"/>
        <v>3036.9666666666667</v>
      </c>
      <c r="Q56" s="518">
        <f t="shared" si="9"/>
        <v>3750.2549999999997</v>
      </c>
      <c r="R56" s="518">
        <f t="shared" si="11"/>
        <v>3412.3333333333335</v>
      </c>
      <c r="S56" s="518">
        <f t="shared" si="12"/>
        <v>2922</v>
      </c>
      <c r="T56" s="518">
        <f t="shared" si="13"/>
        <v>3612.2318333333333</v>
      </c>
      <c r="U56" s="518">
        <f t="shared" si="14"/>
        <v>1915</v>
      </c>
      <c r="V56" s="518">
        <f t="shared" si="15"/>
        <v>3087.5</v>
      </c>
      <c r="W56" s="518">
        <f t="shared" si="16"/>
        <v>2156.4166666666665</v>
      </c>
      <c r="X56" s="518">
        <f t="shared" si="17"/>
        <v>1704.25</v>
      </c>
      <c r="Y56" s="518">
        <f t="shared" si="19"/>
        <v>1701.4166666666667</v>
      </c>
      <c r="Z56" s="518">
        <f t="shared" si="20"/>
        <v>3332</v>
      </c>
      <c r="AA56" s="518">
        <f t="shared" si="21"/>
        <v>3463.9166666666665</v>
      </c>
      <c r="AB56" s="518">
        <f t="shared" si="22"/>
        <v>6523.384</v>
      </c>
      <c r="AC56" s="518">
        <f t="shared" si="23"/>
        <v>5817.6980000000003</v>
      </c>
      <c r="AD56" s="518">
        <f t="shared" si="24"/>
        <v>5048.5166666666664</v>
      </c>
      <c r="AE56" s="518">
        <f t="shared" si="25"/>
        <v>3510</v>
      </c>
      <c r="AF56" s="518">
        <f t="shared" si="26"/>
        <v>3522.25</v>
      </c>
      <c r="AG56" s="518">
        <f t="shared" si="27"/>
        <v>2181.6666666666665</v>
      </c>
      <c r="AH56" s="518">
        <f t="shared" si="28"/>
        <v>4224.666666666667</v>
      </c>
      <c r="AI56" s="518">
        <f t="shared" si="29"/>
        <v>3186.8166666666666</v>
      </c>
      <c r="AJ56" s="518">
        <f t="shared" si="30"/>
        <v>1841.6666666666667</v>
      </c>
      <c r="AK56" s="518">
        <f t="shared" si="31"/>
        <v>2671.2791666666667</v>
      </c>
      <c r="AL56" s="518">
        <f t="shared" si="32"/>
        <v>3033.3333333333335</v>
      </c>
      <c r="AM56" s="518">
        <f t="shared" si="33"/>
        <v>2364.1666666666665</v>
      </c>
      <c r="AN56" s="518">
        <f t="shared" si="34"/>
        <v>3639.1666666666665</v>
      </c>
      <c r="AO56" s="518">
        <f t="shared" si="35"/>
        <v>2635.1666666666665</v>
      </c>
      <c r="AP56" s="518">
        <f t="shared" si="36"/>
        <v>4944.2748333333329</v>
      </c>
      <c r="AQ56" s="518">
        <f t="shared" si="37"/>
        <v>3021.6666666666665</v>
      </c>
      <c r="AR56" s="518">
        <f t="shared" si="38"/>
        <v>2682.9166666666665</v>
      </c>
      <c r="AS56" s="518">
        <f t="shared" si="39"/>
        <v>3202.75</v>
      </c>
      <c r="AT56" s="518">
        <f t="shared" si="40"/>
        <v>2727.5</v>
      </c>
      <c r="AU56" s="518">
        <f t="shared" si="41"/>
        <v>2383.3333333333335</v>
      </c>
      <c r="AV56" s="518">
        <f t="shared" si="42"/>
        <v>2248.4666666666667</v>
      </c>
      <c r="AW56" s="518">
        <f t="shared" si="43"/>
        <v>2160</v>
      </c>
      <c r="AX56" s="518">
        <f t="shared" si="44"/>
        <v>1191.6666666666667</v>
      </c>
      <c r="AY56" s="518">
        <f t="shared" si="45"/>
        <v>5062.166666666667</v>
      </c>
      <c r="AZ56" s="518">
        <f t="shared" si="46"/>
        <v>3863.3333333333335</v>
      </c>
      <c r="BA56" s="518">
        <f t="shared" si="47"/>
        <v>6034.8833333333332</v>
      </c>
      <c r="BB56" s="518">
        <f t="shared" si="48"/>
        <v>1625</v>
      </c>
      <c r="BC56" s="518">
        <f t="shared" si="49"/>
        <v>2680</v>
      </c>
      <c r="BD56" s="518">
        <f t="shared" si="50"/>
        <v>1401.6666666666667</v>
      </c>
      <c r="BE56" s="619">
        <f t="shared" si="51"/>
        <v>744.66666666666663</v>
      </c>
      <c r="BF56" s="619">
        <f t="shared" si="52"/>
        <v>426.66666666666669</v>
      </c>
      <c r="BG56" s="619">
        <f t="shared" si="53"/>
        <v>108.33333333333333</v>
      </c>
      <c r="BH56" s="619">
        <f t="shared" si="54"/>
        <v>193.33333333333334</v>
      </c>
      <c r="BI56" s="619">
        <f t="shared" si="55"/>
        <v>108.33333333333333</v>
      </c>
      <c r="BJ56" s="619">
        <f t="shared" si="56"/>
        <v>0</v>
      </c>
      <c r="BK56" s="619">
        <f t="shared" ref="BK56:BK114" si="57">$D$55/60</f>
        <v>96.666666666666671</v>
      </c>
      <c r="BL56" s="619">
        <f>$D$56/60</f>
        <v>0</v>
      </c>
      <c r="BM56" s="619"/>
      <c r="BN56" s="518">
        <f t="shared" si="4"/>
        <v>134763.02283333332</v>
      </c>
    </row>
    <row r="57" spans="1:66" s="585" customFormat="1" ht="12.75" customHeight="1" outlineLevel="1">
      <c r="A57" s="308" t="s">
        <v>52</v>
      </c>
      <c r="B57" s="308">
        <f t="shared" si="18"/>
        <v>2019</v>
      </c>
      <c r="C57" s="308" t="s">
        <v>47</v>
      </c>
      <c r="D57" s="518">
        <v>6500</v>
      </c>
      <c r="E57" s="518"/>
      <c r="F57" s="518">
        <f t="shared" si="5"/>
        <v>8092281.3700000001</v>
      </c>
      <c r="G57" s="518"/>
      <c r="H57" s="518">
        <v>147046.04</v>
      </c>
      <c r="I57" s="518">
        <f>SUM(H$5:H57)</f>
        <v>4315045.5000000009</v>
      </c>
      <c r="J57" s="518"/>
      <c r="K57" s="518">
        <f t="shared" si="2"/>
        <v>3777235.8699999992</v>
      </c>
      <c r="M57" s="518">
        <f t="shared" si="3"/>
        <v>108.33333333333333</v>
      </c>
      <c r="N57" s="518">
        <f t="shared" si="6"/>
        <v>2009.1666666666667</v>
      </c>
      <c r="O57" s="518">
        <f t="shared" si="7"/>
        <v>1443.8333333333333</v>
      </c>
      <c r="P57" s="518">
        <f t="shared" si="8"/>
        <v>3036.9666666666667</v>
      </c>
      <c r="Q57" s="518">
        <f t="shared" si="9"/>
        <v>3750.2549999999997</v>
      </c>
      <c r="R57" s="518">
        <f t="shared" si="11"/>
        <v>3412.3333333333335</v>
      </c>
      <c r="S57" s="518">
        <f t="shared" si="12"/>
        <v>2922</v>
      </c>
      <c r="T57" s="518">
        <f t="shared" si="13"/>
        <v>3612.2318333333333</v>
      </c>
      <c r="U57" s="518">
        <f t="shared" si="14"/>
        <v>1915</v>
      </c>
      <c r="V57" s="518">
        <f t="shared" si="15"/>
        <v>3087.5</v>
      </c>
      <c r="W57" s="518">
        <f t="shared" si="16"/>
        <v>2156.4166666666665</v>
      </c>
      <c r="X57" s="518">
        <f t="shared" si="17"/>
        <v>1704.25</v>
      </c>
      <c r="Y57" s="518">
        <f t="shared" si="19"/>
        <v>1701.4166666666667</v>
      </c>
      <c r="Z57" s="518">
        <f t="shared" si="20"/>
        <v>3332</v>
      </c>
      <c r="AA57" s="518">
        <f t="shared" si="21"/>
        <v>3463.9166666666665</v>
      </c>
      <c r="AB57" s="518">
        <f t="shared" si="22"/>
        <v>6523.384</v>
      </c>
      <c r="AC57" s="518">
        <f t="shared" si="23"/>
        <v>5817.6980000000003</v>
      </c>
      <c r="AD57" s="518">
        <f t="shared" si="24"/>
        <v>5048.5166666666664</v>
      </c>
      <c r="AE57" s="518">
        <f t="shared" si="25"/>
        <v>3510</v>
      </c>
      <c r="AF57" s="518">
        <f t="shared" si="26"/>
        <v>3522.25</v>
      </c>
      <c r="AG57" s="518">
        <f t="shared" si="27"/>
        <v>2181.6666666666665</v>
      </c>
      <c r="AH57" s="518">
        <f t="shared" si="28"/>
        <v>4224.666666666667</v>
      </c>
      <c r="AI57" s="518">
        <f t="shared" si="29"/>
        <v>3186.8166666666666</v>
      </c>
      <c r="AJ57" s="518">
        <f t="shared" si="30"/>
        <v>1841.6666666666667</v>
      </c>
      <c r="AK57" s="518">
        <f t="shared" si="31"/>
        <v>2671.2791666666667</v>
      </c>
      <c r="AL57" s="518">
        <f t="shared" si="32"/>
        <v>3033.3333333333335</v>
      </c>
      <c r="AM57" s="518">
        <f t="shared" si="33"/>
        <v>2364.1666666666665</v>
      </c>
      <c r="AN57" s="518">
        <f t="shared" si="34"/>
        <v>3639.1666666666665</v>
      </c>
      <c r="AO57" s="518">
        <f t="shared" si="35"/>
        <v>2635.1666666666665</v>
      </c>
      <c r="AP57" s="518">
        <f t="shared" si="36"/>
        <v>4944.2748333333329</v>
      </c>
      <c r="AQ57" s="518">
        <f t="shared" si="37"/>
        <v>3021.6666666666665</v>
      </c>
      <c r="AR57" s="518">
        <f t="shared" si="38"/>
        <v>2682.9166666666665</v>
      </c>
      <c r="AS57" s="518">
        <f t="shared" si="39"/>
        <v>3202.75</v>
      </c>
      <c r="AT57" s="518">
        <f t="shared" si="40"/>
        <v>2727.5</v>
      </c>
      <c r="AU57" s="518">
        <f t="shared" si="41"/>
        <v>2383.3333333333335</v>
      </c>
      <c r="AV57" s="518">
        <f t="shared" si="42"/>
        <v>2248.4666666666667</v>
      </c>
      <c r="AW57" s="518">
        <f t="shared" si="43"/>
        <v>2160</v>
      </c>
      <c r="AX57" s="518">
        <f t="shared" si="44"/>
        <v>1191.6666666666667</v>
      </c>
      <c r="AY57" s="518">
        <f t="shared" si="45"/>
        <v>5062.166666666667</v>
      </c>
      <c r="AZ57" s="518">
        <f t="shared" si="46"/>
        <v>3863.3333333333335</v>
      </c>
      <c r="BA57" s="518">
        <f t="shared" si="47"/>
        <v>6034.8833333333332</v>
      </c>
      <c r="BB57" s="518">
        <f t="shared" si="48"/>
        <v>1625</v>
      </c>
      <c r="BC57" s="518">
        <f t="shared" si="49"/>
        <v>2680</v>
      </c>
      <c r="BD57" s="518">
        <f t="shared" si="50"/>
        <v>1401.6666666666667</v>
      </c>
      <c r="BE57" s="619">
        <f t="shared" si="51"/>
        <v>744.66666666666663</v>
      </c>
      <c r="BF57" s="619">
        <f t="shared" si="52"/>
        <v>426.66666666666669</v>
      </c>
      <c r="BG57" s="619">
        <f t="shared" si="53"/>
        <v>108.33333333333333</v>
      </c>
      <c r="BH57" s="619">
        <f t="shared" si="54"/>
        <v>193.33333333333334</v>
      </c>
      <c r="BI57" s="619">
        <f t="shared" si="55"/>
        <v>108.33333333333333</v>
      </c>
      <c r="BJ57" s="619">
        <f t="shared" si="56"/>
        <v>0</v>
      </c>
      <c r="BK57" s="619">
        <f t="shared" si="57"/>
        <v>96.666666666666671</v>
      </c>
      <c r="BL57" s="619">
        <f t="shared" ref="BL57:BL115" si="58">$D$56/60</f>
        <v>0</v>
      </c>
      <c r="BM57" s="619">
        <f>$D$57/60</f>
        <v>108.33333333333333</v>
      </c>
      <c r="BN57" s="518">
        <f t="shared" si="4"/>
        <v>134871.35616666666</v>
      </c>
    </row>
    <row r="58" spans="1:66" s="585" customFormat="1" ht="12.75" customHeight="1" outlineLevel="1">
      <c r="A58" s="308" t="s">
        <v>53</v>
      </c>
      <c r="B58" s="308">
        <f t="shared" si="18"/>
        <v>2020</v>
      </c>
      <c r="C58" s="308" t="s">
        <v>47</v>
      </c>
      <c r="D58" s="518"/>
      <c r="E58" s="518"/>
      <c r="F58" s="518">
        <f t="shared" si="5"/>
        <v>8092281.3700000001</v>
      </c>
      <c r="G58" s="518"/>
      <c r="H58" s="518">
        <v>136498.12</v>
      </c>
      <c r="I58" s="518">
        <f>SUM(H$5:H58)</f>
        <v>4451543.620000001</v>
      </c>
      <c r="J58" s="518"/>
      <c r="K58" s="518">
        <f t="shared" si="2"/>
        <v>3640737.7499999991</v>
      </c>
      <c r="M58" s="518">
        <f t="shared" si="3"/>
        <v>108.33333333333333</v>
      </c>
      <c r="N58" s="518">
        <f t="shared" si="6"/>
        <v>2009.1666666666667</v>
      </c>
      <c r="O58" s="518">
        <f t="shared" si="7"/>
        <v>1443.8333333333333</v>
      </c>
      <c r="P58" s="518">
        <f t="shared" si="8"/>
        <v>3036.9666666666667</v>
      </c>
      <c r="Q58" s="518">
        <f t="shared" si="9"/>
        <v>3750.2549999999997</v>
      </c>
      <c r="R58" s="518">
        <f t="shared" si="11"/>
        <v>3412.3333333333335</v>
      </c>
      <c r="S58" s="518">
        <f t="shared" si="12"/>
        <v>2922</v>
      </c>
      <c r="T58" s="518">
        <f t="shared" si="13"/>
        <v>3612.2318333333333</v>
      </c>
      <c r="U58" s="518">
        <f t="shared" si="14"/>
        <v>1915</v>
      </c>
      <c r="V58" s="518">
        <f t="shared" si="15"/>
        <v>3087.5</v>
      </c>
      <c r="W58" s="518">
        <f t="shared" si="16"/>
        <v>2156.4166666666665</v>
      </c>
      <c r="X58" s="518">
        <f t="shared" si="17"/>
        <v>1704.25</v>
      </c>
      <c r="Y58" s="518">
        <f t="shared" si="19"/>
        <v>1701.4166666666667</v>
      </c>
      <c r="Z58" s="518">
        <f t="shared" si="20"/>
        <v>3332</v>
      </c>
      <c r="AA58" s="518">
        <f t="shared" si="21"/>
        <v>3463.9166666666665</v>
      </c>
      <c r="AB58" s="518">
        <f t="shared" si="22"/>
        <v>6523.384</v>
      </c>
      <c r="AC58" s="518">
        <f t="shared" si="23"/>
        <v>5817.6980000000003</v>
      </c>
      <c r="AD58" s="518">
        <f t="shared" si="24"/>
        <v>5048.5166666666664</v>
      </c>
      <c r="AE58" s="518">
        <f t="shared" si="25"/>
        <v>3510</v>
      </c>
      <c r="AF58" s="518">
        <f t="shared" si="26"/>
        <v>3522.25</v>
      </c>
      <c r="AG58" s="518">
        <f t="shared" si="27"/>
        <v>2181.6666666666665</v>
      </c>
      <c r="AH58" s="518">
        <f t="shared" si="28"/>
        <v>4224.666666666667</v>
      </c>
      <c r="AI58" s="518">
        <f t="shared" si="29"/>
        <v>3186.8166666666666</v>
      </c>
      <c r="AJ58" s="518">
        <f t="shared" si="30"/>
        <v>1841.6666666666667</v>
      </c>
      <c r="AK58" s="518">
        <f t="shared" si="31"/>
        <v>2671.2791666666667</v>
      </c>
      <c r="AL58" s="518">
        <f t="shared" si="32"/>
        <v>3033.3333333333335</v>
      </c>
      <c r="AM58" s="518">
        <f t="shared" si="33"/>
        <v>2364.1666666666665</v>
      </c>
      <c r="AN58" s="518">
        <f t="shared" si="34"/>
        <v>3639.1666666666665</v>
      </c>
      <c r="AO58" s="518">
        <f t="shared" si="35"/>
        <v>2635.1666666666665</v>
      </c>
      <c r="AP58" s="518">
        <f t="shared" si="36"/>
        <v>4944.2748333333329</v>
      </c>
      <c r="AQ58" s="518">
        <f t="shared" si="37"/>
        <v>3021.6666666666665</v>
      </c>
      <c r="AR58" s="518">
        <f t="shared" si="38"/>
        <v>2682.9166666666665</v>
      </c>
      <c r="AS58" s="518">
        <f t="shared" si="39"/>
        <v>3202.75</v>
      </c>
      <c r="AT58" s="518">
        <f t="shared" si="40"/>
        <v>2727.5</v>
      </c>
      <c r="AU58" s="518">
        <f t="shared" si="41"/>
        <v>2383.3333333333335</v>
      </c>
      <c r="AV58" s="518">
        <f t="shared" si="42"/>
        <v>2248.4666666666667</v>
      </c>
      <c r="AW58" s="518">
        <f t="shared" si="43"/>
        <v>2160</v>
      </c>
      <c r="AX58" s="518">
        <f t="shared" si="44"/>
        <v>1191.6666666666667</v>
      </c>
      <c r="AY58" s="518">
        <f t="shared" si="45"/>
        <v>5062.166666666667</v>
      </c>
      <c r="AZ58" s="518">
        <f t="shared" si="46"/>
        <v>3863.3333333333335</v>
      </c>
      <c r="BA58" s="518">
        <f t="shared" si="47"/>
        <v>6034.8833333333332</v>
      </c>
      <c r="BB58" s="518">
        <f t="shared" si="48"/>
        <v>1625</v>
      </c>
      <c r="BC58" s="518">
        <f t="shared" si="49"/>
        <v>2680</v>
      </c>
      <c r="BD58" s="518">
        <f t="shared" si="50"/>
        <v>1401.6666666666667</v>
      </c>
      <c r="BE58" s="619">
        <f t="shared" si="51"/>
        <v>744.66666666666663</v>
      </c>
      <c r="BF58" s="619">
        <f t="shared" si="52"/>
        <v>426.66666666666669</v>
      </c>
      <c r="BG58" s="619">
        <f t="shared" si="53"/>
        <v>108.33333333333333</v>
      </c>
      <c r="BH58" s="619">
        <f t="shared" si="54"/>
        <v>193.33333333333334</v>
      </c>
      <c r="BI58" s="619">
        <f t="shared" si="55"/>
        <v>108.33333333333333</v>
      </c>
      <c r="BJ58" s="619">
        <f t="shared" si="56"/>
        <v>0</v>
      </c>
      <c r="BK58" s="619">
        <f t="shared" si="57"/>
        <v>96.666666666666671</v>
      </c>
      <c r="BL58" s="619">
        <f t="shared" si="58"/>
        <v>0</v>
      </c>
      <c r="BM58" s="619">
        <f t="shared" ref="BM58:BM116" si="59">$D$57/60</f>
        <v>108.33333333333333</v>
      </c>
      <c r="BN58" s="518">
        <f t="shared" si="4"/>
        <v>134871.35616666666</v>
      </c>
    </row>
    <row r="59" spans="1:66" s="585" customFormat="1" ht="12.75" customHeight="1" outlineLevel="1">
      <c r="A59" s="308" t="s">
        <v>54</v>
      </c>
      <c r="B59" s="308">
        <f t="shared" si="18"/>
        <v>2020</v>
      </c>
      <c r="C59" s="308" t="s">
        <v>47</v>
      </c>
      <c r="D59" s="518"/>
      <c r="E59" s="518"/>
      <c r="F59" s="518">
        <f t="shared" si="5"/>
        <v>8092281.3700000001</v>
      </c>
      <c r="G59" s="518"/>
      <c r="H59" s="518">
        <v>121535.95</v>
      </c>
      <c r="I59" s="518">
        <f>SUM(H$5:H59)</f>
        <v>4573079.5700000012</v>
      </c>
      <c r="J59" s="518"/>
      <c r="K59" s="518">
        <f t="shared" si="2"/>
        <v>3519201.7999999989</v>
      </c>
      <c r="M59" s="518">
        <f t="shared" si="3"/>
        <v>108.33333333333333</v>
      </c>
      <c r="N59" s="518">
        <f t="shared" si="6"/>
        <v>2009.1666666666667</v>
      </c>
      <c r="O59" s="518">
        <f t="shared" si="7"/>
        <v>1443.8333333333333</v>
      </c>
      <c r="P59" s="518">
        <f t="shared" si="8"/>
        <v>3036.9666666666667</v>
      </c>
      <c r="Q59" s="518">
        <f t="shared" si="9"/>
        <v>3750.2549999999997</v>
      </c>
      <c r="R59" s="518">
        <f t="shared" si="11"/>
        <v>3412.3333333333335</v>
      </c>
      <c r="S59" s="518">
        <f t="shared" si="12"/>
        <v>2922</v>
      </c>
      <c r="T59" s="518">
        <f t="shared" si="13"/>
        <v>3612.2318333333333</v>
      </c>
      <c r="U59" s="518">
        <f t="shared" si="14"/>
        <v>1915</v>
      </c>
      <c r="V59" s="518">
        <f t="shared" si="15"/>
        <v>3087.5</v>
      </c>
      <c r="W59" s="518">
        <f t="shared" si="16"/>
        <v>2156.4166666666665</v>
      </c>
      <c r="X59" s="518">
        <f t="shared" si="17"/>
        <v>1704.25</v>
      </c>
      <c r="Y59" s="518">
        <f t="shared" si="19"/>
        <v>1701.4166666666667</v>
      </c>
      <c r="Z59" s="518">
        <f t="shared" si="20"/>
        <v>3332</v>
      </c>
      <c r="AA59" s="518">
        <f t="shared" si="21"/>
        <v>3463.9166666666665</v>
      </c>
      <c r="AB59" s="518">
        <f t="shared" si="22"/>
        <v>6523.384</v>
      </c>
      <c r="AC59" s="518">
        <f t="shared" si="23"/>
        <v>5817.6980000000003</v>
      </c>
      <c r="AD59" s="518">
        <f t="shared" si="24"/>
        <v>5048.5166666666664</v>
      </c>
      <c r="AE59" s="518">
        <f t="shared" si="25"/>
        <v>3510</v>
      </c>
      <c r="AF59" s="518">
        <f t="shared" si="26"/>
        <v>3522.25</v>
      </c>
      <c r="AG59" s="518">
        <f t="shared" si="27"/>
        <v>2181.6666666666665</v>
      </c>
      <c r="AH59" s="518">
        <f t="shared" si="28"/>
        <v>4224.666666666667</v>
      </c>
      <c r="AI59" s="518">
        <f t="shared" si="29"/>
        <v>3186.8166666666666</v>
      </c>
      <c r="AJ59" s="518">
        <f t="shared" si="30"/>
        <v>1841.6666666666667</v>
      </c>
      <c r="AK59" s="518">
        <f t="shared" si="31"/>
        <v>2671.2791666666667</v>
      </c>
      <c r="AL59" s="518">
        <f t="shared" si="32"/>
        <v>3033.3333333333335</v>
      </c>
      <c r="AM59" s="518">
        <f t="shared" si="33"/>
        <v>2364.1666666666665</v>
      </c>
      <c r="AN59" s="518">
        <f t="shared" si="34"/>
        <v>3639.1666666666665</v>
      </c>
      <c r="AO59" s="518">
        <f t="shared" si="35"/>
        <v>2635.1666666666665</v>
      </c>
      <c r="AP59" s="518">
        <f t="shared" si="36"/>
        <v>4944.2748333333329</v>
      </c>
      <c r="AQ59" s="518">
        <f t="shared" si="37"/>
        <v>3021.6666666666665</v>
      </c>
      <c r="AR59" s="518">
        <f t="shared" si="38"/>
        <v>2682.9166666666665</v>
      </c>
      <c r="AS59" s="518">
        <f t="shared" si="39"/>
        <v>3202.75</v>
      </c>
      <c r="AT59" s="518">
        <f t="shared" si="40"/>
        <v>2727.5</v>
      </c>
      <c r="AU59" s="518">
        <f t="shared" si="41"/>
        <v>2383.3333333333335</v>
      </c>
      <c r="AV59" s="518">
        <f t="shared" si="42"/>
        <v>2248.4666666666667</v>
      </c>
      <c r="AW59" s="518">
        <f t="shared" si="43"/>
        <v>2160</v>
      </c>
      <c r="AX59" s="518">
        <f t="shared" si="44"/>
        <v>1191.6666666666667</v>
      </c>
      <c r="AY59" s="518">
        <f t="shared" si="45"/>
        <v>5062.166666666667</v>
      </c>
      <c r="AZ59" s="518">
        <f t="shared" si="46"/>
        <v>3863.3333333333335</v>
      </c>
      <c r="BA59" s="518">
        <f t="shared" si="47"/>
        <v>6034.8833333333332</v>
      </c>
      <c r="BB59" s="518">
        <f t="shared" si="48"/>
        <v>1625</v>
      </c>
      <c r="BC59" s="518">
        <f t="shared" si="49"/>
        <v>2680</v>
      </c>
      <c r="BD59" s="518">
        <f t="shared" si="50"/>
        <v>1401.6666666666667</v>
      </c>
      <c r="BE59" s="619">
        <f t="shared" si="51"/>
        <v>744.66666666666663</v>
      </c>
      <c r="BF59" s="619">
        <f t="shared" si="52"/>
        <v>426.66666666666669</v>
      </c>
      <c r="BG59" s="619">
        <f t="shared" si="53"/>
        <v>108.33333333333333</v>
      </c>
      <c r="BH59" s="619">
        <f t="shared" si="54"/>
        <v>193.33333333333334</v>
      </c>
      <c r="BI59" s="619">
        <f t="shared" si="55"/>
        <v>108.33333333333333</v>
      </c>
      <c r="BJ59" s="619">
        <f t="shared" si="56"/>
        <v>0</v>
      </c>
      <c r="BK59" s="619">
        <f t="shared" si="57"/>
        <v>96.666666666666671</v>
      </c>
      <c r="BL59" s="619">
        <f t="shared" si="58"/>
        <v>0</v>
      </c>
      <c r="BM59" s="619">
        <f t="shared" si="59"/>
        <v>108.33333333333333</v>
      </c>
      <c r="BN59" s="518">
        <f t="shared" si="4"/>
        <v>134871.35616666666</v>
      </c>
    </row>
    <row r="60" spans="1:66" s="585" customFormat="1" ht="12.75" customHeight="1" outlineLevel="1">
      <c r="A60" s="308" t="s">
        <v>55</v>
      </c>
      <c r="B60" s="308">
        <f t="shared" si="18"/>
        <v>2020</v>
      </c>
      <c r="C60" s="308" t="s">
        <v>47</v>
      </c>
      <c r="D60" s="518"/>
      <c r="E60" s="518"/>
      <c r="F60" s="518">
        <f t="shared" si="5"/>
        <v>8092281.3700000001</v>
      </c>
      <c r="G60" s="518"/>
      <c r="H60" s="518">
        <v>126898.77</v>
      </c>
      <c r="I60" s="518">
        <f>SUM(H$5:H60)</f>
        <v>4699978.3400000008</v>
      </c>
      <c r="J60" s="518"/>
      <c r="K60" s="518">
        <f t="shared" si="2"/>
        <v>3392303.0299999993</v>
      </c>
      <c r="M60" s="518">
        <f t="shared" si="3"/>
        <v>108.33333333333333</v>
      </c>
      <c r="N60" s="518">
        <f t="shared" si="6"/>
        <v>2009.1666666666667</v>
      </c>
      <c r="O60" s="518">
        <f t="shared" si="7"/>
        <v>1443.8333333333333</v>
      </c>
      <c r="P60" s="518">
        <f t="shared" si="8"/>
        <v>3036.9666666666667</v>
      </c>
      <c r="Q60" s="518">
        <f t="shared" si="9"/>
        <v>3750.2549999999997</v>
      </c>
      <c r="R60" s="518">
        <f t="shared" si="11"/>
        <v>3412.3333333333335</v>
      </c>
      <c r="S60" s="518">
        <f t="shared" si="12"/>
        <v>2922</v>
      </c>
      <c r="T60" s="518">
        <f t="shared" si="13"/>
        <v>3612.2318333333333</v>
      </c>
      <c r="U60" s="518">
        <f t="shared" si="14"/>
        <v>1915</v>
      </c>
      <c r="V60" s="518">
        <f t="shared" si="15"/>
        <v>3087.5</v>
      </c>
      <c r="W60" s="518">
        <f t="shared" si="16"/>
        <v>2156.4166666666665</v>
      </c>
      <c r="X60" s="518">
        <f t="shared" si="17"/>
        <v>1704.25</v>
      </c>
      <c r="Y60" s="518">
        <f t="shared" si="19"/>
        <v>1701.4166666666667</v>
      </c>
      <c r="Z60" s="518">
        <f t="shared" si="20"/>
        <v>3332</v>
      </c>
      <c r="AA60" s="518">
        <f t="shared" si="21"/>
        <v>3463.9166666666665</v>
      </c>
      <c r="AB60" s="518">
        <f t="shared" si="22"/>
        <v>6523.384</v>
      </c>
      <c r="AC60" s="518">
        <f t="shared" si="23"/>
        <v>5817.6980000000003</v>
      </c>
      <c r="AD60" s="518">
        <f t="shared" si="24"/>
        <v>5048.5166666666664</v>
      </c>
      <c r="AE60" s="518">
        <f t="shared" si="25"/>
        <v>3510</v>
      </c>
      <c r="AF60" s="518">
        <f t="shared" si="26"/>
        <v>3522.25</v>
      </c>
      <c r="AG60" s="518">
        <f t="shared" si="27"/>
        <v>2181.6666666666665</v>
      </c>
      <c r="AH60" s="518">
        <f t="shared" si="28"/>
        <v>4224.666666666667</v>
      </c>
      <c r="AI60" s="518">
        <f t="shared" si="29"/>
        <v>3186.8166666666666</v>
      </c>
      <c r="AJ60" s="518">
        <f t="shared" si="30"/>
        <v>1841.6666666666667</v>
      </c>
      <c r="AK60" s="518">
        <f t="shared" si="31"/>
        <v>2671.2791666666667</v>
      </c>
      <c r="AL60" s="518">
        <f t="shared" si="32"/>
        <v>3033.3333333333335</v>
      </c>
      <c r="AM60" s="518">
        <f t="shared" si="33"/>
        <v>2364.1666666666665</v>
      </c>
      <c r="AN60" s="518">
        <f t="shared" si="34"/>
        <v>3639.1666666666665</v>
      </c>
      <c r="AO60" s="518">
        <f t="shared" si="35"/>
        <v>2635.1666666666665</v>
      </c>
      <c r="AP60" s="518">
        <f t="shared" si="36"/>
        <v>4944.2748333333329</v>
      </c>
      <c r="AQ60" s="518">
        <f t="shared" si="37"/>
        <v>3021.6666666666665</v>
      </c>
      <c r="AR60" s="518">
        <f t="shared" si="38"/>
        <v>2682.9166666666665</v>
      </c>
      <c r="AS60" s="518">
        <f t="shared" si="39"/>
        <v>3202.75</v>
      </c>
      <c r="AT60" s="518">
        <f t="shared" si="40"/>
        <v>2727.5</v>
      </c>
      <c r="AU60" s="518">
        <f t="shared" si="41"/>
        <v>2383.3333333333335</v>
      </c>
      <c r="AV60" s="518">
        <f t="shared" si="42"/>
        <v>2248.4666666666667</v>
      </c>
      <c r="AW60" s="518">
        <f t="shared" si="43"/>
        <v>2160</v>
      </c>
      <c r="AX60" s="518">
        <f t="shared" si="44"/>
        <v>1191.6666666666667</v>
      </c>
      <c r="AY60" s="518">
        <f t="shared" si="45"/>
        <v>5062.166666666667</v>
      </c>
      <c r="AZ60" s="518">
        <f t="shared" si="46"/>
        <v>3863.3333333333335</v>
      </c>
      <c r="BA60" s="518">
        <f t="shared" si="47"/>
        <v>6034.8833333333332</v>
      </c>
      <c r="BB60" s="518">
        <f t="shared" si="48"/>
        <v>1625</v>
      </c>
      <c r="BC60" s="518">
        <f t="shared" si="49"/>
        <v>2680</v>
      </c>
      <c r="BD60" s="518">
        <f t="shared" si="50"/>
        <v>1401.6666666666667</v>
      </c>
      <c r="BE60" s="619">
        <f t="shared" si="51"/>
        <v>744.66666666666663</v>
      </c>
      <c r="BF60" s="619">
        <f t="shared" si="52"/>
        <v>426.66666666666669</v>
      </c>
      <c r="BG60" s="619">
        <f t="shared" si="53"/>
        <v>108.33333333333333</v>
      </c>
      <c r="BH60" s="619">
        <f t="shared" si="54"/>
        <v>193.33333333333334</v>
      </c>
      <c r="BI60" s="619">
        <f t="shared" si="55"/>
        <v>108.33333333333333</v>
      </c>
      <c r="BJ60" s="619">
        <f t="shared" si="56"/>
        <v>0</v>
      </c>
      <c r="BK60" s="619">
        <f t="shared" si="57"/>
        <v>96.666666666666671</v>
      </c>
      <c r="BL60" s="619">
        <f t="shared" si="58"/>
        <v>0</v>
      </c>
      <c r="BM60" s="619">
        <f t="shared" si="59"/>
        <v>108.33333333333333</v>
      </c>
      <c r="BN60" s="518">
        <f t="shared" si="4"/>
        <v>134871.35616666666</v>
      </c>
    </row>
    <row r="61" spans="1:66" s="585" customFormat="1" ht="12.75" customHeight="1" outlineLevel="1">
      <c r="A61" s="308" t="s">
        <v>56</v>
      </c>
      <c r="B61" s="308">
        <f t="shared" si="18"/>
        <v>2020</v>
      </c>
      <c r="C61" s="308" t="s">
        <v>47</v>
      </c>
      <c r="D61" s="518"/>
      <c r="E61" s="518"/>
      <c r="F61" s="518">
        <f t="shared" si="5"/>
        <v>8092281.3700000001</v>
      </c>
      <c r="G61" s="518"/>
      <c r="H61" s="629">
        <v>134269.76999999999</v>
      </c>
      <c r="I61" s="518">
        <f>SUM(H$5:H61)</f>
        <v>4834248.1100000003</v>
      </c>
      <c r="J61" s="518"/>
      <c r="K61" s="518">
        <f t="shared" si="2"/>
        <v>3258033.26</v>
      </c>
      <c r="M61" s="518">
        <f t="shared" si="3"/>
        <v>108.33333333333333</v>
      </c>
      <c r="N61" s="518">
        <f t="shared" si="6"/>
        <v>2009.1666666666667</v>
      </c>
      <c r="O61" s="518">
        <f t="shared" si="7"/>
        <v>1443.8333333333333</v>
      </c>
      <c r="P61" s="518">
        <f t="shared" si="8"/>
        <v>3036.9666666666667</v>
      </c>
      <c r="Q61" s="518">
        <f t="shared" si="9"/>
        <v>3750.2549999999997</v>
      </c>
      <c r="R61" s="518">
        <f t="shared" si="11"/>
        <v>3412.3333333333335</v>
      </c>
      <c r="S61" s="518">
        <f t="shared" si="12"/>
        <v>2922</v>
      </c>
      <c r="T61" s="518">
        <f t="shared" si="13"/>
        <v>3612.2318333333333</v>
      </c>
      <c r="U61" s="518">
        <f t="shared" si="14"/>
        <v>1915</v>
      </c>
      <c r="V61" s="518">
        <f t="shared" si="15"/>
        <v>3087.5</v>
      </c>
      <c r="W61" s="518">
        <f t="shared" si="16"/>
        <v>2156.4166666666665</v>
      </c>
      <c r="X61" s="518">
        <f t="shared" si="17"/>
        <v>1704.25</v>
      </c>
      <c r="Y61" s="518">
        <f t="shared" si="19"/>
        <v>1701.4166666666667</v>
      </c>
      <c r="Z61" s="518">
        <f t="shared" si="20"/>
        <v>3332</v>
      </c>
      <c r="AA61" s="518">
        <f t="shared" si="21"/>
        <v>3463.9166666666665</v>
      </c>
      <c r="AB61" s="518">
        <f t="shared" si="22"/>
        <v>6523.384</v>
      </c>
      <c r="AC61" s="518">
        <f t="shared" si="23"/>
        <v>5817.6980000000003</v>
      </c>
      <c r="AD61" s="518">
        <f t="shared" si="24"/>
        <v>5048.5166666666664</v>
      </c>
      <c r="AE61" s="518">
        <f t="shared" si="25"/>
        <v>3510</v>
      </c>
      <c r="AF61" s="518">
        <f t="shared" si="26"/>
        <v>3522.25</v>
      </c>
      <c r="AG61" s="518">
        <f t="shared" si="27"/>
        <v>2181.6666666666665</v>
      </c>
      <c r="AH61" s="518">
        <f t="shared" si="28"/>
        <v>4224.666666666667</v>
      </c>
      <c r="AI61" s="518">
        <f t="shared" si="29"/>
        <v>3186.8166666666666</v>
      </c>
      <c r="AJ61" s="518">
        <f t="shared" si="30"/>
        <v>1841.6666666666667</v>
      </c>
      <c r="AK61" s="518">
        <f t="shared" si="31"/>
        <v>2671.2791666666667</v>
      </c>
      <c r="AL61" s="518">
        <f t="shared" si="32"/>
        <v>3033.3333333333335</v>
      </c>
      <c r="AM61" s="518">
        <f t="shared" si="33"/>
        <v>2364.1666666666665</v>
      </c>
      <c r="AN61" s="518">
        <f t="shared" si="34"/>
        <v>3639.1666666666665</v>
      </c>
      <c r="AO61" s="518">
        <f t="shared" si="35"/>
        <v>2635.1666666666665</v>
      </c>
      <c r="AP61" s="518">
        <f t="shared" si="36"/>
        <v>4944.2748333333329</v>
      </c>
      <c r="AQ61" s="518">
        <f t="shared" si="37"/>
        <v>3021.6666666666665</v>
      </c>
      <c r="AR61" s="518">
        <f t="shared" si="38"/>
        <v>2682.9166666666665</v>
      </c>
      <c r="AS61" s="518">
        <f t="shared" si="39"/>
        <v>3202.75</v>
      </c>
      <c r="AT61" s="518">
        <f t="shared" si="40"/>
        <v>2727.5</v>
      </c>
      <c r="AU61" s="518">
        <f t="shared" si="41"/>
        <v>2383.3333333333335</v>
      </c>
      <c r="AV61" s="518">
        <f t="shared" si="42"/>
        <v>2248.4666666666667</v>
      </c>
      <c r="AW61" s="518">
        <f t="shared" si="43"/>
        <v>2160</v>
      </c>
      <c r="AX61" s="518">
        <f t="shared" si="44"/>
        <v>1191.6666666666667</v>
      </c>
      <c r="AY61" s="518">
        <f t="shared" si="45"/>
        <v>5062.166666666667</v>
      </c>
      <c r="AZ61" s="518">
        <f t="shared" si="46"/>
        <v>3863.3333333333335</v>
      </c>
      <c r="BA61" s="518">
        <f t="shared" si="47"/>
        <v>6034.8833333333332</v>
      </c>
      <c r="BB61" s="518">
        <f t="shared" si="48"/>
        <v>1625</v>
      </c>
      <c r="BC61" s="518">
        <f t="shared" si="49"/>
        <v>2680</v>
      </c>
      <c r="BD61" s="518">
        <f t="shared" si="50"/>
        <v>1401.6666666666667</v>
      </c>
      <c r="BE61" s="619">
        <f t="shared" si="51"/>
        <v>744.66666666666663</v>
      </c>
      <c r="BF61" s="619">
        <f t="shared" si="52"/>
        <v>426.66666666666669</v>
      </c>
      <c r="BG61" s="619">
        <f t="shared" si="53"/>
        <v>108.33333333333333</v>
      </c>
      <c r="BH61" s="619">
        <f t="shared" si="54"/>
        <v>193.33333333333334</v>
      </c>
      <c r="BI61" s="619">
        <f t="shared" si="55"/>
        <v>108.33333333333333</v>
      </c>
      <c r="BJ61" s="619">
        <f t="shared" si="56"/>
        <v>0</v>
      </c>
      <c r="BK61" s="619">
        <f t="shared" si="57"/>
        <v>96.666666666666671</v>
      </c>
      <c r="BL61" s="619">
        <f t="shared" si="58"/>
        <v>0</v>
      </c>
      <c r="BM61" s="619">
        <f t="shared" si="59"/>
        <v>108.33333333333333</v>
      </c>
      <c r="BN61" s="518">
        <f t="shared" si="4"/>
        <v>134871.35616666666</v>
      </c>
    </row>
    <row r="62" spans="1:66" s="585" customFormat="1" ht="12.75" customHeight="1" outlineLevel="1">
      <c r="A62" s="308" t="s">
        <v>57</v>
      </c>
      <c r="B62" s="308">
        <f t="shared" si="18"/>
        <v>2020</v>
      </c>
      <c r="C62" s="308" t="s">
        <v>47</v>
      </c>
      <c r="D62" s="518"/>
      <c r="E62" s="518"/>
      <c r="F62" s="518">
        <f t="shared" si="5"/>
        <v>8092281.3700000001</v>
      </c>
      <c r="G62" s="518"/>
      <c r="H62" s="629">
        <v>128590.29</v>
      </c>
      <c r="I62" s="518">
        <f>SUM(H$5:H62)</f>
        <v>4962838.4000000004</v>
      </c>
      <c r="J62" s="518"/>
      <c r="K62" s="518">
        <f t="shared" si="2"/>
        <v>3129442.9699999997</v>
      </c>
      <c r="M62" s="518">
        <f t="shared" si="3"/>
        <v>108.33333333333333</v>
      </c>
      <c r="N62" s="518">
        <f t="shared" si="6"/>
        <v>2009.1666666666667</v>
      </c>
      <c r="O62" s="518">
        <f t="shared" si="7"/>
        <v>1443.8333333333333</v>
      </c>
      <c r="P62" s="518">
        <f t="shared" si="8"/>
        <v>3036.9666666666667</v>
      </c>
      <c r="Q62" s="518">
        <f t="shared" si="9"/>
        <v>3750.2549999999997</v>
      </c>
      <c r="R62" s="518">
        <f t="shared" si="11"/>
        <v>3412.3333333333335</v>
      </c>
      <c r="S62" s="518">
        <f t="shared" si="12"/>
        <v>2922</v>
      </c>
      <c r="T62" s="518">
        <f t="shared" si="13"/>
        <v>3612.2318333333333</v>
      </c>
      <c r="U62" s="518">
        <f t="shared" si="14"/>
        <v>1915</v>
      </c>
      <c r="V62" s="518">
        <f t="shared" si="15"/>
        <v>3087.5</v>
      </c>
      <c r="W62" s="518">
        <f t="shared" si="16"/>
        <v>2156.4166666666665</v>
      </c>
      <c r="X62" s="518">
        <f t="shared" si="17"/>
        <v>1704.25</v>
      </c>
      <c r="Y62" s="518">
        <f t="shared" si="19"/>
        <v>1701.4166666666667</v>
      </c>
      <c r="Z62" s="518">
        <f t="shared" si="20"/>
        <v>3332</v>
      </c>
      <c r="AA62" s="518">
        <f t="shared" si="21"/>
        <v>3463.9166666666665</v>
      </c>
      <c r="AB62" s="518">
        <f t="shared" si="22"/>
        <v>6523.384</v>
      </c>
      <c r="AC62" s="518">
        <f t="shared" si="23"/>
        <v>5817.6980000000003</v>
      </c>
      <c r="AD62" s="518">
        <f t="shared" si="24"/>
        <v>5048.5166666666664</v>
      </c>
      <c r="AE62" s="518">
        <f t="shared" si="25"/>
        <v>3510</v>
      </c>
      <c r="AF62" s="518">
        <f t="shared" si="26"/>
        <v>3522.25</v>
      </c>
      <c r="AG62" s="518">
        <f t="shared" si="27"/>
        <v>2181.6666666666665</v>
      </c>
      <c r="AH62" s="518">
        <f t="shared" si="28"/>
        <v>4224.666666666667</v>
      </c>
      <c r="AI62" s="518">
        <f t="shared" si="29"/>
        <v>3186.8166666666666</v>
      </c>
      <c r="AJ62" s="518">
        <f t="shared" si="30"/>
        <v>1841.6666666666667</v>
      </c>
      <c r="AK62" s="518">
        <f t="shared" si="31"/>
        <v>2671.2791666666667</v>
      </c>
      <c r="AL62" s="518">
        <f t="shared" si="32"/>
        <v>3033.3333333333335</v>
      </c>
      <c r="AM62" s="518">
        <f t="shared" si="33"/>
        <v>2364.1666666666665</v>
      </c>
      <c r="AN62" s="518">
        <f t="shared" si="34"/>
        <v>3639.1666666666665</v>
      </c>
      <c r="AO62" s="518">
        <f t="shared" si="35"/>
        <v>2635.1666666666665</v>
      </c>
      <c r="AP62" s="518">
        <f t="shared" si="36"/>
        <v>4944.2748333333329</v>
      </c>
      <c r="AQ62" s="518">
        <f t="shared" si="37"/>
        <v>3021.6666666666665</v>
      </c>
      <c r="AR62" s="518">
        <f t="shared" si="38"/>
        <v>2682.9166666666665</v>
      </c>
      <c r="AS62" s="518">
        <f t="shared" si="39"/>
        <v>3202.75</v>
      </c>
      <c r="AT62" s="518">
        <f t="shared" si="40"/>
        <v>2727.5</v>
      </c>
      <c r="AU62" s="518">
        <f t="shared" si="41"/>
        <v>2383.3333333333335</v>
      </c>
      <c r="AV62" s="518">
        <f t="shared" si="42"/>
        <v>2248.4666666666667</v>
      </c>
      <c r="AW62" s="518">
        <f t="shared" si="43"/>
        <v>2160</v>
      </c>
      <c r="AX62" s="518">
        <f t="shared" si="44"/>
        <v>1191.6666666666667</v>
      </c>
      <c r="AY62" s="518">
        <f t="shared" si="45"/>
        <v>5062.166666666667</v>
      </c>
      <c r="AZ62" s="518">
        <f t="shared" si="46"/>
        <v>3863.3333333333335</v>
      </c>
      <c r="BA62" s="518">
        <f t="shared" si="47"/>
        <v>6034.8833333333332</v>
      </c>
      <c r="BB62" s="518">
        <f t="shared" si="48"/>
        <v>1625</v>
      </c>
      <c r="BC62" s="518">
        <f t="shared" si="49"/>
        <v>2680</v>
      </c>
      <c r="BD62" s="518">
        <f t="shared" si="50"/>
        <v>1401.6666666666667</v>
      </c>
      <c r="BE62" s="619">
        <f t="shared" si="51"/>
        <v>744.66666666666663</v>
      </c>
      <c r="BF62" s="619">
        <f t="shared" si="52"/>
        <v>426.66666666666669</v>
      </c>
      <c r="BG62" s="619">
        <f t="shared" si="53"/>
        <v>108.33333333333333</v>
      </c>
      <c r="BH62" s="619">
        <f t="shared" si="54"/>
        <v>193.33333333333334</v>
      </c>
      <c r="BI62" s="619">
        <f t="shared" si="55"/>
        <v>108.33333333333333</v>
      </c>
      <c r="BJ62" s="619">
        <f t="shared" si="56"/>
        <v>0</v>
      </c>
      <c r="BK62" s="619">
        <f t="shared" si="57"/>
        <v>96.666666666666671</v>
      </c>
      <c r="BL62" s="619">
        <f t="shared" si="58"/>
        <v>0</v>
      </c>
      <c r="BM62" s="619">
        <f t="shared" si="59"/>
        <v>108.33333333333333</v>
      </c>
      <c r="BN62" s="518">
        <f t="shared" si="4"/>
        <v>134871.35616666666</v>
      </c>
    </row>
    <row r="63" spans="1:66" s="585" customFormat="1" ht="12.75" customHeight="1" outlineLevel="1">
      <c r="A63" s="308" t="s">
        <v>58</v>
      </c>
      <c r="B63" s="308">
        <f t="shared" si="18"/>
        <v>2020</v>
      </c>
      <c r="C63" s="308" t="s">
        <v>47</v>
      </c>
      <c r="D63" s="518"/>
      <c r="E63" s="518"/>
      <c r="F63" s="518">
        <f t="shared" si="5"/>
        <v>8092281.3700000001</v>
      </c>
      <c r="G63" s="518"/>
      <c r="H63" s="629">
        <f>156167.24-10100</f>
        <v>146067.24</v>
      </c>
      <c r="I63" s="518">
        <f>SUM(H$5:H63)</f>
        <v>5108905.6400000006</v>
      </c>
      <c r="J63" s="518"/>
      <c r="K63" s="518">
        <f t="shared" si="2"/>
        <v>2983375.7299999995</v>
      </c>
      <c r="M63" s="518">
        <f t="shared" si="3"/>
        <v>108.33333333333333</v>
      </c>
      <c r="N63" s="518">
        <f t="shared" si="6"/>
        <v>2009.1666666666667</v>
      </c>
      <c r="O63" s="518">
        <f t="shared" si="7"/>
        <v>1443.8333333333333</v>
      </c>
      <c r="P63" s="518">
        <f t="shared" si="8"/>
        <v>3036.9666666666667</v>
      </c>
      <c r="Q63" s="518">
        <f t="shared" si="9"/>
        <v>3750.2549999999997</v>
      </c>
      <c r="R63" s="518">
        <f t="shared" si="11"/>
        <v>3412.3333333333335</v>
      </c>
      <c r="S63" s="518">
        <f t="shared" si="12"/>
        <v>2922</v>
      </c>
      <c r="T63" s="518">
        <f t="shared" si="13"/>
        <v>3612.2318333333333</v>
      </c>
      <c r="U63" s="518">
        <f t="shared" si="14"/>
        <v>1915</v>
      </c>
      <c r="V63" s="518">
        <f t="shared" si="15"/>
        <v>3087.5</v>
      </c>
      <c r="W63" s="518">
        <f t="shared" si="16"/>
        <v>2156.4166666666665</v>
      </c>
      <c r="X63" s="518">
        <f t="shared" si="17"/>
        <v>1704.25</v>
      </c>
      <c r="Y63" s="518">
        <f t="shared" si="19"/>
        <v>1701.4166666666667</v>
      </c>
      <c r="Z63" s="518">
        <f t="shared" si="20"/>
        <v>3332</v>
      </c>
      <c r="AA63" s="518">
        <f t="shared" si="21"/>
        <v>3463.9166666666665</v>
      </c>
      <c r="AB63" s="518">
        <f t="shared" si="22"/>
        <v>6523.384</v>
      </c>
      <c r="AC63" s="518">
        <f t="shared" si="23"/>
        <v>5817.6980000000003</v>
      </c>
      <c r="AD63" s="518">
        <f t="shared" si="24"/>
        <v>5048.5166666666664</v>
      </c>
      <c r="AE63" s="518">
        <f t="shared" si="25"/>
        <v>3510</v>
      </c>
      <c r="AF63" s="518">
        <f t="shared" si="26"/>
        <v>3522.25</v>
      </c>
      <c r="AG63" s="518">
        <f t="shared" si="27"/>
        <v>2181.6666666666665</v>
      </c>
      <c r="AH63" s="518">
        <f t="shared" si="28"/>
        <v>4224.666666666667</v>
      </c>
      <c r="AI63" s="518">
        <f t="shared" si="29"/>
        <v>3186.8166666666666</v>
      </c>
      <c r="AJ63" s="518">
        <f t="shared" si="30"/>
        <v>1841.6666666666667</v>
      </c>
      <c r="AK63" s="518">
        <f t="shared" si="31"/>
        <v>2671.2791666666667</v>
      </c>
      <c r="AL63" s="518">
        <f t="shared" si="32"/>
        <v>3033.3333333333335</v>
      </c>
      <c r="AM63" s="518">
        <f t="shared" si="33"/>
        <v>2364.1666666666665</v>
      </c>
      <c r="AN63" s="518">
        <f t="shared" si="34"/>
        <v>3639.1666666666665</v>
      </c>
      <c r="AO63" s="518">
        <f t="shared" si="35"/>
        <v>2635.1666666666665</v>
      </c>
      <c r="AP63" s="518">
        <f t="shared" si="36"/>
        <v>4944.2748333333329</v>
      </c>
      <c r="AQ63" s="518">
        <f t="shared" si="37"/>
        <v>3021.6666666666665</v>
      </c>
      <c r="AR63" s="518">
        <f t="shared" si="38"/>
        <v>2682.9166666666665</v>
      </c>
      <c r="AS63" s="518">
        <f t="shared" si="39"/>
        <v>3202.75</v>
      </c>
      <c r="AT63" s="518">
        <f t="shared" si="40"/>
        <v>2727.5</v>
      </c>
      <c r="AU63" s="518">
        <f t="shared" si="41"/>
        <v>2383.3333333333335</v>
      </c>
      <c r="AV63" s="518">
        <f t="shared" si="42"/>
        <v>2248.4666666666667</v>
      </c>
      <c r="AW63" s="518">
        <f t="shared" si="43"/>
        <v>2160</v>
      </c>
      <c r="AX63" s="518">
        <f t="shared" si="44"/>
        <v>1191.6666666666667</v>
      </c>
      <c r="AY63" s="518">
        <f t="shared" si="45"/>
        <v>5062.166666666667</v>
      </c>
      <c r="AZ63" s="518">
        <f t="shared" si="46"/>
        <v>3863.3333333333335</v>
      </c>
      <c r="BA63" s="518">
        <f t="shared" si="47"/>
        <v>6034.8833333333332</v>
      </c>
      <c r="BB63" s="518">
        <f t="shared" si="48"/>
        <v>1625</v>
      </c>
      <c r="BC63" s="518">
        <f t="shared" si="49"/>
        <v>2680</v>
      </c>
      <c r="BD63" s="518">
        <f t="shared" si="50"/>
        <v>1401.6666666666667</v>
      </c>
      <c r="BE63" s="619">
        <f t="shared" si="51"/>
        <v>744.66666666666663</v>
      </c>
      <c r="BF63" s="619">
        <f t="shared" si="52"/>
        <v>426.66666666666669</v>
      </c>
      <c r="BG63" s="619">
        <f t="shared" si="53"/>
        <v>108.33333333333333</v>
      </c>
      <c r="BH63" s="619">
        <f t="shared" si="54"/>
        <v>193.33333333333334</v>
      </c>
      <c r="BI63" s="619">
        <f t="shared" si="55"/>
        <v>108.33333333333333</v>
      </c>
      <c r="BJ63" s="619">
        <f t="shared" si="56"/>
        <v>0</v>
      </c>
      <c r="BK63" s="619">
        <f t="shared" si="57"/>
        <v>96.666666666666671</v>
      </c>
      <c r="BL63" s="619">
        <f t="shared" si="58"/>
        <v>0</v>
      </c>
      <c r="BM63" s="619">
        <f t="shared" si="59"/>
        <v>108.33333333333333</v>
      </c>
      <c r="BN63" s="518">
        <f t="shared" si="4"/>
        <v>134871.35616666666</v>
      </c>
    </row>
    <row r="64" spans="1:66" s="585" customFormat="1" ht="12.75" customHeight="1" outlineLevel="1">
      <c r="A64" s="308" t="s">
        <v>59</v>
      </c>
      <c r="B64" s="308">
        <f t="shared" si="18"/>
        <v>2020</v>
      </c>
      <c r="C64" s="308" t="s">
        <v>47</v>
      </c>
      <c r="D64" s="518"/>
      <c r="E64" s="518"/>
      <c r="F64" s="518">
        <f t="shared" si="5"/>
        <v>8092281.3700000001</v>
      </c>
      <c r="G64" s="518"/>
      <c r="H64" s="629">
        <v>130475.99</v>
      </c>
      <c r="I64" s="518">
        <f>SUM(H$5:H64)</f>
        <v>5239381.6300000008</v>
      </c>
      <c r="J64" s="518"/>
      <c r="K64" s="518">
        <f t="shared" si="2"/>
        <v>2852899.7399999993</v>
      </c>
      <c r="M64" s="518">
        <f t="shared" si="3"/>
        <v>108.33333333333333</v>
      </c>
      <c r="N64" s="518">
        <f t="shared" si="6"/>
        <v>2009.1666666666667</v>
      </c>
      <c r="O64" s="518">
        <f t="shared" si="7"/>
        <v>1443.8333333333333</v>
      </c>
      <c r="P64" s="518">
        <f t="shared" si="8"/>
        <v>3036.9666666666667</v>
      </c>
      <c r="Q64" s="518">
        <f t="shared" si="9"/>
        <v>3750.2549999999997</v>
      </c>
      <c r="R64" s="518">
        <f t="shared" si="11"/>
        <v>3412.3333333333335</v>
      </c>
      <c r="S64" s="518">
        <f t="shared" si="12"/>
        <v>2922</v>
      </c>
      <c r="T64" s="518">
        <f t="shared" si="13"/>
        <v>3612.2318333333333</v>
      </c>
      <c r="U64" s="518">
        <f t="shared" si="14"/>
        <v>1915</v>
      </c>
      <c r="V64" s="518">
        <f t="shared" si="15"/>
        <v>3087.5</v>
      </c>
      <c r="W64" s="518">
        <f t="shared" si="16"/>
        <v>2156.4166666666665</v>
      </c>
      <c r="X64" s="518">
        <f t="shared" si="17"/>
        <v>1704.25</v>
      </c>
      <c r="Y64" s="518">
        <f t="shared" si="19"/>
        <v>1701.4166666666667</v>
      </c>
      <c r="Z64" s="518">
        <f t="shared" si="20"/>
        <v>3332</v>
      </c>
      <c r="AA64" s="518">
        <f t="shared" si="21"/>
        <v>3463.9166666666665</v>
      </c>
      <c r="AB64" s="518">
        <f t="shared" si="22"/>
        <v>6523.384</v>
      </c>
      <c r="AC64" s="518">
        <f t="shared" si="23"/>
        <v>5817.6980000000003</v>
      </c>
      <c r="AD64" s="518">
        <f t="shared" si="24"/>
        <v>5048.5166666666664</v>
      </c>
      <c r="AE64" s="518">
        <f t="shared" si="25"/>
        <v>3510</v>
      </c>
      <c r="AF64" s="518">
        <f t="shared" si="26"/>
        <v>3522.25</v>
      </c>
      <c r="AG64" s="518">
        <f t="shared" si="27"/>
        <v>2181.6666666666665</v>
      </c>
      <c r="AH64" s="518">
        <f t="shared" si="28"/>
        <v>4224.666666666667</v>
      </c>
      <c r="AI64" s="518">
        <f t="shared" si="29"/>
        <v>3186.8166666666666</v>
      </c>
      <c r="AJ64" s="518">
        <f t="shared" si="30"/>
        <v>1841.6666666666667</v>
      </c>
      <c r="AK64" s="518">
        <f t="shared" si="31"/>
        <v>2671.2791666666667</v>
      </c>
      <c r="AL64" s="518">
        <f t="shared" si="32"/>
        <v>3033.3333333333335</v>
      </c>
      <c r="AM64" s="518">
        <f t="shared" si="33"/>
        <v>2364.1666666666665</v>
      </c>
      <c r="AN64" s="518">
        <f t="shared" si="34"/>
        <v>3639.1666666666665</v>
      </c>
      <c r="AO64" s="518">
        <f t="shared" si="35"/>
        <v>2635.1666666666665</v>
      </c>
      <c r="AP64" s="518">
        <f t="shared" si="36"/>
        <v>4944.2748333333329</v>
      </c>
      <c r="AQ64" s="518">
        <f t="shared" si="37"/>
        <v>3021.6666666666665</v>
      </c>
      <c r="AR64" s="518">
        <f t="shared" si="38"/>
        <v>2682.9166666666665</v>
      </c>
      <c r="AS64" s="518">
        <f t="shared" si="39"/>
        <v>3202.75</v>
      </c>
      <c r="AT64" s="518">
        <f t="shared" si="40"/>
        <v>2727.5</v>
      </c>
      <c r="AU64" s="518">
        <f t="shared" si="41"/>
        <v>2383.3333333333335</v>
      </c>
      <c r="AV64" s="518">
        <f t="shared" si="42"/>
        <v>2248.4666666666667</v>
      </c>
      <c r="AW64" s="518">
        <f t="shared" si="43"/>
        <v>2160</v>
      </c>
      <c r="AX64" s="518">
        <f t="shared" si="44"/>
        <v>1191.6666666666667</v>
      </c>
      <c r="AY64" s="518">
        <f t="shared" si="45"/>
        <v>5062.166666666667</v>
      </c>
      <c r="AZ64" s="518">
        <f t="shared" si="46"/>
        <v>3863.3333333333335</v>
      </c>
      <c r="BA64" s="518">
        <f t="shared" si="47"/>
        <v>6034.8833333333332</v>
      </c>
      <c r="BB64" s="518">
        <f t="shared" si="48"/>
        <v>1625</v>
      </c>
      <c r="BC64" s="518">
        <f t="shared" si="49"/>
        <v>2680</v>
      </c>
      <c r="BD64" s="518">
        <f t="shared" si="50"/>
        <v>1401.6666666666667</v>
      </c>
      <c r="BE64" s="619">
        <f t="shared" si="51"/>
        <v>744.66666666666663</v>
      </c>
      <c r="BF64" s="619">
        <f t="shared" si="52"/>
        <v>426.66666666666669</v>
      </c>
      <c r="BG64" s="619">
        <f t="shared" si="53"/>
        <v>108.33333333333333</v>
      </c>
      <c r="BH64" s="619">
        <f t="shared" si="54"/>
        <v>193.33333333333334</v>
      </c>
      <c r="BI64" s="619">
        <f t="shared" si="55"/>
        <v>108.33333333333333</v>
      </c>
      <c r="BJ64" s="619">
        <f t="shared" si="56"/>
        <v>0</v>
      </c>
      <c r="BK64" s="619">
        <f t="shared" si="57"/>
        <v>96.666666666666671</v>
      </c>
      <c r="BL64" s="619">
        <f t="shared" si="58"/>
        <v>0</v>
      </c>
      <c r="BM64" s="619">
        <f t="shared" si="59"/>
        <v>108.33333333333333</v>
      </c>
      <c r="BN64" s="518">
        <f t="shared" si="4"/>
        <v>134871.35616666666</v>
      </c>
    </row>
    <row r="65" spans="1:66" s="585" customFormat="1" ht="12.75" customHeight="1" outlineLevel="1">
      <c r="A65" s="308" t="s">
        <v>46</v>
      </c>
      <c r="B65" s="308">
        <f t="shared" si="18"/>
        <v>2020</v>
      </c>
      <c r="C65" s="308" t="s">
        <v>47</v>
      </c>
      <c r="D65" s="518"/>
      <c r="E65" s="518"/>
      <c r="F65" s="518">
        <f t="shared" si="5"/>
        <v>8092281.3700000001</v>
      </c>
      <c r="G65" s="518"/>
      <c r="H65" s="518">
        <v>138124.68</v>
      </c>
      <c r="I65" s="518">
        <f>SUM(H$5:H65)</f>
        <v>5377506.3100000005</v>
      </c>
      <c r="J65" s="518"/>
      <c r="K65" s="518">
        <f t="shared" si="2"/>
        <v>2714775.0599999996</v>
      </c>
      <c r="M65" s="518"/>
      <c r="N65" s="518">
        <f t="shared" si="6"/>
        <v>2009.1666666666667</v>
      </c>
      <c r="O65" s="518">
        <f t="shared" si="7"/>
        <v>1443.8333333333333</v>
      </c>
      <c r="P65" s="518">
        <f t="shared" si="8"/>
        <v>3036.9666666666667</v>
      </c>
      <c r="Q65" s="518">
        <f t="shared" si="9"/>
        <v>3750.2549999999997</v>
      </c>
      <c r="R65" s="518">
        <f t="shared" si="11"/>
        <v>3412.3333333333335</v>
      </c>
      <c r="S65" s="518">
        <f t="shared" si="12"/>
        <v>2922</v>
      </c>
      <c r="T65" s="518">
        <f t="shared" si="13"/>
        <v>3612.2318333333333</v>
      </c>
      <c r="U65" s="518">
        <f t="shared" si="14"/>
        <v>1915</v>
      </c>
      <c r="V65" s="518">
        <f t="shared" si="15"/>
        <v>3087.5</v>
      </c>
      <c r="W65" s="518">
        <f t="shared" si="16"/>
        <v>2156.4166666666665</v>
      </c>
      <c r="X65" s="518">
        <f t="shared" si="17"/>
        <v>1704.25</v>
      </c>
      <c r="Y65" s="518">
        <f t="shared" si="19"/>
        <v>1701.4166666666667</v>
      </c>
      <c r="Z65" s="518">
        <f t="shared" si="20"/>
        <v>3332</v>
      </c>
      <c r="AA65" s="518">
        <f t="shared" si="21"/>
        <v>3463.9166666666665</v>
      </c>
      <c r="AB65" s="518">
        <f t="shared" si="22"/>
        <v>6523.384</v>
      </c>
      <c r="AC65" s="518">
        <f t="shared" si="23"/>
        <v>5817.6980000000003</v>
      </c>
      <c r="AD65" s="518">
        <f t="shared" si="24"/>
        <v>5048.5166666666664</v>
      </c>
      <c r="AE65" s="518">
        <f t="shared" si="25"/>
        <v>3510</v>
      </c>
      <c r="AF65" s="518">
        <f t="shared" si="26"/>
        <v>3522.25</v>
      </c>
      <c r="AG65" s="518">
        <f t="shared" si="27"/>
        <v>2181.6666666666665</v>
      </c>
      <c r="AH65" s="518">
        <f t="shared" si="28"/>
        <v>4224.666666666667</v>
      </c>
      <c r="AI65" s="518">
        <f t="shared" si="29"/>
        <v>3186.8166666666666</v>
      </c>
      <c r="AJ65" s="518">
        <f t="shared" si="30"/>
        <v>1841.6666666666667</v>
      </c>
      <c r="AK65" s="518">
        <f t="shared" si="31"/>
        <v>2671.2791666666667</v>
      </c>
      <c r="AL65" s="518">
        <f t="shared" si="32"/>
        <v>3033.3333333333335</v>
      </c>
      <c r="AM65" s="518">
        <f t="shared" si="33"/>
        <v>2364.1666666666665</v>
      </c>
      <c r="AN65" s="518">
        <f t="shared" si="34"/>
        <v>3639.1666666666665</v>
      </c>
      <c r="AO65" s="518">
        <f t="shared" si="35"/>
        <v>2635.1666666666665</v>
      </c>
      <c r="AP65" s="518">
        <f t="shared" si="36"/>
        <v>4944.2748333333329</v>
      </c>
      <c r="AQ65" s="518">
        <f t="shared" si="37"/>
        <v>3021.6666666666665</v>
      </c>
      <c r="AR65" s="518">
        <f t="shared" si="38"/>
        <v>2682.9166666666665</v>
      </c>
      <c r="AS65" s="518">
        <f t="shared" si="39"/>
        <v>3202.75</v>
      </c>
      <c r="AT65" s="518">
        <f t="shared" si="40"/>
        <v>2727.5</v>
      </c>
      <c r="AU65" s="518">
        <f t="shared" si="41"/>
        <v>2383.3333333333335</v>
      </c>
      <c r="AV65" s="518">
        <f t="shared" si="42"/>
        <v>2248.4666666666667</v>
      </c>
      <c r="AW65" s="518">
        <f t="shared" si="43"/>
        <v>2160</v>
      </c>
      <c r="AX65" s="518">
        <f t="shared" si="44"/>
        <v>1191.6666666666667</v>
      </c>
      <c r="AY65" s="518">
        <f t="shared" si="45"/>
        <v>5062.166666666667</v>
      </c>
      <c r="AZ65" s="518">
        <f t="shared" si="46"/>
        <v>3863.3333333333335</v>
      </c>
      <c r="BA65" s="518">
        <f t="shared" si="47"/>
        <v>6034.8833333333332</v>
      </c>
      <c r="BB65" s="518">
        <f t="shared" si="48"/>
        <v>1625</v>
      </c>
      <c r="BC65" s="518">
        <f t="shared" si="49"/>
        <v>2680</v>
      </c>
      <c r="BD65" s="518">
        <f t="shared" si="50"/>
        <v>1401.6666666666667</v>
      </c>
      <c r="BE65" s="619">
        <f t="shared" si="51"/>
        <v>744.66666666666663</v>
      </c>
      <c r="BF65" s="619">
        <f t="shared" si="52"/>
        <v>426.66666666666669</v>
      </c>
      <c r="BG65" s="619">
        <f t="shared" si="53"/>
        <v>108.33333333333333</v>
      </c>
      <c r="BH65" s="619">
        <f t="shared" si="54"/>
        <v>193.33333333333334</v>
      </c>
      <c r="BI65" s="619">
        <f t="shared" si="55"/>
        <v>108.33333333333333</v>
      </c>
      <c r="BJ65" s="619">
        <f t="shared" si="56"/>
        <v>0</v>
      </c>
      <c r="BK65" s="619">
        <f t="shared" si="57"/>
        <v>96.666666666666671</v>
      </c>
      <c r="BL65" s="619">
        <f t="shared" si="58"/>
        <v>0</v>
      </c>
      <c r="BM65" s="619">
        <f t="shared" si="59"/>
        <v>108.33333333333333</v>
      </c>
      <c r="BN65" s="518">
        <f t="shared" si="4"/>
        <v>134763.02283333332</v>
      </c>
    </row>
    <row r="66" spans="1:66" s="585" customFormat="1" ht="12.75" customHeight="1" outlineLevel="1">
      <c r="A66" s="308" t="s">
        <v>48</v>
      </c>
      <c r="B66" s="308">
        <f t="shared" si="18"/>
        <v>2020</v>
      </c>
      <c r="C66" s="308" t="s">
        <v>47</v>
      </c>
      <c r="D66" s="518"/>
      <c r="E66" s="518"/>
      <c r="F66" s="518">
        <f t="shared" si="5"/>
        <v>8092281.3700000001</v>
      </c>
      <c r="G66" s="518"/>
      <c r="H66" s="518">
        <v>130630.97</v>
      </c>
      <c r="I66" s="518">
        <f>SUM(H$5:H66)</f>
        <v>5508137.2800000003</v>
      </c>
      <c r="J66" s="518"/>
      <c r="K66" s="518">
        <f t="shared" si="2"/>
        <v>2584144.09</v>
      </c>
      <c r="M66" s="518"/>
      <c r="N66" s="518"/>
      <c r="O66" s="518">
        <f t="shared" si="7"/>
        <v>1443.8333333333333</v>
      </c>
      <c r="P66" s="518">
        <f t="shared" si="8"/>
        <v>3036.9666666666667</v>
      </c>
      <c r="Q66" s="518">
        <f t="shared" si="9"/>
        <v>3750.2549999999997</v>
      </c>
      <c r="R66" s="518">
        <f t="shared" si="11"/>
        <v>3412.3333333333335</v>
      </c>
      <c r="S66" s="518">
        <f t="shared" si="12"/>
        <v>2922</v>
      </c>
      <c r="T66" s="518">
        <f t="shared" si="13"/>
        <v>3612.2318333333333</v>
      </c>
      <c r="U66" s="518">
        <f t="shared" si="14"/>
        <v>1915</v>
      </c>
      <c r="V66" s="518">
        <f t="shared" si="15"/>
        <v>3087.5</v>
      </c>
      <c r="W66" s="518">
        <f t="shared" si="16"/>
        <v>2156.4166666666665</v>
      </c>
      <c r="X66" s="518">
        <f t="shared" si="17"/>
        <v>1704.25</v>
      </c>
      <c r="Y66" s="518">
        <f t="shared" si="19"/>
        <v>1701.4166666666667</v>
      </c>
      <c r="Z66" s="518">
        <f t="shared" si="20"/>
        <v>3332</v>
      </c>
      <c r="AA66" s="518">
        <f t="shared" si="21"/>
        <v>3463.9166666666665</v>
      </c>
      <c r="AB66" s="518">
        <f t="shared" si="22"/>
        <v>6523.384</v>
      </c>
      <c r="AC66" s="518">
        <f t="shared" si="23"/>
        <v>5817.6980000000003</v>
      </c>
      <c r="AD66" s="518">
        <f t="shared" si="24"/>
        <v>5048.5166666666664</v>
      </c>
      <c r="AE66" s="518">
        <f t="shared" si="25"/>
        <v>3510</v>
      </c>
      <c r="AF66" s="518">
        <f t="shared" si="26"/>
        <v>3522.25</v>
      </c>
      <c r="AG66" s="518">
        <f t="shared" si="27"/>
        <v>2181.6666666666665</v>
      </c>
      <c r="AH66" s="518">
        <f t="shared" si="28"/>
        <v>4224.666666666667</v>
      </c>
      <c r="AI66" s="518">
        <f t="shared" si="29"/>
        <v>3186.8166666666666</v>
      </c>
      <c r="AJ66" s="518">
        <f t="shared" si="30"/>
        <v>1841.6666666666667</v>
      </c>
      <c r="AK66" s="518">
        <f t="shared" si="31"/>
        <v>2671.2791666666667</v>
      </c>
      <c r="AL66" s="518">
        <f t="shared" si="32"/>
        <v>3033.3333333333335</v>
      </c>
      <c r="AM66" s="518">
        <f t="shared" si="33"/>
        <v>2364.1666666666665</v>
      </c>
      <c r="AN66" s="518">
        <f t="shared" si="34"/>
        <v>3639.1666666666665</v>
      </c>
      <c r="AO66" s="518">
        <f t="shared" si="35"/>
        <v>2635.1666666666665</v>
      </c>
      <c r="AP66" s="518">
        <f t="shared" si="36"/>
        <v>4944.2748333333329</v>
      </c>
      <c r="AQ66" s="518">
        <f t="shared" si="37"/>
        <v>3021.6666666666665</v>
      </c>
      <c r="AR66" s="518">
        <f t="shared" si="38"/>
        <v>2682.9166666666665</v>
      </c>
      <c r="AS66" s="518">
        <f t="shared" si="39"/>
        <v>3202.75</v>
      </c>
      <c r="AT66" s="518">
        <f t="shared" si="40"/>
        <v>2727.5</v>
      </c>
      <c r="AU66" s="518">
        <f t="shared" si="41"/>
        <v>2383.3333333333335</v>
      </c>
      <c r="AV66" s="518">
        <f t="shared" si="42"/>
        <v>2248.4666666666667</v>
      </c>
      <c r="AW66" s="518">
        <f t="shared" si="43"/>
        <v>2160</v>
      </c>
      <c r="AX66" s="518">
        <f t="shared" si="44"/>
        <v>1191.6666666666667</v>
      </c>
      <c r="AY66" s="518">
        <f t="shared" si="45"/>
        <v>5062.166666666667</v>
      </c>
      <c r="AZ66" s="518">
        <f t="shared" si="46"/>
        <v>3863.3333333333335</v>
      </c>
      <c r="BA66" s="518">
        <f t="shared" si="47"/>
        <v>6034.8833333333332</v>
      </c>
      <c r="BB66" s="518">
        <f t="shared" si="48"/>
        <v>1625</v>
      </c>
      <c r="BC66" s="518">
        <f t="shared" si="49"/>
        <v>2680</v>
      </c>
      <c r="BD66" s="518">
        <f t="shared" si="50"/>
        <v>1401.6666666666667</v>
      </c>
      <c r="BE66" s="619">
        <f t="shared" si="51"/>
        <v>744.66666666666663</v>
      </c>
      <c r="BF66" s="619">
        <f t="shared" si="52"/>
        <v>426.66666666666669</v>
      </c>
      <c r="BG66" s="619">
        <f t="shared" si="53"/>
        <v>108.33333333333333</v>
      </c>
      <c r="BH66" s="619">
        <f t="shared" si="54"/>
        <v>193.33333333333334</v>
      </c>
      <c r="BI66" s="619">
        <f t="shared" si="55"/>
        <v>108.33333333333333</v>
      </c>
      <c r="BJ66" s="619">
        <f t="shared" si="56"/>
        <v>0</v>
      </c>
      <c r="BK66" s="619">
        <f t="shared" si="57"/>
        <v>96.666666666666671</v>
      </c>
      <c r="BL66" s="619">
        <f t="shared" si="58"/>
        <v>0</v>
      </c>
      <c r="BM66" s="619">
        <f t="shared" si="59"/>
        <v>108.33333333333333</v>
      </c>
      <c r="BN66" s="518">
        <f t="shared" si="4"/>
        <v>132753.85616666669</v>
      </c>
    </row>
    <row r="67" spans="1:66" s="585" customFormat="1" ht="12.75" customHeight="1" outlineLevel="1">
      <c r="A67" s="308" t="s">
        <v>50</v>
      </c>
      <c r="B67" s="308">
        <f t="shared" si="18"/>
        <v>2020</v>
      </c>
      <c r="C67" s="308" t="s">
        <v>47</v>
      </c>
      <c r="D67" s="518"/>
      <c r="E67" s="518"/>
      <c r="F67" s="518">
        <f t="shared" si="5"/>
        <v>8092281.3700000001</v>
      </c>
      <c r="G67" s="518"/>
      <c r="H67" s="629">
        <f>149153.6-0.03</f>
        <v>149153.57</v>
      </c>
      <c r="I67" s="518">
        <f>SUM(H$5:H67)</f>
        <v>5657290.8500000006</v>
      </c>
      <c r="J67" s="518"/>
      <c r="K67" s="518">
        <f t="shared" si="2"/>
        <v>2434990.5199999996</v>
      </c>
      <c r="M67" s="518"/>
      <c r="N67" s="518"/>
      <c r="O67" s="518"/>
      <c r="P67" s="518">
        <f t="shared" si="8"/>
        <v>3036.9666666666667</v>
      </c>
      <c r="Q67" s="518">
        <f t="shared" si="9"/>
        <v>3750.2549999999997</v>
      </c>
      <c r="R67" s="518">
        <f t="shared" si="11"/>
        <v>3412.3333333333335</v>
      </c>
      <c r="S67" s="518">
        <f t="shared" si="12"/>
        <v>2922</v>
      </c>
      <c r="T67" s="518">
        <f t="shared" si="13"/>
        <v>3612.2318333333333</v>
      </c>
      <c r="U67" s="518">
        <f t="shared" si="14"/>
        <v>1915</v>
      </c>
      <c r="V67" s="518">
        <f t="shared" si="15"/>
        <v>3087.5</v>
      </c>
      <c r="W67" s="518">
        <f t="shared" si="16"/>
        <v>2156.4166666666665</v>
      </c>
      <c r="X67" s="518">
        <f t="shared" si="17"/>
        <v>1704.25</v>
      </c>
      <c r="Y67" s="518">
        <f t="shared" si="19"/>
        <v>1701.4166666666667</v>
      </c>
      <c r="Z67" s="518">
        <f t="shared" si="20"/>
        <v>3332</v>
      </c>
      <c r="AA67" s="518">
        <f t="shared" si="21"/>
        <v>3463.9166666666665</v>
      </c>
      <c r="AB67" s="518">
        <f t="shared" si="22"/>
        <v>6523.384</v>
      </c>
      <c r="AC67" s="518">
        <f t="shared" si="23"/>
        <v>5817.6980000000003</v>
      </c>
      <c r="AD67" s="518">
        <f t="shared" si="24"/>
        <v>5048.5166666666664</v>
      </c>
      <c r="AE67" s="518">
        <f t="shared" si="25"/>
        <v>3510</v>
      </c>
      <c r="AF67" s="518">
        <f t="shared" si="26"/>
        <v>3522.25</v>
      </c>
      <c r="AG67" s="518">
        <f t="shared" si="27"/>
        <v>2181.6666666666665</v>
      </c>
      <c r="AH67" s="518">
        <f t="shared" si="28"/>
        <v>4224.666666666667</v>
      </c>
      <c r="AI67" s="518">
        <f t="shared" si="29"/>
        <v>3186.8166666666666</v>
      </c>
      <c r="AJ67" s="518">
        <f t="shared" si="30"/>
        <v>1841.6666666666667</v>
      </c>
      <c r="AK67" s="518">
        <f t="shared" si="31"/>
        <v>2671.2791666666667</v>
      </c>
      <c r="AL67" s="518">
        <f t="shared" si="32"/>
        <v>3033.3333333333335</v>
      </c>
      <c r="AM67" s="518">
        <f t="shared" si="33"/>
        <v>2364.1666666666665</v>
      </c>
      <c r="AN67" s="518">
        <f t="shared" si="34"/>
        <v>3639.1666666666665</v>
      </c>
      <c r="AO67" s="518">
        <f t="shared" si="35"/>
        <v>2635.1666666666665</v>
      </c>
      <c r="AP67" s="518">
        <f t="shared" si="36"/>
        <v>4944.2748333333329</v>
      </c>
      <c r="AQ67" s="518">
        <f t="shared" si="37"/>
        <v>3021.6666666666665</v>
      </c>
      <c r="AR67" s="518">
        <f t="shared" si="38"/>
        <v>2682.9166666666665</v>
      </c>
      <c r="AS67" s="518">
        <f t="shared" si="39"/>
        <v>3202.75</v>
      </c>
      <c r="AT67" s="518">
        <f t="shared" si="40"/>
        <v>2727.5</v>
      </c>
      <c r="AU67" s="518">
        <f t="shared" si="41"/>
        <v>2383.3333333333335</v>
      </c>
      <c r="AV67" s="518">
        <f t="shared" si="42"/>
        <v>2248.4666666666667</v>
      </c>
      <c r="AW67" s="518">
        <f t="shared" si="43"/>
        <v>2160</v>
      </c>
      <c r="AX67" s="518">
        <f t="shared" si="44"/>
        <v>1191.6666666666667</v>
      </c>
      <c r="AY67" s="518">
        <f t="shared" si="45"/>
        <v>5062.166666666667</v>
      </c>
      <c r="AZ67" s="518">
        <f t="shared" si="46"/>
        <v>3863.3333333333335</v>
      </c>
      <c r="BA67" s="518">
        <f t="shared" si="47"/>
        <v>6034.8833333333332</v>
      </c>
      <c r="BB67" s="518">
        <f t="shared" si="48"/>
        <v>1625</v>
      </c>
      <c r="BC67" s="518">
        <f t="shared" si="49"/>
        <v>2680</v>
      </c>
      <c r="BD67" s="518">
        <f t="shared" si="50"/>
        <v>1401.6666666666667</v>
      </c>
      <c r="BE67" s="619">
        <f t="shared" si="51"/>
        <v>744.66666666666663</v>
      </c>
      <c r="BF67" s="619">
        <f t="shared" si="52"/>
        <v>426.66666666666669</v>
      </c>
      <c r="BG67" s="619">
        <f t="shared" si="53"/>
        <v>108.33333333333333</v>
      </c>
      <c r="BH67" s="619">
        <f t="shared" si="54"/>
        <v>193.33333333333334</v>
      </c>
      <c r="BI67" s="619">
        <f t="shared" si="55"/>
        <v>108.33333333333333</v>
      </c>
      <c r="BJ67" s="619">
        <f t="shared" si="56"/>
        <v>0</v>
      </c>
      <c r="BK67" s="619">
        <f t="shared" si="57"/>
        <v>96.666666666666671</v>
      </c>
      <c r="BL67" s="619">
        <f t="shared" si="58"/>
        <v>0</v>
      </c>
      <c r="BM67" s="619">
        <f t="shared" si="59"/>
        <v>108.33333333333333</v>
      </c>
      <c r="BN67" s="518">
        <f t="shared" si="4"/>
        <v>131310.02283333332</v>
      </c>
    </row>
    <row r="68" spans="1:66" s="585" customFormat="1" ht="12.75" customHeight="1" outlineLevel="1">
      <c r="A68" s="308" t="s">
        <v>51</v>
      </c>
      <c r="B68" s="308">
        <f t="shared" si="18"/>
        <v>2020</v>
      </c>
      <c r="C68" s="308" t="s">
        <v>47</v>
      </c>
      <c r="D68" s="518"/>
      <c r="E68" s="518"/>
      <c r="F68" s="518">
        <f t="shared" si="5"/>
        <v>8092281.3700000001</v>
      </c>
      <c r="G68" s="518"/>
      <c r="H68" s="629">
        <v>127606.12</v>
      </c>
      <c r="I68" s="518">
        <f>SUM(H$5:H68)</f>
        <v>5784896.9700000007</v>
      </c>
      <c r="J68" s="518"/>
      <c r="K68" s="518">
        <f t="shared" si="2"/>
        <v>2307384.3999999994</v>
      </c>
      <c r="M68" s="518"/>
      <c r="N68" s="518"/>
      <c r="O68" s="518"/>
      <c r="P68" s="518"/>
      <c r="Q68" s="518">
        <f t="shared" si="9"/>
        <v>3750.2549999999997</v>
      </c>
      <c r="R68" s="518">
        <f t="shared" si="11"/>
        <v>3412.3333333333335</v>
      </c>
      <c r="S68" s="518">
        <f t="shared" si="12"/>
        <v>2922</v>
      </c>
      <c r="T68" s="518">
        <f t="shared" si="13"/>
        <v>3612.2318333333333</v>
      </c>
      <c r="U68" s="518">
        <f t="shared" si="14"/>
        <v>1915</v>
      </c>
      <c r="V68" s="518">
        <f t="shared" si="15"/>
        <v>3087.5</v>
      </c>
      <c r="W68" s="518">
        <f t="shared" si="16"/>
        <v>2156.4166666666665</v>
      </c>
      <c r="X68" s="518">
        <f t="shared" si="17"/>
        <v>1704.25</v>
      </c>
      <c r="Y68" s="518">
        <f t="shared" si="19"/>
        <v>1701.4166666666667</v>
      </c>
      <c r="Z68" s="518">
        <f t="shared" si="20"/>
        <v>3332</v>
      </c>
      <c r="AA68" s="518">
        <f t="shared" si="21"/>
        <v>3463.9166666666665</v>
      </c>
      <c r="AB68" s="518">
        <f t="shared" si="22"/>
        <v>6523.384</v>
      </c>
      <c r="AC68" s="518">
        <f t="shared" si="23"/>
        <v>5817.6980000000003</v>
      </c>
      <c r="AD68" s="518">
        <f t="shared" si="24"/>
        <v>5048.5166666666664</v>
      </c>
      <c r="AE68" s="518">
        <f t="shared" si="25"/>
        <v>3510</v>
      </c>
      <c r="AF68" s="518">
        <f t="shared" si="26"/>
        <v>3522.25</v>
      </c>
      <c r="AG68" s="518">
        <f t="shared" si="27"/>
        <v>2181.6666666666665</v>
      </c>
      <c r="AH68" s="518">
        <f t="shared" si="28"/>
        <v>4224.666666666667</v>
      </c>
      <c r="AI68" s="518">
        <f t="shared" si="29"/>
        <v>3186.8166666666666</v>
      </c>
      <c r="AJ68" s="518">
        <f t="shared" si="30"/>
        <v>1841.6666666666667</v>
      </c>
      <c r="AK68" s="518">
        <f t="shared" si="31"/>
        <v>2671.2791666666667</v>
      </c>
      <c r="AL68" s="518">
        <f t="shared" si="32"/>
        <v>3033.3333333333335</v>
      </c>
      <c r="AM68" s="518">
        <f t="shared" si="33"/>
        <v>2364.1666666666665</v>
      </c>
      <c r="AN68" s="518">
        <f t="shared" si="34"/>
        <v>3639.1666666666665</v>
      </c>
      <c r="AO68" s="518">
        <f t="shared" si="35"/>
        <v>2635.1666666666665</v>
      </c>
      <c r="AP68" s="518">
        <f t="shared" si="36"/>
        <v>4944.2748333333329</v>
      </c>
      <c r="AQ68" s="518">
        <f t="shared" si="37"/>
        <v>3021.6666666666665</v>
      </c>
      <c r="AR68" s="518">
        <f t="shared" si="38"/>
        <v>2682.9166666666665</v>
      </c>
      <c r="AS68" s="518">
        <f t="shared" si="39"/>
        <v>3202.75</v>
      </c>
      <c r="AT68" s="518">
        <f t="shared" si="40"/>
        <v>2727.5</v>
      </c>
      <c r="AU68" s="518">
        <f t="shared" si="41"/>
        <v>2383.3333333333335</v>
      </c>
      <c r="AV68" s="518">
        <f t="shared" si="42"/>
        <v>2248.4666666666667</v>
      </c>
      <c r="AW68" s="518">
        <f t="shared" si="43"/>
        <v>2160</v>
      </c>
      <c r="AX68" s="518">
        <f t="shared" si="44"/>
        <v>1191.6666666666667</v>
      </c>
      <c r="AY68" s="518">
        <f t="shared" si="45"/>
        <v>5062.166666666667</v>
      </c>
      <c r="AZ68" s="518">
        <f t="shared" si="46"/>
        <v>3863.3333333333335</v>
      </c>
      <c r="BA68" s="518">
        <f t="shared" si="47"/>
        <v>6034.8833333333332</v>
      </c>
      <c r="BB68" s="518">
        <f t="shared" si="48"/>
        <v>1625</v>
      </c>
      <c r="BC68" s="518">
        <f t="shared" si="49"/>
        <v>2680</v>
      </c>
      <c r="BD68" s="518">
        <f t="shared" si="50"/>
        <v>1401.6666666666667</v>
      </c>
      <c r="BE68" s="619">
        <f t="shared" si="51"/>
        <v>744.66666666666663</v>
      </c>
      <c r="BF68" s="619">
        <f t="shared" si="52"/>
        <v>426.66666666666669</v>
      </c>
      <c r="BG68" s="619">
        <f t="shared" si="53"/>
        <v>108.33333333333333</v>
      </c>
      <c r="BH68" s="619">
        <f t="shared" si="54"/>
        <v>193.33333333333334</v>
      </c>
      <c r="BI68" s="619">
        <f t="shared" si="55"/>
        <v>108.33333333333333</v>
      </c>
      <c r="BJ68" s="619">
        <f t="shared" si="56"/>
        <v>0</v>
      </c>
      <c r="BK68" s="619">
        <f t="shared" si="57"/>
        <v>96.666666666666671</v>
      </c>
      <c r="BL68" s="619">
        <f t="shared" si="58"/>
        <v>0</v>
      </c>
      <c r="BM68" s="619">
        <f t="shared" si="59"/>
        <v>108.33333333333333</v>
      </c>
      <c r="BN68" s="518">
        <f t="shared" si="4"/>
        <v>128273.05616666666</v>
      </c>
    </row>
    <row r="69" spans="1:66" s="585" customFormat="1" ht="12.75" customHeight="1" outlineLevel="1">
      <c r="A69" s="308" t="s">
        <v>52</v>
      </c>
      <c r="B69" s="308">
        <f t="shared" si="18"/>
        <v>2020</v>
      </c>
      <c r="C69" s="308" t="s">
        <v>47</v>
      </c>
      <c r="D69" s="518"/>
      <c r="E69" s="518"/>
      <c r="F69" s="518">
        <f t="shared" si="5"/>
        <v>8092281.3700000001</v>
      </c>
      <c r="G69" s="518"/>
      <c r="H69" s="629">
        <v>127597.75</v>
      </c>
      <c r="I69" s="518">
        <f>SUM(H$5:H69)</f>
        <v>5912494.7200000007</v>
      </c>
      <c r="J69" s="518"/>
      <c r="K69" s="518">
        <f t="shared" si="2"/>
        <v>2179786.6499999994</v>
      </c>
      <c r="M69" s="518"/>
      <c r="N69" s="518"/>
      <c r="O69" s="518"/>
      <c r="P69" s="518"/>
      <c r="Q69" s="518"/>
      <c r="R69" s="518">
        <f t="shared" si="11"/>
        <v>3412.3333333333335</v>
      </c>
      <c r="S69" s="518">
        <f t="shared" si="12"/>
        <v>2922</v>
      </c>
      <c r="T69" s="518">
        <f t="shared" si="13"/>
        <v>3612.2318333333333</v>
      </c>
      <c r="U69" s="518">
        <f t="shared" si="14"/>
        <v>1915</v>
      </c>
      <c r="V69" s="518">
        <f t="shared" si="15"/>
        <v>3087.5</v>
      </c>
      <c r="W69" s="518">
        <f t="shared" si="16"/>
        <v>2156.4166666666665</v>
      </c>
      <c r="X69" s="518">
        <f t="shared" si="17"/>
        <v>1704.25</v>
      </c>
      <c r="Y69" s="518">
        <f t="shared" si="19"/>
        <v>1701.4166666666667</v>
      </c>
      <c r="Z69" s="518">
        <f t="shared" si="20"/>
        <v>3332</v>
      </c>
      <c r="AA69" s="518">
        <f t="shared" si="21"/>
        <v>3463.9166666666665</v>
      </c>
      <c r="AB69" s="518">
        <f t="shared" si="22"/>
        <v>6523.384</v>
      </c>
      <c r="AC69" s="518">
        <f t="shared" si="23"/>
        <v>5817.6980000000003</v>
      </c>
      <c r="AD69" s="518">
        <f t="shared" si="24"/>
        <v>5048.5166666666664</v>
      </c>
      <c r="AE69" s="518">
        <f t="shared" si="25"/>
        <v>3510</v>
      </c>
      <c r="AF69" s="518">
        <f t="shared" si="26"/>
        <v>3522.25</v>
      </c>
      <c r="AG69" s="518">
        <f t="shared" si="27"/>
        <v>2181.6666666666665</v>
      </c>
      <c r="AH69" s="518">
        <f t="shared" si="28"/>
        <v>4224.666666666667</v>
      </c>
      <c r="AI69" s="518">
        <f t="shared" si="29"/>
        <v>3186.8166666666666</v>
      </c>
      <c r="AJ69" s="518">
        <f t="shared" si="30"/>
        <v>1841.6666666666667</v>
      </c>
      <c r="AK69" s="518">
        <f t="shared" si="31"/>
        <v>2671.2791666666667</v>
      </c>
      <c r="AL69" s="518">
        <f t="shared" si="32"/>
        <v>3033.3333333333335</v>
      </c>
      <c r="AM69" s="518">
        <f t="shared" si="33"/>
        <v>2364.1666666666665</v>
      </c>
      <c r="AN69" s="518">
        <f t="shared" si="34"/>
        <v>3639.1666666666665</v>
      </c>
      <c r="AO69" s="518">
        <f t="shared" si="35"/>
        <v>2635.1666666666665</v>
      </c>
      <c r="AP69" s="518">
        <f t="shared" si="36"/>
        <v>4944.2748333333329</v>
      </c>
      <c r="AQ69" s="518">
        <f t="shared" si="37"/>
        <v>3021.6666666666665</v>
      </c>
      <c r="AR69" s="518">
        <f t="shared" si="38"/>
        <v>2682.9166666666665</v>
      </c>
      <c r="AS69" s="518">
        <f t="shared" si="39"/>
        <v>3202.75</v>
      </c>
      <c r="AT69" s="518">
        <f t="shared" si="40"/>
        <v>2727.5</v>
      </c>
      <c r="AU69" s="518">
        <f t="shared" si="41"/>
        <v>2383.3333333333335</v>
      </c>
      <c r="AV69" s="518">
        <f t="shared" si="42"/>
        <v>2248.4666666666667</v>
      </c>
      <c r="AW69" s="518">
        <f t="shared" si="43"/>
        <v>2160</v>
      </c>
      <c r="AX69" s="518">
        <f t="shared" si="44"/>
        <v>1191.6666666666667</v>
      </c>
      <c r="AY69" s="518">
        <f t="shared" si="45"/>
        <v>5062.166666666667</v>
      </c>
      <c r="AZ69" s="518">
        <f t="shared" si="46"/>
        <v>3863.3333333333335</v>
      </c>
      <c r="BA69" s="518">
        <f t="shared" si="47"/>
        <v>6034.8833333333332</v>
      </c>
      <c r="BB69" s="518">
        <f t="shared" si="48"/>
        <v>1625</v>
      </c>
      <c r="BC69" s="518">
        <f t="shared" si="49"/>
        <v>2680</v>
      </c>
      <c r="BD69" s="518">
        <f t="shared" si="50"/>
        <v>1401.6666666666667</v>
      </c>
      <c r="BE69" s="619">
        <f t="shared" si="51"/>
        <v>744.66666666666663</v>
      </c>
      <c r="BF69" s="619">
        <f t="shared" si="52"/>
        <v>426.66666666666669</v>
      </c>
      <c r="BG69" s="619">
        <f t="shared" si="53"/>
        <v>108.33333333333333</v>
      </c>
      <c r="BH69" s="619">
        <f t="shared" si="54"/>
        <v>193.33333333333334</v>
      </c>
      <c r="BI69" s="619">
        <f t="shared" si="55"/>
        <v>108.33333333333333</v>
      </c>
      <c r="BJ69" s="619">
        <f t="shared" si="56"/>
        <v>0</v>
      </c>
      <c r="BK69" s="619">
        <f t="shared" si="57"/>
        <v>96.666666666666671</v>
      </c>
      <c r="BL69" s="619">
        <f t="shared" si="58"/>
        <v>0</v>
      </c>
      <c r="BM69" s="619">
        <f t="shared" si="59"/>
        <v>108.33333333333333</v>
      </c>
      <c r="BN69" s="518">
        <f t="shared" si="4"/>
        <v>124522.80116666667</v>
      </c>
    </row>
    <row r="70" spans="1:66" s="585" customFormat="1" ht="12.75" customHeight="1" outlineLevel="1">
      <c r="A70" s="308" t="s">
        <v>53</v>
      </c>
      <c r="B70" s="308">
        <f t="shared" si="18"/>
        <v>2021</v>
      </c>
      <c r="C70" s="308" t="s">
        <v>47</v>
      </c>
      <c r="D70" s="518"/>
      <c r="E70" s="518"/>
      <c r="F70" s="518">
        <f t="shared" si="5"/>
        <v>8092281.3700000001</v>
      </c>
      <c r="G70" s="518"/>
      <c r="H70" s="629">
        <f>124908.93-3306.83</f>
        <v>121602.09999999999</v>
      </c>
      <c r="I70" s="518">
        <f>SUM(H$5:H70)</f>
        <v>6034096.8200000003</v>
      </c>
      <c r="J70" s="518"/>
      <c r="K70" s="518">
        <f t="shared" ref="K70:K100" si="60">F70-I70</f>
        <v>2058184.5499999998</v>
      </c>
      <c r="M70" s="518"/>
      <c r="N70" s="518"/>
      <c r="O70" s="518"/>
      <c r="P70" s="518"/>
      <c r="Q70" s="518"/>
      <c r="R70" s="518"/>
      <c r="S70" s="518">
        <f t="shared" si="12"/>
        <v>2922</v>
      </c>
      <c r="T70" s="518">
        <f t="shared" si="13"/>
        <v>3612.2318333333333</v>
      </c>
      <c r="U70" s="518">
        <f t="shared" si="14"/>
        <v>1915</v>
      </c>
      <c r="V70" s="518">
        <f t="shared" si="15"/>
        <v>3087.5</v>
      </c>
      <c r="W70" s="518">
        <f t="shared" si="16"/>
        <v>2156.4166666666665</v>
      </c>
      <c r="X70" s="518">
        <f t="shared" si="17"/>
        <v>1704.25</v>
      </c>
      <c r="Y70" s="518">
        <f t="shared" si="19"/>
        <v>1701.4166666666667</v>
      </c>
      <c r="Z70" s="518">
        <f t="shared" si="20"/>
        <v>3332</v>
      </c>
      <c r="AA70" s="518">
        <f t="shared" si="21"/>
        <v>3463.9166666666665</v>
      </c>
      <c r="AB70" s="518">
        <f t="shared" si="22"/>
        <v>6523.384</v>
      </c>
      <c r="AC70" s="518">
        <f t="shared" si="23"/>
        <v>5817.6980000000003</v>
      </c>
      <c r="AD70" s="518">
        <f t="shared" si="24"/>
        <v>5048.5166666666664</v>
      </c>
      <c r="AE70" s="518">
        <f t="shared" si="25"/>
        <v>3510</v>
      </c>
      <c r="AF70" s="518">
        <f t="shared" si="26"/>
        <v>3522.25</v>
      </c>
      <c r="AG70" s="518">
        <f t="shared" si="27"/>
        <v>2181.6666666666665</v>
      </c>
      <c r="AH70" s="518">
        <f t="shared" si="28"/>
        <v>4224.666666666667</v>
      </c>
      <c r="AI70" s="518">
        <f t="shared" si="29"/>
        <v>3186.8166666666666</v>
      </c>
      <c r="AJ70" s="518">
        <f t="shared" si="30"/>
        <v>1841.6666666666667</v>
      </c>
      <c r="AK70" s="518">
        <f t="shared" si="31"/>
        <v>2671.2791666666667</v>
      </c>
      <c r="AL70" s="518">
        <f t="shared" si="32"/>
        <v>3033.3333333333335</v>
      </c>
      <c r="AM70" s="518">
        <f t="shared" si="33"/>
        <v>2364.1666666666665</v>
      </c>
      <c r="AN70" s="518">
        <f t="shared" si="34"/>
        <v>3639.1666666666665</v>
      </c>
      <c r="AO70" s="518">
        <f t="shared" si="35"/>
        <v>2635.1666666666665</v>
      </c>
      <c r="AP70" s="518">
        <f t="shared" si="36"/>
        <v>4944.2748333333329</v>
      </c>
      <c r="AQ70" s="518">
        <f t="shared" si="37"/>
        <v>3021.6666666666665</v>
      </c>
      <c r="AR70" s="518">
        <f t="shared" si="38"/>
        <v>2682.9166666666665</v>
      </c>
      <c r="AS70" s="518">
        <f t="shared" si="39"/>
        <v>3202.75</v>
      </c>
      <c r="AT70" s="518">
        <f t="shared" si="40"/>
        <v>2727.5</v>
      </c>
      <c r="AU70" s="518">
        <f t="shared" si="41"/>
        <v>2383.3333333333335</v>
      </c>
      <c r="AV70" s="518">
        <f t="shared" si="42"/>
        <v>2248.4666666666667</v>
      </c>
      <c r="AW70" s="518">
        <f t="shared" si="43"/>
        <v>2160</v>
      </c>
      <c r="AX70" s="518">
        <f t="shared" si="44"/>
        <v>1191.6666666666667</v>
      </c>
      <c r="AY70" s="518">
        <f t="shared" si="45"/>
        <v>5062.166666666667</v>
      </c>
      <c r="AZ70" s="518">
        <f t="shared" si="46"/>
        <v>3863.3333333333335</v>
      </c>
      <c r="BA70" s="518">
        <f t="shared" si="47"/>
        <v>6034.8833333333332</v>
      </c>
      <c r="BB70" s="518">
        <f t="shared" si="48"/>
        <v>1625</v>
      </c>
      <c r="BC70" s="518">
        <f t="shared" si="49"/>
        <v>2680</v>
      </c>
      <c r="BD70" s="518">
        <f t="shared" si="50"/>
        <v>1401.6666666666667</v>
      </c>
      <c r="BE70" s="619">
        <f t="shared" si="51"/>
        <v>744.66666666666663</v>
      </c>
      <c r="BF70" s="619">
        <f t="shared" si="52"/>
        <v>426.66666666666669</v>
      </c>
      <c r="BG70" s="619">
        <f t="shared" si="53"/>
        <v>108.33333333333333</v>
      </c>
      <c r="BH70" s="619">
        <f t="shared" si="54"/>
        <v>193.33333333333334</v>
      </c>
      <c r="BI70" s="619">
        <f t="shared" si="55"/>
        <v>108.33333333333333</v>
      </c>
      <c r="BJ70" s="619">
        <f t="shared" si="56"/>
        <v>0</v>
      </c>
      <c r="BK70" s="619">
        <f t="shared" si="57"/>
        <v>96.666666666666671</v>
      </c>
      <c r="BL70" s="619">
        <f t="shared" si="58"/>
        <v>0</v>
      </c>
      <c r="BM70" s="619">
        <f t="shared" si="59"/>
        <v>108.33333333333333</v>
      </c>
      <c r="BN70" s="518">
        <f t="shared" ref="BN70:BN116" si="61">SUM(M70:BM70)</f>
        <v>121110.46783333333</v>
      </c>
    </row>
    <row r="71" spans="1:66" s="585" customFormat="1" ht="12.75" customHeight="1" outlineLevel="1">
      <c r="A71" s="308" t="s">
        <v>54</v>
      </c>
      <c r="B71" s="308">
        <f t="shared" si="18"/>
        <v>2021</v>
      </c>
      <c r="C71" s="308" t="s">
        <v>47</v>
      </c>
      <c r="D71" s="518"/>
      <c r="E71" s="518"/>
      <c r="F71" s="518">
        <f t="shared" ref="F71:F90" si="62">F70+D71</f>
        <v>8092281.3700000001</v>
      </c>
      <c r="G71" s="518"/>
      <c r="H71" s="629">
        <v>110322</v>
      </c>
      <c r="I71" s="518">
        <f>SUM(H$5:H71)</f>
        <v>6144418.8200000003</v>
      </c>
      <c r="J71" s="518"/>
      <c r="K71" s="518">
        <f t="shared" si="60"/>
        <v>1947862.5499999998</v>
      </c>
      <c r="M71" s="518"/>
      <c r="N71" s="518"/>
      <c r="O71" s="518"/>
      <c r="P71" s="518"/>
      <c r="Q71" s="518"/>
      <c r="R71" s="518"/>
      <c r="S71" s="518"/>
      <c r="T71" s="518">
        <f t="shared" si="13"/>
        <v>3612.2318333333333</v>
      </c>
      <c r="U71" s="518">
        <f t="shared" si="14"/>
        <v>1915</v>
      </c>
      <c r="V71" s="518">
        <f t="shared" si="15"/>
        <v>3087.5</v>
      </c>
      <c r="W71" s="518">
        <f t="shared" si="16"/>
        <v>2156.4166666666665</v>
      </c>
      <c r="X71" s="518">
        <f t="shared" si="17"/>
        <v>1704.25</v>
      </c>
      <c r="Y71" s="518">
        <f t="shared" si="19"/>
        <v>1701.4166666666667</v>
      </c>
      <c r="Z71" s="518">
        <f t="shared" si="20"/>
        <v>3332</v>
      </c>
      <c r="AA71" s="518">
        <f t="shared" si="21"/>
        <v>3463.9166666666665</v>
      </c>
      <c r="AB71" s="518">
        <f t="shared" si="22"/>
        <v>6523.384</v>
      </c>
      <c r="AC71" s="518">
        <f t="shared" si="23"/>
        <v>5817.6980000000003</v>
      </c>
      <c r="AD71" s="518">
        <f t="shared" si="24"/>
        <v>5048.5166666666664</v>
      </c>
      <c r="AE71" s="518">
        <f t="shared" si="25"/>
        <v>3510</v>
      </c>
      <c r="AF71" s="518">
        <f t="shared" si="26"/>
        <v>3522.25</v>
      </c>
      <c r="AG71" s="518">
        <f t="shared" si="27"/>
        <v>2181.6666666666665</v>
      </c>
      <c r="AH71" s="518">
        <f t="shared" si="28"/>
        <v>4224.666666666667</v>
      </c>
      <c r="AI71" s="518">
        <f t="shared" si="29"/>
        <v>3186.8166666666666</v>
      </c>
      <c r="AJ71" s="518">
        <f t="shared" si="30"/>
        <v>1841.6666666666667</v>
      </c>
      <c r="AK71" s="518">
        <f t="shared" si="31"/>
        <v>2671.2791666666667</v>
      </c>
      <c r="AL71" s="518">
        <f t="shared" si="32"/>
        <v>3033.3333333333335</v>
      </c>
      <c r="AM71" s="518">
        <f t="shared" si="33"/>
        <v>2364.1666666666665</v>
      </c>
      <c r="AN71" s="518">
        <f t="shared" si="34"/>
        <v>3639.1666666666665</v>
      </c>
      <c r="AO71" s="518">
        <f t="shared" si="35"/>
        <v>2635.1666666666665</v>
      </c>
      <c r="AP71" s="518">
        <f t="shared" si="36"/>
        <v>4944.2748333333329</v>
      </c>
      <c r="AQ71" s="518">
        <f t="shared" si="37"/>
        <v>3021.6666666666665</v>
      </c>
      <c r="AR71" s="518">
        <f t="shared" si="38"/>
        <v>2682.9166666666665</v>
      </c>
      <c r="AS71" s="518">
        <f t="shared" si="39"/>
        <v>3202.75</v>
      </c>
      <c r="AT71" s="518">
        <f t="shared" si="40"/>
        <v>2727.5</v>
      </c>
      <c r="AU71" s="518">
        <f t="shared" si="41"/>
        <v>2383.3333333333335</v>
      </c>
      <c r="AV71" s="518">
        <f t="shared" si="42"/>
        <v>2248.4666666666667</v>
      </c>
      <c r="AW71" s="518">
        <f t="shared" si="43"/>
        <v>2160</v>
      </c>
      <c r="AX71" s="518">
        <f t="shared" si="44"/>
        <v>1191.6666666666667</v>
      </c>
      <c r="AY71" s="518">
        <f t="shared" si="45"/>
        <v>5062.166666666667</v>
      </c>
      <c r="AZ71" s="518">
        <f t="shared" si="46"/>
        <v>3863.3333333333335</v>
      </c>
      <c r="BA71" s="518">
        <f t="shared" si="47"/>
        <v>6034.8833333333332</v>
      </c>
      <c r="BB71" s="518">
        <f t="shared" si="48"/>
        <v>1625</v>
      </c>
      <c r="BC71" s="518">
        <f t="shared" si="49"/>
        <v>2680</v>
      </c>
      <c r="BD71" s="518">
        <f t="shared" si="50"/>
        <v>1401.6666666666667</v>
      </c>
      <c r="BE71" s="619">
        <f t="shared" si="51"/>
        <v>744.66666666666663</v>
      </c>
      <c r="BF71" s="619">
        <f t="shared" si="52"/>
        <v>426.66666666666669</v>
      </c>
      <c r="BG71" s="619">
        <f t="shared" si="53"/>
        <v>108.33333333333333</v>
      </c>
      <c r="BH71" s="619">
        <f t="shared" si="54"/>
        <v>193.33333333333334</v>
      </c>
      <c r="BI71" s="619">
        <f t="shared" si="55"/>
        <v>108.33333333333333</v>
      </c>
      <c r="BJ71" s="619">
        <f t="shared" si="56"/>
        <v>0</v>
      </c>
      <c r="BK71" s="619">
        <f t="shared" si="57"/>
        <v>96.666666666666671</v>
      </c>
      <c r="BL71" s="619">
        <f t="shared" si="58"/>
        <v>0</v>
      </c>
      <c r="BM71" s="619">
        <f t="shared" si="59"/>
        <v>108.33333333333333</v>
      </c>
      <c r="BN71" s="518">
        <f t="shared" si="61"/>
        <v>118188.46783333333</v>
      </c>
    </row>
    <row r="72" spans="1:66" s="585" customFormat="1" ht="12.75" customHeight="1" outlineLevel="1">
      <c r="A72" s="308" t="s">
        <v>55</v>
      </c>
      <c r="B72" s="308">
        <f t="shared" si="18"/>
        <v>2021</v>
      </c>
      <c r="C72" s="308" t="s">
        <v>47</v>
      </c>
      <c r="D72" s="518"/>
      <c r="E72" s="518"/>
      <c r="F72" s="518">
        <f t="shared" si="62"/>
        <v>8092281.3700000001</v>
      </c>
      <c r="G72" s="518"/>
      <c r="H72" s="629">
        <v>124997.6</v>
      </c>
      <c r="I72" s="518">
        <f>SUM(H$5:H72)</f>
        <v>6269416.4199999999</v>
      </c>
      <c r="J72" s="518"/>
      <c r="K72" s="518">
        <f t="shared" si="60"/>
        <v>1822864.9500000002</v>
      </c>
      <c r="M72" s="518"/>
      <c r="N72" s="518"/>
      <c r="O72" s="518"/>
      <c r="P72" s="518"/>
      <c r="Q72" s="518"/>
      <c r="R72" s="518"/>
      <c r="S72" s="518"/>
      <c r="T72" s="518"/>
      <c r="U72" s="518">
        <f t="shared" si="14"/>
        <v>1915</v>
      </c>
      <c r="V72" s="518">
        <f t="shared" si="15"/>
        <v>3087.5</v>
      </c>
      <c r="W72" s="518">
        <f t="shared" si="16"/>
        <v>2156.4166666666665</v>
      </c>
      <c r="X72" s="518">
        <f t="shared" si="17"/>
        <v>1704.25</v>
      </c>
      <c r="Y72" s="518">
        <f t="shared" si="19"/>
        <v>1701.4166666666667</v>
      </c>
      <c r="Z72" s="518">
        <f t="shared" si="20"/>
        <v>3332</v>
      </c>
      <c r="AA72" s="518">
        <f t="shared" si="21"/>
        <v>3463.9166666666665</v>
      </c>
      <c r="AB72" s="518">
        <f t="shared" si="22"/>
        <v>6523.384</v>
      </c>
      <c r="AC72" s="518">
        <f t="shared" si="23"/>
        <v>5817.6980000000003</v>
      </c>
      <c r="AD72" s="518">
        <f t="shared" si="24"/>
        <v>5048.5166666666664</v>
      </c>
      <c r="AE72" s="518">
        <f t="shared" si="25"/>
        <v>3510</v>
      </c>
      <c r="AF72" s="518">
        <f t="shared" si="26"/>
        <v>3522.25</v>
      </c>
      <c r="AG72" s="518">
        <f t="shared" si="27"/>
        <v>2181.6666666666665</v>
      </c>
      <c r="AH72" s="518">
        <f t="shared" si="28"/>
        <v>4224.666666666667</v>
      </c>
      <c r="AI72" s="518">
        <f t="shared" si="29"/>
        <v>3186.8166666666666</v>
      </c>
      <c r="AJ72" s="518">
        <f t="shared" si="30"/>
        <v>1841.6666666666667</v>
      </c>
      <c r="AK72" s="518">
        <f t="shared" si="31"/>
        <v>2671.2791666666667</v>
      </c>
      <c r="AL72" s="518">
        <f t="shared" si="32"/>
        <v>3033.3333333333335</v>
      </c>
      <c r="AM72" s="518">
        <f t="shared" si="33"/>
        <v>2364.1666666666665</v>
      </c>
      <c r="AN72" s="518">
        <f t="shared" si="34"/>
        <v>3639.1666666666665</v>
      </c>
      <c r="AO72" s="518">
        <f t="shared" si="35"/>
        <v>2635.1666666666665</v>
      </c>
      <c r="AP72" s="518">
        <f t="shared" si="36"/>
        <v>4944.2748333333329</v>
      </c>
      <c r="AQ72" s="518">
        <f t="shared" si="37"/>
        <v>3021.6666666666665</v>
      </c>
      <c r="AR72" s="518">
        <f t="shared" si="38"/>
        <v>2682.9166666666665</v>
      </c>
      <c r="AS72" s="518">
        <f t="shared" si="39"/>
        <v>3202.75</v>
      </c>
      <c r="AT72" s="518">
        <f t="shared" si="40"/>
        <v>2727.5</v>
      </c>
      <c r="AU72" s="518">
        <f t="shared" si="41"/>
        <v>2383.3333333333335</v>
      </c>
      <c r="AV72" s="518">
        <f t="shared" si="42"/>
        <v>2248.4666666666667</v>
      </c>
      <c r="AW72" s="518">
        <f t="shared" si="43"/>
        <v>2160</v>
      </c>
      <c r="AX72" s="518">
        <f t="shared" si="44"/>
        <v>1191.6666666666667</v>
      </c>
      <c r="AY72" s="518">
        <f t="shared" si="45"/>
        <v>5062.166666666667</v>
      </c>
      <c r="AZ72" s="518">
        <f t="shared" si="46"/>
        <v>3863.3333333333335</v>
      </c>
      <c r="BA72" s="518">
        <f t="shared" si="47"/>
        <v>6034.8833333333332</v>
      </c>
      <c r="BB72" s="518">
        <f t="shared" si="48"/>
        <v>1625</v>
      </c>
      <c r="BC72" s="518">
        <f t="shared" si="49"/>
        <v>2680</v>
      </c>
      <c r="BD72" s="518">
        <f t="shared" si="50"/>
        <v>1401.6666666666667</v>
      </c>
      <c r="BE72" s="619">
        <f t="shared" si="51"/>
        <v>744.66666666666663</v>
      </c>
      <c r="BF72" s="619">
        <f t="shared" si="52"/>
        <v>426.66666666666669</v>
      </c>
      <c r="BG72" s="619">
        <f t="shared" si="53"/>
        <v>108.33333333333333</v>
      </c>
      <c r="BH72" s="619">
        <f t="shared" si="54"/>
        <v>193.33333333333334</v>
      </c>
      <c r="BI72" s="619">
        <f t="shared" si="55"/>
        <v>108.33333333333333</v>
      </c>
      <c r="BJ72" s="619">
        <f t="shared" si="56"/>
        <v>0</v>
      </c>
      <c r="BK72" s="619">
        <f t="shared" si="57"/>
        <v>96.666666666666671</v>
      </c>
      <c r="BL72" s="619">
        <f t="shared" si="58"/>
        <v>0</v>
      </c>
      <c r="BM72" s="619">
        <f t="shared" si="59"/>
        <v>108.33333333333333</v>
      </c>
      <c r="BN72" s="518">
        <f t="shared" si="61"/>
        <v>114576.23599999999</v>
      </c>
    </row>
    <row r="73" spans="1:66" s="585" customFormat="1" ht="12.75" customHeight="1" outlineLevel="1">
      <c r="A73" s="308" t="s">
        <v>56</v>
      </c>
      <c r="B73" s="308">
        <f t="shared" si="18"/>
        <v>2021</v>
      </c>
      <c r="C73" s="308" t="s">
        <v>47</v>
      </c>
      <c r="D73" s="518"/>
      <c r="E73" s="518"/>
      <c r="F73" s="518">
        <f t="shared" si="62"/>
        <v>8092281.3700000001</v>
      </c>
      <c r="G73" s="518"/>
      <c r="H73" s="629">
        <v>103263.1</v>
      </c>
      <c r="I73" s="518">
        <f>SUM(H$5:H73)</f>
        <v>6372679.5199999996</v>
      </c>
      <c r="J73" s="518"/>
      <c r="K73" s="518">
        <f t="shared" si="60"/>
        <v>1719601.8500000006</v>
      </c>
      <c r="M73" s="518"/>
      <c r="N73" s="518"/>
      <c r="O73" s="518"/>
      <c r="P73" s="518"/>
      <c r="Q73" s="518"/>
      <c r="R73" s="518"/>
      <c r="S73" s="518"/>
      <c r="T73" s="518"/>
      <c r="U73" s="518"/>
      <c r="V73" s="518">
        <f t="shared" si="15"/>
        <v>3087.5</v>
      </c>
      <c r="W73" s="518">
        <f t="shared" si="16"/>
        <v>2156.4166666666665</v>
      </c>
      <c r="X73" s="518">
        <f t="shared" si="17"/>
        <v>1704.25</v>
      </c>
      <c r="Y73" s="518">
        <f t="shared" si="19"/>
        <v>1701.4166666666667</v>
      </c>
      <c r="Z73" s="518">
        <f t="shared" si="20"/>
        <v>3332</v>
      </c>
      <c r="AA73" s="518">
        <f t="shared" si="21"/>
        <v>3463.9166666666665</v>
      </c>
      <c r="AB73" s="518">
        <f t="shared" si="22"/>
        <v>6523.384</v>
      </c>
      <c r="AC73" s="518">
        <f t="shared" si="23"/>
        <v>5817.6980000000003</v>
      </c>
      <c r="AD73" s="518">
        <f t="shared" si="24"/>
        <v>5048.5166666666664</v>
      </c>
      <c r="AE73" s="518">
        <f t="shared" si="25"/>
        <v>3510</v>
      </c>
      <c r="AF73" s="518">
        <f t="shared" si="26"/>
        <v>3522.25</v>
      </c>
      <c r="AG73" s="518">
        <f t="shared" si="27"/>
        <v>2181.6666666666665</v>
      </c>
      <c r="AH73" s="518">
        <f t="shared" si="28"/>
        <v>4224.666666666667</v>
      </c>
      <c r="AI73" s="518">
        <f t="shared" si="29"/>
        <v>3186.8166666666666</v>
      </c>
      <c r="AJ73" s="518">
        <f t="shared" si="30"/>
        <v>1841.6666666666667</v>
      </c>
      <c r="AK73" s="518">
        <f t="shared" si="31"/>
        <v>2671.2791666666667</v>
      </c>
      <c r="AL73" s="518">
        <f t="shared" si="32"/>
        <v>3033.3333333333335</v>
      </c>
      <c r="AM73" s="518">
        <f t="shared" si="33"/>
        <v>2364.1666666666665</v>
      </c>
      <c r="AN73" s="518">
        <f t="shared" si="34"/>
        <v>3639.1666666666665</v>
      </c>
      <c r="AO73" s="518">
        <f t="shared" si="35"/>
        <v>2635.1666666666665</v>
      </c>
      <c r="AP73" s="518">
        <f t="shared" si="36"/>
        <v>4944.2748333333329</v>
      </c>
      <c r="AQ73" s="518">
        <f t="shared" si="37"/>
        <v>3021.6666666666665</v>
      </c>
      <c r="AR73" s="518">
        <f t="shared" si="38"/>
        <v>2682.9166666666665</v>
      </c>
      <c r="AS73" s="518">
        <f t="shared" si="39"/>
        <v>3202.75</v>
      </c>
      <c r="AT73" s="518">
        <f t="shared" si="40"/>
        <v>2727.5</v>
      </c>
      <c r="AU73" s="518">
        <f t="shared" si="41"/>
        <v>2383.3333333333335</v>
      </c>
      <c r="AV73" s="518">
        <f t="shared" si="42"/>
        <v>2248.4666666666667</v>
      </c>
      <c r="AW73" s="518">
        <f t="shared" si="43"/>
        <v>2160</v>
      </c>
      <c r="AX73" s="518">
        <f t="shared" si="44"/>
        <v>1191.6666666666667</v>
      </c>
      <c r="AY73" s="518">
        <f t="shared" si="45"/>
        <v>5062.166666666667</v>
      </c>
      <c r="AZ73" s="518">
        <f t="shared" si="46"/>
        <v>3863.3333333333335</v>
      </c>
      <c r="BA73" s="518">
        <f t="shared" si="47"/>
        <v>6034.8833333333332</v>
      </c>
      <c r="BB73" s="518">
        <f t="shared" si="48"/>
        <v>1625</v>
      </c>
      <c r="BC73" s="518">
        <f t="shared" si="49"/>
        <v>2680</v>
      </c>
      <c r="BD73" s="518">
        <f t="shared" si="50"/>
        <v>1401.6666666666667</v>
      </c>
      <c r="BE73" s="619">
        <f t="shared" si="51"/>
        <v>744.66666666666663</v>
      </c>
      <c r="BF73" s="619">
        <f t="shared" si="52"/>
        <v>426.66666666666669</v>
      </c>
      <c r="BG73" s="619">
        <f t="shared" si="53"/>
        <v>108.33333333333333</v>
      </c>
      <c r="BH73" s="619">
        <f t="shared" si="54"/>
        <v>193.33333333333334</v>
      </c>
      <c r="BI73" s="619">
        <f t="shared" si="55"/>
        <v>108.33333333333333</v>
      </c>
      <c r="BJ73" s="619">
        <f t="shared" si="56"/>
        <v>0</v>
      </c>
      <c r="BK73" s="619">
        <f t="shared" si="57"/>
        <v>96.666666666666671</v>
      </c>
      <c r="BL73" s="619">
        <f t="shared" si="58"/>
        <v>0</v>
      </c>
      <c r="BM73" s="619">
        <f t="shared" si="59"/>
        <v>108.33333333333333</v>
      </c>
      <c r="BN73" s="518">
        <f t="shared" si="61"/>
        <v>112661.23599999999</v>
      </c>
    </row>
    <row r="74" spans="1:66" s="585" customFormat="1" ht="12.75" customHeight="1" outlineLevel="1">
      <c r="A74" s="308" t="s">
        <v>57</v>
      </c>
      <c r="B74" s="308">
        <f t="shared" si="18"/>
        <v>2021</v>
      </c>
      <c r="C74" s="308" t="s">
        <v>47</v>
      </c>
      <c r="D74" s="518"/>
      <c r="E74" s="518"/>
      <c r="F74" s="518">
        <f t="shared" si="62"/>
        <v>8092281.3700000001</v>
      </c>
      <c r="G74" s="518"/>
      <c r="H74" s="629">
        <v>100768.59</v>
      </c>
      <c r="I74" s="518">
        <f>SUM(H$5:H74)</f>
        <v>6473448.1099999994</v>
      </c>
      <c r="J74" s="518"/>
      <c r="K74" s="518">
        <f t="shared" si="60"/>
        <v>1618833.2600000007</v>
      </c>
      <c r="M74" s="518"/>
      <c r="N74" s="518"/>
      <c r="O74" s="518"/>
      <c r="P74" s="518"/>
      <c r="Q74" s="518"/>
      <c r="R74" s="518"/>
      <c r="S74" s="518"/>
      <c r="T74" s="518"/>
      <c r="U74" s="518"/>
      <c r="V74" s="518"/>
      <c r="W74" s="518">
        <f t="shared" si="16"/>
        <v>2156.4166666666665</v>
      </c>
      <c r="X74" s="518">
        <f t="shared" si="17"/>
        <v>1704.25</v>
      </c>
      <c r="Y74" s="518">
        <f t="shared" si="19"/>
        <v>1701.4166666666667</v>
      </c>
      <c r="Z74" s="518">
        <f t="shared" si="20"/>
        <v>3332</v>
      </c>
      <c r="AA74" s="518">
        <f t="shared" si="21"/>
        <v>3463.9166666666665</v>
      </c>
      <c r="AB74" s="518">
        <f t="shared" si="22"/>
        <v>6523.384</v>
      </c>
      <c r="AC74" s="518">
        <f t="shared" si="23"/>
        <v>5817.6980000000003</v>
      </c>
      <c r="AD74" s="518">
        <f t="shared" si="24"/>
        <v>5048.5166666666664</v>
      </c>
      <c r="AE74" s="518">
        <f t="shared" si="25"/>
        <v>3510</v>
      </c>
      <c r="AF74" s="518">
        <f t="shared" si="26"/>
        <v>3522.25</v>
      </c>
      <c r="AG74" s="518">
        <f t="shared" si="27"/>
        <v>2181.6666666666665</v>
      </c>
      <c r="AH74" s="518">
        <f t="shared" si="28"/>
        <v>4224.666666666667</v>
      </c>
      <c r="AI74" s="518">
        <f t="shared" si="29"/>
        <v>3186.8166666666666</v>
      </c>
      <c r="AJ74" s="518">
        <f t="shared" si="30"/>
        <v>1841.6666666666667</v>
      </c>
      <c r="AK74" s="518">
        <f t="shared" si="31"/>
        <v>2671.2791666666667</v>
      </c>
      <c r="AL74" s="518">
        <f t="shared" si="32"/>
        <v>3033.3333333333335</v>
      </c>
      <c r="AM74" s="518">
        <f t="shared" si="33"/>
        <v>2364.1666666666665</v>
      </c>
      <c r="AN74" s="518">
        <f t="shared" si="34"/>
        <v>3639.1666666666665</v>
      </c>
      <c r="AO74" s="518">
        <f t="shared" si="35"/>
        <v>2635.1666666666665</v>
      </c>
      <c r="AP74" s="518">
        <f t="shared" si="36"/>
        <v>4944.2748333333329</v>
      </c>
      <c r="AQ74" s="518">
        <f t="shared" si="37"/>
        <v>3021.6666666666665</v>
      </c>
      <c r="AR74" s="518">
        <f t="shared" si="38"/>
        <v>2682.9166666666665</v>
      </c>
      <c r="AS74" s="518">
        <f t="shared" si="39"/>
        <v>3202.75</v>
      </c>
      <c r="AT74" s="518">
        <f t="shared" si="40"/>
        <v>2727.5</v>
      </c>
      <c r="AU74" s="518">
        <f t="shared" si="41"/>
        <v>2383.3333333333335</v>
      </c>
      <c r="AV74" s="518">
        <f t="shared" si="42"/>
        <v>2248.4666666666667</v>
      </c>
      <c r="AW74" s="518">
        <f t="shared" si="43"/>
        <v>2160</v>
      </c>
      <c r="AX74" s="518">
        <f t="shared" si="44"/>
        <v>1191.6666666666667</v>
      </c>
      <c r="AY74" s="518">
        <f t="shared" si="45"/>
        <v>5062.166666666667</v>
      </c>
      <c r="AZ74" s="518">
        <f t="shared" si="46"/>
        <v>3863.3333333333335</v>
      </c>
      <c r="BA74" s="518">
        <f t="shared" si="47"/>
        <v>6034.8833333333332</v>
      </c>
      <c r="BB74" s="518">
        <f t="shared" si="48"/>
        <v>1625</v>
      </c>
      <c r="BC74" s="518">
        <f t="shared" si="49"/>
        <v>2680</v>
      </c>
      <c r="BD74" s="518">
        <f t="shared" si="50"/>
        <v>1401.6666666666667</v>
      </c>
      <c r="BE74" s="619">
        <f t="shared" si="51"/>
        <v>744.66666666666663</v>
      </c>
      <c r="BF74" s="619">
        <f t="shared" si="52"/>
        <v>426.66666666666669</v>
      </c>
      <c r="BG74" s="619">
        <f t="shared" si="53"/>
        <v>108.33333333333333</v>
      </c>
      <c r="BH74" s="619">
        <f t="shared" si="54"/>
        <v>193.33333333333334</v>
      </c>
      <c r="BI74" s="619">
        <f t="shared" si="55"/>
        <v>108.33333333333333</v>
      </c>
      <c r="BJ74" s="619">
        <f t="shared" si="56"/>
        <v>0</v>
      </c>
      <c r="BK74" s="619">
        <f t="shared" si="57"/>
        <v>96.666666666666671</v>
      </c>
      <c r="BL74" s="619">
        <f t="shared" si="58"/>
        <v>0</v>
      </c>
      <c r="BM74" s="619">
        <f t="shared" si="59"/>
        <v>108.33333333333333</v>
      </c>
      <c r="BN74" s="518">
        <f t="shared" si="61"/>
        <v>109573.73599999999</v>
      </c>
    </row>
    <row r="75" spans="1:66" s="585" customFormat="1" ht="12.75" customHeight="1" outlineLevel="1">
      <c r="A75" s="308" t="s">
        <v>58</v>
      </c>
      <c r="B75" s="308">
        <f t="shared" si="18"/>
        <v>2021</v>
      </c>
      <c r="C75" s="308" t="s">
        <v>47</v>
      </c>
      <c r="D75" s="518"/>
      <c r="E75" s="518"/>
      <c r="F75" s="518">
        <f t="shared" si="62"/>
        <v>8092281.3700000001</v>
      </c>
      <c r="G75" s="518"/>
      <c r="H75" s="629">
        <v>110563.34</v>
      </c>
      <c r="I75" s="518">
        <f>SUM(H$5:H75)</f>
        <v>6584011.4499999993</v>
      </c>
      <c r="J75" s="518"/>
      <c r="K75" s="518">
        <f t="shared" si="60"/>
        <v>1508269.9200000009</v>
      </c>
      <c r="M75" s="518"/>
      <c r="N75" s="518"/>
      <c r="O75" s="518"/>
      <c r="P75" s="518"/>
      <c r="Q75" s="518"/>
      <c r="R75" s="518"/>
      <c r="S75" s="518"/>
      <c r="T75" s="518"/>
      <c r="U75" s="518"/>
      <c r="V75" s="518"/>
      <c r="W75" s="518"/>
      <c r="X75" s="518">
        <f t="shared" si="17"/>
        <v>1704.25</v>
      </c>
      <c r="Y75" s="518">
        <f t="shared" si="19"/>
        <v>1701.4166666666667</v>
      </c>
      <c r="Z75" s="518">
        <f t="shared" si="20"/>
        <v>3332</v>
      </c>
      <c r="AA75" s="518">
        <f t="shared" si="21"/>
        <v>3463.9166666666665</v>
      </c>
      <c r="AB75" s="518">
        <f t="shared" si="22"/>
        <v>6523.384</v>
      </c>
      <c r="AC75" s="518">
        <f t="shared" si="23"/>
        <v>5817.6980000000003</v>
      </c>
      <c r="AD75" s="518">
        <f t="shared" si="24"/>
        <v>5048.5166666666664</v>
      </c>
      <c r="AE75" s="518">
        <f t="shared" si="25"/>
        <v>3510</v>
      </c>
      <c r="AF75" s="518">
        <f t="shared" si="26"/>
        <v>3522.25</v>
      </c>
      <c r="AG75" s="518">
        <f t="shared" si="27"/>
        <v>2181.6666666666665</v>
      </c>
      <c r="AH75" s="518">
        <f t="shared" si="28"/>
        <v>4224.666666666667</v>
      </c>
      <c r="AI75" s="518">
        <f t="shared" si="29"/>
        <v>3186.8166666666666</v>
      </c>
      <c r="AJ75" s="518">
        <f t="shared" si="30"/>
        <v>1841.6666666666667</v>
      </c>
      <c r="AK75" s="518">
        <f t="shared" si="31"/>
        <v>2671.2791666666667</v>
      </c>
      <c r="AL75" s="518">
        <f t="shared" si="32"/>
        <v>3033.3333333333335</v>
      </c>
      <c r="AM75" s="518">
        <f t="shared" si="33"/>
        <v>2364.1666666666665</v>
      </c>
      <c r="AN75" s="518">
        <f t="shared" si="34"/>
        <v>3639.1666666666665</v>
      </c>
      <c r="AO75" s="518">
        <f t="shared" si="35"/>
        <v>2635.1666666666665</v>
      </c>
      <c r="AP75" s="518">
        <f t="shared" si="36"/>
        <v>4944.2748333333329</v>
      </c>
      <c r="AQ75" s="518">
        <f t="shared" si="37"/>
        <v>3021.6666666666665</v>
      </c>
      <c r="AR75" s="518">
        <f t="shared" si="38"/>
        <v>2682.9166666666665</v>
      </c>
      <c r="AS75" s="518">
        <f t="shared" si="39"/>
        <v>3202.75</v>
      </c>
      <c r="AT75" s="518">
        <f t="shared" si="40"/>
        <v>2727.5</v>
      </c>
      <c r="AU75" s="518">
        <f t="shared" si="41"/>
        <v>2383.3333333333335</v>
      </c>
      <c r="AV75" s="518">
        <f t="shared" si="42"/>
        <v>2248.4666666666667</v>
      </c>
      <c r="AW75" s="518">
        <f t="shared" si="43"/>
        <v>2160</v>
      </c>
      <c r="AX75" s="518">
        <f t="shared" si="44"/>
        <v>1191.6666666666667</v>
      </c>
      <c r="AY75" s="518">
        <f t="shared" si="45"/>
        <v>5062.166666666667</v>
      </c>
      <c r="AZ75" s="518">
        <f t="shared" si="46"/>
        <v>3863.3333333333335</v>
      </c>
      <c r="BA75" s="518">
        <f t="shared" si="47"/>
        <v>6034.8833333333332</v>
      </c>
      <c r="BB75" s="518">
        <f t="shared" si="48"/>
        <v>1625</v>
      </c>
      <c r="BC75" s="518">
        <f t="shared" si="49"/>
        <v>2680</v>
      </c>
      <c r="BD75" s="518">
        <f t="shared" si="50"/>
        <v>1401.6666666666667</v>
      </c>
      <c r="BE75" s="619">
        <f t="shared" si="51"/>
        <v>744.66666666666663</v>
      </c>
      <c r="BF75" s="619">
        <f t="shared" si="52"/>
        <v>426.66666666666669</v>
      </c>
      <c r="BG75" s="619">
        <f t="shared" si="53"/>
        <v>108.33333333333333</v>
      </c>
      <c r="BH75" s="619">
        <f t="shared" si="54"/>
        <v>193.33333333333334</v>
      </c>
      <c r="BI75" s="619">
        <f t="shared" si="55"/>
        <v>108.33333333333333</v>
      </c>
      <c r="BJ75" s="619">
        <f t="shared" si="56"/>
        <v>0</v>
      </c>
      <c r="BK75" s="619">
        <f t="shared" si="57"/>
        <v>96.666666666666671</v>
      </c>
      <c r="BL75" s="619">
        <f t="shared" si="58"/>
        <v>0</v>
      </c>
      <c r="BM75" s="619">
        <f t="shared" si="59"/>
        <v>108.33333333333333</v>
      </c>
      <c r="BN75" s="518">
        <f t="shared" si="61"/>
        <v>107417.31933333332</v>
      </c>
    </row>
    <row r="76" spans="1:66" s="585" customFormat="1" ht="12.75" customHeight="1" outlineLevel="1">
      <c r="A76" s="308" t="s">
        <v>59</v>
      </c>
      <c r="B76" s="308">
        <f t="shared" si="18"/>
        <v>2021</v>
      </c>
      <c r="C76" s="308" t="s">
        <v>47</v>
      </c>
      <c r="D76" s="518"/>
      <c r="E76" s="518"/>
      <c r="F76" s="518">
        <f t="shared" si="62"/>
        <v>8092281.3700000001</v>
      </c>
      <c r="G76" s="518"/>
      <c r="H76" s="629">
        <v>93454.41</v>
      </c>
      <c r="I76" s="518">
        <f>SUM(H$5:H76)</f>
        <v>6677465.8599999994</v>
      </c>
      <c r="J76" s="518"/>
      <c r="K76" s="518">
        <f t="shared" si="60"/>
        <v>1414815.5100000007</v>
      </c>
      <c r="M76" s="518"/>
      <c r="N76" s="518"/>
      <c r="O76" s="518"/>
      <c r="P76" s="518"/>
      <c r="Q76" s="518"/>
      <c r="R76" s="518"/>
      <c r="S76" s="518"/>
      <c r="T76" s="518"/>
      <c r="U76" s="518"/>
      <c r="V76" s="518"/>
      <c r="W76" s="518"/>
      <c r="X76" s="518"/>
      <c r="Y76" s="518">
        <f t="shared" si="19"/>
        <v>1701.4166666666667</v>
      </c>
      <c r="Z76" s="518">
        <f t="shared" si="20"/>
        <v>3332</v>
      </c>
      <c r="AA76" s="518">
        <f t="shared" si="21"/>
        <v>3463.9166666666665</v>
      </c>
      <c r="AB76" s="518">
        <f t="shared" si="22"/>
        <v>6523.384</v>
      </c>
      <c r="AC76" s="518">
        <f t="shared" si="23"/>
        <v>5817.6980000000003</v>
      </c>
      <c r="AD76" s="518">
        <f t="shared" si="24"/>
        <v>5048.5166666666664</v>
      </c>
      <c r="AE76" s="518">
        <f t="shared" si="25"/>
        <v>3510</v>
      </c>
      <c r="AF76" s="518">
        <f t="shared" si="26"/>
        <v>3522.25</v>
      </c>
      <c r="AG76" s="518">
        <f t="shared" si="27"/>
        <v>2181.6666666666665</v>
      </c>
      <c r="AH76" s="518">
        <f t="shared" si="28"/>
        <v>4224.666666666667</v>
      </c>
      <c r="AI76" s="518">
        <f t="shared" si="29"/>
        <v>3186.8166666666666</v>
      </c>
      <c r="AJ76" s="518">
        <f t="shared" si="30"/>
        <v>1841.6666666666667</v>
      </c>
      <c r="AK76" s="518">
        <f t="shared" si="31"/>
        <v>2671.2791666666667</v>
      </c>
      <c r="AL76" s="518">
        <f t="shared" si="32"/>
        <v>3033.3333333333335</v>
      </c>
      <c r="AM76" s="518">
        <f t="shared" si="33"/>
        <v>2364.1666666666665</v>
      </c>
      <c r="AN76" s="518">
        <f t="shared" si="34"/>
        <v>3639.1666666666665</v>
      </c>
      <c r="AO76" s="518">
        <f t="shared" si="35"/>
        <v>2635.1666666666665</v>
      </c>
      <c r="AP76" s="518">
        <f t="shared" si="36"/>
        <v>4944.2748333333329</v>
      </c>
      <c r="AQ76" s="518">
        <f t="shared" si="37"/>
        <v>3021.6666666666665</v>
      </c>
      <c r="AR76" s="518">
        <f t="shared" si="38"/>
        <v>2682.9166666666665</v>
      </c>
      <c r="AS76" s="518">
        <f t="shared" si="39"/>
        <v>3202.75</v>
      </c>
      <c r="AT76" s="518">
        <f t="shared" si="40"/>
        <v>2727.5</v>
      </c>
      <c r="AU76" s="518">
        <f t="shared" si="41"/>
        <v>2383.3333333333335</v>
      </c>
      <c r="AV76" s="518">
        <f t="shared" si="42"/>
        <v>2248.4666666666667</v>
      </c>
      <c r="AW76" s="518">
        <f t="shared" si="43"/>
        <v>2160</v>
      </c>
      <c r="AX76" s="518">
        <f t="shared" si="44"/>
        <v>1191.6666666666667</v>
      </c>
      <c r="AY76" s="518">
        <f t="shared" si="45"/>
        <v>5062.166666666667</v>
      </c>
      <c r="AZ76" s="518">
        <f t="shared" si="46"/>
        <v>3863.3333333333335</v>
      </c>
      <c r="BA76" s="518">
        <f t="shared" si="47"/>
        <v>6034.8833333333332</v>
      </c>
      <c r="BB76" s="518">
        <f t="shared" si="48"/>
        <v>1625</v>
      </c>
      <c r="BC76" s="518">
        <f t="shared" si="49"/>
        <v>2680</v>
      </c>
      <c r="BD76" s="518">
        <f t="shared" si="50"/>
        <v>1401.6666666666667</v>
      </c>
      <c r="BE76" s="619">
        <f t="shared" si="51"/>
        <v>744.66666666666663</v>
      </c>
      <c r="BF76" s="619">
        <f t="shared" si="52"/>
        <v>426.66666666666669</v>
      </c>
      <c r="BG76" s="619">
        <f t="shared" si="53"/>
        <v>108.33333333333333</v>
      </c>
      <c r="BH76" s="619">
        <f t="shared" si="54"/>
        <v>193.33333333333334</v>
      </c>
      <c r="BI76" s="619">
        <f t="shared" si="55"/>
        <v>108.33333333333333</v>
      </c>
      <c r="BJ76" s="619">
        <f t="shared" si="56"/>
        <v>0</v>
      </c>
      <c r="BK76" s="619">
        <f t="shared" si="57"/>
        <v>96.666666666666671</v>
      </c>
      <c r="BL76" s="619">
        <f t="shared" si="58"/>
        <v>0</v>
      </c>
      <c r="BM76" s="619">
        <f t="shared" si="59"/>
        <v>108.33333333333333</v>
      </c>
      <c r="BN76" s="518">
        <f t="shared" si="61"/>
        <v>105713.06933333332</v>
      </c>
    </row>
    <row r="77" spans="1:66" s="585" customFormat="1" ht="12.75" customHeight="1" outlineLevel="1">
      <c r="A77" s="308" t="s">
        <v>46</v>
      </c>
      <c r="B77" s="308">
        <f t="shared" si="18"/>
        <v>2021</v>
      </c>
      <c r="C77" s="308" t="s">
        <v>47</v>
      </c>
      <c r="D77" s="518"/>
      <c r="E77" s="518"/>
      <c r="F77" s="518">
        <f t="shared" si="62"/>
        <v>8092281.3700000001</v>
      </c>
      <c r="G77" s="518"/>
      <c r="H77" s="629">
        <v>105336.72</v>
      </c>
      <c r="I77" s="518">
        <f>SUM(H$5:H77)</f>
        <v>6782802.5799999991</v>
      </c>
      <c r="J77" s="518"/>
      <c r="K77" s="518">
        <f t="shared" si="60"/>
        <v>1309478.790000001</v>
      </c>
      <c r="M77" s="518"/>
      <c r="N77" s="518"/>
      <c r="O77" s="518"/>
      <c r="P77" s="518"/>
      <c r="Q77" s="518"/>
      <c r="R77" s="518"/>
      <c r="S77" s="518"/>
      <c r="T77" s="518"/>
      <c r="U77" s="518"/>
      <c r="V77" s="518"/>
      <c r="W77" s="518"/>
      <c r="X77" s="518"/>
      <c r="Y77" s="518"/>
      <c r="Z77" s="518">
        <f t="shared" si="20"/>
        <v>3332</v>
      </c>
      <c r="AA77" s="518">
        <f t="shared" si="21"/>
        <v>3463.9166666666665</v>
      </c>
      <c r="AB77" s="518">
        <f t="shared" si="22"/>
        <v>6523.384</v>
      </c>
      <c r="AC77" s="518">
        <f t="shared" si="23"/>
        <v>5817.6980000000003</v>
      </c>
      <c r="AD77" s="518">
        <f t="shared" si="24"/>
        <v>5048.5166666666664</v>
      </c>
      <c r="AE77" s="518">
        <f t="shared" si="25"/>
        <v>3510</v>
      </c>
      <c r="AF77" s="518">
        <f t="shared" si="26"/>
        <v>3522.25</v>
      </c>
      <c r="AG77" s="518">
        <f t="shared" si="27"/>
        <v>2181.6666666666665</v>
      </c>
      <c r="AH77" s="518">
        <f t="shared" si="28"/>
        <v>4224.666666666667</v>
      </c>
      <c r="AI77" s="518">
        <f t="shared" si="29"/>
        <v>3186.8166666666666</v>
      </c>
      <c r="AJ77" s="518">
        <f t="shared" si="30"/>
        <v>1841.6666666666667</v>
      </c>
      <c r="AK77" s="518">
        <f t="shared" si="31"/>
        <v>2671.2791666666667</v>
      </c>
      <c r="AL77" s="518">
        <f t="shared" si="32"/>
        <v>3033.3333333333335</v>
      </c>
      <c r="AM77" s="518">
        <f t="shared" si="33"/>
        <v>2364.1666666666665</v>
      </c>
      <c r="AN77" s="518">
        <f t="shared" si="34"/>
        <v>3639.1666666666665</v>
      </c>
      <c r="AO77" s="518">
        <f t="shared" si="35"/>
        <v>2635.1666666666665</v>
      </c>
      <c r="AP77" s="518">
        <f t="shared" si="36"/>
        <v>4944.2748333333329</v>
      </c>
      <c r="AQ77" s="518">
        <f t="shared" si="37"/>
        <v>3021.6666666666665</v>
      </c>
      <c r="AR77" s="518">
        <f t="shared" si="38"/>
        <v>2682.9166666666665</v>
      </c>
      <c r="AS77" s="518">
        <f t="shared" si="39"/>
        <v>3202.75</v>
      </c>
      <c r="AT77" s="518">
        <f t="shared" si="40"/>
        <v>2727.5</v>
      </c>
      <c r="AU77" s="518">
        <f t="shared" si="41"/>
        <v>2383.3333333333335</v>
      </c>
      <c r="AV77" s="518">
        <f t="shared" si="42"/>
        <v>2248.4666666666667</v>
      </c>
      <c r="AW77" s="518">
        <f t="shared" si="43"/>
        <v>2160</v>
      </c>
      <c r="AX77" s="518">
        <f t="shared" si="44"/>
        <v>1191.6666666666667</v>
      </c>
      <c r="AY77" s="518">
        <f t="shared" si="45"/>
        <v>5062.166666666667</v>
      </c>
      <c r="AZ77" s="518">
        <f t="shared" si="46"/>
        <v>3863.3333333333335</v>
      </c>
      <c r="BA77" s="518">
        <f t="shared" si="47"/>
        <v>6034.8833333333332</v>
      </c>
      <c r="BB77" s="518">
        <f t="shared" si="48"/>
        <v>1625</v>
      </c>
      <c r="BC77" s="518">
        <f t="shared" si="49"/>
        <v>2680</v>
      </c>
      <c r="BD77" s="518">
        <f t="shared" si="50"/>
        <v>1401.6666666666667</v>
      </c>
      <c r="BE77" s="619">
        <f t="shared" si="51"/>
        <v>744.66666666666663</v>
      </c>
      <c r="BF77" s="619">
        <f t="shared" si="52"/>
        <v>426.66666666666669</v>
      </c>
      <c r="BG77" s="619">
        <f t="shared" si="53"/>
        <v>108.33333333333333</v>
      </c>
      <c r="BH77" s="619">
        <f t="shared" si="54"/>
        <v>193.33333333333334</v>
      </c>
      <c r="BI77" s="619">
        <f t="shared" si="55"/>
        <v>108.33333333333333</v>
      </c>
      <c r="BJ77" s="619">
        <f t="shared" si="56"/>
        <v>0</v>
      </c>
      <c r="BK77" s="619">
        <f t="shared" si="57"/>
        <v>96.666666666666671</v>
      </c>
      <c r="BL77" s="619">
        <f t="shared" si="58"/>
        <v>0</v>
      </c>
      <c r="BM77" s="619">
        <f t="shared" si="59"/>
        <v>108.33333333333333</v>
      </c>
      <c r="BN77" s="518">
        <f t="shared" si="61"/>
        <v>104011.65266666665</v>
      </c>
    </row>
    <row r="78" spans="1:66" s="585" customFormat="1" ht="12.75" customHeight="1" outlineLevel="1">
      <c r="A78" s="308" t="s">
        <v>48</v>
      </c>
      <c r="B78" s="308">
        <f t="shared" si="18"/>
        <v>2021</v>
      </c>
      <c r="C78" s="308" t="s">
        <v>47</v>
      </c>
      <c r="D78" s="518"/>
      <c r="E78" s="518"/>
      <c r="F78" s="518">
        <f t="shared" si="62"/>
        <v>8092281.3700000001</v>
      </c>
      <c r="G78" s="518"/>
      <c r="H78" s="629">
        <v>87817.52</v>
      </c>
      <c r="I78" s="518">
        <f>SUM(H$5:H78)</f>
        <v>6870620.0999999987</v>
      </c>
      <c r="J78" s="518"/>
      <c r="K78" s="518">
        <f t="shared" si="60"/>
        <v>1221661.2700000014</v>
      </c>
      <c r="M78" s="518"/>
      <c r="N78" s="518"/>
      <c r="O78" s="518"/>
      <c r="P78" s="518"/>
      <c r="Q78" s="518"/>
      <c r="R78" s="518"/>
      <c r="S78" s="518"/>
      <c r="T78" s="518"/>
      <c r="U78" s="518"/>
      <c r="V78" s="518"/>
      <c r="W78" s="518"/>
      <c r="X78" s="518"/>
      <c r="Y78" s="518"/>
      <c r="Z78" s="518"/>
      <c r="AA78" s="518">
        <f t="shared" si="21"/>
        <v>3463.9166666666665</v>
      </c>
      <c r="AB78" s="518">
        <f t="shared" si="22"/>
        <v>6523.384</v>
      </c>
      <c r="AC78" s="518">
        <f t="shared" si="23"/>
        <v>5817.6980000000003</v>
      </c>
      <c r="AD78" s="518">
        <f t="shared" si="24"/>
        <v>5048.5166666666664</v>
      </c>
      <c r="AE78" s="518">
        <f t="shared" si="25"/>
        <v>3510</v>
      </c>
      <c r="AF78" s="518">
        <f t="shared" si="26"/>
        <v>3522.25</v>
      </c>
      <c r="AG78" s="518">
        <f t="shared" si="27"/>
        <v>2181.6666666666665</v>
      </c>
      <c r="AH78" s="518">
        <f t="shared" si="28"/>
        <v>4224.666666666667</v>
      </c>
      <c r="AI78" s="518">
        <f t="shared" si="29"/>
        <v>3186.8166666666666</v>
      </c>
      <c r="AJ78" s="518">
        <f t="shared" si="30"/>
        <v>1841.6666666666667</v>
      </c>
      <c r="AK78" s="518">
        <f t="shared" si="31"/>
        <v>2671.2791666666667</v>
      </c>
      <c r="AL78" s="518">
        <f t="shared" si="32"/>
        <v>3033.3333333333335</v>
      </c>
      <c r="AM78" s="518">
        <f t="shared" si="33"/>
        <v>2364.1666666666665</v>
      </c>
      <c r="AN78" s="518">
        <f t="shared" si="34"/>
        <v>3639.1666666666665</v>
      </c>
      <c r="AO78" s="518">
        <f t="shared" si="35"/>
        <v>2635.1666666666665</v>
      </c>
      <c r="AP78" s="518">
        <f t="shared" si="36"/>
        <v>4944.2748333333329</v>
      </c>
      <c r="AQ78" s="518">
        <f t="shared" si="37"/>
        <v>3021.6666666666665</v>
      </c>
      <c r="AR78" s="518">
        <f t="shared" si="38"/>
        <v>2682.9166666666665</v>
      </c>
      <c r="AS78" s="518">
        <f t="shared" si="39"/>
        <v>3202.75</v>
      </c>
      <c r="AT78" s="518">
        <f t="shared" si="40"/>
        <v>2727.5</v>
      </c>
      <c r="AU78" s="518">
        <f t="shared" si="41"/>
        <v>2383.3333333333335</v>
      </c>
      <c r="AV78" s="518">
        <f t="shared" si="42"/>
        <v>2248.4666666666667</v>
      </c>
      <c r="AW78" s="518">
        <f t="shared" si="43"/>
        <v>2160</v>
      </c>
      <c r="AX78" s="518">
        <f t="shared" si="44"/>
        <v>1191.6666666666667</v>
      </c>
      <c r="AY78" s="518">
        <f t="shared" si="45"/>
        <v>5062.166666666667</v>
      </c>
      <c r="AZ78" s="518">
        <f t="shared" si="46"/>
        <v>3863.3333333333335</v>
      </c>
      <c r="BA78" s="518">
        <f t="shared" si="47"/>
        <v>6034.8833333333332</v>
      </c>
      <c r="BB78" s="518">
        <f t="shared" si="48"/>
        <v>1625</v>
      </c>
      <c r="BC78" s="518">
        <f t="shared" si="49"/>
        <v>2680</v>
      </c>
      <c r="BD78" s="518">
        <f t="shared" si="50"/>
        <v>1401.6666666666667</v>
      </c>
      <c r="BE78" s="619">
        <f t="shared" si="51"/>
        <v>744.66666666666663</v>
      </c>
      <c r="BF78" s="619">
        <f t="shared" si="52"/>
        <v>426.66666666666669</v>
      </c>
      <c r="BG78" s="619">
        <f t="shared" si="53"/>
        <v>108.33333333333333</v>
      </c>
      <c r="BH78" s="619">
        <f t="shared" si="54"/>
        <v>193.33333333333334</v>
      </c>
      <c r="BI78" s="619">
        <f t="shared" si="55"/>
        <v>108.33333333333333</v>
      </c>
      <c r="BJ78" s="619">
        <f t="shared" si="56"/>
        <v>0</v>
      </c>
      <c r="BK78" s="619">
        <f t="shared" si="57"/>
        <v>96.666666666666671</v>
      </c>
      <c r="BL78" s="619">
        <f t="shared" si="58"/>
        <v>0</v>
      </c>
      <c r="BM78" s="619">
        <f t="shared" si="59"/>
        <v>108.33333333333333</v>
      </c>
      <c r="BN78" s="518">
        <f t="shared" si="61"/>
        <v>100679.65266666665</v>
      </c>
    </row>
    <row r="79" spans="1:66" s="585" customFormat="1" ht="12.75" customHeight="1" outlineLevel="1">
      <c r="A79" s="308" t="s">
        <v>50</v>
      </c>
      <c r="B79" s="308">
        <f t="shared" si="18"/>
        <v>2021</v>
      </c>
      <c r="C79" s="308" t="s">
        <v>47</v>
      </c>
      <c r="D79" s="518"/>
      <c r="E79" s="518"/>
      <c r="F79" s="518">
        <f t="shared" si="62"/>
        <v>8092281.3700000001</v>
      </c>
      <c r="G79" s="518"/>
      <c r="H79" s="629">
        <v>85414.74</v>
      </c>
      <c r="I79" s="518">
        <f>SUM(H$5:H79)</f>
        <v>6956034.8399999989</v>
      </c>
      <c r="J79" s="518"/>
      <c r="K79" s="518">
        <f t="shared" si="60"/>
        <v>1136246.5300000012</v>
      </c>
      <c r="M79" s="518"/>
      <c r="N79" s="518"/>
      <c r="O79" s="518"/>
      <c r="P79" s="518"/>
      <c r="Q79" s="518"/>
      <c r="R79" s="518"/>
      <c r="S79" s="518"/>
      <c r="T79" s="518"/>
      <c r="U79" s="518"/>
      <c r="V79" s="518"/>
      <c r="W79" s="518"/>
      <c r="X79" s="518"/>
      <c r="Y79" s="518"/>
      <c r="Z79" s="518"/>
      <c r="AA79" s="518"/>
      <c r="AB79" s="518">
        <f t="shared" si="22"/>
        <v>6523.384</v>
      </c>
      <c r="AC79" s="518">
        <f t="shared" si="23"/>
        <v>5817.6980000000003</v>
      </c>
      <c r="AD79" s="518">
        <f t="shared" si="24"/>
        <v>5048.5166666666664</v>
      </c>
      <c r="AE79" s="518">
        <f t="shared" si="25"/>
        <v>3510</v>
      </c>
      <c r="AF79" s="518">
        <f t="shared" si="26"/>
        <v>3522.25</v>
      </c>
      <c r="AG79" s="518">
        <f t="shared" si="27"/>
        <v>2181.6666666666665</v>
      </c>
      <c r="AH79" s="518">
        <f t="shared" si="28"/>
        <v>4224.666666666667</v>
      </c>
      <c r="AI79" s="518">
        <f t="shared" si="29"/>
        <v>3186.8166666666666</v>
      </c>
      <c r="AJ79" s="518">
        <f t="shared" si="30"/>
        <v>1841.6666666666667</v>
      </c>
      <c r="AK79" s="518">
        <f t="shared" si="31"/>
        <v>2671.2791666666667</v>
      </c>
      <c r="AL79" s="518">
        <f t="shared" si="32"/>
        <v>3033.3333333333335</v>
      </c>
      <c r="AM79" s="518">
        <f t="shared" si="33"/>
        <v>2364.1666666666665</v>
      </c>
      <c r="AN79" s="518">
        <f t="shared" si="34"/>
        <v>3639.1666666666665</v>
      </c>
      <c r="AO79" s="518">
        <f t="shared" si="35"/>
        <v>2635.1666666666665</v>
      </c>
      <c r="AP79" s="518">
        <f t="shared" si="36"/>
        <v>4944.2748333333329</v>
      </c>
      <c r="AQ79" s="518">
        <f t="shared" si="37"/>
        <v>3021.6666666666665</v>
      </c>
      <c r="AR79" s="518">
        <f t="shared" si="38"/>
        <v>2682.9166666666665</v>
      </c>
      <c r="AS79" s="518">
        <f t="shared" si="39"/>
        <v>3202.75</v>
      </c>
      <c r="AT79" s="518">
        <f t="shared" si="40"/>
        <v>2727.5</v>
      </c>
      <c r="AU79" s="518">
        <f t="shared" si="41"/>
        <v>2383.3333333333335</v>
      </c>
      <c r="AV79" s="518">
        <f t="shared" si="42"/>
        <v>2248.4666666666667</v>
      </c>
      <c r="AW79" s="518">
        <f t="shared" si="43"/>
        <v>2160</v>
      </c>
      <c r="AX79" s="518">
        <f t="shared" si="44"/>
        <v>1191.6666666666667</v>
      </c>
      <c r="AY79" s="518">
        <f t="shared" si="45"/>
        <v>5062.166666666667</v>
      </c>
      <c r="AZ79" s="518">
        <f t="shared" si="46"/>
        <v>3863.3333333333335</v>
      </c>
      <c r="BA79" s="518">
        <f t="shared" si="47"/>
        <v>6034.8833333333332</v>
      </c>
      <c r="BB79" s="518">
        <f t="shared" si="48"/>
        <v>1625</v>
      </c>
      <c r="BC79" s="518">
        <f t="shared" si="49"/>
        <v>2680</v>
      </c>
      <c r="BD79" s="518">
        <f t="shared" si="50"/>
        <v>1401.6666666666667</v>
      </c>
      <c r="BE79" s="619">
        <f t="shared" si="51"/>
        <v>744.66666666666663</v>
      </c>
      <c r="BF79" s="619">
        <f t="shared" si="52"/>
        <v>426.66666666666669</v>
      </c>
      <c r="BG79" s="619">
        <f t="shared" si="53"/>
        <v>108.33333333333333</v>
      </c>
      <c r="BH79" s="619">
        <f t="shared" si="54"/>
        <v>193.33333333333334</v>
      </c>
      <c r="BI79" s="619">
        <f t="shared" si="55"/>
        <v>108.33333333333333</v>
      </c>
      <c r="BJ79" s="619">
        <f t="shared" si="56"/>
        <v>0</v>
      </c>
      <c r="BK79" s="619">
        <f t="shared" si="57"/>
        <v>96.666666666666671</v>
      </c>
      <c r="BL79" s="619">
        <f t="shared" si="58"/>
        <v>0</v>
      </c>
      <c r="BM79" s="619">
        <f t="shared" si="59"/>
        <v>108.33333333333333</v>
      </c>
      <c r="BN79" s="518">
        <f t="shared" si="61"/>
        <v>97215.735999999975</v>
      </c>
    </row>
    <row r="80" spans="1:66" s="585" customFormat="1" ht="12.75" customHeight="1" outlineLevel="1">
      <c r="A80" s="308" t="s">
        <v>51</v>
      </c>
      <c r="B80" s="308">
        <f t="shared" si="18"/>
        <v>2021</v>
      </c>
      <c r="C80" s="308" t="s">
        <v>47</v>
      </c>
      <c r="D80" s="518"/>
      <c r="E80" s="518"/>
      <c r="F80" s="518">
        <f t="shared" si="62"/>
        <v>8092281.3700000001</v>
      </c>
      <c r="G80" s="518"/>
      <c r="H80" s="629">
        <v>89676.68</v>
      </c>
      <c r="I80" s="518">
        <f>SUM(H$5:H80)</f>
        <v>7045711.5199999986</v>
      </c>
      <c r="J80" s="518"/>
      <c r="K80" s="518">
        <f t="shared" si="60"/>
        <v>1046569.8500000015</v>
      </c>
      <c r="M80" s="518"/>
      <c r="N80" s="518"/>
      <c r="O80" s="518"/>
      <c r="P80" s="518"/>
      <c r="Q80" s="518"/>
      <c r="R80" s="518"/>
      <c r="S80" s="518"/>
      <c r="T80" s="518"/>
      <c r="U80" s="518"/>
      <c r="V80" s="518"/>
      <c r="W80" s="518"/>
      <c r="X80" s="518"/>
      <c r="Y80" s="518"/>
      <c r="Z80" s="518"/>
      <c r="AA80" s="518"/>
      <c r="AB80" s="518"/>
      <c r="AC80" s="518">
        <f t="shared" si="23"/>
        <v>5817.6980000000003</v>
      </c>
      <c r="AD80" s="518">
        <f t="shared" si="24"/>
        <v>5048.5166666666664</v>
      </c>
      <c r="AE80" s="518">
        <f t="shared" si="25"/>
        <v>3510</v>
      </c>
      <c r="AF80" s="518">
        <f t="shared" si="26"/>
        <v>3522.25</v>
      </c>
      <c r="AG80" s="518">
        <f t="shared" si="27"/>
        <v>2181.6666666666665</v>
      </c>
      <c r="AH80" s="518">
        <f t="shared" si="28"/>
        <v>4224.666666666667</v>
      </c>
      <c r="AI80" s="518">
        <f t="shared" si="29"/>
        <v>3186.8166666666666</v>
      </c>
      <c r="AJ80" s="518">
        <f t="shared" si="30"/>
        <v>1841.6666666666667</v>
      </c>
      <c r="AK80" s="518">
        <f t="shared" si="31"/>
        <v>2671.2791666666667</v>
      </c>
      <c r="AL80" s="518">
        <f t="shared" si="32"/>
        <v>3033.3333333333335</v>
      </c>
      <c r="AM80" s="518">
        <f t="shared" si="33"/>
        <v>2364.1666666666665</v>
      </c>
      <c r="AN80" s="518">
        <f t="shared" si="34"/>
        <v>3639.1666666666665</v>
      </c>
      <c r="AO80" s="518">
        <f t="shared" si="35"/>
        <v>2635.1666666666665</v>
      </c>
      <c r="AP80" s="518">
        <f t="shared" si="36"/>
        <v>4944.2748333333329</v>
      </c>
      <c r="AQ80" s="518">
        <f t="shared" si="37"/>
        <v>3021.6666666666665</v>
      </c>
      <c r="AR80" s="518">
        <f t="shared" si="38"/>
        <v>2682.9166666666665</v>
      </c>
      <c r="AS80" s="518">
        <f t="shared" si="39"/>
        <v>3202.75</v>
      </c>
      <c r="AT80" s="518">
        <f t="shared" si="40"/>
        <v>2727.5</v>
      </c>
      <c r="AU80" s="518">
        <f t="shared" si="41"/>
        <v>2383.3333333333335</v>
      </c>
      <c r="AV80" s="518">
        <f t="shared" si="42"/>
        <v>2248.4666666666667</v>
      </c>
      <c r="AW80" s="518">
        <f t="shared" si="43"/>
        <v>2160</v>
      </c>
      <c r="AX80" s="518">
        <f t="shared" si="44"/>
        <v>1191.6666666666667</v>
      </c>
      <c r="AY80" s="518">
        <f t="shared" si="45"/>
        <v>5062.166666666667</v>
      </c>
      <c r="AZ80" s="518">
        <f t="shared" si="46"/>
        <v>3863.3333333333335</v>
      </c>
      <c r="BA80" s="518">
        <f t="shared" si="47"/>
        <v>6034.8833333333332</v>
      </c>
      <c r="BB80" s="518">
        <f t="shared" si="48"/>
        <v>1625</v>
      </c>
      <c r="BC80" s="518">
        <f t="shared" si="49"/>
        <v>2680</v>
      </c>
      <c r="BD80" s="518">
        <f t="shared" si="50"/>
        <v>1401.6666666666667</v>
      </c>
      <c r="BE80" s="619">
        <f t="shared" si="51"/>
        <v>744.66666666666663</v>
      </c>
      <c r="BF80" s="619">
        <f t="shared" si="52"/>
        <v>426.66666666666669</v>
      </c>
      <c r="BG80" s="619">
        <f t="shared" si="53"/>
        <v>108.33333333333333</v>
      </c>
      <c r="BH80" s="619">
        <f t="shared" si="54"/>
        <v>193.33333333333334</v>
      </c>
      <c r="BI80" s="619">
        <f t="shared" si="55"/>
        <v>108.33333333333333</v>
      </c>
      <c r="BJ80" s="619">
        <f t="shared" si="56"/>
        <v>0</v>
      </c>
      <c r="BK80" s="619">
        <f t="shared" si="57"/>
        <v>96.666666666666671</v>
      </c>
      <c r="BL80" s="619">
        <f t="shared" si="58"/>
        <v>0</v>
      </c>
      <c r="BM80" s="619">
        <f t="shared" si="59"/>
        <v>108.33333333333333</v>
      </c>
      <c r="BN80" s="518">
        <f t="shared" si="61"/>
        <v>90692.351999999999</v>
      </c>
    </row>
    <row r="81" spans="1:66" s="585" customFormat="1" ht="12.75" customHeight="1" outlineLevel="1">
      <c r="A81" s="308" t="s">
        <v>52</v>
      </c>
      <c r="B81" s="308">
        <f t="shared" si="18"/>
        <v>2021</v>
      </c>
      <c r="C81" s="308" t="s">
        <v>47</v>
      </c>
      <c r="D81" s="518"/>
      <c r="E81" s="518"/>
      <c r="F81" s="518">
        <f t="shared" si="62"/>
        <v>8092281.3700000001</v>
      </c>
      <c r="G81" s="518"/>
      <c r="H81" s="518">
        <v>75774.570000000007</v>
      </c>
      <c r="I81" s="518">
        <f>SUM(H$5:H81)</f>
        <v>7121486.0899999989</v>
      </c>
      <c r="J81" s="518"/>
      <c r="K81" s="518">
        <f t="shared" si="60"/>
        <v>970795.28000000119</v>
      </c>
      <c r="M81" s="518"/>
      <c r="N81" s="518"/>
      <c r="O81" s="518"/>
      <c r="P81" s="518"/>
      <c r="Q81" s="518"/>
      <c r="R81" s="518"/>
      <c r="S81" s="518"/>
      <c r="T81" s="518"/>
      <c r="U81" s="518"/>
      <c r="V81" s="518"/>
      <c r="W81" s="518"/>
      <c r="X81" s="518"/>
      <c r="Y81" s="518"/>
      <c r="Z81" s="518"/>
      <c r="AA81" s="518"/>
      <c r="AB81" s="518"/>
      <c r="AC81" s="518"/>
      <c r="AD81" s="518">
        <f t="shared" si="24"/>
        <v>5048.5166666666664</v>
      </c>
      <c r="AE81" s="518">
        <f t="shared" si="25"/>
        <v>3510</v>
      </c>
      <c r="AF81" s="518">
        <f t="shared" si="26"/>
        <v>3522.25</v>
      </c>
      <c r="AG81" s="518">
        <f t="shared" si="27"/>
        <v>2181.6666666666665</v>
      </c>
      <c r="AH81" s="518">
        <f t="shared" si="28"/>
        <v>4224.666666666667</v>
      </c>
      <c r="AI81" s="518">
        <f t="shared" si="29"/>
        <v>3186.8166666666666</v>
      </c>
      <c r="AJ81" s="518">
        <f t="shared" si="30"/>
        <v>1841.6666666666667</v>
      </c>
      <c r="AK81" s="518">
        <f t="shared" si="31"/>
        <v>2671.2791666666667</v>
      </c>
      <c r="AL81" s="518">
        <f t="shared" si="32"/>
        <v>3033.3333333333335</v>
      </c>
      <c r="AM81" s="518">
        <f t="shared" si="33"/>
        <v>2364.1666666666665</v>
      </c>
      <c r="AN81" s="518">
        <f t="shared" si="34"/>
        <v>3639.1666666666665</v>
      </c>
      <c r="AO81" s="518">
        <f t="shared" si="35"/>
        <v>2635.1666666666665</v>
      </c>
      <c r="AP81" s="518">
        <f t="shared" si="36"/>
        <v>4944.2748333333329</v>
      </c>
      <c r="AQ81" s="518">
        <f t="shared" si="37"/>
        <v>3021.6666666666665</v>
      </c>
      <c r="AR81" s="518">
        <f t="shared" si="38"/>
        <v>2682.9166666666665</v>
      </c>
      <c r="AS81" s="518">
        <f t="shared" si="39"/>
        <v>3202.75</v>
      </c>
      <c r="AT81" s="518">
        <f t="shared" si="40"/>
        <v>2727.5</v>
      </c>
      <c r="AU81" s="518">
        <f t="shared" si="41"/>
        <v>2383.3333333333335</v>
      </c>
      <c r="AV81" s="518">
        <f t="shared" si="42"/>
        <v>2248.4666666666667</v>
      </c>
      <c r="AW81" s="518">
        <f t="shared" si="43"/>
        <v>2160</v>
      </c>
      <c r="AX81" s="518">
        <f t="shared" si="44"/>
        <v>1191.6666666666667</v>
      </c>
      <c r="AY81" s="518">
        <f t="shared" si="45"/>
        <v>5062.166666666667</v>
      </c>
      <c r="AZ81" s="518">
        <f t="shared" si="46"/>
        <v>3863.3333333333335</v>
      </c>
      <c r="BA81" s="518">
        <f t="shared" si="47"/>
        <v>6034.8833333333332</v>
      </c>
      <c r="BB81" s="518">
        <f t="shared" si="48"/>
        <v>1625</v>
      </c>
      <c r="BC81" s="518">
        <f t="shared" si="49"/>
        <v>2680</v>
      </c>
      <c r="BD81" s="518">
        <f t="shared" si="50"/>
        <v>1401.6666666666667</v>
      </c>
      <c r="BE81" s="619">
        <f t="shared" si="51"/>
        <v>744.66666666666663</v>
      </c>
      <c r="BF81" s="619">
        <f t="shared" si="52"/>
        <v>426.66666666666669</v>
      </c>
      <c r="BG81" s="619">
        <f t="shared" si="53"/>
        <v>108.33333333333333</v>
      </c>
      <c r="BH81" s="619">
        <f t="shared" si="54"/>
        <v>193.33333333333334</v>
      </c>
      <c r="BI81" s="619">
        <f t="shared" si="55"/>
        <v>108.33333333333333</v>
      </c>
      <c r="BJ81" s="619">
        <f t="shared" si="56"/>
        <v>0</v>
      </c>
      <c r="BK81" s="619">
        <f t="shared" si="57"/>
        <v>96.666666666666671</v>
      </c>
      <c r="BL81" s="619">
        <f t="shared" si="58"/>
        <v>0</v>
      </c>
      <c r="BM81" s="619">
        <f t="shared" si="59"/>
        <v>108.33333333333333</v>
      </c>
      <c r="BN81" s="518">
        <f t="shared" si="61"/>
        <v>84874.65399999998</v>
      </c>
    </row>
    <row r="82" spans="1:66" s="585" customFormat="1" ht="12.75" customHeight="1" outlineLevel="1">
      <c r="A82" s="308" t="s">
        <v>53</v>
      </c>
      <c r="B82" s="308">
        <f t="shared" ref="B82:B105" si="63">+B70+1</f>
        <v>2022</v>
      </c>
      <c r="C82" s="308" t="s">
        <v>47</v>
      </c>
      <c r="D82" s="518"/>
      <c r="E82" s="518"/>
      <c r="F82" s="518">
        <f t="shared" si="62"/>
        <v>8092281.3700000001</v>
      </c>
      <c r="G82" s="518"/>
      <c r="H82" s="629">
        <v>68819.41</v>
      </c>
      <c r="I82" s="518">
        <f>SUM(H$5:H82)</f>
        <v>7190305.4999999991</v>
      </c>
      <c r="J82" s="518"/>
      <c r="K82" s="518">
        <f t="shared" si="60"/>
        <v>901975.87000000104</v>
      </c>
      <c r="M82" s="518"/>
      <c r="N82" s="518"/>
      <c r="O82" s="518"/>
      <c r="P82" s="518"/>
      <c r="Q82" s="518"/>
      <c r="R82" s="518"/>
      <c r="S82" s="518"/>
      <c r="T82" s="518"/>
      <c r="U82" s="518"/>
      <c r="V82" s="518"/>
      <c r="W82" s="518"/>
      <c r="X82" s="518"/>
      <c r="Y82" s="518"/>
      <c r="Z82" s="518"/>
      <c r="AA82" s="518"/>
      <c r="AB82" s="518"/>
      <c r="AC82" s="518"/>
      <c r="AD82" s="518"/>
      <c r="AE82" s="518">
        <f t="shared" si="25"/>
        <v>3510</v>
      </c>
      <c r="AF82" s="518">
        <f t="shared" si="26"/>
        <v>3522.25</v>
      </c>
      <c r="AG82" s="518">
        <f t="shared" si="27"/>
        <v>2181.6666666666665</v>
      </c>
      <c r="AH82" s="518">
        <f t="shared" si="28"/>
        <v>4224.666666666667</v>
      </c>
      <c r="AI82" s="518">
        <f t="shared" si="29"/>
        <v>3186.8166666666666</v>
      </c>
      <c r="AJ82" s="518">
        <f t="shared" si="30"/>
        <v>1841.6666666666667</v>
      </c>
      <c r="AK82" s="518">
        <f t="shared" si="31"/>
        <v>2671.2791666666667</v>
      </c>
      <c r="AL82" s="518">
        <f t="shared" si="32"/>
        <v>3033.3333333333335</v>
      </c>
      <c r="AM82" s="518">
        <f t="shared" si="33"/>
        <v>2364.1666666666665</v>
      </c>
      <c r="AN82" s="518">
        <f t="shared" si="34"/>
        <v>3639.1666666666665</v>
      </c>
      <c r="AO82" s="518">
        <f t="shared" si="35"/>
        <v>2635.1666666666665</v>
      </c>
      <c r="AP82" s="518">
        <f t="shared" si="36"/>
        <v>4944.2748333333329</v>
      </c>
      <c r="AQ82" s="518">
        <f t="shared" si="37"/>
        <v>3021.6666666666665</v>
      </c>
      <c r="AR82" s="518">
        <f t="shared" si="38"/>
        <v>2682.9166666666665</v>
      </c>
      <c r="AS82" s="518">
        <f t="shared" si="39"/>
        <v>3202.75</v>
      </c>
      <c r="AT82" s="518">
        <f t="shared" si="40"/>
        <v>2727.5</v>
      </c>
      <c r="AU82" s="518">
        <f t="shared" si="41"/>
        <v>2383.3333333333335</v>
      </c>
      <c r="AV82" s="518">
        <f t="shared" si="42"/>
        <v>2248.4666666666667</v>
      </c>
      <c r="AW82" s="518">
        <f t="shared" si="43"/>
        <v>2160</v>
      </c>
      <c r="AX82" s="518">
        <f t="shared" si="44"/>
        <v>1191.6666666666667</v>
      </c>
      <c r="AY82" s="518">
        <f t="shared" si="45"/>
        <v>5062.166666666667</v>
      </c>
      <c r="AZ82" s="518">
        <f t="shared" si="46"/>
        <v>3863.3333333333335</v>
      </c>
      <c r="BA82" s="518">
        <f t="shared" si="47"/>
        <v>6034.8833333333332</v>
      </c>
      <c r="BB82" s="518">
        <f t="shared" si="48"/>
        <v>1625</v>
      </c>
      <c r="BC82" s="518">
        <f t="shared" si="49"/>
        <v>2680</v>
      </c>
      <c r="BD82" s="518">
        <f t="shared" si="50"/>
        <v>1401.6666666666667</v>
      </c>
      <c r="BE82" s="619">
        <f t="shared" si="51"/>
        <v>744.66666666666663</v>
      </c>
      <c r="BF82" s="619">
        <f t="shared" si="52"/>
        <v>426.66666666666669</v>
      </c>
      <c r="BG82" s="619">
        <f t="shared" si="53"/>
        <v>108.33333333333333</v>
      </c>
      <c r="BH82" s="619">
        <f t="shared" si="54"/>
        <v>193.33333333333334</v>
      </c>
      <c r="BI82" s="619">
        <f t="shared" si="55"/>
        <v>108.33333333333333</v>
      </c>
      <c r="BJ82" s="619">
        <f t="shared" si="56"/>
        <v>0</v>
      </c>
      <c r="BK82" s="619">
        <f t="shared" si="57"/>
        <v>96.666666666666671</v>
      </c>
      <c r="BL82" s="619">
        <f t="shared" si="58"/>
        <v>0</v>
      </c>
      <c r="BM82" s="619">
        <f t="shared" si="59"/>
        <v>108.33333333333333</v>
      </c>
      <c r="BN82" s="518">
        <f t="shared" si="61"/>
        <v>79826.137333333318</v>
      </c>
    </row>
    <row r="83" spans="1:66" s="585" customFormat="1" ht="12.75" customHeight="1" outlineLevel="1">
      <c r="A83" s="308" t="s">
        <v>54</v>
      </c>
      <c r="B83" s="308">
        <f t="shared" si="63"/>
        <v>2022</v>
      </c>
      <c r="C83" s="308" t="s">
        <v>47</v>
      </c>
      <c r="D83" s="518"/>
      <c r="E83" s="518"/>
      <c r="F83" s="518">
        <f t="shared" si="62"/>
        <v>8092281.3700000001</v>
      </c>
      <c r="G83" s="518"/>
      <c r="H83" s="629">
        <v>65801.179999999993</v>
      </c>
      <c r="I83" s="518">
        <f>SUM(H$5:H83)</f>
        <v>7256106.6799999988</v>
      </c>
      <c r="J83" s="518"/>
      <c r="K83" s="518">
        <f t="shared" si="60"/>
        <v>836174.69000000134</v>
      </c>
      <c r="M83" s="518"/>
      <c r="N83" s="518"/>
      <c r="O83" s="518"/>
      <c r="P83" s="518"/>
      <c r="Q83" s="518"/>
      <c r="R83" s="518"/>
      <c r="S83" s="518"/>
      <c r="T83" s="518"/>
      <c r="U83" s="518"/>
      <c r="V83" s="518"/>
      <c r="W83" s="518"/>
      <c r="X83" s="518"/>
      <c r="Y83" s="518"/>
      <c r="Z83" s="518"/>
      <c r="AA83" s="518"/>
      <c r="AB83" s="518"/>
      <c r="AC83" s="518"/>
      <c r="AD83" s="518"/>
      <c r="AE83" s="518"/>
      <c r="AF83" s="518">
        <f t="shared" si="26"/>
        <v>3522.25</v>
      </c>
      <c r="AG83" s="518">
        <f t="shared" si="27"/>
        <v>2181.6666666666665</v>
      </c>
      <c r="AH83" s="518">
        <f t="shared" si="28"/>
        <v>4224.666666666667</v>
      </c>
      <c r="AI83" s="518">
        <f t="shared" si="29"/>
        <v>3186.8166666666666</v>
      </c>
      <c r="AJ83" s="518">
        <f t="shared" si="30"/>
        <v>1841.6666666666667</v>
      </c>
      <c r="AK83" s="518">
        <f t="shared" si="31"/>
        <v>2671.2791666666667</v>
      </c>
      <c r="AL83" s="518">
        <f t="shared" si="32"/>
        <v>3033.3333333333335</v>
      </c>
      <c r="AM83" s="518">
        <f t="shared" si="33"/>
        <v>2364.1666666666665</v>
      </c>
      <c r="AN83" s="518">
        <f t="shared" si="34"/>
        <v>3639.1666666666665</v>
      </c>
      <c r="AO83" s="518">
        <f t="shared" si="35"/>
        <v>2635.1666666666665</v>
      </c>
      <c r="AP83" s="518">
        <f t="shared" si="36"/>
        <v>4944.2748333333329</v>
      </c>
      <c r="AQ83" s="518">
        <f t="shared" si="37"/>
        <v>3021.6666666666665</v>
      </c>
      <c r="AR83" s="518">
        <f t="shared" si="38"/>
        <v>2682.9166666666665</v>
      </c>
      <c r="AS83" s="518">
        <f t="shared" si="39"/>
        <v>3202.75</v>
      </c>
      <c r="AT83" s="518">
        <f t="shared" si="40"/>
        <v>2727.5</v>
      </c>
      <c r="AU83" s="518">
        <f t="shared" si="41"/>
        <v>2383.3333333333335</v>
      </c>
      <c r="AV83" s="518">
        <f t="shared" si="42"/>
        <v>2248.4666666666667</v>
      </c>
      <c r="AW83" s="518">
        <f t="shared" si="43"/>
        <v>2160</v>
      </c>
      <c r="AX83" s="518">
        <f t="shared" si="44"/>
        <v>1191.6666666666667</v>
      </c>
      <c r="AY83" s="518">
        <f t="shared" si="45"/>
        <v>5062.166666666667</v>
      </c>
      <c r="AZ83" s="518">
        <f t="shared" si="46"/>
        <v>3863.3333333333335</v>
      </c>
      <c r="BA83" s="518">
        <f t="shared" si="47"/>
        <v>6034.8833333333332</v>
      </c>
      <c r="BB83" s="518">
        <f t="shared" si="48"/>
        <v>1625</v>
      </c>
      <c r="BC83" s="518">
        <f t="shared" si="49"/>
        <v>2680</v>
      </c>
      <c r="BD83" s="518">
        <f t="shared" si="50"/>
        <v>1401.6666666666667</v>
      </c>
      <c r="BE83" s="619">
        <f t="shared" si="51"/>
        <v>744.66666666666663</v>
      </c>
      <c r="BF83" s="619">
        <f t="shared" si="52"/>
        <v>426.66666666666669</v>
      </c>
      <c r="BG83" s="619">
        <f t="shared" si="53"/>
        <v>108.33333333333333</v>
      </c>
      <c r="BH83" s="619">
        <f t="shared" si="54"/>
        <v>193.33333333333334</v>
      </c>
      <c r="BI83" s="619">
        <f t="shared" si="55"/>
        <v>108.33333333333333</v>
      </c>
      <c r="BJ83" s="619">
        <f t="shared" si="56"/>
        <v>0</v>
      </c>
      <c r="BK83" s="619">
        <f t="shared" si="57"/>
        <v>96.666666666666671</v>
      </c>
      <c r="BL83" s="619">
        <f t="shared" si="58"/>
        <v>0</v>
      </c>
      <c r="BM83" s="619">
        <f t="shared" si="59"/>
        <v>108.33333333333333</v>
      </c>
      <c r="BN83" s="518">
        <f t="shared" si="61"/>
        <v>76316.137333333332</v>
      </c>
    </row>
    <row r="84" spans="1:66" s="585" customFormat="1" ht="12.75" customHeight="1" outlineLevel="1">
      <c r="A84" s="308" t="s">
        <v>55</v>
      </c>
      <c r="B84" s="308">
        <f t="shared" si="63"/>
        <v>2022</v>
      </c>
      <c r="C84" s="308" t="s">
        <v>47</v>
      </c>
      <c r="D84" s="518"/>
      <c r="E84" s="518"/>
      <c r="F84" s="518">
        <f t="shared" si="62"/>
        <v>8092281.3700000001</v>
      </c>
      <c r="G84" s="518"/>
      <c r="H84" s="518">
        <v>69780.03</v>
      </c>
      <c r="I84" s="518">
        <f>SUM(H$5:H84)</f>
        <v>7325886.709999999</v>
      </c>
      <c r="J84" s="518"/>
      <c r="K84" s="518">
        <f t="shared" si="60"/>
        <v>766394.66000000108</v>
      </c>
      <c r="M84" s="518"/>
      <c r="N84" s="518"/>
      <c r="O84" s="518"/>
      <c r="P84" s="518"/>
      <c r="Q84" s="518"/>
      <c r="R84" s="518"/>
      <c r="S84" s="518"/>
      <c r="T84" s="518"/>
      <c r="U84" s="518"/>
      <c r="V84" s="518"/>
      <c r="W84" s="518"/>
      <c r="X84" s="518"/>
      <c r="Y84" s="518"/>
      <c r="Z84" s="518"/>
      <c r="AA84" s="518"/>
      <c r="AB84" s="518"/>
      <c r="AC84" s="518"/>
      <c r="AD84" s="518"/>
      <c r="AE84" s="518"/>
      <c r="AF84" s="518"/>
      <c r="AG84" s="518">
        <f t="shared" si="27"/>
        <v>2181.6666666666665</v>
      </c>
      <c r="AH84" s="518">
        <f t="shared" si="28"/>
        <v>4224.666666666667</v>
      </c>
      <c r="AI84" s="518">
        <f t="shared" si="29"/>
        <v>3186.8166666666666</v>
      </c>
      <c r="AJ84" s="518">
        <f t="shared" si="30"/>
        <v>1841.6666666666667</v>
      </c>
      <c r="AK84" s="518">
        <f t="shared" si="31"/>
        <v>2671.2791666666667</v>
      </c>
      <c r="AL84" s="518">
        <f t="shared" si="32"/>
        <v>3033.3333333333335</v>
      </c>
      <c r="AM84" s="518">
        <f t="shared" si="33"/>
        <v>2364.1666666666665</v>
      </c>
      <c r="AN84" s="518">
        <f t="shared" si="34"/>
        <v>3639.1666666666665</v>
      </c>
      <c r="AO84" s="518">
        <f t="shared" si="35"/>
        <v>2635.1666666666665</v>
      </c>
      <c r="AP84" s="518">
        <f t="shared" si="36"/>
        <v>4944.2748333333329</v>
      </c>
      <c r="AQ84" s="518">
        <f t="shared" si="37"/>
        <v>3021.6666666666665</v>
      </c>
      <c r="AR84" s="518">
        <f t="shared" si="38"/>
        <v>2682.9166666666665</v>
      </c>
      <c r="AS84" s="518">
        <f t="shared" si="39"/>
        <v>3202.75</v>
      </c>
      <c r="AT84" s="518">
        <f t="shared" si="40"/>
        <v>2727.5</v>
      </c>
      <c r="AU84" s="518">
        <f t="shared" si="41"/>
        <v>2383.3333333333335</v>
      </c>
      <c r="AV84" s="518">
        <f t="shared" si="42"/>
        <v>2248.4666666666667</v>
      </c>
      <c r="AW84" s="518">
        <f t="shared" si="43"/>
        <v>2160</v>
      </c>
      <c r="AX84" s="518">
        <f t="shared" si="44"/>
        <v>1191.6666666666667</v>
      </c>
      <c r="AY84" s="518">
        <f t="shared" si="45"/>
        <v>5062.166666666667</v>
      </c>
      <c r="AZ84" s="518">
        <f t="shared" si="46"/>
        <v>3863.3333333333335</v>
      </c>
      <c r="BA84" s="518">
        <f t="shared" si="47"/>
        <v>6034.8833333333332</v>
      </c>
      <c r="BB84" s="518">
        <f t="shared" si="48"/>
        <v>1625</v>
      </c>
      <c r="BC84" s="518">
        <f t="shared" si="49"/>
        <v>2680</v>
      </c>
      <c r="BD84" s="518">
        <f t="shared" si="50"/>
        <v>1401.6666666666667</v>
      </c>
      <c r="BE84" s="619">
        <f t="shared" si="51"/>
        <v>744.66666666666663</v>
      </c>
      <c r="BF84" s="619">
        <f t="shared" si="52"/>
        <v>426.66666666666669</v>
      </c>
      <c r="BG84" s="619">
        <f t="shared" si="53"/>
        <v>108.33333333333333</v>
      </c>
      <c r="BH84" s="619">
        <f t="shared" si="54"/>
        <v>193.33333333333334</v>
      </c>
      <c r="BI84" s="619">
        <f t="shared" si="55"/>
        <v>108.33333333333333</v>
      </c>
      <c r="BJ84" s="619">
        <f t="shared" si="56"/>
        <v>0</v>
      </c>
      <c r="BK84" s="619">
        <f t="shared" si="57"/>
        <v>96.666666666666671</v>
      </c>
      <c r="BL84" s="619">
        <f t="shared" si="58"/>
        <v>0</v>
      </c>
      <c r="BM84" s="619">
        <f t="shared" si="59"/>
        <v>108.33333333333333</v>
      </c>
      <c r="BN84" s="518">
        <f t="shared" si="61"/>
        <v>72793.887333333332</v>
      </c>
    </row>
    <row r="85" spans="1:66" s="585" customFormat="1" ht="12.75" customHeight="1" outlineLevel="1">
      <c r="A85" s="308" t="s">
        <v>56</v>
      </c>
      <c r="B85" s="308">
        <f t="shared" si="63"/>
        <v>2022</v>
      </c>
      <c r="C85" s="308" t="s">
        <v>47</v>
      </c>
      <c r="D85" s="518"/>
      <c r="E85" s="518"/>
      <c r="F85" s="518">
        <f t="shared" si="62"/>
        <v>8092281.3700000001</v>
      </c>
      <c r="G85" s="518"/>
      <c r="H85" s="629">
        <v>58544.12</v>
      </c>
      <c r="I85" s="518">
        <f>SUM(H$5:H85)</f>
        <v>7384430.8299999991</v>
      </c>
      <c r="J85" s="518"/>
      <c r="K85" s="518">
        <f t="shared" si="60"/>
        <v>707850.54000000097</v>
      </c>
      <c r="M85" s="518"/>
      <c r="N85" s="518"/>
      <c r="O85" s="518"/>
      <c r="P85" s="518"/>
      <c r="Q85" s="518"/>
      <c r="R85" s="518"/>
      <c r="S85" s="518"/>
      <c r="T85" s="518"/>
      <c r="U85" s="518"/>
      <c r="V85" s="518"/>
      <c r="W85" s="518"/>
      <c r="X85" s="518"/>
      <c r="Y85" s="518"/>
      <c r="Z85" s="518"/>
      <c r="AA85" s="518"/>
      <c r="AB85" s="518"/>
      <c r="AC85" s="518"/>
      <c r="AD85" s="518"/>
      <c r="AE85" s="518"/>
      <c r="AF85" s="518"/>
      <c r="AG85" s="518"/>
      <c r="AH85" s="518">
        <f t="shared" si="28"/>
        <v>4224.666666666667</v>
      </c>
      <c r="AI85" s="518">
        <f t="shared" si="29"/>
        <v>3186.8166666666666</v>
      </c>
      <c r="AJ85" s="518">
        <f t="shared" si="30"/>
        <v>1841.6666666666667</v>
      </c>
      <c r="AK85" s="518">
        <f t="shared" si="31"/>
        <v>2671.2791666666667</v>
      </c>
      <c r="AL85" s="518">
        <f t="shared" si="32"/>
        <v>3033.3333333333335</v>
      </c>
      <c r="AM85" s="518">
        <f t="shared" si="33"/>
        <v>2364.1666666666665</v>
      </c>
      <c r="AN85" s="518">
        <f t="shared" si="34"/>
        <v>3639.1666666666665</v>
      </c>
      <c r="AO85" s="518">
        <f t="shared" si="35"/>
        <v>2635.1666666666665</v>
      </c>
      <c r="AP85" s="518">
        <f t="shared" si="36"/>
        <v>4944.2748333333329</v>
      </c>
      <c r="AQ85" s="518">
        <f t="shared" si="37"/>
        <v>3021.6666666666665</v>
      </c>
      <c r="AR85" s="518">
        <f t="shared" si="38"/>
        <v>2682.9166666666665</v>
      </c>
      <c r="AS85" s="518">
        <f t="shared" si="39"/>
        <v>3202.75</v>
      </c>
      <c r="AT85" s="518">
        <f t="shared" si="40"/>
        <v>2727.5</v>
      </c>
      <c r="AU85" s="518">
        <f t="shared" si="41"/>
        <v>2383.3333333333335</v>
      </c>
      <c r="AV85" s="518">
        <f t="shared" si="42"/>
        <v>2248.4666666666667</v>
      </c>
      <c r="AW85" s="518">
        <f t="shared" si="43"/>
        <v>2160</v>
      </c>
      <c r="AX85" s="518">
        <f t="shared" si="44"/>
        <v>1191.6666666666667</v>
      </c>
      <c r="AY85" s="518">
        <f t="shared" si="45"/>
        <v>5062.166666666667</v>
      </c>
      <c r="AZ85" s="518">
        <f t="shared" si="46"/>
        <v>3863.3333333333335</v>
      </c>
      <c r="BA85" s="518">
        <f t="shared" si="47"/>
        <v>6034.8833333333332</v>
      </c>
      <c r="BB85" s="518">
        <f t="shared" si="48"/>
        <v>1625</v>
      </c>
      <c r="BC85" s="518">
        <f t="shared" si="49"/>
        <v>2680</v>
      </c>
      <c r="BD85" s="518">
        <f t="shared" si="50"/>
        <v>1401.6666666666667</v>
      </c>
      <c r="BE85" s="619">
        <f t="shared" si="51"/>
        <v>744.66666666666663</v>
      </c>
      <c r="BF85" s="619">
        <f t="shared" si="52"/>
        <v>426.66666666666669</v>
      </c>
      <c r="BG85" s="619">
        <f t="shared" si="53"/>
        <v>108.33333333333333</v>
      </c>
      <c r="BH85" s="619">
        <f t="shared" si="54"/>
        <v>193.33333333333334</v>
      </c>
      <c r="BI85" s="619">
        <f t="shared" si="55"/>
        <v>108.33333333333333</v>
      </c>
      <c r="BJ85" s="619">
        <f t="shared" si="56"/>
        <v>0</v>
      </c>
      <c r="BK85" s="619">
        <f t="shared" si="57"/>
        <v>96.666666666666671</v>
      </c>
      <c r="BL85" s="619">
        <f t="shared" si="58"/>
        <v>0</v>
      </c>
      <c r="BM85" s="619">
        <f t="shared" si="59"/>
        <v>108.33333333333333</v>
      </c>
      <c r="BN85" s="518">
        <f t="shared" si="61"/>
        <v>70612.220666666661</v>
      </c>
    </row>
    <row r="86" spans="1:66" s="585" customFormat="1" ht="12.75" customHeight="1" outlineLevel="1">
      <c r="A86" s="308" t="s">
        <v>57</v>
      </c>
      <c r="B86" s="308">
        <f t="shared" si="63"/>
        <v>2022</v>
      </c>
      <c r="C86" s="308" t="s">
        <v>47</v>
      </c>
      <c r="D86" s="518"/>
      <c r="E86" s="518"/>
      <c r="F86" s="518">
        <f t="shared" si="62"/>
        <v>8092281.3700000001</v>
      </c>
      <c r="G86" s="518"/>
      <c r="H86" s="518">
        <v>56468.6</v>
      </c>
      <c r="I86" s="518">
        <f>SUM(H$5:H86)</f>
        <v>7440899.4299999988</v>
      </c>
      <c r="J86" s="518"/>
      <c r="K86" s="518">
        <f t="shared" si="60"/>
        <v>651381.94000000134</v>
      </c>
      <c r="M86" s="518"/>
      <c r="N86" s="518">
        <f>+N85</f>
        <v>0</v>
      </c>
      <c r="O86" s="518"/>
      <c r="P86" s="518"/>
      <c r="Q86" s="518"/>
      <c r="R86" s="518"/>
      <c r="S86" s="518"/>
      <c r="T86" s="518"/>
      <c r="U86" s="518"/>
      <c r="V86" s="518"/>
      <c r="W86" s="518"/>
      <c r="X86" s="518"/>
      <c r="Y86" s="518"/>
      <c r="Z86" s="518"/>
      <c r="AA86" s="518"/>
      <c r="AB86" s="518"/>
      <c r="AC86" s="518"/>
      <c r="AD86" s="518"/>
      <c r="AE86" s="518"/>
      <c r="AF86" s="518"/>
      <c r="AG86" s="518"/>
      <c r="AH86" s="518"/>
      <c r="AI86" s="518">
        <f t="shared" si="29"/>
        <v>3186.8166666666666</v>
      </c>
      <c r="AJ86" s="518">
        <f t="shared" si="30"/>
        <v>1841.6666666666667</v>
      </c>
      <c r="AK86" s="518">
        <f t="shared" si="31"/>
        <v>2671.2791666666667</v>
      </c>
      <c r="AL86" s="518">
        <f t="shared" si="32"/>
        <v>3033.3333333333335</v>
      </c>
      <c r="AM86" s="518">
        <f t="shared" si="33"/>
        <v>2364.1666666666665</v>
      </c>
      <c r="AN86" s="518">
        <f t="shared" si="34"/>
        <v>3639.1666666666665</v>
      </c>
      <c r="AO86" s="518">
        <f t="shared" si="35"/>
        <v>2635.1666666666665</v>
      </c>
      <c r="AP86" s="518">
        <f t="shared" si="36"/>
        <v>4944.2748333333329</v>
      </c>
      <c r="AQ86" s="518">
        <f t="shared" si="37"/>
        <v>3021.6666666666665</v>
      </c>
      <c r="AR86" s="518">
        <f t="shared" si="38"/>
        <v>2682.9166666666665</v>
      </c>
      <c r="AS86" s="518">
        <f t="shared" si="39"/>
        <v>3202.75</v>
      </c>
      <c r="AT86" s="518">
        <f t="shared" si="40"/>
        <v>2727.5</v>
      </c>
      <c r="AU86" s="518">
        <f t="shared" si="41"/>
        <v>2383.3333333333335</v>
      </c>
      <c r="AV86" s="518">
        <f t="shared" si="42"/>
        <v>2248.4666666666667</v>
      </c>
      <c r="AW86" s="518">
        <f t="shared" si="43"/>
        <v>2160</v>
      </c>
      <c r="AX86" s="518">
        <f t="shared" si="44"/>
        <v>1191.6666666666667</v>
      </c>
      <c r="AY86" s="518">
        <f t="shared" si="45"/>
        <v>5062.166666666667</v>
      </c>
      <c r="AZ86" s="518">
        <f t="shared" si="46"/>
        <v>3863.3333333333335</v>
      </c>
      <c r="BA86" s="518">
        <f t="shared" si="47"/>
        <v>6034.8833333333332</v>
      </c>
      <c r="BB86" s="518">
        <f t="shared" si="48"/>
        <v>1625</v>
      </c>
      <c r="BC86" s="518">
        <f t="shared" si="49"/>
        <v>2680</v>
      </c>
      <c r="BD86" s="518">
        <f t="shared" si="50"/>
        <v>1401.6666666666667</v>
      </c>
      <c r="BE86" s="619">
        <f t="shared" si="51"/>
        <v>744.66666666666663</v>
      </c>
      <c r="BF86" s="619">
        <f t="shared" si="52"/>
        <v>426.66666666666669</v>
      </c>
      <c r="BG86" s="619">
        <f t="shared" si="53"/>
        <v>108.33333333333333</v>
      </c>
      <c r="BH86" s="619">
        <f t="shared" si="54"/>
        <v>193.33333333333334</v>
      </c>
      <c r="BI86" s="619">
        <f t="shared" si="55"/>
        <v>108.33333333333333</v>
      </c>
      <c r="BJ86" s="619">
        <f t="shared" si="56"/>
        <v>0</v>
      </c>
      <c r="BK86" s="619">
        <f t="shared" si="57"/>
        <v>96.666666666666671</v>
      </c>
      <c r="BL86" s="619">
        <f t="shared" si="58"/>
        <v>0</v>
      </c>
      <c r="BM86" s="619">
        <f t="shared" si="59"/>
        <v>108.33333333333333</v>
      </c>
      <c r="BN86" s="518">
        <f t="shared" si="61"/>
        <v>66387.553999999989</v>
      </c>
    </row>
    <row r="87" spans="1:66" s="585" customFormat="1" ht="12.75" customHeight="1" outlineLevel="1">
      <c r="A87" s="308" t="s">
        <v>58</v>
      </c>
      <c r="B87" s="308">
        <f t="shared" si="63"/>
        <v>2022</v>
      </c>
      <c r="C87" s="308" t="s">
        <v>47</v>
      </c>
      <c r="D87" s="518"/>
      <c r="E87" s="518"/>
      <c r="F87" s="518">
        <f t="shared" si="62"/>
        <v>8092281.3700000001</v>
      </c>
      <c r="G87" s="518"/>
      <c r="H87" s="518">
        <v>55150.41</v>
      </c>
      <c r="I87" s="518">
        <f>SUM(H$5:H87)</f>
        <v>7496049.8399999989</v>
      </c>
      <c r="J87" s="518"/>
      <c r="K87" s="518">
        <f t="shared" si="60"/>
        <v>596231.53000000119</v>
      </c>
      <c r="M87" s="518"/>
      <c r="N87" s="518">
        <f>+N86</f>
        <v>0</v>
      </c>
      <c r="O87" s="518"/>
      <c r="P87" s="518"/>
      <c r="Q87" s="518"/>
      <c r="R87" s="518"/>
      <c r="S87" s="518"/>
      <c r="T87" s="518"/>
      <c r="U87" s="518"/>
      <c r="V87" s="518"/>
      <c r="W87" s="518"/>
      <c r="X87" s="518"/>
      <c r="Y87" s="518"/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>
        <f t="shared" si="30"/>
        <v>1841.6666666666667</v>
      </c>
      <c r="AK87" s="518">
        <f t="shared" si="31"/>
        <v>2671.2791666666667</v>
      </c>
      <c r="AL87" s="518">
        <f t="shared" si="32"/>
        <v>3033.3333333333335</v>
      </c>
      <c r="AM87" s="518">
        <f t="shared" si="33"/>
        <v>2364.1666666666665</v>
      </c>
      <c r="AN87" s="518">
        <f t="shared" si="34"/>
        <v>3639.1666666666665</v>
      </c>
      <c r="AO87" s="518">
        <f t="shared" si="35"/>
        <v>2635.1666666666665</v>
      </c>
      <c r="AP87" s="518">
        <f t="shared" si="36"/>
        <v>4944.2748333333329</v>
      </c>
      <c r="AQ87" s="518">
        <f t="shared" si="37"/>
        <v>3021.6666666666665</v>
      </c>
      <c r="AR87" s="518">
        <f t="shared" si="38"/>
        <v>2682.9166666666665</v>
      </c>
      <c r="AS87" s="518">
        <f t="shared" si="39"/>
        <v>3202.75</v>
      </c>
      <c r="AT87" s="518">
        <f t="shared" si="40"/>
        <v>2727.5</v>
      </c>
      <c r="AU87" s="518">
        <f t="shared" si="41"/>
        <v>2383.3333333333335</v>
      </c>
      <c r="AV87" s="518">
        <f t="shared" si="42"/>
        <v>2248.4666666666667</v>
      </c>
      <c r="AW87" s="518">
        <f t="shared" si="43"/>
        <v>2160</v>
      </c>
      <c r="AX87" s="518">
        <f t="shared" si="44"/>
        <v>1191.6666666666667</v>
      </c>
      <c r="AY87" s="518">
        <f t="shared" si="45"/>
        <v>5062.166666666667</v>
      </c>
      <c r="AZ87" s="518">
        <f t="shared" si="46"/>
        <v>3863.3333333333335</v>
      </c>
      <c r="BA87" s="518">
        <f t="shared" si="47"/>
        <v>6034.8833333333332</v>
      </c>
      <c r="BB87" s="518">
        <f t="shared" si="48"/>
        <v>1625</v>
      </c>
      <c r="BC87" s="518">
        <f t="shared" si="49"/>
        <v>2680</v>
      </c>
      <c r="BD87" s="518">
        <f t="shared" si="50"/>
        <v>1401.6666666666667</v>
      </c>
      <c r="BE87" s="619">
        <f t="shared" si="51"/>
        <v>744.66666666666663</v>
      </c>
      <c r="BF87" s="619">
        <f t="shared" si="52"/>
        <v>426.66666666666669</v>
      </c>
      <c r="BG87" s="619">
        <f t="shared" si="53"/>
        <v>108.33333333333333</v>
      </c>
      <c r="BH87" s="619">
        <f t="shared" si="54"/>
        <v>193.33333333333334</v>
      </c>
      <c r="BI87" s="619">
        <f t="shared" si="55"/>
        <v>108.33333333333333</v>
      </c>
      <c r="BJ87" s="619">
        <f t="shared" si="56"/>
        <v>0</v>
      </c>
      <c r="BK87" s="619">
        <f t="shared" si="57"/>
        <v>96.666666666666671</v>
      </c>
      <c r="BL87" s="619">
        <f t="shared" si="58"/>
        <v>0</v>
      </c>
      <c r="BM87" s="619">
        <f t="shared" si="59"/>
        <v>108.33333333333333</v>
      </c>
      <c r="BN87" s="518">
        <f t="shared" si="61"/>
        <v>63200.737333333331</v>
      </c>
    </row>
    <row r="88" spans="1:66" s="585" customFormat="1" ht="12.75" customHeight="1" outlineLevel="1">
      <c r="A88" s="308" t="s">
        <v>59</v>
      </c>
      <c r="B88" s="308">
        <f t="shared" si="63"/>
        <v>2022</v>
      </c>
      <c r="C88" s="308" t="s">
        <v>47</v>
      </c>
      <c r="D88" s="518"/>
      <c r="E88" s="518"/>
      <c r="F88" s="518">
        <f t="shared" si="62"/>
        <v>8092281.3700000001</v>
      </c>
      <c r="G88" s="518"/>
      <c r="H88" s="629">
        <v>50619</v>
      </c>
      <c r="I88" s="518">
        <f>SUM(H$5:H88)</f>
        <v>7546668.8399999989</v>
      </c>
      <c r="J88" s="518"/>
      <c r="K88" s="518">
        <f t="shared" si="60"/>
        <v>545612.53000000119</v>
      </c>
      <c r="M88" s="518"/>
      <c r="N88" s="518">
        <f>+N87</f>
        <v>0</v>
      </c>
      <c r="O88" s="518"/>
      <c r="P88" s="518"/>
      <c r="Q88" s="518"/>
      <c r="R88" s="518"/>
      <c r="S88" s="518"/>
      <c r="T88" s="518"/>
      <c r="U88" s="518"/>
      <c r="V88" s="518"/>
      <c r="W88" s="518"/>
      <c r="X88" s="518"/>
      <c r="Y88" s="518"/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>
        <f t="shared" si="31"/>
        <v>2671.2791666666667</v>
      </c>
      <c r="AL88" s="518">
        <f t="shared" si="32"/>
        <v>3033.3333333333335</v>
      </c>
      <c r="AM88" s="518">
        <f t="shared" si="33"/>
        <v>2364.1666666666665</v>
      </c>
      <c r="AN88" s="518">
        <f t="shared" si="34"/>
        <v>3639.1666666666665</v>
      </c>
      <c r="AO88" s="518">
        <f t="shared" si="35"/>
        <v>2635.1666666666665</v>
      </c>
      <c r="AP88" s="518">
        <f t="shared" si="36"/>
        <v>4944.2748333333329</v>
      </c>
      <c r="AQ88" s="518">
        <f t="shared" si="37"/>
        <v>3021.6666666666665</v>
      </c>
      <c r="AR88" s="518">
        <f t="shared" si="38"/>
        <v>2682.9166666666665</v>
      </c>
      <c r="AS88" s="518">
        <f t="shared" si="39"/>
        <v>3202.75</v>
      </c>
      <c r="AT88" s="518">
        <f t="shared" si="40"/>
        <v>2727.5</v>
      </c>
      <c r="AU88" s="518">
        <f t="shared" si="41"/>
        <v>2383.3333333333335</v>
      </c>
      <c r="AV88" s="518">
        <f t="shared" si="42"/>
        <v>2248.4666666666667</v>
      </c>
      <c r="AW88" s="518">
        <f t="shared" si="43"/>
        <v>2160</v>
      </c>
      <c r="AX88" s="518">
        <f t="shared" si="44"/>
        <v>1191.6666666666667</v>
      </c>
      <c r="AY88" s="518">
        <f t="shared" si="45"/>
        <v>5062.166666666667</v>
      </c>
      <c r="AZ88" s="518">
        <f t="shared" si="46"/>
        <v>3863.3333333333335</v>
      </c>
      <c r="BA88" s="518">
        <f t="shared" si="47"/>
        <v>6034.8833333333332</v>
      </c>
      <c r="BB88" s="518">
        <f t="shared" si="48"/>
        <v>1625</v>
      </c>
      <c r="BC88" s="518">
        <f t="shared" si="49"/>
        <v>2680</v>
      </c>
      <c r="BD88" s="518">
        <f t="shared" si="50"/>
        <v>1401.6666666666667</v>
      </c>
      <c r="BE88" s="619">
        <f t="shared" si="51"/>
        <v>744.66666666666663</v>
      </c>
      <c r="BF88" s="619">
        <f t="shared" si="52"/>
        <v>426.66666666666669</v>
      </c>
      <c r="BG88" s="619">
        <f t="shared" si="53"/>
        <v>108.33333333333333</v>
      </c>
      <c r="BH88" s="619">
        <f t="shared" si="54"/>
        <v>193.33333333333334</v>
      </c>
      <c r="BI88" s="619">
        <f t="shared" si="55"/>
        <v>108.33333333333333</v>
      </c>
      <c r="BJ88" s="619">
        <f t="shared" si="56"/>
        <v>0</v>
      </c>
      <c r="BK88" s="619">
        <f t="shared" si="57"/>
        <v>96.666666666666671</v>
      </c>
      <c r="BL88" s="619">
        <f t="shared" si="58"/>
        <v>0</v>
      </c>
      <c r="BM88" s="619">
        <f t="shared" si="59"/>
        <v>108.33333333333333</v>
      </c>
      <c r="BN88" s="518">
        <f t="shared" si="61"/>
        <v>61359.070666666667</v>
      </c>
    </row>
    <row r="89" spans="1:66" s="585" customFormat="1" ht="12.75" customHeight="1" outlineLevel="1">
      <c r="A89" s="308" t="s">
        <v>46</v>
      </c>
      <c r="B89" s="308">
        <f t="shared" si="63"/>
        <v>2022</v>
      </c>
      <c r="C89" s="308" t="s">
        <v>47</v>
      </c>
      <c r="D89" s="518"/>
      <c r="E89" s="518"/>
      <c r="F89" s="518">
        <f t="shared" si="62"/>
        <v>8092281.3700000001</v>
      </c>
      <c r="G89" s="518"/>
      <c r="H89" s="518">
        <v>55520.02</v>
      </c>
      <c r="I89" s="518">
        <f>SUM(H$5:H89)</f>
        <v>7602188.8599999985</v>
      </c>
      <c r="J89" s="518"/>
      <c r="K89" s="518">
        <f t="shared" si="60"/>
        <v>490092.51000000164</v>
      </c>
      <c r="M89" s="518"/>
      <c r="N89" s="518">
        <f>+N88</f>
        <v>0</v>
      </c>
      <c r="O89" s="518"/>
      <c r="P89" s="518"/>
      <c r="Q89" s="518"/>
      <c r="R89" s="518"/>
      <c r="S89" s="518"/>
      <c r="T89" s="518"/>
      <c r="U89" s="518"/>
      <c r="V89" s="518"/>
      <c r="W89" s="518"/>
      <c r="X89" s="518"/>
      <c r="Y89" s="518"/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>
        <f t="shared" si="32"/>
        <v>3033.3333333333335</v>
      </c>
      <c r="AM89" s="518">
        <f t="shared" si="33"/>
        <v>2364.1666666666665</v>
      </c>
      <c r="AN89" s="518">
        <f t="shared" si="34"/>
        <v>3639.1666666666665</v>
      </c>
      <c r="AO89" s="518">
        <f t="shared" si="35"/>
        <v>2635.1666666666665</v>
      </c>
      <c r="AP89" s="518">
        <f t="shared" si="36"/>
        <v>4944.2748333333329</v>
      </c>
      <c r="AQ89" s="518">
        <f t="shared" si="37"/>
        <v>3021.6666666666665</v>
      </c>
      <c r="AR89" s="518">
        <f t="shared" si="38"/>
        <v>2682.9166666666665</v>
      </c>
      <c r="AS89" s="518">
        <f t="shared" si="39"/>
        <v>3202.75</v>
      </c>
      <c r="AT89" s="518">
        <f t="shared" si="40"/>
        <v>2727.5</v>
      </c>
      <c r="AU89" s="518">
        <f t="shared" si="41"/>
        <v>2383.3333333333335</v>
      </c>
      <c r="AV89" s="518">
        <f t="shared" si="42"/>
        <v>2248.4666666666667</v>
      </c>
      <c r="AW89" s="518">
        <f t="shared" si="43"/>
        <v>2160</v>
      </c>
      <c r="AX89" s="518">
        <f t="shared" si="44"/>
        <v>1191.6666666666667</v>
      </c>
      <c r="AY89" s="518">
        <f t="shared" si="45"/>
        <v>5062.166666666667</v>
      </c>
      <c r="AZ89" s="518">
        <f t="shared" si="46"/>
        <v>3863.3333333333335</v>
      </c>
      <c r="BA89" s="518">
        <f t="shared" si="47"/>
        <v>6034.8833333333332</v>
      </c>
      <c r="BB89" s="518">
        <f t="shared" si="48"/>
        <v>1625</v>
      </c>
      <c r="BC89" s="518">
        <f t="shared" si="49"/>
        <v>2680</v>
      </c>
      <c r="BD89" s="518">
        <f t="shared" si="50"/>
        <v>1401.6666666666667</v>
      </c>
      <c r="BE89" s="619">
        <f t="shared" si="51"/>
        <v>744.66666666666663</v>
      </c>
      <c r="BF89" s="619">
        <f t="shared" si="52"/>
        <v>426.66666666666669</v>
      </c>
      <c r="BG89" s="619">
        <f t="shared" si="53"/>
        <v>108.33333333333333</v>
      </c>
      <c r="BH89" s="619">
        <f t="shared" si="54"/>
        <v>193.33333333333334</v>
      </c>
      <c r="BI89" s="619">
        <f t="shared" si="55"/>
        <v>108.33333333333333</v>
      </c>
      <c r="BJ89" s="619">
        <f t="shared" si="56"/>
        <v>0</v>
      </c>
      <c r="BK89" s="619">
        <f t="shared" si="57"/>
        <v>96.666666666666671</v>
      </c>
      <c r="BL89" s="619">
        <f t="shared" si="58"/>
        <v>0</v>
      </c>
      <c r="BM89" s="619">
        <f t="shared" si="59"/>
        <v>108.33333333333333</v>
      </c>
      <c r="BN89" s="518">
        <f t="shared" si="61"/>
        <v>58687.791499999992</v>
      </c>
    </row>
    <row r="90" spans="1:66" s="585" customFormat="1" ht="12.75" customHeight="1" outlineLevel="1">
      <c r="A90" s="308" t="s">
        <v>48</v>
      </c>
      <c r="B90" s="308">
        <f t="shared" si="63"/>
        <v>2022</v>
      </c>
      <c r="C90" s="308" t="s">
        <v>47</v>
      </c>
      <c r="D90" s="518"/>
      <c r="E90" s="518"/>
      <c r="F90" s="518">
        <f t="shared" si="62"/>
        <v>8092281.3700000001</v>
      </c>
      <c r="G90" s="518"/>
      <c r="H90" s="518">
        <v>44783.17</v>
      </c>
      <c r="I90" s="518">
        <f>SUM(H$5:H90)</f>
        <v>7646972.0299999984</v>
      </c>
      <c r="J90" s="518"/>
      <c r="K90" s="518">
        <f t="shared" si="60"/>
        <v>445309.34000000171</v>
      </c>
      <c r="M90" s="518"/>
      <c r="N90" s="518">
        <f>+N89</f>
        <v>0</v>
      </c>
      <c r="O90" s="518"/>
      <c r="P90" s="518"/>
      <c r="Q90" s="518"/>
      <c r="R90" s="518"/>
      <c r="S90" s="518"/>
      <c r="T90" s="518"/>
      <c r="U90" s="518"/>
      <c r="V90" s="518"/>
      <c r="W90" s="518"/>
      <c r="X90" s="518"/>
      <c r="Y90" s="518"/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>
        <f t="shared" si="33"/>
        <v>2364.1666666666665</v>
      </c>
      <c r="AN90" s="518">
        <f t="shared" si="34"/>
        <v>3639.1666666666665</v>
      </c>
      <c r="AO90" s="518">
        <f t="shared" si="35"/>
        <v>2635.1666666666665</v>
      </c>
      <c r="AP90" s="518">
        <f t="shared" si="36"/>
        <v>4944.2748333333329</v>
      </c>
      <c r="AQ90" s="518">
        <f t="shared" si="37"/>
        <v>3021.6666666666665</v>
      </c>
      <c r="AR90" s="518">
        <f t="shared" si="38"/>
        <v>2682.9166666666665</v>
      </c>
      <c r="AS90" s="518">
        <f t="shared" si="39"/>
        <v>3202.75</v>
      </c>
      <c r="AT90" s="518">
        <f t="shared" si="40"/>
        <v>2727.5</v>
      </c>
      <c r="AU90" s="518">
        <f t="shared" si="41"/>
        <v>2383.3333333333335</v>
      </c>
      <c r="AV90" s="518">
        <f t="shared" si="42"/>
        <v>2248.4666666666667</v>
      </c>
      <c r="AW90" s="518">
        <f t="shared" si="43"/>
        <v>2160</v>
      </c>
      <c r="AX90" s="518">
        <f t="shared" si="44"/>
        <v>1191.6666666666667</v>
      </c>
      <c r="AY90" s="518">
        <f t="shared" si="45"/>
        <v>5062.166666666667</v>
      </c>
      <c r="AZ90" s="518">
        <f t="shared" si="46"/>
        <v>3863.3333333333335</v>
      </c>
      <c r="BA90" s="518">
        <f t="shared" si="47"/>
        <v>6034.8833333333332</v>
      </c>
      <c r="BB90" s="518">
        <f t="shared" si="48"/>
        <v>1625</v>
      </c>
      <c r="BC90" s="518">
        <f t="shared" si="49"/>
        <v>2680</v>
      </c>
      <c r="BD90" s="518">
        <f t="shared" si="50"/>
        <v>1401.6666666666667</v>
      </c>
      <c r="BE90" s="619">
        <f t="shared" si="51"/>
        <v>744.66666666666663</v>
      </c>
      <c r="BF90" s="619">
        <f t="shared" si="52"/>
        <v>426.66666666666669</v>
      </c>
      <c r="BG90" s="619">
        <f t="shared" si="53"/>
        <v>108.33333333333333</v>
      </c>
      <c r="BH90" s="619">
        <f t="shared" si="54"/>
        <v>193.33333333333334</v>
      </c>
      <c r="BI90" s="619">
        <f t="shared" si="55"/>
        <v>108.33333333333333</v>
      </c>
      <c r="BJ90" s="619">
        <f t="shared" si="56"/>
        <v>0</v>
      </c>
      <c r="BK90" s="619">
        <f t="shared" si="57"/>
        <v>96.666666666666671</v>
      </c>
      <c r="BL90" s="619">
        <f t="shared" si="58"/>
        <v>0</v>
      </c>
      <c r="BM90" s="619">
        <f t="shared" si="59"/>
        <v>108.33333333333333</v>
      </c>
      <c r="BN90" s="518">
        <f t="shared" si="61"/>
        <v>55654.458166666664</v>
      </c>
    </row>
    <row r="91" spans="1:66" s="585" customFormat="1" outlineLevel="1">
      <c r="A91" s="308" t="s">
        <v>50</v>
      </c>
      <c r="B91" s="308">
        <f t="shared" si="63"/>
        <v>2022</v>
      </c>
      <c r="C91" s="308" t="s">
        <v>47</v>
      </c>
      <c r="D91" s="518"/>
      <c r="E91" s="518"/>
      <c r="F91" s="518">
        <f t="shared" ref="F91:F100" si="64">F90+D91</f>
        <v>8092281.3700000001</v>
      </c>
      <c r="G91" s="518"/>
      <c r="H91" s="518">
        <v>42598.68</v>
      </c>
      <c r="I91" s="518">
        <f>SUM(H$5:H91)</f>
        <v>7689570.7099999981</v>
      </c>
      <c r="J91" s="518"/>
      <c r="K91" s="518">
        <f t="shared" si="60"/>
        <v>402710.66000000201</v>
      </c>
      <c r="AN91" s="518">
        <f t="shared" si="34"/>
        <v>3639.1666666666665</v>
      </c>
      <c r="AO91" s="518">
        <f t="shared" si="35"/>
        <v>2635.1666666666665</v>
      </c>
      <c r="AP91" s="518">
        <f t="shared" si="36"/>
        <v>4944.2748333333329</v>
      </c>
      <c r="AQ91" s="518">
        <f t="shared" si="37"/>
        <v>3021.6666666666665</v>
      </c>
      <c r="AR91" s="518">
        <f t="shared" si="38"/>
        <v>2682.9166666666665</v>
      </c>
      <c r="AS91" s="518">
        <f t="shared" si="39"/>
        <v>3202.75</v>
      </c>
      <c r="AT91" s="518">
        <f t="shared" si="40"/>
        <v>2727.5</v>
      </c>
      <c r="AU91" s="518">
        <f t="shared" si="41"/>
        <v>2383.3333333333335</v>
      </c>
      <c r="AV91" s="518">
        <f t="shared" si="42"/>
        <v>2248.4666666666667</v>
      </c>
      <c r="AW91" s="518">
        <f t="shared" si="43"/>
        <v>2160</v>
      </c>
      <c r="AX91" s="518">
        <f t="shared" si="44"/>
        <v>1191.6666666666667</v>
      </c>
      <c r="AY91" s="518">
        <f t="shared" si="45"/>
        <v>5062.166666666667</v>
      </c>
      <c r="AZ91" s="518">
        <f t="shared" si="46"/>
        <v>3863.3333333333335</v>
      </c>
      <c r="BA91" s="518">
        <f t="shared" si="47"/>
        <v>6034.8833333333332</v>
      </c>
      <c r="BB91" s="518">
        <f t="shared" si="48"/>
        <v>1625</v>
      </c>
      <c r="BC91" s="518">
        <f t="shared" si="49"/>
        <v>2680</v>
      </c>
      <c r="BD91" s="518">
        <f t="shared" si="50"/>
        <v>1401.6666666666667</v>
      </c>
      <c r="BE91" s="619">
        <f t="shared" si="51"/>
        <v>744.66666666666663</v>
      </c>
      <c r="BF91" s="619">
        <f t="shared" si="52"/>
        <v>426.66666666666669</v>
      </c>
      <c r="BG91" s="619">
        <f t="shared" si="53"/>
        <v>108.33333333333333</v>
      </c>
      <c r="BH91" s="619">
        <f t="shared" si="54"/>
        <v>193.33333333333334</v>
      </c>
      <c r="BI91" s="619">
        <f t="shared" si="55"/>
        <v>108.33333333333333</v>
      </c>
      <c r="BJ91" s="619">
        <f t="shared" si="56"/>
        <v>0</v>
      </c>
      <c r="BK91" s="619">
        <f t="shared" si="57"/>
        <v>96.666666666666671</v>
      </c>
      <c r="BL91" s="619">
        <f t="shared" si="58"/>
        <v>0</v>
      </c>
      <c r="BM91" s="619">
        <f t="shared" si="59"/>
        <v>108.33333333333333</v>
      </c>
      <c r="BN91" s="518">
        <f t="shared" si="61"/>
        <v>53290.291499999999</v>
      </c>
    </row>
    <row r="92" spans="1:66" s="585" customFormat="1" outlineLevel="1">
      <c r="A92" s="308" t="s">
        <v>51</v>
      </c>
      <c r="B92" s="308">
        <f t="shared" si="63"/>
        <v>2022</v>
      </c>
      <c r="C92" s="308" t="s">
        <v>47</v>
      </c>
      <c r="D92" s="518"/>
      <c r="E92" s="518"/>
      <c r="F92" s="518">
        <f t="shared" si="64"/>
        <v>8092281.3700000001</v>
      </c>
      <c r="G92" s="518"/>
      <c r="H92" s="518">
        <v>38532.300000000003</v>
      </c>
      <c r="I92" s="518">
        <f>SUM(H$5:H92)</f>
        <v>7728103.0099999979</v>
      </c>
      <c r="J92" s="518"/>
      <c r="K92" s="518">
        <f t="shared" si="60"/>
        <v>364178.3600000022</v>
      </c>
      <c r="AO92" s="518">
        <f t="shared" si="35"/>
        <v>2635.1666666666665</v>
      </c>
      <c r="AP92" s="518">
        <f t="shared" si="36"/>
        <v>4944.2748333333329</v>
      </c>
      <c r="AQ92" s="518">
        <f t="shared" si="37"/>
        <v>3021.6666666666665</v>
      </c>
      <c r="AR92" s="518">
        <f t="shared" si="38"/>
        <v>2682.9166666666665</v>
      </c>
      <c r="AS92" s="518">
        <f t="shared" si="39"/>
        <v>3202.75</v>
      </c>
      <c r="AT92" s="518">
        <f t="shared" si="40"/>
        <v>2727.5</v>
      </c>
      <c r="AU92" s="518">
        <f t="shared" si="41"/>
        <v>2383.3333333333335</v>
      </c>
      <c r="AV92" s="518">
        <f t="shared" si="42"/>
        <v>2248.4666666666667</v>
      </c>
      <c r="AW92" s="518">
        <f t="shared" si="43"/>
        <v>2160</v>
      </c>
      <c r="AX92" s="518">
        <f t="shared" si="44"/>
        <v>1191.6666666666667</v>
      </c>
      <c r="AY92" s="518">
        <f t="shared" si="45"/>
        <v>5062.166666666667</v>
      </c>
      <c r="AZ92" s="518">
        <f t="shared" si="46"/>
        <v>3863.3333333333335</v>
      </c>
      <c r="BA92" s="518">
        <f t="shared" si="47"/>
        <v>6034.8833333333332</v>
      </c>
      <c r="BB92" s="518">
        <f t="shared" si="48"/>
        <v>1625</v>
      </c>
      <c r="BC92" s="518">
        <f t="shared" si="49"/>
        <v>2680</v>
      </c>
      <c r="BD92" s="518">
        <f t="shared" si="50"/>
        <v>1401.6666666666667</v>
      </c>
      <c r="BE92" s="619">
        <f t="shared" si="51"/>
        <v>744.66666666666663</v>
      </c>
      <c r="BF92" s="619">
        <f t="shared" si="52"/>
        <v>426.66666666666669</v>
      </c>
      <c r="BG92" s="619">
        <f t="shared" si="53"/>
        <v>108.33333333333333</v>
      </c>
      <c r="BH92" s="619">
        <f t="shared" si="54"/>
        <v>193.33333333333334</v>
      </c>
      <c r="BI92" s="619">
        <f t="shared" si="55"/>
        <v>108.33333333333333</v>
      </c>
      <c r="BJ92" s="619">
        <f t="shared" si="56"/>
        <v>0</v>
      </c>
      <c r="BK92" s="619">
        <f t="shared" si="57"/>
        <v>96.666666666666671</v>
      </c>
      <c r="BL92" s="619">
        <f t="shared" si="58"/>
        <v>0</v>
      </c>
      <c r="BM92" s="619">
        <f t="shared" si="59"/>
        <v>108.33333333333333</v>
      </c>
      <c r="BN92" s="518">
        <f t="shared" si="61"/>
        <v>49651.124833333328</v>
      </c>
    </row>
    <row r="93" spans="1:66" s="585" customFormat="1" outlineLevel="1">
      <c r="A93" s="308" t="s">
        <v>52</v>
      </c>
      <c r="B93" s="308">
        <f t="shared" si="63"/>
        <v>2022</v>
      </c>
      <c r="C93" s="308" t="s">
        <v>47</v>
      </c>
      <c r="D93" s="518"/>
      <c r="E93" s="518"/>
      <c r="F93" s="518">
        <f t="shared" si="64"/>
        <v>8092281.3700000001</v>
      </c>
      <c r="G93" s="518"/>
      <c r="H93" s="518">
        <v>39109.519999999997</v>
      </c>
      <c r="I93" s="518">
        <f>SUM(H$5:H93)</f>
        <v>7767212.5299999975</v>
      </c>
      <c r="J93" s="518"/>
      <c r="K93" s="518">
        <f t="shared" si="60"/>
        <v>325068.84000000264</v>
      </c>
      <c r="AP93" s="518">
        <f t="shared" si="36"/>
        <v>4944.2748333333329</v>
      </c>
      <c r="AQ93" s="518">
        <f t="shared" si="37"/>
        <v>3021.6666666666665</v>
      </c>
      <c r="AR93" s="518">
        <f t="shared" si="38"/>
        <v>2682.9166666666665</v>
      </c>
      <c r="AS93" s="518">
        <f t="shared" si="39"/>
        <v>3202.75</v>
      </c>
      <c r="AT93" s="518">
        <f t="shared" si="40"/>
        <v>2727.5</v>
      </c>
      <c r="AU93" s="518">
        <f t="shared" si="41"/>
        <v>2383.3333333333335</v>
      </c>
      <c r="AV93" s="518">
        <f t="shared" si="42"/>
        <v>2248.4666666666667</v>
      </c>
      <c r="AW93" s="518">
        <f t="shared" si="43"/>
        <v>2160</v>
      </c>
      <c r="AX93" s="518">
        <f t="shared" si="44"/>
        <v>1191.6666666666667</v>
      </c>
      <c r="AY93" s="518">
        <f t="shared" si="45"/>
        <v>5062.166666666667</v>
      </c>
      <c r="AZ93" s="518">
        <f t="shared" si="46"/>
        <v>3863.3333333333335</v>
      </c>
      <c r="BA93" s="518">
        <f t="shared" si="47"/>
        <v>6034.8833333333332</v>
      </c>
      <c r="BB93" s="518">
        <f t="shared" si="48"/>
        <v>1625</v>
      </c>
      <c r="BC93" s="518">
        <f t="shared" si="49"/>
        <v>2680</v>
      </c>
      <c r="BD93" s="518">
        <f t="shared" si="50"/>
        <v>1401.6666666666667</v>
      </c>
      <c r="BE93" s="619">
        <f t="shared" si="51"/>
        <v>744.66666666666663</v>
      </c>
      <c r="BF93" s="619">
        <f t="shared" si="52"/>
        <v>426.66666666666669</v>
      </c>
      <c r="BG93" s="619">
        <f t="shared" si="53"/>
        <v>108.33333333333333</v>
      </c>
      <c r="BH93" s="619">
        <f t="shared" si="54"/>
        <v>193.33333333333334</v>
      </c>
      <c r="BI93" s="619">
        <f t="shared" si="55"/>
        <v>108.33333333333333</v>
      </c>
      <c r="BJ93" s="619">
        <f t="shared" si="56"/>
        <v>0</v>
      </c>
      <c r="BK93" s="619">
        <f t="shared" si="57"/>
        <v>96.666666666666671</v>
      </c>
      <c r="BL93" s="619">
        <f t="shared" si="58"/>
        <v>0</v>
      </c>
      <c r="BM93" s="619">
        <f t="shared" si="59"/>
        <v>108.33333333333333</v>
      </c>
      <c r="BN93" s="518">
        <f t="shared" si="61"/>
        <v>47015.958166666664</v>
      </c>
    </row>
    <row r="94" spans="1:66" s="585" customFormat="1" outlineLevel="1">
      <c r="A94" s="308" t="s">
        <v>53</v>
      </c>
      <c r="B94" s="308">
        <f t="shared" si="63"/>
        <v>2023</v>
      </c>
      <c r="C94" s="308" t="s">
        <v>47</v>
      </c>
      <c r="D94" s="518"/>
      <c r="E94" s="518"/>
      <c r="F94" s="518">
        <f t="shared" si="64"/>
        <v>8092281.3700000001</v>
      </c>
      <c r="G94" s="518"/>
      <c r="H94" s="518">
        <v>36367</v>
      </c>
      <c r="I94" s="518">
        <f>SUM(H$5:H94)</f>
        <v>7803579.5299999975</v>
      </c>
      <c r="J94" s="518"/>
      <c r="K94" s="518">
        <f t="shared" si="60"/>
        <v>288701.84000000264</v>
      </c>
      <c r="AQ94" s="518">
        <f t="shared" si="37"/>
        <v>3021.6666666666665</v>
      </c>
      <c r="AR94" s="518">
        <f t="shared" si="38"/>
        <v>2682.9166666666665</v>
      </c>
      <c r="AS94" s="518">
        <f t="shared" si="39"/>
        <v>3202.75</v>
      </c>
      <c r="AT94" s="518">
        <f t="shared" si="40"/>
        <v>2727.5</v>
      </c>
      <c r="AU94" s="518">
        <f t="shared" si="41"/>
        <v>2383.3333333333335</v>
      </c>
      <c r="AV94" s="518">
        <f t="shared" si="42"/>
        <v>2248.4666666666667</v>
      </c>
      <c r="AW94" s="518">
        <f t="shared" si="43"/>
        <v>2160</v>
      </c>
      <c r="AX94" s="518">
        <f t="shared" si="44"/>
        <v>1191.6666666666667</v>
      </c>
      <c r="AY94" s="518">
        <f t="shared" si="45"/>
        <v>5062.166666666667</v>
      </c>
      <c r="AZ94" s="518">
        <f t="shared" si="46"/>
        <v>3863.3333333333335</v>
      </c>
      <c r="BA94" s="518">
        <f t="shared" si="47"/>
        <v>6034.8833333333332</v>
      </c>
      <c r="BB94" s="518">
        <f t="shared" si="48"/>
        <v>1625</v>
      </c>
      <c r="BC94" s="518">
        <f t="shared" si="49"/>
        <v>2680</v>
      </c>
      <c r="BD94" s="518">
        <f t="shared" si="50"/>
        <v>1401.6666666666667</v>
      </c>
      <c r="BE94" s="619">
        <f t="shared" si="51"/>
        <v>744.66666666666663</v>
      </c>
      <c r="BF94" s="619">
        <f t="shared" si="52"/>
        <v>426.66666666666669</v>
      </c>
      <c r="BG94" s="619">
        <f t="shared" si="53"/>
        <v>108.33333333333333</v>
      </c>
      <c r="BH94" s="619">
        <f t="shared" si="54"/>
        <v>193.33333333333334</v>
      </c>
      <c r="BI94" s="619">
        <f t="shared" si="55"/>
        <v>108.33333333333333</v>
      </c>
      <c r="BJ94" s="619">
        <f t="shared" si="56"/>
        <v>0</v>
      </c>
      <c r="BK94" s="619">
        <f t="shared" si="57"/>
        <v>96.666666666666671</v>
      </c>
      <c r="BL94" s="619">
        <f t="shared" si="58"/>
        <v>0</v>
      </c>
      <c r="BM94" s="619">
        <f t="shared" si="59"/>
        <v>108.33333333333333</v>
      </c>
      <c r="BN94" s="518">
        <f t="shared" si="61"/>
        <v>42071.683333333334</v>
      </c>
    </row>
    <row r="95" spans="1:66" s="585" customFormat="1" outlineLevel="1">
      <c r="A95" s="308" t="s">
        <v>54</v>
      </c>
      <c r="B95" s="308">
        <f t="shared" si="63"/>
        <v>2023</v>
      </c>
      <c r="C95" s="308" t="s">
        <v>47</v>
      </c>
      <c r="F95" s="518">
        <f t="shared" si="64"/>
        <v>8092281.3700000001</v>
      </c>
      <c r="G95" s="518"/>
      <c r="H95" s="518">
        <v>31669.599999999999</v>
      </c>
      <c r="I95" s="518">
        <f>SUM(H$5:H95)</f>
        <v>7835249.1299999971</v>
      </c>
      <c r="K95" s="518">
        <f t="shared" si="60"/>
        <v>257032.24000000302</v>
      </c>
      <c r="AR95" s="518">
        <f t="shared" si="38"/>
        <v>2682.9166666666665</v>
      </c>
      <c r="AS95" s="518">
        <f t="shared" si="39"/>
        <v>3202.75</v>
      </c>
      <c r="AT95" s="518">
        <f t="shared" si="40"/>
        <v>2727.5</v>
      </c>
      <c r="AU95" s="518">
        <f t="shared" si="41"/>
        <v>2383.3333333333335</v>
      </c>
      <c r="AV95" s="518">
        <f t="shared" si="42"/>
        <v>2248.4666666666667</v>
      </c>
      <c r="AW95" s="518">
        <f t="shared" si="43"/>
        <v>2160</v>
      </c>
      <c r="AX95" s="518">
        <f t="shared" si="44"/>
        <v>1191.6666666666667</v>
      </c>
      <c r="AY95" s="518">
        <f t="shared" si="45"/>
        <v>5062.166666666667</v>
      </c>
      <c r="AZ95" s="518">
        <f t="shared" si="46"/>
        <v>3863.3333333333335</v>
      </c>
      <c r="BA95" s="518">
        <f t="shared" si="47"/>
        <v>6034.8833333333332</v>
      </c>
      <c r="BB95" s="518">
        <f t="shared" si="48"/>
        <v>1625</v>
      </c>
      <c r="BC95" s="518">
        <f t="shared" si="49"/>
        <v>2680</v>
      </c>
      <c r="BD95" s="518">
        <f t="shared" si="50"/>
        <v>1401.6666666666667</v>
      </c>
      <c r="BE95" s="619">
        <f t="shared" si="51"/>
        <v>744.66666666666663</v>
      </c>
      <c r="BF95" s="619">
        <f t="shared" si="52"/>
        <v>426.66666666666669</v>
      </c>
      <c r="BG95" s="619">
        <f t="shared" si="53"/>
        <v>108.33333333333333</v>
      </c>
      <c r="BH95" s="619">
        <f t="shared" si="54"/>
        <v>193.33333333333334</v>
      </c>
      <c r="BI95" s="619">
        <f t="shared" si="55"/>
        <v>108.33333333333333</v>
      </c>
      <c r="BJ95" s="619">
        <f t="shared" si="56"/>
        <v>0</v>
      </c>
      <c r="BK95" s="619">
        <f t="shared" si="57"/>
        <v>96.666666666666671</v>
      </c>
      <c r="BL95" s="619">
        <f t="shared" si="58"/>
        <v>0</v>
      </c>
      <c r="BM95" s="619">
        <f t="shared" si="59"/>
        <v>108.33333333333333</v>
      </c>
      <c r="BN95" s="518">
        <f t="shared" si="61"/>
        <v>39050.01666666667</v>
      </c>
    </row>
    <row r="96" spans="1:66" s="585" customFormat="1" outlineLevel="1">
      <c r="A96" s="308" t="s">
        <v>55</v>
      </c>
      <c r="B96" s="308">
        <f t="shared" si="63"/>
        <v>2023</v>
      </c>
      <c r="C96" s="308" t="s">
        <v>47</v>
      </c>
      <c r="F96" s="518">
        <f t="shared" si="64"/>
        <v>8092281.3700000001</v>
      </c>
      <c r="G96" s="518"/>
      <c r="H96" s="518">
        <v>32843.800000000003</v>
      </c>
      <c r="I96" s="518">
        <f>SUM(H$5:H96)</f>
        <v>7868092.9299999969</v>
      </c>
      <c r="K96" s="518">
        <f t="shared" si="60"/>
        <v>224188.4400000032</v>
      </c>
      <c r="AS96" s="518">
        <f t="shared" si="39"/>
        <v>3202.75</v>
      </c>
      <c r="AT96" s="518">
        <f t="shared" si="40"/>
        <v>2727.5</v>
      </c>
      <c r="AU96" s="518">
        <f t="shared" si="41"/>
        <v>2383.3333333333335</v>
      </c>
      <c r="AV96" s="518">
        <f t="shared" si="42"/>
        <v>2248.4666666666667</v>
      </c>
      <c r="AW96" s="518">
        <f t="shared" si="43"/>
        <v>2160</v>
      </c>
      <c r="AX96" s="518">
        <f t="shared" si="44"/>
        <v>1191.6666666666667</v>
      </c>
      <c r="AY96" s="518">
        <f t="shared" si="45"/>
        <v>5062.166666666667</v>
      </c>
      <c r="AZ96" s="518">
        <f t="shared" si="46"/>
        <v>3863.3333333333335</v>
      </c>
      <c r="BA96" s="518">
        <f t="shared" si="47"/>
        <v>6034.8833333333332</v>
      </c>
      <c r="BB96" s="518">
        <f t="shared" si="48"/>
        <v>1625</v>
      </c>
      <c r="BC96" s="518">
        <f t="shared" si="49"/>
        <v>2680</v>
      </c>
      <c r="BD96" s="518">
        <f t="shared" si="50"/>
        <v>1401.6666666666667</v>
      </c>
      <c r="BE96" s="619">
        <f t="shared" si="51"/>
        <v>744.66666666666663</v>
      </c>
      <c r="BF96" s="619">
        <f t="shared" si="52"/>
        <v>426.66666666666669</v>
      </c>
      <c r="BG96" s="619">
        <f t="shared" si="53"/>
        <v>108.33333333333333</v>
      </c>
      <c r="BH96" s="619">
        <f t="shared" si="54"/>
        <v>193.33333333333334</v>
      </c>
      <c r="BI96" s="619">
        <f t="shared" si="55"/>
        <v>108.33333333333333</v>
      </c>
      <c r="BJ96" s="619">
        <f t="shared" si="56"/>
        <v>0</v>
      </c>
      <c r="BK96" s="619">
        <f t="shared" si="57"/>
        <v>96.666666666666671</v>
      </c>
      <c r="BL96" s="619">
        <f t="shared" si="58"/>
        <v>0</v>
      </c>
      <c r="BM96" s="619">
        <f t="shared" si="59"/>
        <v>108.33333333333333</v>
      </c>
      <c r="BN96" s="518">
        <f t="shared" si="61"/>
        <v>36367.1</v>
      </c>
    </row>
    <row r="97" spans="1:66" s="585" customFormat="1" outlineLevel="1">
      <c r="A97" s="308" t="s">
        <v>56</v>
      </c>
      <c r="B97" s="308">
        <f t="shared" si="63"/>
        <v>2023</v>
      </c>
      <c r="C97" s="308" t="s">
        <v>102</v>
      </c>
      <c r="F97" s="518">
        <f t="shared" si="64"/>
        <v>8092281.3700000001</v>
      </c>
      <c r="G97" s="518"/>
      <c r="H97" s="518">
        <f t="shared" ref="H97:H101" si="65">H96</f>
        <v>32843.800000000003</v>
      </c>
      <c r="I97" s="518">
        <f>SUM(H$5:H97)</f>
        <v>7900936.7299999967</v>
      </c>
      <c r="K97" s="518">
        <f t="shared" si="60"/>
        <v>191344.64000000339</v>
      </c>
      <c r="AT97" s="518">
        <f t="shared" si="40"/>
        <v>2727.5</v>
      </c>
      <c r="AU97" s="518">
        <f t="shared" si="41"/>
        <v>2383.3333333333335</v>
      </c>
      <c r="AV97" s="518">
        <f t="shared" si="42"/>
        <v>2248.4666666666667</v>
      </c>
      <c r="AW97" s="518">
        <f t="shared" si="43"/>
        <v>2160</v>
      </c>
      <c r="AX97" s="518">
        <f t="shared" si="44"/>
        <v>1191.6666666666667</v>
      </c>
      <c r="AY97" s="518">
        <f t="shared" si="45"/>
        <v>5062.166666666667</v>
      </c>
      <c r="AZ97" s="518">
        <f t="shared" si="46"/>
        <v>3863.3333333333335</v>
      </c>
      <c r="BA97" s="518">
        <f t="shared" si="47"/>
        <v>6034.8833333333332</v>
      </c>
      <c r="BB97" s="518">
        <f t="shared" si="48"/>
        <v>1625</v>
      </c>
      <c r="BC97" s="518">
        <f t="shared" si="49"/>
        <v>2680</v>
      </c>
      <c r="BD97" s="518">
        <f t="shared" si="50"/>
        <v>1401.6666666666667</v>
      </c>
      <c r="BE97" s="619">
        <f t="shared" si="51"/>
        <v>744.66666666666663</v>
      </c>
      <c r="BF97" s="619">
        <f t="shared" si="52"/>
        <v>426.66666666666669</v>
      </c>
      <c r="BG97" s="619">
        <f t="shared" si="53"/>
        <v>108.33333333333333</v>
      </c>
      <c r="BH97" s="619">
        <f t="shared" si="54"/>
        <v>193.33333333333334</v>
      </c>
      <c r="BI97" s="619">
        <f t="shared" si="55"/>
        <v>108.33333333333333</v>
      </c>
      <c r="BJ97" s="619">
        <f t="shared" si="56"/>
        <v>0</v>
      </c>
      <c r="BK97" s="619">
        <f t="shared" si="57"/>
        <v>96.666666666666671</v>
      </c>
      <c r="BL97" s="619">
        <f t="shared" si="58"/>
        <v>0</v>
      </c>
      <c r="BM97" s="619">
        <f t="shared" si="59"/>
        <v>108.33333333333333</v>
      </c>
      <c r="BN97" s="518">
        <f t="shared" si="61"/>
        <v>33164.350000000006</v>
      </c>
    </row>
    <row r="98" spans="1:66" s="585" customFormat="1" outlineLevel="1">
      <c r="A98" s="308" t="s">
        <v>57</v>
      </c>
      <c r="B98" s="308">
        <f t="shared" si="63"/>
        <v>2023</v>
      </c>
      <c r="C98" s="308" t="s">
        <v>102</v>
      </c>
      <c r="F98" s="518">
        <f t="shared" si="64"/>
        <v>8092281.3700000001</v>
      </c>
      <c r="G98" s="518"/>
      <c r="H98" s="518">
        <f t="shared" si="65"/>
        <v>32843.800000000003</v>
      </c>
      <c r="I98" s="518">
        <f>SUM(H$5:H98)</f>
        <v>7933780.5299999965</v>
      </c>
      <c r="K98" s="518">
        <f t="shared" si="60"/>
        <v>158500.84000000358</v>
      </c>
      <c r="AU98" s="518">
        <f t="shared" si="41"/>
        <v>2383.3333333333335</v>
      </c>
      <c r="AV98" s="518">
        <f t="shared" si="42"/>
        <v>2248.4666666666667</v>
      </c>
      <c r="AW98" s="518">
        <f t="shared" si="43"/>
        <v>2160</v>
      </c>
      <c r="AX98" s="518">
        <f t="shared" si="44"/>
        <v>1191.6666666666667</v>
      </c>
      <c r="AY98" s="518">
        <f t="shared" si="45"/>
        <v>5062.166666666667</v>
      </c>
      <c r="AZ98" s="518">
        <f t="shared" si="46"/>
        <v>3863.3333333333335</v>
      </c>
      <c r="BA98" s="518">
        <f t="shared" si="47"/>
        <v>6034.8833333333332</v>
      </c>
      <c r="BB98" s="518">
        <f t="shared" si="48"/>
        <v>1625</v>
      </c>
      <c r="BC98" s="518">
        <f t="shared" si="49"/>
        <v>2680</v>
      </c>
      <c r="BD98" s="518">
        <f t="shared" si="50"/>
        <v>1401.6666666666667</v>
      </c>
      <c r="BE98" s="619">
        <f t="shared" si="51"/>
        <v>744.66666666666663</v>
      </c>
      <c r="BF98" s="619">
        <f t="shared" si="52"/>
        <v>426.66666666666669</v>
      </c>
      <c r="BG98" s="619">
        <f t="shared" si="53"/>
        <v>108.33333333333333</v>
      </c>
      <c r="BH98" s="619">
        <f t="shared" si="54"/>
        <v>193.33333333333334</v>
      </c>
      <c r="BI98" s="619">
        <f t="shared" si="55"/>
        <v>108.33333333333333</v>
      </c>
      <c r="BJ98" s="619">
        <f t="shared" si="56"/>
        <v>0</v>
      </c>
      <c r="BK98" s="619">
        <f t="shared" si="57"/>
        <v>96.666666666666671</v>
      </c>
      <c r="BL98" s="619">
        <f t="shared" si="58"/>
        <v>0</v>
      </c>
      <c r="BM98" s="619">
        <f t="shared" si="59"/>
        <v>108.33333333333333</v>
      </c>
      <c r="BN98" s="518">
        <f t="shared" si="61"/>
        <v>30436.85</v>
      </c>
    </row>
    <row r="99" spans="1:66" s="585" customFormat="1" outlineLevel="1">
      <c r="A99" s="308" t="s">
        <v>58</v>
      </c>
      <c r="B99" s="308">
        <f t="shared" si="63"/>
        <v>2023</v>
      </c>
      <c r="C99" s="308" t="s">
        <v>102</v>
      </c>
      <c r="F99" s="518">
        <f t="shared" si="64"/>
        <v>8092281.3700000001</v>
      </c>
      <c r="G99" s="518"/>
      <c r="H99" s="518">
        <f t="shared" si="65"/>
        <v>32843.800000000003</v>
      </c>
      <c r="I99" s="518">
        <f>SUM(H$5:H99)</f>
        <v>7966624.3299999963</v>
      </c>
      <c r="K99" s="518">
        <f t="shared" si="60"/>
        <v>125657.04000000376</v>
      </c>
      <c r="AV99" s="518">
        <f t="shared" si="42"/>
        <v>2248.4666666666667</v>
      </c>
      <c r="AW99" s="518">
        <f t="shared" si="43"/>
        <v>2160</v>
      </c>
      <c r="AX99" s="518">
        <f t="shared" si="44"/>
        <v>1191.6666666666667</v>
      </c>
      <c r="AY99" s="518">
        <f t="shared" si="45"/>
        <v>5062.166666666667</v>
      </c>
      <c r="AZ99" s="518">
        <f t="shared" si="46"/>
        <v>3863.3333333333335</v>
      </c>
      <c r="BA99" s="518">
        <f t="shared" si="47"/>
        <v>6034.8833333333332</v>
      </c>
      <c r="BB99" s="518">
        <f t="shared" si="48"/>
        <v>1625</v>
      </c>
      <c r="BC99" s="518">
        <f t="shared" si="49"/>
        <v>2680</v>
      </c>
      <c r="BD99" s="518">
        <f t="shared" si="50"/>
        <v>1401.6666666666667</v>
      </c>
      <c r="BE99" s="619">
        <f t="shared" si="51"/>
        <v>744.66666666666663</v>
      </c>
      <c r="BF99" s="619">
        <f t="shared" si="52"/>
        <v>426.66666666666669</v>
      </c>
      <c r="BG99" s="619">
        <f t="shared" si="53"/>
        <v>108.33333333333333</v>
      </c>
      <c r="BH99" s="619">
        <f t="shared" si="54"/>
        <v>193.33333333333334</v>
      </c>
      <c r="BI99" s="619">
        <f t="shared" si="55"/>
        <v>108.33333333333333</v>
      </c>
      <c r="BJ99" s="619">
        <f t="shared" si="56"/>
        <v>0</v>
      </c>
      <c r="BK99" s="619">
        <f t="shared" si="57"/>
        <v>96.666666666666671</v>
      </c>
      <c r="BL99" s="619">
        <f t="shared" si="58"/>
        <v>0</v>
      </c>
      <c r="BM99" s="619">
        <f t="shared" si="59"/>
        <v>108.33333333333333</v>
      </c>
      <c r="BN99" s="518">
        <f t="shared" si="61"/>
        <v>28053.51666666667</v>
      </c>
    </row>
    <row r="100" spans="1:66" s="585" customFormat="1" outlineLevel="1">
      <c r="A100" s="308" t="s">
        <v>59</v>
      </c>
      <c r="B100" s="308">
        <f t="shared" si="63"/>
        <v>2023</v>
      </c>
      <c r="C100" s="308" t="s">
        <v>102</v>
      </c>
      <c r="F100" s="518">
        <f t="shared" si="64"/>
        <v>8092281.3700000001</v>
      </c>
      <c r="G100" s="518"/>
      <c r="H100" s="518">
        <f>H99+1356</f>
        <v>34199.800000000003</v>
      </c>
      <c r="I100" s="518">
        <f>SUM(H$5:H100)</f>
        <v>8000824.1299999962</v>
      </c>
      <c r="K100" s="518">
        <f t="shared" si="60"/>
        <v>91457.240000003949</v>
      </c>
      <c r="AW100" s="518">
        <f t="shared" si="43"/>
        <v>2160</v>
      </c>
      <c r="AX100" s="518">
        <f t="shared" si="44"/>
        <v>1191.6666666666667</v>
      </c>
      <c r="AY100" s="518">
        <f t="shared" si="45"/>
        <v>5062.166666666667</v>
      </c>
      <c r="AZ100" s="518">
        <f t="shared" si="46"/>
        <v>3863.3333333333335</v>
      </c>
      <c r="BA100" s="518">
        <f t="shared" si="47"/>
        <v>6034.8833333333332</v>
      </c>
      <c r="BB100" s="518">
        <f t="shared" si="48"/>
        <v>1625</v>
      </c>
      <c r="BC100" s="518">
        <f t="shared" si="49"/>
        <v>2680</v>
      </c>
      <c r="BD100" s="518">
        <f t="shared" si="50"/>
        <v>1401.6666666666667</v>
      </c>
      <c r="BE100" s="619">
        <f t="shared" si="51"/>
        <v>744.66666666666663</v>
      </c>
      <c r="BF100" s="619">
        <f t="shared" si="52"/>
        <v>426.66666666666669</v>
      </c>
      <c r="BG100" s="619">
        <f t="shared" si="53"/>
        <v>108.33333333333333</v>
      </c>
      <c r="BH100" s="619">
        <f t="shared" si="54"/>
        <v>193.33333333333334</v>
      </c>
      <c r="BI100" s="619">
        <f t="shared" si="55"/>
        <v>108.33333333333333</v>
      </c>
      <c r="BJ100" s="619">
        <f t="shared" si="56"/>
        <v>0</v>
      </c>
      <c r="BK100" s="619">
        <f t="shared" si="57"/>
        <v>96.666666666666671</v>
      </c>
      <c r="BL100" s="619">
        <f t="shared" si="58"/>
        <v>0</v>
      </c>
      <c r="BM100" s="619">
        <f t="shared" si="59"/>
        <v>108.33333333333333</v>
      </c>
      <c r="BN100" s="518">
        <f t="shared" si="61"/>
        <v>25805.050000000003</v>
      </c>
    </row>
    <row r="101" spans="1:66" s="585" customFormat="1" outlineLevel="1">
      <c r="A101" s="308" t="s">
        <v>46</v>
      </c>
      <c r="B101" s="308">
        <f t="shared" si="63"/>
        <v>2023</v>
      </c>
      <c r="C101" s="308" t="s">
        <v>102</v>
      </c>
      <c r="F101" s="518">
        <f t="shared" ref="F101:F102" si="66">F100+D101</f>
        <v>8092281.3700000001</v>
      </c>
      <c r="G101" s="518"/>
      <c r="H101" s="518">
        <f t="shared" si="65"/>
        <v>34199.800000000003</v>
      </c>
      <c r="I101" s="518">
        <f>SUM(H$5:H101)</f>
        <v>8035023.929999996</v>
      </c>
      <c r="K101" s="518">
        <f t="shared" ref="K101:K102" si="67">F101-I101</f>
        <v>57257.440000004135</v>
      </c>
      <c r="AX101" s="518">
        <f t="shared" si="44"/>
        <v>1191.6666666666667</v>
      </c>
      <c r="AY101" s="518">
        <f t="shared" si="45"/>
        <v>5062.166666666667</v>
      </c>
      <c r="AZ101" s="518">
        <f t="shared" si="46"/>
        <v>3863.3333333333335</v>
      </c>
      <c r="BA101" s="518">
        <f t="shared" si="47"/>
        <v>6034.8833333333332</v>
      </c>
      <c r="BB101" s="518">
        <f t="shared" si="48"/>
        <v>1625</v>
      </c>
      <c r="BC101" s="518">
        <f t="shared" si="49"/>
        <v>2680</v>
      </c>
      <c r="BD101" s="518">
        <f t="shared" si="50"/>
        <v>1401.6666666666667</v>
      </c>
      <c r="BE101" s="619">
        <f t="shared" si="51"/>
        <v>744.66666666666663</v>
      </c>
      <c r="BF101" s="619">
        <f t="shared" si="52"/>
        <v>426.66666666666669</v>
      </c>
      <c r="BG101" s="619">
        <f t="shared" si="53"/>
        <v>108.33333333333333</v>
      </c>
      <c r="BH101" s="619">
        <f t="shared" si="54"/>
        <v>193.33333333333334</v>
      </c>
      <c r="BI101" s="619">
        <f t="shared" si="55"/>
        <v>108.33333333333333</v>
      </c>
      <c r="BJ101" s="619">
        <f t="shared" si="56"/>
        <v>0</v>
      </c>
      <c r="BK101" s="619">
        <f t="shared" si="57"/>
        <v>96.666666666666671</v>
      </c>
      <c r="BL101" s="619">
        <f t="shared" si="58"/>
        <v>0</v>
      </c>
      <c r="BM101" s="619">
        <f t="shared" si="59"/>
        <v>108.33333333333333</v>
      </c>
      <c r="BN101" s="518">
        <f t="shared" si="61"/>
        <v>23645.050000000003</v>
      </c>
    </row>
    <row r="102" spans="1:66" s="585" customFormat="1">
      <c r="A102" s="308" t="s">
        <v>48</v>
      </c>
      <c r="B102" s="308">
        <f t="shared" si="63"/>
        <v>2023</v>
      </c>
      <c r="C102" s="308" t="s">
        <v>102</v>
      </c>
      <c r="F102" s="518">
        <f t="shared" si="66"/>
        <v>8092281.3700000001</v>
      </c>
      <c r="G102" s="518"/>
      <c r="H102" s="518">
        <f>K101</f>
        <v>57257.440000004135</v>
      </c>
      <c r="I102" s="518">
        <f>SUM(H$5:H102)</f>
        <v>8092281.3700000001</v>
      </c>
      <c r="K102" s="518">
        <f t="shared" si="67"/>
        <v>0</v>
      </c>
      <c r="AY102" s="518">
        <f t="shared" si="45"/>
        <v>5062.166666666667</v>
      </c>
      <c r="AZ102" s="518">
        <f t="shared" si="46"/>
        <v>3863.3333333333335</v>
      </c>
      <c r="BA102" s="518">
        <f t="shared" si="47"/>
        <v>6034.8833333333332</v>
      </c>
      <c r="BB102" s="518">
        <f t="shared" si="48"/>
        <v>1625</v>
      </c>
      <c r="BC102" s="518">
        <f t="shared" si="49"/>
        <v>2680</v>
      </c>
      <c r="BD102" s="518">
        <f t="shared" si="50"/>
        <v>1401.6666666666667</v>
      </c>
      <c r="BE102" s="619">
        <f t="shared" si="51"/>
        <v>744.66666666666663</v>
      </c>
      <c r="BF102" s="619">
        <f t="shared" si="52"/>
        <v>426.66666666666669</v>
      </c>
      <c r="BG102" s="619">
        <f t="shared" si="53"/>
        <v>108.33333333333333</v>
      </c>
      <c r="BH102" s="619">
        <f t="shared" si="54"/>
        <v>193.33333333333334</v>
      </c>
      <c r="BI102" s="619">
        <f t="shared" si="55"/>
        <v>108.33333333333333</v>
      </c>
      <c r="BJ102" s="619">
        <f t="shared" si="56"/>
        <v>0</v>
      </c>
      <c r="BK102" s="619">
        <f t="shared" si="57"/>
        <v>96.666666666666671</v>
      </c>
      <c r="BL102" s="619">
        <f t="shared" si="58"/>
        <v>0</v>
      </c>
      <c r="BM102" s="619">
        <f t="shared" si="59"/>
        <v>108.33333333333333</v>
      </c>
      <c r="BN102" s="518">
        <f t="shared" si="61"/>
        <v>22453.383333333331</v>
      </c>
    </row>
    <row r="103" spans="1:66" s="585" customFormat="1">
      <c r="A103" s="308" t="s">
        <v>50</v>
      </c>
      <c r="B103" s="308">
        <f t="shared" si="63"/>
        <v>2023</v>
      </c>
      <c r="C103" s="308" t="s">
        <v>102</v>
      </c>
      <c r="F103" s="518"/>
      <c r="G103" s="518"/>
      <c r="H103" s="518"/>
      <c r="I103" s="518"/>
      <c r="K103" s="518"/>
      <c r="AZ103" s="518">
        <f t="shared" si="46"/>
        <v>3863.3333333333335</v>
      </c>
      <c r="BA103" s="518">
        <f t="shared" si="47"/>
        <v>6034.8833333333332</v>
      </c>
      <c r="BB103" s="518">
        <f t="shared" si="48"/>
        <v>1625</v>
      </c>
      <c r="BC103" s="518">
        <f t="shared" si="49"/>
        <v>2680</v>
      </c>
      <c r="BD103" s="518">
        <f t="shared" si="50"/>
        <v>1401.6666666666667</v>
      </c>
      <c r="BE103" s="619">
        <f t="shared" si="51"/>
        <v>744.66666666666663</v>
      </c>
      <c r="BF103" s="619">
        <f t="shared" si="52"/>
        <v>426.66666666666669</v>
      </c>
      <c r="BG103" s="619">
        <f t="shared" si="53"/>
        <v>108.33333333333333</v>
      </c>
      <c r="BH103" s="619">
        <f t="shared" si="54"/>
        <v>193.33333333333334</v>
      </c>
      <c r="BI103" s="619">
        <f t="shared" si="55"/>
        <v>108.33333333333333</v>
      </c>
      <c r="BJ103" s="619">
        <f t="shared" si="56"/>
        <v>0</v>
      </c>
      <c r="BK103" s="619">
        <f t="shared" si="57"/>
        <v>96.666666666666671</v>
      </c>
      <c r="BL103" s="619">
        <f t="shared" si="58"/>
        <v>0</v>
      </c>
      <c r="BM103" s="619">
        <f t="shared" si="59"/>
        <v>108.33333333333333</v>
      </c>
      <c r="BN103" s="518">
        <f t="shared" si="61"/>
        <v>17391.216666666664</v>
      </c>
    </row>
    <row r="104" spans="1:66" s="585" customFormat="1">
      <c r="A104" s="308" t="s">
        <v>51</v>
      </c>
      <c r="B104" s="308">
        <f t="shared" si="63"/>
        <v>2023</v>
      </c>
      <c r="C104" s="308" t="s">
        <v>102</v>
      </c>
      <c r="F104" s="518"/>
      <c r="G104" s="518"/>
      <c r="H104" s="518"/>
      <c r="I104" s="518"/>
      <c r="K104" s="518"/>
      <c r="BA104" s="518">
        <f t="shared" si="47"/>
        <v>6034.8833333333332</v>
      </c>
      <c r="BB104" s="518">
        <f t="shared" si="48"/>
        <v>1625</v>
      </c>
      <c r="BC104" s="518">
        <f t="shared" si="49"/>
        <v>2680</v>
      </c>
      <c r="BD104" s="518">
        <f t="shared" si="50"/>
        <v>1401.6666666666667</v>
      </c>
      <c r="BE104" s="619">
        <f t="shared" si="51"/>
        <v>744.66666666666663</v>
      </c>
      <c r="BF104" s="619">
        <f t="shared" si="52"/>
        <v>426.66666666666669</v>
      </c>
      <c r="BG104" s="619">
        <f t="shared" si="53"/>
        <v>108.33333333333333</v>
      </c>
      <c r="BH104" s="619">
        <f t="shared" si="54"/>
        <v>193.33333333333334</v>
      </c>
      <c r="BI104" s="619">
        <f t="shared" si="55"/>
        <v>108.33333333333333</v>
      </c>
      <c r="BJ104" s="619">
        <f t="shared" si="56"/>
        <v>0</v>
      </c>
      <c r="BK104" s="619">
        <f t="shared" si="57"/>
        <v>96.666666666666671</v>
      </c>
      <c r="BL104" s="619">
        <f t="shared" si="58"/>
        <v>0</v>
      </c>
      <c r="BM104" s="619">
        <f t="shared" si="59"/>
        <v>108.33333333333333</v>
      </c>
      <c r="BN104" s="518">
        <f t="shared" si="61"/>
        <v>13527.883333333333</v>
      </c>
    </row>
    <row r="105" spans="1:66" s="585" customFormat="1">
      <c r="A105" s="308" t="s">
        <v>52</v>
      </c>
      <c r="B105" s="308">
        <f t="shared" si="63"/>
        <v>2023</v>
      </c>
      <c r="C105" s="308" t="s">
        <v>102</v>
      </c>
      <c r="F105" s="518"/>
      <c r="G105" s="518"/>
      <c r="H105" s="518"/>
      <c r="I105" s="518"/>
      <c r="K105" s="518"/>
      <c r="BB105" s="518">
        <f t="shared" si="48"/>
        <v>1625</v>
      </c>
      <c r="BC105" s="518">
        <f t="shared" si="49"/>
        <v>2680</v>
      </c>
      <c r="BD105" s="518">
        <f t="shared" si="50"/>
        <v>1401.6666666666667</v>
      </c>
      <c r="BE105" s="619">
        <f t="shared" si="51"/>
        <v>744.66666666666663</v>
      </c>
      <c r="BF105" s="619">
        <f t="shared" si="52"/>
        <v>426.66666666666669</v>
      </c>
      <c r="BG105" s="619">
        <f t="shared" si="53"/>
        <v>108.33333333333333</v>
      </c>
      <c r="BH105" s="619">
        <f t="shared" si="54"/>
        <v>193.33333333333334</v>
      </c>
      <c r="BI105" s="619">
        <f t="shared" si="55"/>
        <v>108.33333333333333</v>
      </c>
      <c r="BJ105" s="619">
        <f t="shared" si="56"/>
        <v>0</v>
      </c>
      <c r="BK105" s="619">
        <f t="shared" si="57"/>
        <v>96.666666666666671</v>
      </c>
      <c r="BL105" s="619">
        <f t="shared" si="58"/>
        <v>0</v>
      </c>
      <c r="BM105" s="619">
        <f t="shared" si="59"/>
        <v>108.33333333333333</v>
      </c>
      <c r="BN105" s="518">
        <f t="shared" si="61"/>
        <v>7493</v>
      </c>
    </row>
    <row r="106" spans="1:66" s="585" customFormat="1">
      <c r="A106" s="308" t="s">
        <v>53</v>
      </c>
      <c r="B106" s="308">
        <v>2024</v>
      </c>
      <c r="C106" s="308" t="s">
        <v>102</v>
      </c>
      <c r="F106" s="518"/>
      <c r="G106" s="518"/>
      <c r="H106" s="518"/>
      <c r="I106" s="518"/>
      <c r="K106" s="518"/>
      <c r="BC106" s="518">
        <f t="shared" si="49"/>
        <v>2680</v>
      </c>
      <c r="BD106" s="518">
        <f t="shared" si="50"/>
        <v>1401.6666666666667</v>
      </c>
      <c r="BE106" s="619">
        <f t="shared" si="51"/>
        <v>744.66666666666663</v>
      </c>
      <c r="BF106" s="619">
        <f t="shared" si="52"/>
        <v>426.66666666666669</v>
      </c>
      <c r="BG106" s="619">
        <f t="shared" si="53"/>
        <v>108.33333333333333</v>
      </c>
      <c r="BH106" s="619">
        <f t="shared" si="54"/>
        <v>193.33333333333334</v>
      </c>
      <c r="BI106" s="619">
        <f t="shared" si="55"/>
        <v>108.33333333333333</v>
      </c>
      <c r="BJ106" s="619">
        <f t="shared" si="56"/>
        <v>0</v>
      </c>
      <c r="BK106" s="619">
        <f t="shared" si="57"/>
        <v>96.666666666666671</v>
      </c>
      <c r="BL106" s="619">
        <f t="shared" si="58"/>
        <v>0</v>
      </c>
      <c r="BM106" s="619">
        <f t="shared" si="59"/>
        <v>108.33333333333333</v>
      </c>
      <c r="BN106" s="518">
        <f t="shared" si="61"/>
        <v>5868</v>
      </c>
    </row>
    <row r="107" spans="1:66" s="585" customFormat="1">
      <c r="A107" s="308" t="s">
        <v>54</v>
      </c>
      <c r="B107" s="308">
        <v>2024</v>
      </c>
      <c r="C107" s="308" t="s">
        <v>102</v>
      </c>
      <c r="F107" s="518"/>
      <c r="G107" s="518"/>
      <c r="H107" s="518"/>
      <c r="I107" s="518"/>
      <c r="K107" s="518"/>
      <c r="BD107" s="518">
        <f t="shared" si="50"/>
        <v>1401.6666666666667</v>
      </c>
      <c r="BE107" s="619">
        <f t="shared" si="51"/>
        <v>744.66666666666663</v>
      </c>
      <c r="BF107" s="619">
        <f t="shared" si="52"/>
        <v>426.66666666666669</v>
      </c>
      <c r="BG107" s="619">
        <f t="shared" si="53"/>
        <v>108.33333333333333</v>
      </c>
      <c r="BH107" s="619">
        <f t="shared" si="54"/>
        <v>193.33333333333334</v>
      </c>
      <c r="BI107" s="619">
        <f t="shared" si="55"/>
        <v>108.33333333333333</v>
      </c>
      <c r="BJ107" s="619">
        <f t="shared" si="56"/>
        <v>0</v>
      </c>
      <c r="BK107" s="619">
        <f t="shared" si="57"/>
        <v>96.666666666666671</v>
      </c>
      <c r="BL107" s="619">
        <f t="shared" si="58"/>
        <v>0</v>
      </c>
      <c r="BM107" s="619">
        <f t="shared" si="59"/>
        <v>108.33333333333333</v>
      </c>
      <c r="BN107" s="518">
        <f t="shared" si="61"/>
        <v>3188.0000000000005</v>
      </c>
    </row>
    <row r="108" spans="1:66" s="585" customFormat="1">
      <c r="A108" s="308" t="s">
        <v>55</v>
      </c>
      <c r="B108" s="308">
        <v>2024</v>
      </c>
      <c r="C108" s="308" t="s">
        <v>102</v>
      </c>
      <c r="F108" s="518"/>
      <c r="G108" s="518"/>
      <c r="H108" s="518"/>
      <c r="I108" s="518"/>
      <c r="K108" s="518"/>
      <c r="BE108" s="619">
        <f t="shared" si="51"/>
        <v>744.66666666666663</v>
      </c>
      <c r="BF108" s="619">
        <f t="shared" si="52"/>
        <v>426.66666666666669</v>
      </c>
      <c r="BG108" s="619">
        <f t="shared" si="53"/>
        <v>108.33333333333333</v>
      </c>
      <c r="BH108" s="619">
        <f t="shared" si="54"/>
        <v>193.33333333333334</v>
      </c>
      <c r="BI108" s="619">
        <f t="shared" si="55"/>
        <v>108.33333333333333</v>
      </c>
      <c r="BJ108" s="619">
        <f t="shared" si="56"/>
        <v>0</v>
      </c>
      <c r="BK108" s="619">
        <f t="shared" si="57"/>
        <v>96.666666666666671</v>
      </c>
      <c r="BL108" s="619">
        <f t="shared" si="58"/>
        <v>0</v>
      </c>
      <c r="BM108" s="619">
        <f t="shared" si="59"/>
        <v>108.33333333333333</v>
      </c>
      <c r="BN108" s="518">
        <f t="shared" si="61"/>
        <v>1786.333333333333</v>
      </c>
    </row>
    <row r="109" spans="1:66" s="585" customFormat="1">
      <c r="A109" s="308" t="s">
        <v>56</v>
      </c>
      <c r="B109" s="308">
        <v>2024</v>
      </c>
      <c r="C109" s="308" t="s">
        <v>102</v>
      </c>
      <c r="F109" s="518"/>
      <c r="G109" s="518"/>
      <c r="H109" s="518"/>
      <c r="I109" s="518"/>
      <c r="K109" s="518"/>
      <c r="BF109" s="619">
        <f t="shared" si="52"/>
        <v>426.66666666666669</v>
      </c>
      <c r="BG109" s="619">
        <f t="shared" si="53"/>
        <v>108.33333333333333</v>
      </c>
      <c r="BH109" s="619">
        <f t="shared" si="54"/>
        <v>193.33333333333334</v>
      </c>
      <c r="BI109" s="619">
        <f t="shared" si="55"/>
        <v>108.33333333333333</v>
      </c>
      <c r="BJ109" s="619">
        <f t="shared" si="56"/>
        <v>0</v>
      </c>
      <c r="BK109" s="619">
        <f t="shared" si="57"/>
        <v>96.666666666666671</v>
      </c>
      <c r="BL109" s="619">
        <f t="shared" si="58"/>
        <v>0</v>
      </c>
      <c r="BM109" s="619">
        <f t="shared" si="59"/>
        <v>108.33333333333333</v>
      </c>
      <c r="BN109" s="518">
        <f t="shared" si="61"/>
        <v>1041.6666666666667</v>
      </c>
    </row>
    <row r="110" spans="1:66" s="585" customFormat="1">
      <c r="A110" s="308" t="s">
        <v>57</v>
      </c>
      <c r="B110" s="308">
        <v>2024</v>
      </c>
      <c r="C110" s="308" t="s">
        <v>102</v>
      </c>
      <c r="F110" s="518"/>
      <c r="G110" s="518"/>
      <c r="H110" s="518"/>
      <c r="I110" s="518"/>
      <c r="K110" s="518"/>
      <c r="BG110" s="619">
        <f t="shared" si="53"/>
        <v>108.33333333333333</v>
      </c>
      <c r="BH110" s="619">
        <f t="shared" si="54"/>
        <v>193.33333333333334</v>
      </c>
      <c r="BI110" s="619">
        <f t="shared" si="55"/>
        <v>108.33333333333333</v>
      </c>
      <c r="BJ110" s="619">
        <f t="shared" si="56"/>
        <v>0</v>
      </c>
      <c r="BK110" s="619">
        <f t="shared" si="57"/>
        <v>96.666666666666671</v>
      </c>
      <c r="BL110" s="619">
        <f t="shared" si="58"/>
        <v>0</v>
      </c>
      <c r="BM110" s="619">
        <f t="shared" si="59"/>
        <v>108.33333333333333</v>
      </c>
      <c r="BN110" s="518">
        <f t="shared" si="61"/>
        <v>615</v>
      </c>
    </row>
    <row r="111" spans="1:66" s="585" customFormat="1">
      <c r="A111" s="308" t="s">
        <v>58</v>
      </c>
      <c r="B111" s="308">
        <v>2024</v>
      </c>
      <c r="C111" s="308" t="s">
        <v>102</v>
      </c>
      <c r="F111" s="518"/>
      <c r="G111" s="518"/>
      <c r="H111" s="518"/>
      <c r="I111" s="518"/>
      <c r="K111" s="518"/>
      <c r="BH111" s="619">
        <f t="shared" si="54"/>
        <v>193.33333333333334</v>
      </c>
      <c r="BI111" s="619">
        <f t="shared" si="55"/>
        <v>108.33333333333333</v>
      </c>
      <c r="BJ111" s="619">
        <f t="shared" si="56"/>
        <v>0</v>
      </c>
      <c r="BK111" s="619">
        <f t="shared" si="57"/>
        <v>96.666666666666671</v>
      </c>
      <c r="BL111" s="619">
        <f t="shared" si="58"/>
        <v>0</v>
      </c>
      <c r="BM111" s="619">
        <f t="shared" si="59"/>
        <v>108.33333333333333</v>
      </c>
      <c r="BN111" s="518">
        <f t="shared" si="61"/>
        <v>506.66666666666669</v>
      </c>
    </row>
    <row r="112" spans="1:66" s="585" customFormat="1">
      <c r="A112" s="308" t="s">
        <v>59</v>
      </c>
      <c r="B112" s="308">
        <v>2024</v>
      </c>
      <c r="C112" s="308" t="s">
        <v>102</v>
      </c>
      <c r="F112" s="518"/>
      <c r="G112" s="518"/>
      <c r="H112" s="518"/>
      <c r="I112" s="518"/>
      <c r="K112" s="518"/>
      <c r="BI112" s="619">
        <f t="shared" si="55"/>
        <v>108.33333333333333</v>
      </c>
      <c r="BJ112" s="619">
        <f t="shared" si="56"/>
        <v>0</v>
      </c>
      <c r="BK112" s="619">
        <f t="shared" si="57"/>
        <v>96.666666666666671</v>
      </c>
      <c r="BL112" s="619">
        <f t="shared" si="58"/>
        <v>0</v>
      </c>
      <c r="BM112" s="619">
        <f t="shared" si="59"/>
        <v>108.33333333333333</v>
      </c>
      <c r="BN112" s="518">
        <f t="shared" si="61"/>
        <v>313.33333333333331</v>
      </c>
    </row>
    <row r="113" spans="1:66" s="585" customFormat="1">
      <c r="A113" s="308" t="s">
        <v>46</v>
      </c>
      <c r="B113" s="308">
        <v>2024</v>
      </c>
      <c r="C113" s="308" t="s">
        <v>102</v>
      </c>
      <c r="F113" s="518"/>
      <c r="G113" s="518"/>
      <c r="H113" s="518"/>
      <c r="I113" s="518"/>
      <c r="K113" s="518"/>
      <c r="BJ113" s="619">
        <f t="shared" si="56"/>
        <v>0</v>
      </c>
      <c r="BK113" s="619">
        <f t="shared" si="57"/>
        <v>96.666666666666671</v>
      </c>
      <c r="BL113" s="619">
        <f t="shared" si="58"/>
        <v>0</v>
      </c>
      <c r="BM113" s="619">
        <f t="shared" si="59"/>
        <v>108.33333333333333</v>
      </c>
      <c r="BN113" s="518">
        <f t="shared" si="61"/>
        <v>205</v>
      </c>
    </row>
    <row r="114" spans="1:66" s="585" customFormat="1">
      <c r="A114" s="308" t="s">
        <v>48</v>
      </c>
      <c r="B114" s="308">
        <v>2024</v>
      </c>
      <c r="C114" s="308" t="s">
        <v>102</v>
      </c>
      <c r="F114" s="518"/>
      <c r="G114" s="518"/>
      <c r="H114" s="518"/>
      <c r="I114" s="518"/>
      <c r="K114" s="518"/>
      <c r="BK114" s="619">
        <f t="shared" si="57"/>
        <v>96.666666666666671</v>
      </c>
      <c r="BL114" s="619">
        <f t="shared" si="58"/>
        <v>0</v>
      </c>
      <c r="BM114" s="619">
        <f t="shared" si="59"/>
        <v>108.33333333333333</v>
      </c>
      <c r="BN114" s="518">
        <f t="shared" si="61"/>
        <v>205</v>
      </c>
    </row>
    <row r="115" spans="1:66" s="585" customFormat="1">
      <c r="A115" s="308" t="s">
        <v>50</v>
      </c>
      <c r="B115" s="308">
        <v>2024</v>
      </c>
      <c r="C115" s="308" t="s">
        <v>102</v>
      </c>
      <c r="F115" s="518"/>
      <c r="G115" s="518"/>
      <c r="H115" s="518"/>
      <c r="I115" s="518"/>
      <c r="K115" s="518"/>
      <c r="BL115" s="619">
        <f t="shared" si="58"/>
        <v>0</v>
      </c>
      <c r="BM115" s="619">
        <f t="shared" si="59"/>
        <v>108.33333333333333</v>
      </c>
      <c r="BN115" s="518">
        <f t="shared" si="61"/>
        <v>108.33333333333333</v>
      </c>
    </row>
    <row r="116" spans="1:66" s="585" customFormat="1">
      <c r="A116" s="308" t="s">
        <v>51</v>
      </c>
      <c r="B116" s="308">
        <v>2024</v>
      </c>
      <c r="C116" s="308" t="s">
        <v>102</v>
      </c>
      <c r="F116" s="518"/>
      <c r="G116" s="518"/>
      <c r="H116" s="518"/>
      <c r="I116" s="518"/>
      <c r="K116" s="518">
        <f t="shared" ref="K116:K117" si="68">F116-I116</f>
        <v>0</v>
      </c>
      <c r="BM116" s="619">
        <f t="shared" si="59"/>
        <v>108.33333333333333</v>
      </c>
      <c r="BN116" s="518">
        <f t="shared" si="61"/>
        <v>108.33333333333333</v>
      </c>
    </row>
    <row r="117" spans="1:66">
      <c r="A117" s="29" t="s">
        <v>52</v>
      </c>
      <c r="B117" s="29">
        <v>2024</v>
      </c>
      <c r="C117" s="29" t="s">
        <v>102</v>
      </c>
      <c r="F117" s="114"/>
      <c r="G117" s="114"/>
      <c r="H117" s="114"/>
      <c r="I117" s="20"/>
      <c r="K117" s="20">
        <f t="shared" si="68"/>
        <v>0</v>
      </c>
    </row>
  </sheetData>
  <mergeCells count="2">
    <mergeCell ref="M1:BN1"/>
    <mergeCell ref="D1:K1"/>
  </mergeCells>
  <pageMargins left="0.7" right="0.7" top="0.75" bottom="0.75" header="0.3" footer="0.3"/>
  <pageSetup scale="2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  <pageSetUpPr fitToPage="1"/>
  </sheetPr>
  <dimension ref="A1:BQ127"/>
  <sheetViews>
    <sheetView workbookViewId="0">
      <pane ySplit="3" topLeftCell="A91" activePane="bottomLeft" state="frozen"/>
      <selection pane="bottomLeft" activeCell="K100" sqref="K100"/>
    </sheetView>
  </sheetViews>
  <sheetFormatPr defaultColWidth="9.140625" defaultRowHeight="12.75" outlineLevelRow="1" outlineLevelCol="1"/>
  <cols>
    <col min="1" max="3" width="9.140625" style="3"/>
    <col min="4" max="4" width="14.7109375" style="3" customWidth="1"/>
    <col min="5" max="5" width="9.28515625" style="3" customWidth="1"/>
    <col min="6" max="6" width="14.5703125" style="3" customWidth="1"/>
    <col min="7" max="7" width="2.42578125" style="3" customWidth="1"/>
    <col min="8" max="8" width="11.7109375" style="3" customWidth="1"/>
    <col min="9" max="9" width="11.5703125" style="3" customWidth="1"/>
    <col min="10" max="10" width="2.85546875" style="3" customWidth="1"/>
    <col min="11" max="11" width="16.140625" style="3" customWidth="1"/>
    <col min="12" max="12" width="3.140625" style="3" customWidth="1"/>
    <col min="13" max="18" width="9.140625" style="3" customWidth="1" outlineLevel="1"/>
    <col min="19" max="21" width="10.28515625" style="3" customWidth="1" outlineLevel="1"/>
    <col min="22" max="22" width="10.85546875" style="3" customWidth="1" outlineLevel="1"/>
    <col min="23" max="23" width="10.28515625" style="3" customWidth="1" outlineLevel="1"/>
    <col min="24" max="25" width="10.28515625" style="3" customWidth="1"/>
    <col min="26" max="26" width="10.140625" style="3" customWidth="1"/>
    <col min="27" max="27" width="10.85546875" style="3" customWidth="1"/>
    <col min="28" max="28" width="11.28515625" style="3" customWidth="1"/>
    <col min="29" max="29" width="11.140625" style="3" customWidth="1"/>
    <col min="30" max="30" width="10.5703125" style="3" customWidth="1"/>
    <col min="31" max="31" width="10.42578125" style="3" customWidth="1"/>
    <col min="32" max="32" width="10" style="3" customWidth="1"/>
    <col min="33" max="34" width="11.140625" style="3" customWidth="1"/>
    <col min="35" max="35" width="12.140625" style="3" customWidth="1"/>
    <col min="36" max="56" width="11.42578125" style="3" customWidth="1"/>
    <col min="57" max="65" width="12.5703125" style="4" customWidth="1"/>
    <col min="66" max="66" width="11.140625" style="3" customWidth="1"/>
    <col min="67" max="16384" width="9.140625" style="3"/>
  </cols>
  <sheetData>
    <row r="1" spans="1:67" ht="13.5" thickBot="1">
      <c r="D1" s="709"/>
      <c r="E1" s="710"/>
      <c r="F1" s="709"/>
      <c r="G1" s="709"/>
      <c r="H1" s="709"/>
      <c r="I1" s="709"/>
      <c r="J1" s="709"/>
      <c r="K1" s="711"/>
      <c r="M1" s="712" t="s">
        <v>144</v>
      </c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709"/>
      <c r="BM1" s="709"/>
      <c r="BN1" s="711"/>
    </row>
    <row r="2" spans="1:67" ht="38.25">
      <c r="A2" s="325"/>
      <c r="B2" s="325"/>
      <c r="C2" s="7" t="s">
        <v>16</v>
      </c>
      <c r="D2" s="51" t="s">
        <v>222</v>
      </c>
      <c r="E2" s="51"/>
      <c r="F2" s="120" t="s">
        <v>149</v>
      </c>
      <c r="G2" s="120"/>
      <c r="H2" s="51" t="s">
        <v>99</v>
      </c>
      <c r="I2" s="51" t="s">
        <v>100</v>
      </c>
      <c r="J2" s="52"/>
      <c r="K2" s="52" t="s">
        <v>101</v>
      </c>
      <c r="L2" s="325"/>
      <c r="M2" s="220">
        <v>42217</v>
      </c>
      <c r="N2" s="220">
        <f t="shared" ref="N2:AF2" si="0">+M2+31</f>
        <v>42248</v>
      </c>
      <c r="O2" s="220">
        <f t="shared" si="0"/>
        <v>42279</v>
      </c>
      <c r="P2" s="220">
        <f t="shared" si="0"/>
        <v>42310</v>
      </c>
      <c r="Q2" s="220">
        <f t="shared" si="0"/>
        <v>42341</v>
      </c>
      <c r="R2" s="220">
        <f t="shared" si="0"/>
        <v>42372</v>
      </c>
      <c r="S2" s="220">
        <f t="shared" si="0"/>
        <v>42403</v>
      </c>
      <c r="T2" s="220">
        <f t="shared" si="0"/>
        <v>42434</v>
      </c>
      <c r="U2" s="220">
        <f t="shared" si="0"/>
        <v>42465</v>
      </c>
      <c r="V2" s="220">
        <f t="shared" si="0"/>
        <v>42496</v>
      </c>
      <c r="W2" s="220">
        <f t="shared" si="0"/>
        <v>42527</v>
      </c>
      <c r="X2" s="220">
        <f t="shared" si="0"/>
        <v>42558</v>
      </c>
      <c r="Y2" s="220">
        <f t="shared" si="0"/>
        <v>42589</v>
      </c>
      <c r="Z2" s="220">
        <f t="shared" si="0"/>
        <v>42620</v>
      </c>
      <c r="AA2" s="220">
        <f t="shared" si="0"/>
        <v>42651</v>
      </c>
      <c r="AB2" s="220">
        <f t="shared" si="0"/>
        <v>42682</v>
      </c>
      <c r="AC2" s="220">
        <f t="shared" si="0"/>
        <v>42713</v>
      </c>
      <c r="AD2" s="220">
        <f t="shared" si="0"/>
        <v>42744</v>
      </c>
      <c r="AE2" s="220">
        <f t="shared" si="0"/>
        <v>42775</v>
      </c>
      <c r="AF2" s="220">
        <f t="shared" si="0"/>
        <v>42806</v>
      </c>
      <c r="AG2" s="220">
        <f t="shared" ref="AG2:BD2" si="1">+AF2+31</f>
        <v>42837</v>
      </c>
      <c r="AH2" s="220">
        <f t="shared" si="1"/>
        <v>42868</v>
      </c>
      <c r="AI2" s="220">
        <f t="shared" si="1"/>
        <v>42899</v>
      </c>
      <c r="AJ2" s="220">
        <f t="shared" si="1"/>
        <v>42930</v>
      </c>
      <c r="AK2" s="220">
        <f t="shared" si="1"/>
        <v>42961</v>
      </c>
      <c r="AL2" s="220">
        <f t="shared" si="1"/>
        <v>42992</v>
      </c>
      <c r="AM2" s="220">
        <f t="shared" si="1"/>
        <v>43023</v>
      </c>
      <c r="AN2" s="220">
        <f t="shared" si="1"/>
        <v>43054</v>
      </c>
      <c r="AO2" s="220">
        <f t="shared" si="1"/>
        <v>43085</v>
      </c>
      <c r="AP2" s="220">
        <f t="shared" si="1"/>
        <v>43116</v>
      </c>
      <c r="AQ2" s="220">
        <f t="shared" si="1"/>
        <v>43147</v>
      </c>
      <c r="AR2" s="220">
        <f t="shared" si="1"/>
        <v>43178</v>
      </c>
      <c r="AS2" s="220">
        <f t="shared" si="1"/>
        <v>43209</v>
      </c>
      <c r="AT2" s="220">
        <f t="shared" si="1"/>
        <v>43240</v>
      </c>
      <c r="AU2" s="220">
        <f t="shared" si="1"/>
        <v>43271</v>
      </c>
      <c r="AV2" s="220">
        <f t="shared" si="1"/>
        <v>43302</v>
      </c>
      <c r="AW2" s="220">
        <f t="shared" si="1"/>
        <v>43333</v>
      </c>
      <c r="AX2" s="220">
        <f t="shared" si="1"/>
        <v>43364</v>
      </c>
      <c r="AY2" s="220">
        <f t="shared" si="1"/>
        <v>43395</v>
      </c>
      <c r="AZ2" s="220">
        <f t="shared" si="1"/>
        <v>43426</v>
      </c>
      <c r="BA2" s="220">
        <f t="shared" si="1"/>
        <v>43457</v>
      </c>
      <c r="BB2" s="220">
        <f t="shared" si="1"/>
        <v>43488</v>
      </c>
      <c r="BC2" s="220">
        <f t="shared" si="1"/>
        <v>43519</v>
      </c>
      <c r="BD2" s="220">
        <f t="shared" si="1"/>
        <v>43550</v>
      </c>
      <c r="BE2" s="341">
        <v>43556</v>
      </c>
      <c r="BF2" s="341">
        <v>43586</v>
      </c>
      <c r="BG2" s="341">
        <v>43617</v>
      </c>
      <c r="BH2" s="341">
        <v>43647</v>
      </c>
      <c r="BI2" s="341">
        <v>43678</v>
      </c>
      <c r="BJ2" s="341">
        <v>43709</v>
      </c>
      <c r="BK2" s="341">
        <v>43739</v>
      </c>
      <c r="BL2" s="341">
        <v>43770</v>
      </c>
      <c r="BM2" s="341">
        <v>43800</v>
      </c>
      <c r="BN2" s="325" t="s">
        <v>69</v>
      </c>
      <c r="BO2" s="325"/>
    </row>
    <row r="3" spans="1:67" ht="15.75">
      <c r="A3" s="3" t="s">
        <v>27</v>
      </c>
      <c r="B3" s="7" t="s">
        <v>203</v>
      </c>
      <c r="C3" s="7" t="s">
        <v>28</v>
      </c>
      <c r="D3" s="54" t="s">
        <v>67</v>
      </c>
      <c r="E3" s="208"/>
      <c r="F3" s="12"/>
      <c r="G3" s="12"/>
      <c r="H3" s="54" t="s">
        <v>67</v>
      </c>
      <c r="I3" s="54"/>
      <c r="J3" s="9"/>
      <c r="K3" s="12"/>
    </row>
    <row r="4" spans="1:67" s="335" customFormat="1">
      <c r="A4" s="327"/>
      <c r="B4" s="327"/>
      <c r="C4" s="327"/>
      <c r="D4" s="39"/>
      <c r="E4" s="518"/>
      <c r="F4" s="518"/>
      <c r="G4" s="518"/>
      <c r="H4" s="518"/>
      <c r="I4" s="39"/>
      <c r="J4" s="518"/>
      <c r="K4" s="584"/>
      <c r="BE4" s="585"/>
      <c r="BF4" s="585"/>
      <c r="BG4" s="585"/>
      <c r="BH4" s="585"/>
      <c r="BI4" s="585"/>
      <c r="BJ4" s="585"/>
      <c r="BK4" s="585"/>
      <c r="BL4" s="585"/>
      <c r="BM4" s="585"/>
    </row>
    <row r="5" spans="1:67" s="335" customFormat="1" ht="12.75" hidden="1" customHeight="1" outlineLevel="1">
      <c r="A5" s="327" t="s">
        <v>46</v>
      </c>
      <c r="B5" s="327">
        <v>2015</v>
      </c>
      <c r="C5" s="327" t="s">
        <v>47</v>
      </c>
      <c r="D5" s="39">
        <v>0</v>
      </c>
      <c r="E5" s="518"/>
      <c r="F5" s="518">
        <f>D5</f>
        <v>0</v>
      </c>
      <c r="G5" s="518"/>
      <c r="H5" s="518">
        <v>0</v>
      </c>
      <c r="I5" s="39">
        <f>SUM(H$5:H5)</f>
        <v>0</v>
      </c>
      <c r="J5" s="518"/>
      <c r="K5" s="92">
        <f t="shared" ref="K5:K25" si="2">F5-I5</f>
        <v>0</v>
      </c>
      <c r="M5" s="39">
        <f>$D$5/36</f>
        <v>0</v>
      </c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518"/>
      <c r="BF5" s="518"/>
      <c r="BG5" s="518"/>
      <c r="BH5" s="518"/>
      <c r="BI5" s="518"/>
      <c r="BJ5" s="518"/>
      <c r="BK5" s="518"/>
      <c r="BL5" s="518"/>
      <c r="BM5" s="518"/>
      <c r="BN5" s="39">
        <f t="shared" ref="BN5:BN15" si="3">SUM(M5:AX5)</f>
        <v>0</v>
      </c>
    </row>
    <row r="6" spans="1:67" s="335" customFormat="1" ht="12.75" hidden="1" customHeight="1" outlineLevel="1">
      <c r="A6" s="327" t="s">
        <v>48</v>
      </c>
      <c r="B6" s="327">
        <f>+B5</f>
        <v>2015</v>
      </c>
      <c r="C6" s="327" t="s">
        <v>47</v>
      </c>
      <c r="D6" s="39">
        <v>0</v>
      </c>
      <c r="E6" s="518"/>
      <c r="F6" s="518">
        <f>F5+D6</f>
        <v>0</v>
      </c>
      <c r="G6" s="518"/>
      <c r="H6" s="518">
        <v>0</v>
      </c>
      <c r="I6" s="39">
        <f>SUM(H$5:H6)</f>
        <v>0</v>
      </c>
      <c r="J6" s="518"/>
      <c r="K6" s="92">
        <f t="shared" si="2"/>
        <v>0</v>
      </c>
      <c r="M6" s="39">
        <f t="shared" ref="M6:M40" si="4">$D$5/36</f>
        <v>0</v>
      </c>
      <c r="N6" s="39">
        <f>$D$6/36</f>
        <v>0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518"/>
      <c r="BF6" s="518"/>
      <c r="BG6" s="518"/>
      <c r="BH6" s="518"/>
      <c r="BI6" s="518"/>
      <c r="BJ6" s="518"/>
      <c r="BK6" s="518"/>
      <c r="BL6" s="518"/>
      <c r="BM6" s="518"/>
      <c r="BN6" s="39">
        <f t="shared" si="3"/>
        <v>0</v>
      </c>
    </row>
    <row r="7" spans="1:67" s="335" customFormat="1" ht="12.75" hidden="1" customHeight="1" outlineLevel="1">
      <c r="A7" s="327" t="s">
        <v>50</v>
      </c>
      <c r="B7" s="327">
        <f>+B6</f>
        <v>2015</v>
      </c>
      <c r="C7" s="327" t="s">
        <v>47</v>
      </c>
      <c r="D7" s="39">
        <v>1635.28</v>
      </c>
      <c r="E7" s="518"/>
      <c r="F7" s="518">
        <f t="shared" ref="F7:F63" si="5">F6+D7</f>
        <v>1635.28</v>
      </c>
      <c r="G7" s="518"/>
      <c r="H7" s="518">
        <v>0</v>
      </c>
      <c r="I7" s="39">
        <f>SUM(H$5:H7)</f>
        <v>0</v>
      </c>
      <c r="J7" s="518"/>
      <c r="K7" s="92">
        <f t="shared" si="2"/>
        <v>1635.28</v>
      </c>
      <c r="M7" s="39">
        <f t="shared" si="4"/>
        <v>0</v>
      </c>
      <c r="N7" s="39">
        <f t="shared" ref="N7:N41" si="6">$D$6/36</f>
        <v>0</v>
      </c>
      <c r="O7" s="39">
        <f>$D$7/36</f>
        <v>45.424444444444447</v>
      </c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518"/>
      <c r="BF7" s="518"/>
      <c r="BG7" s="518"/>
      <c r="BH7" s="518"/>
      <c r="BI7" s="518"/>
      <c r="BJ7" s="518"/>
      <c r="BK7" s="518"/>
      <c r="BL7" s="518"/>
      <c r="BM7" s="518"/>
      <c r="BN7" s="39">
        <f t="shared" si="3"/>
        <v>45.424444444444447</v>
      </c>
    </row>
    <row r="8" spans="1:67" s="335" customFormat="1" ht="12.75" hidden="1" customHeight="1" outlineLevel="1">
      <c r="A8" s="327" t="s">
        <v>51</v>
      </c>
      <c r="B8" s="327">
        <f>+B7</f>
        <v>2015</v>
      </c>
      <c r="C8" s="327" t="s">
        <v>47</v>
      </c>
      <c r="D8" s="39">
        <v>0</v>
      </c>
      <c r="E8" s="518"/>
      <c r="F8" s="518">
        <f t="shared" si="5"/>
        <v>1635.28</v>
      </c>
      <c r="G8" s="518"/>
      <c r="H8" s="518">
        <v>45.43</v>
      </c>
      <c r="I8" s="39">
        <f>SUM(H$5:H8)</f>
        <v>45.43</v>
      </c>
      <c r="J8" s="518"/>
      <c r="K8" s="92">
        <f t="shared" si="2"/>
        <v>1589.85</v>
      </c>
      <c r="M8" s="39">
        <f t="shared" si="4"/>
        <v>0</v>
      </c>
      <c r="N8" s="39">
        <f t="shared" si="6"/>
        <v>0</v>
      </c>
      <c r="O8" s="39">
        <f t="shared" ref="O8:O42" si="7">$D$7/36</f>
        <v>45.424444444444447</v>
      </c>
      <c r="P8" s="39">
        <f>$D$8/36</f>
        <v>0</v>
      </c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518"/>
      <c r="BF8" s="518"/>
      <c r="BG8" s="518"/>
      <c r="BH8" s="518"/>
      <c r="BI8" s="518"/>
      <c r="BJ8" s="518"/>
      <c r="BK8" s="518"/>
      <c r="BL8" s="518"/>
      <c r="BM8" s="518"/>
      <c r="BN8" s="39">
        <f t="shared" si="3"/>
        <v>45.424444444444447</v>
      </c>
    </row>
    <row r="9" spans="1:67" s="335" customFormat="1" ht="12.75" hidden="1" customHeight="1" outlineLevel="1">
      <c r="A9" s="332" t="s">
        <v>52</v>
      </c>
      <c r="B9" s="332">
        <f>+B8</f>
        <v>2015</v>
      </c>
      <c r="C9" s="332" t="s">
        <v>47</v>
      </c>
      <c r="D9" s="212">
        <v>78047.37</v>
      </c>
      <c r="E9" s="212"/>
      <c r="F9" s="212">
        <f t="shared" si="5"/>
        <v>79682.649999999994</v>
      </c>
      <c r="G9" s="212"/>
      <c r="H9" s="212">
        <v>1971.97</v>
      </c>
      <c r="I9" s="212">
        <f>SUM(H$5:H9)</f>
        <v>2017.4</v>
      </c>
      <c r="J9" s="518"/>
      <c r="K9" s="588">
        <f t="shared" si="2"/>
        <v>77665.25</v>
      </c>
      <c r="L9" s="333"/>
      <c r="M9" s="212">
        <f t="shared" si="4"/>
        <v>0</v>
      </c>
      <c r="N9" s="212">
        <f t="shared" si="6"/>
        <v>0</v>
      </c>
      <c r="O9" s="212">
        <f t="shared" si="7"/>
        <v>45.424444444444447</v>
      </c>
      <c r="P9" s="212">
        <f t="shared" ref="P9:P43" si="8">$D$8/36</f>
        <v>0</v>
      </c>
      <c r="Q9" s="212">
        <f>$D$9/36</f>
        <v>2167.9825000000001</v>
      </c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518"/>
      <c r="AZ9" s="518"/>
      <c r="BA9" s="518"/>
      <c r="BB9" s="518"/>
      <c r="BC9" s="518"/>
      <c r="BD9" s="518"/>
      <c r="BE9" s="518"/>
      <c r="BF9" s="518"/>
      <c r="BG9" s="518"/>
      <c r="BH9" s="518"/>
      <c r="BI9" s="518"/>
      <c r="BJ9" s="518"/>
      <c r="BK9" s="518"/>
      <c r="BL9" s="518"/>
      <c r="BM9" s="518"/>
      <c r="BN9" s="212">
        <f t="shared" si="3"/>
        <v>2213.4069444444444</v>
      </c>
    </row>
    <row r="10" spans="1:67" s="335" customFormat="1" ht="12.75" hidden="1" customHeight="1" outlineLevel="1">
      <c r="A10" s="327" t="s">
        <v>53</v>
      </c>
      <c r="B10" s="327">
        <f>B9+1</f>
        <v>2016</v>
      </c>
      <c r="C10" s="327" t="s">
        <v>47</v>
      </c>
      <c r="D10" s="39">
        <v>84563.4</v>
      </c>
      <c r="E10" s="518"/>
      <c r="F10" s="518">
        <f t="shared" si="5"/>
        <v>164246.04999999999</v>
      </c>
      <c r="G10" s="518"/>
      <c r="H10" s="518">
        <v>1712.01</v>
      </c>
      <c r="I10" s="39">
        <f>SUM(H$5:H10)</f>
        <v>3729.41</v>
      </c>
      <c r="J10" s="518"/>
      <c r="K10" s="92">
        <f t="shared" si="2"/>
        <v>160516.63999999998</v>
      </c>
      <c r="M10" s="39">
        <f t="shared" si="4"/>
        <v>0</v>
      </c>
      <c r="N10" s="39">
        <f t="shared" si="6"/>
        <v>0</v>
      </c>
      <c r="O10" s="39">
        <f t="shared" si="7"/>
        <v>45.424444444444447</v>
      </c>
      <c r="P10" s="39">
        <f t="shared" si="8"/>
        <v>0</v>
      </c>
      <c r="Q10" s="39">
        <f t="shared" ref="Q10:Q44" si="9">$D$9/36</f>
        <v>2167.9825000000001</v>
      </c>
      <c r="R10" s="39">
        <f>$D$10/36</f>
        <v>2348.9833333333331</v>
      </c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518"/>
      <c r="BF10" s="518"/>
      <c r="BG10" s="518"/>
      <c r="BH10" s="518"/>
      <c r="BI10" s="518"/>
      <c r="BJ10" s="518"/>
      <c r="BK10" s="518"/>
      <c r="BL10" s="518"/>
      <c r="BM10" s="518"/>
      <c r="BN10" s="39">
        <f t="shared" si="3"/>
        <v>4562.3902777777776</v>
      </c>
    </row>
    <row r="11" spans="1:67" s="335" customFormat="1" ht="12.75" hidden="1" customHeight="1" outlineLevel="1">
      <c r="A11" s="327" t="s">
        <v>54</v>
      </c>
      <c r="B11" s="327">
        <f t="shared" ref="B11:B16" si="10">+B10</f>
        <v>2016</v>
      </c>
      <c r="C11" s="327" t="s">
        <v>47</v>
      </c>
      <c r="D11" s="39">
        <v>1157.78</v>
      </c>
      <c r="E11" s="518"/>
      <c r="F11" s="518">
        <f t="shared" si="5"/>
        <v>165403.82999999999</v>
      </c>
      <c r="G11" s="518"/>
      <c r="H11" s="518">
        <v>4348.12</v>
      </c>
      <c r="I11" s="92">
        <f>SUM(H$5:H11)</f>
        <v>8077.53</v>
      </c>
      <c r="J11" s="518"/>
      <c r="K11" s="92">
        <f t="shared" si="2"/>
        <v>157326.29999999999</v>
      </c>
      <c r="M11" s="39">
        <f t="shared" si="4"/>
        <v>0</v>
      </c>
      <c r="N11" s="39">
        <f t="shared" si="6"/>
        <v>0</v>
      </c>
      <c r="O11" s="39">
        <f t="shared" si="7"/>
        <v>45.424444444444447</v>
      </c>
      <c r="P11" s="39">
        <f t="shared" si="8"/>
        <v>0</v>
      </c>
      <c r="Q11" s="39">
        <f t="shared" si="9"/>
        <v>2167.9825000000001</v>
      </c>
      <c r="R11" s="39">
        <f t="shared" ref="R11:R45" si="11">$D$10/36</f>
        <v>2348.9833333333331</v>
      </c>
      <c r="S11" s="39">
        <f>$D$11/36</f>
        <v>32.160555555555554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518"/>
      <c r="BF11" s="518"/>
      <c r="BG11" s="518"/>
      <c r="BH11" s="518"/>
      <c r="BI11" s="518"/>
      <c r="BJ11" s="518"/>
      <c r="BK11" s="518"/>
      <c r="BL11" s="518"/>
      <c r="BM11" s="518"/>
      <c r="BN11" s="39">
        <f t="shared" si="3"/>
        <v>4594.5508333333328</v>
      </c>
    </row>
    <row r="12" spans="1:67" s="335" customFormat="1" ht="12.75" hidden="1" customHeight="1" outlineLevel="1">
      <c r="A12" s="327" t="s">
        <v>55</v>
      </c>
      <c r="B12" s="327">
        <f t="shared" si="10"/>
        <v>2016</v>
      </c>
      <c r="C12" s="327" t="s">
        <v>47</v>
      </c>
      <c r="D12" s="39">
        <v>20050.43</v>
      </c>
      <c r="E12" s="518"/>
      <c r="F12" s="518">
        <f t="shared" si="5"/>
        <v>185454.25999999998</v>
      </c>
      <c r="G12" s="518"/>
      <c r="H12" s="518">
        <v>4841.12</v>
      </c>
      <c r="I12" s="92">
        <f>SUM(H$5:H12)</f>
        <v>12918.65</v>
      </c>
      <c r="J12" s="518"/>
      <c r="K12" s="92">
        <f t="shared" si="2"/>
        <v>172535.61</v>
      </c>
      <c r="M12" s="39">
        <f t="shared" si="4"/>
        <v>0</v>
      </c>
      <c r="N12" s="39">
        <f t="shared" si="6"/>
        <v>0</v>
      </c>
      <c r="O12" s="39">
        <f t="shared" si="7"/>
        <v>45.424444444444447</v>
      </c>
      <c r="P12" s="39">
        <f t="shared" si="8"/>
        <v>0</v>
      </c>
      <c r="Q12" s="39">
        <f t="shared" si="9"/>
        <v>2167.9825000000001</v>
      </c>
      <c r="R12" s="39">
        <f t="shared" si="11"/>
        <v>2348.9833333333331</v>
      </c>
      <c r="S12" s="39">
        <f t="shared" ref="S12:S46" si="12">$D$11/36</f>
        <v>32.160555555555554</v>
      </c>
      <c r="T12" s="39">
        <f>$D$12/36</f>
        <v>556.95638888888891</v>
      </c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518"/>
      <c r="BF12" s="518"/>
      <c r="BG12" s="518"/>
      <c r="BH12" s="518"/>
      <c r="BI12" s="518"/>
      <c r="BJ12" s="518"/>
      <c r="BK12" s="518"/>
      <c r="BL12" s="518"/>
      <c r="BM12" s="518"/>
      <c r="BN12" s="39">
        <f t="shared" si="3"/>
        <v>5151.5072222222216</v>
      </c>
    </row>
    <row r="13" spans="1:67" s="335" customFormat="1" ht="12.75" hidden="1" customHeight="1" outlineLevel="1">
      <c r="A13" s="327" t="s">
        <v>56</v>
      </c>
      <c r="B13" s="327">
        <f t="shared" si="10"/>
        <v>2016</v>
      </c>
      <c r="C13" s="327" t="s">
        <v>47</v>
      </c>
      <c r="D13" s="39">
        <v>0</v>
      </c>
      <c r="E13" s="518"/>
      <c r="F13" s="518">
        <f t="shared" si="5"/>
        <v>185454.25999999998</v>
      </c>
      <c r="G13" s="518"/>
      <c r="H13" s="518">
        <v>5151.58</v>
      </c>
      <c r="I13" s="92">
        <f>SUM(H$5:H13)</f>
        <v>18070.23</v>
      </c>
      <c r="J13" s="518"/>
      <c r="K13" s="92">
        <f t="shared" si="2"/>
        <v>167384.02999999997</v>
      </c>
      <c r="M13" s="39">
        <f t="shared" si="4"/>
        <v>0</v>
      </c>
      <c r="N13" s="39">
        <f t="shared" si="6"/>
        <v>0</v>
      </c>
      <c r="O13" s="39">
        <f t="shared" si="7"/>
        <v>45.424444444444447</v>
      </c>
      <c r="P13" s="39">
        <f t="shared" si="8"/>
        <v>0</v>
      </c>
      <c r="Q13" s="39">
        <f t="shared" si="9"/>
        <v>2167.9825000000001</v>
      </c>
      <c r="R13" s="39">
        <f t="shared" si="11"/>
        <v>2348.9833333333331</v>
      </c>
      <c r="S13" s="39">
        <f t="shared" si="12"/>
        <v>32.160555555555554</v>
      </c>
      <c r="T13" s="39">
        <f t="shared" ref="T13:T47" si="13">$D$12/36</f>
        <v>556.95638888888891</v>
      </c>
      <c r="U13" s="39">
        <f>$D$13/36</f>
        <v>0</v>
      </c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518"/>
      <c r="BF13" s="518"/>
      <c r="BG13" s="518"/>
      <c r="BH13" s="518"/>
      <c r="BI13" s="518"/>
      <c r="BJ13" s="518"/>
      <c r="BK13" s="518"/>
      <c r="BL13" s="518"/>
      <c r="BM13" s="518"/>
      <c r="BN13" s="39">
        <f t="shared" si="3"/>
        <v>5151.5072222222216</v>
      </c>
    </row>
    <row r="14" spans="1:67" s="335" customFormat="1" ht="12.75" hidden="1" customHeight="1" outlineLevel="1">
      <c r="A14" s="327" t="s">
        <v>57</v>
      </c>
      <c r="B14" s="327">
        <f t="shared" si="10"/>
        <v>2016</v>
      </c>
      <c r="C14" s="327" t="s">
        <v>47</v>
      </c>
      <c r="D14" s="39">
        <v>0</v>
      </c>
      <c r="E14" s="518"/>
      <c r="F14" s="518">
        <f t="shared" si="5"/>
        <v>185454.25999999998</v>
      </c>
      <c r="G14" s="518"/>
      <c r="H14" s="518">
        <v>5151.58</v>
      </c>
      <c r="I14" s="39">
        <f>SUM(H$5:H14)</f>
        <v>23221.809999999998</v>
      </c>
      <c r="J14" s="518"/>
      <c r="K14" s="92">
        <f t="shared" si="2"/>
        <v>162232.44999999998</v>
      </c>
      <c r="M14" s="39">
        <f t="shared" si="4"/>
        <v>0</v>
      </c>
      <c r="N14" s="39">
        <f t="shared" si="6"/>
        <v>0</v>
      </c>
      <c r="O14" s="39">
        <f t="shared" si="7"/>
        <v>45.424444444444447</v>
      </c>
      <c r="P14" s="39">
        <f t="shared" si="8"/>
        <v>0</v>
      </c>
      <c r="Q14" s="39">
        <f t="shared" si="9"/>
        <v>2167.9825000000001</v>
      </c>
      <c r="R14" s="39">
        <f t="shared" si="11"/>
        <v>2348.9833333333331</v>
      </c>
      <c r="S14" s="39">
        <f t="shared" si="12"/>
        <v>32.160555555555554</v>
      </c>
      <c r="T14" s="39">
        <f t="shared" si="13"/>
        <v>556.95638888888891</v>
      </c>
      <c r="U14" s="39">
        <f t="shared" ref="U14:U48" si="14">$D$13/36</f>
        <v>0</v>
      </c>
      <c r="V14" s="39">
        <f>$D$14/36</f>
        <v>0</v>
      </c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518"/>
      <c r="BF14" s="518"/>
      <c r="BG14" s="518"/>
      <c r="BH14" s="518"/>
      <c r="BI14" s="518"/>
      <c r="BJ14" s="518"/>
      <c r="BK14" s="518"/>
      <c r="BL14" s="518"/>
      <c r="BM14" s="518"/>
      <c r="BN14" s="39">
        <f t="shared" si="3"/>
        <v>5151.5072222222216</v>
      </c>
    </row>
    <row r="15" spans="1:67" s="335" customFormat="1" ht="12.75" hidden="1" customHeight="1" outlineLevel="1">
      <c r="A15" s="327" t="s">
        <v>58</v>
      </c>
      <c r="B15" s="327">
        <f t="shared" si="10"/>
        <v>2016</v>
      </c>
      <c r="C15" s="327" t="s">
        <v>47</v>
      </c>
      <c r="D15" s="39">
        <v>0</v>
      </c>
      <c r="E15" s="518"/>
      <c r="F15" s="518">
        <f t="shared" si="5"/>
        <v>185454.25999999998</v>
      </c>
      <c r="G15" s="518"/>
      <c r="H15" s="518">
        <v>6045.82</v>
      </c>
      <c r="I15" s="39">
        <f>SUM(H$5:H15)</f>
        <v>29267.629999999997</v>
      </c>
      <c r="J15" s="518"/>
      <c r="K15" s="92">
        <f t="shared" si="2"/>
        <v>156186.62999999998</v>
      </c>
      <c r="M15" s="39">
        <f t="shared" si="4"/>
        <v>0</v>
      </c>
      <c r="N15" s="39">
        <f t="shared" si="6"/>
        <v>0</v>
      </c>
      <c r="O15" s="39">
        <f t="shared" si="7"/>
        <v>45.424444444444447</v>
      </c>
      <c r="P15" s="39">
        <f t="shared" si="8"/>
        <v>0</v>
      </c>
      <c r="Q15" s="39">
        <f t="shared" si="9"/>
        <v>2167.9825000000001</v>
      </c>
      <c r="R15" s="39">
        <f t="shared" si="11"/>
        <v>2348.9833333333331</v>
      </c>
      <c r="S15" s="39">
        <f t="shared" si="12"/>
        <v>32.160555555555554</v>
      </c>
      <c r="T15" s="39">
        <f t="shared" si="13"/>
        <v>556.95638888888891</v>
      </c>
      <c r="U15" s="39">
        <f t="shared" si="14"/>
        <v>0</v>
      </c>
      <c r="V15" s="39">
        <f t="shared" ref="V15:V49" si="15">$D$14/36</f>
        <v>0</v>
      </c>
      <c r="W15" s="39">
        <f>$D$15/36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518"/>
      <c r="BF15" s="518"/>
      <c r="BG15" s="518"/>
      <c r="BH15" s="518"/>
      <c r="BI15" s="518"/>
      <c r="BJ15" s="518"/>
      <c r="BK15" s="518"/>
      <c r="BL15" s="518"/>
      <c r="BM15" s="518"/>
      <c r="BN15" s="39">
        <f t="shared" si="3"/>
        <v>5151.5072222222216</v>
      </c>
    </row>
    <row r="16" spans="1:67" s="585" customFormat="1" ht="12.75" customHeight="1" collapsed="1">
      <c r="A16" s="308" t="s">
        <v>59</v>
      </c>
      <c r="B16" s="308">
        <f t="shared" si="10"/>
        <v>2016</v>
      </c>
      <c r="C16" s="327" t="s">
        <v>47</v>
      </c>
      <c r="D16" s="39">
        <v>0</v>
      </c>
      <c r="E16" s="518"/>
      <c r="F16" s="518">
        <f t="shared" si="5"/>
        <v>185454.25999999998</v>
      </c>
      <c r="G16" s="518"/>
      <c r="H16" s="518">
        <v>4257.34</v>
      </c>
      <c r="I16" s="518">
        <f>SUM(H$5:H16)</f>
        <v>33524.97</v>
      </c>
      <c r="J16" s="518"/>
      <c r="K16" s="92">
        <f t="shared" si="2"/>
        <v>151929.28999999998</v>
      </c>
      <c r="M16" s="39">
        <f t="shared" si="4"/>
        <v>0</v>
      </c>
      <c r="N16" s="39">
        <f t="shared" si="6"/>
        <v>0</v>
      </c>
      <c r="O16" s="39">
        <f t="shared" si="7"/>
        <v>45.424444444444447</v>
      </c>
      <c r="P16" s="39">
        <f t="shared" si="8"/>
        <v>0</v>
      </c>
      <c r="Q16" s="39">
        <f t="shared" si="9"/>
        <v>2167.9825000000001</v>
      </c>
      <c r="R16" s="39">
        <f t="shared" si="11"/>
        <v>2348.9833333333331</v>
      </c>
      <c r="S16" s="39">
        <f t="shared" si="12"/>
        <v>32.160555555555554</v>
      </c>
      <c r="T16" s="39">
        <f t="shared" si="13"/>
        <v>556.95638888888891</v>
      </c>
      <c r="U16" s="39">
        <f t="shared" si="14"/>
        <v>0</v>
      </c>
      <c r="V16" s="39">
        <f t="shared" si="15"/>
        <v>0</v>
      </c>
      <c r="W16" s="39">
        <f t="shared" ref="W16:W50" si="16">$D$15/36</f>
        <v>0</v>
      </c>
      <c r="X16" s="39">
        <f>$D$16/36</f>
        <v>0</v>
      </c>
      <c r="Y16" s="518"/>
      <c r="Z16" s="518"/>
      <c r="AA16" s="518"/>
      <c r="AB16" s="518"/>
      <c r="AC16" s="518"/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  <c r="AQ16" s="518"/>
      <c r="AR16" s="518"/>
      <c r="AS16" s="518"/>
      <c r="AT16" s="518"/>
      <c r="AU16" s="518"/>
      <c r="AV16" s="518"/>
      <c r="AW16" s="518"/>
      <c r="AX16" s="518"/>
      <c r="AY16" s="518"/>
      <c r="AZ16" s="518"/>
      <c r="BA16" s="518"/>
      <c r="BB16" s="518"/>
      <c r="BC16" s="518"/>
      <c r="BD16" s="518"/>
      <c r="BE16" s="518"/>
      <c r="BF16" s="518"/>
      <c r="BG16" s="518"/>
      <c r="BH16" s="518"/>
      <c r="BI16" s="518"/>
      <c r="BJ16" s="518"/>
      <c r="BK16" s="518"/>
      <c r="BL16" s="518"/>
      <c r="BM16" s="518"/>
      <c r="BN16" s="39">
        <f>SUM(M16:BM16)</f>
        <v>5151.5072222222216</v>
      </c>
    </row>
    <row r="17" spans="1:69" s="335" customFormat="1" ht="12.75" customHeight="1">
      <c r="A17" s="327" t="s">
        <v>46</v>
      </c>
      <c r="B17" s="327">
        <f>+B5+1</f>
        <v>2016</v>
      </c>
      <c r="C17" s="327" t="s">
        <v>47</v>
      </c>
      <c r="D17" s="39">
        <v>0</v>
      </c>
      <c r="E17" s="518"/>
      <c r="F17" s="518">
        <f t="shared" si="5"/>
        <v>185454.25999999998</v>
      </c>
      <c r="G17" s="518"/>
      <c r="H17" s="518">
        <v>6287.29</v>
      </c>
      <c r="I17" s="39">
        <f>SUM(H$5:H17)</f>
        <v>39812.26</v>
      </c>
      <c r="J17" s="518"/>
      <c r="K17" s="92">
        <f t="shared" si="2"/>
        <v>145641.99999999997</v>
      </c>
      <c r="M17" s="39">
        <f t="shared" si="4"/>
        <v>0</v>
      </c>
      <c r="N17" s="39">
        <f t="shared" si="6"/>
        <v>0</v>
      </c>
      <c r="O17" s="39">
        <f t="shared" si="7"/>
        <v>45.424444444444447</v>
      </c>
      <c r="P17" s="39">
        <f t="shared" si="8"/>
        <v>0</v>
      </c>
      <c r="Q17" s="39">
        <f t="shared" si="9"/>
        <v>2167.9825000000001</v>
      </c>
      <c r="R17" s="39">
        <f t="shared" si="11"/>
        <v>2348.9833333333331</v>
      </c>
      <c r="S17" s="39">
        <f t="shared" si="12"/>
        <v>32.160555555555554</v>
      </c>
      <c r="T17" s="39">
        <f t="shared" si="13"/>
        <v>556.95638888888891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ref="X17:X51" si="17">$D$16/36</f>
        <v>0</v>
      </c>
      <c r="Y17" s="39">
        <f>$D$17/36</f>
        <v>0</v>
      </c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518"/>
      <c r="BF17" s="518"/>
      <c r="BG17" s="518"/>
      <c r="BH17" s="518"/>
      <c r="BI17" s="518"/>
      <c r="BJ17" s="518"/>
      <c r="BK17" s="518"/>
      <c r="BL17" s="518"/>
      <c r="BM17" s="518"/>
      <c r="BN17" s="39">
        <f t="shared" ref="BN17:BN80" si="18">SUM(M17:BM17)</f>
        <v>5151.5072222222216</v>
      </c>
    </row>
    <row r="18" spans="1:69" s="335" customFormat="1" ht="12.75" customHeight="1">
      <c r="A18" s="327" t="s">
        <v>48</v>
      </c>
      <c r="B18" s="308">
        <f t="shared" ref="B18:B81" si="19">+B6+1</f>
        <v>2016</v>
      </c>
      <c r="C18" s="327" t="s">
        <v>47</v>
      </c>
      <c r="D18" s="39">
        <v>0</v>
      </c>
      <c r="E18" s="518"/>
      <c r="F18" s="518">
        <f t="shared" si="5"/>
        <v>185454.25999999998</v>
      </c>
      <c r="G18" s="518"/>
      <c r="H18" s="518">
        <v>5151.58</v>
      </c>
      <c r="I18" s="39">
        <f>SUM(H$5:H18)</f>
        <v>44963.840000000004</v>
      </c>
      <c r="J18" s="518"/>
      <c r="K18" s="92">
        <f t="shared" si="2"/>
        <v>140490.41999999998</v>
      </c>
      <c r="L18" s="585"/>
      <c r="M18" s="39">
        <f t="shared" si="4"/>
        <v>0</v>
      </c>
      <c r="N18" s="39">
        <f t="shared" si="6"/>
        <v>0</v>
      </c>
      <c r="O18" s="39">
        <f t="shared" si="7"/>
        <v>45.424444444444447</v>
      </c>
      <c r="P18" s="39">
        <f t="shared" si="8"/>
        <v>0</v>
      </c>
      <c r="Q18" s="39">
        <f t="shared" si="9"/>
        <v>2167.9825000000001</v>
      </c>
      <c r="R18" s="39">
        <f t="shared" si="11"/>
        <v>2348.9833333333331</v>
      </c>
      <c r="S18" s="39">
        <f t="shared" si="12"/>
        <v>32.160555555555554</v>
      </c>
      <c r="T18" s="39">
        <f t="shared" si="13"/>
        <v>556.95638888888891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ref="Y18:Y52" si="20">$D$17/36</f>
        <v>0</v>
      </c>
      <c r="Z18" s="39">
        <f>$D$18/36</f>
        <v>0</v>
      </c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518"/>
      <c r="AL18" s="518"/>
      <c r="AM18" s="518"/>
      <c r="AN18" s="518"/>
      <c r="AO18" s="518"/>
      <c r="AP18" s="518"/>
      <c r="AQ18" s="518"/>
      <c r="AR18" s="518"/>
      <c r="AS18" s="518"/>
      <c r="AT18" s="518"/>
      <c r="AU18" s="518"/>
      <c r="AV18" s="518"/>
      <c r="AW18" s="518"/>
      <c r="AX18" s="518"/>
      <c r="AY18" s="518"/>
      <c r="AZ18" s="518"/>
      <c r="BA18" s="518"/>
      <c r="BB18" s="518"/>
      <c r="BC18" s="518"/>
      <c r="BD18" s="518"/>
      <c r="BE18" s="518"/>
      <c r="BF18" s="518"/>
      <c r="BG18" s="518"/>
      <c r="BH18" s="518"/>
      <c r="BI18" s="518"/>
      <c r="BJ18" s="518"/>
      <c r="BK18" s="518"/>
      <c r="BL18" s="518"/>
      <c r="BM18" s="518"/>
      <c r="BN18" s="39">
        <f t="shared" si="18"/>
        <v>5151.5072222222216</v>
      </c>
      <c r="BO18" s="585"/>
    </row>
    <row r="19" spans="1:69" s="335" customFormat="1" ht="12.75" customHeight="1">
      <c r="A19" s="327" t="s">
        <v>50</v>
      </c>
      <c r="B19" s="308">
        <f t="shared" si="19"/>
        <v>2016</v>
      </c>
      <c r="C19" s="327" t="s">
        <v>47</v>
      </c>
      <c r="D19" s="39">
        <v>0</v>
      </c>
      <c r="E19" s="518"/>
      <c r="F19" s="518">
        <f t="shared" si="5"/>
        <v>185454.25999999998</v>
      </c>
      <c r="G19" s="518"/>
      <c r="H19" s="518">
        <v>4910.1099999999997</v>
      </c>
      <c r="I19" s="39">
        <f>SUM(H$5:H19)</f>
        <v>49873.950000000004</v>
      </c>
      <c r="J19" s="518"/>
      <c r="K19" s="92">
        <f t="shared" si="2"/>
        <v>135580.30999999997</v>
      </c>
      <c r="L19" s="585"/>
      <c r="M19" s="39">
        <f t="shared" si="4"/>
        <v>0</v>
      </c>
      <c r="N19" s="39">
        <f t="shared" si="6"/>
        <v>0</v>
      </c>
      <c r="O19" s="39">
        <f t="shared" si="7"/>
        <v>45.424444444444447</v>
      </c>
      <c r="P19" s="39">
        <f t="shared" si="8"/>
        <v>0</v>
      </c>
      <c r="Q19" s="39">
        <f t="shared" si="9"/>
        <v>2167.9825000000001</v>
      </c>
      <c r="R19" s="39">
        <f t="shared" si="11"/>
        <v>2348.9833333333331</v>
      </c>
      <c r="S19" s="39">
        <f t="shared" si="12"/>
        <v>32.160555555555554</v>
      </c>
      <c r="T19" s="39">
        <f t="shared" si="13"/>
        <v>556.95638888888891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20"/>
        <v>0</v>
      </c>
      <c r="Z19" s="39">
        <f t="shared" ref="Z19:Z53" si="21">$D$18/36</f>
        <v>0</v>
      </c>
      <c r="AA19" s="39">
        <f>$D$19/36</f>
        <v>0</v>
      </c>
      <c r="AB19" s="39"/>
      <c r="AC19" s="39"/>
      <c r="AD19" s="39"/>
      <c r="AE19" s="39"/>
      <c r="AF19" s="39"/>
      <c r="AG19" s="39"/>
      <c r="AH19" s="39"/>
      <c r="AI19" s="39"/>
      <c r="AJ19" s="39"/>
      <c r="AK19" s="518"/>
      <c r="AL19" s="518"/>
      <c r="AM19" s="518"/>
      <c r="AN19" s="518"/>
      <c r="AO19" s="518"/>
      <c r="AP19" s="518"/>
      <c r="AQ19" s="518"/>
      <c r="AR19" s="518"/>
      <c r="AS19" s="518"/>
      <c r="AT19" s="518"/>
      <c r="AU19" s="518"/>
      <c r="AV19" s="518"/>
      <c r="AW19" s="518"/>
      <c r="AX19" s="518"/>
      <c r="AY19" s="518"/>
      <c r="AZ19" s="518"/>
      <c r="BA19" s="518"/>
      <c r="BB19" s="518"/>
      <c r="BC19" s="518"/>
      <c r="BD19" s="518"/>
      <c r="BE19" s="518"/>
      <c r="BF19" s="518"/>
      <c r="BG19" s="518"/>
      <c r="BH19" s="518"/>
      <c r="BI19" s="518"/>
      <c r="BJ19" s="518"/>
      <c r="BK19" s="518"/>
      <c r="BL19" s="518"/>
      <c r="BM19" s="518"/>
      <c r="BN19" s="39">
        <f t="shared" si="18"/>
        <v>5151.5072222222216</v>
      </c>
      <c r="BO19" s="585"/>
    </row>
    <row r="20" spans="1:69" s="335" customFormat="1" ht="12.75" customHeight="1">
      <c r="A20" s="327" t="s">
        <v>51</v>
      </c>
      <c r="B20" s="308">
        <f t="shared" si="19"/>
        <v>2016</v>
      </c>
      <c r="C20" s="327" t="s">
        <v>47</v>
      </c>
      <c r="D20" s="39">
        <v>0</v>
      </c>
      <c r="E20" s="518"/>
      <c r="F20" s="518">
        <f t="shared" si="5"/>
        <v>185454.25999999998</v>
      </c>
      <c r="G20" s="518"/>
      <c r="H20" s="518">
        <v>5151.58</v>
      </c>
      <c r="I20" s="39">
        <f>SUM(H$5:H20)</f>
        <v>55025.530000000006</v>
      </c>
      <c r="J20" s="518"/>
      <c r="K20" s="92">
        <f t="shared" si="2"/>
        <v>130428.72999999998</v>
      </c>
      <c r="L20" s="585"/>
      <c r="M20" s="39">
        <f t="shared" si="4"/>
        <v>0</v>
      </c>
      <c r="N20" s="39">
        <f t="shared" si="6"/>
        <v>0</v>
      </c>
      <c r="O20" s="39">
        <f t="shared" si="7"/>
        <v>45.424444444444447</v>
      </c>
      <c r="P20" s="39">
        <f t="shared" si="8"/>
        <v>0</v>
      </c>
      <c r="Q20" s="39">
        <f t="shared" si="9"/>
        <v>2167.9825000000001</v>
      </c>
      <c r="R20" s="39">
        <f t="shared" si="11"/>
        <v>2348.9833333333331</v>
      </c>
      <c r="S20" s="39">
        <f t="shared" si="12"/>
        <v>32.160555555555554</v>
      </c>
      <c r="T20" s="39">
        <f t="shared" si="13"/>
        <v>556.95638888888891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20"/>
        <v>0</v>
      </c>
      <c r="Z20" s="39">
        <f t="shared" si="21"/>
        <v>0</v>
      </c>
      <c r="AA20" s="39">
        <f t="shared" ref="AA20:AA54" si="22">$D$19/36</f>
        <v>0</v>
      </c>
      <c r="AB20" s="39">
        <f>$D$20/36</f>
        <v>0</v>
      </c>
      <c r="AC20" s="39"/>
      <c r="AD20" s="39"/>
      <c r="AE20" s="39"/>
      <c r="AF20" s="39"/>
      <c r="AG20" s="39"/>
      <c r="AH20" s="39"/>
      <c r="AI20" s="39"/>
      <c r="AJ20" s="39"/>
      <c r="AK20" s="518"/>
      <c r="AL20" s="518"/>
      <c r="AM20" s="518"/>
      <c r="AN20" s="518"/>
      <c r="AO20" s="518"/>
      <c r="AP20" s="518"/>
      <c r="AQ20" s="518"/>
      <c r="AR20" s="518"/>
      <c r="AS20" s="518"/>
      <c r="AT20" s="518"/>
      <c r="AU20" s="518"/>
      <c r="AV20" s="518"/>
      <c r="AW20" s="518"/>
      <c r="AX20" s="518"/>
      <c r="AY20" s="518"/>
      <c r="AZ20" s="518"/>
      <c r="BA20" s="518"/>
      <c r="BB20" s="518"/>
      <c r="BC20" s="518"/>
      <c r="BD20" s="518"/>
      <c r="BE20" s="518"/>
      <c r="BF20" s="518"/>
      <c r="BG20" s="518"/>
      <c r="BH20" s="518"/>
      <c r="BI20" s="518"/>
      <c r="BJ20" s="518"/>
      <c r="BK20" s="518"/>
      <c r="BL20" s="518"/>
      <c r="BM20" s="518"/>
      <c r="BN20" s="39">
        <f t="shared" si="18"/>
        <v>5151.5072222222216</v>
      </c>
      <c r="BO20" s="585"/>
    </row>
    <row r="21" spans="1:69" s="335" customFormat="1" ht="12.75" customHeight="1">
      <c r="A21" s="332" t="s">
        <v>52</v>
      </c>
      <c r="B21" s="332">
        <f t="shared" si="19"/>
        <v>2016</v>
      </c>
      <c r="C21" s="332" t="s">
        <v>47</v>
      </c>
      <c r="D21" s="212">
        <v>0</v>
      </c>
      <c r="E21" s="212"/>
      <c r="F21" s="212">
        <f t="shared" si="5"/>
        <v>185454.25999999998</v>
      </c>
      <c r="G21" s="212"/>
      <c r="H21" s="212">
        <v>5151.58</v>
      </c>
      <c r="I21" s="212">
        <f>SUM(H$5:H21)</f>
        <v>60177.110000000008</v>
      </c>
      <c r="J21" s="518"/>
      <c r="K21" s="588">
        <f t="shared" si="2"/>
        <v>125277.14999999997</v>
      </c>
      <c r="L21" s="333"/>
      <c r="M21" s="212">
        <f t="shared" si="4"/>
        <v>0</v>
      </c>
      <c r="N21" s="212">
        <f t="shared" si="6"/>
        <v>0</v>
      </c>
      <c r="O21" s="212">
        <f t="shared" si="7"/>
        <v>45.424444444444447</v>
      </c>
      <c r="P21" s="212">
        <f t="shared" si="8"/>
        <v>0</v>
      </c>
      <c r="Q21" s="212">
        <f t="shared" si="9"/>
        <v>2167.9825000000001</v>
      </c>
      <c r="R21" s="212">
        <f t="shared" si="11"/>
        <v>2348.9833333333331</v>
      </c>
      <c r="S21" s="212">
        <f t="shared" si="12"/>
        <v>32.160555555555554</v>
      </c>
      <c r="T21" s="212">
        <f t="shared" si="13"/>
        <v>556.95638888888891</v>
      </c>
      <c r="U21" s="212">
        <f t="shared" si="14"/>
        <v>0</v>
      </c>
      <c r="V21" s="212">
        <f t="shared" si="15"/>
        <v>0</v>
      </c>
      <c r="W21" s="212">
        <f t="shared" si="16"/>
        <v>0</v>
      </c>
      <c r="X21" s="212">
        <f t="shared" si="17"/>
        <v>0</v>
      </c>
      <c r="Y21" s="212">
        <f t="shared" si="20"/>
        <v>0</v>
      </c>
      <c r="Z21" s="212">
        <f t="shared" si="21"/>
        <v>0</v>
      </c>
      <c r="AA21" s="212">
        <f t="shared" si="22"/>
        <v>0</v>
      </c>
      <c r="AB21" s="212">
        <f t="shared" ref="AB21:AB55" si="23">$D$20/36</f>
        <v>0</v>
      </c>
      <c r="AC21" s="212">
        <f>$D$21/36</f>
        <v>0</v>
      </c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518"/>
      <c r="BC21" s="518"/>
      <c r="BD21" s="518"/>
      <c r="BE21" s="518"/>
      <c r="BF21" s="518"/>
      <c r="BG21" s="518"/>
      <c r="BH21" s="518"/>
      <c r="BI21" s="518"/>
      <c r="BJ21" s="518"/>
      <c r="BK21" s="518"/>
      <c r="BL21" s="518"/>
      <c r="BM21" s="518"/>
      <c r="BN21" s="39">
        <f t="shared" si="18"/>
        <v>5151.5072222222216</v>
      </c>
      <c r="BO21" s="585"/>
    </row>
    <row r="22" spans="1:69" s="335" customFormat="1" ht="12.75" customHeight="1">
      <c r="A22" s="327" t="s">
        <v>53</v>
      </c>
      <c r="B22" s="308">
        <f t="shared" si="19"/>
        <v>2017</v>
      </c>
      <c r="C22" s="327" t="s">
        <v>47</v>
      </c>
      <c r="D22" s="39">
        <v>0</v>
      </c>
      <c r="E22" s="518"/>
      <c r="F22" s="518">
        <f t="shared" si="5"/>
        <v>185454.25999999998</v>
      </c>
      <c r="G22" s="518"/>
      <c r="H22" s="518">
        <v>9256.3799999999992</v>
      </c>
      <c r="I22" s="39">
        <f>SUM(H$5:H22)</f>
        <v>69433.490000000005</v>
      </c>
      <c r="J22" s="518"/>
      <c r="K22" s="92">
        <f t="shared" si="2"/>
        <v>116020.76999999997</v>
      </c>
      <c r="L22" s="585"/>
      <c r="M22" s="39">
        <f t="shared" si="4"/>
        <v>0</v>
      </c>
      <c r="N22" s="39">
        <f t="shared" si="6"/>
        <v>0</v>
      </c>
      <c r="O22" s="39">
        <f t="shared" si="7"/>
        <v>45.424444444444447</v>
      </c>
      <c r="P22" s="39">
        <f t="shared" si="8"/>
        <v>0</v>
      </c>
      <c r="Q22" s="39">
        <f t="shared" si="9"/>
        <v>2167.9825000000001</v>
      </c>
      <c r="R22" s="39">
        <f t="shared" si="11"/>
        <v>2348.9833333333331</v>
      </c>
      <c r="S22" s="39">
        <f t="shared" si="12"/>
        <v>32.160555555555554</v>
      </c>
      <c r="T22" s="39">
        <f t="shared" si="13"/>
        <v>556.95638888888891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ref="AC22:AC56" si="24">$D$21/36</f>
        <v>0</v>
      </c>
      <c r="AD22" s="39">
        <f>$D$22/36</f>
        <v>0</v>
      </c>
      <c r="AE22" s="39"/>
      <c r="AF22" s="39"/>
      <c r="AG22" s="39"/>
      <c r="AH22" s="39"/>
      <c r="AI22" s="39"/>
      <c r="AJ22" s="39"/>
      <c r="AK22" s="518"/>
      <c r="AL22" s="518"/>
      <c r="AM22" s="518"/>
      <c r="AN22" s="518"/>
      <c r="AO22" s="518"/>
      <c r="AP22" s="518"/>
      <c r="AQ22" s="518"/>
      <c r="AR22" s="518"/>
      <c r="AS22" s="518"/>
      <c r="AT22" s="518"/>
      <c r="AU22" s="518"/>
      <c r="AV22" s="518"/>
      <c r="AW22" s="518"/>
      <c r="AX22" s="518"/>
      <c r="AY22" s="518"/>
      <c r="AZ22" s="518"/>
      <c r="BA22" s="518"/>
      <c r="BB22" s="518"/>
      <c r="BC22" s="518"/>
      <c r="BD22" s="518"/>
      <c r="BE22" s="518"/>
      <c r="BF22" s="518"/>
      <c r="BG22" s="518"/>
      <c r="BH22" s="518"/>
      <c r="BI22" s="518"/>
      <c r="BJ22" s="518"/>
      <c r="BK22" s="518"/>
      <c r="BL22" s="518"/>
      <c r="BM22" s="518"/>
      <c r="BN22" s="39">
        <f t="shared" si="18"/>
        <v>5151.5072222222216</v>
      </c>
      <c r="BO22" s="585"/>
    </row>
    <row r="23" spans="1:69" s="335" customFormat="1" ht="12.75" customHeight="1">
      <c r="A23" s="327" t="s">
        <v>54</v>
      </c>
      <c r="B23" s="308">
        <f t="shared" si="19"/>
        <v>2017</v>
      </c>
      <c r="C23" s="327" t="s">
        <v>47</v>
      </c>
      <c r="D23" s="39">
        <v>0</v>
      </c>
      <c r="E23" s="518"/>
      <c r="F23" s="518">
        <f t="shared" si="5"/>
        <v>185454.25999999998</v>
      </c>
      <c r="G23" s="518"/>
      <c r="H23" s="518">
        <v>23505.29</v>
      </c>
      <c r="I23" s="39">
        <f>SUM(H$5:H23)</f>
        <v>92938.78</v>
      </c>
      <c r="J23" s="518"/>
      <c r="K23" s="92">
        <f t="shared" si="2"/>
        <v>92515.479999999981</v>
      </c>
      <c r="L23" s="585"/>
      <c r="M23" s="39">
        <f t="shared" si="4"/>
        <v>0</v>
      </c>
      <c r="N23" s="39">
        <f t="shared" si="6"/>
        <v>0</v>
      </c>
      <c r="O23" s="39">
        <f t="shared" si="7"/>
        <v>45.424444444444447</v>
      </c>
      <c r="P23" s="39">
        <f t="shared" si="8"/>
        <v>0</v>
      </c>
      <c r="Q23" s="39">
        <f t="shared" si="9"/>
        <v>2167.9825000000001</v>
      </c>
      <c r="R23" s="39">
        <f t="shared" si="11"/>
        <v>2348.9833333333331</v>
      </c>
      <c r="S23" s="39">
        <f t="shared" si="12"/>
        <v>32.160555555555554</v>
      </c>
      <c r="T23" s="39">
        <f t="shared" si="13"/>
        <v>556.95638888888891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ref="AD23:AD57" si="25">$D$22/36</f>
        <v>0</v>
      </c>
      <c r="AE23" s="39">
        <f>$D$23/36</f>
        <v>0</v>
      </c>
      <c r="AF23" s="39"/>
      <c r="AG23" s="39"/>
      <c r="AH23" s="39"/>
      <c r="AI23" s="39"/>
      <c r="AJ23" s="39"/>
      <c r="AK23" s="518"/>
      <c r="AL23" s="518"/>
      <c r="AM23" s="518"/>
      <c r="AN23" s="518"/>
      <c r="AO23" s="518"/>
      <c r="AP23" s="518"/>
      <c r="AQ23" s="518"/>
      <c r="AR23" s="518"/>
      <c r="AS23" s="518"/>
      <c r="AT23" s="518"/>
      <c r="AU23" s="518"/>
      <c r="AV23" s="518"/>
      <c r="AW23" s="518"/>
      <c r="AX23" s="518"/>
      <c r="AY23" s="518"/>
      <c r="AZ23" s="518"/>
      <c r="BA23" s="518"/>
      <c r="BB23" s="518"/>
      <c r="BC23" s="518"/>
      <c r="BD23" s="518"/>
      <c r="BE23" s="518"/>
      <c r="BF23" s="518"/>
      <c r="BG23" s="518"/>
      <c r="BH23" s="518"/>
      <c r="BI23" s="518"/>
      <c r="BJ23" s="518"/>
      <c r="BK23" s="518"/>
      <c r="BL23" s="518"/>
      <c r="BM23" s="518"/>
      <c r="BN23" s="39">
        <f t="shared" si="18"/>
        <v>5151.5072222222216</v>
      </c>
      <c r="BO23" s="585"/>
    </row>
    <row r="24" spans="1:69" s="335" customFormat="1" ht="12.75" customHeight="1">
      <c r="A24" s="327" t="s">
        <v>55</v>
      </c>
      <c r="B24" s="308">
        <f t="shared" si="19"/>
        <v>2017</v>
      </c>
      <c r="C24" s="327" t="s">
        <v>47</v>
      </c>
      <c r="D24" s="39">
        <v>66316.56</v>
      </c>
      <c r="E24" s="518"/>
      <c r="F24" s="518">
        <f t="shared" si="5"/>
        <v>251770.81999999998</v>
      </c>
      <c r="G24" s="518"/>
      <c r="H24" s="518">
        <v>4325.3599999999997</v>
      </c>
      <c r="I24" s="39">
        <f>SUM(H$5:H24)</f>
        <v>97264.14</v>
      </c>
      <c r="J24" s="518"/>
      <c r="K24" s="92">
        <f t="shared" si="2"/>
        <v>154506.68</v>
      </c>
      <c r="L24" s="585"/>
      <c r="M24" s="39">
        <f t="shared" si="4"/>
        <v>0</v>
      </c>
      <c r="N24" s="39">
        <f t="shared" si="6"/>
        <v>0</v>
      </c>
      <c r="O24" s="39">
        <f t="shared" si="7"/>
        <v>45.424444444444447</v>
      </c>
      <c r="P24" s="39">
        <f t="shared" si="8"/>
        <v>0</v>
      </c>
      <c r="Q24" s="39">
        <f t="shared" si="9"/>
        <v>2167.9825000000001</v>
      </c>
      <c r="R24" s="39">
        <f t="shared" si="11"/>
        <v>2348.9833333333331</v>
      </c>
      <c r="S24" s="39">
        <f t="shared" si="12"/>
        <v>32.160555555555554</v>
      </c>
      <c r="T24" s="39">
        <f t="shared" si="13"/>
        <v>556.95638888888891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ref="AE24:AE58" si="26">$D$23/36</f>
        <v>0</v>
      </c>
      <c r="AF24" s="39">
        <f>$D$24/36</f>
        <v>1842.1266666666666</v>
      </c>
      <c r="AG24" s="39"/>
      <c r="AH24" s="39"/>
      <c r="AI24" s="39"/>
      <c r="AJ24" s="39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8"/>
      <c r="AV24" s="518"/>
      <c r="AW24" s="518"/>
      <c r="AX24" s="518"/>
      <c r="AY24" s="518"/>
      <c r="AZ24" s="518"/>
      <c r="BA24" s="518"/>
      <c r="BB24" s="518"/>
      <c r="BC24" s="518"/>
      <c r="BD24" s="518"/>
      <c r="BE24" s="518"/>
      <c r="BF24" s="518"/>
      <c r="BG24" s="518"/>
      <c r="BH24" s="518"/>
      <c r="BI24" s="518"/>
      <c r="BJ24" s="518"/>
      <c r="BK24" s="518"/>
      <c r="BL24" s="518"/>
      <c r="BM24" s="518"/>
      <c r="BN24" s="39">
        <f t="shared" si="18"/>
        <v>6993.6338888888877</v>
      </c>
      <c r="BO24" s="585"/>
    </row>
    <row r="25" spans="1:69" s="335" customFormat="1" ht="12.75" customHeight="1">
      <c r="A25" s="327" t="s">
        <v>56</v>
      </c>
      <c r="B25" s="308">
        <f t="shared" si="19"/>
        <v>2017</v>
      </c>
      <c r="C25" s="327" t="s">
        <v>47</v>
      </c>
      <c r="D25" s="39">
        <v>28087.38</v>
      </c>
      <c r="E25" s="518"/>
      <c r="F25" s="518">
        <f t="shared" si="5"/>
        <v>279858.19999999995</v>
      </c>
      <c r="G25" s="518"/>
      <c r="H25" s="518">
        <v>5674.51</v>
      </c>
      <c r="I25" s="39">
        <f>SUM(H$5:H25)</f>
        <v>102938.65</v>
      </c>
      <c r="J25" s="518"/>
      <c r="K25" s="92">
        <f t="shared" si="2"/>
        <v>176919.54999999996</v>
      </c>
      <c r="L25" s="585"/>
      <c r="M25" s="39">
        <f t="shared" si="4"/>
        <v>0</v>
      </c>
      <c r="N25" s="39">
        <f t="shared" si="6"/>
        <v>0</v>
      </c>
      <c r="O25" s="39">
        <f t="shared" si="7"/>
        <v>45.424444444444447</v>
      </c>
      <c r="P25" s="39">
        <f t="shared" si="8"/>
        <v>0</v>
      </c>
      <c r="Q25" s="39">
        <f t="shared" si="9"/>
        <v>2167.9825000000001</v>
      </c>
      <c r="R25" s="39">
        <f t="shared" si="11"/>
        <v>2348.9833333333331</v>
      </c>
      <c r="S25" s="39">
        <f t="shared" si="12"/>
        <v>32.160555555555554</v>
      </c>
      <c r="T25" s="39">
        <f t="shared" si="13"/>
        <v>556.95638888888891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ref="AF25:AF59" si="27">$D$24/36</f>
        <v>1842.1266666666666</v>
      </c>
      <c r="AG25" s="39">
        <f>$D$25/36</f>
        <v>780.20500000000004</v>
      </c>
      <c r="AH25" s="39"/>
      <c r="AI25" s="39"/>
      <c r="AJ25" s="39"/>
      <c r="AK25" s="518"/>
      <c r="AL25" s="518"/>
      <c r="AM25" s="518"/>
      <c r="AN25" s="518"/>
      <c r="AO25" s="518"/>
      <c r="AP25" s="518"/>
      <c r="AQ25" s="518"/>
      <c r="AR25" s="518"/>
      <c r="AS25" s="518"/>
      <c r="AT25" s="518"/>
      <c r="AU25" s="518"/>
      <c r="AV25" s="518"/>
      <c r="AW25" s="518"/>
      <c r="AX25" s="518"/>
      <c r="AY25" s="518"/>
      <c r="AZ25" s="518"/>
      <c r="BA25" s="518"/>
      <c r="BB25" s="518"/>
      <c r="BC25" s="518"/>
      <c r="BD25" s="518"/>
      <c r="BE25" s="518"/>
      <c r="BF25" s="518"/>
      <c r="BG25" s="518"/>
      <c r="BH25" s="518"/>
      <c r="BI25" s="518"/>
      <c r="BJ25" s="518"/>
      <c r="BK25" s="518"/>
      <c r="BL25" s="518"/>
      <c r="BM25" s="518"/>
      <c r="BN25" s="39">
        <f t="shared" si="18"/>
        <v>7773.8388888888876</v>
      </c>
      <c r="BO25" s="585"/>
    </row>
    <row r="26" spans="1:69" s="335" customFormat="1" ht="12.75" customHeight="1">
      <c r="A26" s="327" t="s">
        <v>57</v>
      </c>
      <c r="B26" s="308">
        <f t="shared" si="19"/>
        <v>2017</v>
      </c>
      <c r="C26" s="327" t="s">
        <v>47</v>
      </c>
      <c r="D26" s="39">
        <v>362755.15</v>
      </c>
      <c r="E26" s="518"/>
      <c r="F26" s="518">
        <f t="shared" si="5"/>
        <v>642613.35</v>
      </c>
      <c r="G26" s="518"/>
      <c r="H26" s="518">
        <v>7886.93</v>
      </c>
      <c r="I26" s="39">
        <f>SUM(H$5:H26)</f>
        <v>110825.57999999999</v>
      </c>
      <c r="J26" s="518"/>
      <c r="K26" s="92">
        <f t="shared" ref="K26:K63" si="28">F26-I26</f>
        <v>531787.77</v>
      </c>
      <c r="L26" s="585"/>
      <c r="M26" s="39">
        <f t="shared" si="4"/>
        <v>0</v>
      </c>
      <c r="N26" s="39">
        <f t="shared" si="6"/>
        <v>0</v>
      </c>
      <c r="O26" s="39">
        <f t="shared" si="7"/>
        <v>45.424444444444447</v>
      </c>
      <c r="P26" s="39">
        <f t="shared" si="8"/>
        <v>0</v>
      </c>
      <c r="Q26" s="39">
        <f t="shared" si="9"/>
        <v>2167.9825000000001</v>
      </c>
      <c r="R26" s="39">
        <f t="shared" si="11"/>
        <v>2348.9833333333331</v>
      </c>
      <c r="S26" s="39">
        <f t="shared" si="12"/>
        <v>32.160555555555554</v>
      </c>
      <c r="T26" s="39">
        <f t="shared" si="13"/>
        <v>556.95638888888891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1842.1266666666666</v>
      </c>
      <c r="AG26" s="39">
        <f t="shared" ref="AG26:AG60" si="29">$D$25/36</f>
        <v>780.20500000000004</v>
      </c>
      <c r="AH26" s="39">
        <f>$D$26/36</f>
        <v>10076.531944444445</v>
      </c>
      <c r="AI26" s="39"/>
      <c r="AJ26" s="39"/>
      <c r="AK26" s="518"/>
      <c r="AL26" s="518"/>
      <c r="AM26" s="518"/>
      <c r="AN26" s="518"/>
      <c r="AO26" s="518"/>
      <c r="AP26" s="518"/>
      <c r="AQ26" s="518"/>
      <c r="AR26" s="518"/>
      <c r="AS26" s="518"/>
      <c r="AT26" s="518"/>
      <c r="AU26" s="518"/>
      <c r="AV26" s="518"/>
      <c r="AW26" s="518"/>
      <c r="AX26" s="518"/>
      <c r="AY26" s="518"/>
      <c r="AZ26" s="518"/>
      <c r="BA26" s="518"/>
      <c r="BB26" s="518"/>
      <c r="BC26" s="518"/>
      <c r="BD26" s="518"/>
      <c r="BE26" s="518"/>
      <c r="BF26" s="518"/>
      <c r="BG26" s="518"/>
      <c r="BH26" s="518"/>
      <c r="BI26" s="518"/>
      <c r="BJ26" s="518"/>
      <c r="BK26" s="518"/>
      <c r="BL26" s="518"/>
      <c r="BM26" s="518"/>
      <c r="BN26" s="39">
        <f t="shared" si="18"/>
        <v>17850.370833333334</v>
      </c>
      <c r="BO26" s="585"/>
    </row>
    <row r="27" spans="1:69" s="335" customFormat="1" ht="12.75" customHeight="1">
      <c r="A27" s="327" t="s">
        <v>58</v>
      </c>
      <c r="B27" s="308">
        <f t="shared" si="19"/>
        <v>2017</v>
      </c>
      <c r="C27" s="327" t="s">
        <v>47</v>
      </c>
      <c r="D27" s="39">
        <v>120576.03</v>
      </c>
      <c r="E27" s="518"/>
      <c r="F27" s="518">
        <f t="shared" si="5"/>
        <v>763189.38</v>
      </c>
      <c r="G27" s="518"/>
      <c r="H27" s="518">
        <v>16971.21</v>
      </c>
      <c r="I27" s="39">
        <f>SUM(H$5:H27)</f>
        <v>127796.78999999998</v>
      </c>
      <c r="J27" s="518"/>
      <c r="K27" s="92">
        <f t="shared" si="28"/>
        <v>635392.59000000008</v>
      </c>
      <c r="L27" s="585"/>
      <c r="M27" s="39">
        <f t="shared" si="4"/>
        <v>0</v>
      </c>
      <c r="N27" s="39">
        <f t="shared" si="6"/>
        <v>0</v>
      </c>
      <c r="O27" s="39">
        <f t="shared" si="7"/>
        <v>45.424444444444447</v>
      </c>
      <c r="P27" s="39">
        <f t="shared" si="8"/>
        <v>0</v>
      </c>
      <c r="Q27" s="39">
        <f t="shared" si="9"/>
        <v>2167.9825000000001</v>
      </c>
      <c r="R27" s="39">
        <f t="shared" si="11"/>
        <v>2348.9833333333331</v>
      </c>
      <c r="S27" s="39">
        <f t="shared" si="12"/>
        <v>32.160555555555554</v>
      </c>
      <c r="T27" s="39">
        <f t="shared" si="13"/>
        <v>556.95638888888891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1842.1266666666666</v>
      </c>
      <c r="AG27" s="39">
        <f t="shared" si="29"/>
        <v>780.20500000000004</v>
      </c>
      <c r="AH27" s="39">
        <f t="shared" ref="AH27:AH61" si="30">$D$26/36</f>
        <v>10076.531944444445</v>
      </c>
      <c r="AI27" s="39">
        <f>$D$27/36</f>
        <v>3349.3341666666665</v>
      </c>
      <c r="AJ27" s="39"/>
      <c r="AK27" s="518"/>
      <c r="AL27" s="518"/>
      <c r="AM27" s="518"/>
      <c r="AN27" s="518"/>
      <c r="AO27" s="518"/>
      <c r="AP27" s="518"/>
      <c r="AQ27" s="518"/>
      <c r="AR27" s="518"/>
      <c r="AS27" s="518"/>
      <c r="AT27" s="518"/>
      <c r="AU27" s="518"/>
      <c r="AV27" s="518"/>
      <c r="AW27" s="518"/>
      <c r="AX27" s="518"/>
      <c r="AY27" s="518"/>
      <c r="AZ27" s="518"/>
      <c r="BA27" s="518"/>
      <c r="BB27" s="518"/>
      <c r="BC27" s="518"/>
      <c r="BD27" s="518"/>
      <c r="BE27" s="518"/>
      <c r="BF27" s="518"/>
      <c r="BG27" s="518"/>
      <c r="BH27" s="518"/>
      <c r="BI27" s="518"/>
      <c r="BJ27" s="518"/>
      <c r="BK27" s="518"/>
      <c r="BL27" s="518"/>
      <c r="BM27" s="518"/>
      <c r="BN27" s="39">
        <f t="shared" si="18"/>
        <v>21199.705000000002</v>
      </c>
      <c r="BO27" s="585"/>
    </row>
    <row r="28" spans="1:69" s="335" customFormat="1" ht="12.75" customHeight="1">
      <c r="A28" s="327" t="s">
        <v>59</v>
      </c>
      <c r="B28" s="308">
        <f t="shared" si="19"/>
        <v>2017</v>
      </c>
      <c r="C28" s="327" t="s">
        <v>47</v>
      </c>
      <c r="D28" s="39">
        <v>116390.99</v>
      </c>
      <c r="E28" s="518"/>
      <c r="F28" s="518">
        <f t="shared" si="5"/>
        <v>879580.37</v>
      </c>
      <c r="G28" s="518"/>
      <c r="H28" s="518">
        <v>21349.85</v>
      </c>
      <c r="I28" s="39">
        <f>SUM(H$5:H28)</f>
        <v>149146.63999999998</v>
      </c>
      <c r="J28" s="518"/>
      <c r="K28" s="92">
        <f t="shared" si="28"/>
        <v>730433.73</v>
      </c>
      <c r="L28" s="585"/>
      <c r="M28" s="39">
        <f t="shared" si="4"/>
        <v>0</v>
      </c>
      <c r="N28" s="39">
        <f t="shared" si="6"/>
        <v>0</v>
      </c>
      <c r="O28" s="39">
        <f t="shared" si="7"/>
        <v>45.424444444444447</v>
      </c>
      <c r="P28" s="39">
        <f t="shared" si="8"/>
        <v>0</v>
      </c>
      <c r="Q28" s="39">
        <f t="shared" si="9"/>
        <v>2167.9825000000001</v>
      </c>
      <c r="R28" s="39">
        <f t="shared" si="11"/>
        <v>2348.9833333333331</v>
      </c>
      <c r="S28" s="39">
        <f t="shared" si="12"/>
        <v>32.160555555555554</v>
      </c>
      <c r="T28" s="39">
        <f t="shared" si="13"/>
        <v>556.95638888888891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1842.1266666666666</v>
      </c>
      <c r="AG28" s="39">
        <f t="shared" si="29"/>
        <v>780.20500000000004</v>
      </c>
      <c r="AH28" s="39">
        <f t="shared" si="30"/>
        <v>10076.531944444445</v>
      </c>
      <c r="AI28" s="39">
        <f t="shared" ref="AI28:AI62" si="31">$D$27/36</f>
        <v>3349.3341666666665</v>
      </c>
      <c r="AJ28" s="39">
        <f>$D$28/36</f>
        <v>3233.0830555555558</v>
      </c>
      <c r="AK28" s="518"/>
      <c r="AL28" s="518"/>
      <c r="AM28" s="518"/>
      <c r="AN28" s="518"/>
      <c r="AO28" s="518"/>
      <c r="AP28" s="518"/>
      <c r="AQ28" s="518"/>
      <c r="AR28" s="518"/>
      <c r="AS28" s="518"/>
      <c r="AT28" s="518"/>
      <c r="AU28" s="518"/>
      <c r="AV28" s="518"/>
      <c r="AW28" s="518"/>
      <c r="AX28" s="518"/>
      <c r="AY28" s="518"/>
      <c r="AZ28" s="518"/>
      <c r="BA28" s="518"/>
      <c r="BB28" s="518"/>
      <c r="BC28" s="518"/>
      <c r="BD28" s="518"/>
      <c r="BE28" s="518"/>
      <c r="BF28" s="518"/>
      <c r="BG28" s="518"/>
      <c r="BH28" s="518"/>
      <c r="BI28" s="518"/>
      <c r="BJ28" s="518"/>
      <c r="BK28" s="518"/>
      <c r="BL28" s="518"/>
      <c r="BM28" s="518"/>
      <c r="BN28" s="39">
        <f t="shared" si="18"/>
        <v>24432.788055555557</v>
      </c>
      <c r="BO28" s="585"/>
    </row>
    <row r="29" spans="1:69" s="335" customFormat="1" ht="12.75" customHeight="1">
      <c r="A29" s="327" t="s">
        <v>46</v>
      </c>
      <c r="B29" s="308">
        <f t="shared" si="19"/>
        <v>2017</v>
      </c>
      <c r="C29" s="327" t="s">
        <v>47</v>
      </c>
      <c r="D29" s="39">
        <v>257470.71</v>
      </c>
      <c r="E29" s="583"/>
      <c r="F29" s="518">
        <f t="shared" si="5"/>
        <v>1137051.08</v>
      </c>
      <c r="G29" s="518"/>
      <c r="H29" s="518">
        <v>34048.04</v>
      </c>
      <c r="I29" s="518">
        <f>SUM(H$5:H29)</f>
        <v>183194.68</v>
      </c>
      <c r="J29" s="518"/>
      <c r="K29" s="583">
        <f t="shared" si="28"/>
        <v>953856.40000000014</v>
      </c>
      <c r="L29" s="585"/>
      <c r="M29" s="39">
        <f t="shared" si="4"/>
        <v>0</v>
      </c>
      <c r="N29" s="39">
        <f t="shared" si="6"/>
        <v>0</v>
      </c>
      <c r="O29" s="39">
        <f t="shared" si="7"/>
        <v>45.424444444444447</v>
      </c>
      <c r="P29" s="39">
        <f t="shared" si="8"/>
        <v>0</v>
      </c>
      <c r="Q29" s="39">
        <f t="shared" si="9"/>
        <v>2167.9825000000001</v>
      </c>
      <c r="R29" s="39">
        <f t="shared" si="11"/>
        <v>2348.9833333333331</v>
      </c>
      <c r="S29" s="39">
        <f t="shared" si="12"/>
        <v>32.160555555555554</v>
      </c>
      <c r="T29" s="39">
        <f t="shared" si="13"/>
        <v>556.95638888888891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1842.1266666666666</v>
      </c>
      <c r="AG29" s="39">
        <f t="shared" si="29"/>
        <v>780.20500000000004</v>
      </c>
      <c r="AH29" s="39">
        <f t="shared" si="30"/>
        <v>10076.531944444445</v>
      </c>
      <c r="AI29" s="39">
        <f t="shared" si="31"/>
        <v>3349.3341666666665</v>
      </c>
      <c r="AJ29" s="39">
        <f t="shared" ref="AJ29:AJ63" si="32">$D$28/36</f>
        <v>3233.0830555555558</v>
      </c>
      <c r="AK29" s="39">
        <f>$D$29/36</f>
        <v>7151.9641666666666</v>
      </c>
      <c r="AL29" s="518"/>
      <c r="AM29" s="518"/>
      <c r="AN29" s="518"/>
      <c r="AO29" s="518"/>
      <c r="AP29" s="518"/>
      <c r="AQ29" s="518"/>
      <c r="AR29" s="518"/>
      <c r="AS29" s="518"/>
      <c r="AT29" s="518"/>
      <c r="AU29" s="518"/>
      <c r="AV29" s="518"/>
      <c r="AW29" s="518"/>
      <c r="AX29" s="518"/>
      <c r="AY29" s="518"/>
      <c r="AZ29" s="518"/>
      <c r="BA29" s="518"/>
      <c r="BB29" s="518"/>
      <c r="BC29" s="518"/>
      <c r="BD29" s="518"/>
      <c r="BE29" s="518"/>
      <c r="BF29" s="518"/>
      <c r="BG29" s="518"/>
      <c r="BH29" s="518"/>
      <c r="BI29" s="518"/>
      <c r="BJ29" s="518"/>
      <c r="BK29" s="518"/>
      <c r="BL29" s="518"/>
      <c r="BM29" s="518"/>
      <c r="BN29" s="39">
        <f t="shared" si="18"/>
        <v>31584.752222222225</v>
      </c>
      <c r="BO29" s="585"/>
      <c r="BP29" s="585"/>
      <c r="BQ29" s="585"/>
    </row>
    <row r="30" spans="1:69" s="335" customFormat="1" ht="12.75" customHeight="1">
      <c r="A30" s="327" t="s">
        <v>48</v>
      </c>
      <c r="B30" s="327">
        <f t="shared" si="19"/>
        <v>2017</v>
      </c>
      <c r="C30" s="327" t="s">
        <v>47</v>
      </c>
      <c r="D30" s="39">
        <v>98841.37</v>
      </c>
      <c r="E30" s="583"/>
      <c r="F30" s="518">
        <f t="shared" si="5"/>
        <v>1235892.4500000002</v>
      </c>
      <c r="G30" s="518"/>
      <c r="H30" s="518">
        <v>28374.15</v>
      </c>
      <c r="I30" s="39">
        <f>SUM(H$5:H30)</f>
        <v>211568.83</v>
      </c>
      <c r="J30" s="518"/>
      <c r="K30" s="92">
        <f t="shared" si="28"/>
        <v>1024323.6200000002</v>
      </c>
      <c r="M30" s="39">
        <f t="shared" si="4"/>
        <v>0</v>
      </c>
      <c r="N30" s="39">
        <f t="shared" si="6"/>
        <v>0</v>
      </c>
      <c r="O30" s="39">
        <f t="shared" si="7"/>
        <v>45.424444444444447</v>
      </c>
      <c r="P30" s="39">
        <f t="shared" si="8"/>
        <v>0</v>
      </c>
      <c r="Q30" s="39">
        <f t="shared" si="9"/>
        <v>2167.9825000000001</v>
      </c>
      <c r="R30" s="39">
        <f t="shared" si="11"/>
        <v>2348.9833333333331</v>
      </c>
      <c r="S30" s="39">
        <f t="shared" si="12"/>
        <v>32.160555555555554</v>
      </c>
      <c r="T30" s="39">
        <f t="shared" si="13"/>
        <v>556.95638888888891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1842.1266666666666</v>
      </c>
      <c r="AG30" s="39">
        <f t="shared" si="29"/>
        <v>780.20500000000004</v>
      </c>
      <c r="AH30" s="39">
        <f t="shared" si="30"/>
        <v>10076.531944444445</v>
      </c>
      <c r="AI30" s="39">
        <f t="shared" si="31"/>
        <v>3349.3341666666665</v>
      </c>
      <c r="AJ30" s="39">
        <f t="shared" si="32"/>
        <v>3233.0830555555558</v>
      </c>
      <c r="AK30" s="39">
        <f t="shared" ref="AK30:AK64" si="33">$D$29/36</f>
        <v>7151.9641666666666</v>
      </c>
      <c r="AL30" s="39">
        <f>$D$30/36</f>
        <v>2745.5936111111109</v>
      </c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518"/>
      <c r="BF30" s="518"/>
      <c r="BG30" s="518"/>
      <c r="BH30" s="518"/>
      <c r="BI30" s="518"/>
      <c r="BJ30" s="518"/>
      <c r="BK30" s="518"/>
      <c r="BL30" s="518"/>
      <c r="BM30" s="518"/>
      <c r="BN30" s="39">
        <f t="shared" si="18"/>
        <v>34330.345833333333</v>
      </c>
    </row>
    <row r="31" spans="1:69" s="335" customFormat="1" ht="12.75" customHeight="1">
      <c r="A31" s="327" t="s">
        <v>50</v>
      </c>
      <c r="B31" s="327">
        <f t="shared" si="19"/>
        <v>2017</v>
      </c>
      <c r="C31" s="327" t="s">
        <v>47</v>
      </c>
      <c r="D31" s="39">
        <v>145070.46</v>
      </c>
      <c r="E31" s="583"/>
      <c r="F31" s="518">
        <f t="shared" si="5"/>
        <v>1380962.9100000001</v>
      </c>
      <c r="G31" s="518"/>
      <c r="H31" s="518">
        <v>34985.33</v>
      </c>
      <c r="I31" s="39">
        <f>SUM(H$5:H31)</f>
        <v>246554.15999999997</v>
      </c>
      <c r="J31" s="518"/>
      <c r="K31" s="92">
        <f t="shared" si="28"/>
        <v>1134408.7500000002</v>
      </c>
      <c r="M31" s="39">
        <f t="shared" si="4"/>
        <v>0</v>
      </c>
      <c r="N31" s="39">
        <f t="shared" si="6"/>
        <v>0</v>
      </c>
      <c r="O31" s="39">
        <f t="shared" si="7"/>
        <v>45.424444444444447</v>
      </c>
      <c r="P31" s="39">
        <f t="shared" si="8"/>
        <v>0</v>
      </c>
      <c r="Q31" s="39">
        <f t="shared" si="9"/>
        <v>2167.9825000000001</v>
      </c>
      <c r="R31" s="39">
        <f t="shared" si="11"/>
        <v>2348.9833333333331</v>
      </c>
      <c r="S31" s="39">
        <f t="shared" si="12"/>
        <v>32.160555555555554</v>
      </c>
      <c r="T31" s="39">
        <f t="shared" si="13"/>
        <v>556.95638888888891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1842.1266666666666</v>
      </c>
      <c r="AG31" s="39">
        <f t="shared" si="29"/>
        <v>780.20500000000004</v>
      </c>
      <c r="AH31" s="39">
        <f t="shared" si="30"/>
        <v>10076.531944444445</v>
      </c>
      <c r="AI31" s="39">
        <f t="shared" si="31"/>
        <v>3349.3341666666665</v>
      </c>
      <c r="AJ31" s="39">
        <f t="shared" si="32"/>
        <v>3233.0830555555558</v>
      </c>
      <c r="AK31" s="39">
        <f t="shared" si="33"/>
        <v>7151.9641666666666</v>
      </c>
      <c r="AL31" s="39">
        <f t="shared" ref="AL31:AL65" si="34">$D$30/36</f>
        <v>2745.5936111111109</v>
      </c>
      <c r="AM31" s="39">
        <f>$D$31/36</f>
        <v>4029.7349999999997</v>
      </c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518"/>
      <c r="BF31" s="518"/>
      <c r="BG31" s="518"/>
      <c r="BH31" s="518"/>
      <c r="BI31" s="518"/>
      <c r="BJ31" s="518"/>
      <c r="BK31" s="518"/>
      <c r="BL31" s="518"/>
      <c r="BM31" s="518"/>
      <c r="BN31" s="39">
        <f t="shared" si="18"/>
        <v>38360.080833333333</v>
      </c>
    </row>
    <row r="32" spans="1:69" s="335" customFormat="1" ht="12.75" customHeight="1">
      <c r="A32" s="327" t="s">
        <v>51</v>
      </c>
      <c r="B32" s="327">
        <f t="shared" si="19"/>
        <v>2017</v>
      </c>
      <c r="C32" s="327" t="s">
        <v>47</v>
      </c>
      <c r="D32" s="39">
        <v>122517.81</v>
      </c>
      <c r="E32" s="583"/>
      <c r="F32" s="518">
        <f t="shared" si="5"/>
        <v>1503480.7200000002</v>
      </c>
      <c r="G32" s="518"/>
      <c r="H32" s="518">
        <v>35036.33</v>
      </c>
      <c r="I32" s="39">
        <f>SUM(H$5:H32)</f>
        <v>281590.49</v>
      </c>
      <c r="J32" s="518"/>
      <c r="K32" s="92">
        <f t="shared" si="28"/>
        <v>1221890.2300000002</v>
      </c>
      <c r="M32" s="39">
        <f t="shared" si="4"/>
        <v>0</v>
      </c>
      <c r="N32" s="39">
        <f t="shared" si="6"/>
        <v>0</v>
      </c>
      <c r="O32" s="39">
        <f t="shared" si="7"/>
        <v>45.424444444444447</v>
      </c>
      <c r="P32" s="39">
        <f t="shared" si="8"/>
        <v>0</v>
      </c>
      <c r="Q32" s="39">
        <f t="shared" si="9"/>
        <v>2167.9825000000001</v>
      </c>
      <c r="R32" s="39">
        <f t="shared" si="11"/>
        <v>2348.9833333333331</v>
      </c>
      <c r="S32" s="39">
        <f t="shared" si="12"/>
        <v>32.160555555555554</v>
      </c>
      <c r="T32" s="39">
        <f t="shared" si="13"/>
        <v>556.95638888888891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20"/>
        <v>0</v>
      </c>
      <c r="Z32" s="39">
        <f t="shared" si="21"/>
        <v>0</v>
      </c>
      <c r="AA32" s="39">
        <f t="shared" si="22"/>
        <v>0</v>
      </c>
      <c r="AB32" s="39">
        <f t="shared" si="23"/>
        <v>0</v>
      </c>
      <c r="AC32" s="39">
        <f t="shared" si="24"/>
        <v>0</v>
      </c>
      <c r="AD32" s="39">
        <f t="shared" si="25"/>
        <v>0</v>
      </c>
      <c r="AE32" s="39">
        <f t="shared" si="26"/>
        <v>0</v>
      </c>
      <c r="AF32" s="39">
        <f t="shared" si="27"/>
        <v>1842.1266666666666</v>
      </c>
      <c r="AG32" s="39">
        <f t="shared" si="29"/>
        <v>780.20500000000004</v>
      </c>
      <c r="AH32" s="39">
        <f t="shared" si="30"/>
        <v>10076.531944444445</v>
      </c>
      <c r="AI32" s="39">
        <f t="shared" si="31"/>
        <v>3349.3341666666665</v>
      </c>
      <c r="AJ32" s="39">
        <f t="shared" si="32"/>
        <v>3233.0830555555558</v>
      </c>
      <c r="AK32" s="39">
        <f t="shared" si="33"/>
        <v>7151.9641666666666</v>
      </c>
      <c r="AL32" s="39">
        <f t="shared" si="34"/>
        <v>2745.5936111111109</v>
      </c>
      <c r="AM32" s="39">
        <f t="shared" ref="AM32:AM66" si="35">$D$31/36</f>
        <v>4029.7349999999997</v>
      </c>
      <c r="AN32" s="39">
        <f>$D$32/36</f>
        <v>3403.2725</v>
      </c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518"/>
      <c r="BF32" s="518"/>
      <c r="BG32" s="518"/>
      <c r="BH32" s="518"/>
      <c r="BI32" s="518"/>
      <c r="BJ32" s="518"/>
      <c r="BK32" s="518"/>
      <c r="BL32" s="518"/>
      <c r="BM32" s="518"/>
      <c r="BN32" s="39">
        <f t="shared" si="18"/>
        <v>41763.353333333333</v>
      </c>
    </row>
    <row r="33" spans="1:67" s="335" customFormat="1" ht="12.75" customHeight="1">
      <c r="A33" s="332" t="s">
        <v>52</v>
      </c>
      <c r="B33" s="332">
        <f t="shared" si="19"/>
        <v>2017</v>
      </c>
      <c r="C33" s="332" t="s">
        <v>47</v>
      </c>
      <c r="D33" s="212">
        <v>143999.06</v>
      </c>
      <c r="E33" s="212"/>
      <c r="F33" s="212">
        <f t="shared" si="5"/>
        <v>1647479.7800000003</v>
      </c>
      <c r="G33" s="212"/>
      <c r="H33" s="212">
        <v>45882.76</v>
      </c>
      <c r="I33" s="212">
        <f>SUM(H$5:H33)</f>
        <v>327473.25</v>
      </c>
      <c r="J33" s="518"/>
      <c r="K33" s="212">
        <f t="shared" si="28"/>
        <v>1320006.5300000003</v>
      </c>
      <c r="L33" s="333"/>
      <c r="M33" s="212">
        <f t="shared" si="4"/>
        <v>0</v>
      </c>
      <c r="N33" s="212">
        <f t="shared" si="6"/>
        <v>0</v>
      </c>
      <c r="O33" s="212">
        <f t="shared" si="7"/>
        <v>45.424444444444447</v>
      </c>
      <c r="P33" s="212">
        <f t="shared" si="8"/>
        <v>0</v>
      </c>
      <c r="Q33" s="212">
        <f t="shared" si="9"/>
        <v>2167.9825000000001</v>
      </c>
      <c r="R33" s="212">
        <f t="shared" si="11"/>
        <v>2348.9833333333331</v>
      </c>
      <c r="S33" s="212">
        <f t="shared" si="12"/>
        <v>32.160555555555554</v>
      </c>
      <c r="T33" s="212">
        <f t="shared" si="13"/>
        <v>556.95638888888891</v>
      </c>
      <c r="U33" s="212">
        <f t="shared" si="14"/>
        <v>0</v>
      </c>
      <c r="V33" s="212">
        <f t="shared" si="15"/>
        <v>0</v>
      </c>
      <c r="W33" s="212">
        <f t="shared" si="16"/>
        <v>0</v>
      </c>
      <c r="X33" s="212">
        <f t="shared" si="17"/>
        <v>0</v>
      </c>
      <c r="Y33" s="212">
        <f t="shared" si="20"/>
        <v>0</v>
      </c>
      <c r="Z33" s="212">
        <f t="shared" si="21"/>
        <v>0</v>
      </c>
      <c r="AA33" s="212">
        <f t="shared" si="22"/>
        <v>0</v>
      </c>
      <c r="AB33" s="212">
        <f t="shared" si="23"/>
        <v>0</v>
      </c>
      <c r="AC33" s="212">
        <f t="shared" si="24"/>
        <v>0</v>
      </c>
      <c r="AD33" s="212">
        <f t="shared" si="25"/>
        <v>0</v>
      </c>
      <c r="AE33" s="212">
        <f t="shared" si="26"/>
        <v>0</v>
      </c>
      <c r="AF33" s="212">
        <f t="shared" si="27"/>
        <v>1842.1266666666666</v>
      </c>
      <c r="AG33" s="212">
        <f t="shared" si="29"/>
        <v>780.20500000000004</v>
      </c>
      <c r="AH33" s="212">
        <f t="shared" si="30"/>
        <v>10076.531944444445</v>
      </c>
      <c r="AI33" s="212">
        <f t="shared" si="31"/>
        <v>3349.3341666666665</v>
      </c>
      <c r="AJ33" s="212">
        <f t="shared" si="32"/>
        <v>3233.0830555555558</v>
      </c>
      <c r="AK33" s="212">
        <f t="shared" si="33"/>
        <v>7151.9641666666666</v>
      </c>
      <c r="AL33" s="212">
        <f t="shared" si="34"/>
        <v>2745.5936111111109</v>
      </c>
      <c r="AM33" s="212">
        <f t="shared" si="35"/>
        <v>4029.7349999999997</v>
      </c>
      <c r="AN33" s="212">
        <f t="shared" ref="AN33:AN67" si="36">$D$32/36</f>
        <v>3403.2725</v>
      </c>
      <c r="AO33" s="212">
        <f>$D$33/36</f>
        <v>3999.9738888888887</v>
      </c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518"/>
      <c r="BC33" s="518"/>
      <c r="BD33" s="518"/>
      <c r="BE33" s="518"/>
      <c r="BF33" s="518"/>
      <c r="BG33" s="518"/>
      <c r="BH33" s="518"/>
      <c r="BI33" s="518"/>
      <c r="BJ33" s="518"/>
      <c r="BK33" s="518"/>
      <c r="BL33" s="518"/>
      <c r="BM33" s="518"/>
      <c r="BN33" s="39">
        <f t="shared" si="18"/>
        <v>45763.327222222222</v>
      </c>
    </row>
    <row r="34" spans="1:67" s="335" customFormat="1" ht="12.75" customHeight="1">
      <c r="A34" s="327" t="s">
        <v>53</v>
      </c>
      <c r="B34" s="327">
        <f t="shared" si="19"/>
        <v>2018</v>
      </c>
      <c r="C34" s="327" t="s">
        <v>47</v>
      </c>
      <c r="D34" s="39">
        <v>86635.09</v>
      </c>
      <c r="E34" s="626"/>
      <c r="F34" s="518">
        <f t="shared" si="5"/>
        <v>1734114.8700000003</v>
      </c>
      <c r="G34" s="518"/>
      <c r="H34" s="518">
        <v>45497.1</v>
      </c>
      <c r="I34" s="39">
        <f>SUM(H$5:H34)</f>
        <v>372970.35</v>
      </c>
      <c r="J34" s="518"/>
      <c r="K34" s="92">
        <f t="shared" si="28"/>
        <v>1361144.5200000005</v>
      </c>
      <c r="M34" s="39">
        <f t="shared" si="4"/>
        <v>0</v>
      </c>
      <c r="N34" s="39">
        <f t="shared" si="6"/>
        <v>0</v>
      </c>
      <c r="O34" s="39">
        <f t="shared" si="7"/>
        <v>45.424444444444447</v>
      </c>
      <c r="P34" s="39">
        <f t="shared" si="8"/>
        <v>0</v>
      </c>
      <c r="Q34" s="39">
        <f t="shared" si="9"/>
        <v>2167.9825000000001</v>
      </c>
      <c r="R34" s="39">
        <f t="shared" si="11"/>
        <v>2348.9833333333331</v>
      </c>
      <c r="S34" s="39">
        <f t="shared" si="12"/>
        <v>32.160555555555554</v>
      </c>
      <c r="T34" s="39">
        <f t="shared" si="13"/>
        <v>556.95638888888891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20"/>
        <v>0</v>
      </c>
      <c r="Z34" s="39">
        <f t="shared" si="21"/>
        <v>0</v>
      </c>
      <c r="AA34" s="39">
        <f t="shared" si="22"/>
        <v>0</v>
      </c>
      <c r="AB34" s="39">
        <f t="shared" si="23"/>
        <v>0</v>
      </c>
      <c r="AC34" s="39">
        <f t="shared" si="24"/>
        <v>0</v>
      </c>
      <c r="AD34" s="39">
        <f t="shared" si="25"/>
        <v>0</v>
      </c>
      <c r="AE34" s="39">
        <f t="shared" si="26"/>
        <v>0</v>
      </c>
      <c r="AF34" s="39">
        <f t="shared" si="27"/>
        <v>1842.1266666666666</v>
      </c>
      <c r="AG34" s="39">
        <f t="shared" si="29"/>
        <v>780.20500000000004</v>
      </c>
      <c r="AH34" s="39">
        <f t="shared" si="30"/>
        <v>10076.531944444445</v>
      </c>
      <c r="AI34" s="39">
        <f t="shared" si="31"/>
        <v>3349.3341666666665</v>
      </c>
      <c r="AJ34" s="39">
        <f t="shared" si="32"/>
        <v>3233.0830555555558</v>
      </c>
      <c r="AK34" s="39">
        <f t="shared" si="33"/>
        <v>7151.9641666666666</v>
      </c>
      <c r="AL34" s="39">
        <f t="shared" si="34"/>
        <v>2745.5936111111109</v>
      </c>
      <c r="AM34" s="39">
        <f t="shared" si="35"/>
        <v>4029.7349999999997</v>
      </c>
      <c r="AN34" s="39">
        <f t="shared" si="36"/>
        <v>3403.2725</v>
      </c>
      <c r="AO34" s="39">
        <f t="shared" ref="AO34:AO68" si="37">$D$33/36</f>
        <v>3999.9738888888887</v>
      </c>
      <c r="AP34" s="39">
        <f>$D$34/36</f>
        <v>2406.5302777777779</v>
      </c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518"/>
      <c r="BF34" s="518"/>
      <c r="BG34" s="518"/>
      <c r="BH34" s="518"/>
      <c r="BI34" s="518"/>
      <c r="BJ34" s="518"/>
      <c r="BK34" s="518"/>
      <c r="BL34" s="518"/>
      <c r="BM34" s="518"/>
      <c r="BN34" s="39">
        <f t="shared" si="18"/>
        <v>48169.857499999998</v>
      </c>
    </row>
    <row r="35" spans="1:67" s="335" customFormat="1" ht="12.75" customHeight="1">
      <c r="A35" s="327" t="s">
        <v>54</v>
      </c>
      <c r="B35" s="327">
        <f t="shared" si="19"/>
        <v>2018</v>
      </c>
      <c r="C35" s="327" t="s">
        <v>47</v>
      </c>
      <c r="D35" s="39">
        <v>144466.53</v>
      </c>
      <c r="E35" s="626"/>
      <c r="F35" s="518">
        <f t="shared" si="5"/>
        <v>1878581.4000000004</v>
      </c>
      <c r="G35" s="518"/>
      <c r="H35" s="518">
        <v>48538.14</v>
      </c>
      <c r="I35" s="39">
        <f>SUM(H$5:H35)</f>
        <v>421508.49</v>
      </c>
      <c r="J35" s="518"/>
      <c r="K35" s="92">
        <f t="shared" si="28"/>
        <v>1457072.9100000004</v>
      </c>
      <c r="M35" s="39">
        <f t="shared" si="4"/>
        <v>0</v>
      </c>
      <c r="N35" s="39">
        <f t="shared" si="6"/>
        <v>0</v>
      </c>
      <c r="O35" s="39">
        <f t="shared" si="7"/>
        <v>45.424444444444447</v>
      </c>
      <c r="P35" s="39">
        <f t="shared" si="8"/>
        <v>0</v>
      </c>
      <c r="Q35" s="39">
        <f t="shared" si="9"/>
        <v>2167.9825000000001</v>
      </c>
      <c r="R35" s="39">
        <f t="shared" si="11"/>
        <v>2348.9833333333331</v>
      </c>
      <c r="S35" s="39">
        <f t="shared" si="12"/>
        <v>32.160555555555554</v>
      </c>
      <c r="T35" s="39">
        <f t="shared" si="13"/>
        <v>556.95638888888891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20"/>
        <v>0</v>
      </c>
      <c r="Z35" s="39">
        <f t="shared" si="21"/>
        <v>0</v>
      </c>
      <c r="AA35" s="39">
        <f t="shared" si="22"/>
        <v>0</v>
      </c>
      <c r="AB35" s="39">
        <f t="shared" si="23"/>
        <v>0</v>
      </c>
      <c r="AC35" s="39">
        <f t="shared" si="24"/>
        <v>0</v>
      </c>
      <c r="AD35" s="39">
        <f t="shared" si="25"/>
        <v>0</v>
      </c>
      <c r="AE35" s="39">
        <f t="shared" si="26"/>
        <v>0</v>
      </c>
      <c r="AF35" s="39">
        <f t="shared" si="27"/>
        <v>1842.1266666666666</v>
      </c>
      <c r="AG35" s="39">
        <f t="shared" si="29"/>
        <v>780.20500000000004</v>
      </c>
      <c r="AH35" s="39">
        <f t="shared" si="30"/>
        <v>10076.531944444445</v>
      </c>
      <c r="AI35" s="39">
        <f t="shared" si="31"/>
        <v>3349.3341666666665</v>
      </c>
      <c r="AJ35" s="39">
        <f t="shared" si="32"/>
        <v>3233.0830555555558</v>
      </c>
      <c r="AK35" s="39">
        <f t="shared" si="33"/>
        <v>7151.9641666666666</v>
      </c>
      <c r="AL35" s="39">
        <f t="shared" si="34"/>
        <v>2745.5936111111109</v>
      </c>
      <c r="AM35" s="39">
        <f t="shared" si="35"/>
        <v>4029.7349999999997</v>
      </c>
      <c r="AN35" s="39">
        <f t="shared" si="36"/>
        <v>3403.2725</v>
      </c>
      <c r="AO35" s="39">
        <f t="shared" si="37"/>
        <v>3999.9738888888887</v>
      </c>
      <c r="AP35" s="39">
        <f t="shared" ref="AP35:AP69" si="38">$D$34/36</f>
        <v>2406.5302777777779</v>
      </c>
      <c r="AQ35" s="39">
        <f>$D$35/36</f>
        <v>4012.9591666666665</v>
      </c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518"/>
      <c r="BF35" s="518"/>
      <c r="BG35" s="518"/>
      <c r="BH35" s="518"/>
      <c r="BI35" s="518"/>
      <c r="BJ35" s="518"/>
      <c r="BK35" s="518"/>
      <c r="BL35" s="518"/>
      <c r="BM35" s="518"/>
      <c r="BN35" s="39">
        <f t="shared" si="18"/>
        <v>52182.816666666666</v>
      </c>
    </row>
    <row r="36" spans="1:67" s="335" customFormat="1" ht="12.75" customHeight="1">
      <c r="A36" s="327" t="s">
        <v>55</v>
      </c>
      <c r="B36" s="327">
        <f t="shared" si="19"/>
        <v>2018</v>
      </c>
      <c r="C36" s="327" t="s">
        <v>47</v>
      </c>
      <c r="D36" s="39">
        <v>81366.69</v>
      </c>
      <c r="E36" s="626"/>
      <c r="F36" s="518">
        <f t="shared" si="5"/>
        <v>1959948.0900000003</v>
      </c>
      <c r="G36" s="518"/>
      <c r="H36" s="518">
        <v>52030.26</v>
      </c>
      <c r="I36" s="39">
        <f>SUM(H$5:H36)</f>
        <v>473538.75</v>
      </c>
      <c r="J36" s="518"/>
      <c r="K36" s="92">
        <f t="shared" si="28"/>
        <v>1486409.3400000003</v>
      </c>
      <c r="M36" s="39">
        <f t="shared" si="4"/>
        <v>0</v>
      </c>
      <c r="N36" s="39">
        <f t="shared" si="6"/>
        <v>0</v>
      </c>
      <c r="O36" s="39">
        <f t="shared" si="7"/>
        <v>45.424444444444447</v>
      </c>
      <c r="P36" s="39">
        <f t="shared" si="8"/>
        <v>0</v>
      </c>
      <c r="Q36" s="39">
        <f t="shared" si="9"/>
        <v>2167.9825000000001</v>
      </c>
      <c r="R36" s="39">
        <f t="shared" si="11"/>
        <v>2348.9833333333331</v>
      </c>
      <c r="S36" s="39">
        <f t="shared" si="12"/>
        <v>32.160555555555554</v>
      </c>
      <c r="T36" s="39">
        <f t="shared" si="13"/>
        <v>556.95638888888891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20"/>
        <v>0</v>
      </c>
      <c r="Z36" s="39">
        <f t="shared" si="21"/>
        <v>0</v>
      </c>
      <c r="AA36" s="39">
        <f t="shared" si="22"/>
        <v>0</v>
      </c>
      <c r="AB36" s="39">
        <f t="shared" si="23"/>
        <v>0</v>
      </c>
      <c r="AC36" s="39">
        <f t="shared" si="24"/>
        <v>0</v>
      </c>
      <c r="AD36" s="39">
        <f t="shared" si="25"/>
        <v>0</v>
      </c>
      <c r="AE36" s="39">
        <f t="shared" si="26"/>
        <v>0</v>
      </c>
      <c r="AF36" s="39">
        <f t="shared" si="27"/>
        <v>1842.1266666666666</v>
      </c>
      <c r="AG36" s="39">
        <f t="shared" si="29"/>
        <v>780.20500000000004</v>
      </c>
      <c r="AH36" s="39">
        <f t="shared" si="30"/>
        <v>10076.531944444445</v>
      </c>
      <c r="AI36" s="39">
        <f t="shared" si="31"/>
        <v>3349.3341666666665</v>
      </c>
      <c r="AJ36" s="39">
        <f t="shared" si="32"/>
        <v>3233.0830555555558</v>
      </c>
      <c r="AK36" s="39">
        <f t="shared" si="33"/>
        <v>7151.9641666666666</v>
      </c>
      <c r="AL36" s="39">
        <f t="shared" si="34"/>
        <v>2745.5936111111109</v>
      </c>
      <c r="AM36" s="39">
        <f t="shared" si="35"/>
        <v>4029.7349999999997</v>
      </c>
      <c r="AN36" s="39">
        <f t="shared" si="36"/>
        <v>3403.2725</v>
      </c>
      <c r="AO36" s="39">
        <f t="shared" si="37"/>
        <v>3999.9738888888887</v>
      </c>
      <c r="AP36" s="39">
        <f t="shared" si="38"/>
        <v>2406.5302777777779</v>
      </c>
      <c r="AQ36" s="39">
        <f t="shared" ref="AQ36:AQ70" si="39">$D$35/36</f>
        <v>4012.9591666666665</v>
      </c>
      <c r="AR36" s="39">
        <f>$D$36/36</f>
        <v>2260.1858333333334</v>
      </c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518"/>
      <c r="BF36" s="518"/>
      <c r="BG36" s="518"/>
      <c r="BH36" s="518"/>
      <c r="BI36" s="518"/>
      <c r="BJ36" s="518"/>
      <c r="BK36" s="518"/>
      <c r="BL36" s="518"/>
      <c r="BM36" s="518"/>
      <c r="BN36" s="39">
        <f t="shared" si="18"/>
        <v>54443.002500000002</v>
      </c>
    </row>
    <row r="37" spans="1:67" s="335" customFormat="1" ht="12.75" customHeight="1">
      <c r="A37" s="327" t="s">
        <v>56</v>
      </c>
      <c r="B37" s="327">
        <f t="shared" si="19"/>
        <v>2018</v>
      </c>
      <c r="C37" s="327" t="s">
        <v>47</v>
      </c>
      <c r="D37" s="39">
        <v>90677.57</v>
      </c>
      <c r="E37" s="626"/>
      <c r="F37" s="518">
        <f t="shared" si="5"/>
        <v>2050625.6600000004</v>
      </c>
      <c r="G37" s="518"/>
      <c r="H37" s="518">
        <v>53417.62</v>
      </c>
      <c r="I37" s="39">
        <f>SUM(H$5:H37)</f>
        <v>526956.37</v>
      </c>
      <c r="J37" s="518"/>
      <c r="K37" s="92">
        <f t="shared" si="28"/>
        <v>1523669.2900000005</v>
      </c>
      <c r="M37" s="39">
        <f t="shared" si="4"/>
        <v>0</v>
      </c>
      <c r="N37" s="39">
        <f t="shared" si="6"/>
        <v>0</v>
      </c>
      <c r="O37" s="39">
        <f t="shared" si="7"/>
        <v>45.424444444444447</v>
      </c>
      <c r="P37" s="39">
        <f t="shared" si="8"/>
        <v>0</v>
      </c>
      <c r="Q37" s="39">
        <f t="shared" si="9"/>
        <v>2167.9825000000001</v>
      </c>
      <c r="R37" s="39">
        <f t="shared" si="11"/>
        <v>2348.9833333333331</v>
      </c>
      <c r="S37" s="39">
        <f t="shared" si="12"/>
        <v>32.160555555555554</v>
      </c>
      <c r="T37" s="39">
        <f t="shared" si="13"/>
        <v>556.95638888888891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20"/>
        <v>0</v>
      </c>
      <c r="Z37" s="39">
        <f t="shared" si="21"/>
        <v>0</v>
      </c>
      <c r="AA37" s="39">
        <f t="shared" si="22"/>
        <v>0</v>
      </c>
      <c r="AB37" s="39">
        <f t="shared" si="23"/>
        <v>0</v>
      </c>
      <c r="AC37" s="39">
        <f t="shared" si="24"/>
        <v>0</v>
      </c>
      <c r="AD37" s="39">
        <f t="shared" si="25"/>
        <v>0</v>
      </c>
      <c r="AE37" s="39">
        <f t="shared" si="26"/>
        <v>0</v>
      </c>
      <c r="AF37" s="39">
        <f t="shared" si="27"/>
        <v>1842.1266666666666</v>
      </c>
      <c r="AG37" s="39">
        <f t="shared" si="29"/>
        <v>780.20500000000004</v>
      </c>
      <c r="AH37" s="39">
        <f t="shared" si="30"/>
        <v>10076.531944444445</v>
      </c>
      <c r="AI37" s="39">
        <f t="shared" si="31"/>
        <v>3349.3341666666665</v>
      </c>
      <c r="AJ37" s="39">
        <f t="shared" si="32"/>
        <v>3233.0830555555558</v>
      </c>
      <c r="AK37" s="39">
        <f t="shared" si="33"/>
        <v>7151.9641666666666</v>
      </c>
      <c r="AL37" s="39">
        <f t="shared" si="34"/>
        <v>2745.5936111111109</v>
      </c>
      <c r="AM37" s="39">
        <f t="shared" si="35"/>
        <v>4029.7349999999997</v>
      </c>
      <c r="AN37" s="39">
        <f t="shared" si="36"/>
        <v>3403.2725</v>
      </c>
      <c r="AO37" s="39">
        <f t="shared" si="37"/>
        <v>3999.9738888888887</v>
      </c>
      <c r="AP37" s="39">
        <f t="shared" si="38"/>
        <v>2406.5302777777779</v>
      </c>
      <c r="AQ37" s="39">
        <f t="shared" si="39"/>
        <v>4012.9591666666665</v>
      </c>
      <c r="AR37" s="39">
        <f t="shared" ref="AR37:AR71" si="40">$D$36/36</f>
        <v>2260.1858333333334</v>
      </c>
      <c r="AS37" s="39">
        <f>$D$37/36</f>
        <v>2518.821388888889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518"/>
      <c r="BF37" s="518"/>
      <c r="BG37" s="518"/>
      <c r="BH37" s="518"/>
      <c r="BI37" s="518"/>
      <c r="BJ37" s="518"/>
      <c r="BK37" s="518"/>
      <c r="BL37" s="518"/>
      <c r="BM37" s="518"/>
      <c r="BN37" s="39">
        <f t="shared" si="18"/>
        <v>56961.823888888888</v>
      </c>
    </row>
    <row r="38" spans="1:67" s="335" customFormat="1" ht="12.75" customHeight="1">
      <c r="A38" s="327" t="s">
        <v>57</v>
      </c>
      <c r="B38" s="327">
        <f t="shared" si="19"/>
        <v>2018</v>
      </c>
      <c r="C38" s="327" t="s">
        <v>47</v>
      </c>
      <c r="D38" s="39">
        <v>104344</v>
      </c>
      <c r="E38" s="518"/>
      <c r="F38" s="518">
        <f t="shared" si="5"/>
        <v>2154969.66</v>
      </c>
      <c r="G38" s="518"/>
      <c r="H38" s="518">
        <v>58437</v>
      </c>
      <c r="I38" s="39">
        <f>SUM(H$5:H38)</f>
        <v>585393.37</v>
      </c>
      <c r="J38" s="518"/>
      <c r="K38" s="92">
        <f t="shared" si="28"/>
        <v>1569576.29</v>
      </c>
      <c r="M38" s="39">
        <f t="shared" si="4"/>
        <v>0</v>
      </c>
      <c r="N38" s="39">
        <f t="shared" si="6"/>
        <v>0</v>
      </c>
      <c r="O38" s="39">
        <f t="shared" si="7"/>
        <v>45.424444444444447</v>
      </c>
      <c r="P38" s="39">
        <f t="shared" si="8"/>
        <v>0</v>
      </c>
      <c r="Q38" s="39">
        <f t="shared" si="9"/>
        <v>2167.9825000000001</v>
      </c>
      <c r="R38" s="39">
        <f t="shared" si="11"/>
        <v>2348.9833333333331</v>
      </c>
      <c r="S38" s="39">
        <f t="shared" si="12"/>
        <v>32.160555555555554</v>
      </c>
      <c r="T38" s="39">
        <f t="shared" si="13"/>
        <v>556.95638888888891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20"/>
        <v>0</v>
      </c>
      <c r="Z38" s="39">
        <f t="shared" si="21"/>
        <v>0</v>
      </c>
      <c r="AA38" s="39">
        <f t="shared" si="22"/>
        <v>0</v>
      </c>
      <c r="AB38" s="39">
        <f t="shared" si="23"/>
        <v>0</v>
      </c>
      <c r="AC38" s="39">
        <f t="shared" si="24"/>
        <v>0</v>
      </c>
      <c r="AD38" s="39">
        <f t="shared" si="25"/>
        <v>0</v>
      </c>
      <c r="AE38" s="39">
        <f t="shared" si="26"/>
        <v>0</v>
      </c>
      <c r="AF38" s="39">
        <f t="shared" si="27"/>
        <v>1842.1266666666666</v>
      </c>
      <c r="AG38" s="39">
        <f t="shared" si="29"/>
        <v>780.20500000000004</v>
      </c>
      <c r="AH38" s="39">
        <f t="shared" si="30"/>
        <v>10076.531944444445</v>
      </c>
      <c r="AI38" s="39">
        <f t="shared" si="31"/>
        <v>3349.3341666666665</v>
      </c>
      <c r="AJ38" s="39">
        <f t="shared" si="32"/>
        <v>3233.0830555555558</v>
      </c>
      <c r="AK38" s="39">
        <f t="shared" si="33"/>
        <v>7151.9641666666666</v>
      </c>
      <c r="AL38" s="39">
        <f t="shared" si="34"/>
        <v>2745.5936111111109</v>
      </c>
      <c r="AM38" s="39">
        <f t="shared" si="35"/>
        <v>4029.7349999999997</v>
      </c>
      <c r="AN38" s="39">
        <f t="shared" si="36"/>
        <v>3403.2725</v>
      </c>
      <c r="AO38" s="39">
        <f t="shared" si="37"/>
        <v>3999.9738888888887</v>
      </c>
      <c r="AP38" s="39">
        <f t="shared" si="38"/>
        <v>2406.5302777777779</v>
      </c>
      <c r="AQ38" s="39">
        <f t="shared" si="39"/>
        <v>4012.9591666666665</v>
      </c>
      <c r="AR38" s="39">
        <f t="shared" si="40"/>
        <v>2260.1858333333334</v>
      </c>
      <c r="AS38" s="39">
        <f t="shared" ref="AS38:AS72" si="41">$D$37/36</f>
        <v>2518.821388888889</v>
      </c>
      <c r="AT38" s="39">
        <f>$D$38/36</f>
        <v>2898.4444444444443</v>
      </c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518"/>
      <c r="BF38" s="518"/>
      <c r="BG38" s="518"/>
      <c r="BH38" s="518"/>
      <c r="BI38" s="518"/>
      <c r="BJ38" s="518"/>
      <c r="BK38" s="518"/>
      <c r="BL38" s="518"/>
      <c r="BM38" s="518"/>
      <c r="BN38" s="39">
        <f t="shared" si="18"/>
        <v>59860.268333333333</v>
      </c>
    </row>
    <row r="39" spans="1:67" s="335" customFormat="1" ht="12.75" customHeight="1">
      <c r="A39" s="327" t="s">
        <v>58</v>
      </c>
      <c r="B39" s="327">
        <f t="shared" si="19"/>
        <v>2018</v>
      </c>
      <c r="C39" s="327" t="s">
        <v>47</v>
      </c>
      <c r="D39" s="39">
        <v>64019</v>
      </c>
      <c r="E39" s="518"/>
      <c r="F39" s="518">
        <f t="shared" si="5"/>
        <v>2218988.66</v>
      </c>
      <c r="G39" s="518"/>
      <c r="H39" s="518">
        <v>59666</v>
      </c>
      <c r="I39" s="39">
        <f>SUM(H$5:H39)</f>
        <v>645059.37</v>
      </c>
      <c r="J39" s="518"/>
      <c r="K39" s="92">
        <f t="shared" si="28"/>
        <v>1573929.29</v>
      </c>
      <c r="M39" s="39">
        <f t="shared" si="4"/>
        <v>0</v>
      </c>
      <c r="N39" s="39">
        <f t="shared" si="6"/>
        <v>0</v>
      </c>
      <c r="O39" s="39">
        <f t="shared" si="7"/>
        <v>45.424444444444447</v>
      </c>
      <c r="P39" s="39">
        <f t="shared" si="8"/>
        <v>0</v>
      </c>
      <c r="Q39" s="39">
        <f t="shared" si="9"/>
        <v>2167.9825000000001</v>
      </c>
      <c r="R39" s="39">
        <f t="shared" si="11"/>
        <v>2348.9833333333331</v>
      </c>
      <c r="S39" s="39">
        <f t="shared" si="12"/>
        <v>32.160555555555554</v>
      </c>
      <c r="T39" s="39">
        <f t="shared" si="13"/>
        <v>556.95638888888891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20"/>
        <v>0</v>
      </c>
      <c r="Z39" s="39">
        <f t="shared" si="21"/>
        <v>0</v>
      </c>
      <c r="AA39" s="39">
        <f t="shared" si="22"/>
        <v>0</v>
      </c>
      <c r="AB39" s="39">
        <f t="shared" si="23"/>
        <v>0</v>
      </c>
      <c r="AC39" s="39">
        <f t="shared" si="24"/>
        <v>0</v>
      </c>
      <c r="AD39" s="39">
        <f t="shared" si="25"/>
        <v>0</v>
      </c>
      <c r="AE39" s="39">
        <f t="shared" si="26"/>
        <v>0</v>
      </c>
      <c r="AF39" s="39">
        <f t="shared" si="27"/>
        <v>1842.1266666666666</v>
      </c>
      <c r="AG39" s="39">
        <f t="shared" si="29"/>
        <v>780.20500000000004</v>
      </c>
      <c r="AH39" s="39">
        <f t="shared" si="30"/>
        <v>10076.531944444445</v>
      </c>
      <c r="AI39" s="39">
        <f t="shared" si="31"/>
        <v>3349.3341666666665</v>
      </c>
      <c r="AJ39" s="39">
        <f t="shared" si="32"/>
        <v>3233.0830555555558</v>
      </c>
      <c r="AK39" s="39">
        <f t="shared" si="33"/>
        <v>7151.9641666666666</v>
      </c>
      <c r="AL39" s="39">
        <f t="shared" si="34"/>
        <v>2745.5936111111109</v>
      </c>
      <c r="AM39" s="39">
        <f t="shared" si="35"/>
        <v>4029.7349999999997</v>
      </c>
      <c r="AN39" s="39">
        <f t="shared" si="36"/>
        <v>3403.2725</v>
      </c>
      <c r="AO39" s="39">
        <f t="shared" si="37"/>
        <v>3999.9738888888887</v>
      </c>
      <c r="AP39" s="39">
        <f t="shared" si="38"/>
        <v>2406.5302777777779</v>
      </c>
      <c r="AQ39" s="39">
        <f t="shared" si="39"/>
        <v>4012.9591666666665</v>
      </c>
      <c r="AR39" s="39">
        <f t="shared" si="40"/>
        <v>2260.1858333333334</v>
      </c>
      <c r="AS39" s="39">
        <f t="shared" si="41"/>
        <v>2518.821388888889</v>
      </c>
      <c r="AT39" s="39">
        <f t="shared" ref="AT39:AT73" si="42">$D$38/36</f>
        <v>2898.4444444444443</v>
      </c>
      <c r="AU39" s="39">
        <f>$D$39/36</f>
        <v>1778.3055555555557</v>
      </c>
      <c r="AV39" s="39"/>
      <c r="AW39" s="39"/>
      <c r="AX39" s="39"/>
      <c r="AY39" s="39"/>
      <c r="AZ39" s="39"/>
      <c r="BA39" s="39"/>
      <c r="BB39" s="39"/>
      <c r="BC39" s="39"/>
      <c r="BD39" s="39"/>
      <c r="BE39" s="518"/>
      <c r="BF39" s="518"/>
      <c r="BG39" s="518"/>
      <c r="BH39" s="518"/>
      <c r="BI39" s="518"/>
      <c r="BJ39" s="518"/>
      <c r="BK39" s="518"/>
      <c r="BL39" s="518"/>
      <c r="BM39" s="518"/>
      <c r="BN39" s="39">
        <f t="shared" si="18"/>
        <v>61638.573888888888</v>
      </c>
    </row>
    <row r="40" spans="1:67" s="585" customFormat="1" ht="12.75" customHeight="1">
      <c r="A40" s="308" t="s">
        <v>59</v>
      </c>
      <c r="B40" s="308">
        <f t="shared" si="19"/>
        <v>2018</v>
      </c>
      <c r="C40" s="327" t="s">
        <v>47</v>
      </c>
      <c r="D40" s="39">
        <v>313239</v>
      </c>
      <c r="E40" s="518"/>
      <c r="F40" s="518">
        <f t="shared" si="5"/>
        <v>2532227.66</v>
      </c>
      <c r="G40" s="518"/>
      <c r="H40" s="518">
        <v>63469</v>
      </c>
      <c r="I40" s="518">
        <f>SUM(H$5:H40)</f>
        <v>708528.37</v>
      </c>
      <c r="J40" s="518"/>
      <c r="K40" s="583">
        <f t="shared" si="28"/>
        <v>1823699.29</v>
      </c>
      <c r="M40" s="39">
        <f t="shared" si="4"/>
        <v>0</v>
      </c>
      <c r="N40" s="39">
        <f t="shared" si="6"/>
        <v>0</v>
      </c>
      <c r="O40" s="39">
        <f t="shared" si="7"/>
        <v>45.424444444444447</v>
      </c>
      <c r="P40" s="39">
        <f t="shared" si="8"/>
        <v>0</v>
      </c>
      <c r="Q40" s="39">
        <f t="shared" si="9"/>
        <v>2167.9825000000001</v>
      </c>
      <c r="R40" s="39">
        <f t="shared" si="11"/>
        <v>2348.9833333333331</v>
      </c>
      <c r="S40" s="39">
        <f t="shared" si="12"/>
        <v>32.160555555555554</v>
      </c>
      <c r="T40" s="39">
        <f t="shared" si="13"/>
        <v>556.95638888888891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20"/>
        <v>0</v>
      </c>
      <c r="Z40" s="39">
        <f t="shared" si="21"/>
        <v>0</v>
      </c>
      <c r="AA40" s="39">
        <f t="shared" si="22"/>
        <v>0</v>
      </c>
      <c r="AB40" s="39">
        <f t="shared" si="23"/>
        <v>0</v>
      </c>
      <c r="AC40" s="39">
        <f t="shared" si="24"/>
        <v>0</v>
      </c>
      <c r="AD40" s="39">
        <f t="shared" si="25"/>
        <v>0</v>
      </c>
      <c r="AE40" s="39">
        <f t="shared" si="26"/>
        <v>0</v>
      </c>
      <c r="AF40" s="39">
        <f t="shared" si="27"/>
        <v>1842.1266666666666</v>
      </c>
      <c r="AG40" s="39">
        <f t="shared" si="29"/>
        <v>780.20500000000004</v>
      </c>
      <c r="AH40" s="39">
        <f t="shared" si="30"/>
        <v>10076.531944444445</v>
      </c>
      <c r="AI40" s="39">
        <f t="shared" si="31"/>
        <v>3349.3341666666665</v>
      </c>
      <c r="AJ40" s="39">
        <f t="shared" si="32"/>
        <v>3233.0830555555558</v>
      </c>
      <c r="AK40" s="39">
        <f t="shared" si="33"/>
        <v>7151.9641666666666</v>
      </c>
      <c r="AL40" s="39">
        <f t="shared" si="34"/>
        <v>2745.5936111111109</v>
      </c>
      <c r="AM40" s="39">
        <f t="shared" si="35"/>
        <v>4029.7349999999997</v>
      </c>
      <c r="AN40" s="39">
        <f t="shared" si="36"/>
        <v>3403.2725</v>
      </c>
      <c r="AO40" s="39">
        <f t="shared" si="37"/>
        <v>3999.9738888888887</v>
      </c>
      <c r="AP40" s="39">
        <f t="shared" si="38"/>
        <v>2406.5302777777779</v>
      </c>
      <c r="AQ40" s="39">
        <f t="shared" si="39"/>
        <v>4012.9591666666665</v>
      </c>
      <c r="AR40" s="39">
        <f t="shared" si="40"/>
        <v>2260.1858333333334</v>
      </c>
      <c r="AS40" s="39">
        <f t="shared" si="41"/>
        <v>2518.821388888889</v>
      </c>
      <c r="AT40" s="39">
        <f t="shared" si="42"/>
        <v>2898.4444444444443</v>
      </c>
      <c r="AU40" s="39">
        <f t="shared" ref="AU40:AU74" si="43">$D$39/36</f>
        <v>1778.3055555555557</v>
      </c>
      <c r="AV40" s="39">
        <f>$D$40/36</f>
        <v>8701.0833333333339</v>
      </c>
      <c r="AW40" s="39"/>
      <c r="AX40" s="39"/>
      <c r="AY40" s="39"/>
      <c r="AZ40" s="39"/>
      <c r="BA40" s="39"/>
      <c r="BB40" s="39"/>
      <c r="BC40" s="39"/>
      <c r="BD40" s="39"/>
      <c r="BE40" s="518"/>
      <c r="BF40" s="518"/>
      <c r="BG40" s="518"/>
      <c r="BH40" s="518"/>
      <c r="BI40" s="518"/>
      <c r="BJ40" s="518"/>
      <c r="BK40" s="518"/>
      <c r="BL40" s="518"/>
      <c r="BM40" s="518"/>
      <c r="BN40" s="39">
        <f t="shared" si="18"/>
        <v>70339.657222222217</v>
      </c>
    </row>
    <row r="41" spans="1:67" s="335" customFormat="1" ht="12.75" customHeight="1">
      <c r="A41" s="327" t="s">
        <v>46</v>
      </c>
      <c r="B41" s="327">
        <f t="shared" si="19"/>
        <v>2018</v>
      </c>
      <c r="C41" s="327" t="s">
        <v>47</v>
      </c>
      <c r="D41" s="39">
        <v>84529</v>
      </c>
      <c r="E41" s="518"/>
      <c r="F41" s="518">
        <f t="shared" si="5"/>
        <v>2616756.66</v>
      </c>
      <c r="G41" s="518"/>
      <c r="H41" s="518">
        <v>85127.97</v>
      </c>
      <c r="I41" s="39">
        <f>SUM(H$5:H41)</f>
        <v>793656.34</v>
      </c>
      <c r="J41" s="518"/>
      <c r="K41" s="92">
        <f t="shared" si="28"/>
        <v>1823100.3200000003</v>
      </c>
      <c r="M41" s="39"/>
      <c r="N41" s="39">
        <f t="shared" si="6"/>
        <v>0</v>
      </c>
      <c r="O41" s="39">
        <f t="shared" si="7"/>
        <v>45.424444444444447</v>
      </c>
      <c r="P41" s="39">
        <f t="shared" si="8"/>
        <v>0</v>
      </c>
      <c r="Q41" s="39">
        <f t="shared" si="9"/>
        <v>2167.9825000000001</v>
      </c>
      <c r="R41" s="39">
        <f t="shared" si="11"/>
        <v>2348.9833333333331</v>
      </c>
      <c r="S41" s="39">
        <f t="shared" si="12"/>
        <v>32.160555555555554</v>
      </c>
      <c r="T41" s="39">
        <f t="shared" si="13"/>
        <v>556.95638888888891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20"/>
        <v>0</v>
      </c>
      <c r="Z41" s="39">
        <f t="shared" si="21"/>
        <v>0</v>
      </c>
      <c r="AA41" s="39">
        <f t="shared" si="22"/>
        <v>0</v>
      </c>
      <c r="AB41" s="39">
        <f t="shared" si="23"/>
        <v>0</v>
      </c>
      <c r="AC41" s="39">
        <f t="shared" si="24"/>
        <v>0</v>
      </c>
      <c r="AD41" s="39">
        <f t="shared" si="25"/>
        <v>0</v>
      </c>
      <c r="AE41" s="39">
        <f t="shared" si="26"/>
        <v>0</v>
      </c>
      <c r="AF41" s="39">
        <f t="shared" si="27"/>
        <v>1842.1266666666666</v>
      </c>
      <c r="AG41" s="39">
        <f t="shared" si="29"/>
        <v>780.20500000000004</v>
      </c>
      <c r="AH41" s="39">
        <f t="shared" si="30"/>
        <v>10076.531944444445</v>
      </c>
      <c r="AI41" s="39">
        <f t="shared" si="31"/>
        <v>3349.3341666666665</v>
      </c>
      <c r="AJ41" s="39">
        <f t="shared" si="32"/>
        <v>3233.0830555555558</v>
      </c>
      <c r="AK41" s="39">
        <f t="shared" si="33"/>
        <v>7151.9641666666666</v>
      </c>
      <c r="AL41" s="39">
        <f t="shared" si="34"/>
        <v>2745.5936111111109</v>
      </c>
      <c r="AM41" s="39">
        <f t="shared" si="35"/>
        <v>4029.7349999999997</v>
      </c>
      <c r="AN41" s="39">
        <f t="shared" si="36"/>
        <v>3403.2725</v>
      </c>
      <c r="AO41" s="39">
        <f t="shared" si="37"/>
        <v>3999.9738888888887</v>
      </c>
      <c r="AP41" s="39">
        <f t="shared" si="38"/>
        <v>2406.5302777777779</v>
      </c>
      <c r="AQ41" s="39">
        <f t="shared" si="39"/>
        <v>4012.9591666666665</v>
      </c>
      <c r="AR41" s="39">
        <f t="shared" si="40"/>
        <v>2260.1858333333334</v>
      </c>
      <c r="AS41" s="39">
        <f t="shared" si="41"/>
        <v>2518.821388888889</v>
      </c>
      <c r="AT41" s="39">
        <f t="shared" si="42"/>
        <v>2898.4444444444443</v>
      </c>
      <c r="AU41" s="39">
        <f t="shared" si="43"/>
        <v>1778.3055555555557</v>
      </c>
      <c r="AV41" s="39">
        <f t="shared" ref="AV41:AV75" si="44">$D$40/36</f>
        <v>8701.0833333333339</v>
      </c>
      <c r="AW41" s="39">
        <f>$D$41/36</f>
        <v>2348.0277777777778</v>
      </c>
      <c r="AX41" s="39"/>
      <c r="AY41" s="39"/>
      <c r="AZ41" s="39"/>
      <c r="BA41" s="39"/>
      <c r="BB41" s="39"/>
      <c r="BC41" s="39"/>
      <c r="BD41" s="39"/>
      <c r="BE41" s="518"/>
      <c r="BF41" s="518"/>
      <c r="BG41" s="518"/>
      <c r="BH41" s="518"/>
      <c r="BI41" s="518"/>
      <c r="BJ41" s="518"/>
      <c r="BK41" s="518"/>
      <c r="BL41" s="518"/>
      <c r="BM41" s="518"/>
      <c r="BN41" s="39">
        <f t="shared" si="18"/>
        <v>72687.684999999998</v>
      </c>
    </row>
    <row r="42" spans="1:67" s="335" customFormat="1" ht="12.75" customHeight="1">
      <c r="A42" s="327" t="s">
        <v>48</v>
      </c>
      <c r="B42" s="308">
        <f t="shared" si="19"/>
        <v>2018</v>
      </c>
      <c r="C42" s="327" t="s">
        <v>47</v>
      </c>
      <c r="D42" s="39">
        <v>98776</v>
      </c>
      <c r="E42" s="518"/>
      <c r="F42" s="518">
        <f t="shared" si="5"/>
        <v>2715532.66</v>
      </c>
      <c r="G42" s="518"/>
      <c r="H42" s="518">
        <v>59915.33</v>
      </c>
      <c r="I42" s="39">
        <f>SUM(H$5:H42)</f>
        <v>853571.66999999993</v>
      </c>
      <c r="J42" s="518"/>
      <c r="K42" s="92">
        <f t="shared" si="28"/>
        <v>1861960.9900000002</v>
      </c>
      <c r="L42" s="585"/>
      <c r="M42" s="39"/>
      <c r="N42" s="518"/>
      <c r="O42" s="39">
        <f t="shared" si="7"/>
        <v>45.424444444444447</v>
      </c>
      <c r="P42" s="39">
        <f t="shared" si="8"/>
        <v>0</v>
      </c>
      <c r="Q42" s="39">
        <f t="shared" si="9"/>
        <v>2167.9825000000001</v>
      </c>
      <c r="R42" s="39">
        <f t="shared" si="11"/>
        <v>2348.9833333333331</v>
      </c>
      <c r="S42" s="39">
        <f t="shared" si="12"/>
        <v>32.160555555555554</v>
      </c>
      <c r="T42" s="39">
        <f t="shared" si="13"/>
        <v>556.95638888888891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20"/>
        <v>0</v>
      </c>
      <c r="Z42" s="39">
        <f t="shared" si="21"/>
        <v>0</v>
      </c>
      <c r="AA42" s="39">
        <f t="shared" si="22"/>
        <v>0</v>
      </c>
      <c r="AB42" s="39">
        <f t="shared" si="23"/>
        <v>0</v>
      </c>
      <c r="AC42" s="39">
        <f t="shared" si="24"/>
        <v>0</v>
      </c>
      <c r="AD42" s="39">
        <f t="shared" si="25"/>
        <v>0</v>
      </c>
      <c r="AE42" s="39">
        <f t="shared" si="26"/>
        <v>0</v>
      </c>
      <c r="AF42" s="39">
        <f t="shared" si="27"/>
        <v>1842.1266666666666</v>
      </c>
      <c r="AG42" s="39">
        <f t="shared" si="29"/>
        <v>780.20500000000004</v>
      </c>
      <c r="AH42" s="39">
        <f t="shared" si="30"/>
        <v>10076.531944444445</v>
      </c>
      <c r="AI42" s="39">
        <f t="shared" si="31"/>
        <v>3349.3341666666665</v>
      </c>
      <c r="AJ42" s="39">
        <f t="shared" si="32"/>
        <v>3233.0830555555558</v>
      </c>
      <c r="AK42" s="39">
        <f t="shared" si="33"/>
        <v>7151.9641666666666</v>
      </c>
      <c r="AL42" s="39">
        <f t="shared" si="34"/>
        <v>2745.5936111111109</v>
      </c>
      <c r="AM42" s="39">
        <f t="shared" si="35"/>
        <v>4029.7349999999997</v>
      </c>
      <c r="AN42" s="39">
        <f t="shared" si="36"/>
        <v>3403.2725</v>
      </c>
      <c r="AO42" s="39">
        <f t="shared" si="37"/>
        <v>3999.9738888888887</v>
      </c>
      <c r="AP42" s="39">
        <f t="shared" si="38"/>
        <v>2406.5302777777779</v>
      </c>
      <c r="AQ42" s="39">
        <f t="shared" si="39"/>
        <v>4012.9591666666665</v>
      </c>
      <c r="AR42" s="39">
        <f t="shared" si="40"/>
        <v>2260.1858333333334</v>
      </c>
      <c r="AS42" s="39">
        <f t="shared" si="41"/>
        <v>2518.821388888889</v>
      </c>
      <c r="AT42" s="39">
        <f t="shared" si="42"/>
        <v>2898.4444444444443</v>
      </c>
      <c r="AU42" s="39">
        <f t="shared" si="43"/>
        <v>1778.3055555555557</v>
      </c>
      <c r="AV42" s="39">
        <f t="shared" si="44"/>
        <v>8701.0833333333339</v>
      </c>
      <c r="AW42" s="39">
        <f t="shared" ref="AW42:AW76" si="45">$D$41/36</f>
        <v>2348.0277777777778</v>
      </c>
      <c r="AX42" s="39">
        <f>$D$42/36</f>
        <v>2743.7777777777778</v>
      </c>
      <c r="AY42" s="39"/>
      <c r="AZ42" s="39"/>
      <c r="BA42" s="39"/>
      <c r="BB42" s="39"/>
      <c r="BC42" s="39"/>
      <c r="BD42" s="39"/>
      <c r="BE42" s="518"/>
      <c r="BF42" s="518"/>
      <c r="BG42" s="518"/>
      <c r="BH42" s="518"/>
      <c r="BI42" s="518"/>
      <c r="BJ42" s="518"/>
      <c r="BK42" s="518"/>
      <c r="BL42" s="518"/>
      <c r="BM42" s="518"/>
      <c r="BN42" s="39">
        <f t="shared" si="18"/>
        <v>75431.462777777779</v>
      </c>
      <c r="BO42" s="585"/>
    </row>
    <row r="43" spans="1:67" s="335" customFormat="1" ht="12.75" customHeight="1" outlineLevel="1">
      <c r="A43" s="327" t="s">
        <v>50</v>
      </c>
      <c r="B43" s="327">
        <f t="shared" si="19"/>
        <v>2018</v>
      </c>
      <c r="C43" s="327" t="s">
        <v>47</v>
      </c>
      <c r="D43" s="39">
        <v>216967</v>
      </c>
      <c r="E43" s="518"/>
      <c r="F43" s="518">
        <f t="shared" si="5"/>
        <v>2932499.66</v>
      </c>
      <c r="G43" s="518"/>
      <c r="H43" s="518">
        <v>84850.57</v>
      </c>
      <c r="I43" s="39">
        <f>SUM(H$5:H43)</f>
        <v>938422.24</v>
      </c>
      <c r="J43" s="518"/>
      <c r="K43" s="92">
        <f t="shared" si="28"/>
        <v>1994077.4200000002</v>
      </c>
      <c r="M43" s="39"/>
      <c r="N43" s="39"/>
      <c r="O43" s="39"/>
      <c r="P43" s="39">
        <f t="shared" si="8"/>
        <v>0</v>
      </c>
      <c r="Q43" s="39">
        <f t="shared" si="9"/>
        <v>2167.9825000000001</v>
      </c>
      <c r="R43" s="39">
        <f t="shared" si="11"/>
        <v>2348.9833333333331</v>
      </c>
      <c r="S43" s="39">
        <f t="shared" si="12"/>
        <v>32.160555555555554</v>
      </c>
      <c r="T43" s="39">
        <f t="shared" si="13"/>
        <v>556.95638888888891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20"/>
        <v>0</v>
      </c>
      <c r="Z43" s="39">
        <f t="shared" si="21"/>
        <v>0</v>
      </c>
      <c r="AA43" s="39">
        <f t="shared" si="22"/>
        <v>0</v>
      </c>
      <c r="AB43" s="39">
        <f t="shared" si="23"/>
        <v>0</v>
      </c>
      <c r="AC43" s="39">
        <f t="shared" si="24"/>
        <v>0</v>
      </c>
      <c r="AD43" s="39">
        <f t="shared" si="25"/>
        <v>0</v>
      </c>
      <c r="AE43" s="39">
        <f t="shared" si="26"/>
        <v>0</v>
      </c>
      <c r="AF43" s="39">
        <f t="shared" si="27"/>
        <v>1842.1266666666666</v>
      </c>
      <c r="AG43" s="39">
        <f t="shared" si="29"/>
        <v>780.20500000000004</v>
      </c>
      <c r="AH43" s="39">
        <f t="shared" si="30"/>
        <v>10076.531944444445</v>
      </c>
      <c r="AI43" s="39">
        <f t="shared" si="31"/>
        <v>3349.3341666666665</v>
      </c>
      <c r="AJ43" s="39">
        <f t="shared" si="32"/>
        <v>3233.0830555555558</v>
      </c>
      <c r="AK43" s="39">
        <f t="shared" si="33"/>
        <v>7151.9641666666666</v>
      </c>
      <c r="AL43" s="39">
        <f t="shared" si="34"/>
        <v>2745.5936111111109</v>
      </c>
      <c r="AM43" s="39">
        <f t="shared" si="35"/>
        <v>4029.7349999999997</v>
      </c>
      <c r="AN43" s="39">
        <f t="shared" si="36"/>
        <v>3403.2725</v>
      </c>
      <c r="AO43" s="39">
        <f t="shared" si="37"/>
        <v>3999.9738888888887</v>
      </c>
      <c r="AP43" s="39">
        <f t="shared" si="38"/>
        <v>2406.5302777777779</v>
      </c>
      <c r="AQ43" s="39">
        <f t="shared" si="39"/>
        <v>4012.9591666666665</v>
      </c>
      <c r="AR43" s="39">
        <f t="shared" si="40"/>
        <v>2260.1858333333334</v>
      </c>
      <c r="AS43" s="39">
        <f t="shared" si="41"/>
        <v>2518.821388888889</v>
      </c>
      <c r="AT43" s="39">
        <f t="shared" si="42"/>
        <v>2898.4444444444443</v>
      </c>
      <c r="AU43" s="39">
        <f t="shared" si="43"/>
        <v>1778.3055555555557</v>
      </c>
      <c r="AV43" s="39">
        <f t="shared" si="44"/>
        <v>8701.0833333333339</v>
      </c>
      <c r="AW43" s="39">
        <f t="shared" si="45"/>
        <v>2348.0277777777778</v>
      </c>
      <c r="AX43" s="39">
        <f t="shared" ref="AX43:AX77" si="46">$D$42/36</f>
        <v>2743.7777777777778</v>
      </c>
      <c r="AY43" s="39">
        <f>$D$43/36</f>
        <v>6026.8611111111113</v>
      </c>
      <c r="AZ43" s="39"/>
      <c r="BA43" s="39"/>
      <c r="BB43" s="39"/>
      <c r="BC43" s="39"/>
      <c r="BD43" s="39"/>
      <c r="BE43" s="518"/>
      <c r="BF43" s="518"/>
      <c r="BG43" s="518"/>
      <c r="BH43" s="518"/>
      <c r="BI43" s="518"/>
      <c r="BJ43" s="518"/>
      <c r="BK43" s="518"/>
      <c r="BL43" s="518"/>
      <c r="BM43" s="518"/>
      <c r="BN43" s="39">
        <f t="shared" si="18"/>
        <v>81412.89944444444</v>
      </c>
    </row>
    <row r="44" spans="1:67" s="335" customFormat="1" ht="12.75" customHeight="1" outlineLevel="1">
      <c r="A44" s="327" t="s">
        <v>51</v>
      </c>
      <c r="B44" s="327">
        <f t="shared" si="19"/>
        <v>2018</v>
      </c>
      <c r="C44" s="327" t="s">
        <v>47</v>
      </c>
      <c r="D44" s="39">
        <v>91894</v>
      </c>
      <c r="E44" s="518"/>
      <c r="F44" s="518">
        <f t="shared" si="5"/>
        <v>3024393.66</v>
      </c>
      <c r="G44" s="518"/>
      <c r="H44" s="518">
        <v>75206.990000000005</v>
      </c>
      <c r="I44" s="39">
        <f>SUM(H$5:H44)</f>
        <v>1013629.23</v>
      </c>
      <c r="J44" s="518"/>
      <c r="K44" s="92">
        <f t="shared" si="28"/>
        <v>2010764.4300000002</v>
      </c>
      <c r="M44" s="39"/>
      <c r="N44" s="39"/>
      <c r="O44" s="39"/>
      <c r="P44" s="39"/>
      <c r="Q44" s="39">
        <f t="shared" si="9"/>
        <v>2167.9825000000001</v>
      </c>
      <c r="R44" s="39">
        <f t="shared" si="11"/>
        <v>2348.9833333333331</v>
      </c>
      <c r="S44" s="39">
        <f t="shared" si="12"/>
        <v>32.160555555555554</v>
      </c>
      <c r="T44" s="39">
        <f t="shared" si="13"/>
        <v>556.95638888888891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20"/>
        <v>0</v>
      </c>
      <c r="Z44" s="39">
        <f t="shared" si="21"/>
        <v>0</v>
      </c>
      <c r="AA44" s="39">
        <f t="shared" si="22"/>
        <v>0</v>
      </c>
      <c r="AB44" s="39">
        <f t="shared" si="23"/>
        <v>0</v>
      </c>
      <c r="AC44" s="39">
        <f t="shared" si="24"/>
        <v>0</v>
      </c>
      <c r="AD44" s="39">
        <f t="shared" si="25"/>
        <v>0</v>
      </c>
      <c r="AE44" s="39">
        <f t="shared" si="26"/>
        <v>0</v>
      </c>
      <c r="AF44" s="39">
        <f t="shared" si="27"/>
        <v>1842.1266666666666</v>
      </c>
      <c r="AG44" s="39">
        <f t="shared" si="29"/>
        <v>780.20500000000004</v>
      </c>
      <c r="AH44" s="39">
        <f t="shared" si="30"/>
        <v>10076.531944444445</v>
      </c>
      <c r="AI44" s="39">
        <f t="shared" si="31"/>
        <v>3349.3341666666665</v>
      </c>
      <c r="AJ44" s="39">
        <f t="shared" si="32"/>
        <v>3233.0830555555558</v>
      </c>
      <c r="AK44" s="39">
        <f t="shared" si="33"/>
        <v>7151.9641666666666</v>
      </c>
      <c r="AL44" s="39">
        <f t="shared" si="34"/>
        <v>2745.5936111111109</v>
      </c>
      <c r="AM44" s="39">
        <f t="shared" si="35"/>
        <v>4029.7349999999997</v>
      </c>
      <c r="AN44" s="39">
        <f t="shared" si="36"/>
        <v>3403.2725</v>
      </c>
      <c r="AO44" s="39">
        <f t="shared" si="37"/>
        <v>3999.9738888888887</v>
      </c>
      <c r="AP44" s="39">
        <f t="shared" si="38"/>
        <v>2406.5302777777779</v>
      </c>
      <c r="AQ44" s="39">
        <f t="shared" si="39"/>
        <v>4012.9591666666665</v>
      </c>
      <c r="AR44" s="39">
        <f t="shared" si="40"/>
        <v>2260.1858333333334</v>
      </c>
      <c r="AS44" s="39">
        <f t="shared" si="41"/>
        <v>2518.821388888889</v>
      </c>
      <c r="AT44" s="39">
        <f t="shared" si="42"/>
        <v>2898.4444444444443</v>
      </c>
      <c r="AU44" s="39">
        <f t="shared" si="43"/>
        <v>1778.3055555555557</v>
      </c>
      <c r="AV44" s="39">
        <f t="shared" si="44"/>
        <v>8701.0833333333339</v>
      </c>
      <c r="AW44" s="39">
        <f t="shared" si="45"/>
        <v>2348.0277777777778</v>
      </c>
      <c r="AX44" s="39">
        <f t="shared" si="46"/>
        <v>2743.7777777777778</v>
      </c>
      <c r="AY44" s="39">
        <f t="shared" ref="AY44:AY78" si="47">$D$43/36</f>
        <v>6026.8611111111113</v>
      </c>
      <c r="AZ44" s="39">
        <f>$D$44/36</f>
        <v>2552.6111111111113</v>
      </c>
      <c r="BA44" s="39"/>
      <c r="BB44" s="39"/>
      <c r="BC44" s="39"/>
      <c r="BD44" s="39"/>
      <c r="BE44" s="518"/>
      <c r="BF44" s="518"/>
      <c r="BG44" s="518"/>
      <c r="BH44" s="518"/>
      <c r="BI44" s="518"/>
      <c r="BJ44" s="518"/>
      <c r="BK44" s="518"/>
      <c r="BL44" s="518"/>
      <c r="BM44" s="518"/>
      <c r="BN44" s="39">
        <f t="shared" si="18"/>
        <v>83965.510555555549</v>
      </c>
    </row>
    <row r="45" spans="1:67" s="335" customFormat="1" ht="12.75" customHeight="1" outlineLevel="1">
      <c r="A45" s="332" t="s">
        <v>52</v>
      </c>
      <c r="B45" s="332">
        <f t="shared" si="19"/>
        <v>2018</v>
      </c>
      <c r="C45" s="332" t="s">
        <v>47</v>
      </c>
      <c r="D45" s="212">
        <v>211561</v>
      </c>
      <c r="E45" s="212"/>
      <c r="F45" s="212">
        <f t="shared" si="5"/>
        <v>3235954.66</v>
      </c>
      <c r="G45" s="212"/>
      <c r="H45" s="212">
        <v>83369.23</v>
      </c>
      <c r="I45" s="212">
        <f>SUM(H$5:H45)</f>
        <v>1096998.46</v>
      </c>
      <c r="J45" s="518"/>
      <c r="K45" s="212">
        <f t="shared" si="28"/>
        <v>2138956.2000000002</v>
      </c>
      <c r="L45" s="333"/>
      <c r="M45" s="212"/>
      <c r="N45" s="212"/>
      <c r="O45" s="212"/>
      <c r="P45" s="212"/>
      <c r="Q45" s="212"/>
      <c r="R45" s="212">
        <f t="shared" si="11"/>
        <v>2348.9833333333331</v>
      </c>
      <c r="S45" s="212">
        <f t="shared" si="12"/>
        <v>32.160555555555554</v>
      </c>
      <c r="T45" s="212">
        <f t="shared" si="13"/>
        <v>556.95638888888891</v>
      </c>
      <c r="U45" s="212">
        <f t="shared" si="14"/>
        <v>0</v>
      </c>
      <c r="V45" s="212">
        <f t="shared" si="15"/>
        <v>0</v>
      </c>
      <c r="W45" s="212">
        <f t="shared" si="16"/>
        <v>0</v>
      </c>
      <c r="X45" s="212">
        <f t="shared" si="17"/>
        <v>0</v>
      </c>
      <c r="Y45" s="212">
        <f t="shared" si="20"/>
        <v>0</v>
      </c>
      <c r="Z45" s="212">
        <f t="shared" si="21"/>
        <v>0</v>
      </c>
      <c r="AA45" s="212">
        <f t="shared" si="22"/>
        <v>0</v>
      </c>
      <c r="AB45" s="212">
        <f t="shared" si="23"/>
        <v>0</v>
      </c>
      <c r="AC45" s="212">
        <f t="shared" si="24"/>
        <v>0</v>
      </c>
      <c r="AD45" s="212">
        <f t="shared" si="25"/>
        <v>0</v>
      </c>
      <c r="AE45" s="212">
        <f t="shared" si="26"/>
        <v>0</v>
      </c>
      <c r="AF45" s="212">
        <f t="shared" si="27"/>
        <v>1842.1266666666666</v>
      </c>
      <c r="AG45" s="212">
        <f t="shared" si="29"/>
        <v>780.20500000000004</v>
      </c>
      <c r="AH45" s="212">
        <f t="shared" si="30"/>
        <v>10076.531944444445</v>
      </c>
      <c r="AI45" s="212">
        <f t="shared" si="31"/>
        <v>3349.3341666666665</v>
      </c>
      <c r="AJ45" s="212">
        <f t="shared" si="32"/>
        <v>3233.0830555555558</v>
      </c>
      <c r="AK45" s="212">
        <f t="shared" si="33"/>
        <v>7151.9641666666666</v>
      </c>
      <c r="AL45" s="212">
        <f t="shared" si="34"/>
        <v>2745.5936111111109</v>
      </c>
      <c r="AM45" s="212">
        <f t="shared" si="35"/>
        <v>4029.7349999999997</v>
      </c>
      <c r="AN45" s="212">
        <f t="shared" si="36"/>
        <v>3403.2725</v>
      </c>
      <c r="AO45" s="212">
        <f t="shared" si="37"/>
        <v>3999.9738888888887</v>
      </c>
      <c r="AP45" s="212">
        <f t="shared" si="38"/>
        <v>2406.5302777777779</v>
      </c>
      <c r="AQ45" s="212">
        <f t="shared" si="39"/>
        <v>4012.9591666666665</v>
      </c>
      <c r="AR45" s="212">
        <f t="shared" si="40"/>
        <v>2260.1858333333334</v>
      </c>
      <c r="AS45" s="212">
        <f t="shared" si="41"/>
        <v>2518.821388888889</v>
      </c>
      <c r="AT45" s="212">
        <f t="shared" si="42"/>
        <v>2898.4444444444443</v>
      </c>
      <c r="AU45" s="212">
        <f t="shared" si="43"/>
        <v>1778.3055555555557</v>
      </c>
      <c r="AV45" s="212">
        <f t="shared" si="44"/>
        <v>8701.0833333333339</v>
      </c>
      <c r="AW45" s="212">
        <f t="shared" si="45"/>
        <v>2348.0277777777778</v>
      </c>
      <c r="AX45" s="212">
        <f t="shared" si="46"/>
        <v>2743.7777777777778</v>
      </c>
      <c r="AY45" s="212">
        <f t="shared" si="47"/>
        <v>6026.8611111111113</v>
      </c>
      <c r="AZ45" s="212">
        <f t="shared" ref="AZ45:AZ79" si="48">$D$44/36</f>
        <v>2552.6111111111113</v>
      </c>
      <c r="BA45" s="212">
        <f>$D$45/36</f>
        <v>5876.6944444444443</v>
      </c>
      <c r="BB45" s="518"/>
      <c r="BC45" s="518"/>
      <c r="BD45" s="518"/>
      <c r="BE45" s="518"/>
      <c r="BF45" s="518"/>
      <c r="BG45" s="518"/>
      <c r="BH45" s="518"/>
      <c r="BI45" s="518"/>
      <c r="BJ45" s="518"/>
      <c r="BK45" s="518"/>
      <c r="BL45" s="518"/>
      <c r="BM45" s="518"/>
      <c r="BN45" s="39">
        <f t="shared" si="18"/>
        <v>87674.222499999989</v>
      </c>
    </row>
    <row r="46" spans="1:67" s="335" customFormat="1" ht="12.75" customHeight="1" outlineLevel="1">
      <c r="A46" s="327" t="s">
        <v>53</v>
      </c>
      <c r="B46" s="327">
        <f t="shared" si="19"/>
        <v>2019</v>
      </c>
      <c r="C46" s="327" t="s">
        <v>47</v>
      </c>
      <c r="D46" s="39">
        <v>23361</v>
      </c>
      <c r="E46" s="518"/>
      <c r="F46" s="518">
        <f t="shared" si="5"/>
        <v>3259315.66</v>
      </c>
      <c r="G46" s="518"/>
      <c r="H46" s="518">
        <v>91017.89</v>
      </c>
      <c r="I46" s="39">
        <f>SUM(H$5:H46)</f>
        <v>1188016.3499999999</v>
      </c>
      <c r="J46" s="518"/>
      <c r="K46" s="92">
        <f t="shared" si="28"/>
        <v>2071299.3100000003</v>
      </c>
      <c r="M46" s="39"/>
      <c r="N46" s="39"/>
      <c r="O46" s="39"/>
      <c r="P46" s="39"/>
      <c r="Q46" s="39"/>
      <c r="R46" s="39"/>
      <c r="S46" s="39">
        <f t="shared" si="12"/>
        <v>32.160555555555554</v>
      </c>
      <c r="T46" s="39">
        <f t="shared" si="13"/>
        <v>556.95638888888891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20"/>
        <v>0</v>
      </c>
      <c r="Z46" s="39">
        <f t="shared" si="21"/>
        <v>0</v>
      </c>
      <c r="AA46" s="39">
        <f t="shared" si="22"/>
        <v>0</v>
      </c>
      <c r="AB46" s="39">
        <f t="shared" si="23"/>
        <v>0</v>
      </c>
      <c r="AC46" s="39">
        <f t="shared" si="24"/>
        <v>0</v>
      </c>
      <c r="AD46" s="39">
        <f t="shared" si="25"/>
        <v>0</v>
      </c>
      <c r="AE46" s="39">
        <f t="shared" si="26"/>
        <v>0</v>
      </c>
      <c r="AF46" s="39">
        <f t="shared" si="27"/>
        <v>1842.1266666666666</v>
      </c>
      <c r="AG46" s="39">
        <f t="shared" si="29"/>
        <v>780.20500000000004</v>
      </c>
      <c r="AH46" s="39">
        <f t="shared" si="30"/>
        <v>10076.531944444445</v>
      </c>
      <c r="AI46" s="39">
        <f t="shared" si="31"/>
        <v>3349.3341666666665</v>
      </c>
      <c r="AJ46" s="39">
        <f t="shared" si="32"/>
        <v>3233.0830555555558</v>
      </c>
      <c r="AK46" s="39">
        <f t="shared" si="33"/>
        <v>7151.9641666666666</v>
      </c>
      <c r="AL46" s="39">
        <f t="shared" si="34"/>
        <v>2745.5936111111109</v>
      </c>
      <c r="AM46" s="39">
        <f t="shared" si="35"/>
        <v>4029.7349999999997</v>
      </c>
      <c r="AN46" s="39">
        <f t="shared" si="36"/>
        <v>3403.2725</v>
      </c>
      <c r="AO46" s="39">
        <f t="shared" si="37"/>
        <v>3999.9738888888887</v>
      </c>
      <c r="AP46" s="39">
        <f t="shared" si="38"/>
        <v>2406.5302777777779</v>
      </c>
      <c r="AQ46" s="39">
        <f t="shared" si="39"/>
        <v>4012.9591666666665</v>
      </c>
      <c r="AR46" s="39">
        <f t="shared" si="40"/>
        <v>2260.1858333333334</v>
      </c>
      <c r="AS46" s="39">
        <f t="shared" si="41"/>
        <v>2518.821388888889</v>
      </c>
      <c r="AT46" s="39">
        <f t="shared" si="42"/>
        <v>2898.4444444444443</v>
      </c>
      <c r="AU46" s="39">
        <f t="shared" si="43"/>
        <v>1778.3055555555557</v>
      </c>
      <c r="AV46" s="39">
        <f t="shared" si="44"/>
        <v>8701.0833333333339</v>
      </c>
      <c r="AW46" s="39">
        <f t="shared" si="45"/>
        <v>2348.0277777777778</v>
      </c>
      <c r="AX46" s="39">
        <f t="shared" si="46"/>
        <v>2743.7777777777778</v>
      </c>
      <c r="AY46" s="39">
        <f t="shared" si="47"/>
        <v>6026.8611111111113</v>
      </c>
      <c r="AZ46" s="39">
        <f t="shared" si="48"/>
        <v>2552.6111111111113</v>
      </c>
      <c r="BA46" s="39">
        <f t="shared" ref="BA46:BA80" si="49">$D$45/36</f>
        <v>5876.6944444444443</v>
      </c>
      <c r="BB46" s="631">
        <f>$D$46/36</f>
        <v>648.91666666666663</v>
      </c>
      <c r="BC46" s="39"/>
      <c r="BD46" s="39"/>
      <c r="BE46" s="518"/>
      <c r="BF46" s="518"/>
      <c r="BG46" s="518"/>
      <c r="BH46" s="518"/>
      <c r="BI46" s="518"/>
      <c r="BJ46" s="518"/>
      <c r="BK46" s="518"/>
      <c r="BL46" s="518"/>
      <c r="BM46" s="518"/>
      <c r="BN46" s="39">
        <f t="shared" si="18"/>
        <v>85974.155833333323</v>
      </c>
    </row>
    <row r="47" spans="1:67" s="335" customFormat="1" ht="12.75" customHeight="1" outlineLevel="1">
      <c r="A47" s="327" t="s">
        <v>54</v>
      </c>
      <c r="B47" s="327">
        <f t="shared" si="19"/>
        <v>2019</v>
      </c>
      <c r="C47" s="327" t="s">
        <v>47</v>
      </c>
      <c r="D47" s="39">
        <v>175936</v>
      </c>
      <c r="E47" s="518"/>
      <c r="F47" s="518">
        <f t="shared" si="5"/>
        <v>3435251.66</v>
      </c>
      <c r="G47" s="518"/>
      <c r="H47" s="518">
        <v>84648.26</v>
      </c>
      <c r="I47" s="39">
        <f>SUM(H$5:H47)</f>
        <v>1272664.6099999999</v>
      </c>
      <c r="J47" s="518"/>
      <c r="K47" s="92">
        <f t="shared" si="28"/>
        <v>2162587.0500000003</v>
      </c>
      <c r="M47" s="39"/>
      <c r="N47" s="39"/>
      <c r="O47" s="39"/>
      <c r="P47" s="39"/>
      <c r="Q47" s="39"/>
      <c r="R47" s="39"/>
      <c r="S47" s="39"/>
      <c r="T47" s="39">
        <f t="shared" si="13"/>
        <v>556.95638888888891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20"/>
        <v>0</v>
      </c>
      <c r="Z47" s="39">
        <f t="shared" si="21"/>
        <v>0</v>
      </c>
      <c r="AA47" s="39">
        <f t="shared" si="22"/>
        <v>0</v>
      </c>
      <c r="AB47" s="39">
        <f t="shared" si="23"/>
        <v>0</v>
      </c>
      <c r="AC47" s="39">
        <f t="shared" si="24"/>
        <v>0</v>
      </c>
      <c r="AD47" s="39">
        <f t="shared" si="25"/>
        <v>0</v>
      </c>
      <c r="AE47" s="39">
        <f t="shared" si="26"/>
        <v>0</v>
      </c>
      <c r="AF47" s="39">
        <f t="shared" si="27"/>
        <v>1842.1266666666666</v>
      </c>
      <c r="AG47" s="39">
        <f t="shared" si="29"/>
        <v>780.20500000000004</v>
      </c>
      <c r="AH47" s="39">
        <f t="shared" si="30"/>
        <v>10076.531944444445</v>
      </c>
      <c r="AI47" s="39">
        <f t="shared" si="31"/>
        <v>3349.3341666666665</v>
      </c>
      <c r="AJ47" s="39">
        <f t="shared" si="32"/>
        <v>3233.0830555555558</v>
      </c>
      <c r="AK47" s="39">
        <f t="shared" si="33"/>
        <v>7151.9641666666666</v>
      </c>
      <c r="AL47" s="39">
        <f t="shared" si="34"/>
        <v>2745.5936111111109</v>
      </c>
      <c r="AM47" s="39">
        <f t="shared" si="35"/>
        <v>4029.7349999999997</v>
      </c>
      <c r="AN47" s="39">
        <f t="shared" si="36"/>
        <v>3403.2725</v>
      </c>
      <c r="AO47" s="39">
        <f t="shared" si="37"/>
        <v>3999.9738888888887</v>
      </c>
      <c r="AP47" s="39">
        <f t="shared" si="38"/>
        <v>2406.5302777777779</v>
      </c>
      <c r="AQ47" s="39">
        <f t="shared" si="39"/>
        <v>4012.9591666666665</v>
      </c>
      <c r="AR47" s="39">
        <f t="shared" si="40"/>
        <v>2260.1858333333334</v>
      </c>
      <c r="AS47" s="39">
        <f t="shared" si="41"/>
        <v>2518.821388888889</v>
      </c>
      <c r="AT47" s="39">
        <f t="shared" si="42"/>
        <v>2898.4444444444443</v>
      </c>
      <c r="AU47" s="39">
        <f t="shared" si="43"/>
        <v>1778.3055555555557</v>
      </c>
      <c r="AV47" s="39">
        <f t="shared" si="44"/>
        <v>8701.0833333333339</v>
      </c>
      <c r="AW47" s="39">
        <f t="shared" si="45"/>
        <v>2348.0277777777778</v>
      </c>
      <c r="AX47" s="39">
        <f t="shared" si="46"/>
        <v>2743.7777777777778</v>
      </c>
      <c r="AY47" s="39">
        <f t="shared" si="47"/>
        <v>6026.8611111111113</v>
      </c>
      <c r="AZ47" s="39">
        <f t="shared" si="48"/>
        <v>2552.6111111111113</v>
      </c>
      <c r="BA47" s="39">
        <f t="shared" si="49"/>
        <v>5876.6944444444443</v>
      </c>
      <c r="BB47" s="631">
        <f t="shared" ref="BB47:BB81" si="50">$D$46/36</f>
        <v>648.91666666666663</v>
      </c>
      <c r="BC47" s="631">
        <f>$D$47/36</f>
        <v>4887.1111111111113</v>
      </c>
      <c r="BD47" s="39"/>
      <c r="BE47" s="518"/>
      <c r="BF47" s="518"/>
      <c r="BG47" s="518"/>
      <c r="BH47" s="518"/>
      <c r="BI47" s="518"/>
      <c r="BJ47" s="518"/>
      <c r="BK47" s="518"/>
      <c r="BL47" s="518"/>
      <c r="BM47" s="518"/>
      <c r="BN47" s="39">
        <f t="shared" si="18"/>
        <v>90829.106388888889</v>
      </c>
    </row>
    <row r="48" spans="1:67" s="335" customFormat="1" ht="12.75" customHeight="1" outlineLevel="1">
      <c r="A48" s="327" t="s">
        <v>55</v>
      </c>
      <c r="B48" s="327">
        <f t="shared" si="19"/>
        <v>2019</v>
      </c>
      <c r="C48" s="327" t="s">
        <v>47</v>
      </c>
      <c r="D48" s="39">
        <v>122255.94</v>
      </c>
      <c r="E48" s="518"/>
      <c r="F48" s="518">
        <f t="shared" si="5"/>
        <v>3557507.6</v>
      </c>
      <c r="G48" s="518"/>
      <c r="H48" s="518">
        <v>91793</v>
      </c>
      <c r="I48" s="39">
        <f>SUM(H$5:H48)</f>
        <v>1364457.6099999999</v>
      </c>
      <c r="J48" s="518"/>
      <c r="K48" s="92">
        <f t="shared" si="28"/>
        <v>2193049.9900000002</v>
      </c>
      <c r="M48" s="39"/>
      <c r="N48" s="39"/>
      <c r="O48" s="39"/>
      <c r="P48" s="39"/>
      <c r="Q48" s="39"/>
      <c r="R48" s="39"/>
      <c r="S48" s="39"/>
      <c r="T48" s="39"/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20"/>
        <v>0</v>
      </c>
      <c r="Z48" s="39">
        <f t="shared" si="21"/>
        <v>0</v>
      </c>
      <c r="AA48" s="39">
        <f t="shared" si="22"/>
        <v>0</v>
      </c>
      <c r="AB48" s="39">
        <f t="shared" si="23"/>
        <v>0</v>
      </c>
      <c r="AC48" s="39">
        <f t="shared" si="24"/>
        <v>0</v>
      </c>
      <c r="AD48" s="39">
        <f t="shared" si="25"/>
        <v>0</v>
      </c>
      <c r="AE48" s="39">
        <f t="shared" si="26"/>
        <v>0</v>
      </c>
      <c r="AF48" s="39">
        <f t="shared" si="27"/>
        <v>1842.1266666666666</v>
      </c>
      <c r="AG48" s="39">
        <f t="shared" si="29"/>
        <v>780.20500000000004</v>
      </c>
      <c r="AH48" s="39">
        <f t="shared" si="30"/>
        <v>10076.531944444445</v>
      </c>
      <c r="AI48" s="39">
        <f t="shared" si="31"/>
        <v>3349.3341666666665</v>
      </c>
      <c r="AJ48" s="39">
        <f t="shared" si="32"/>
        <v>3233.0830555555558</v>
      </c>
      <c r="AK48" s="39">
        <f t="shared" si="33"/>
        <v>7151.9641666666666</v>
      </c>
      <c r="AL48" s="39">
        <f t="shared" si="34"/>
        <v>2745.5936111111109</v>
      </c>
      <c r="AM48" s="39">
        <f t="shared" si="35"/>
        <v>4029.7349999999997</v>
      </c>
      <c r="AN48" s="39">
        <f t="shared" si="36"/>
        <v>3403.2725</v>
      </c>
      <c r="AO48" s="39">
        <f t="shared" si="37"/>
        <v>3999.9738888888887</v>
      </c>
      <c r="AP48" s="39">
        <f t="shared" si="38"/>
        <v>2406.5302777777779</v>
      </c>
      <c r="AQ48" s="39">
        <f t="shared" si="39"/>
        <v>4012.9591666666665</v>
      </c>
      <c r="AR48" s="39">
        <f t="shared" si="40"/>
        <v>2260.1858333333334</v>
      </c>
      <c r="AS48" s="39">
        <f t="shared" si="41"/>
        <v>2518.821388888889</v>
      </c>
      <c r="AT48" s="39">
        <f t="shared" si="42"/>
        <v>2898.4444444444443</v>
      </c>
      <c r="AU48" s="39">
        <f t="shared" si="43"/>
        <v>1778.3055555555557</v>
      </c>
      <c r="AV48" s="39">
        <f t="shared" si="44"/>
        <v>8701.0833333333339</v>
      </c>
      <c r="AW48" s="39">
        <f t="shared" si="45"/>
        <v>2348.0277777777778</v>
      </c>
      <c r="AX48" s="39">
        <f t="shared" si="46"/>
        <v>2743.7777777777778</v>
      </c>
      <c r="AY48" s="39">
        <f t="shared" si="47"/>
        <v>6026.8611111111113</v>
      </c>
      <c r="AZ48" s="39">
        <f t="shared" si="48"/>
        <v>2552.6111111111113</v>
      </c>
      <c r="BA48" s="39">
        <f t="shared" si="49"/>
        <v>5876.6944444444443</v>
      </c>
      <c r="BB48" s="631">
        <f t="shared" si="50"/>
        <v>648.91666666666663</v>
      </c>
      <c r="BC48" s="631">
        <f t="shared" ref="BC48:BC82" si="51">$D$47/36</f>
        <v>4887.1111111111113</v>
      </c>
      <c r="BD48" s="631">
        <f>$D$48/36</f>
        <v>3395.9983333333334</v>
      </c>
      <c r="BE48" s="518"/>
      <c r="BF48" s="518"/>
      <c r="BG48" s="518"/>
      <c r="BH48" s="518"/>
      <c r="BI48" s="518"/>
      <c r="BJ48" s="518"/>
      <c r="BK48" s="518"/>
      <c r="BL48" s="518"/>
      <c r="BM48" s="518"/>
      <c r="BN48" s="39">
        <f t="shared" si="18"/>
        <v>93668.148333333331</v>
      </c>
    </row>
    <row r="49" spans="1:66" s="335" customFormat="1" ht="12.75" customHeight="1" outlineLevel="1">
      <c r="A49" s="327" t="s">
        <v>56</v>
      </c>
      <c r="B49" s="327">
        <f t="shared" si="19"/>
        <v>2019</v>
      </c>
      <c r="C49" s="327" t="s">
        <v>47</v>
      </c>
      <c r="D49" s="39">
        <v>201090.16</v>
      </c>
      <c r="E49" s="518"/>
      <c r="F49" s="518">
        <f t="shared" si="5"/>
        <v>3758597.7600000002</v>
      </c>
      <c r="G49" s="518"/>
      <c r="H49" s="518">
        <v>94301.14</v>
      </c>
      <c r="I49" s="39">
        <f>SUM(H$5:H49)</f>
        <v>1458758.7499999998</v>
      </c>
      <c r="J49" s="518"/>
      <c r="K49" s="92">
        <f t="shared" si="28"/>
        <v>2299839.0100000007</v>
      </c>
      <c r="M49" s="39"/>
      <c r="N49" s="39"/>
      <c r="O49" s="39"/>
      <c r="P49" s="39"/>
      <c r="Q49" s="39"/>
      <c r="R49" s="39"/>
      <c r="S49" s="39"/>
      <c r="T49" s="39"/>
      <c r="U49" s="39"/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20"/>
        <v>0</v>
      </c>
      <c r="Z49" s="39">
        <f t="shared" si="21"/>
        <v>0</v>
      </c>
      <c r="AA49" s="39">
        <f t="shared" si="22"/>
        <v>0</v>
      </c>
      <c r="AB49" s="39">
        <f t="shared" si="23"/>
        <v>0</v>
      </c>
      <c r="AC49" s="39">
        <f t="shared" si="24"/>
        <v>0</v>
      </c>
      <c r="AD49" s="39">
        <f t="shared" si="25"/>
        <v>0</v>
      </c>
      <c r="AE49" s="39">
        <f t="shared" si="26"/>
        <v>0</v>
      </c>
      <c r="AF49" s="39">
        <f t="shared" si="27"/>
        <v>1842.1266666666666</v>
      </c>
      <c r="AG49" s="39">
        <f t="shared" si="29"/>
        <v>780.20500000000004</v>
      </c>
      <c r="AH49" s="39">
        <f t="shared" si="30"/>
        <v>10076.531944444445</v>
      </c>
      <c r="AI49" s="39">
        <f t="shared" si="31"/>
        <v>3349.3341666666665</v>
      </c>
      <c r="AJ49" s="39">
        <f t="shared" si="32"/>
        <v>3233.0830555555558</v>
      </c>
      <c r="AK49" s="39">
        <f t="shared" si="33"/>
        <v>7151.9641666666666</v>
      </c>
      <c r="AL49" s="39">
        <f t="shared" si="34"/>
        <v>2745.5936111111109</v>
      </c>
      <c r="AM49" s="39">
        <f t="shared" si="35"/>
        <v>4029.7349999999997</v>
      </c>
      <c r="AN49" s="39">
        <f t="shared" si="36"/>
        <v>3403.2725</v>
      </c>
      <c r="AO49" s="39">
        <f t="shared" si="37"/>
        <v>3999.9738888888887</v>
      </c>
      <c r="AP49" s="39">
        <f t="shared" si="38"/>
        <v>2406.5302777777779</v>
      </c>
      <c r="AQ49" s="39">
        <f t="shared" si="39"/>
        <v>4012.9591666666665</v>
      </c>
      <c r="AR49" s="39">
        <f t="shared" si="40"/>
        <v>2260.1858333333334</v>
      </c>
      <c r="AS49" s="39">
        <f t="shared" si="41"/>
        <v>2518.821388888889</v>
      </c>
      <c r="AT49" s="39">
        <f t="shared" si="42"/>
        <v>2898.4444444444443</v>
      </c>
      <c r="AU49" s="39">
        <f t="shared" si="43"/>
        <v>1778.3055555555557</v>
      </c>
      <c r="AV49" s="39">
        <f t="shared" si="44"/>
        <v>8701.0833333333339</v>
      </c>
      <c r="AW49" s="39">
        <f t="shared" si="45"/>
        <v>2348.0277777777778</v>
      </c>
      <c r="AX49" s="39">
        <f t="shared" si="46"/>
        <v>2743.7777777777778</v>
      </c>
      <c r="AY49" s="39">
        <f t="shared" si="47"/>
        <v>6026.8611111111113</v>
      </c>
      <c r="AZ49" s="39">
        <f t="shared" si="48"/>
        <v>2552.6111111111113</v>
      </c>
      <c r="BA49" s="39">
        <f t="shared" si="49"/>
        <v>5876.6944444444443</v>
      </c>
      <c r="BB49" s="631">
        <f t="shared" si="50"/>
        <v>648.91666666666663</v>
      </c>
      <c r="BC49" s="631">
        <f t="shared" si="51"/>
        <v>4887.1111111111113</v>
      </c>
      <c r="BD49" s="631">
        <f t="shared" ref="BD49:BD83" si="52">$D$48/36</f>
        <v>3395.9983333333334</v>
      </c>
      <c r="BE49" s="631">
        <f>$D$49/36</f>
        <v>5585.8377777777778</v>
      </c>
      <c r="BF49" s="631"/>
      <c r="BG49" s="631"/>
      <c r="BH49" s="631"/>
      <c r="BI49" s="631"/>
      <c r="BJ49" s="631"/>
      <c r="BK49" s="631"/>
      <c r="BL49" s="631"/>
      <c r="BM49" s="631"/>
      <c r="BN49" s="39">
        <f t="shared" si="18"/>
        <v>99253.986111111109</v>
      </c>
    </row>
    <row r="50" spans="1:66" s="335" customFormat="1" ht="12.75" customHeight="1" outlineLevel="1">
      <c r="A50" s="327" t="s">
        <v>57</v>
      </c>
      <c r="B50" s="327">
        <f t="shared" si="19"/>
        <v>2019</v>
      </c>
      <c r="C50" s="327" t="s">
        <v>47</v>
      </c>
      <c r="D50" s="39">
        <f>88596.8-26684</f>
        <v>61912.800000000003</v>
      </c>
      <c r="E50" s="518"/>
      <c r="F50" s="518">
        <f t="shared" si="5"/>
        <v>3820510.56</v>
      </c>
      <c r="G50" s="518"/>
      <c r="H50" s="518">
        <f>133401.98-26683.78</f>
        <v>106718.20000000001</v>
      </c>
      <c r="I50" s="39">
        <f>SUM(H$5:H50)</f>
        <v>1565476.9499999997</v>
      </c>
      <c r="J50" s="518"/>
      <c r="K50" s="92">
        <f t="shared" si="28"/>
        <v>2255033.6100000003</v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>
        <f t="shared" si="16"/>
        <v>0</v>
      </c>
      <c r="X50" s="39">
        <f t="shared" si="17"/>
        <v>0</v>
      </c>
      <c r="Y50" s="39">
        <f t="shared" si="20"/>
        <v>0</v>
      </c>
      <c r="Z50" s="39">
        <f t="shared" si="21"/>
        <v>0</v>
      </c>
      <c r="AA50" s="39">
        <f t="shared" si="22"/>
        <v>0</v>
      </c>
      <c r="AB50" s="39">
        <f t="shared" si="23"/>
        <v>0</v>
      </c>
      <c r="AC50" s="39">
        <f t="shared" si="24"/>
        <v>0</v>
      </c>
      <c r="AD50" s="39">
        <f t="shared" si="25"/>
        <v>0</v>
      </c>
      <c r="AE50" s="39">
        <f t="shared" si="26"/>
        <v>0</v>
      </c>
      <c r="AF50" s="39">
        <f t="shared" si="27"/>
        <v>1842.1266666666666</v>
      </c>
      <c r="AG50" s="39">
        <f t="shared" si="29"/>
        <v>780.20500000000004</v>
      </c>
      <c r="AH50" s="39">
        <f t="shared" si="30"/>
        <v>10076.531944444445</v>
      </c>
      <c r="AI50" s="39">
        <f t="shared" si="31"/>
        <v>3349.3341666666665</v>
      </c>
      <c r="AJ50" s="39">
        <f t="shared" si="32"/>
        <v>3233.0830555555558</v>
      </c>
      <c r="AK50" s="39">
        <f t="shared" si="33"/>
        <v>7151.9641666666666</v>
      </c>
      <c r="AL50" s="39">
        <f t="shared" si="34"/>
        <v>2745.5936111111109</v>
      </c>
      <c r="AM50" s="39">
        <f t="shared" si="35"/>
        <v>4029.7349999999997</v>
      </c>
      <c r="AN50" s="39">
        <f t="shared" si="36"/>
        <v>3403.2725</v>
      </c>
      <c r="AO50" s="39">
        <f t="shared" si="37"/>
        <v>3999.9738888888887</v>
      </c>
      <c r="AP50" s="39">
        <f t="shared" si="38"/>
        <v>2406.5302777777779</v>
      </c>
      <c r="AQ50" s="39">
        <f t="shared" si="39"/>
        <v>4012.9591666666665</v>
      </c>
      <c r="AR50" s="39">
        <f t="shared" si="40"/>
        <v>2260.1858333333334</v>
      </c>
      <c r="AS50" s="39">
        <f t="shared" si="41"/>
        <v>2518.821388888889</v>
      </c>
      <c r="AT50" s="39">
        <f t="shared" si="42"/>
        <v>2898.4444444444443</v>
      </c>
      <c r="AU50" s="39">
        <f t="shared" si="43"/>
        <v>1778.3055555555557</v>
      </c>
      <c r="AV50" s="39">
        <f t="shared" si="44"/>
        <v>8701.0833333333339</v>
      </c>
      <c r="AW50" s="39">
        <f t="shared" si="45"/>
        <v>2348.0277777777778</v>
      </c>
      <c r="AX50" s="39">
        <f t="shared" si="46"/>
        <v>2743.7777777777778</v>
      </c>
      <c r="AY50" s="39">
        <f t="shared" si="47"/>
        <v>6026.8611111111113</v>
      </c>
      <c r="AZ50" s="39">
        <f t="shared" si="48"/>
        <v>2552.6111111111113</v>
      </c>
      <c r="BA50" s="39">
        <f t="shared" si="49"/>
        <v>5876.6944444444443</v>
      </c>
      <c r="BB50" s="631">
        <f t="shared" si="50"/>
        <v>648.91666666666663</v>
      </c>
      <c r="BC50" s="631">
        <f t="shared" si="51"/>
        <v>4887.1111111111113</v>
      </c>
      <c r="BD50" s="631">
        <f t="shared" si="52"/>
        <v>3395.9983333333334</v>
      </c>
      <c r="BE50" s="631">
        <f t="shared" ref="BE50:BE84" si="53">$D$49/36</f>
        <v>5585.8377777777778</v>
      </c>
      <c r="BF50" s="631">
        <f>$D$50/36</f>
        <v>1719.8000000000002</v>
      </c>
      <c r="BG50" s="631"/>
      <c r="BH50" s="631"/>
      <c r="BI50" s="631"/>
      <c r="BJ50" s="631"/>
      <c r="BK50" s="631"/>
      <c r="BL50" s="631"/>
      <c r="BM50" s="631"/>
      <c r="BN50" s="39">
        <f t="shared" si="18"/>
        <v>100973.78611111111</v>
      </c>
    </row>
    <row r="51" spans="1:66" s="335" customFormat="1" ht="12.75" customHeight="1" outlineLevel="1">
      <c r="A51" s="327" t="s">
        <v>58</v>
      </c>
      <c r="B51" s="327">
        <f t="shared" si="19"/>
        <v>2019</v>
      </c>
      <c r="C51" s="327" t="s">
        <v>47</v>
      </c>
      <c r="D51" s="39">
        <v>67289.48</v>
      </c>
      <c r="E51" s="518"/>
      <c r="F51" s="518">
        <f t="shared" si="5"/>
        <v>3887800.04</v>
      </c>
      <c r="G51" s="518"/>
      <c r="H51" s="518">
        <v>98358.89</v>
      </c>
      <c r="I51" s="39">
        <f>SUM(H$5:H51)</f>
        <v>1663835.8399999996</v>
      </c>
      <c r="J51" s="518"/>
      <c r="K51" s="92">
        <f t="shared" si="28"/>
        <v>2223964.2000000002</v>
      </c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>
        <f t="shared" si="17"/>
        <v>0</v>
      </c>
      <c r="Y51" s="39">
        <f t="shared" si="20"/>
        <v>0</v>
      </c>
      <c r="Z51" s="39">
        <f t="shared" si="21"/>
        <v>0</v>
      </c>
      <c r="AA51" s="39">
        <f t="shared" si="22"/>
        <v>0</v>
      </c>
      <c r="AB51" s="39">
        <f t="shared" si="23"/>
        <v>0</v>
      </c>
      <c r="AC51" s="39">
        <f t="shared" si="24"/>
        <v>0</v>
      </c>
      <c r="AD51" s="39">
        <f t="shared" si="25"/>
        <v>0</v>
      </c>
      <c r="AE51" s="39">
        <f t="shared" si="26"/>
        <v>0</v>
      </c>
      <c r="AF51" s="39">
        <f t="shared" si="27"/>
        <v>1842.1266666666666</v>
      </c>
      <c r="AG51" s="39">
        <f t="shared" si="29"/>
        <v>780.20500000000004</v>
      </c>
      <c r="AH51" s="39">
        <f t="shared" si="30"/>
        <v>10076.531944444445</v>
      </c>
      <c r="AI51" s="39">
        <f t="shared" si="31"/>
        <v>3349.3341666666665</v>
      </c>
      <c r="AJ51" s="39">
        <f t="shared" si="32"/>
        <v>3233.0830555555558</v>
      </c>
      <c r="AK51" s="39">
        <f t="shared" si="33"/>
        <v>7151.9641666666666</v>
      </c>
      <c r="AL51" s="39">
        <f t="shared" si="34"/>
        <v>2745.5936111111109</v>
      </c>
      <c r="AM51" s="39">
        <f t="shared" si="35"/>
        <v>4029.7349999999997</v>
      </c>
      <c r="AN51" s="39">
        <f t="shared" si="36"/>
        <v>3403.2725</v>
      </c>
      <c r="AO51" s="39">
        <f t="shared" si="37"/>
        <v>3999.9738888888887</v>
      </c>
      <c r="AP51" s="39">
        <f t="shared" si="38"/>
        <v>2406.5302777777779</v>
      </c>
      <c r="AQ51" s="39">
        <f t="shared" si="39"/>
        <v>4012.9591666666665</v>
      </c>
      <c r="AR51" s="39">
        <f t="shared" si="40"/>
        <v>2260.1858333333334</v>
      </c>
      <c r="AS51" s="39">
        <f t="shared" si="41"/>
        <v>2518.821388888889</v>
      </c>
      <c r="AT51" s="39">
        <f t="shared" si="42"/>
        <v>2898.4444444444443</v>
      </c>
      <c r="AU51" s="39">
        <f t="shared" si="43"/>
        <v>1778.3055555555557</v>
      </c>
      <c r="AV51" s="39">
        <f t="shared" si="44"/>
        <v>8701.0833333333339</v>
      </c>
      <c r="AW51" s="39">
        <f t="shared" si="45"/>
        <v>2348.0277777777778</v>
      </c>
      <c r="AX51" s="39">
        <f t="shared" si="46"/>
        <v>2743.7777777777778</v>
      </c>
      <c r="AY51" s="39">
        <f t="shared" si="47"/>
        <v>6026.8611111111113</v>
      </c>
      <c r="AZ51" s="39">
        <f t="shared" si="48"/>
        <v>2552.6111111111113</v>
      </c>
      <c r="BA51" s="39">
        <f t="shared" si="49"/>
        <v>5876.6944444444443</v>
      </c>
      <c r="BB51" s="631">
        <f t="shared" si="50"/>
        <v>648.91666666666663</v>
      </c>
      <c r="BC51" s="631">
        <f t="shared" si="51"/>
        <v>4887.1111111111113</v>
      </c>
      <c r="BD51" s="631">
        <f t="shared" si="52"/>
        <v>3395.9983333333334</v>
      </c>
      <c r="BE51" s="631">
        <f t="shared" si="53"/>
        <v>5585.8377777777778</v>
      </c>
      <c r="BF51" s="631">
        <f t="shared" ref="BF51:BF85" si="54">$D$50/36</f>
        <v>1719.8000000000002</v>
      </c>
      <c r="BG51" s="631">
        <f>$D$51/36</f>
        <v>1869.152222222222</v>
      </c>
      <c r="BH51" s="631"/>
      <c r="BI51" s="631"/>
      <c r="BJ51" s="631"/>
      <c r="BK51" s="631"/>
      <c r="BL51" s="631"/>
      <c r="BM51" s="631"/>
      <c r="BN51" s="39">
        <f t="shared" si="18"/>
        <v>102842.93833333334</v>
      </c>
    </row>
    <row r="52" spans="1:66" s="585" customFormat="1" ht="12.75" customHeight="1" outlineLevel="1">
      <c r="A52" s="308" t="s">
        <v>59</v>
      </c>
      <c r="B52" s="308">
        <f t="shared" si="19"/>
        <v>2019</v>
      </c>
      <c r="C52" s="308" t="s">
        <v>47</v>
      </c>
      <c r="D52" s="518">
        <v>147792.54</v>
      </c>
      <c r="E52" s="518"/>
      <c r="F52" s="518">
        <f t="shared" si="5"/>
        <v>4035592.58</v>
      </c>
      <c r="G52" s="518"/>
      <c r="H52" s="518">
        <v>120545.3</v>
      </c>
      <c r="I52" s="518">
        <f>SUM(H$5:H52)</f>
        <v>1784381.1399999997</v>
      </c>
      <c r="J52" s="518"/>
      <c r="K52" s="583">
        <f t="shared" si="28"/>
        <v>2251211.4400000004</v>
      </c>
      <c r="M52" s="39"/>
      <c r="N52" s="518"/>
      <c r="O52" s="518"/>
      <c r="P52" s="518"/>
      <c r="Q52" s="518"/>
      <c r="R52" s="518"/>
      <c r="S52" s="39"/>
      <c r="T52" s="39"/>
      <c r="U52" s="39"/>
      <c r="V52" s="39"/>
      <c r="W52" s="39"/>
      <c r="X52" s="518"/>
      <c r="Y52" s="39">
        <f t="shared" si="20"/>
        <v>0</v>
      </c>
      <c r="Z52" s="39">
        <f t="shared" si="21"/>
        <v>0</v>
      </c>
      <c r="AA52" s="39">
        <f t="shared" si="22"/>
        <v>0</v>
      </c>
      <c r="AB52" s="39">
        <f t="shared" si="23"/>
        <v>0</v>
      </c>
      <c r="AC52" s="39">
        <f t="shared" si="24"/>
        <v>0</v>
      </c>
      <c r="AD52" s="39">
        <f t="shared" si="25"/>
        <v>0</v>
      </c>
      <c r="AE52" s="39">
        <f t="shared" si="26"/>
        <v>0</v>
      </c>
      <c r="AF52" s="39">
        <f t="shared" si="27"/>
        <v>1842.1266666666666</v>
      </c>
      <c r="AG52" s="39">
        <f t="shared" si="29"/>
        <v>780.20500000000004</v>
      </c>
      <c r="AH52" s="39">
        <f t="shared" si="30"/>
        <v>10076.531944444445</v>
      </c>
      <c r="AI52" s="39">
        <f t="shared" si="31"/>
        <v>3349.3341666666665</v>
      </c>
      <c r="AJ52" s="39">
        <f t="shared" si="32"/>
        <v>3233.0830555555558</v>
      </c>
      <c r="AK52" s="39">
        <f t="shared" si="33"/>
        <v>7151.9641666666666</v>
      </c>
      <c r="AL52" s="39">
        <f t="shared" si="34"/>
        <v>2745.5936111111109</v>
      </c>
      <c r="AM52" s="39">
        <f t="shared" si="35"/>
        <v>4029.7349999999997</v>
      </c>
      <c r="AN52" s="39">
        <f t="shared" si="36"/>
        <v>3403.2725</v>
      </c>
      <c r="AO52" s="39">
        <f t="shared" si="37"/>
        <v>3999.9738888888887</v>
      </c>
      <c r="AP52" s="39">
        <f t="shared" si="38"/>
        <v>2406.5302777777779</v>
      </c>
      <c r="AQ52" s="39">
        <f t="shared" si="39"/>
        <v>4012.9591666666665</v>
      </c>
      <c r="AR52" s="39">
        <f t="shared" si="40"/>
        <v>2260.1858333333334</v>
      </c>
      <c r="AS52" s="39">
        <f t="shared" si="41"/>
        <v>2518.821388888889</v>
      </c>
      <c r="AT52" s="39">
        <f t="shared" si="42"/>
        <v>2898.4444444444443</v>
      </c>
      <c r="AU52" s="39">
        <f t="shared" si="43"/>
        <v>1778.3055555555557</v>
      </c>
      <c r="AV52" s="39">
        <f t="shared" si="44"/>
        <v>8701.0833333333339</v>
      </c>
      <c r="AW52" s="39">
        <f t="shared" si="45"/>
        <v>2348.0277777777778</v>
      </c>
      <c r="AX52" s="39">
        <f t="shared" si="46"/>
        <v>2743.7777777777778</v>
      </c>
      <c r="AY52" s="39">
        <f t="shared" si="47"/>
        <v>6026.8611111111113</v>
      </c>
      <c r="AZ52" s="39">
        <f t="shared" si="48"/>
        <v>2552.6111111111113</v>
      </c>
      <c r="BA52" s="39">
        <f t="shared" si="49"/>
        <v>5876.6944444444443</v>
      </c>
      <c r="BB52" s="631">
        <f t="shared" si="50"/>
        <v>648.91666666666663</v>
      </c>
      <c r="BC52" s="631">
        <f t="shared" si="51"/>
        <v>4887.1111111111113</v>
      </c>
      <c r="BD52" s="631">
        <f t="shared" si="52"/>
        <v>3395.9983333333334</v>
      </c>
      <c r="BE52" s="631">
        <f t="shared" si="53"/>
        <v>5585.8377777777778</v>
      </c>
      <c r="BF52" s="631">
        <f t="shared" si="54"/>
        <v>1719.8000000000002</v>
      </c>
      <c r="BG52" s="631">
        <f t="shared" ref="BG52:BG86" si="55">$D$51/36</f>
        <v>1869.152222222222</v>
      </c>
      <c r="BH52" s="631">
        <f>$D$52/36</f>
        <v>4105.3483333333334</v>
      </c>
      <c r="BI52" s="631"/>
      <c r="BJ52" s="631"/>
      <c r="BK52" s="631"/>
      <c r="BL52" s="631"/>
      <c r="BM52" s="631"/>
      <c r="BN52" s="39">
        <f t="shared" si="18"/>
        <v>106948.28666666667</v>
      </c>
    </row>
    <row r="53" spans="1:66" s="335" customFormat="1" ht="12.75" customHeight="1" outlineLevel="1">
      <c r="A53" s="327" t="s">
        <v>46</v>
      </c>
      <c r="B53" s="327">
        <f t="shared" si="19"/>
        <v>2019</v>
      </c>
      <c r="C53" s="327" t="s">
        <v>47</v>
      </c>
      <c r="D53" s="39">
        <v>0</v>
      </c>
      <c r="E53" s="518"/>
      <c r="F53" s="518">
        <f t="shared" si="5"/>
        <v>4035592.58</v>
      </c>
      <c r="G53" s="518"/>
      <c r="H53" s="518">
        <v>120178.97</v>
      </c>
      <c r="I53" s="39">
        <f>SUM(H$5:H53)</f>
        <v>1904560.1099999996</v>
      </c>
      <c r="J53" s="518"/>
      <c r="K53" s="92">
        <f t="shared" si="28"/>
        <v>2131032.4700000007</v>
      </c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518"/>
      <c r="Y53" s="39"/>
      <c r="Z53" s="39">
        <f t="shared" si="21"/>
        <v>0</v>
      </c>
      <c r="AA53" s="39">
        <f t="shared" si="22"/>
        <v>0</v>
      </c>
      <c r="AB53" s="39">
        <f t="shared" si="23"/>
        <v>0</v>
      </c>
      <c r="AC53" s="39">
        <f t="shared" si="24"/>
        <v>0</v>
      </c>
      <c r="AD53" s="39">
        <f t="shared" si="25"/>
        <v>0</v>
      </c>
      <c r="AE53" s="39">
        <f t="shared" si="26"/>
        <v>0</v>
      </c>
      <c r="AF53" s="39">
        <f t="shared" si="27"/>
        <v>1842.1266666666666</v>
      </c>
      <c r="AG53" s="39">
        <f t="shared" si="29"/>
        <v>780.20500000000004</v>
      </c>
      <c r="AH53" s="39">
        <f t="shared" si="30"/>
        <v>10076.531944444445</v>
      </c>
      <c r="AI53" s="39">
        <f t="shared" si="31"/>
        <v>3349.3341666666665</v>
      </c>
      <c r="AJ53" s="39">
        <f t="shared" si="32"/>
        <v>3233.0830555555558</v>
      </c>
      <c r="AK53" s="39">
        <f t="shared" si="33"/>
        <v>7151.9641666666666</v>
      </c>
      <c r="AL53" s="39">
        <f t="shared" si="34"/>
        <v>2745.5936111111109</v>
      </c>
      <c r="AM53" s="39">
        <f t="shared" si="35"/>
        <v>4029.7349999999997</v>
      </c>
      <c r="AN53" s="39">
        <f t="shared" si="36"/>
        <v>3403.2725</v>
      </c>
      <c r="AO53" s="39">
        <f t="shared" si="37"/>
        <v>3999.9738888888887</v>
      </c>
      <c r="AP53" s="39">
        <f t="shared" si="38"/>
        <v>2406.5302777777779</v>
      </c>
      <c r="AQ53" s="39">
        <f t="shared" si="39"/>
        <v>4012.9591666666665</v>
      </c>
      <c r="AR53" s="39">
        <f t="shared" si="40"/>
        <v>2260.1858333333334</v>
      </c>
      <c r="AS53" s="39">
        <f t="shared" si="41"/>
        <v>2518.821388888889</v>
      </c>
      <c r="AT53" s="39">
        <f t="shared" si="42"/>
        <v>2898.4444444444443</v>
      </c>
      <c r="AU53" s="39">
        <f t="shared" si="43"/>
        <v>1778.3055555555557</v>
      </c>
      <c r="AV53" s="39">
        <f t="shared" si="44"/>
        <v>8701.0833333333339</v>
      </c>
      <c r="AW53" s="39">
        <f t="shared" si="45"/>
        <v>2348.0277777777778</v>
      </c>
      <c r="AX53" s="39">
        <f t="shared" si="46"/>
        <v>2743.7777777777778</v>
      </c>
      <c r="AY53" s="39">
        <f t="shared" si="47"/>
        <v>6026.8611111111113</v>
      </c>
      <c r="AZ53" s="39">
        <f t="shared" si="48"/>
        <v>2552.6111111111113</v>
      </c>
      <c r="BA53" s="39">
        <f t="shared" si="49"/>
        <v>5876.6944444444443</v>
      </c>
      <c r="BB53" s="631">
        <f t="shared" si="50"/>
        <v>648.91666666666663</v>
      </c>
      <c r="BC53" s="631">
        <f t="shared" si="51"/>
        <v>4887.1111111111113</v>
      </c>
      <c r="BD53" s="631">
        <f t="shared" si="52"/>
        <v>3395.9983333333334</v>
      </c>
      <c r="BE53" s="631">
        <f t="shared" si="53"/>
        <v>5585.8377777777778</v>
      </c>
      <c r="BF53" s="631">
        <f t="shared" si="54"/>
        <v>1719.8000000000002</v>
      </c>
      <c r="BG53" s="631">
        <f t="shared" si="55"/>
        <v>1869.152222222222</v>
      </c>
      <c r="BH53" s="631">
        <f t="shared" ref="BH53:BH87" si="56">$D$52/36</f>
        <v>4105.3483333333334</v>
      </c>
      <c r="BI53" s="631"/>
      <c r="BJ53" s="631"/>
      <c r="BK53" s="631"/>
      <c r="BL53" s="631"/>
      <c r="BM53" s="631"/>
      <c r="BN53" s="39">
        <f t="shared" si="18"/>
        <v>106948.28666666667</v>
      </c>
    </row>
    <row r="54" spans="1:66" s="335" customFormat="1" ht="12.75" customHeight="1" outlineLevel="1">
      <c r="A54" s="327" t="s">
        <v>48</v>
      </c>
      <c r="B54" s="327">
        <f t="shared" si="19"/>
        <v>2019</v>
      </c>
      <c r="C54" s="327" t="s">
        <v>47</v>
      </c>
      <c r="D54" s="39">
        <v>80431</v>
      </c>
      <c r="E54" s="518"/>
      <c r="F54" s="518">
        <f t="shared" si="5"/>
        <v>4116023.58</v>
      </c>
      <c r="G54" s="518"/>
      <c r="H54" s="518">
        <v>105769.34</v>
      </c>
      <c r="I54" s="39">
        <f>SUM(H$5:H54)</f>
        <v>2010329.4499999997</v>
      </c>
      <c r="J54" s="518"/>
      <c r="K54" s="92">
        <f t="shared" si="28"/>
        <v>2105694.1300000004</v>
      </c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518"/>
      <c r="Y54" s="39"/>
      <c r="Z54" s="39"/>
      <c r="AA54" s="39">
        <f t="shared" si="22"/>
        <v>0</v>
      </c>
      <c r="AB54" s="39">
        <f t="shared" si="23"/>
        <v>0</v>
      </c>
      <c r="AC54" s="39">
        <f t="shared" si="24"/>
        <v>0</v>
      </c>
      <c r="AD54" s="39">
        <f t="shared" si="25"/>
        <v>0</v>
      </c>
      <c r="AE54" s="39">
        <f t="shared" si="26"/>
        <v>0</v>
      </c>
      <c r="AF54" s="39">
        <f t="shared" si="27"/>
        <v>1842.1266666666666</v>
      </c>
      <c r="AG54" s="39">
        <f t="shared" si="29"/>
        <v>780.20500000000004</v>
      </c>
      <c r="AH54" s="39">
        <f t="shared" si="30"/>
        <v>10076.531944444445</v>
      </c>
      <c r="AI54" s="39">
        <f t="shared" si="31"/>
        <v>3349.3341666666665</v>
      </c>
      <c r="AJ54" s="39">
        <f t="shared" si="32"/>
        <v>3233.0830555555558</v>
      </c>
      <c r="AK54" s="39">
        <f t="shared" si="33"/>
        <v>7151.9641666666666</v>
      </c>
      <c r="AL54" s="39">
        <f t="shared" si="34"/>
        <v>2745.5936111111109</v>
      </c>
      <c r="AM54" s="39">
        <f t="shared" si="35"/>
        <v>4029.7349999999997</v>
      </c>
      <c r="AN54" s="39">
        <f t="shared" si="36"/>
        <v>3403.2725</v>
      </c>
      <c r="AO54" s="39">
        <f t="shared" si="37"/>
        <v>3999.9738888888887</v>
      </c>
      <c r="AP54" s="39">
        <f t="shared" si="38"/>
        <v>2406.5302777777779</v>
      </c>
      <c r="AQ54" s="39">
        <f t="shared" si="39"/>
        <v>4012.9591666666665</v>
      </c>
      <c r="AR54" s="39">
        <f t="shared" si="40"/>
        <v>2260.1858333333334</v>
      </c>
      <c r="AS54" s="39">
        <f t="shared" si="41"/>
        <v>2518.821388888889</v>
      </c>
      <c r="AT54" s="39">
        <f t="shared" si="42"/>
        <v>2898.4444444444443</v>
      </c>
      <c r="AU54" s="39">
        <f t="shared" si="43"/>
        <v>1778.3055555555557</v>
      </c>
      <c r="AV54" s="39">
        <f t="shared" si="44"/>
        <v>8701.0833333333339</v>
      </c>
      <c r="AW54" s="39">
        <f t="shared" si="45"/>
        <v>2348.0277777777778</v>
      </c>
      <c r="AX54" s="39">
        <f t="shared" si="46"/>
        <v>2743.7777777777778</v>
      </c>
      <c r="AY54" s="39">
        <f t="shared" si="47"/>
        <v>6026.8611111111113</v>
      </c>
      <c r="AZ54" s="39">
        <f t="shared" si="48"/>
        <v>2552.6111111111113</v>
      </c>
      <c r="BA54" s="39">
        <f t="shared" si="49"/>
        <v>5876.6944444444443</v>
      </c>
      <c r="BB54" s="631">
        <f t="shared" si="50"/>
        <v>648.91666666666663</v>
      </c>
      <c r="BC54" s="631">
        <f t="shared" si="51"/>
        <v>4887.1111111111113</v>
      </c>
      <c r="BD54" s="631">
        <f t="shared" si="52"/>
        <v>3395.9983333333334</v>
      </c>
      <c r="BE54" s="631">
        <f t="shared" si="53"/>
        <v>5585.8377777777778</v>
      </c>
      <c r="BF54" s="631">
        <f t="shared" si="54"/>
        <v>1719.8000000000002</v>
      </c>
      <c r="BG54" s="631">
        <f t="shared" si="55"/>
        <v>1869.152222222222</v>
      </c>
      <c r="BH54" s="631">
        <f t="shared" si="56"/>
        <v>4105.3483333333334</v>
      </c>
      <c r="BI54" s="631"/>
      <c r="BJ54" s="631">
        <f>$D$54/36</f>
        <v>2234.1944444444443</v>
      </c>
      <c r="BK54" s="631"/>
      <c r="BL54" s="631"/>
      <c r="BM54" s="631"/>
      <c r="BN54" s="39">
        <f t="shared" si="18"/>
        <v>109182.4811111111</v>
      </c>
    </row>
    <row r="55" spans="1:66" s="335" customFormat="1" ht="12.75" customHeight="1" outlineLevel="1">
      <c r="A55" s="327" t="s">
        <v>50</v>
      </c>
      <c r="B55" s="327">
        <f t="shared" si="19"/>
        <v>2019</v>
      </c>
      <c r="C55" s="327" t="s">
        <v>47</v>
      </c>
      <c r="D55" s="39">
        <v>66825</v>
      </c>
      <c r="E55" s="518"/>
      <c r="F55" s="518">
        <f t="shared" si="5"/>
        <v>4182848.58</v>
      </c>
      <c r="G55" s="518"/>
      <c r="H55" s="518">
        <v>124657.51</v>
      </c>
      <c r="I55" s="39">
        <f>SUM(H$5:H55)</f>
        <v>2134986.9599999995</v>
      </c>
      <c r="J55" s="518"/>
      <c r="K55" s="92">
        <f t="shared" si="28"/>
        <v>2047861.6200000006</v>
      </c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518"/>
      <c r="Y55" s="39"/>
      <c r="Z55" s="39"/>
      <c r="AA55" s="39"/>
      <c r="AB55" s="39">
        <f t="shared" si="23"/>
        <v>0</v>
      </c>
      <c r="AC55" s="39">
        <f t="shared" si="24"/>
        <v>0</v>
      </c>
      <c r="AD55" s="39">
        <f t="shared" si="25"/>
        <v>0</v>
      </c>
      <c r="AE55" s="39">
        <f t="shared" si="26"/>
        <v>0</v>
      </c>
      <c r="AF55" s="39">
        <f t="shared" si="27"/>
        <v>1842.1266666666666</v>
      </c>
      <c r="AG55" s="39">
        <f t="shared" si="29"/>
        <v>780.20500000000004</v>
      </c>
      <c r="AH55" s="39">
        <f t="shared" si="30"/>
        <v>10076.531944444445</v>
      </c>
      <c r="AI55" s="39">
        <f t="shared" si="31"/>
        <v>3349.3341666666665</v>
      </c>
      <c r="AJ55" s="39">
        <f t="shared" si="32"/>
        <v>3233.0830555555558</v>
      </c>
      <c r="AK55" s="39">
        <f t="shared" si="33"/>
        <v>7151.9641666666666</v>
      </c>
      <c r="AL55" s="39">
        <f t="shared" si="34"/>
        <v>2745.5936111111109</v>
      </c>
      <c r="AM55" s="39">
        <f t="shared" si="35"/>
        <v>4029.7349999999997</v>
      </c>
      <c r="AN55" s="39">
        <f t="shared" si="36"/>
        <v>3403.2725</v>
      </c>
      <c r="AO55" s="39">
        <f t="shared" si="37"/>
        <v>3999.9738888888887</v>
      </c>
      <c r="AP55" s="39">
        <f t="shared" si="38"/>
        <v>2406.5302777777779</v>
      </c>
      <c r="AQ55" s="39">
        <f t="shared" si="39"/>
        <v>4012.9591666666665</v>
      </c>
      <c r="AR55" s="39">
        <f t="shared" si="40"/>
        <v>2260.1858333333334</v>
      </c>
      <c r="AS55" s="39">
        <f t="shared" si="41"/>
        <v>2518.821388888889</v>
      </c>
      <c r="AT55" s="39">
        <f t="shared" si="42"/>
        <v>2898.4444444444443</v>
      </c>
      <c r="AU55" s="39">
        <f t="shared" si="43"/>
        <v>1778.3055555555557</v>
      </c>
      <c r="AV55" s="39">
        <f t="shared" si="44"/>
        <v>8701.0833333333339</v>
      </c>
      <c r="AW55" s="39">
        <f t="shared" si="45"/>
        <v>2348.0277777777778</v>
      </c>
      <c r="AX55" s="39">
        <f t="shared" si="46"/>
        <v>2743.7777777777778</v>
      </c>
      <c r="AY55" s="39">
        <f t="shared" si="47"/>
        <v>6026.8611111111113</v>
      </c>
      <c r="AZ55" s="39">
        <f t="shared" si="48"/>
        <v>2552.6111111111113</v>
      </c>
      <c r="BA55" s="39">
        <f t="shared" si="49"/>
        <v>5876.6944444444443</v>
      </c>
      <c r="BB55" s="631">
        <f t="shared" si="50"/>
        <v>648.91666666666663</v>
      </c>
      <c r="BC55" s="631">
        <f t="shared" si="51"/>
        <v>4887.1111111111113</v>
      </c>
      <c r="BD55" s="631">
        <f t="shared" si="52"/>
        <v>3395.9983333333334</v>
      </c>
      <c r="BE55" s="631">
        <f t="shared" si="53"/>
        <v>5585.8377777777778</v>
      </c>
      <c r="BF55" s="631">
        <f t="shared" si="54"/>
        <v>1719.8000000000002</v>
      </c>
      <c r="BG55" s="631">
        <f t="shared" si="55"/>
        <v>1869.152222222222</v>
      </c>
      <c r="BH55" s="631">
        <f t="shared" si="56"/>
        <v>4105.3483333333334</v>
      </c>
      <c r="BI55" s="631"/>
      <c r="BJ55" s="631">
        <f t="shared" ref="BJ55:BJ89" si="57">$D$54/36</f>
        <v>2234.1944444444443</v>
      </c>
      <c r="BK55" s="631">
        <f>$D$55/36</f>
        <v>1856.25</v>
      </c>
      <c r="BL55" s="631"/>
      <c r="BM55" s="631"/>
      <c r="BN55" s="39">
        <f t="shared" si="18"/>
        <v>111038.7311111111</v>
      </c>
    </row>
    <row r="56" spans="1:66" s="335" customFormat="1" ht="12.75" customHeight="1" outlineLevel="1">
      <c r="A56" s="327" t="s">
        <v>51</v>
      </c>
      <c r="B56" s="327">
        <f t="shared" si="19"/>
        <v>2019</v>
      </c>
      <c r="C56" s="327" t="s">
        <v>47</v>
      </c>
      <c r="D56" s="39">
        <v>156194</v>
      </c>
      <c r="E56" s="518"/>
      <c r="F56" s="518">
        <f t="shared" si="5"/>
        <v>4339042.58</v>
      </c>
      <c r="G56" s="518"/>
      <c r="H56" s="518">
        <v>99927.69</v>
      </c>
      <c r="I56" s="39">
        <f>SUM(H$5:H56)</f>
        <v>2234914.6499999994</v>
      </c>
      <c r="J56" s="518"/>
      <c r="K56" s="92">
        <f t="shared" si="28"/>
        <v>2104127.9300000006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518"/>
      <c r="Y56" s="39"/>
      <c r="Z56" s="39"/>
      <c r="AA56" s="39"/>
      <c r="AB56" s="39"/>
      <c r="AC56" s="39">
        <f t="shared" si="24"/>
        <v>0</v>
      </c>
      <c r="AD56" s="39">
        <f t="shared" si="25"/>
        <v>0</v>
      </c>
      <c r="AE56" s="39">
        <f t="shared" si="26"/>
        <v>0</v>
      </c>
      <c r="AF56" s="39">
        <f t="shared" si="27"/>
        <v>1842.1266666666666</v>
      </c>
      <c r="AG56" s="39">
        <f t="shared" si="29"/>
        <v>780.20500000000004</v>
      </c>
      <c r="AH56" s="39">
        <f t="shared" si="30"/>
        <v>10076.531944444445</v>
      </c>
      <c r="AI56" s="39">
        <f t="shared" si="31"/>
        <v>3349.3341666666665</v>
      </c>
      <c r="AJ56" s="39">
        <f t="shared" si="32"/>
        <v>3233.0830555555558</v>
      </c>
      <c r="AK56" s="39">
        <f t="shared" si="33"/>
        <v>7151.9641666666666</v>
      </c>
      <c r="AL56" s="39">
        <f t="shared" si="34"/>
        <v>2745.5936111111109</v>
      </c>
      <c r="AM56" s="39">
        <f t="shared" si="35"/>
        <v>4029.7349999999997</v>
      </c>
      <c r="AN56" s="39">
        <f t="shared" si="36"/>
        <v>3403.2725</v>
      </c>
      <c r="AO56" s="39">
        <f t="shared" si="37"/>
        <v>3999.9738888888887</v>
      </c>
      <c r="AP56" s="39">
        <f t="shared" si="38"/>
        <v>2406.5302777777779</v>
      </c>
      <c r="AQ56" s="39">
        <f t="shared" si="39"/>
        <v>4012.9591666666665</v>
      </c>
      <c r="AR56" s="39">
        <f t="shared" si="40"/>
        <v>2260.1858333333334</v>
      </c>
      <c r="AS56" s="39">
        <f t="shared" si="41"/>
        <v>2518.821388888889</v>
      </c>
      <c r="AT56" s="39">
        <f t="shared" si="42"/>
        <v>2898.4444444444443</v>
      </c>
      <c r="AU56" s="39">
        <f t="shared" si="43"/>
        <v>1778.3055555555557</v>
      </c>
      <c r="AV56" s="39">
        <f t="shared" si="44"/>
        <v>8701.0833333333339</v>
      </c>
      <c r="AW56" s="39">
        <f t="shared" si="45"/>
        <v>2348.0277777777778</v>
      </c>
      <c r="AX56" s="39">
        <f t="shared" si="46"/>
        <v>2743.7777777777778</v>
      </c>
      <c r="AY56" s="39">
        <f t="shared" si="47"/>
        <v>6026.8611111111113</v>
      </c>
      <c r="AZ56" s="39">
        <f t="shared" si="48"/>
        <v>2552.6111111111113</v>
      </c>
      <c r="BA56" s="39">
        <f t="shared" si="49"/>
        <v>5876.6944444444443</v>
      </c>
      <c r="BB56" s="631">
        <f t="shared" si="50"/>
        <v>648.91666666666663</v>
      </c>
      <c r="BC56" s="631">
        <f t="shared" si="51"/>
        <v>4887.1111111111113</v>
      </c>
      <c r="BD56" s="631">
        <f t="shared" si="52"/>
        <v>3395.9983333333334</v>
      </c>
      <c r="BE56" s="631">
        <f t="shared" si="53"/>
        <v>5585.8377777777778</v>
      </c>
      <c r="BF56" s="631">
        <f t="shared" si="54"/>
        <v>1719.8000000000002</v>
      </c>
      <c r="BG56" s="631">
        <f t="shared" si="55"/>
        <v>1869.152222222222</v>
      </c>
      <c r="BH56" s="631">
        <f t="shared" si="56"/>
        <v>4105.3483333333334</v>
      </c>
      <c r="BI56" s="631"/>
      <c r="BJ56" s="631">
        <f t="shared" si="57"/>
        <v>2234.1944444444443</v>
      </c>
      <c r="BK56" s="631">
        <f t="shared" ref="BK56:BK90" si="58">$D$55/36</f>
        <v>1856.25</v>
      </c>
      <c r="BL56" s="631">
        <f>$D$56/36</f>
        <v>4338.7222222222226</v>
      </c>
      <c r="BM56" s="631"/>
      <c r="BN56" s="39">
        <f t="shared" si="18"/>
        <v>115377.45333333332</v>
      </c>
    </row>
    <row r="57" spans="1:66" s="335" customFormat="1" ht="12.75" customHeight="1" outlineLevel="1">
      <c r="A57" s="332" t="s">
        <v>52</v>
      </c>
      <c r="B57" s="332">
        <f t="shared" si="19"/>
        <v>2019</v>
      </c>
      <c r="C57" s="332" t="s">
        <v>47</v>
      </c>
      <c r="D57" s="212">
        <v>20636</v>
      </c>
      <c r="E57" s="212"/>
      <c r="F57" s="212">
        <f t="shared" si="5"/>
        <v>4359678.58</v>
      </c>
      <c r="G57" s="212"/>
      <c r="H57" s="212">
        <v>120781.61</v>
      </c>
      <c r="I57" s="212">
        <f>SUM(H$5:H57)</f>
        <v>2355696.2599999993</v>
      </c>
      <c r="J57" s="518"/>
      <c r="K57" s="212">
        <f t="shared" si="28"/>
        <v>2003982.3200000008</v>
      </c>
      <c r="L57" s="333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  <c r="AC57" s="212"/>
      <c r="AD57" s="212">
        <f t="shared" si="25"/>
        <v>0</v>
      </c>
      <c r="AE57" s="212">
        <f t="shared" si="26"/>
        <v>0</v>
      </c>
      <c r="AF57" s="212">
        <f t="shared" si="27"/>
        <v>1842.1266666666666</v>
      </c>
      <c r="AG57" s="212">
        <f t="shared" si="29"/>
        <v>780.20500000000004</v>
      </c>
      <c r="AH57" s="212">
        <f t="shared" si="30"/>
        <v>10076.531944444445</v>
      </c>
      <c r="AI57" s="212">
        <f t="shared" si="31"/>
        <v>3349.3341666666665</v>
      </c>
      <c r="AJ57" s="212">
        <f t="shared" si="32"/>
        <v>3233.0830555555558</v>
      </c>
      <c r="AK57" s="212">
        <f t="shared" si="33"/>
        <v>7151.9641666666666</v>
      </c>
      <c r="AL57" s="212">
        <f t="shared" si="34"/>
        <v>2745.5936111111109</v>
      </c>
      <c r="AM57" s="212">
        <f t="shared" si="35"/>
        <v>4029.7349999999997</v>
      </c>
      <c r="AN57" s="212">
        <f t="shared" si="36"/>
        <v>3403.2725</v>
      </c>
      <c r="AO57" s="212">
        <f t="shared" si="37"/>
        <v>3999.9738888888887</v>
      </c>
      <c r="AP57" s="212">
        <f t="shared" si="38"/>
        <v>2406.5302777777779</v>
      </c>
      <c r="AQ57" s="212">
        <f t="shared" si="39"/>
        <v>4012.9591666666665</v>
      </c>
      <c r="AR57" s="212">
        <f t="shared" si="40"/>
        <v>2260.1858333333334</v>
      </c>
      <c r="AS57" s="212">
        <f t="shared" si="41"/>
        <v>2518.821388888889</v>
      </c>
      <c r="AT57" s="212">
        <f t="shared" si="42"/>
        <v>2898.4444444444443</v>
      </c>
      <c r="AU57" s="212">
        <f t="shared" si="43"/>
        <v>1778.3055555555557</v>
      </c>
      <c r="AV57" s="212">
        <f t="shared" si="44"/>
        <v>8701.0833333333339</v>
      </c>
      <c r="AW57" s="212">
        <f t="shared" si="45"/>
        <v>2348.0277777777778</v>
      </c>
      <c r="AX57" s="212">
        <f t="shared" si="46"/>
        <v>2743.7777777777778</v>
      </c>
      <c r="AY57" s="212">
        <f t="shared" si="47"/>
        <v>6026.8611111111113</v>
      </c>
      <c r="AZ57" s="212">
        <f t="shared" si="48"/>
        <v>2552.6111111111113</v>
      </c>
      <c r="BA57" s="212">
        <f t="shared" si="49"/>
        <v>5876.6944444444443</v>
      </c>
      <c r="BB57" s="631">
        <f t="shared" si="50"/>
        <v>648.91666666666663</v>
      </c>
      <c r="BC57" s="631">
        <f t="shared" si="51"/>
        <v>4887.1111111111113</v>
      </c>
      <c r="BD57" s="631">
        <f t="shared" si="52"/>
        <v>3395.9983333333334</v>
      </c>
      <c r="BE57" s="631">
        <f t="shared" si="53"/>
        <v>5585.8377777777778</v>
      </c>
      <c r="BF57" s="631">
        <f t="shared" si="54"/>
        <v>1719.8000000000002</v>
      </c>
      <c r="BG57" s="631">
        <f t="shared" si="55"/>
        <v>1869.152222222222</v>
      </c>
      <c r="BH57" s="631">
        <f t="shared" si="56"/>
        <v>4105.3483333333334</v>
      </c>
      <c r="BI57" s="631"/>
      <c r="BJ57" s="631">
        <f t="shared" si="57"/>
        <v>2234.1944444444443</v>
      </c>
      <c r="BK57" s="631">
        <f t="shared" si="58"/>
        <v>1856.25</v>
      </c>
      <c r="BL57" s="631">
        <f t="shared" ref="BL57:BL91" si="59">$D$56/36</f>
        <v>4338.7222222222226</v>
      </c>
      <c r="BM57" s="631">
        <f>$D$57/36</f>
        <v>573.22222222222217</v>
      </c>
      <c r="BN57" s="39">
        <f t="shared" si="18"/>
        <v>115950.67555555554</v>
      </c>
    </row>
    <row r="58" spans="1:66" s="335" customFormat="1" ht="12.75" customHeight="1" outlineLevel="1">
      <c r="A58" s="327" t="s">
        <v>53</v>
      </c>
      <c r="B58" s="327">
        <f t="shared" si="19"/>
        <v>2020</v>
      </c>
      <c r="C58" s="327" t="s">
        <v>47</v>
      </c>
      <c r="D58" s="39"/>
      <c r="E58" s="518"/>
      <c r="F58" s="518">
        <f t="shared" si="5"/>
        <v>4359678.58</v>
      </c>
      <c r="G58" s="518"/>
      <c r="H58" s="518">
        <v>123234</v>
      </c>
      <c r="I58" s="39">
        <f>SUM(H$5:H58)</f>
        <v>2478930.2599999993</v>
      </c>
      <c r="J58" s="518"/>
      <c r="K58" s="92">
        <f t="shared" si="28"/>
        <v>1880748.3200000008</v>
      </c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518"/>
      <c r="Y58" s="39"/>
      <c r="Z58" s="39"/>
      <c r="AA58" s="39"/>
      <c r="AB58" s="39"/>
      <c r="AC58" s="518"/>
      <c r="AD58" s="39"/>
      <c r="AE58" s="39">
        <f t="shared" si="26"/>
        <v>0</v>
      </c>
      <c r="AF58" s="39">
        <f t="shared" si="27"/>
        <v>1842.1266666666666</v>
      </c>
      <c r="AG58" s="39">
        <f t="shared" si="29"/>
        <v>780.20500000000004</v>
      </c>
      <c r="AH58" s="39">
        <f t="shared" si="30"/>
        <v>10076.531944444445</v>
      </c>
      <c r="AI58" s="39">
        <f t="shared" si="31"/>
        <v>3349.3341666666665</v>
      </c>
      <c r="AJ58" s="39">
        <f t="shared" si="32"/>
        <v>3233.0830555555558</v>
      </c>
      <c r="AK58" s="39">
        <f t="shared" si="33"/>
        <v>7151.9641666666666</v>
      </c>
      <c r="AL58" s="39">
        <f t="shared" si="34"/>
        <v>2745.5936111111109</v>
      </c>
      <c r="AM58" s="39">
        <f t="shared" si="35"/>
        <v>4029.7349999999997</v>
      </c>
      <c r="AN58" s="39">
        <f t="shared" si="36"/>
        <v>3403.2725</v>
      </c>
      <c r="AO58" s="39">
        <f t="shared" si="37"/>
        <v>3999.9738888888887</v>
      </c>
      <c r="AP58" s="39">
        <f t="shared" si="38"/>
        <v>2406.5302777777779</v>
      </c>
      <c r="AQ58" s="39">
        <f t="shared" si="39"/>
        <v>4012.9591666666665</v>
      </c>
      <c r="AR58" s="39">
        <f t="shared" si="40"/>
        <v>2260.1858333333334</v>
      </c>
      <c r="AS58" s="39">
        <f t="shared" si="41"/>
        <v>2518.821388888889</v>
      </c>
      <c r="AT58" s="39">
        <f t="shared" si="42"/>
        <v>2898.4444444444443</v>
      </c>
      <c r="AU58" s="39">
        <f t="shared" si="43"/>
        <v>1778.3055555555557</v>
      </c>
      <c r="AV58" s="39">
        <f t="shared" si="44"/>
        <v>8701.0833333333339</v>
      </c>
      <c r="AW58" s="39">
        <f t="shared" si="45"/>
        <v>2348.0277777777778</v>
      </c>
      <c r="AX58" s="39">
        <f t="shared" si="46"/>
        <v>2743.7777777777778</v>
      </c>
      <c r="AY58" s="39">
        <f t="shared" si="47"/>
        <v>6026.8611111111113</v>
      </c>
      <c r="AZ58" s="39">
        <f t="shared" si="48"/>
        <v>2552.6111111111113</v>
      </c>
      <c r="BA58" s="39">
        <f t="shared" si="49"/>
        <v>5876.6944444444443</v>
      </c>
      <c r="BB58" s="631">
        <f t="shared" si="50"/>
        <v>648.91666666666663</v>
      </c>
      <c r="BC58" s="631">
        <f t="shared" si="51"/>
        <v>4887.1111111111113</v>
      </c>
      <c r="BD58" s="631">
        <f t="shared" si="52"/>
        <v>3395.9983333333334</v>
      </c>
      <c r="BE58" s="631">
        <f t="shared" si="53"/>
        <v>5585.8377777777778</v>
      </c>
      <c r="BF58" s="631">
        <f t="shared" si="54"/>
        <v>1719.8000000000002</v>
      </c>
      <c r="BG58" s="631">
        <f t="shared" si="55"/>
        <v>1869.152222222222</v>
      </c>
      <c r="BH58" s="631">
        <f t="shared" si="56"/>
        <v>4105.3483333333334</v>
      </c>
      <c r="BI58" s="631"/>
      <c r="BJ58" s="631">
        <f t="shared" si="57"/>
        <v>2234.1944444444443</v>
      </c>
      <c r="BK58" s="631">
        <f t="shared" si="58"/>
        <v>1856.25</v>
      </c>
      <c r="BL58" s="631">
        <f t="shared" si="59"/>
        <v>4338.7222222222226</v>
      </c>
      <c r="BM58" s="631">
        <f t="shared" ref="BM58:BM92" si="60">$D$57/36</f>
        <v>573.22222222222217</v>
      </c>
      <c r="BN58" s="39">
        <f t="shared" si="18"/>
        <v>115950.67555555554</v>
      </c>
    </row>
    <row r="59" spans="1:66" s="335" customFormat="1" ht="12.75" customHeight="1" outlineLevel="1">
      <c r="A59" s="327" t="s">
        <v>54</v>
      </c>
      <c r="B59" s="327">
        <f t="shared" si="19"/>
        <v>2020</v>
      </c>
      <c r="C59" s="327" t="s">
        <v>47</v>
      </c>
      <c r="D59" s="39"/>
      <c r="E59" s="518"/>
      <c r="F59" s="518">
        <f t="shared" si="5"/>
        <v>4359678.58</v>
      </c>
      <c r="G59" s="518"/>
      <c r="H59" s="518">
        <v>142395.98000000001</v>
      </c>
      <c r="I59" s="39">
        <f>SUM(H$5:H59)</f>
        <v>2621326.2399999993</v>
      </c>
      <c r="J59" s="518"/>
      <c r="K59" s="92">
        <f t="shared" si="28"/>
        <v>1738352.3400000008</v>
      </c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518"/>
      <c r="Y59" s="39"/>
      <c r="Z59" s="39"/>
      <c r="AA59" s="39"/>
      <c r="AB59" s="39"/>
      <c r="AC59" s="518"/>
      <c r="AD59" s="39"/>
      <c r="AE59" s="39"/>
      <c r="AF59" s="39">
        <f t="shared" si="27"/>
        <v>1842.1266666666666</v>
      </c>
      <c r="AG59" s="39">
        <f t="shared" si="29"/>
        <v>780.20500000000004</v>
      </c>
      <c r="AH59" s="39">
        <f t="shared" si="30"/>
        <v>10076.531944444445</v>
      </c>
      <c r="AI59" s="39">
        <f t="shared" si="31"/>
        <v>3349.3341666666665</v>
      </c>
      <c r="AJ59" s="39">
        <f t="shared" si="32"/>
        <v>3233.0830555555558</v>
      </c>
      <c r="AK59" s="39">
        <f t="shared" si="33"/>
        <v>7151.9641666666666</v>
      </c>
      <c r="AL59" s="39">
        <f t="shared" si="34"/>
        <v>2745.5936111111109</v>
      </c>
      <c r="AM59" s="39">
        <f t="shared" si="35"/>
        <v>4029.7349999999997</v>
      </c>
      <c r="AN59" s="39">
        <f t="shared" si="36"/>
        <v>3403.2725</v>
      </c>
      <c r="AO59" s="39">
        <f t="shared" si="37"/>
        <v>3999.9738888888887</v>
      </c>
      <c r="AP59" s="39">
        <f t="shared" si="38"/>
        <v>2406.5302777777779</v>
      </c>
      <c r="AQ59" s="39">
        <f t="shared" si="39"/>
        <v>4012.9591666666665</v>
      </c>
      <c r="AR59" s="39">
        <f t="shared" si="40"/>
        <v>2260.1858333333334</v>
      </c>
      <c r="AS59" s="39">
        <f t="shared" si="41"/>
        <v>2518.821388888889</v>
      </c>
      <c r="AT59" s="39">
        <f t="shared" si="42"/>
        <v>2898.4444444444443</v>
      </c>
      <c r="AU59" s="39">
        <f t="shared" si="43"/>
        <v>1778.3055555555557</v>
      </c>
      <c r="AV59" s="39">
        <f t="shared" si="44"/>
        <v>8701.0833333333339</v>
      </c>
      <c r="AW59" s="39">
        <f t="shared" si="45"/>
        <v>2348.0277777777778</v>
      </c>
      <c r="AX59" s="39">
        <f t="shared" si="46"/>
        <v>2743.7777777777778</v>
      </c>
      <c r="AY59" s="39">
        <f t="shared" si="47"/>
        <v>6026.8611111111113</v>
      </c>
      <c r="AZ59" s="39">
        <f t="shared" si="48"/>
        <v>2552.6111111111113</v>
      </c>
      <c r="BA59" s="39">
        <f t="shared" si="49"/>
        <v>5876.6944444444443</v>
      </c>
      <c r="BB59" s="631">
        <f t="shared" si="50"/>
        <v>648.91666666666663</v>
      </c>
      <c r="BC59" s="631">
        <f t="shared" si="51"/>
        <v>4887.1111111111113</v>
      </c>
      <c r="BD59" s="631">
        <f t="shared" si="52"/>
        <v>3395.9983333333334</v>
      </c>
      <c r="BE59" s="631">
        <f t="shared" si="53"/>
        <v>5585.8377777777778</v>
      </c>
      <c r="BF59" s="631">
        <f t="shared" si="54"/>
        <v>1719.8000000000002</v>
      </c>
      <c r="BG59" s="631">
        <f t="shared" si="55"/>
        <v>1869.152222222222</v>
      </c>
      <c r="BH59" s="631">
        <f t="shared" si="56"/>
        <v>4105.3483333333334</v>
      </c>
      <c r="BI59" s="631"/>
      <c r="BJ59" s="631">
        <f t="shared" si="57"/>
        <v>2234.1944444444443</v>
      </c>
      <c r="BK59" s="631">
        <f t="shared" si="58"/>
        <v>1856.25</v>
      </c>
      <c r="BL59" s="631">
        <f t="shared" si="59"/>
        <v>4338.7222222222226</v>
      </c>
      <c r="BM59" s="631">
        <f t="shared" si="60"/>
        <v>573.22222222222217</v>
      </c>
      <c r="BN59" s="39">
        <f t="shared" si="18"/>
        <v>115950.67555555554</v>
      </c>
    </row>
    <row r="60" spans="1:66" s="335" customFormat="1" ht="12.75" customHeight="1" outlineLevel="1">
      <c r="A60" s="327" t="s">
        <v>55</v>
      </c>
      <c r="B60" s="327">
        <f t="shared" si="19"/>
        <v>2020</v>
      </c>
      <c r="C60" s="327" t="s">
        <v>47</v>
      </c>
      <c r="D60" s="39"/>
      <c r="E60" s="518"/>
      <c r="F60" s="518">
        <f t="shared" si="5"/>
        <v>4359678.58</v>
      </c>
      <c r="G60" s="518"/>
      <c r="H60" s="518">
        <v>112815.15</v>
      </c>
      <c r="I60" s="39">
        <f>SUM(H$5:H60)</f>
        <v>2734141.3899999992</v>
      </c>
      <c r="J60" s="518"/>
      <c r="K60" s="92">
        <f t="shared" si="28"/>
        <v>1625537.1900000009</v>
      </c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518"/>
      <c r="Y60" s="39"/>
      <c r="Z60" s="39"/>
      <c r="AA60" s="39"/>
      <c r="AB60" s="39"/>
      <c r="AC60" s="518"/>
      <c r="AD60" s="39"/>
      <c r="AE60" s="39"/>
      <c r="AF60" s="39"/>
      <c r="AG60" s="39">
        <f t="shared" si="29"/>
        <v>780.20500000000004</v>
      </c>
      <c r="AH60" s="39">
        <f t="shared" si="30"/>
        <v>10076.531944444445</v>
      </c>
      <c r="AI60" s="39">
        <f t="shared" si="31"/>
        <v>3349.3341666666665</v>
      </c>
      <c r="AJ60" s="39">
        <f t="shared" si="32"/>
        <v>3233.0830555555558</v>
      </c>
      <c r="AK60" s="39">
        <f t="shared" si="33"/>
        <v>7151.9641666666666</v>
      </c>
      <c r="AL60" s="39">
        <f t="shared" si="34"/>
        <v>2745.5936111111109</v>
      </c>
      <c r="AM60" s="39">
        <f t="shared" si="35"/>
        <v>4029.7349999999997</v>
      </c>
      <c r="AN60" s="39">
        <f t="shared" si="36"/>
        <v>3403.2725</v>
      </c>
      <c r="AO60" s="39">
        <f t="shared" si="37"/>
        <v>3999.9738888888887</v>
      </c>
      <c r="AP60" s="39">
        <f t="shared" si="38"/>
        <v>2406.5302777777779</v>
      </c>
      <c r="AQ60" s="39">
        <f t="shared" si="39"/>
        <v>4012.9591666666665</v>
      </c>
      <c r="AR60" s="39">
        <f t="shared" si="40"/>
        <v>2260.1858333333334</v>
      </c>
      <c r="AS60" s="39">
        <f t="shared" si="41"/>
        <v>2518.821388888889</v>
      </c>
      <c r="AT60" s="39">
        <f t="shared" si="42"/>
        <v>2898.4444444444443</v>
      </c>
      <c r="AU60" s="39">
        <f t="shared" si="43"/>
        <v>1778.3055555555557</v>
      </c>
      <c r="AV60" s="39">
        <f t="shared" si="44"/>
        <v>8701.0833333333339</v>
      </c>
      <c r="AW60" s="39">
        <f t="shared" si="45"/>
        <v>2348.0277777777778</v>
      </c>
      <c r="AX60" s="39">
        <f t="shared" si="46"/>
        <v>2743.7777777777778</v>
      </c>
      <c r="AY60" s="39">
        <f t="shared" si="47"/>
        <v>6026.8611111111113</v>
      </c>
      <c r="AZ60" s="39">
        <f t="shared" si="48"/>
        <v>2552.6111111111113</v>
      </c>
      <c r="BA60" s="39">
        <f t="shared" si="49"/>
        <v>5876.6944444444443</v>
      </c>
      <c r="BB60" s="631">
        <f t="shared" si="50"/>
        <v>648.91666666666663</v>
      </c>
      <c r="BC60" s="631">
        <f t="shared" si="51"/>
        <v>4887.1111111111113</v>
      </c>
      <c r="BD60" s="631">
        <f t="shared" si="52"/>
        <v>3395.9983333333334</v>
      </c>
      <c r="BE60" s="631">
        <f t="shared" si="53"/>
        <v>5585.8377777777778</v>
      </c>
      <c r="BF60" s="631">
        <f t="shared" si="54"/>
        <v>1719.8000000000002</v>
      </c>
      <c r="BG60" s="631">
        <f t="shared" si="55"/>
        <v>1869.152222222222</v>
      </c>
      <c r="BH60" s="631">
        <f t="shared" si="56"/>
        <v>4105.3483333333334</v>
      </c>
      <c r="BI60" s="631"/>
      <c r="BJ60" s="631">
        <f t="shared" si="57"/>
        <v>2234.1944444444443</v>
      </c>
      <c r="BK60" s="631">
        <f t="shared" si="58"/>
        <v>1856.25</v>
      </c>
      <c r="BL60" s="631">
        <f t="shared" si="59"/>
        <v>4338.7222222222226</v>
      </c>
      <c r="BM60" s="631">
        <f t="shared" si="60"/>
        <v>573.22222222222217</v>
      </c>
      <c r="BN60" s="39">
        <f t="shared" si="18"/>
        <v>114108.54888888888</v>
      </c>
    </row>
    <row r="61" spans="1:66" s="335" customFormat="1" ht="12.75" customHeight="1" outlineLevel="1">
      <c r="A61" s="327" t="s">
        <v>56</v>
      </c>
      <c r="B61" s="327">
        <f t="shared" si="19"/>
        <v>2020</v>
      </c>
      <c r="C61" s="327" t="s">
        <v>47</v>
      </c>
      <c r="D61" s="39"/>
      <c r="E61" s="518"/>
      <c r="F61" s="518">
        <f t="shared" si="5"/>
        <v>4359678.58</v>
      </c>
      <c r="G61" s="518"/>
      <c r="H61" s="629">
        <v>107181.86</v>
      </c>
      <c r="I61" s="39">
        <f>SUM(H$5:H61)</f>
        <v>2841323.2499999991</v>
      </c>
      <c r="J61" s="518"/>
      <c r="K61" s="92">
        <f t="shared" si="28"/>
        <v>1518355.330000001</v>
      </c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518"/>
      <c r="Y61" s="39"/>
      <c r="Z61" s="39"/>
      <c r="AA61" s="39"/>
      <c r="AB61" s="39"/>
      <c r="AC61" s="518"/>
      <c r="AD61" s="39"/>
      <c r="AE61" s="39"/>
      <c r="AF61" s="39"/>
      <c r="AG61" s="39"/>
      <c r="AH61" s="39">
        <f t="shared" si="30"/>
        <v>10076.531944444445</v>
      </c>
      <c r="AI61" s="39">
        <f t="shared" si="31"/>
        <v>3349.3341666666665</v>
      </c>
      <c r="AJ61" s="39">
        <f t="shared" si="32"/>
        <v>3233.0830555555558</v>
      </c>
      <c r="AK61" s="39">
        <f t="shared" si="33"/>
        <v>7151.9641666666666</v>
      </c>
      <c r="AL61" s="39">
        <f t="shared" si="34"/>
        <v>2745.5936111111109</v>
      </c>
      <c r="AM61" s="39">
        <f t="shared" si="35"/>
        <v>4029.7349999999997</v>
      </c>
      <c r="AN61" s="39">
        <f t="shared" si="36"/>
        <v>3403.2725</v>
      </c>
      <c r="AO61" s="39">
        <f t="shared" si="37"/>
        <v>3999.9738888888887</v>
      </c>
      <c r="AP61" s="39">
        <f t="shared" si="38"/>
        <v>2406.5302777777779</v>
      </c>
      <c r="AQ61" s="39">
        <f t="shared" si="39"/>
        <v>4012.9591666666665</v>
      </c>
      <c r="AR61" s="39">
        <f t="shared" si="40"/>
        <v>2260.1858333333334</v>
      </c>
      <c r="AS61" s="39">
        <f t="shared" si="41"/>
        <v>2518.821388888889</v>
      </c>
      <c r="AT61" s="39">
        <f t="shared" si="42"/>
        <v>2898.4444444444443</v>
      </c>
      <c r="AU61" s="39">
        <f t="shared" si="43"/>
        <v>1778.3055555555557</v>
      </c>
      <c r="AV61" s="39">
        <f t="shared" si="44"/>
        <v>8701.0833333333339</v>
      </c>
      <c r="AW61" s="39">
        <f t="shared" si="45"/>
        <v>2348.0277777777778</v>
      </c>
      <c r="AX61" s="39">
        <f t="shared" si="46"/>
        <v>2743.7777777777778</v>
      </c>
      <c r="AY61" s="39">
        <f t="shared" si="47"/>
        <v>6026.8611111111113</v>
      </c>
      <c r="AZ61" s="39">
        <f t="shared" si="48"/>
        <v>2552.6111111111113</v>
      </c>
      <c r="BA61" s="39">
        <f t="shared" si="49"/>
        <v>5876.6944444444443</v>
      </c>
      <c r="BB61" s="631">
        <f t="shared" si="50"/>
        <v>648.91666666666663</v>
      </c>
      <c r="BC61" s="631">
        <f t="shared" si="51"/>
        <v>4887.1111111111113</v>
      </c>
      <c r="BD61" s="631">
        <f t="shared" si="52"/>
        <v>3395.9983333333334</v>
      </c>
      <c r="BE61" s="631">
        <f t="shared" si="53"/>
        <v>5585.8377777777778</v>
      </c>
      <c r="BF61" s="631">
        <f t="shared" si="54"/>
        <v>1719.8000000000002</v>
      </c>
      <c r="BG61" s="631">
        <f t="shared" si="55"/>
        <v>1869.152222222222</v>
      </c>
      <c r="BH61" s="631">
        <f t="shared" si="56"/>
        <v>4105.3483333333334</v>
      </c>
      <c r="BI61" s="631"/>
      <c r="BJ61" s="631">
        <f t="shared" si="57"/>
        <v>2234.1944444444443</v>
      </c>
      <c r="BK61" s="631">
        <f t="shared" si="58"/>
        <v>1856.25</v>
      </c>
      <c r="BL61" s="631">
        <f t="shared" si="59"/>
        <v>4338.7222222222226</v>
      </c>
      <c r="BM61" s="631">
        <f t="shared" si="60"/>
        <v>573.22222222222217</v>
      </c>
      <c r="BN61" s="39">
        <f t="shared" si="18"/>
        <v>113328.34388888888</v>
      </c>
    </row>
    <row r="62" spans="1:66" s="335" customFormat="1" ht="12.75" customHeight="1" outlineLevel="1">
      <c r="A62" s="327" t="s">
        <v>57</v>
      </c>
      <c r="B62" s="327">
        <f t="shared" si="19"/>
        <v>2020</v>
      </c>
      <c r="C62" s="327" t="s">
        <v>47</v>
      </c>
      <c r="D62" s="39"/>
      <c r="E62" s="518"/>
      <c r="F62" s="518">
        <f t="shared" si="5"/>
        <v>4359678.58</v>
      </c>
      <c r="G62" s="518"/>
      <c r="H62" s="629">
        <v>103812.39</v>
      </c>
      <c r="I62" s="39">
        <f>SUM(H$5:H62)</f>
        <v>2945135.6399999992</v>
      </c>
      <c r="J62" s="518"/>
      <c r="K62" s="92">
        <f t="shared" si="28"/>
        <v>1414542.9400000009</v>
      </c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518"/>
      <c r="Y62" s="39"/>
      <c r="Z62" s="39"/>
      <c r="AA62" s="39"/>
      <c r="AB62" s="39"/>
      <c r="AC62" s="518"/>
      <c r="AD62" s="39"/>
      <c r="AE62" s="39"/>
      <c r="AF62" s="39"/>
      <c r="AG62" s="39"/>
      <c r="AH62" s="39"/>
      <c r="AI62" s="39">
        <f t="shared" si="31"/>
        <v>3349.3341666666665</v>
      </c>
      <c r="AJ62" s="39">
        <f t="shared" si="32"/>
        <v>3233.0830555555558</v>
      </c>
      <c r="AK62" s="39">
        <f t="shared" si="33"/>
        <v>7151.9641666666666</v>
      </c>
      <c r="AL62" s="39">
        <f t="shared" si="34"/>
        <v>2745.5936111111109</v>
      </c>
      <c r="AM62" s="39">
        <f t="shared" si="35"/>
        <v>4029.7349999999997</v>
      </c>
      <c r="AN62" s="39">
        <f t="shared" si="36"/>
        <v>3403.2725</v>
      </c>
      <c r="AO62" s="39">
        <f t="shared" si="37"/>
        <v>3999.9738888888887</v>
      </c>
      <c r="AP62" s="39">
        <f t="shared" si="38"/>
        <v>2406.5302777777779</v>
      </c>
      <c r="AQ62" s="39">
        <f t="shared" si="39"/>
        <v>4012.9591666666665</v>
      </c>
      <c r="AR62" s="39">
        <f t="shared" si="40"/>
        <v>2260.1858333333334</v>
      </c>
      <c r="AS62" s="39">
        <f t="shared" si="41"/>
        <v>2518.821388888889</v>
      </c>
      <c r="AT62" s="39">
        <f t="shared" si="42"/>
        <v>2898.4444444444443</v>
      </c>
      <c r="AU62" s="39">
        <f t="shared" si="43"/>
        <v>1778.3055555555557</v>
      </c>
      <c r="AV62" s="39">
        <f t="shared" si="44"/>
        <v>8701.0833333333339</v>
      </c>
      <c r="AW62" s="39">
        <f t="shared" si="45"/>
        <v>2348.0277777777778</v>
      </c>
      <c r="AX62" s="39">
        <f t="shared" si="46"/>
        <v>2743.7777777777778</v>
      </c>
      <c r="AY62" s="39">
        <f t="shared" si="47"/>
        <v>6026.8611111111113</v>
      </c>
      <c r="AZ62" s="39">
        <f t="shared" si="48"/>
        <v>2552.6111111111113</v>
      </c>
      <c r="BA62" s="39">
        <f t="shared" si="49"/>
        <v>5876.6944444444443</v>
      </c>
      <c r="BB62" s="631">
        <f t="shared" si="50"/>
        <v>648.91666666666663</v>
      </c>
      <c r="BC62" s="631">
        <f t="shared" si="51"/>
        <v>4887.1111111111113</v>
      </c>
      <c r="BD62" s="631">
        <f t="shared" si="52"/>
        <v>3395.9983333333334</v>
      </c>
      <c r="BE62" s="631">
        <f t="shared" si="53"/>
        <v>5585.8377777777778</v>
      </c>
      <c r="BF62" s="631">
        <f t="shared" si="54"/>
        <v>1719.8000000000002</v>
      </c>
      <c r="BG62" s="631">
        <f t="shared" si="55"/>
        <v>1869.152222222222</v>
      </c>
      <c r="BH62" s="631">
        <f t="shared" si="56"/>
        <v>4105.3483333333334</v>
      </c>
      <c r="BI62" s="631"/>
      <c r="BJ62" s="631">
        <f t="shared" si="57"/>
        <v>2234.1944444444443</v>
      </c>
      <c r="BK62" s="631">
        <f t="shared" si="58"/>
        <v>1856.25</v>
      </c>
      <c r="BL62" s="631">
        <f t="shared" si="59"/>
        <v>4338.7222222222226</v>
      </c>
      <c r="BM62" s="631">
        <f t="shared" si="60"/>
        <v>573.22222222222217</v>
      </c>
      <c r="BN62" s="39">
        <f t="shared" si="18"/>
        <v>103251.81194444445</v>
      </c>
    </row>
    <row r="63" spans="1:66" s="335" customFormat="1" ht="12.75" customHeight="1" outlineLevel="1">
      <c r="A63" s="327" t="s">
        <v>58</v>
      </c>
      <c r="B63" s="327">
        <f t="shared" si="19"/>
        <v>2020</v>
      </c>
      <c r="C63" s="327" t="s">
        <v>47</v>
      </c>
      <c r="D63" s="39"/>
      <c r="E63" s="518"/>
      <c r="F63" s="518">
        <f t="shared" si="5"/>
        <v>4359678.58</v>
      </c>
      <c r="G63" s="518"/>
      <c r="H63" s="629">
        <v>102090.97</v>
      </c>
      <c r="I63" s="39">
        <f>SUM(H$5:H63)</f>
        <v>3047226.6099999994</v>
      </c>
      <c r="J63" s="518"/>
      <c r="K63" s="92">
        <f t="shared" si="28"/>
        <v>1312451.9700000007</v>
      </c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518"/>
      <c r="Y63" s="39"/>
      <c r="Z63" s="39"/>
      <c r="AA63" s="39"/>
      <c r="AB63" s="39"/>
      <c r="AC63" s="518"/>
      <c r="AD63" s="39"/>
      <c r="AE63" s="39"/>
      <c r="AF63" s="39"/>
      <c r="AG63" s="39"/>
      <c r="AH63" s="39"/>
      <c r="AI63" s="39"/>
      <c r="AJ63" s="39">
        <f t="shared" si="32"/>
        <v>3233.0830555555558</v>
      </c>
      <c r="AK63" s="39">
        <f t="shared" si="33"/>
        <v>7151.9641666666666</v>
      </c>
      <c r="AL63" s="39">
        <f t="shared" si="34"/>
        <v>2745.5936111111109</v>
      </c>
      <c r="AM63" s="39">
        <f t="shared" si="35"/>
        <v>4029.7349999999997</v>
      </c>
      <c r="AN63" s="39">
        <f t="shared" si="36"/>
        <v>3403.2725</v>
      </c>
      <c r="AO63" s="39">
        <f t="shared" si="37"/>
        <v>3999.9738888888887</v>
      </c>
      <c r="AP63" s="39">
        <f t="shared" si="38"/>
        <v>2406.5302777777779</v>
      </c>
      <c r="AQ63" s="39">
        <f t="shared" si="39"/>
        <v>4012.9591666666665</v>
      </c>
      <c r="AR63" s="39">
        <f t="shared" si="40"/>
        <v>2260.1858333333334</v>
      </c>
      <c r="AS63" s="39">
        <f t="shared" si="41"/>
        <v>2518.821388888889</v>
      </c>
      <c r="AT63" s="39">
        <f t="shared" si="42"/>
        <v>2898.4444444444443</v>
      </c>
      <c r="AU63" s="39">
        <f t="shared" si="43"/>
        <v>1778.3055555555557</v>
      </c>
      <c r="AV63" s="39">
        <f t="shared" si="44"/>
        <v>8701.0833333333339</v>
      </c>
      <c r="AW63" s="39">
        <f t="shared" si="45"/>
        <v>2348.0277777777778</v>
      </c>
      <c r="AX63" s="39">
        <f t="shared" si="46"/>
        <v>2743.7777777777778</v>
      </c>
      <c r="AY63" s="39">
        <f t="shared" si="47"/>
        <v>6026.8611111111113</v>
      </c>
      <c r="AZ63" s="39">
        <f t="shared" si="48"/>
        <v>2552.6111111111113</v>
      </c>
      <c r="BA63" s="39">
        <f t="shared" si="49"/>
        <v>5876.6944444444443</v>
      </c>
      <c r="BB63" s="631">
        <f t="shared" si="50"/>
        <v>648.91666666666663</v>
      </c>
      <c r="BC63" s="631">
        <f t="shared" si="51"/>
        <v>4887.1111111111113</v>
      </c>
      <c r="BD63" s="631">
        <f t="shared" si="52"/>
        <v>3395.9983333333334</v>
      </c>
      <c r="BE63" s="631">
        <f t="shared" si="53"/>
        <v>5585.8377777777778</v>
      </c>
      <c r="BF63" s="631">
        <f t="shared" si="54"/>
        <v>1719.8000000000002</v>
      </c>
      <c r="BG63" s="631">
        <f t="shared" si="55"/>
        <v>1869.152222222222</v>
      </c>
      <c r="BH63" s="631">
        <f t="shared" si="56"/>
        <v>4105.3483333333334</v>
      </c>
      <c r="BI63" s="631"/>
      <c r="BJ63" s="631">
        <f t="shared" si="57"/>
        <v>2234.1944444444443</v>
      </c>
      <c r="BK63" s="631">
        <f t="shared" si="58"/>
        <v>1856.25</v>
      </c>
      <c r="BL63" s="631">
        <f t="shared" si="59"/>
        <v>4338.7222222222226</v>
      </c>
      <c r="BM63" s="631">
        <f t="shared" si="60"/>
        <v>573.22222222222217</v>
      </c>
      <c r="BN63" s="39">
        <f t="shared" si="18"/>
        <v>99902.477777777778</v>
      </c>
    </row>
    <row r="64" spans="1:66" s="335" customFormat="1" ht="12.75" customHeight="1" outlineLevel="1">
      <c r="A64" s="327" t="s">
        <v>59</v>
      </c>
      <c r="B64" s="327">
        <f t="shared" si="19"/>
        <v>2020</v>
      </c>
      <c r="C64" s="327" t="s">
        <v>47</v>
      </c>
      <c r="D64" s="39"/>
      <c r="E64" s="518"/>
      <c r="F64" s="518">
        <f>F63+D64</f>
        <v>4359678.58</v>
      </c>
      <c r="G64" s="518"/>
      <c r="H64" s="629">
        <v>95271.25</v>
      </c>
      <c r="I64" s="39">
        <f>SUM(H$5:H64)</f>
        <v>3142497.8599999994</v>
      </c>
      <c r="J64" s="518"/>
      <c r="K64" s="92">
        <f t="shared" ref="K64:K77" si="61">F64-I64</f>
        <v>1217180.7200000007</v>
      </c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518"/>
      <c r="Y64" s="39"/>
      <c r="Z64" s="39"/>
      <c r="AA64" s="39"/>
      <c r="AB64" s="39"/>
      <c r="AC64" s="518"/>
      <c r="AD64" s="39"/>
      <c r="AE64" s="39"/>
      <c r="AF64" s="39"/>
      <c r="AG64" s="39"/>
      <c r="AH64" s="39"/>
      <c r="AI64" s="39"/>
      <c r="AJ64" s="39"/>
      <c r="AK64" s="39">
        <f t="shared" si="33"/>
        <v>7151.9641666666666</v>
      </c>
      <c r="AL64" s="39">
        <f t="shared" si="34"/>
        <v>2745.5936111111109</v>
      </c>
      <c r="AM64" s="39">
        <f t="shared" si="35"/>
        <v>4029.7349999999997</v>
      </c>
      <c r="AN64" s="39">
        <f t="shared" si="36"/>
        <v>3403.2725</v>
      </c>
      <c r="AO64" s="39">
        <f t="shared" si="37"/>
        <v>3999.9738888888887</v>
      </c>
      <c r="AP64" s="39">
        <f t="shared" si="38"/>
        <v>2406.5302777777779</v>
      </c>
      <c r="AQ64" s="39">
        <f t="shared" si="39"/>
        <v>4012.9591666666665</v>
      </c>
      <c r="AR64" s="39">
        <f t="shared" si="40"/>
        <v>2260.1858333333334</v>
      </c>
      <c r="AS64" s="39">
        <f t="shared" si="41"/>
        <v>2518.821388888889</v>
      </c>
      <c r="AT64" s="39">
        <f t="shared" si="42"/>
        <v>2898.4444444444443</v>
      </c>
      <c r="AU64" s="39">
        <f t="shared" si="43"/>
        <v>1778.3055555555557</v>
      </c>
      <c r="AV64" s="39">
        <f t="shared" si="44"/>
        <v>8701.0833333333339</v>
      </c>
      <c r="AW64" s="39">
        <f t="shared" si="45"/>
        <v>2348.0277777777778</v>
      </c>
      <c r="AX64" s="39">
        <f t="shared" si="46"/>
        <v>2743.7777777777778</v>
      </c>
      <c r="AY64" s="39">
        <f t="shared" si="47"/>
        <v>6026.8611111111113</v>
      </c>
      <c r="AZ64" s="39">
        <f t="shared" si="48"/>
        <v>2552.6111111111113</v>
      </c>
      <c r="BA64" s="39">
        <f t="shared" si="49"/>
        <v>5876.6944444444443</v>
      </c>
      <c r="BB64" s="631">
        <f t="shared" si="50"/>
        <v>648.91666666666663</v>
      </c>
      <c r="BC64" s="631">
        <f t="shared" si="51"/>
        <v>4887.1111111111113</v>
      </c>
      <c r="BD64" s="631">
        <f t="shared" si="52"/>
        <v>3395.9983333333334</v>
      </c>
      <c r="BE64" s="631">
        <f t="shared" si="53"/>
        <v>5585.8377777777778</v>
      </c>
      <c r="BF64" s="631">
        <f t="shared" si="54"/>
        <v>1719.8000000000002</v>
      </c>
      <c r="BG64" s="631">
        <f t="shared" si="55"/>
        <v>1869.152222222222</v>
      </c>
      <c r="BH64" s="631">
        <f t="shared" si="56"/>
        <v>4105.3483333333334</v>
      </c>
      <c r="BI64" s="631"/>
      <c r="BJ64" s="631">
        <f t="shared" si="57"/>
        <v>2234.1944444444443</v>
      </c>
      <c r="BK64" s="631">
        <f t="shared" si="58"/>
        <v>1856.25</v>
      </c>
      <c r="BL64" s="631">
        <f t="shared" si="59"/>
        <v>4338.7222222222226</v>
      </c>
      <c r="BM64" s="631">
        <f t="shared" si="60"/>
        <v>573.22222222222217</v>
      </c>
      <c r="BN64" s="39">
        <f t="shared" si="18"/>
        <v>96669.39472222222</v>
      </c>
    </row>
    <row r="65" spans="1:66" s="335" customFormat="1" ht="12.75" customHeight="1" outlineLevel="1">
      <c r="A65" s="327" t="s">
        <v>46</v>
      </c>
      <c r="B65" s="327">
        <f t="shared" si="19"/>
        <v>2020</v>
      </c>
      <c r="C65" s="327" t="s">
        <v>47</v>
      </c>
      <c r="D65" s="39"/>
      <c r="E65" s="518"/>
      <c r="F65" s="518">
        <f>F64+D65</f>
        <v>4359678.58</v>
      </c>
      <c r="G65" s="518"/>
      <c r="H65" s="518">
        <v>96351.28</v>
      </c>
      <c r="I65" s="39">
        <f>SUM(H$5:H65)</f>
        <v>3238849.1399999992</v>
      </c>
      <c r="J65" s="518"/>
      <c r="K65" s="92">
        <f t="shared" si="61"/>
        <v>1120829.4400000009</v>
      </c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518"/>
      <c r="Y65" s="39"/>
      <c r="Z65" s="39"/>
      <c r="AA65" s="39"/>
      <c r="AB65" s="39"/>
      <c r="AC65" s="518"/>
      <c r="AD65" s="39"/>
      <c r="AE65" s="39"/>
      <c r="AF65" s="39"/>
      <c r="AG65" s="39"/>
      <c r="AH65" s="39"/>
      <c r="AI65" s="39"/>
      <c r="AJ65" s="39"/>
      <c r="AK65" s="518"/>
      <c r="AL65" s="39">
        <f t="shared" si="34"/>
        <v>2745.5936111111109</v>
      </c>
      <c r="AM65" s="39">
        <f t="shared" si="35"/>
        <v>4029.7349999999997</v>
      </c>
      <c r="AN65" s="39">
        <f t="shared" si="36"/>
        <v>3403.2725</v>
      </c>
      <c r="AO65" s="39">
        <f t="shared" si="37"/>
        <v>3999.9738888888887</v>
      </c>
      <c r="AP65" s="39">
        <f t="shared" si="38"/>
        <v>2406.5302777777779</v>
      </c>
      <c r="AQ65" s="39">
        <f t="shared" si="39"/>
        <v>4012.9591666666665</v>
      </c>
      <c r="AR65" s="39">
        <f t="shared" si="40"/>
        <v>2260.1858333333334</v>
      </c>
      <c r="AS65" s="39">
        <f t="shared" si="41"/>
        <v>2518.821388888889</v>
      </c>
      <c r="AT65" s="39">
        <f t="shared" si="42"/>
        <v>2898.4444444444443</v>
      </c>
      <c r="AU65" s="39">
        <f t="shared" si="43"/>
        <v>1778.3055555555557</v>
      </c>
      <c r="AV65" s="39">
        <f t="shared" si="44"/>
        <v>8701.0833333333339</v>
      </c>
      <c r="AW65" s="39">
        <f t="shared" si="45"/>
        <v>2348.0277777777778</v>
      </c>
      <c r="AX65" s="39">
        <f t="shared" si="46"/>
        <v>2743.7777777777778</v>
      </c>
      <c r="AY65" s="39">
        <f t="shared" si="47"/>
        <v>6026.8611111111113</v>
      </c>
      <c r="AZ65" s="39">
        <f t="shared" si="48"/>
        <v>2552.6111111111113</v>
      </c>
      <c r="BA65" s="39">
        <f t="shared" si="49"/>
        <v>5876.6944444444443</v>
      </c>
      <c r="BB65" s="631">
        <f t="shared" si="50"/>
        <v>648.91666666666663</v>
      </c>
      <c r="BC65" s="631">
        <f t="shared" si="51"/>
        <v>4887.1111111111113</v>
      </c>
      <c r="BD65" s="631">
        <f t="shared" si="52"/>
        <v>3395.9983333333334</v>
      </c>
      <c r="BE65" s="631">
        <f t="shared" si="53"/>
        <v>5585.8377777777778</v>
      </c>
      <c r="BF65" s="631">
        <f t="shared" si="54"/>
        <v>1719.8000000000002</v>
      </c>
      <c r="BG65" s="631">
        <f t="shared" si="55"/>
        <v>1869.152222222222</v>
      </c>
      <c r="BH65" s="631">
        <f t="shared" si="56"/>
        <v>4105.3483333333334</v>
      </c>
      <c r="BI65" s="631"/>
      <c r="BJ65" s="631">
        <f t="shared" si="57"/>
        <v>2234.1944444444443</v>
      </c>
      <c r="BK65" s="631">
        <f t="shared" si="58"/>
        <v>1856.25</v>
      </c>
      <c r="BL65" s="631">
        <f t="shared" si="59"/>
        <v>4338.7222222222226</v>
      </c>
      <c r="BM65" s="631">
        <f t="shared" si="60"/>
        <v>573.22222222222217</v>
      </c>
      <c r="BN65" s="39">
        <f t="shared" si="18"/>
        <v>89517.430555555547</v>
      </c>
    </row>
    <row r="66" spans="1:66" s="335" customFormat="1" ht="12.75" customHeight="1" outlineLevel="1">
      <c r="A66" s="327" t="s">
        <v>48</v>
      </c>
      <c r="B66" s="327">
        <f t="shared" si="19"/>
        <v>2020</v>
      </c>
      <c r="C66" s="327" t="s">
        <v>47</v>
      </c>
      <c r="D66" s="39"/>
      <c r="E66" s="518"/>
      <c r="F66" s="518">
        <f>F65+D66</f>
        <v>4359678.58</v>
      </c>
      <c r="G66" s="518"/>
      <c r="H66" s="518">
        <v>83770.149999999994</v>
      </c>
      <c r="I66" s="39">
        <f>SUM(H$5:H66)</f>
        <v>3322619.2899999991</v>
      </c>
      <c r="J66" s="518"/>
      <c r="K66" s="92">
        <f t="shared" si="61"/>
        <v>1037059.290000001</v>
      </c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518"/>
      <c r="Y66" s="39"/>
      <c r="Z66" s="39"/>
      <c r="AA66" s="39"/>
      <c r="AB66" s="39"/>
      <c r="AC66" s="518"/>
      <c r="AD66" s="39"/>
      <c r="AE66" s="39"/>
      <c r="AF66" s="39"/>
      <c r="AG66" s="39"/>
      <c r="AH66" s="39"/>
      <c r="AI66" s="39"/>
      <c r="AJ66" s="39"/>
      <c r="AK66" s="518"/>
      <c r="AL66" s="39"/>
      <c r="AM66" s="39">
        <f t="shared" si="35"/>
        <v>4029.7349999999997</v>
      </c>
      <c r="AN66" s="39">
        <f t="shared" si="36"/>
        <v>3403.2725</v>
      </c>
      <c r="AO66" s="39">
        <f t="shared" si="37"/>
        <v>3999.9738888888887</v>
      </c>
      <c r="AP66" s="39">
        <f t="shared" si="38"/>
        <v>2406.5302777777779</v>
      </c>
      <c r="AQ66" s="39">
        <f t="shared" si="39"/>
        <v>4012.9591666666665</v>
      </c>
      <c r="AR66" s="39">
        <f t="shared" si="40"/>
        <v>2260.1858333333334</v>
      </c>
      <c r="AS66" s="39">
        <f t="shared" si="41"/>
        <v>2518.821388888889</v>
      </c>
      <c r="AT66" s="39">
        <f t="shared" si="42"/>
        <v>2898.4444444444443</v>
      </c>
      <c r="AU66" s="39">
        <f t="shared" si="43"/>
        <v>1778.3055555555557</v>
      </c>
      <c r="AV66" s="39">
        <f t="shared" si="44"/>
        <v>8701.0833333333339</v>
      </c>
      <c r="AW66" s="39">
        <f t="shared" si="45"/>
        <v>2348.0277777777778</v>
      </c>
      <c r="AX66" s="39">
        <f t="shared" si="46"/>
        <v>2743.7777777777778</v>
      </c>
      <c r="AY66" s="39">
        <f t="shared" si="47"/>
        <v>6026.8611111111113</v>
      </c>
      <c r="AZ66" s="39">
        <f t="shared" si="48"/>
        <v>2552.6111111111113</v>
      </c>
      <c r="BA66" s="39">
        <f t="shared" si="49"/>
        <v>5876.6944444444443</v>
      </c>
      <c r="BB66" s="631">
        <f t="shared" si="50"/>
        <v>648.91666666666663</v>
      </c>
      <c r="BC66" s="631">
        <f t="shared" si="51"/>
        <v>4887.1111111111113</v>
      </c>
      <c r="BD66" s="631">
        <f t="shared" si="52"/>
        <v>3395.9983333333334</v>
      </c>
      <c r="BE66" s="631">
        <f t="shared" si="53"/>
        <v>5585.8377777777778</v>
      </c>
      <c r="BF66" s="631">
        <f t="shared" si="54"/>
        <v>1719.8000000000002</v>
      </c>
      <c r="BG66" s="631">
        <f t="shared" si="55"/>
        <v>1869.152222222222</v>
      </c>
      <c r="BH66" s="631">
        <f t="shared" si="56"/>
        <v>4105.3483333333334</v>
      </c>
      <c r="BI66" s="631"/>
      <c r="BJ66" s="631">
        <f t="shared" si="57"/>
        <v>2234.1944444444443</v>
      </c>
      <c r="BK66" s="631">
        <f t="shared" si="58"/>
        <v>1856.25</v>
      </c>
      <c r="BL66" s="631">
        <f t="shared" si="59"/>
        <v>4338.7222222222226</v>
      </c>
      <c r="BM66" s="631">
        <f t="shared" si="60"/>
        <v>573.22222222222217</v>
      </c>
      <c r="BN66" s="39">
        <f t="shared" si="18"/>
        <v>86771.83694444444</v>
      </c>
    </row>
    <row r="67" spans="1:66" s="335" customFormat="1" outlineLevel="1">
      <c r="A67" s="327" t="s">
        <v>50</v>
      </c>
      <c r="B67" s="327">
        <f t="shared" si="19"/>
        <v>2020</v>
      </c>
      <c r="C67" s="327" t="s">
        <v>47</v>
      </c>
      <c r="D67" s="518"/>
      <c r="E67" s="518"/>
      <c r="F67" s="518">
        <f t="shared" ref="F67:F77" si="62">F66+D67</f>
        <v>4359678.58</v>
      </c>
      <c r="G67" s="518"/>
      <c r="H67" s="629">
        <v>79576.539999999994</v>
      </c>
      <c r="I67" s="39">
        <f>SUM(H$5:H67)</f>
        <v>3402195.8299999991</v>
      </c>
      <c r="J67" s="518"/>
      <c r="K67" s="92">
        <f t="shared" si="61"/>
        <v>957482.75000000093</v>
      </c>
      <c r="M67" s="586"/>
      <c r="N67" s="586"/>
      <c r="O67" s="586"/>
      <c r="P67" s="586"/>
      <c r="Q67" s="586"/>
      <c r="R67" s="586"/>
      <c r="S67" s="586"/>
      <c r="T67" s="586"/>
      <c r="U67" s="586"/>
      <c r="V67" s="586"/>
      <c r="W67" s="586"/>
      <c r="X67" s="586"/>
      <c r="Y67" s="586"/>
      <c r="Z67" s="586"/>
      <c r="AA67" s="586"/>
      <c r="AB67" s="586"/>
      <c r="AC67" s="586"/>
      <c r="AD67" s="586"/>
      <c r="AE67" s="586"/>
      <c r="AF67" s="586"/>
      <c r="AG67" s="586"/>
      <c r="AH67" s="586"/>
      <c r="AI67" s="586"/>
      <c r="AJ67" s="586"/>
      <c r="AK67" s="586"/>
      <c r="AL67" s="586"/>
      <c r="AM67" s="586"/>
      <c r="AN67" s="39">
        <f t="shared" si="36"/>
        <v>3403.2725</v>
      </c>
      <c r="AO67" s="39">
        <f t="shared" si="37"/>
        <v>3999.9738888888887</v>
      </c>
      <c r="AP67" s="39">
        <f t="shared" si="38"/>
        <v>2406.5302777777779</v>
      </c>
      <c r="AQ67" s="39">
        <f t="shared" si="39"/>
        <v>4012.9591666666665</v>
      </c>
      <c r="AR67" s="39">
        <f t="shared" si="40"/>
        <v>2260.1858333333334</v>
      </c>
      <c r="AS67" s="39">
        <f t="shared" si="41"/>
        <v>2518.821388888889</v>
      </c>
      <c r="AT67" s="39">
        <f t="shared" si="42"/>
        <v>2898.4444444444443</v>
      </c>
      <c r="AU67" s="39">
        <f t="shared" si="43"/>
        <v>1778.3055555555557</v>
      </c>
      <c r="AV67" s="39">
        <f t="shared" si="44"/>
        <v>8701.0833333333339</v>
      </c>
      <c r="AW67" s="39">
        <f t="shared" si="45"/>
        <v>2348.0277777777778</v>
      </c>
      <c r="AX67" s="39">
        <f t="shared" si="46"/>
        <v>2743.7777777777778</v>
      </c>
      <c r="AY67" s="39">
        <f t="shared" si="47"/>
        <v>6026.8611111111113</v>
      </c>
      <c r="AZ67" s="39">
        <f t="shared" si="48"/>
        <v>2552.6111111111113</v>
      </c>
      <c r="BA67" s="39">
        <f t="shared" si="49"/>
        <v>5876.6944444444443</v>
      </c>
      <c r="BB67" s="631">
        <f t="shared" si="50"/>
        <v>648.91666666666663</v>
      </c>
      <c r="BC67" s="631">
        <f t="shared" si="51"/>
        <v>4887.1111111111113</v>
      </c>
      <c r="BD67" s="631">
        <f t="shared" si="52"/>
        <v>3395.9983333333334</v>
      </c>
      <c r="BE67" s="631">
        <f t="shared" si="53"/>
        <v>5585.8377777777778</v>
      </c>
      <c r="BF67" s="631">
        <f t="shared" si="54"/>
        <v>1719.8000000000002</v>
      </c>
      <c r="BG67" s="631">
        <f t="shared" si="55"/>
        <v>1869.152222222222</v>
      </c>
      <c r="BH67" s="631">
        <f t="shared" si="56"/>
        <v>4105.3483333333334</v>
      </c>
      <c r="BI67" s="631"/>
      <c r="BJ67" s="631">
        <f t="shared" si="57"/>
        <v>2234.1944444444443</v>
      </c>
      <c r="BK67" s="631">
        <f t="shared" si="58"/>
        <v>1856.25</v>
      </c>
      <c r="BL67" s="631">
        <f t="shared" si="59"/>
        <v>4338.7222222222226</v>
      </c>
      <c r="BM67" s="631">
        <f t="shared" si="60"/>
        <v>573.22222222222217</v>
      </c>
      <c r="BN67" s="39">
        <f t="shared" si="18"/>
        <v>82742.101944444439</v>
      </c>
    </row>
    <row r="68" spans="1:66" s="335" customFormat="1" outlineLevel="1">
      <c r="A68" s="327" t="s">
        <v>51</v>
      </c>
      <c r="B68" s="327">
        <f t="shared" si="19"/>
        <v>2020</v>
      </c>
      <c r="C68" s="327" t="s">
        <v>47</v>
      </c>
      <c r="D68" s="518"/>
      <c r="E68" s="518"/>
      <c r="F68" s="518">
        <f t="shared" si="62"/>
        <v>4359678.58</v>
      </c>
      <c r="G68" s="518"/>
      <c r="H68" s="629">
        <v>65472.32</v>
      </c>
      <c r="I68" s="39">
        <f>SUM(H$5:H68)</f>
        <v>3467668.149999999</v>
      </c>
      <c r="J68" s="518"/>
      <c r="K68" s="92">
        <f t="shared" si="61"/>
        <v>892010.4300000011</v>
      </c>
      <c r="M68" s="586"/>
      <c r="N68" s="586"/>
      <c r="O68" s="586"/>
      <c r="P68" s="586"/>
      <c r="Q68" s="586"/>
      <c r="R68" s="586"/>
      <c r="S68" s="586"/>
      <c r="T68" s="586"/>
      <c r="U68" s="586"/>
      <c r="V68" s="586"/>
      <c r="W68" s="586"/>
      <c r="X68" s="586"/>
      <c r="Y68" s="586"/>
      <c r="Z68" s="586"/>
      <c r="AA68" s="586"/>
      <c r="AB68" s="586"/>
      <c r="AC68" s="586"/>
      <c r="AD68" s="586"/>
      <c r="AE68" s="586"/>
      <c r="AF68" s="586"/>
      <c r="AG68" s="586"/>
      <c r="AH68" s="586"/>
      <c r="AI68" s="586"/>
      <c r="AJ68" s="586"/>
      <c r="AK68" s="586"/>
      <c r="AL68" s="586"/>
      <c r="AM68" s="586"/>
      <c r="AN68" s="586"/>
      <c r="AO68" s="39">
        <f t="shared" si="37"/>
        <v>3999.9738888888887</v>
      </c>
      <c r="AP68" s="39">
        <f t="shared" si="38"/>
        <v>2406.5302777777779</v>
      </c>
      <c r="AQ68" s="39">
        <f t="shared" si="39"/>
        <v>4012.9591666666665</v>
      </c>
      <c r="AR68" s="39">
        <f t="shared" si="40"/>
        <v>2260.1858333333334</v>
      </c>
      <c r="AS68" s="39">
        <f t="shared" si="41"/>
        <v>2518.821388888889</v>
      </c>
      <c r="AT68" s="39">
        <f t="shared" si="42"/>
        <v>2898.4444444444443</v>
      </c>
      <c r="AU68" s="39">
        <f t="shared" si="43"/>
        <v>1778.3055555555557</v>
      </c>
      <c r="AV68" s="39">
        <f t="shared" si="44"/>
        <v>8701.0833333333339</v>
      </c>
      <c r="AW68" s="39">
        <f t="shared" si="45"/>
        <v>2348.0277777777778</v>
      </c>
      <c r="AX68" s="39">
        <f t="shared" si="46"/>
        <v>2743.7777777777778</v>
      </c>
      <c r="AY68" s="39">
        <f t="shared" si="47"/>
        <v>6026.8611111111113</v>
      </c>
      <c r="AZ68" s="39">
        <f t="shared" si="48"/>
        <v>2552.6111111111113</v>
      </c>
      <c r="BA68" s="39">
        <f t="shared" si="49"/>
        <v>5876.6944444444443</v>
      </c>
      <c r="BB68" s="631">
        <f t="shared" si="50"/>
        <v>648.91666666666663</v>
      </c>
      <c r="BC68" s="631">
        <f t="shared" si="51"/>
        <v>4887.1111111111113</v>
      </c>
      <c r="BD68" s="631">
        <f t="shared" si="52"/>
        <v>3395.9983333333334</v>
      </c>
      <c r="BE68" s="631">
        <f t="shared" si="53"/>
        <v>5585.8377777777778</v>
      </c>
      <c r="BF68" s="631">
        <f t="shared" si="54"/>
        <v>1719.8000000000002</v>
      </c>
      <c r="BG68" s="631">
        <f t="shared" si="55"/>
        <v>1869.152222222222</v>
      </c>
      <c r="BH68" s="631">
        <f t="shared" si="56"/>
        <v>4105.3483333333334</v>
      </c>
      <c r="BI68" s="631"/>
      <c r="BJ68" s="631">
        <f t="shared" si="57"/>
        <v>2234.1944444444443</v>
      </c>
      <c r="BK68" s="631">
        <f t="shared" si="58"/>
        <v>1856.25</v>
      </c>
      <c r="BL68" s="631">
        <f t="shared" si="59"/>
        <v>4338.7222222222226</v>
      </c>
      <c r="BM68" s="631">
        <f t="shared" si="60"/>
        <v>573.22222222222217</v>
      </c>
      <c r="BN68" s="39">
        <f t="shared" si="18"/>
        <v>79338.829444444433</v>
      </c>
    </row>
    <row r="69" spans="1:66" s="335" customFormat="1" outlineLevel="1">
      <c r="A69" s="327" t="s">
        <v>52</v>
      </c>
      <c r="B69" s="332">
        <f t="shared" si="19"/>
        <v>2020</v>
      </c>
      <c r="C69" s="332" t="s">
        <v>47</v>
      </c>
      <c r="D69" s="212"/>
      <c r="E69" s="212"/>
      <c r="F69" s="212">
        <f t="shared" si="62"/>
        <v>4359678.58</v>
      </c>
      <c r="G69" s="212"/>
      <c r="H69" s="629">
        <v>77960.41</v>
      </c>
      <c r="I69" s="212">
        <f>SUM(H$5:H69)</f>
        <v>3545628.5599999991</v>
      </c>
      <c r="J69" s="518"/>
      <c r="K69" s="588">
        <f t="shared" si="61"/>
        <v>814050.02000000095</v>
      </c>
      <c r="L69" s="333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212">
        <f t="shared" si="38"/>
        <v>2406.5302777777779</v>
      </c>
      <c r="AQ69" s="212">
        <f t="shared" si="39"/>
        <v>4012.9591666666665</v>
      </c>
      <c r="AR69" s="212">
        <f t="shared" si="40"/>
        <v>2260.1858333333334</v>
      </c>
      <c r="AS69" s="212">
        <f t="shared" si="41"/>
        <v>2518.821388888889</v>
      </c>
      <c r="AT69" s="212">
        <f t="shared" si="42"/>
        <v>2898.4444444444443</v>
      </c>
      <c r="AU69" s="212">
        <f t="shared" si="43"/>
        <v>1778.3055555555557</v>
      </c>
      <c r="AV69" s="212">
        <f t="shared" si="44"/>
        <v>8701.0833333333339</v>
      </c>
      <c r="AW69" s="212">
        <f t="shared" si="45"/>
        <v>2348.0277777777778</v>
      </c>
      <c r="AX69" s="212">
        <f t="shared" si="46"/>
        <v>2743.7777777777778</v>
      </c>
      <c r="AY69" s="212">
        <f t="shared" si="47"/>
        <v>6026.8611111111113</v>
      </c>
      <c r="AZ69" s="212">
        <f t="shared" si="48"/>
        <v>2552.6111111111113</v>
      </c>
      <c r="BA69" s="212">
        <f t="shared" si="49"/>
        <v>5876.6944444444443</v>
      </c>
      <c r="BB69" s="631">
        <f t="shared" si="50"/>
        <v>648.91666666666663</v>
      </c>
      <c r="BC69" s="631">
        <f t="shared" si="51"/>
        <v>4887.1111111111113</v>
      </c>
      <c r="BD69" s="631">
        <f t="shared" si="52"/>
        <v>3395.9983333333334</v>
      </c>
      <c r="BE69" s="631">
        <f t="shared" si="53"/>
        <v>5585.8377777777778</v>
      </c>
      <c r="BF69" s="631">
        <f t="shared" si="54"/>
        <v>1719.8000000000002</v>
      </c>
      <c r="BG69" s="631">
        <f t="shared" si="55"/>
        <v>1869.152222222222</v>
      </c>
      <c r="BH69" s="631">
        <f t="shared" si="56"/>
        <v>4105.3483333333334</v>
      </c>
      <c r="BI69" s="631"/>
      <c r="BJ69" s="631">
        <f t="shared" si="57"/>
        <v>2234.1944444444443</v>
      </c>
      <c r="BK69" s="631">
        <f t="shared" si="58"/>
        <v>1856.25</v>
      </c>
      <c r="BL69" s="631">
        <f t="shared" si="59"/>
        <v>4338.7222222222226</v>
      </c>
      <c r="BM69" s="631">
        <f t="shared" si="60"/>
        <v>573.22222222222217</v>
      </c>
      <c r="BN69" s="39">
        <f t="shared" si="18"/>
        <v>75338.855555555536</v>
      </c>
    </row>
    <row r="70" spans="1:66" s="335" customFormat="1" outlineLevel="1">
      <c r="A70" s="327" t="s">
        <v>53</v>
      </c>
      <c r="B70" s="327">
        <f t="shared" si="19"/>
        <v>2021</v>
      </c>
      <c r="C70" s="327" t="s">
        <v>47</v>
      </c>
      <c r="D70" s="518"/>
      <c r="E70" s="518"/>
      <c r="F70" s="518">
        <f t="shared" si="62"/>
        <v>4359678.58</v>
      </c>
      <c r="G70" s="518"/>
      <c r="H70" s="629">
        <v>68177.42</v>
      </c>
      <c r="I70" s="39">
        <f>SUM(H$5:H70)</f>
        <v>3613805.9799999991</v>
      </c>
      <c r="J70" s="518"/>
      <c r="K70" s="92">
        <f t="shared" si="61"/>
        <v>745872.60000000102</v>
      </c>
      <c r="M70" s="586"/>
      <c r="N70" s="586"/>
      <c r="O70" s="586"/>
      <c r="P70" s="586"/>
      <c r="Q70" s="586"/>
      <c r="R70" s="586"/>
      <c r="S70" s="586"/>
      <c r="T70" s="586"/>
      <c r="U70" s="586"/>
      <c r="V70" s="586"/>
      <c r="W70" s="586"/>
      <c r="X70" s="586"/>
      <c r="Y70" s="586"/>
      <c r="Z70" s="586"/>
      <c r="AA70" s="586"/>
      <c r="AB70" s="586"/>
      <c r="AC70" s="586"/>
      <c r="AD70" s="586"/>
      <c r="AE70" s="586"/>
      <c r="AF70" s="586"/>
      <c r="AG70" s="586"/>
      <c r="AH70" s="586"/>
      <c r="AI70" s="586"/>
      <c r="AJ70" s="586"/>
      <c r="AK70" s="586"/>
      <c r="AL70" s="586"/>
      <c r="AM70" s="586"/>
      <c r="AN70" s="586"/>
      <c r="AO70" s="586"/>
      <c r="AP70" s="586"/>
      <c r="AQ70" s="39">
        <f t="shared" si="39"/>
        <v>4012.9591666666665</v>
      </c>
      <c r="AR70" s="39">
        <f t="shared" si="40"/>
        <v>2260.1858333333334</v>
      </c>
      <c r="AS70" s="39">
        <f t="shared" si="41"/>
        <v>2518.821388888889</v>
      </c>
      <c r="AT70" s="39">
        <f t="shared" si="42"/>
        <v>2898.4444444444443</v>
      </c>
      <c r="AU70" s="39">
        <f t="shared" si="43"/>
        <v>1778.3055555555557</v>
      </c>
      <c r="AV70" s="39">
        <f t="shared" si="44"/>
        <v>8701.0833333333339</v>
      </c>
      <c r="AW70" s="39">
        <f t="shared" si="45"/>
        <v>2348.0277777777778</v>
      </c>
      <c r="AX70" s="39">
        <f t="shared" si="46"/>
        <v>2743.7777777777778</v>
      </c>
      <c r="AY70" s="39">
        <f t="shared" si="47"/>
        <v>6026.8611111111113</v>
      </c>
      <c r="AZ70" s="39">
        <f t="shared" si="48"/>
        <v>2552.6111111111113</v>
      </c>
      <c r="BA70" s="39">
        <f t="shared" si="49"/>
        <v>5876.6944444444443</v>
      </c>
      <c r="BB70" s="631">
        <f t="shared" si="50"/>
        <v>648.91666666666663</v>
      </c>
      <c r="BC70" s="631">
        <f t="shared" si="51"/>
        <v>4887.1111111111113</v>
      </c>
      <c r="BD70" s="631">
        <f t="shared" si="52"/>
        <v>3395.9983333333334</v>
      </c>
      <c r="BE70" s="631">
        <f t="shared" si="53"/>
        <v>5585.8377777777778</v>
      </c>
      <c r="BF70" s="631">
        <f t="shared" si="54"/>
        <v>1719.8000000000002</v>
      </c>
      <c r="BG70" s="631">
        <f t="shared" si="55"/>
        <v>1869.152222222222</v>
      </c>
      <c r="BH70" s="631">
        <f t="shared" si="56"/>
        <v>4105.3483333333334</v>
      </c>
      <c r="BI70" s="631"/>
      <c r="BJ70" s="631">
        <f t="shared" si="57"/>
        <v>2234.1944444444443</v>
      </c>
      <c r="BK70" s="631">
        <f t="shared" si="58"/>
        <v>1856.25</v>
      </c>
      <c r="BL70" s="631">
        <f t="shared" si="59"/>
        <v>4338.7222222222226</v>
      </c>
      <c r="BM70" s="631">
        <f t="shared" si="60"/>
        <v>573.22222222222217</v>
      </c>
      <c r="BN70" s="39">
        <f t="shared" si="18"/>
        <v>72932.325277777767</v>
      </c>
    </row>
    <row r="71" spans="1:66" s="335" customFormat="1" outlineLevel="1">
      <c r="A71" s="327" t="s">
        <v>54</v>
      </c>
      <c r="B71" s="327">
        <f t="shared" si="19"/>
        <v>2021</v>
      </c>
      <c r="C71" s="327" t="s">
        <v>47</v>
      </c>
      <c r="D71" s="518"/>
      <c r="E71" s="518"/>
      <c r="F71" s="518">
        <f t="shared" si="62"/>
        <v>4359678.58</v>
      </c>
      <c r="G71" s="518"/>
      <c r="H71" s="629">
        <v>62437.31</v>
      </c>
      <c r="I71" s="39">
        <f>SUM(H$5:H71)</f>
        <v>3676243.2899999991</v>
      </c>
      <c r="J71" s="518"/>
      <c r="K71" s="92">
        <f t="shared" si="61"/>
        <v>683435.29000000097</v>
      </c>
      <c r="M71" s="586"/>
      <c r="N71" s="586"/>
      <c r="O71" s="586"/>
      <c r="P71" s="586"/>
      <c r="Q71" s="586"/>
      <c r="R71" s="586"/>
      <c r="S71" s="586"/>
      <c r="T71" s="586"/>
      <c r="U71" s="586"/>
      <c r="V71" s="586"/>
      <c r="W71" s="586"/>
      <c r="X71" s="586"/>
      <c r="Y71" s="586"/>
      <c r="Z71" s="586"/>
      <c r="AA71" s="586"/>
      <c r="AB71" s="586"/>
      <c r="AC71" s="586"/>
      <c r="AD71" s="586"/>
      <c r="AE71" s="586"/>
      <c r="AF71" s="586"/>
      <c r="AG71" s="586"/>
      <c r="AH71" s="586"/>
      <c r="AI71" s="586"/>
      <c r="AJ71" s="586"/>
      <c r="AK71" s="586"/>
      <c r="AL71" s="586"/>
      <c r="AM71" s="586"/>
      <c r="AN71" s="586"/>
      <c r="AO71" s="586"/>
      <c r="AP71" s="586"/>
      <c r="AQ71" s="586"/>
      <c r="AR71" s="39">
        <f t="shared" si="40"/>
        <v>2260.1858333333334</v>
      </c>
      <c r="AS71" s="39">
        <f t="shared" si="41"/>
        <v>2518.821388888889</v>
      </c>
      <c r="AT71" s="39">
        <f t="shared" si="42"/>
        <v>2898.4444444444443</v>
      </c>
      <c r="AU71" s="39">
        <f t="shared" si="43"/>
        <v>1778.3055555555557</v>
      </c>
      <c r="AV71" s="39">
        <f t="shared" si="44"/>
        <v>8701.0833333333339</v>
      </c>
      <c r="AW71" s="39">
        <f t="shared" si="45"/>
        <v>2348.0277777777778</v>
      </c>
      <c r="AX71" s="39">
        <f t="shared" si="46"/>
        <v>2743.7777777777778</v>
      </c>
      <c r="AY71" s="39">
        <f t="shared" si="47"/>
        <v>6026.8611111111113</v>
      </c>
      <c r="AZ71" s="39">
        <f t="shared" si="48"/>
        <v>2552.6111111111113</v>
      </c>
      <c r="BA71" s="39">
        <f t="shared" si="49"/>
        <v>5876.6944444444443</v>
      </c>
      <c r="BB71" s="631">
        <f t="shared" si="50"/>
        <v>648.91666666666663</v>
      </c>
      <c r="BC71" s="631">
        <f t="shared" si="51"/>
        <v>4887.1111111111113</v>
      </c>
      <c r="BD71" s="631">
        <f t="shared" si="52"/>
        <v>3395.9983333333334</v>
      </c>
      <c r="BE71" s="631">
        <f t="shared" si="53"/>
        <v>5585.8377777777778</v>
      </c>
      <c r="BF71" s="631">
        <f t="shared" si="54"/>
        <v>1719.8000000000002</v>
      </c>
      <c r="BG71" s="631">
        <f t="shared" si="55"/>
        <v>1869.152222222222</v>
      </c>
      <c r="BH71" s="631">
        <f t="shared" si="56"/>
        <v>4105.3483333333334</v>
      </c>
      <c r="BI71" s="631"/>
      <c r="BJ71" s="631">
        <f t="shared" si="57"/>
        <v>2234.1944444444443</v>
      </c>
      <c r="BK71" s="631">
        <f t="shared" si="58"/>
        <v>1856.25</v>
      </c>
      <c r="BL71" s="631">
        <f t="shared" si="59"/>
        <v>4338.7222222222226</v>
      </c>
      <c r="BM71" s="631">
        <f t="shared" si="60"/>
        <v>573.22222222222217</v>
      </c>
      <c r="BN71" s="39">
        <f t="shared" si="18"/>
        <v>68919.366111111114</v>
      </c>
    </row>
    <row r="72" spans="1:66" s="335" customFormat="1" outlineLevel="1">
      <c r="A72" s="327" t="s">
        <v>55</v>
      </c>
      <c r="B72" s="327">
        <f t="shared" si="19"/>
        <v>2021</v>
      </c>
      <c r="C72" s="327" t="s">
        <v>47</v>
      </c>
      <c r="D72" s="518"/>
      <c r="E72" s="518"/>
      <c r="F72" s="518">
        <f t="shared" si="62"/>
        <v>4359678.58</v>
      </c>
      <c r="G72" s="518"/>
      <c r="H72" s="629">
        <v>70552.88</v>
      </c>
      <c r="I72" s="39">
        <f>SUM(H$5:H72)</f>
        <v>3746796.169999999</v>
      </c>
      <c r="J72" s="518"/>
      <c r="K72" s="92">
        <f t="shared" si="61"/>
        <v>612882.41000000108</v>
      </c>
      <c r="M72" s="586"/>
      <c r="N72" s="586"/>
      <c r="O72" s="586"/>
      <c r="P72" s="586"/>
      <c r="Q72" s="586"/>
      <c r="R72" s="586"/>
      <c r="S72" s="586"/>
      <c r="T72" s="586"/>
      <c r="U72" s="586"/>
      <c r="V72" s="586"/>
      <c r="W72" s="586"/>
      <c r="X72" s="586"/>
      <c r="Y72" s="586"/>
      <c r="Z72" s="586"/>
      <c r="AA72" s="586"/>
      <c r="AB72" s="586"/>
      <c r="AC72" s="586"/>
      <c r="AD72" s="586"/>
      <c r="AE72" s="586"/>
      <c r="AF72" s="586"/>
      <c r="AG72" s="586"/>
      <c r="AH72" s="586"/>
      <c r="AI72" s="586"/>
      <c r="AJ72" s="586"/>
      <c r="AK72" s="586"/>
      <c r="AL72" s="586"/>
      <c r="AM72" s="586"/>
      <c r="AN72" s="586"/>
      <c r="AO72" s="586"/>
      <c r="AP72" s="586"/>
      <c r="AQ72" s="586"/>
      <c r="AR72" s="586"/>
      <c r="AS72" s="39">
        <f t="shared" si="41"/>
        <v>2518.821388888889</v>
      </c>
      <c r="AT72" s="39">
        <f t="shared" si="42"/>
        <v>2898.4444444444443</v>
      </c>
      <c r="AU72" s="39">
        <f t="shared" si="43"/>
        <v>1778.3055555555557</v>
      </c>
      <c r="AV72" s="39">
        <f t="shared" si="44"/>
        <v>8701.0833333333339</v>
      </c>
      <c r="AW72" s="39">
        <f t="shared" si="45"/>
        <v>2348.0277777777778</v>
      </c>
      <c r="AX72" s="39">
        <f t="shared" si="46"/>
        <v>2743.7777777777778</v>
      </c>
      <c r="AY72" s="39">
        <f t="shared" si="47"/>
        <v>6026.8611111111113</v>
      </c>
      <c r="AZ72" s="39">
        <f t="shared" si="48"/>
        <v>2552.6111111111113</v>
      </c>
      <c r="BA72" s="39">
        <f t="shared" si="49"/>
        <v>5876.6944444444443</v>
      </c>
      <c r="BB72" s="631">
        <f t="shared" si="50"/>
        <v>648.91666666666663</v>
      </c>
      <c r="BC72" s="631">
        <f t="shared" si="51"/>
        <v>4887.1111111111113</v>
      </c>
      <c r="BD72" s="631">
        <f t="shared" si="52"/>
        <v>3395.9983333333334</v>
      </c>
      <c r="BE72" s="631">
        <f t="shared" si="53"/>
        <v>5585.8377777777778</v>
      </c>
      <c r="BF72" s="631">
        <f t="shared" si="54"/>
        <v>1719.8000000000002</v>
      </c>
      <c r="BG72" s="631">
        <f t="shared" si="55"/>
        <v>1869.152222222222</v>
      </c>
      <c r="BH72" s="631">
        <f t="shared" si="56"/>
        <v>4105.3483333333334</v>
      </c>
      <c r="BI72" s="631"/>
      <c r="BJ72" s="631">
        <f t="shared" si="57"/>
        <v>2234.1944444444443</v>
      </c>
      <c r="BK72" s="631">
        <f t="shared" si="58"/>
        <v>1856.25</v>
      </c>
      <c r="BL72" s="631">
        <f t="shared" si="59"/>
        <v>4338.7222222222226</v>
      </c>
      <c r="BM72" s="631">
        <f t="shared" si="60"/>
        <v>573.22222222222217</v>
      </c>
      <c r="BN72" s="39">
        <f t="shared" si="18"/>
        <v>66659.180277777778</v>
      </c>
    </row>
    <row r="73" spans="1:66" s="335" customFormat="1" outlineLevel="1">
      <c r="A73" s="327" t="s">
        <v>56</v>
      </c>
      <c r="B73" s="327">
        <f t="shared" si="19"/>
        <v>2021</v>
      </c>
      <c r="C73" s="327" t="s">
        <v>47</v>
      </c>
      <c r="D73" s="518"/>
      <c r="E73" s="518"/>
      <c r="F73" s="518">
        <f t="shared" si="62"/>
        <v>4359678.58</v>
      </c>
      <c r="G73" s="518"/>
      <c r="H73" s="629">
        <v>64261.66</v>
      </c>
      <c r="I73" s="39">
        <f>SUM(H$5:H73)</f>
        <v>3811057.8299999991</v>
      </c>
      <c r="J73" s="518"/>
      <c r="K73" s="92">
        <f t="shared" si="61"/>
        <v>548620.75000000093</v>
      </c>
      <c r="M73" s="586"/>
      <c r="N73" s="58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  <c r="AA73" s="586"/>
      <c r="AB73" s="586"/>
      <c r="AC73" s="586"/>
      <c r="AD73" s="586"/>
      <c r="AE73" s="586"/>
      <c r="AF73" s="586"/>
      <c r="AG73" s="586"/>
      <c r="AH73" s="586"/>
      <c r="AI73" s="586"/>
      <c r="AJ73" s="586"/>
      <c r="AK73" s="586"/>
      <c r="AL73" s="586"/>
      <c r="AM73" s="586"/>
      <c r="AN73" s="586"/>
      <c r="AO73" s="586"/>
      <c r="AP73" s="586"/>
      <c r="AQ73" s="586"/>
      <c r="AR73" s="586"/>
      <c r="AS73" s="586"/>
      <c r="AT73" s="39">
        <f t="shared" si="42"/>
        <v>2898.4444444444443</v>
      </c>
      <c r="AU73" s="39">
        <f t="shared" si="43"/>
        <v>1778.3055555555557</v>
      </c>
      <c r="AV73" s="39">
        <f t="shared" si="44"/>
        <v>8701.0833333333339</v>
      </c>
      <c r="AW73" s="39">
        <f t="shared" si="45"/>
        <v>2348.0277777777778</v>
      </c>
      <c r="AX73" s="39">
        <f t="shared" si="46"/>
        <v>2743.7777777777778</v>
      </c>
      <c r="AY73" s="39">
        <f t="shared" si="47"/>
        <v>6026.8611111111113</v>
      </c>
      <c r="AZ73" s="39">
        <f t="shared" si="48"/>
        <v>2552.6111111111113</v>
      </c>
      <c r="BA73" s="39">
        <f t="shared" si="49"/>
        <v>5876.6944444444443</v>
      </c>
      <c r="BB73" s="631">
        <f t="shared" si="50"/>
        <v>648.91666666666663</v>
      </c>
      <c r="BC73" s="631">
        <f t="shared" si="51"/>
        <v>4887.1111111111113</v>
      </c>
      <c r="BD73" s="631">
        <f t="shared" si="52"/>
        <v>3395.9983333333334</v>
      </c>
      <c r="BE73" s="631">
        <f t="shared" si="53"/>
        <v>5585.8377777777778</v>
      </c>
      <c r="BF73" s="631">
        <f t="shared" si="54"/>
        <v>1719.8000000000002</v>
      </c>
      <c r="BG73" s="631">
        <f t="shared" si="55"/>
        <v>1869.152222222222</v>
      </c>
      <c r="BH73" s="631">
        <f t="shared" si="56"/>
        <v>4105.3483333333334</v>
      </c>
      <c r="BI73" s="631"/>
      <c r="BJ73" s="631">
        <f t="shared" si="57"/>
        <v>2234.1944444444443</v>
      </c>
      <c r="BK73" s="631">
        <f t="shared" si="58"/>
        <v>1856.25</v>
      </c>
      <c r="BL73" s="631">
        <f t="shared" si="59"/>
        <v>4338.7222222222226</v>
      </c>
      <c r="BM73" s="631">
        <f t="shared" si="60"/>
        <v>573.22222222222217</v>
      </c>
      <c r="BN73" s="39">
        <f t="shared" si="18"/>
        <v>64140.358888888892</v>
      </c>
    </row>
    <row r="74" spans="1:66" s="335" customFormat="1" outlineLevel="1">
      <c r="A74" s="327" t="s">
        <v>57</v>
      </c>
      <c r="B74" s="327">
        <f t="shared" si="19"/>
        <v>2021</v>
      </c>
      <c r="C74" s="327" t="s">
        <v>47</v>
      </c>
      <c r="D74" s="518"/>
      <c r="E74" s="518"/>
      <c r="F74" s="518">
        <f t="shared" si="62"/>
        <v>4359678.58</v>
      </c>
      <c r="G74" s="518"/>
      <c r="H74" s="629">
        <v>60467.82</v>
      </c>
      <c r="I74" s="39">
        <f>SUM(H$5:H74)</f>
        <v>3871525.649999999</v>
      </c>
      <c r="J74" s="518"/>
      <c r="K74" s="92">
        <f t="shared" si="61"/>
        <v>488152.9300000011</v>
      </c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6"/>
      <c r="Y74" s="586"/>
      <c r="Z74" s="586"/>
      <c r="AA74" s="586"/>
      <c r="AB74" s="586"/>
      <c r="AC74" s="586"/>
      <c r="AD74" s="586"/>
      <c r="AE74" s="586"/>
      <c r="AF74" s="586"/>
      <c r="AG74" s="586"/>
      <c r="AH74" s="586"/>
      <c r="AI74" s="586"/>
      <c r="AJ74" s="586"/>
      <c r="AK74" s="586"/>
      <c r="AL74" s="586"/>
      <c r="AM74" s="586"/>
      <c r="AN74" s="586"/>
      <c r="AO74" s="586"/>
      <c r="AP74" s="586"/>
      <c r="AQ74" s="586"/>
      <c r="AR74" s="586"/>
      <c r="AS74" s="586"/>
      <c r="AT74" s="586"/>
      <c r="AU74" s="39">
        <f t="shared" si="43"/>
        <v>1778.3055555555557</v>
      </c>
      <c r="AV74" s="39">
        <f t="shared" si="44"/>
        <v>8701.0833333333339</v>
      </c>
      <c r="AW74" s="39">
        <f t="shared" si="45"/>
        <v>2348.0277777777778</v>
      </c>
      <c r="AX74" s="39">
        <f t="shared" si="46"/>
        <v>2743.7777777777778</v>
      </c>
      <c r="AY74" s="39">
        <f t="shared" si="47"/>
        <v>6026.8611111111113</v>
      </c>
      <c r="AZ74" s="39">
        <f t="shared" si="48"/>
        <v>2552.6111111111113</v>
      </c>
      <c r="BA74" s="39">
        <f t="shared" si="49"/>
        <v>5876.6944444444443</v>
      </c>
      <c r="BB74" s="631">
        <f t="shared" si="50"/>
        <v>648.91666666666663</v>
      </c>
      <c r="BC74" s="631">
        <f t="shared" si="51"/>
        <v>4887.1111111111113</v>
      </c>
      <c r="BD74" s="631">
        <f t="shared" si="52"/>
        <v>3395.9983333333334</v>
      </c>
      <c r="BE74" s="631">
        <f t="shared" si="53"/>
        <v>5585.8377777777778</v>
      </c>
      <c r="BF74" s="631">
        <f t="shared" si="54"/>
        <v>1719.8000000000002</v>
      </c>
      <c r="BG74" s="631">
        <f t="shared" si="55"/>
        <v>1869.152222222222</v>
      </c>
      <c r="BH74" s="631">
        <f t="shared" si="56"/>
        <v>4105.3483333333334</v>
      </c>
      <c r="BI74" s="631"/>
      <c r="BJ74" s="631">
        <f t="shared" si="57"/>
        <v>2234.1944444444443</v>
      </c>
      <c r="BK74" s="631">
        <f t="shared" si="58"/>
        <v>1856.25</v>
      </c>
      <c r="BL74" s="631">
        <f t="shared" si="59"/>
        <v>4338.7222222222226</v>
      </c>
      <c r="BM74" s="631">
        <f t="shared" si="60"/>
        <v>573.22222222222217</v>
      </c>
      <c r="BN74" s="39">
        <f t="shared" si="18"/>
        <v>61241.914444444454</v>
      </c>
    </row>
    <row r="75" spans="1:66" s="335" customFormat="1" outlineLevel="1">
      <c r="A75" s="327" t="s">
        <v>58</v>
      </c>
      <c r="B75" s="327">
        <f t="shared" si="19"/>
        <v>2021</v>
      </c>
      <c r="C75" s="327" t="s">
        <v>47</v>
      </c>
      <c r="D75" s="518"/>
      <c r="E75" s="518"/>
      <c r="F75" s="518">
        <f t="shared" si="62"/>
        <v>4359678.58</v>
      </c>
      <c r="G75" s="518"/>
      <c r="H75" s="629">
        <v>59619.13</v>
      </c>
      <c r="I75" s="39">
        <f>SUM(H$5:H75)</f>
        <v>3931144.7799999989</v>
      </c>
      <c r="J75" s="518"/>
      <c r="K75" s="92">
        <f t="shared" si="61"/>
        <v>428533.80000000121</v>
      </c>
      <c r="M75" s="586"/>
      <c r="N75" s="586"/>
      <c r="O75" s="586"/>
      <c r="P75" s="586"/>
      <c r="Q75" s="586"/>
      <c r="R75" s="586"/>
      <c r="S75" s="586"/>
      <c r="T75" s="586"/>
      <c r="U75" s="586"/>
      <c r="V75" s="586"/>
      <c r="W75" s="586"/>
      <c r="X75" s="586"/>
      <c r="Y75" s="586"/>
      <c r="Z75" s="586"/>
      <c r="AA75" s="586"/>
      <c r="AB75" s="586"/>
      <c r="AC75" s="586"/>
      <c r="AD75" s="586"/>
      <c r="AE75" s="586"/>
      <c r="AF75" s="586"/>
      <c r="AG75" s="586"/>
      <c r="AH75" s="586"/>
      <c r="AI75" s="586"/>
      <c r="AJ75" s="586"/>
      <c r="AK75" s="586"/>
      <c r="AL75" s="586"/>
      <c r="AM75" s="586"/>
      <c r="AN75" s="586"/>
      <c r="AO75" s="586"/>
      <c r="AP75" s="586"/>
      <c r="AQ75" s="586"/>
      <c r="AR75" s="586"/>
      <c r="AS75" s="586"/>
      <c r="AT75" s="586"/>
      <c r="AU75" s="586"/>
      <c r="AV75" s="39">
        <f t="shared" si="44"/>
        <v>8701.0833333333339</v>
      </c>
      <c r="AW75" s="39">
        <f t="shared" si="45"/>
        <v>2348.0277777777778</v>
      </c>
      <c r="AX75" s="39">
        <f t="shared" si="46"/>
        <v>2743.7777777777778</v>
      </c>
      <c r="AY75" s="39">
        <f t="shared" si="47"/>
        <v>6026.8611111111113</v>
      </c>
      <c r="AZ75" s="39">
        <f t="shared" si="48"/>
        <v>2552.6111111111113</v>
      </c>
      <c r="BA75" s="39">
        <f t="shared" si="49"/>
        <v>5876.6944444444443</v>
      </c>
      <c r="BB75" s="631">
        <f t="shared" si="50"/>
        <v>648.91666666666663</v>
      </c>
      <c r="BC75" s="631">
        <f t="shared" si="51"/>
        <v>4887.1111111111113</v>
      </c>
      <c r="BD75" s="631">
        <f t="shared" si="52"/>
        <v>3395.9983333333334</v>
      </c>
      <c r="BE75" s="631">
        <f t="shared" si="53"/>
        <v>5585.8377777777778</v>
      </c>
      <c r="BF75" s="631">
        <f t="shared" si="54"/>
        <v>1719.8000000000002</v>
      </c>
      <c r="BG75" s="631">
        <f t="shared" si="55"/>
        <v>1869.152222222222</v>
      </c>
      <c r="BH75" s="631">
        <f t="shared" si="56"/>
        <v>4105.3483333333334</v>
      </c>
      <c r="BI75" s="631"/>
      <c r="BJ75" s="631">
        <f t="shared" si="57"/>
        <v>2234.1944444444443</v>
      </c>
      <c r="BK75" s="631">
        <f t="shared" si="58"/>
        <v>1856.25</v>
      </c>
      <c r="BL75" s="631">
        <f t="shared" si="59"/>
        <v>4338.7222222222226</v>
      </c>
      <c r="BM75" s="631">
        <f t="shared" si="60"/>
        <v>573.22222222222217</v>
      </c>
      <c r="BN75" s="39">
        <f t="shared" si="18"/>
        <v>59463.608888888892</v>
      </c>
    </row>
    <row r="76" spans="1:66" s="335" customFormat="1" outlineLevel="1">
      <c r="A76" s="327" t="s">
        <v>59</v>
      </c>
      <c r="B76" s="327">
        <f t="shared" si="19"/>
        <v>2021</v>
      </c>
      <c r="C76" s="327" t="s">
        <v>47</v>
      </c>
      <c r="D76" s="518"/>
      <c r="E76" s="518"/>
      <c r="F76" s="518">
        <f t="shared" si="62"/>
        <v>4359678.58</v>
      </c>
      <c r="G76" s="518"/>
      <c r="H76" s="629">
        <v>54450.87</v>
      </c>
      <c r="I76" s="39">
        <f>SUM(H$5:H76)</f>
        <v>3985595.649999999</v>
      </c>
      <c r="J76" s="518"/>
      <c r="K76" s="92">
        <f t="shared" si="61"/>
        <v>374082.9300000011</v>
      </c>
      <c r="M76" s="586"/>
      <c r="N76" s="586"/>
      <c r="O76" s="586"/>
      <c r="P76" s="586"/>
      <c r="Q76" s="586"/>
      <c r="R76" s="586"/>
      <c r="S76" s="586"/>
      <c r="T76" s="586"/>
      <c r="U76" s="586"/>
      <c r="V76" s="586"/>
      <c r="W76" s="586"/>
      <c r="X76" s="586"/>
      <c r="Y76" s="586"/>
      <c r="Z76" s="586"/>
      <c r="AA76" s="586"/>
      <c r="AB76" s="586"/>
      <c r="AC76" s="586"/>
      <c r="AD76" s="586"/>
      <c r="AE76" s="586"/>
      <c r="AF76" s="586"/>
      <c r="AG76" s="586"/>
      <c r="AH76" s="586"/>
      <c r="AI76" s="586"/>
      <c r="AJ76" s="586"/>
      <c r="AK76" s="586"/>
      <c r="AL76" s="586"/>
      <c r="AM76" s="586"/>
      <c r="AN76" s="586"/>
      <c r="AO76" s="586"/>
      <c r="AP76" s="586"/>
      <c r="AQ76" s="586"/>
      <c r="AR76" s="586"/>
      <c r="AS76" s="586"/>
      <c r="AT76" s="586"/>
      <c r="AU76" s="586"/>
      <c r="AV76" s="586"/>
      <c r="AW76" s="39">
        <f t="shared" si="45"/>
        <v>2348.0277777777778</v>
      </c>
      <c r="AX76" s="39">
        <f t="shared" si="46"/>
        <v>2743.7777777777778</v>
      </c>
      <c r="AY76" s="39">
        <f t="shared" si="47"/>
        <v>6026.8611111111113</v>
      </c>
      <c r="AZ76" s="39">
        <f t="shared" si="48"/>
        <v>2552.6111111111113</v>
      </c>
      <c r="BA76" s="39">
        <f t="shared" si="49"/>
        <v>5876.6944444444443</v>
      </c>
      <c r="BB76" s="631">
        <f t="shared" si="50"/>
        <v>648.91666666666663</v>
      </c>
      <c r="BC76" s="631">
        <f t="shared" si="51"/>
        <v>4887.1111111111113</v>
      </c>
      <c r="BD76" s="631">
        <f t="shared" si="52"/>
        <v>3395.9983333333334</v>
      </c>
      <c r="BE76" s="631">
        <f t="shared" si="53"/>
        <v>5585.8377777777778</v>
      </c>
      <c r="BF76" s="631">
        <f t="shared" si="54"/>
        <v>1719.8000000000002</v>
      </c>
      <c r="BG76" s="631">
        <f t="shared" si="55"/>
        <v>1869.152222222222</v>
      </c>
      <c r="BH76" s="631">
        <f t="shared" si="56"/>
        <v>4105.3483333333334</v>
      </c>
      <c r="BI76" s="631"/>
      <c r="BJ76" s="631">
        <f t="shared" si="57"/>
        <v>2234.1944444444443</v>
      </c>
      <c r="BK76" s="631">
        <f t="shared" si="58"/>
        <v>1856.25</v>
      </c>
      <c r="BL76" s="631">
        <f t="shared" si="59"/>
        <v>4338.7222222222226</v>
      </c>
      <c r="BM76" s="631">
        <f t="shared" si="60"/>
        <v>573.22222222222217</v>
      </c>
      <c r="BN76" s="39">
        <f t="shared" si="18"/>
        <v>50762.525555555549</v>
      </c>
    </row>
    <row r="77" spans="1:66" s="335" customFormat="1" outlineLevel="1">
      <c r="A77" s="327" t="s">
        <v>46</v>
      </c>
      <c r="B77" s="327">
        <f t="shared" si="19"/>
        <v>2021</v>
      </c>
      <c r="C77" s="327" t="s">
        <v>47</v>
      </c>
      <c r="D77" s="518"/>
      <c r="E77" s="518"/>
      <c r="F77" s="518">
        <f t="shared" si="62"/>
        <v>4359678.58</v>
      </c>
      <c r="G77" s="518"/>
      <c r="H77" s="629">
        <v>58714.55</v>
      </c>
      <c r="I77" s="39">
        <f>SUM(H$5:H77)</f>
        <v>4044310.1999999988</v>
      </c>
      <c r="J77" s="518"/>
      <c r="K77" s="92">
        <f t="shared" si="61"/>
        <v>315368.38000000129</v>
      </c>
      <c r="M77" s="586"/>
      <c r="N77" s="58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586"/>
      <c r="Z77" s="586"/>
      <c r="AA77" s="586"/>
      <c r="AB77" s="586"/>
      <c r="AC77" s="586"/>
      <c r="AD77" s="586"/>
      <c r="AE77" s="586"/>
      <c r="AF77" s="586"/>
      <c r="AG77" s="586"/>
      <c r="AH77" s="586"/>
      <c r="AI77" s="586"/>
      <c r="AJ77" s="586"/>
      <c r="AK77" s="586"/>
      <c r="AL77" s="586"/>
      <c r="AM77" s="586"/>
      <c r="AN77" s="586"/>
      <c r="AO77" s="586"/>
      <c r="AP77" s="586"/>
      <c r="AQ77" s="586"/>
      <c r="AR77" s="586"/>
      <c r="AS77" s="586"/>
      <c r="AT77" s="586"/>
      <c r="AU77" s="586"/>
      <c r="AV77" s="586"/>
      <c r="AW77" s="586"/>
      <c r="AX77" s="39">
        <f t="shared" si="46"/>
        <v>2743.7777777777778</v>
      </c>
      <c r="AY77" s="39">
        <f t="shared" si="47"/>
        <v>6026.8611111111113</v>
      </c>
      <c r="AZ77" s="39">
        <f t="shared" si="48"/>
        <v>2552.6111111111113</v>
      </c>
      <c r="BA77" s="39">
        <f t="shared" si="49"/>
        <v>5876.6944444444443</v>
      </c>
      <c r="BB77" s="631">
        <f t="shared" si="50"/>
        <v>648.91666666666663</v>
      </c>
      <c r="BC77" s="631">
        <f t="shared" si="51"/>
        <v>4887.1111111111113</v>
      </c>
      <c r="BD77" s="631">
        <f t="shared" si="52"/>
        <v>3395.9983333333334</v>
      </c>
      <c r="BE77" s="631">
        <f t="shared" si="53"/>
        <v>5585.8377777777778</v>
      </c>
      <c r="BF77" s="631">
        <f t="shared" si="54"/>
        <v>1719.8000000000002</v>
      </c>
      <c r="BG77" s="631">
        <f t="shared" si="55"/>
        <v>1869.152222222222</v>
      </c>
      <c r="BH77" s="631">
        <f t="shared" si="56"/>
        <v>4105.3483333333334</v>
      </c>
      <c r="BI77" s="631"/>
      <c r="BJ77" s="631">
        <f t="shared" si="57"/>
        <v>2234.1944444444443</v>
      </c>
      <c r="BK77" s="631">
        <f t="shared" si="58"/>
        <v>1856.25</v>
      </c>
      <c r="BL77" s="631">
        <f t="shared" si="59"/>
        <v>4338.7222222222226</v>
      </c>
      <c r="BM77" s="631">
        <f t="shared" si="60"/>
        <v>573.22222222222217</v>
      </c>
      <c r="BN77" s="39">
        <f t="shared" si="18"/>
        <v>48414.497777777782</v>
      </c>
    </row>
    <row r="78" spans="1:66" s="335" customFormat="1">
      <c r="A78" s="327" t="s">
        <v>48</v>
      </c>
      <c r="B78" s="327">
        <f t="shared" si="19"/>
        <v>2021</v>
      </c>
      <c r="C78" s="327" t="s">
        <v>47</v>
      </c>
      <c r="D78" s="518"/>
      <c r="E78" s="518"/>
      <c r="F78" s="518">
        <f t="shared" ref="F78:F83" si="63">F77+D78</f>
        <v>4359678.58</v>
      </c>
      <c r="G78" s="518"/>
      <c r="H78" s="629">
        <v>45893.53</v>
      </c>
      <c r="I78" s="39">
        <f>SUM(H$5:H78)</f>
        <v>4090203.7299999986</v>
      </c>
      <c r="J78" s="518"/>
      <c r="K78" s="92">
        <f t="shared" ref="K78:K83" si="64">F78-I78</f>
        <v>269474.85000000149</v>
      </c>
      <c r="M78" s="586"/>
      <c r="N78" s="58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  <c r="AA78" s="586"/>
      <c r="AB78" s="586"/>
      <c r="AC78" s="586"/>
      <c r="AD78" s="586"/>
      <c r="AE78" s="586"/>
      <c r="AF78" s="586"/>
      <c r="AG78" s="586"/>
      <c r="AH78" s="586"/>
      <c r="AI78" s="586"/>
      <c r="AJ78" s="586"/>
      <c r="AK78" s="586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39">
        <f t="shared" si="47"/>
        <v>6026.8611111111113</v>
      </c>
      <c r="AZ78" s="39">
        <f t="shared" si="48"/>
        <v>2552.6111111111113</v>
      </c>
      <c r="BA78" s="39">
        <f t="shared" si="49"/>
        <v>5876.6944444444443</v>
      </c>
      <c r="BB78" s="631">
        <f t="shared" si="50"/>
        <v>648.91666666666663</v>
      </c>
      <c r="BC78" s="631">
        <f t="shared" si="51"/>
        <v>4887.1111111111113</v>
      </c>
      <c r="BD78" s="631">
        <f t="shared" si="52"/>
        <v>3395.9983333333334</v>
      </c>
      <c r="BE78" s="631">
        <f t="shared" si="53"/>
        <v>5585.8377777777778</v>
      </c>
      <c r="BF78" s="631">
        <f t="shared" si="54"/>
        <v>1719.8000000000002</v>
      </c>
      <c r="BG78" s="631">
        <f t="shared" si="55"/>
        <v>1869.152222222222</v>
      </c>
      <c r="BH78" s="631">
        <f t="shared" si="56"/>
        <v>4105.3483333333334</v>
      </c>
      <c r="BI78" s="631"/>
      <c r="BJ78" s="631">
        <f t="shared" si="57"/>
        <v>2234.1944444444443</v>
      </c>
      <c r="BK78" s="631">
        <f t="shared" si="58"/>
        <v>1856.25</v>
      </c>
      <c r="BL78" s="631">
        <f t="shared" si="59"/>
        <v>4338.7222222222226</v>
      </c>
      <c r="BM78" s="631">
        <f t="shared" si="60"/>
        <v>573.22222222222217</v>
      </c>
      <c r="BN78" s="39">
        <f t="shared" si="18"/>
        <v>45670.720000000001</v>
      </c>
    </row>
    <row r="79" spans="1:66" s="335" customFormat="1">
      <c r="A79" s="327" t="s">
        <v>50</v>
      </c>
      <c r="B79" s="327">
        <f t="shared" si="19"/>
        <v>2021</v>
      </c>
      <c r="C79" s="327" t="s">
        <v>47</v>
      </c>
      <c r="D79" s="518"/>
      <c r="E79" s="518"/>
      <c r="F79" s="518">
        <f t="shared" si="63"/>
        <v>4359678.58</v>
      </c>
      <c r="G79" s="518"/>
      <c r="H79" s="629">
        <v>31997.439999999999</v>
      </c>
      <c r="I79" s="39">
        <f>SUM(H$5:H79)</f>
        <v>4122201.1699999985</v>
      </c>
      <c r="J79" s="518"/>
      <c r="K79" s="92">
        <f t="shared" si="64"/>
        <v>237477.41000000155</v>
      </c>
      <c r="M79" s="586"/>
      <c r="N79" s="58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586"/>
      <c r="Z79" s="586"/>
      <c r="AA79" s="586"/>
      <c r="AB79" s="586"/>
      <c r="AC79" s="586"/>
      <c r="AD79" s="586"/>
      <c r="AE79" s="586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  <c r="AT79" s="586"/>
      <c r="AU79" s="586"/>
      <c r="AV79" s="586"/>
      <c r="AW79" s="586"/>
      <c r="AX79" s="586"/>
      <c r="AY79" s="586"/>
      <c r="AZ79" s="39">
        <f t="shared" si="48"/>
        <v>2552.6111111111113</v>
      </c>
      <c r="BA79" s="39">
        <f t="shared" si="49"/>
        <v>5876.6944444444443</v>
      </c>
      <c r="BB79" s="631">
        <f t="shared" si="50"/>
        <v>648.91666666666663</v>
      </c>
      <c r="BC79" s="631">
        <f t="shared" si="51"/>
        <v>4887.1111111111113</v>
      </c>
      <c r="BD79" s="631">
        <f t="shared" si="52"/>
        <v>3395.9983333333334</v>
      </c>
      <c r="BE79" s="631">
        <f t="shared" si="53"/>
        <v>5585.8377777777778</v>
      </c>
      <c r="BF79" s="631">
        <f t="shared" si="54"/>
        <v>1719.8000000000002</v>
      </c>
      <c r="BG79" s="631">
        <f t="shared" si="55"/>
        <v>1869.152222222222</v>
      </c>
      <c r="BH79" s="631">
        <f t="shared" si="56"/>
        <v>4105.3483333333334</v>
      </c>
      <c r="BI79" s="631"/>
      <c r="BJ79" s="631">
        <f t="shared" si="57"/>
        <v>2234.1944444444443</v>
      </c>
      <c r="BK79" s="631">
        <f t="shared" si="58"/>
        <v>1856.25</v>
      </c>
      <c r="BL79" s="631">
        <f t="shared" si="59"/>
        <v>4338.7222222222226</v>
      </c>
      <c r="BM79" s="631">
        <f t="shared" si="60"/>
        <v>573.22222222222217</v>
      </c>
      <c r="BN79" s="39">
        <f t="shared" si="18"/>
        <v>39643.858888888892</v>
      </c>
    </row>
    <row r="80" spans="1:66" s="335" customFormat="1">
      <c r="A80" s="327" t="s">
        <v>51</v>
      </c>
      <c r="B80" s="327">
        <f t="shared" si="19"/>
        <v>2021</v>
      </c>
      <c r="C80" s="327" t="s">
        <v>47</v>
      </c>
      <c r="D80" s="518"/>
      <c r="E80" s="518"/>
      <c r="F80" s="518">
        <f t="shared" si="63"/>
        <v>4359678.58</v>
      </c>
      <c r="G80" s="518"/>
      <c r="H80" s="629">
        <v>34666.379999999997</v>
      </c>
      <c r="I80" s="39">
        <f>SUM(H$5:H80)</f>
        <v>4156867.5499999984</v>
      </c>
      <c r="J80" s="518"/>
      <c r="K80" s="92">
        <f t="shared" si="64"/>
        <v>202811.03000000166</v>
      </c>
      <c r="M80" s="586"/>
      <c r="N80" s="586"/>
      <c r="O80" s="586"/>
      <c r="P80" s="586"/>
      <c r="Q80" s="586"/>
      <c r="R80" s="586"/>
      <c r="S80" s="586"/>
      <c r="T80" s="586"/>
      <c r="U80" s="586"/>
      <c r="V80" s="586"/>
      <c r="W80" s="586"/>
      <c r="X80" s="586"/>
      <c r="Y80" s="586"/>
      <c r="Z80" s="586"/>
      <c r="AA80" s="586"/>
      <c r="AB80" s="586"/>
      <c r="AC80" s="586"/>
      <c r="AD80" s="586"/>
      <c r="AE80" s="586"/>
      <c r="AF80" s="586"/>
      <c r="AG80" s="586"/>
      <c r="AH80" s="586"/>
      <c r="AI80" s="586"/>
      <c r="AJ80" s="586"/>
      <c r="AK80" s="586"/>
      <c r="AL80" s="586"/>
      <c r="AM80" s="586"/>
      <c r="AN80" s="586"/>
      <c r="AO80" s="586"/>
      <c r="AP80" s="586"/>
      <c r="AQ80" s="586"/>
      <c r="AR80" s="586"/>
      <c r="AS80" s="586"/>
      <c r="AT80" s="586"/>
      <c r="AU80" s="586"/>
      <c r="AV80" s="586"/>
      <c r="AW80" s="586"/>
      <c r="AX80" s="586"/>
      <c r="AY80" s="586"/>
      <c r="AZ80" s="586"/>
      <c r="BA80" s="39">
        <f t="shared" si="49"/>
        <v>5876.6944444444443</v>
      </c>
      <c r="BB80" s="631">
        <f t="shared" si="50"/>
        <v>648.91666666666663</v>
      </c>
      <c r="BC80" s="631">
        <f t="shared" si="51"/>
        <v>4887.1111111111113</v>
      </c>
      <c r="BD80" s="631">
        <f t="shared" si="52"/>
        <v>3395.9983333333334</v>
      </c>
      <c r="BE80" s="631">
        <f t="shared" si="53"/>
        <v>5585.8377777777778</v>
      </c>
      <c r="BF80" s="631">
        <f t="shared" si="54"/>
        <v>1719.8000000000002</v>
      </c>
      <c r="BG80" s="631">
        <f t="shared" si="55"/>
        <v>1869.152222222222</v>
      </c>
      <c r="BH80" s="631">
        <f t="shared" si="56"/>
        <v>4105.3483333333334</v>
      </c>
      <c r="BI80" s="631"/>
      <c r="BJ80" s="631">
        <f t="shared" si="57"/>
        <v>2234.1944444444443</v>
      </c>
      <c r="BK80" s="631">
        <f t="shared" si="58"/>
        <v>1856.25</v>
      </c>
      <c r="BL80" s="631">
        <f t="shared" si="59"/>
        <v>4338.7222222222226</v>
      </c>
      <c r="BM80" s="631">
        <f t="shared" si="60"/>
        <v>573.22222222222217</v>
      </c>
      <c r="BN80" s="39">
        <f t="shared" si="18"/>
        <v>37091.247777777782</v>
      </c>
    </row>
    <row r="81" spans="1:66" s="335" customFormat="1">
      <c r="A81" s="327" t="s">
        <v>52</v>
      </c>
      <c r="B81" s="327">
        <f t="shared" si="19"/>
        <v>2021</v>
      </c>
      <c r="C81" s="327" t="s">
        <v>47</v>
      </c>
      <c r="D81" s="518"/>
      <c r="E81" s="518"/>
      <c r="F81" s="518">
        <f t="shared" si="63"/>
        <v>4359678.58</v>
      </c>
      <c r="G81" s="518"/>
      <c r="H81" s="629">
        <v>54925.89</v>
      </c>
      <c r="I81" s="39">
        <f>SUM(H$5:H81)</f>
        <v>4211793.4399999985</v>
      </c>
      <c r="J81" s="518"/>
      <c r="K81" s="92">
        <f t="shared" si="64"/>
        <v>147885.14000000153</v>
      </c>
      <c r="M81" s="586"/>
      <c r="N81" s="586"/>
      <c r="O81" s="586"/>
      <c r="P81" s="586"/>
      <c r="Q81" s="586"/>
      <c r="R81" s="586"/>
      <c r="S81" s="586"/>
      <c r="T81" s="586"/>
      <c r="U81" s="586"/>
      <c r="V81" s="586"/>
      <c r="W81" s="586"/>
      <c r="X81" s="586"/>
      <c r="Y81" s="586"/>
      <c r="Z81" s="586"/>
      <c r="AA81" s="586"/>
      <c r="AB81" s="586"/>
      <c r="AC81" s="586"/>
      <c r="AD81" s="586"/>
      <c r="AE81" s="586"/>
      <c r="AF81" s="586"/>
      <c r="AG81" s="586"/>
      <c r="AH81" s="586"/>
      <c r="AI81" s="586"/>
      <c r="AJ81" s="586"/>
      <c r="AK81" s="586"/>
      <c r="AL81" s="586"/>
      <c r="AM81" s="586"/>
      <c r="AN81" s="586"/>
      <c r="AO81" s="586"/>
      <c r="AP81" s="586"/>
      <c r="AQ81" s="586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631">
        <f t="shared" si="50"/>
        <v>648.91666666666663</v>
      </c>
      <c r="BC81" s="631">
        <f t="shared" si="51"/>
        <v>4887.1111111111113</v>
      </c>
      <c r="BD81" s="631">
        <f t="shared" si="52"/>
        <v>3395.9983333333334</v>
      </c>
      <c r="BE81" s="631">
        <f t="shared" si="53"/>
        <v>5585.8377777777778</v>
      </c>
      <c r="BF81" s="631">
        <f t="shared" si="54"/>
        <v>1719.8000000000002</v>
      </c>
      <c r="BG81" s="631">
        <f t="shared" si="55"/>
        <v>1869.152222222222</v>
      </c>
      <c r="BH81" s="631">
        <f t="shared" si="56"/>
        <v>4105.3483333333334</v>
      </c>
      <c r="BI81" s="631"/>
      <c r="BJ81" s="631">
        <f t="shared" si="57"/>
        <v>2234.1944444444443</v>
      </c>
      <c r="BK81" s="631">
        <f t="shared" si="58"/>
        <v>1856.25</v>
      </c>
      <c r="BL81" s="631">
        <f t="shared" si="59"/>
        <v>4338.7222222222226</v>
      </c>
      <c r="BM81" s="631">
        <f t="shared" si="60"/>
        <v>573.22222222222217</v>
      </c>
      <c r="BN81" s="39">
        <f t="shared" ref="BN81:BN92" si="65">SUM(M81:BM81)</f>
        <v>31214.553333333337</v>
      </c>
    </row>
    <row r="82" spans="1:66" s="335" customFormat="1">
      <c r="A82" s="327" t="s">
        <v>53</v>
      </c>
      <c r="B82" s="327">
        <f t="shared" ref="B82:B93" si="66">+B70+1</f>
        <v>2022</v>
      </c>
      <c r="C82" s="327" t="s">
        <v>47</v>
      </c>
      <c r="D82" s="518"/>
      <c r="E82" s="518"/>
      <c r="F82" s="518">
        <f t="shared" si="63"/>
        <v>4359678.58</v>
      </c>
      <c r="G82" s="518"/>
      <c r="H82" s="629">
        <v>26988.03</v>
      </c>
      <c r="I82" s="39">
        <f>SUM(H$5:H82)</f>
        <v>4238781.4699999988</v>
      </c>
      <c r="J82" s="518"/>
      <c r="K82" s="92">
        <f t="shared" si="64"/>
        <v>120897.11000000127</v>
      </c>
      <c r="M82" s="586"/>
      <c r="N82" s="586"/>
      <c r="O82" s="586"/>
      <c r="P82" s="586"/>
      <c r="Q82" s="586"/>
      <c r="R82" s="586"/>
      <c r="S82" s="586"/>
      <c r="T82" s="586"/>
      <c r="U82" s="586"/>
      <c r="V82" s="586"/>
      <c r="W82" s="586"/>
      <c r="X82" s="586"/>
      <c r="Y82" s="586"/>
      <c r="Z82" s="586"/>
      <c r="AA82" s="586"/>
      <c r="AB82" s="586"/>
      <c r="AC82" s="586"/>
      <c r="AD82" s="586"/>
      <c r="AE82" s="586"/>
      <c r="AF82" s="586"/>
      <c r="AG82" s="586"/>
      <c r="AH82" s="586"/>
      <c r="AI82" s="586"/>
      <c r="AJ82" s="586"/>
      <c r="AK82" s="586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  <c r="BC82" s="631">
        <f t="shared" si="51"/>
        <v>4887.1111111111113</v>
      </c>
      <c r="BD82" s="631">
        <f t="shared" si="52"/>
        <v>3395.9983333333334</v>
      </c>
      <c r="BE82" s="631">
        <f t="shared" si="53"/>
        <v>5585.8377777777778</v>
      </c>
      <c r="BF82" s="631">
        <f t="shared" si="54"/>
        <v>1719.8000000000002</v>
      </c>
      <c r="BG82" s="631">
        <f t="shared" si="55"/>
        <v>1869.152222222222</v>
      </c>
      <c r="BH82" s="631">
        <f t="shared" si="56"/>
        <v>4105.3483333333334</v>
      </c>
      <c r="BI82" s="631"/>
      <c r="BJ82" s="631">
        <f t="shared" si="57"/>
        <v>2234.1944444444443</v>
      </c>
      <c r="BK82" s="631">
        <f t="shared" si="58"/>
        <v>1856.25</v>
      </c>
      <c r="BL82" s="631">
        <f t="shared" si="59"/>
        <v>4338.7222222222226</v>
      </c>
      <c r="BM82" s="631">
        <f t="shared" si="60"/>
        <v>573.22222222222217</v>
      </c>
      <c r="BN82" s="39">
        <f t="shared" si="65"/>
        <v>30565.636666666665</v>
      </c>
    </row>
    <row r="83" spans="1:66" s="335" customFormat="1">
      <c r="A83" s="327" t="s">
        <v>54</v>
      </c>
      <c r="B83" s="327">
        <f t="shared" si="66"/>
        <v>2022</v>
      </c>
      <c r="C83" s="327" t="s">
        <v>47</v>
      </c>
      <c r="D83" s="518"/>
      <c r="E83" s="518"/>
      <c r="F83" s="518">
        <f t="shared" si="63"/>
        <v>4359678.58</v>
      </c>
      <c r="G83" s="518"/>
      <c r="H83" s="629">
        <v>23561.05</v>
      </c>
      <c r="I83" s="39">
        <f>SUM(H$5:H83)</f>
        <v>4262342.5199999986</v>
      </c>
      <c r="J83" s="518"/>
      <c r="K83" s="92">
        <f t="shared" si="64"/>
        <v>97336.060000001453</v>
      </c>
      <c r="M83" s="586"/>
      <c r="N83" s="586"/>
      <c r="O83" s="586"/>
      <c r="P83" s="586"/>
      <c r="Q83" s="586"/>
      <c r="R83" s="586"/>
      <c r="S83" s="586"/>
      <c r="T83" s="586"/>
      <c r="U83" s="586"/>
      <c r="V83" s="586"/>
      <c r="W83" s="586"/>
      <c r="X83" s="586"/>
      <c r="Y83" s="586"/>
      <c r="Z83" s="586"/>
      <c r="AA83" s="586"/>
      <c r="AB83" s="586"/>
      <c r="AC83" s="586"/>
      <c r="AD83" s="586"/>
      <c r="AE83" s="586"/>
      <c r="AF83" s="586"/>
      <c r="AG83" s="586"/>
      <c r="AH83" s="586"/>
      <c r="AI83" s="586"/>
      <c r="AJ83" s="586"/>
      <c r="AK83" s="586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  <c r="BC83" s="586"/>
      <c r="BD83" s="631">
        <f t="shared" si="52"/>
        <v>3395.9983333333334</v>
      </c>
      <c r="BE83" s="631">
        <f t="shared" si="53"/>
        <v>5585.8377777777778</v>
      </c>
      <c r="BF83" s="631">
        <f t="shared" si="54"/>
        <v>1719.8000000000002</v>
      </c>
      <c r="BG83" s="631">
        <f t="shared" si="55"/>
        <v>1869.152222222222</v>
      </c>
      <c r="BH83" s="631">
        <f t="shared" si="56"/>
        <v>4105.3483333333334</v>
      </c>
      <c r="BI83" s="631"/>
      <c r="BJ83" s="631">
        <f t="shared" si="57"/>
        <v>2234.1944444444443</v>
      </c>
      <c r="BK83" s="631">
        <f t="shared" si="58"/>
        <v>1856.25</v>
      </c>
      <c r="BL83" s="631">
        <f t="shared" si="59"/>
        <v>4338.7222222222226</v>
      </c>
      <c r="BM83" s="631">
        <f t="shared" si="60"/>
        <v>573.22222222222217</v>
      </c>
      <c r="BN83" s="39">
        <f t="shared" si="65"/>
        <v>25678.525555555556</v>
      </c>
    </row>
    <row r="84" spans="1:66" s="335" customFormat="1">
      <c r="A84" s="327" t="s">
        <v>55</v>
      </c>
      <c r="B84" s="327">
        <f t="shared" si="66"/>
        <v>2022</v>
      </c>
      <c r="C84" s="327" t="s">
        <v>47</v>
      </c>
      <c r="D84" s="518"/>
      <c r="E84" s="518"/>
      <c r="F84" s="518">
        <f t="shared" ref="F84:F87" si="67">F83+D84</f>
        <v>4359678.58</v>
      </c>
      <c r="G84" s="518"/>
      <c r="H84" s="518">
        <v>20619.48</v>
      </c>
      <c r="I84" s="39">
        <f>SUM(H$5:H84)</f>
        <v>4282961.9999999991</v>
      </c>
      <c r="J84" s="518"/>
      <c r="K84" s="92">
        <f t="shared" ref="K84:K86" si="68">F84-I84</f>
        <v>76716.580000001006</v>
      </c>
      <c r="M84" s="586"/>
      <c r="N84" s="586"/>
      <c r="O84" s="586"/>
      <c r="P84" s="586"/>
      <c r="Q84" s="586"/>
      <c r="R84" s="586"/>
      <c r="S84" s="586"/>
      <c r="T84" s="586"/>
      <c r="U84" s="586"/>
      <c r="V84" s="586"/>
      <c r="W84" s="586"/>
      <c r="X84" s="586"/>
      <c r="Y84" s="586"/>
      <c r="Z84" s="586"/>
      <c r="AA84" s="586"/>
      <c r="AB84" s="586"/>
      <c r="AC84" s="586"/>
      <c r="AD84" s="586"/>
      <c r="AE84" s="586"/>
      <c r="AF84" s="586"/>
      <c r="AG84" s="586"/>
      <c r="AH84" s="586"/>
      <c r="AI84" s="586"/>
      <c r="AJ84" s="586"/>
      <c r="AK84" s="586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  <c r="BC84" s="586"/>
      <c r="BD84" s="586"/>
      <c r="BE84" s="631">
        <f t="shared" si="53"/>
        <v>5585.8377777777778</v>
      </c>
      <c r="BF84" s="631">
        <f t="shared" si="54"/>
        <v>1719.8000000000002</v>
      </c>
      <c r="BG84" s="631">
        <f t="shared" si="55"/>
        <v>1869.152222222222</v>
      </c>
      <c r="BH84" s="631">
        <f t="shared" si="56"/>
        <v>4105.3483333333334</v>
      </c>
      <c r="BI84" s="631"/>
      <c r="BJ84" s="631">
        <f t="shared" si="57"/>
        <v>2234.1944444444443</v>
      </c>
      <c r="BK84" s="631">
        <f t="shared" si="58"/>
        <v>1856.25</v>
      </c>
      <c r="BL84" s="631">
        <f t="shared" si="59"/>
        <v>4338.7222222222226</v>
      </c>
      <c r="BM84" s="631">
        <f t="shared" si="60"/>
        <v>573.22222222222217</v>
      </c>
      <c r="BN84" s="39">
        <f t="shared" si="65"/>
        <v>22282.527222222223</v>
      </c>
    </row>
    <row r="85" spans="1:66" s="335" customFormat="1">
      <c r="A85" s="327" t="s">
        <v>56</v>
      </c>
      <c r="B85" s="327">
        <f t="shared" si="66"/>
        <v>2022</v>
      </c>
      <c r="C85" s="327" t="s">
        <v>47</v>
      </c>
      <c r="D85" s="518"/>
      <c r="E85" s="518"/>
      <c r="F85" s="518">
        <f t="shared" si="67"/>
        <v>4359678.58</v>
      </c>
      <c r="G85" s="518"/>
      <c r="H85" s="629">
        <v>15077.33</v>
      </c>
      <c r="I85" s="39">
        <f>SUM(H$5:H85)</f>
        <v>4298039.3299999991</v>
      </c>
      <c r="J85" s="518"/>
      <c r="K85" s="92">
        <f t="shared" si="68"/>
        <v>61639.250000000931</v>
      </c>
      <c r="M85" s="586"/>
      <c r="N85" s="586"/>
      <c r="O85" s="586"/>
      <c r="P85" s="586"/>
      <c r="Q85" s="586"/>
      <c r="R85" s="586"/>
      <c r="S85" s="586"/>
      <c r="T85" s="586"/>
      <c r="U85" s="586"/>
      <c r="V85" s="586"/>
      <c r="W85" s="586"/>
      <c r="X85" s="586"/>
      <c r="Y85" s="586"/>
      <c r="Z85" s="586"/>
      <c r="AA85" s="586"/>
      <c r="AB85" s="586"/>
      <c r="AC85" s="586"/>
      <c r="AD85" s="586"/>
      <c r="AE85" s="586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  <c r="BC85" s="586"/>
      <c r="BD85" s="586"/>
      <c r="BE85" s="519"/>
      <c r="BF85" s="631">
        <f t="shared" si="54"/>
        <v>1719.8000000000002</v>
      </c>
      <c r="BG85" s="631">
        <f t="shared" si="55"/>
        <v>1869.152222222222</v>
      </c>
      <c r="BH85" s="631">
        <f t="shared" si="56"/>
        <v>4105.3483333333334</v>
      </c>
      <c r="BI85" s="631"/>
      <c r="BJ85" s="631">
        <f t="shared" si="57"/>
        <v>2234.1944444444443</v>
      </c>
      <c r="BK85" s="631">
        <f t="shared" si="58"/>
        <v>1856.25</v>
      </c>
      <c r="BL85" s="631">
        <f t="shared" si="59"/>
        <v>4338.7222222222226</v>
      </c>
      <c r="BM85" s="631">
        <f t="shared" si="60"/>
        <v>573.22222222222217</v>
      </c>
      <c r="BN85" s="39">
        <f t="shared" si="65"/>
        <v>16696.689444444444</v>
      </c>
    </row>
    <row r="86" spans="1:66" s="335" customFormat="1">
      <c r="A86" s="327" t="s">
        <v>57</v>
      </c>
      <c r="B86" s="327">
        <f t="shared" si="66"/>
        <v>2022</v>
      </c>
      <c r="C86" s="327" t="s">
        <v>47</v>
      </c>
      <c r="D86" s="518"/>
      <c r="E86" s="518"/>
      <c r="F86" s="518">
        <f t="shared" si="67"/>
        <v>4359678.58</v>
      </c>
      <c r="G86" s="518"/>
      <c r="H86" s="518">
        <v>13548.32</v>
      </c>
      <c r="I86" s="39">
        <f>SUM(H$5:H86)</f>
        <v>4311587.6499999994</v>
      </c>
      <c r="J86" s="518"/>
      <c r="K86" s="92">
        <f t="shared" si="68"/>
        <v>48090.930000000633</v>
      </c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6"/>
      <c r="AA86" s="586"/>
      <c r="AB86" s="586"/>
      <c r="AC86" s="586"/>
      <c r="AD86" s="586"/>
      <c r="AE86" s="586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  <c r="BC86" s="586"/>
      <c r="BD86" s="586"/>
      <c r="BE86" s="519"/>
      <c r="BF86" s="519"/>
      <c r="BG86" s="631">
        <f t="shared" si="55"/>
        <v>1869.152222222222</v>
      </c>
      <c r="BH86" s="631">
        <f t="shared" si="56"/>
        <v>4105.3483333333334</v>
      </c>
      <c r="BI86" s="631"/>
      <c r="BJ86" s="631">
        <f t="shared" si="57"/>
        <v>2234.1944444444443</v>
      </c>
      <c r="BK86" s="631">
        <f t="shared" si="58"/>
        <v>1856.25</v>
      </c>
      <c r="BL86" s="631">
        <f t="shared" si="59"/>
        <v>4338.7222222222226</v>
      </c>
      <c r="BM86" s="631">
        <f t="shared" si="60"/>
        <v>573.22222222222217</v>
      </c>
      <c r="BN86" s="39">
        <f t="shared" si="65"/>
        <v>14976.889444444445</v>
      </c>
    </row>
    <row r="87" spans="1:66" s="335" customFormat="1">
      <c r="A87" s="327" t="s">
        <v>58</v>
      </c>
      <c r="B87" s="327">
        <f t="shared" si="66"/>
        <v>2022</v>
      </c>
      <c r="C87" s="327" t="s">
        <v>47</v>
      </c>
      <c r="D87" s="518"/>
      <c r="E87" s="518"/>
      <c r="F87" s="518">
        <f t="shared" si="67"/>
        <v>4359678.58</v>
      </c>
      <c r="G87" s="518"/>
      <c r="H87" s="518">
        <v>12007.42</v>
      </c>
      <c r="I87" s="39">
        <f>SUM(H$5:H87)</f>
        <v>4323595.0699999994</v>
      </c>
      <c r="J87" s="518"/>
      <c r="K87" s="92">
        <f t="shared" ref="K87" si="69">F87-I87</f>
        <v>36083.510000000708</v>
      </c>
      <c r="M87" s="586"/>
      <c r="N87" s="586"/>
      <c r="O87" s="586"/>
      <c r="P87" s="586"/>
      <c r="Q87" s="586"/>
      <c r="R87" s="586"/>
      <c r="S87" s="586"/>
      <c r="T87" s="586"/>
      <c r="U87" s="586"/>
      <c r="V87" s="586"/>
      <c r="W87" s="586"/>
      <c r="X87" s="586"/>
      <c r="Y87" s="586"/>
      <c r="Z87" s="586"/>
      <c r="AA87" s="586"/>
      <c r="AB87" s="586"/>
      <c r="AC87" s="586"/>
      <c r="AD87" s="586"/>
      <c r="AE87" s="586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  <c r="BC87" s="586"/>
      <c r="BD87" s="586"/>
      <c r="BE87" s="519"/>
      <c r="BF87" s="519"/>
      <c r="BG87" s="519"/>
      <c r="BH87" s="631">
        <f t="shared" si="56"/>
        <v>4105.3483333333334</v>
      </c>
      <c r="BI87" s="631"/>
      <c r="BJ87" s="631">
        <f t="shared" si="57"/>
        <v>2234.1944444444443</v>
      </c>
      <c r="BK87" s="631">
        <f t="shared" si="58"/>
        <v>1856.25</v>
      </c>
      <c r="BL87" s="631">
        <f t="shared" si="59"/>
        <v>4338.7222222222226</v>
      </c>
      <c r="BM87" s="631">
        <f t="shared" si="60"/>
        <v>573.22222222222217</v>
      </c>
      <c r="BN87" s="39">
        <f t="shared" si="65"/>
        <v>13107.737222222222</v>
      </c>
    </row>
    <row r="88" spans="1:66" s="335" customFormat="1">
      <c r="A88" s="327" t="s">
        <v>59</v>
      </c>
      <c r="B88" s="327">
        <f t="shared" si="66"/>
        <v>2022</v>
      </c>
      <c r="C88" s="327" t="s">
        <v>47</v>
      </c>
      <c r="D88" s="518"/>
      <c r="E88" s="518"/>
      <c r="F88" s="518">
        <f t="shared" ref="F88:F91" si="70">F87+D88</f>
        <v>4359678.58</v>
      </c>
      <c r="G88" s="518"/>
      <c r="H88" s="629">
        <v>10614.35</v>
      </c>
      <c r="I88" s="39">
        <f>SUM(H$5:H88)</f>
        <v>4334209.419999999</v>
      </c>
      <c r="J88" s="518"/>
      <c r="K88" s="92">
        <f t="shared" ref="K88:K90" si="71">F88-I88</f>
        <v>25469.16000000108</v>
      </c>
      <c r="BE88" s="585"/>
      <c r="BF88" s="585"/>
      <c r="BG88" s="585"/>
      <c r="BH88" s="585"/>
      <c r="BI88" s="585"/>
      <c r="BJ88" s="631">
        <f t="shared" si="57"/>
        <v>2234.1944444444443</v>
      </c>
      <c r="BK88" s="631">
        <f t="shared" si="58"/>
        <v>1856.25</v>
      </c>
      <c r="BL88" s="631">
        <f t="shared" si="59"/>
        <v>4338.7222222222226</v>
      </c>
      <c r="BM88" s="631">
        <f t="shared" si="60"/>
        <v>573.22222222222217</v>
      </c>
      <c r="BN88" s="39">
        <f t="shared" si="65"/>
        <v>9002.3888888888905</v>
      </c>
    </row>
    <row r="89" spans="1:66" s="335" customFormat="1">
      <c r="A89" s="327" t="s">
        <v>46</v>
      </c>
      <c r="B89" s="327">
        <f t="shared" si="66"/>
        <v>2022</v>
      </c>
      <c r="C89" s="327" t="s">
        <v>47</v>
      </c>
      <c r="D89" s="518"/>
      <c r="E89" s="518"/>
      <c r="F89" s="518">
        <f t="shared" si="70"/>
        <v>4359678.58</v>
      </c>
      <c r="G89" s="518"/>
      <c r="H89" s="629">
        <v>10260.030000000001</v>
      </c>
      <c r="I89" s="39">
        <f>SUM(H$5:H89)</f>
        <v>4344469.4499999993</v>
      </c>
      <c r="J89" s="518"/>
      <c r="K89" s="92">
        <f t="shared" si="71"/>
        <v>15209.13000000082</v>
      </c>
      <c r="BE89" s="585"/>
      <c r="BF89" s="585"/>
      <c r="BG89" s="585"/>
      <c r="BH89" s="585"/>
      <c r="BI89" s="585"/>
      <c r="BJ89" s="631">
        <f t="shared" si="57"/>
        <v>2234.1944444444443</v>
      </c>
      <c r="BK89" s="631">
        <f t="shared" si="58"/>
        <v>1856.25</v>
      </c>
      <c r="BL89" s="631">
        <f t="shared" si="59"/>
        <v>4338.7222222222226</v>
      </c>
      <c r="BM89" s="631">
        <f t="shared" si="60"/>
        <v>573.22222222222217</v>
      </c>
      <c r="BN89" s="39">
        <f t="shared" si="65"/>
        <v>9002.3888888888905</v>
      </c>
    </row>
    <row r="90" spans="1:66" s="335" customFormat="1">
      <c r="A90" s="327" t="s">
        <v>48</v>
      </c>
      <c r="B90" s="327">
        <f t="shared" si="66"/>
        <v>2022</v>
      </c>
      <c r="C90" s="327" t="s">
        <v>47</v>
      </c>
      <c r="D90" s="518"/>
      <c r="E90" s="518"/>
      <c r="F90" s="518">
        <f t="shared" si="70"/>
        <v>4359678.58</v>
      </c>
      <c r="G90" s="518"/>
      <c r="H90" s="518">
        <v>6768.03</v>
      </c>
      <c r="I90" s="39">
        <f>SUM(H$5:H90)</f>
        <v>4351237.4799999995</v>
      </c>
      <c r="J90" s="518"/>
      <c r="K90" s="92">
        <f t="shared" si="71"/>
        <v>8441.1000000005588</v>
      </c>
      <c r="BE90" s="585"/>
      <c r="BF90" s="585"/>
      <c r="BG90" s="585"/>
      <c r="BH90" s="585"/>
      <c r="BI90" s="585"/>
      <c r="BJ90" s="585"/>
      <c r="BK90" s="631">
        <f t="shared" si="58"/>
        <v>1856.25</v>
      </c>
      <c r="BL90" s="631">
        <f t="shared" si="59"/>
        <v>4338.7222222222226</v>
      </c>
      <c r="BM90" s="631">
        <f t="shared" si="60"/>
        <v>573.22222222222217</v>
      </c>
      <c r="BN90" s="39">
        <f t="shared" si="65"/>
        <v>6768.1944444444453</v>
      </c>
    </row>
    <row r="91" spans="1:66" s="335" customFormat="1">
      <c r="A91" s="327" t="s">
        <v>50</v>
      </c>
      <c r="B91" s="327">
        <f t="shared" si="66"/>
        <v>2022</v>
      </c>
      <c r="C91" s="327" t="s">
        <v>47</v>
      </c>
      <c r="D91" s="518"/>
      <c r="E91" s="518"/>
      <c r="F91" s="518">
        <f t="shared" si="70"/>
        <v>4359678.58</v>
      </c>
      <c r="G91" s="518"/>
      <c r="H91" s="518">
        <v>4338.43</v>
      </c>
      <c r="I91" s="39">
        <f>SUM(H$5:H91)</f>
        <v>4355575.9099999992</v>
      </c>
      <c r="J91" s="518"/>
      <c r="K91" s="92">
        <f t="shared" ref="K91" si="72">F91-I91</f>
        <v>4102.6700000008568</v>
      </c>
      <c r="BE91" s="585"/>
      <c r="BF91" s="585"/>
      <c r="BG91" s="585"/>
      <c r="BH91" s="585"/>
      <c r="BI91" s="585"/>
      <c r="BJ91" s="585"/>
      <c r="BK91" s="585"/>
      <c r="BL91" s="631">
        <f t="shared" si="59"/>
        <v>4338.7222222222226</v>
      </c>
      <c r="BM91" s="631">
        <f t="shared" si="60"/>
        <v>573.22222222222217</v>
      </c>
      <c r="BN91" s="39">
        <f t="shared" si="65"/>
        <v>4911.9444444444453</v>
      </c>
    </row>
    <row r="92" spans="1:66" s="335" customFormat="1">
      <c r="A92" s="327" t="s">
        <v>51</v>
      </c>
      <c r="B92" s="327">
        <f t="shared" si="66"/>
        <v>2022</v>
      </c>
      <c r="C92" s="327" t="s">
        <v>47</v>
      </c>
      <c r="D92" s="518"/>
      <c r="E92" s="518"/>
      <c r="F92" s="518">
        <f t="shared" ref="F92" si="73">F91+D92</f>
        <v>4359678.58</v>
      </c>
      <c r="G92" s="518"/>
      <c r="H92" s="518">
        <v>2241</v>
      </c>
      <c r="I92" s="39">
        <f>SUM(H$5:H92)</f>
        <v>4357816.9099999992</v>
      </c>
      <c r="J92" s="518"/>
      <c r="K92" s="92">
        <f t="shared" ref="K92" si="74">F92-I92</f>
        <v>1861.6700000008568</v>
      </c>
      <c r="BE92" s="585"/>
      <c r="BF92" s="585"/>
      <c r="BG92" s="585"/>
      <c r="BH92" s="585"/>
      <c r="BI92" s="585"/>
      <c r="BJ92" s="585"/>
      <c r="BK92" s="585"/>
      <c r="BL92" s="585"/>
      <c r="BM92" s="631">
        <f t="shared" si="60"/>
        <v>573.22222222222217</v>
      </c>
      <c r="BN92" s="39">
        <f t="shared" si="65"/>
        <v>573.22222222222217</v>
      </c>
    </row>
    <row r="93" spans="1:66" s="335" customFormat="1">
      <c r="A93" s="327" t="s">
        <v>52</v>
      </c>
      <c r="B93" s="327">
        <f t="shared" si="66"/>
        <v>2022</v>
      </c>
      <c r="C93" s="327" t="s">
        <v>47</v>
      </c>
      <c r="D93" s="518"/>
      <c r="E93" s="518"/>
      <c r="F93" s="518">
        <f t="shared" ref="F93" si="75">F92+D93</f>
        <v>4359678.58</v>
      </c>
      <c r="G93" s="518"/>
      <c r="H93" s="518">
        <f>K92</f>
        <v>1861.6700000008568</v>
      </c>
      <c r="I93" s="39">
        <f>SUM(H$5:H93)</f>
        <v>4359678.58</v>
      </c>
      <c r="J93" s="518"/>
      <c r="K93" s="92">
        <f t="shared" ref="K93" si="76">F93-I93</f>
        <v>0</v>
      </c>
      <c r="BE93" s="585"/>
      <c r="BF93" s="585"/>
      <c r="BG93" s="585"/>
      <c r="BH93" s="585"/>
      <c r="BI93" s="585"/>
      <c r="BJ93" s="585"/>
      <c r="BK93" s="585"/>
      <c r="BL93" s="585"/>
      <c r="BM93" s="585"/>
    </row>
    <row r="94" spans="1:66" s="335" customFormat="1">
      <c r="A94" s="327" t="s">
        <v>53</v>
      </c>
      <c r="B94" s="327">
        <v>2023</v>
      </c>
      <c r="C94" s="308" t="s">
        <v>47</v>
      </c>
      <c r="D94" s="518"/>
      <c r="E94" s="518"/>
      <c r="F94" s="518">
        <f t="shared" ref="F94" si="77">F93+D94</f>
        <v>4359678.58</v>
      </c>
      <c r="G94" s="518"/>
      <c r="H94" s="518"/>
      <c r="I94" s="518">
        <f>SUM(H$5:H94)</f>
        <v>4359678.58</v>
      </c>
      <c r="J94" s="518"/>
      <c r="K94" s="39">
        <f t="shared" ref="K94" si="78">F94-I94</f>
        <v>0</v>
      </c>
      <c r="BE94" s="585"/>
      <c r="BF94" s="585"/>
      <c r="BG94" s="585"/>
      <c r="BH94" s="585"/>
      <c r="BI94" s="585"/>
      <c r="BJ94" s="585"/>
      <c r="BK94" s="585"/>
      <c r="BL94" s="585"/>
      <c r="BM94" s="585"/>
    </row>
    <row r="95" spans="1:66" s="335" customFormat="1">
      <c r="A95" s="327" t="s">
        <v>54</v>
      </c>
      <c r="B95" s="335">
        <v>2023</v>
      </c>
      <c r="C95" s="308" t="s">
        <v>47</v>
      </c>
      <c r="D95" s="518"/>
      <c r="E95" s="518"/>
      <c r="F95" s="518">
        <f t="shared" ref="F95" si="79">F94+D95</f>
        <v>4359678.58</v>
      </c>
      <c r="G95" s="518"/>
      <c r="H95" s="518">
        <v>0</v>
      </c>
      <c r="I95" s="518">
        <f>SUM(H$5:H95)</f>
        <v>4359678.58</v>
      </c>
      <c r="J95" s="518"/>
      <c r="K95" s="39">
        <f t="shared" ref="K95" si="80">F95-I95</f>
        <v>0</v>
      </c>
      <c r="BE95" s="585"/>
      <c r="BF95" s="585"/>
      <c r="BG95" s="585"/>
      <c r="BH95" s="585"/>
      <c r="BI95" s="585"/>
      <c r="BJ95" s="585"/>
      <c r="BK95" s="585"/>
      <c r="BL95" s="585"/>
      <c r="BM95" s="585"/>
    </row>
    <row r="96" spans="1:66" s="335" customFormat="1">
      <c r="A96" s="632" t="s">
        <v>55</v>
      </c>
      <c r="B96" s="335">
        <v>2023</v>
      </c>
      <c r="C96" s="308" t="s">
        <v>47</v>
      </c>
      <c r="D96" s="518"/>
      <c r="E96" s="518"/>
      <c r="F96" s="518">
        <f t="shared" ref="F96" si="81">F95+D96</f>
        <v>4359678.58</v>
      </c>
      <c r="G96" s="518"/>
      <c r="H96" s="518">
        <v>0</v>
      </c>
      <c r="I96" s="518">
        <f>SUM(H$5:H96)</f>
        <v>4359678.58</v>
      </c>
      <c r="J96" s="518"/>
      <c r="K96" s="39">
        <f t="shared" ref="K96" si="82">F96-I96</f>
        <v>0</v>
      </c>
    </row>
    <row r="97" spans="3:11" s="335" customFormat="1">
      <c r="C97" s="585"/>
      <c r="D97" s="518"/>
      <c r="E97" s="518"/>
      <c r="F97" s="518"/>
      <c r="G97" s="518"/>
      <c r="H97" s="518"/>
      <c r="I97" s="518"/>
      <c r="J97" s="518"/>
      <c r="K97" s="39"/>
    </row>
    <row r="98" spans="3:11" s="335" customFormat="1">
      <c r="C98" s="585"/>
      <c r="D98" s="713"/>
      <c r="E98" s="713"/>
      <c r="F98" s="713"/>
      <c r="G98" s="713"/>
      <c r="H98" s="713"/>
      <c r="I98" s="518"/>
      <c r="J98" s="518"/>
      <c r="K98" s="39"/>
    </row>
    <row r="99" spans="3:11" s="335" customFormat="1">
      <c r="C99" s="585"/>
      <c r="D99" s="518"/>
      <c r="E99" s="518"/>
      <c r="F99" s="518"/>
      <c r="G99" s="518"/>
      <c r="H99" s="518"/>
      <c r="I99" s="518"/>
      <c r="J99" s="518"/>
      <c r="K99" s="39"/>
    </row>
    <row r="100" spans="3:11" s="335" customFormat="1">
      <c r="C100" s="585"/>
      <c r="D100" s="633"/>
      <c r="E100" s="39"/>
      <c r="F100" s="586"/>
      <c r="G100" s="586"/>
      <c r="H100" s="586"/>
      <c r="I100" s="518"/>
      <c r="J100" s="518"/>
    </row>
    <row r="101" spans="3:11" s="335" customFormat="1">
      <c r="C101" s="585"/>
      <c r="D101" s="633"/>
      <c r="E101" s="39"/>
      <c r="F101" s="586"/>
      <c r="G101" s="586"/>
      <c r="H101" s="586"/>
      <c r="I101" s="518"/>
      <c r="J101" s="518"/>
    </row>
    <row r="102" spans="3:11" s="335" customFormat="1">
      <c r="C102" s="585"/>
      <c r="D102" s="633"/>
      <c r="E102" s="39"/>
      <c r="F102" s="586"/>
      <c r="G102" s="586"/>
      <c r="H102" s="586"/>
      <c r="I102" s="518"/>
      <c r="J102" s="518"/>
    </row>
    <row r="103" spans="3:11" s="335" customFormat="1">
      <c r="C103" s="585"/>
      <c r="D103" s="634"/>
      <c r="E103" s="39"/>
      <c r="F103" s="586"/>
      <c r="G103" s="586"/>
      <c r="H103" s="586"/>
      <c r="I103" s="518"/>
      <c r="J103" s="518"/>
    </row>
    <row r="104" spans="3:11" s="335" customFormat="1">
      <c r="C104" s="585"/>
      <c r="D104" s="713"/>
      <c r="E104" s="713"/>
      <c r="F104" s="713"/>
      <c r="G104" s="518"/>
      <c r="H104" s="518"/>
      <c r="I104" s="518"/>
      <c r="J104" s="518"/>
      <c r="K104" s="39"/>
    </row>
    <row r="105" spans="3:11" s="335" customFormat="1">
      <c r="C105" s="585"/>
      <c r="D105" s="713"/>
      <c r="E105" s="713"/>
      <c r="F105" s="713"/>
      <c r="G105" s="518"/>
      <c r="H105" s="518"/>
      <c r="I105" s="518"/>
      <c r="J105" s="518"/>
      <c r="K105" s="39"/>
    </row>
    <row r="106" spans="3:11" s="335" customFormat="1">
      <c r="C106" s="585"/>
      <c r="D106" s="518"/>
      <c r="E106" s="518"/>
      <c r="F106" s="518"/>
      <c r="G106" s="518"/>
      <c r="H106" s="518"/>
      <c r="I106" s="518"/>
      <c r="J106" s="518"/>
      <c r="K106" s="39"/>
    </row>
    <row r="107" spans="3:11" s="335" customFormat="1">
      <c r="C107" s="585"/>
      <c r="D107" s="518"/>
      <c r="E107" s="518"/>
      <c r="F107" s="518"/>
      <c r="G107" s="518"/>
      <c r="H107" s="518"/>
      <c r="I107" s="518"/>
      <c r="J107" s="518"/>
      <c r="K107" s="39"/>
    </row>
    <row r="108" spans="3:11" s="335" customFormat="1">
      <c r="C108" s="585"/>
      <c r="D108" s="518"/>
      <c r="E108" s="518"/>
      <c r="F108" s="518"/>
      <c r="G108" s="518"/>
      <c r="H108" s="518"/>
      <c r="I108" s="518"/>
      <c r="J108" s="518"/>
      <c r="K108" s="39"/>
    </row>
    <row r="109" spans="3:11" s="335" customFormat="1">
      <c r="C109" s="585"/>
      <c r="D109" s="518"/>
      <c r="E109" s="518"/>
      <c r="F109" s="518"/>
      <c r="G109" s="518"/>
      <c r="H109" s="518"/>
      <c r="I109" s="518"/>
      <c r="J109" s="518"/>
      <c r="K109" s="39"/>
    </row>
    <row r="110" spans="3:11" s="335" customFormat="1">
      <c r="C110" s="585"/>
      <c r="D110" s="518"/>
      <c r="E110" s="518"/>
      <c r="F110" s="518"/>
      <c r="G110" s="518"/>
      <c r="H110" s="518"/>
      <c r="I110" s="518"/>
      <c r="J110" s="518"/>
      <c r="K110" s="39"/>
    </row>
    <row r="111" spans="3:11" s="335" customFormat="1">
      <c r="C111" s="585"/>
      <c r="D111" s="518"/>
      <c r="E111" s="518"/>
      <c r="F111" s="518"/>
      <c r="G111" s="518"/>
      <c r="H111" s="518"/>
      <c r="I111" s="518"/>
      <c r="J111" s="518"/>
      <c r="K111" s="39"/>
    </row>
    <row r="112" spans="3:11" s="335" customFormat="1">
      <c r="C112" s="585"/>
      <c r="D112" s="518"/>
      <c r="E112" s="518"/>
      <c r="F112" s="518"/>
      <c r="G112" s="518"/>
      <c r="H112" s="518"/>
      <c r="I112" s="518"/>
      <c r="J112" s="518"/>
      <c r="K112" s="39"/>
    </row>
    <row r="113" spans="3:65" s="335" customFormat="1">
      <c r="C113" s="585"/>
      <c r="D113" s="518"/>
      <c r="E113" s="518"/>
      <c r="F113" s="518"/>
      <c r="G113" s="518"/>
      <c r="H113" s="518"/>
      <c r="I113" s="518"/>
      <c r="J113" s="518"/>
      <c r="K113" s="39"/>
    </row>
    <row r="114" spans="3:65" s="335" customFormat="1">
      <c r="C114" s="585"/>
      <c r="D114" s="518"/>
      <c r="E114" s="518"/>
      <c r="F114" s="518"/>
      <c r="G114" s="518"/>
      <c r="H114" s="518"/>
      <c r="I114" s="518"/>
      <c r="J114" s="518"/>
      <c r="K114" s="39"/>
    </row>
    <row r="115" spans="3:65" s="335" customFormat="1">
      <c r="C115" s="585"/>
      <c r="D115" s="518"/>
      <c r="E115" s="518"/>
      <c r="F115" s="518"/>
      <c r="G115" s="518"/>
      <c r="H115" s="518"/>
      <c r="I115" s="518"/>
      <c r="J115" s="518"/>
      <c r="K115" s="39"/>
    </row>
    <row r="116" spans="3:65" s="335" customFormat="1">
      <c r="C116" s="585"/>
      <c r="D116" s="518"/>
      <c r="E116" s="518"/>
      <c r="F116" s="518"/>
      <c r="G116" s="518"/>
      <c r="H116" s="518"/>
      <c r="I116" s="518"/>
      <c r="J116" s="518"/>
      <c r="K116" s="39"/>
    </row>
    <row r="117" spans="3:65" s="335" customFormat="1">
      <c r="C117" s="585"/>
      <c r="D117" s="585"/>
      <c r="E117" s="585"/>
      <c r="F117" s="585"/>
      <c r="G117" s="585"/>
      <c r="H117" s="585"/>
      <c r="I117" s="585"/>
    </row>
    <row r="118" spans="3:65">
      <c r="C118" s="4"/>
      <c r="D118" s="4"/>
      <c r="E118" s="4"/>
      <c r="F118" s="4"/>
      <c r="G118" s="4"/>
      <c r="H118" s="4"/>
      <c r="I118" s="4"/>
      <c r="BE118" s="3"/>
      <c r="BF118" s="3"/>
      <c r="BG118" s="3"/>
      <c r="BH118" s="3"/>
      <c r="BI118" s="3"/>
      <c r="BJ118" s="3"/>
      <c r="BK118" s="3"/>
      <c r="BL118" s="3"/>
      <c r="BM118" s="3"/>
    </row>
    <row r="119" spans="3:65">
      <c r="C119" s="4"/>
      <c r="D119" s="4"/>
      <c r="E119" s="4"/>
      <c r="F119" s="4"/>
      <c r="G119" s="4"/>
      <c r="H119" s="4"/>
      <c r="I119" s="4"/>
      <c r="BE119" s="3"/>
      <c r="BF119" s="3"/>
      <c r="BG119" s="3"/>
      <c r="BH119" s="3"/>
      <c r="BI119" s="3"/>
      <c r="BJ119" s="3"/>
      <c r="BK119" s="3"/>
      <c r="BL119" s="3"/>
      <c r="BM119" s="3"/>
    </row>
    <row r="120" spans="3:65">
      <c r="C120" s="4"/>
      <c r="D120" s="4"/>
      <c r="E120" s="4"/>
      <c r="F120" s="4"/>
      <c r="G120" s="4"/>
      <c r="H120" s="4"/>
      <c r="I120" s="4"/>
      <c r="BE120" s="3"/>
      <c r="BF120" s="3"/>
      <c r="BG120" s="3"/>
      <c r="BH120" s="3"/>
      <c r="BI120" s="3"/>
      <c r="BJ120" s="3"/>
      <c r="BK120" s="3"/>
      <c r="BL120" s="3"/>
      <c r="BM120" s="3"/>
    </row>
    <row r="121" spans="3:65">
      <c r="C121" s="4"/>
      <c r="D121" s="4"/>
      <c r="E121" s="4"/>
      <c r="F121" s="4"/>
      <c r="G121" s="4"/>
      <c r="H121" s="4"/>
      <c r="I121" s="4"/>
      <c r="BE121" s="3"/>
      <c r="BF121" s="3"/>
      <c r="BG121" s="3"/>
      <c r="BH121" s="3"/>
      <c r="BI121" s="3"/>
      <c r="BJ121" s="3"/>
      <c r="BK121" s="3"/>
      <c r="BL121" s="3"/>
      <c r="BM121" s="3"/>
    </row>
    <row r="122" spans="3:65">
      <c r="C122" s="4"/>
      <c r="D122" s="4"/>
      <c r="E122" s="4"/>
      <c r="F122" s="4"/>
      <c r="G122" s="4"/>
      <c r="H122" s="4"/>
      <c r="I122" s="4"/>
      <c r="BE122" s="3"/>
      <c r="BF122" s="3"/>
      <c r="BG122" s="3"/>
      <c r="BH122" s="3"/>
      <c r="BI122" s="3"/>
      <c r="BJ122" s="3"/>
      <c r="BK122" s="3"/>
      <c r="BL122" s="3"/>
      <c r="BM122" s="3"/>
    </row>
    <row r="123" spans="3:65">
      <c r="C123" s="4"/>
      <c r="D123" s="4"/>
      <c r="E123" s="4"/>
      <c r="F123" s="4"/>
      <c r="G123" s="4"/>
      <c r="H123" s="4"/>
      <c r="I123" s="4"/>
      <c r="BE123" s="3"/>
      <c r="BF123" s="3"/>
      <c r="BG123" s="3"/>
      <c r="BH123" s="3"/>
      <c r="BI123" s="3"/>
      <c r="BJ123" s="3"/>
      <c r="BK123" s="3"/>
      <c r="BL123" s="3"/>
      <c r="BM123" s="3"/>
    </row>
    <row r="124" spans="3:65">
      <c r="C124" s="4"/>
      <c r="D124" s="4"/>
      <c r="E124" s="4"/>
      <c r="F124" s="4"/>
      <c r="G124" s="4"/>
      <c r="H124" s="4"/>
      <c r="I124" s="4"/>
      <c r="BE124" s="3"/>
      <c r="BF124" s="3"/>
      <c r="BG124" s="3"/>
      <c r="BH124" s="3"/>
      <c r="BI124" s="3"/>
      <c r="BJ124" s="3"/>
      <c r="BK124" s="3"/>
      <c r="BL124" s="3"/>
      <c r="BM124" s="3"/>
    </row>
    <row r="125" spans="3:65">
      <c r="C125" s="4"/>
      <c r="D125" s="4"/>
      <c r="E125" s="4"/>
      <c r="F125" s="4"/>
      <c r="G125" s="4"/>
      <c r="H125" s="4"/>
      <c r="I125" s="4"/>
      <c r="BE125" s="3"/>
      <c r="BF125" s="3"/>
      <c r="BG125" s="3"/>
      <c r="BH125" s="3"/>
      <c r="BI125" s="3"/>
      <c r="BJ125" s="3"/>
      <c r="BK125" s="3"/>
      <c r="BL125" s="3"/>
      <c r="BM125" s="3"/>
    </row>
    <row r="126" spans="3:65">
      <c r="C126" s="4"/>
      <c r="D126" s="4"/>
      <c r="E126" s="4"/>
      <c r="F126" s="4"/>
      <c r="G126" s="4"/>
      <c r="H126" s="4"/>
      <c r="I126" s="4"/>
      <c r="BE126" s="3"/>
      <c r="BF126" s="3"/>
      <c r="BG126" s="3"/>
      <c r="BH126" s="3"/>
      <c r="BI126" s="3"/>
      <c r="BJ126" s="3"/>
      <c r="BK126" s="3"/>
      <c r="BL126" s="3"/>
      <c r="BM126" s="3"/>
    </row>
    <row r="127" spans="3:65">
      <c r="C127" s="4"/>
      <c r="D127" s="4"/>
      <c r="E127" s="4"/>
      <c r="F127" s="4"/>
      <c r="G127" s="4"/>
      <c r="H127" s="4"/>
      <c r="I127" s="4"/>
      <c r="BE127" s="3"/>
      <c r="BF127" s="3"/>
      <c r="BG127" s="3"/>
      <c r="BH127" s="3"/>
      <c r="BI127" s="3"/>
      <c r="BJ127" s="3"/>
      <c r="BK127" s="3"/>
      <c r="BL127" s="3"/>
      <c r="BM127" s="3"/>
    </row>
  </sheetData>
  <mergeCells count="4">
    <mergeCell ref="D1:K1"/>
    <mergeCell ref="M1:BN1"/>
    <mergeCell ref="D98:H98"/>
    <mergeCell ref="D104:F105"/>
  </mergeCells>
  <pageMargins left="0.7" right="0.7" top="0.75" bottom="0.75" header="0.3" footer="0.3"/>
  <pageSetup scale="2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A457"/>
  <sheetViews>
    <sheetView topLeftCell="A184" workbookViewId="0">
      <selection activeCell="F32" sqref="F32"/>
    </sheetView>
  </sheetViews>
  <sheetFormatPr defaultRowHeight="12.75" outlineLevelRow="1"/>
  <cols>
    <col min="1" max="1" width="19" style="269" customWidth="1"/>
    <col min="2" max="2" width="9.85546875" style="269" customWidth="1"/>
    <col min="3" max="5" width="20.7109375" style="270" customWidth="1"/>
    <col min="6" max="6" width="6" style="269" customWidth="1"/>
    <col min="7" max="9" width="20.7109375" style="279" customWidth="1"/>
    <col min="10" max="11" width="23.5703125" style="279" customWidth="1"/>
    <col min="12" max="13" width="20.7109375" style="279" customWidth="1"/>
    <col min="14" max="16" width="1.85546875" customWidth="1"/>
    <col min="17" max="17" width="22.140625" customWidth="1"/>
    <col min="18" max="18" width="5.28515625" customWidth="1"/>
    <col min="19" max="24" width="19" customWidth="1"/>
    <col min="25" max="25" width="9.85546875" bestFit="1" customWidth="1"/>
    <col min="26" max="26" width="19" customWidth="1"/>
    <col min="27" max="27" width="8" bestFit="1" customWidth="1"/>
    <col min="28" max="29" width="19" customWidth="1"/>
    <col min="30" max="31" width="14.42578125" customWidth="1"/>
    <col min="32" max="32" width="13.28515625" customWidth="1"/>
    <col min="33" max="339" width="14.42578125" customWidth="1"/>
  </cols>
  <sheetData>
    <row r="1" spans="1:31" ht="19.5" thickBot="1">
      <c r="A1" s="716" t="s">
        <v>260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717"/>
      <c r="Q1" s="718"/>
      <c r="R1" s="268"/>
    </row>
    <row r="2" spans="1:31" ht="17.25" outlineLevel="1" thickBot="1">
      <c r="G2" s="719" t="s">
        <v>261</v>
      </c>
      <c r="H2" s="720"/>
      <c r="I2" s="720"/>
      <c r="J2" s="720"/>
      <c r="K2" s="720"/>
      <c r="L2" s="720"/>
      <c r="M2" s="721"/>
      <c r="Q2" s="271" t="s">
        <v>262</v>
      </c>
      <c r="S2" s="181"/>
      <c r="T2" s="272"/>
      <c r="U2" s="272" t="s">
        <v>263</v>
      </c>
      <c r="V2" s="272" t="s">
        <v>264</v>
      </c>
      <c r="W2" s="272"/>
      <c r="Y2" s="272"/>
      <c r="Z2" s="267"/>
      <c r="AA2" s="273"/>
      <c r="AB2" s="273"/>
      <c r="AC2" s="273"/>
      <c r="AD2" s="273"/>
      <c r="AE2" s="273"/>
    </row>
    <row r="3" spans="1:31" ht="17.25" outlineLevel="1" thickBot="1">
      <c r="C3" s="274" t="s">
        <v>265</v>
      </c>
      <c r="D3" s="274" t="s">
        <v>266</v>
      </c>
      <c r="E3" s="274" t="s">
        <v>91</v>
      </c>
      <c r="G3" s="274" t="s">
        <v>267</v>
      </c>
      <c r="H3" s="274" t="s">
        <v>268</v>
      </c>
      <c r="I3" s="274" t="s">
        <v>269</v>
      </c>
      <c r="J3" s="274" t="s">
        <v>270</v>
      </c>
      <c r="K3" s="274" t="s">
        <v>271</v>
      </c>
      <c r="L3" s="274" t="s">
        <v>272</v>
      </c>
      <c r="M3" s="274" t="s">
        <v>273</v>
      </c>
      <c r="N3" s="275"/>
      <c r="O3" s="275"/>
      <c r="S3" s="181"/>
      <c r="T3" s="276" t="s">
        <v>274</v>
      </c>
      <c r="U3" s="276" t="s">
        <v>123</v>
      </c>
      <c r="V3" s="276" t="s">
        <v>123</v>
      </c>
      <c r="W3" s="276" t="s">
        <v>275</v>
      </c>
      <c r="X3" s="276" t="s">
        <v>276</v>
      </c>
      <c r="Z3" s="267"/>
      <c r="AA3" s="273"/>
      <c r="AB3" s="267"/>
      <c r="AC3" s="267"/>
      <c r="AD3" s="273"/>
      <c r="AE3" s="267"/>
    </row>
    <row r="4" spans="1:31" ht="16.5" outlineLevel="1">
      <c r="A4" s="277" t="s">
        <v>277</v>
      </c>
      <c r="B4" s="278">
        <v>2019</v>
      </c>
      <c r="C4" s="279">
        <v>12602418.767759997</v>
      </c>
      <c r="D4" s="279">
        <v>12170270.039999999</v>
      </c>
      <c r="E4" s="279">
        <f t="shared" ref="E4:E13" si="0">C4-D4</f>
        <v>432148.72775999829</v>
      </c>
      <c r="F4" s="278"/>
      <c r="G4" s="279">
        <v>1958216.0225000007</v>
      </c>
      <c r="H4" s="279">
        <v>1789858</v>
      </c>
      <c r="I4" s="279">
        <v>7085718.7342959987</v>
      </c>
      <c r="J4" s="279">
        <v>11538032.088918207</v>
      </c>
      <c r="K4" s="279">
        <v>2828436.0478891823</v>
      </c>
      <c r="L4" s="280">
        <f>SUM(G4:K4)</f>
        <v>25200260.893603384</v>
      </c>
      <c r="M4" s="279">
        <v>753256.59000000008</v>
      </c>
      <c r="N4" s="248"/>
      <c r="O4" s="248"/>
      <c r="Q4" s="280">
        <v>11213899.760000002</v>
      </c>
      <c r="S4" s="181"/>
      <c r="T4" s="181"/>
      <c r="U4" s="181"/>
      <c r="V4" s="181"/>
      <c r="W4" s="181"/>
      <c r="X4" s="181"/>
      <c r="Z4" s="273"/>
      <c r="AA4" s="273"/>
      <c r="AB4" s="273"/>
      <c r="AC4" s="273"/>
      <c r="AD4" s="273"/>
      <c r="AE4" s="273"/>
    </row>
    <row r="5" spans="1:31" ht="16.5" outlineLevel="1">
      <c r="A5" s="281"/>
      <c r="B5" s="278">
        <v>2020</v>
      </c>
      <c r="C5" s="279">
        <v>14387973.805570833</v>
      </c>
      <c r="D5" s="279">
        <v>15684983.456378808</v>
      </c>
      <c r="E5" s="279">
        <f t="shared" si="0"/>
        <v>-1297009.6508079749</v>
      </c>
      <c r="F5" s="278"/>
      <c r="G5" s="279">
        <v>2085501.0634000003</v>
      </c>
      <c r="H5" s="279">
        <v>1789858</v>
      </c>
      <c r="I5" s="279">
        <v>8312747.9378671562</v>
      </c>
      <c r="J5" s="279">
        <v>11538032.088918207</v>
      </c>
      <c r="K5" s="279">
        <v>2828436.0478891823</v>
      </c>
      <c r="L5" s="280">
        <f t="shared" ref="L5:L19" si="1">SUM(G5:K5)</f>
        <v>26554575.138074547</v>
      </c>
      <c r="M5" s="279">
        <v>3629240.7399999998</v>
      </c>
      <c r="N5" s="248"/>
      <c r="O5" s="248"/>
      <c r="Q5" s="280">
        <v>12973388.74</v>
      </c>
      <c r="S5" s="282" t="s">
        <v>317</v>
      </c>
      <c r="T5" s="283">
        <v>0.45069999999999999</v>
      </c>
      <c r="U5" s="283">
        <v>3.4099999999999998E-2</v>
      </c>
      <c r="V5" s="283">
        <f>T5*U5</f>
        <v>1.536887E-2</v>
      </c>
      <c r="W5" s="283">
        <f>V5*(1-$AA$7)</f>
        <v>1.1048680643E-2</v>
      </c>
      <c r="X5" s="283">
        <f>V5</f>
        <v>1.536887E-2</v>
      </c>
      <c r="Z5" s="284" t="s">
        <v>278</v>
      </c>
      <c r="AA5" s="285">
        <f>21%*(1-AA6)</f>
        <v>0.19109999999999999</v>
      </c>
      <c r="AD5" s="286"/>
      <c r="AE5" s="287"/>
    </row>
    <row r="6" spans="1:31" ht="15.75" outlineLevel="1">
      <c r="A6" s="281"/>
      <c r="B6" s="278">
        <v>2021</v>
      </c>
      <c r="C6" s="279">
        <v>16396716.986190366</v>
      </c>
      <c r="D6" s="279">
        <v>21682871.511178665</v>
      </c>
      <c r="E6" s="279">
        <f t="shared" si="0"/>
        <v>-5286154.5249882992</v>
      </c>
      <c r="F6" s="278"/>
      <c r="G6" s="279">
        <v>1968199.8659360001</v>
      </c>
      <c r="H6" s="279">
        <v>1789858</v>
      </c>
      <c r="I6" s="279">
        <v>9832429.3303055987</v>
      </c>
      <c r="J6" s="279">
        <v>11538032.088918207</v>
      </c>
      <c r="K6" s="279">
        <v>2828436.0478891823</v>
      </c>
      <c r="L6" s="280">
        <f t="shared" si="1"/>
        <v>27956955.333048984</v>
      </c>
      <c r="M6" s="279">
        <v>6349044.3500000006</v>
      </c>
      <c r="N6" s="248"/>
      <c r="O6" s="248"/>
      <c r="Q6" s="280">
        <v>9597775.6600000001</v>
      </c>
      <c r="S6" s="284" t="s">
        <v>318</v>
      </c>
      <c r="T6" s="283">
        <v>2.4299999999999999E-2</v>
      </c>
      <c r="U6" s="283">
        <v>1.55E-2</v>
      </c>
      <c r="V6" s="283">
        <f>T6*U6</f>
        <v>3.7664999999999997E-4</v>
      </c>
      <c r="W6" s="283">
        <f>V6*(1-AA8)</f>
        <v>3.6911133833069618E-4</v>
      </c>
      <c r="X6" s="283">
        <f>V6</f>
        <v>3.7664999999999997E-4</v>
      </c>
      <c r="Z6" s="284" t="s">
        <v>279</v>
      </c>
      <c r="AA6" s="288">
        <v>0.09</v>
      </c>
    </row>
    <row r="7" spans="1:31" ht="15.75" outlineLevel="1">
      <c r="A7" s="281"/>
      <c r="B7" s="278">
        <v>2022</v>
      </c>
      <c r="C7" s="279">
        <v>5239276.2198159378</v>
      </c>
      <c r="D7" s="279">
        <v>8459371.1499999985</v>
      </c>
      <c r="E7" s="279">
        <f t="shared" si="0"/>
        <v>-3220094.9301840607</v>
      </c>
      <c r="F7" s="278"/>
      <c r="G7" s="279">
        <v>0</v>
      </c>
      <c r="H7" s="279">
        <v>0</v>
      </c>
      <c r="I7" s="279">
        <v>3572308.7457918925</v>
      </c>
      <c r="J7" s="279">
        <v>0</v>
      </c>
      <c r="K7" s="279">
        <v>0</v>
      </c>
      <c r="L7" s="280">
        <f t="shared" si="1"/>
        <v>3572308.7457918925</v>
      </c>
      <c r="M7" s="279">
        <v>4452209.66</v>
      </c>
      <c r="N7" s="248"/>
      <c r="O7" s="248"/>
      <c r="Q7" s="280">
        <v>188792.71000000002</v>
      </c>
      <c r="S7" s="284" t="s">
        <v>319</v>
      </c>
      <c r="T7" s="289">
        <v>0.52500000000000002</v>
      </c>
      <c r="U7" s="283">
        <v>9.7500000000000003E-2</v>
      </c>
      <c r="V7" s="289">
        <f>T7*U7</f>
        <v>5.1187500000000004E-2</v>
      </c>
      <c r="W7" s="289">
        <f>V7</f>
        <v>5.1187500000000004E-2</v>
      </c>
      <c r="X7" s="289">
        <f>V7/(1-$AA$7)</f>
        <v>7.1202531645569625E-2</v>
      </c>
      <c r="Z7" s="284" t="s">
        <v>280</v>
      </c>
      <c r="AA7" s="290">
        <f>SUM(AA5:AA6)</f>
        <v>0.28110000000000002</v>
      </c>
    </row>
    <row r="8" spans="1:31" ht="15.75" outlineLevel="1">
      <c r="A8" s="281"/>
      <c r="B8" s="278">
        <v>2023</v>
      </c>
      <c r="C8" s="279">
        <v>1811356.0594212427</v>
      </c>
      <c r="D8" s="279">
        <v>0</v>
      </c>
      <c r="E8" s="279">
        <f t="shared" si="0"/>
        <v>1811356.0594212427</v>
      </c>
      <c r="F8" s="278"/>
      <c r="G8" s="279">
        <v>0</v>
      </c>
      <c r="H8" s="279">
        <v>0</v>
      </c>
      <c r="I8" s="279">
        <v>1333816.7346647331</v>
      </c>
      <c r="J8" s="279">
        <v>0</v>
      </c>
      <c r="K8" s="279">
        <v>0</v>
      </c>
      <c r="L8" s="280">
        <f t="shared" si="1"/>
        <v>1333816.7346647331</v>
      </c>
      <c r="M8" s="279">
        <v>0</v>
      </c>
      <c r="N8" s="248"/>
      <c r="O8" s="248"/>
      <c r="Q8" s="280">
        <v>0</v>
      </c>
      <c r="S8" s="284" t="s">
        <v>69</v>
      </c>
      <c r="T8" s="290">
        <f>SUM(T5:T7)</f>
        <v>1</v>
      </c>
      <c r="U8" s="284"/>
      <c r="V8" s="290">
        <f>SUM(V5:V7)</f>
        <v>6.693302000000001E-2</v>
      </c>
      <c r="W8" s="290">
        <f>SUM(W5:W7)</f>
        <v>6.2605291981330705E-2</v>
      </c>
      <c r="X8" s="290">
        <f>SUM(X5:X7)</f>
        <v>8.6948051645569624E-2</v>
      </c>
      <c r="AA8" s="249">
        <f>$V$7/(1-$AA$7)*$AA$7</f>
        <v>2.0015031645569621E-2</v>
      </c>
    </row>
    <row r="9" spans="1:31" outlineLevel="1">
      <c r="A9" s="281"/>
      <c r="B9" s="278">
        <v>2024</v>
      </c>
      <c r="C9" s="279">
        <v>0</v>
      </c>
      <c r="D9" s="279">
        <v>0</v>
      </c>
      <c r="E9" s="280">
        <f t="shared" si="0"/>
        <v>0</v>
      </c>
      <c r="F9" s="278"/>
      <c r="G9" s="279">
        <v>0</v>
      </c>
      <c r="H9" s="279">
        <v>0</v>
      </c>
      <c r="I9" s="279">
        <v>0</v>
      </c>
      <c r="J9" s="279">
        <v>0</v>
      </c>
      <c r="K9" s="279">
        <v>0</v>
      </c>
      <c r="L9" s="280">
        <f t="shared" si="1"/>
        <v>0</v>
      </c>
      <c r="M9" s="279">
        <v>10.666666666666666</v>
      </c>
      <c r="N9" s="291"/>
      <c r="O9" s="291"/>
      <c r="Q9" s="280">
        <v>0</v>
      </c>
    </row>
    <row r="10" spans="1:31" ht="16.5" outlineLevel="1">
      <c r="A10" s="281"/>
      <c r="B10" s="278">
        <v>2025</v>
      </c>
      <c r="C10" s="279">
        <v>0</v>
      </c>
      <c r="D10" s="279">
        <v>0</v>
      </c>
      <c r="E10" s="280">
        <f t="shared" si="0"/>
        <v>0</v>
      </c>
      <c r="F10" s="278"/>
      <c r="G10" s="279">
        <v>0</v>
      </c>
      <c r="H10" s="279">
        <v>0</v>
      </c>
      <c r="I10" s="279">
        <v>0</v>
      </c>
      <c r="J10" s="279">
        <v>0</v>
      </c>
      <c r="K10" s="279">
        <v>0</v>
      </c>
      <c r="L10" s="280">
        <f t="shared" si="1"/>
        <v>0</v>
      </c>
      <c r="M10" s="279">
        <v>-770.89277777777772</v>
      </c>
      <c r="N10" s="291"/>
      <c r="O10" s="291"/>
      <c r="Q10" s="280">
        <v>0</v>
      </c>
      <c r="S10" s="304">
        <v>43770</v>
      </c>
      <c r="T10" s="272"/>
      <c r="U10" s="272" t="s">
        <v>263</v>
      </c>
      <c r="V10" s="272" t="s">
        <v>264</v>
      </c>
      <c r="W10" s="272"/>
    </row>
    <row r="11" spans="1:31" ht="16.5" outlineLevel="1">
      <c r="A11" s="281"/>
      <c r="B11" s="278">
        <v>2026</v>
      </c>
      <c r="C11" s="279">
        <v>0</v>
      </c>
      <c r="D11" s="279">
        <v>0</v>
      </c>
      <c r="E11" s="280">
        <f t="shared" si="0"/>
        <v>0</v>
      </c>
      <c r="F11" s="278"/>
      <c r="G11" s="279">
        <v>0</v>
      </c>
      <c r="H11" s="279">
        <v>0</v>
      </c>
      <c r="I11" s="279">
        <v>0</v>
      </c>
      <c r="J11" s="279">
        <v>0</v>
      </c>
      <c r="K11" s="279">
        <v>0</v>
      </c>
      <c r="L11" s="280">
        <f t="shared" si="1"/>
        <v>0</v>
      </c>
      <c r="M11" s="279">
        <v>0</v>
      </c>
      <c r="N11" s="291"/>
      <c r="O11" s="291"/>
      <c r="Q11" s="280">
        <v>0</v>
      </c>
      <c r="S11" s="181"/>
      <c r="T11" s="276" t="s">
        <v>274</v>
      </c>
      <c r="U11" s="276" t="s">
        <v>123</v>
      </c>
      <c r="V11" s="276" t="s">
        <v>123</v>
      </c>
      <c r="W11" s="276" t="s">
        <v>275</v>
      </c>
      <c r="X11" s="276" t="s">
        <v>276</v>
      </c>
    </row>
    <row r="12" spans="1:31" ht="16.5" outlineLevel="1">
      <c r="A12" s="281"/>
      <c r="B12" s="278">
        <v>2027</v>
      </c>
      <c r="C12" s="279">
        <v>0</v>
      </c>
      <c r="D12" s="279">
        <v>0</v>
      </c>
      <c r="E12" s="280">
        <f t="shared" si="0"/>
        <v>0</v>
      </c>
      <c r="F12" s="278"/>
      <c r="G12" s="279">
        <v>0</v>
      </c>
      <c r="H12" s="279">
        <v>0</v>
      </c>
      <c r="I12" s="279">
        <v>0</v>
      </c>
      <c r="J12" s="279">
        <v>0</v>
      </c>
      <c r="K12" s="279">
        <v>0</v>
      </c>
      <c r="L12" s="280">
        <f t="shared" si="1"/>
        <v>0</v>
      </c>
      <c r="M12" s="279">
        <v>0</v>
      </c>
      <c r="N12" s="291"/>
      <c r="O12" s="291"/>
      <c r="Q12" s="280">
        <v>0</v>
      </c>
      <c r="S12" s="181"/>
      <c r="T12" s="181"/>
      <c r="U12" s="181"/>
      <c r="V12" s="181"/>
      <c r="W12" s="181"/>
      <c r="X12" s="181"/>
    </row>
    <row r="13" spans="1:31" ht="15.75" outlineLevel="1">
      <c r="A13" s="281"/>
      <c r="B13" s="278">
        <v>2028</v>
      </c>
      <c r="C13" s="279">
        <v>0</v>
      </c>
      <c r="D13" s="279">
        <v>0</v>
      </c>
      <c r="E13" s="280">
        <f t="shared" si="0"/>
        <v>0</v>
      </c>
      <c r="F13" s="278"/>
      <c r="G13" s="279">
        <v>0</v>
      </c>
      <c r="H13" s="279">
        <v>0</v>
      </c>
      <c r="I13" s="279">
        <v>0</v>
      </c>
      <c r="J13" s="279">
        <v>0</v>
      </c>
      <c r="K13" s="279">
        <v>0</v>
      </c>
      <c r="L13" s="280">
        <f t="shared" si="1"/>
        <v>0</v>
      </c>
      <c r="M13" s="279">
        <v>0</v>
      </c>
      <c r="N13" s="291"/>
      <c r="O13" s="291"/>
      <c r="Q13" s="280">
        <v>0</v>
      </c>
      <c r="S13" s="282" t="s">
        <v>317</v>
      </c>
      <c r="T13" s="283">
        <v>0.46</v>
      </c>
      <c r="U13" s="283">
        <v>3.8328170000000002E-2</v>
      </c>
      <c r="V13" s="283">
        <v>1.7630958200000001E-2</v>
      </c>
      <c r="W13" s="283">
        <v>1.267489584998E-2</v>
      </c>
      <c r="X13" s="283">
        <v>1.7630958200000001E-2</v>
      </c>
      <c r="Z13" s="284" t="s">
        <v>278</v>
      </c>
      <c r="AA13" s="285">
        <f>21%*(1-AA14)</f>
        <v>0.19109999999999999</v>
      </c>
    </row>
    <row r="14" spans="1:31" ht="15.75" outlineLevel="1">
      <c r="A14" s="281"/>
      <c r="B14" s="278">
        <v>2029</v>
      </c>
      <c r="C14" s="279">
        <v>0</v>
      </c>
      <c r="D14" s="279"/>
      <c r="E14" s="280"/>
      <c r="F14" s="278"/>
      <c r="G14" s="279">
        <v>0</v>
      </c>
      <c r="H14" s="279">
        <v>0</v>
      </c>
      <c r="I14" s="279">
        <v>0</v>
      </c>
      <c r="J14" s="279">
        <v>0</v>
      </c>
      <c r="K14" s="279">
        <v>0</v>
      </c>
      <c r="L14" s="280">
        <f t="shared" si="1"/>
        <v>0</v>
      </c>
      <c r="M14" s="279">
        <v>0</v>
      </c>
      <c r="N14" s="291"/>
      <c r="O14" s="291"/>
      <c r="Q14" s="280">
        <v>0</v>
      </c>
      <c r="S14" s="284" t="s">
        <v>318</v>
      </c>
      <c r="T14" s="283">
        <v>0</v>
      </c>
      <c r="U14" s="283">
        <v>0</v>
      </c>
      <c r="V14" s="283">
        <v>0</v>
      </c>
      <c r="W14" s="283">
        <v>0</v>
      </c>
      <c r="X14" s="283">
        <v>0</v>
      </c>
      <c r="Z14" s="284" t="s">
        <v>279</v>
      </c>
      <c r="AA14" s="288">
        <v>0.09</v>
      </c>
    </row>
    <row r="15" spans="1:31" ht="15.75" outlineLevel="1">
      <c r="A15" s="281"/>
      <c r="B15" s="278">
        <v>2030</v>
      </c>
      <c r="C15" s="279">
        <v>0</v>
      </c>
      <c r="D15" s="279"/>
      <c r="E15" s="280"/>
      <c r="F15" s="278"/>
      <c r="G15" s="279">
        <v>0</v>
      </c>
      <c r="H15" s="279">
        <v>0</v>
      </c>
      <c r="I15" s="279">
        <v>0</v>
      </c>
      <c r="J15" s="279">
        <v>0</v>
      </c>
      <c r="K15" s="279">
        <v>0</v>
      </c>
      <c r="L15" s="280">
        <f t="shared" si="1"/>
        <v>0</v>
      </c>
      <c r="M15" s="279">
        <v>0</v>
      </c>
      <c r="N15" s="291"/>
      <c r="O15" s="291"/>
      <c r="Q15" s="280">
        <v>0</v>
      </c>
      <c r="S15" s="284" t="s">
        <v>319</v>
      </c>
      <c r="T15" s="289">
        <v>0.54</v>
      </c>
      <c r="U15" s="283">
        <v>9.6000000000000002E-2</v>
      </c>
      <c r="V15" s="289">
        <v>5.1840000000000004E-2</v>
      </c>
      <c r="W15" s="289">
        <v>5.1840000000000004E-2</v>
      </c>
      <c r="X15" s="289">
        <v>7.2110168312699965E-2</v>
      </c>
      <c r="Z15" s="284" t="s">
        <v>280</v>
      </c>
      <c r="AA15" s="290">
        <f>SUM(AA13:AA14)</f>
        <v>0.28110000000000002</v>
      </c>
    </row>
    <row r="16" spans="1:31" ht="15.75" outlineLevel="1">
      <c r="A16" s="281"/>
      <c r="B16" s="278">
        <v>2031</v>
      </c>
      <c r="C16" s="279">
        <v>0</v>
      </c>
      <c r="D16" s="279"/>
      <c r="E16" s="280"/>
      <c r="F16" s="278"/>
      <c r="G16" s="279">
        <v>0</v>
      </c>
      <c r="H16" s="279">
        <v>0</v>
      </c>
      <c r="I16" s="279">
        <v>0</v>
      </c>
      <c r="J16" s="279">
        <v>0</v>
      </c>
      <c r="K16" s="279">
        <v>0</v>
      </c>
      <c r="L16" s="280">
        <f t="shared" si="1"/>
        <v>0</v>
      </c>
      <c r="M16" s="279">
        <v>0</v>
      </c>
      <c r="N16" s="291"/>
      <c r="O16" s="291"/>
      <c r="Q16" s="280">
        <v>0</v>
      </c>
      <c r="S16" s="284" t="s">
        <v>69</v>
      </c>
      <c r="T16" s="290">
        <f>SUM(T13:T15)</f>
        <v>1</v>
      </c>
      <c r="U16" s="284"/>
      <c r="V16" s="290">
        <f>SUM(V13:V15)</f>
        <v>6.9470958200000002E-2</v>
      </c>
      <c r="W16" s="290">
        <f>SUM(W13:W15)</f>
        <v>6.4514895849980006E-2</v>
      </c>
      <c r="X16" s="290">
        <f>SUM(X13:X15)</f>
        <v>8.974112651269997E-2</v>
      </c>
      <c r="AA16" s="249">
        <f>$V$15/(1-$AA$7)*$AA$7</f>
        <v>2.0270168312699961E-2</v>
      </c>
    </row>
    <row r="17" spans="1:339" outlineLevel="1">
      <c r="A17" s="281"/>
      <c r="B17" s="278">
        <v>2032</v>
      </c>
      <c r="C17" s="279">
        <v>0</v>
      </c>
      <c r="D17" s="279"/>
      <c r="E17" s="280"/>
      <c r="F17" s="278"/>
      <c r="G17" s="279">
        <v>0</v>
      </c>
      <c r="H17" s="279">
        <v>0</v>
      </c>
      <c r="I17" s="279">
        <v>0</v>
      </c>
      <c r="J17" s="279">
        <v>0</v>
      </c>
      <c r="K17" s="279">
        <v>0</v>
      </c>
      <c r="L17" s="280">
        <f t="shared" si="1"/>
        <v>0</v>
      </c>
      <c r="M17" s="279">
        <v>2405.1334444444442</v>
      </c>
      <c r="N17" s="291"/>
      <c r="O17" s="291"/>
      <c r="Q17" s="280">
        <v>0</v>
      </c>
    </row>
    <row r="18" spans="1:339" outlineLevel="1">
      <c r="A18" s="281"/>
      <c r="B18" s="278">
        <v>2033</v>
      </c>
      <c r="C18" s="279">
        <v>0</v>
      </c>
      <c r="D18" s="279"/>
      <c r="E18" s="280"/>
      <c r="F18" s="278"/>
      <c r="G18" s="279">
        <v>0</v>
      </c>
      <c r="H18" s="279">
        <v>0</v>
      </c>
      <c r="I18" s="279">
        <v>0</v>
      </c>
      <c r="J18" s="279">
        <v>0</v>
      </c>
      <c r="K18" s="279">
        <v>0</v>
      </c>
      <c r="L18" s="280">
        <f t="shared" si="1"/>
        <v>0</v>
      </c>
      <c r="M18" s="279">
        <v>0</v>
      </c>
      <c r="N18" s="291"/>
      <c r="O18" s="291"/>
      <c r="Q18" s="280">
        <v>0</v>
      </c>
    </row>
    <row r="19" spans="1:339" outlineLevel="1">
      <c r="A19" s="281"/>
      <c r="B19" s="278">
        <v>2034</v>
      </c>
      <c r="C19" s="292">
        <v>0</v>
      </c>
      <c r="D19" s="292"/>
      <c r="E19" s="292"/>
      <c r="F19" s="278"/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f t="shared" si="1"/>
        <v>0</v>
      </c>
      <c r="M19" s="292">
        <v>0</v>
      </c>
      <c r="N19" s="291"/>
      <c r="O19" s="291"/>
      <c r="Q19" s="292">
        <v>0</v>
      </c>
    </row>
    <row r="20" spans="1:339" ht="16.5" outlineLevel="1" thickBot="1">
      <c r="A20" s="293" t="s">
        <v>272</v>
      </c>
      <c r="C20" s="279">
        <f>SUM(C4:C13)</f>
        <v>50437741.838758379</v>
      </c>
      <c r="D20" s="279">
        <f>SUM(D4:D13)</f>
        <v>57997496.157557473</v>
      </c>
      <c r="E20" s="279">
        <f>SUM(E4:E13)</f>
        <v>-7559754.3187990934</v>
      </c>
      <c r="G20" s="279">
        <f>SUM(G4:G13)</f>
        <v>6011916.9518360011</v>
      </c>
      <c r="H20" s="279">
        <f>SUM(H4:H13)</f>
        <v>5369574</v>
      </c>
      <c r="I20" s="279">
        <f>SUM(I4:I13)</f>
        <v>30137021.482925382</v>
      </c>
      <c r="J20" s="279">
        <f>SUM(J4:J13)</f>
        <v>34614096.26675462</v>
      </c>
      <c r="K20" s="279">
        <f>SUM(K4:K13)</f>
        <v>8485308.143667547</v>
      </c>
      <c r="L20" s="279">
        <f>SUM(L4:L19)</f>
        <v>84617916.845183551</v>
      </c>
      <c r="M20" s="279">
        <f>SUM(M4:M19)</f>
        <v>15185396.247333333</v>
      </c>
      <c r="N20" s="248"/>
      <c r="O20" s="248"/>
      <c r="Q20" s="279">
        <f>SUM(Q4:Q19)</f>
        <v>33973856.869999997</v>
      </c>
    </row>
    <row r="21" spans="1:339" ht="16.5" customHeight="1" thickBot="1">
      <c r="C21" s="722" t="s">
        <v>281</v>
      </c>
      <c r="D21" s="722" t="s">
        <v>282</v>
      </c>
      <c r="E21" s="722" t="s">
        <v>283</v>
      </c>
      <c r="G21" s="722" t="s">
        <v>284</v>
      </c>
      <c r="H21" s="724" t="s">
        <v>285</v>
      </c>
      <c r="I21" s="726" t="s">
        <v>286</v>
      </c>
      <c r="J21" s="728"/>
      <c r="K21" s="729"/>
      <c r="L21" s="729"/>
      <c r="M21" s="729"/>
      <c r="N21" s="294"/>
      <c r="O21" s="294"/>
      <c r="Q21" s="730" t="s">
        <v>287</v>
      </c>
      <c r="R21" s="294"/>
      <c r="S21" s="732" t="s">
        <v>288</v>
      </c>
      <c r="T21" s="734" t="s">
        <v>289</v>
      </c>
      <c r="U21" s="714" t="s">
        <v>290</v>
      </c>
      <c r="V21" s="738" t="s">
        <v>291</v>
      </c>
      <c r="W21" s="739"/>
      <c r="X21" s="730" t="s">
        <v>292</v>
      </c>
      <c r="Y21" s="295"/>
      <c r="Z21" s="730" t="s">
        <v>293</v>
      </c>
      <c r="AA21" s="740"/>
      <c r="AB21" s="730" t="s">
        <v>294</v>
      </c>
      <c r="AC21" s="730" t="s">
        <v>295</v>
      </c>
      <c r="AD21" s="736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5"/>
      <c r="AP21" s="295"/>
      <c r="AQ21" s="295"/>
      <c r="AR21" s="295"/>
      <c r="AS21" s="295"/>
      <c r="AT21" s="295"/>
      <c r="AU21" s="295"/>
      <c r="AV21" s="295"/>
      <c r="AW21" s="295"/>
      <c r="AX21" s="295"/>
      <c r="AY21" s="295"/>
      <c r="AZ21" s="295"/>
      <c r="BA21" s="295"/>
      <c r="BB21" s="295"/>
      <c r="BC21" s="295"/>
      <c r="BD21" s="295"/>
      <c r="BE21" s="295"/>
      <c r="BF21" s="295"/>
      <c r="BG21" s="295"/>
      <c r="BH21" s="295"/>
      <c r="BI21" s="295"/>
      <c r="BJ21" s="295"/>
      <c r="BK21" s="295"/>
      <c r="BL21" s="295"/>
      <c r="BM21" s="295"/>
      <c r="BN21" s="295"/>
      <c r="BO21" s="295"/>
      <c r="BP21" s="295"/>
      <c r="BQ21" s="295"/>
      <c r="BR21" s="295"/>
      <c r="BS21" s="295"/>
      <c r="BT21" s="295"/>
      <c r="BU21" s="295"/>
      <c r="BV21" s="295"/>
      <c r="BW21" s="295"/>
      <c r="BX21" s="295"/>
      <c r="BY21" s="295"/>
      <c r="BZ21" s="295"/>
      <c r="CA21" s="295"/>
      <c r="CB21" s="295"/>
      <c r="CC21" s="295"/>
      <c r="CD21" s="295"/>
      <c r="CE21" s="295"/>
      <c r="CF21" s="295"/>
      <c r="CG21" s="295"/>
      <c r="CH21" s="295"/>
      <c r="CI21" s="295"/>
      <c r="CJ21" s="295"/>
      <c r="CK21" s="295"/>
      <c r="CL21" s="295"/>
      <c r="CM21" s="295"/>
      <c r="CN21" s="295"/>
      <c r="CO21" s="295"/>
      <c r="CP21" s="295"/>
      <c r="CQ21" s="295"/>
      <c r="CR21" s="295"/>
      <c r="CS21" s="295"/>
      <c r="CT21" s="295"/>
      <c r="CU21" s="295"/>
      <c r="CV21" s="295"/>
      <c r="CW21" s="295"/>
      <c r="CX21" s="295"/>
      <c r="CY21" s="295"/>
      <c r="CZ21" s="295"/>
      <c r="DA21" s="295"/>
      <c r="DB21" s="295"/>
      <c r="DC21" s="295"/>
      <c r="DD21" s="295"/>
      <c r="DE21" s="295"/>
      <c r="DF21" s="295"/>
      <c r="DG21" s="295"/>
      <c r="DH21" s="295"/>
      <c r="DI21" s="295"/>
      <c r="DJ21" s="295"/>
      <c r="DK21" s="295"/>
      <c r="DL21" s="295"/>
      <c r="DM21" s="295"/>
      <c r="DN21" s="295"/>
      <c r="DO21" s="295"/>
      <c r="DP21" s="295"/>
      <c r="DQ21" s="295"/>
      <c r="DR21" s="295"/>
      <c r="DS21" s="295"/>
      <c r="DT21" s="295"/>
      <c r="DU21" s="295"/>
      <c r="DV21" s="295"/>
      <c r="DW21" s="295"/>
      <c r="DX21" s="295"/>
      <c r="DY21" s="295"/>
      <c r="DZ21" s="295"/>
      <c r="EA21" s="295"/>
      <c r="EB21" s="295"/>
      <c r="EC21" s="295"/>
      <c r="ED21" s="295"/>
      <c r="EE21" s="295"/>
      <c r="EF21" s="295"/>
      <c r="EG21" s="295"/>
      <c r="EH21" s="295"/>
      <c r="EI21" s="295"/>
      <c r="EJ21" s="295"/>
      <c r="EK21" s="295"/>
      <c r="EL21" s="295"/>
      <c r="EM21" s="295"/>
      <c r="EN21" s="295"/>
      <c r="EO21" s="295"/>
      <c r="EP21" s="295"/>
      <c r="EQ21" s="295"/>
      <c r="ER21" s="295"/>
      <c r="ES21" s="295"/>
      <c r="ET21" s="295"/>
      <c r="EU21" s="295"/>
      <c r="EV21" s="295"/>
      <c r="EW21" s="295"/>
      <c r="EX21" s="295"/>
      <c r="EY21" s="295"/>
      <c r="EZ21" s="295"/>
      <c r="FA21" s="295"/>
      <c r="FB21" s="295"/>
      <c r="FC21" s="295"/>
      <c r="FD21" s="295"/>
      <c r="FE21" s="295"/>
      <c r="FF21" s="295"/>
      <c r="FG21" s="295"/>
      <c r="FH21" s="295"/>
      <c r="FI21" s="295"/>
      <c r="FJ21" s="295"/>
      <c r="FK21" s="295"/>
      <c r="FL21" s="295"/>
      <c r="FM21" s="295"/>
      <c r="FN21" s="295"/>
      <c r="FO21" s="295"/>
      <c r="FP21" s="295"/>
      <c r="FQ21" s="295"/>
      <c r="FR21" s="295"/>
      <c r="FS21" s="295"/>
      <c r="FT21" s="295"/>
      <c r="FU21" s="295"/>
      <c r="FV21" s="295"/>
      <c r="FW21" s="295"/>
      <c r="FX21" s="295"/>
      <c r="FY21" s="295"/>
      <c r="FZ21" s="295"/>
      <c r="GA21" s="295"/>
      <c r="GB21" s="295"/>
      <c r="GC21" s="295"/>
      <c r="GD21" s="295"/>
      <c r="GE21" s="295"/>
      <c r="GF21" s="295"/>
      <c r="GG21" s="295"/>
      <c r="GH21" s="295"/>
      <c r="GI21" s="295"/>
      <c r="GJ21" s="295"/>
      <c r="GK21" s="295"/>
      <c r="GL21" s="295"/>
      <c r="GM21" s="295"/>
      <c r="GN21" s="295"/>
      <c r="GO21" s="295"/>
      <c r="GP21" s="295"/>
      <c r="GQ21" s="295"/>
      <c r="GR21" s="295"/>
      <c r="GS21" s="295"/>
      <c r="GT21" s="295"/>
      <c r="GU21" s="295"/>
      <c r="GV21" s="295"/>
      <c r="GW21" s="295"/>
      <c r="GX21" s="295"/>
      <c r="GY21" s="295"/>
      <c r="GZ21" s="295"/>
      <c r="HA21" s="295"/>
      <c r="HB21" s="295"/>
      <c r="HC21" s="295"/>
      <c r="HD21" s="295"/>
      <c r="HE21" s="295"/>
      <c r="HF21" s="295"/>
      <c r="HG21" s="295"/>
      <c r="HH21" s="295"/>
      <c r="HI21" s="295"/>
      <c r="HJ21" s="295"/>
      <c r="HK21" s="295"/>
      <c r="HL21" s="295"/>
      <c r="HM21" s="295"/>
      <c r="HN21" s="295"/>
      <c r="HO21" s="295"/>
      <c r="HP21" s="295"/>
      <c r="HQ21" s="295"/>
      <c r="HR21" s="295"/>
      <c r="HS21" s="295"/>
      <c r="HT21" s="295"/>
      <c r="HU21" s="295"/>
      <c r="HV21" s="295"/>
      <c r="HW21" s="295"/>
      <c r="HX21" s="295"/>
      <c r="HY21" s="295"/>
      <c r="HZ21" s="295"/>
      <c r="IA21" s="295"/>
      <c r="IB21" s="295"/>
      <c r="IC21" s="295"/>
      <c r="ID21" s="295"/>
      <c r="IE21" s="295"/>
      <c r="IF21" s="295"/>
      <c r="IG21" s="295"/>
      <c r="IH21" s="295"/>
      <c r="II21" s="295"/>
      <c r="IJ21" s="295"/>
      <c r="IK21" s="295"/>
      <c r="IL21" s="295"/>
      <c r="IM21" s="295"/>
      <c r="IN21" s="295"/>
      <c r="IO21" s="295"/>
      <c r="IP21" s="295"/>
      <c r="IQ21" s="295"/>
      <c r="IR21" s="295"/>
      <c r="IS21" s="295"/>
      <c r="IT21" s="295"/>
      <c r="IU21" s="295"/>
      <c r="IV21" s="295"/>
      <c r="IW21" s="295"/>
      <c r="IX21" s="295"/>
      <c r="IY21" s="295"/>
      <c r="IZ21" s="295"/>
      <c r="JA21" s="295"/>
      <c r="JB21" s="295"/>
      <c r="JC21" s="295"/>
      <c r="JD21" s="295"/>
      <c r="JE21" s="295"/>
      <c r="JF21" s="295"/>
      <c r="JG21" s="295"/>
      <c r="JH21" s="295"/>
      <c r="JI21" s="295"/>
      <c r="JJ21" s="295"/>
      <c r="JK21" s="295"/>
      <c r="JL21" s="295"/>
      <c r="JM21" s="295"/>
      <c r="JN21" s="295"/>
      <c r="JO21" s="295"/>
      <c r="JP21" s="295"/>
      <c r="JQ21" s="295"/>
      <c r="JR21" s="295"/>
      <c r="JS21" s="295"/>
      <c r="JT21" s="295"/>
      <c r="JU21" s="295"/>
      <c r="JV21" s="295"/>
      <c r="JW21" s="295"/>
      <c r="JX21" s="295"/>
      <c r="JY21" s="295"/>
      <c r="JZ21" s="295"/>
      <c r="KA21" s="295"/>
      <c r="KB21" s="295"/>
      <c r="KC21" s="295"/>
      <c r="KD21" s="295"/>
      <c r="KE21" s="295"/>
      <c r="KF21" s="295"/>
      <c r="KG21" s="295"/>
      <c r="KH21" s="295"/>
      <c r="KI21" s="295"/>
      <c r="KJ21" s="295"/>
      <c r="KK21" s="295"/>
      <c r="KL21" s="295"/>
      <c r="KM21" s="295"/>
      <c r="KN21" s="295"/>
      <c r="KO21" s="295"/>
      <c r="KP21" s="295"/>
      <c r="KQ21" s="295"/>
      <c r="KR21" s="295"/>
      <c r="KS21" s="295"/>
      <c r="KT21" s="295"/>
      <c r="KU21" s="295"/>
      <c r="KV21" s="295"/>
      <c r="KW21" s="295"/>
      <c r="KX21" s="295"/>
      <c r="KY21" s="295"/>
      <c r="KZ21" s="295"/>
      <c r="LA21" s="295"/>
      <c r="LB21" s="295"/>
      <c r="LC21" s="295"/>
      <c r="LD21" s="295"/>
      <c r="LE21" s="295"/>
      <c r="LF21" s="295"/>
      <c r="LG21" s="295"/>
      <c r="LH21" s="295"/>
      <c r="LI21" s="295"/>
      <c r="LJ21" s="295"/>
      <c r="LK21" s="295"/>
      <c r="LL21" s="295"/>
      <c r="LM21" s="295"/>
      <c r="LN21" s="295"/>
      <c r="LO21" s="295"/>
      <c r="LP21" s="295"/>
      <c r="LQ21" s="295"/>
      <c r="LR21" s="295"/>
      <c r="LS21" s="295"/>
      <c r="LT21" s="295"/>
      <c r="LU21" s="295"/>
      <c r="LV21" s="295"/>
      <c r="LW21" s="295"/>
      <c r="LX21" s="295"/>
      <c r="LY21" s="295"/>
      <c r="LZ21" s="295"/>
      <c r="MA21" s="295"/>
    </row>
    <row r="22" spans="1:339" s="297" customFormat="1" ht="91.5" customHeight="1" thickBot="1">
      <c r="A22" s="296"/>
      <c r="B22" s="296"/>
      <c r="C22" s="723"/>
      <c r="D22" s="723"/>
      <c r="E22" s="723"/>
      <c r="F22" s="296"/>
      <c r="G22" s="723"/>
      <c r="H22" s="725"/>
      <c r="I22" s="727"/>
      <c r="J22" s="728"/>
      <c r="K22" s="729"/>
      <c r="L22" s="729"/>
      <c r="M22" s="729"/>
      <c r="N22" s="294"/>
      <c r="O22" s="294"/>
      <c r="Q22" s="731"/>
      <c r="R22" s="294"/>
      <c r="S22" s="733"/>
      <c r="T22" s="735"/>
      <c r="U22" s="715"/>
      <c r="V22" s="298" t="s">
        <v>289</v>
      </c>
      <c r="W22" s="298" t="s">
        <v>320</v>
      </c>
      <c r="X22" s="731"/>
      <c r="Y22" s="299"/>
      <c r="Z22" s="731"/>
      <c r="AA22" s="740"/>
      <c r="AB22" s="731"/>
      <c r="AC22" s="731"/>
      <c r="AD22" s="737"/>
      <c r="AE22" s="299" t="s">
        <v>296</v>
      </c>
      <c r="AF22" s="299" t="s">
        <v>297</v>
      </c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F22" s="299"/>
      <c r="CG22" s="299"/>
      <c r="CH22" s="299"/>
      <c r="CI22" s="299"/>
      <c r="CJ22" s="299"/>
      <c r="CK22" s="299"/>
      <c r="CL22" s="299"/>
      <c r="CM22" s="299"/>
      <c r="CN22" s="299"/>
      <c r="CO22" s="299"/>
      <c r="CP22" s="299"/>
      <c r="CQ22" s="299"/>
      <c r="CR22" s="299"/>
      <c r="CS22" s="299"/>
      <c r="CT22" s="299"/>
      <c r="CU22" s="299"/>
      <c r="CV22" s="299"/>
      <c r="CW22" s="299"/>
      <c r="CX22" s="299"/>
      <c r="CY22" s="299"/>
      <c r="CZ22" s="299"/>
      <c r="DA22" s="299"/>
      <c r="DB22" s="299"/>
      <c r="DC22" s="299"/>
      <c r="DD22" s="299"/>
      <c r="DE22" s="299"/>
      <c r="DF22" s="299"/>
      <c r="DG22" s="299"/>
      <c r="DH22" s="299"/>
      <c r="DI22" s="299"/>
      <c r="DJ22" s="299"/>
      <c r="DK22" s="299"/>
      <c r="DL22" s="299"/>
      <c r="DM22" s="299"/>
      <c r="DN22" s="299"/>
      <c r="DO22" s="299"/>
      <c r="DP22" s="299"/>
      <c r="DQ22" s="299"/>
      <c r="DR22" s="299"/>
      <c r="DS22" s="299"/>
      <c r="DT22" s="299"/>
      <c r="DU22" s="299"/>
      <c r="DV22" s="299"/>
      <c r="DW22" s="299"/>
      <c r="DX22" s="299"/>
      <c r="DY22" s="299"/>
      <c r="DZ22" s="299"/>
      <c r="EA22" s="299"/>
      <c r="EB22" s="299"/>
      <c r="EC22" s="299"/>
      <c r="ED22" s="299"/>
      <c r="EE22" s="299"/>
      <c r="EF22" s="299"/>
      <c r="EG22" s="299"/>
      <c r="EH22" s="299"/>
      <c r="EI22" s="299"/>
      <c r="EJ22" s="299"/>
      <c r="EK22" s="299"/>
      <c r="EL22" s="299"/>
      <c r="EM22" s="299"/>
      <c r="EN22" s="299"/>
      <c r="EO22" s="299"/>
      <c r="EP22" s="299"/>
      <c r="EQ22" s="299"/>
      <c r="ER22" s="299"/>
      <c r="ES22" s="299"/>
      <c r="ET22" s="299"/>
      <c r="EU22" s="299"/>
      <c r="EV22" s="299"/>
      <c r="EW22" s="299"/>
      <c r="EX22" s="299"/>
      <c r="EY22" s="299"/>
      <c r="EZ22" s="299"/>
      <c r="FA22" s="299"/>
      <c r="FB22" s="299"/>
      <c r="FC22" s="299"/>
      <c r="FD22" s="299"/>
      <c r="FE22" s="299"/>
      <c r="FF22" s="299"/>
      <c r="FG22" s="299"/>
      <c r="FH22" s="299"/>
      <c r="FI22" s="299"/>
      <c r="FJ22" s="299"/>
      <c r="FK22" s="299"/>
      <c r="FL22" s="299"/>
      <c r="FM22" s="299"/>
      <c r="FN22" s="299"/>
      <c r="FO22" s="299"/>
      <c r="FP22" s="299"/>
      <c r="FQ22" s="299"/>
      <c r="FR22" s="299"/>
      <c r="FS22" s="299"/>
      <c r="FT22" s="299"/>
      <c r="FU22" s="299"/>
      <c r="FV22" s="299"/>
      <c r="FW22" s="299"/>
      <c r="FX22" s="299"/>
      <c r="FY22" s="299"/>
      <c r="FZ22" s="299"/>
      <c r="GA22" s="299"/>
      <c r="GB22" s="299"/>
      <c r="GC22" s="299"/>
      <c r="GD22" s="299"/>
      <c r="GE22" s="299"/>
      <c r="GF22" s="299"/>
      <c r="GG22" s="299"/>
      <c r="GH22" s="299"/>
      <c r="GI22" s="299"/>
      <c r="GJ22" s="299"/>
      <c r="GK22" s="299"/>
      <c r="GL22" s="299"/>
      <c r="GM22" s="299"/>
      <c r="GN22" s="299"/>
      <c r="GO22" s="299"/>
      <c r="GP22" s="299"/>
      <c r="GQ22" s="299"/>
      <c r="GR22" s="299"/>
      <c r="GS22" s="299"/>
      <c r="GT22" s="299"/>
      <c r="GU22" s="299"/>
      <c r="GV22" s="299"/>
      <c r="GW22" s="299"/>
      <c r="GX22" s="299"/>
      <c r="GY22" s="299"/>
      <c r="GZ22" s="299"/>
      <c r="HA22" s="299"/>
      <c r="HB22" s="299"/>
      <c r="HC22" s="299"/>
      <c r="HD22" s="299"/>
      <c r="HE22" s="299"/>
      <c r="HF22" s="299"/>
      <c r="HG22" s="299"/>
      <c r="HH22" s="299"/>
      <c r="HI22" s="299"/>
      <c r="HJ22" s="299"/>
      <c r="HK22" s="299"/>
      <c r="HL22" s="299"/>
      <c r="HM22" s="299"/>
      <c r="HN22" s="299"/>
      <c r="HO22" s="299"/>
      <c r="HP22" s="299"/>
      <c r="HQ22" s="299"/>
      <c r="HR22" s="299"/>
      <c r="HS22" s="299"/>
      <c r="HT22" s="299"/>
      <c r="HU22" s="299"/>
      <c r="HV22" s="299"/>
      <c r="HW22" s="299"/>
      <c r="HX22" s="299"/>
      <c r="HY22" s="299"/>
      <c r="HZ22" s="299"/>
      <c r="IA22" s="299"/>
      <c r="IB22" s="299"/>
      <c r="IC22" s="299"/>
      <c r="ID22" s="299"/>
      <c r="IE22" s="299"/>
      <c r="IF22" s="299"/>
      <c r="IG22" s="299"/>
      <c r="IH22" s="299"/>
      <c r="II22" s="299"/>
      <c r="IJ22" s="299"/>
      <c r="IK22" s="299"/>
      <c r="IL22" s="299"/>
      <c r="IM22" s="299"/>
      <c r="IN22" s="299"/>
      <c r="IO22" s="299"/>
      <c r="IP22" s="299"/>
      <c r="IQ22" s="299"/>
      <c r="IR22" s="299"/>
      <c r="IS22" s="299"/>
      <c r="IT22" s="299"/>
      <c r="IU22" s="299"/>
      <c r="IV22" s="299"/>
      <c r="IW22" s="299"/>
      <c r="IX22" s="299"/>
      <c r="IY22" s="299"/>
      <c r="IZ22" s="299"/>
      <c r="JA22" s="299"/>
      <c r="JB22" s="299"/>
      <c r="JC22" s="299"/>
      <c r="JD22" s="299"/>
      <c r="JE22" s="299"/>
      <c r="JF22" s="299"/>
      <c r="JG22" s="299"/>
      <c r="JH22" s="299"/>
      <c r="JI22" s="299"/>
      <c r="JJ22" s="299"/>
      <c r="JK22" s="299"/>
      <c r="JL22" s="299"/>
      <c r="JM22" s="299"/>
      <c r="JN22" s="299"/>
      <c r="JO22" s="299"/>
      <c r="JP22" s="299"/>
      <c r="JQ22" s="299"/>
      <c r="JR22" s="299"/>
      <c r="JS22" s="299"/>
      <c r="JT22" s="299"/>
      <c r="JU22" s="299"/>
      <c r="JV22" s="299"/>
      <c r="JW22" s="299"/>
      <c r="JX22" s="299"/>
      <c r="JY22" s="299"/>
      <c r="JZ22" s="299"/>
      <c r="KA22" s="299"/>
      <c r="KB22" s="299"/>
      <c r="KC22" s="299"/>
      <c r="KD22" s="299"/>
      <c r="KE22" s="299"/>
      <c r="KF22" s="299"/>
      <c r="KG22" s="299"/>
      <c r="KH22" s="299"/>
      <c r="KI22" s="299"/>
      <c r="KJ22" s="299"/>
      <c r="KK22" s="299"/>
      <c r="KL22" s="299"/>
      <c r="KM22" s="299"/>
      <c r="KN22" s="299"/>
      <c r="KO22" s="299"/>
      <c r="KP22" s="299"/>
      <c r="KQ22" s="299"/>
      <c r="KR22" s="299"/>
      <c r="KS22" s="299"/>
      <c r="KT22" s="299"/>
      <c r="KU22" s="299"/>
      <c r="KV22" s="299"/>
      <c r="KW22" s="299"/>
      <c r="KX22" s="299"/>
      <c r="KY22" s="299"/>
      <c r="KZ22" s="299"/>
      <c r="LA22" s="299"/>
      <c r="LB22" s="299"/>
      <c r="LC22" s="299"/>
      <c r="LD22" s="299"/>
      <c r="LE22" s="299"/>
      <c r="LF22" s="299"/>
      <c r="LG22" s="299"/>
      <c r="LH22" s="299"/>
      <c r="LI22" s="299"/>
      <c r="LJ22" s="299"/>
      <c r="LK22" s="299"/>
      <c r="LL22" s="299"/>
      <c r="LM22" s="299"/>
      <c r="LN22" s="299"/>
      <c r="LO22" s="299"/>
      <c r="LP22" s="299"/>
      <c r="LQ22" s="299"/>
      <c r="LR22" s="299"/>
      <c r="LS22" s="299"/>
      <c r="LT22" s="299"/>
      <c r="LU22" s="299"/>
      <c r="LV22" s="299"/>
      <c r="LW22" s="299"/>
      <c r="LX22" s="299"/>
      <c r="LY22" s="299"/>
      <c r="LZ22" s="299"/>
      <c r="MA22" s="299"/>
    </row>
    <row r="23" spans="1:339" s="639" customFormat="1" ht="15.75" customHeight="1">
      <c r="A23" s="636" t="s">
        <v>298</v>
      </c>
      <c r="B23" s="637">
        <v>2018</v>
      </c>
      <c r="C23" s="451">
        <v>0</v>
      </c>
      <c r="D23" s="451">
        <v>0</v>
      </c>
      <c r="E23" s="451">
        <v>0</v>
      </c>
      <c r="F23" s="451"/>
      <c r="G23" s="451">
        <v>0</v>
      </c>
      <c r="H23" s="451">
        <v>0</v>
      </c>
      <c r="I23" s="451">
        <v>0</v>
      </c>
      <c r="J23" s="301"/>
      <c r="K23" s="301"/>
      <c r="L23" s="301"/>
      <c r="M23" s="301"/>
      <c r="N23" s="638"/>
      <c r="O23" s="638"/>
      <c r="Q23" s="300">
        <f t="shared" ref="Q23:Q86" si="2">SUM(G23:M23)</f>
        <v>0</v>
      </c>
      <c r="R23" s="638"/>
      <c r="S23" s="300">
        <f>E23*(($V$5+$V$6)/12)</f>
        <v>0</v>
      </c>
      <c r="T23" s="300">
        <f t="shared" ref="T23:T35" si="3">E23*($AA$8/12)</f>
        <v>0</v>
      </c>
      <c r="U23" s="300">
        <f>E23*($V$7/12)</f>
        <v>0</v>
      </c>
      <c r="V23" s="300">
        <v>0</v>
      </c>
      <c r="W23" s="300">
        <v>0</v>
      </c>
      <c r="X23" s="300">
        <v>0</v>
      </c>
      <c r="Y23" s="300"/>
      <c r="Z23" s="300">
        <v>0</v>
      </c>
      <c r="AA23" s="300">
        <v>0</v>
      </c>
      <c r="AB23" s="300">
        <v>0</v>
      </c>
      <c r="AC23" s="300">
        <v>0</v>
      </c>
      <c r="AD23" s="640"/>
      <c r="AE23" s="452" t="e">
        <f t="shared" ref="AE23:AE86" si="4">(S23+U23)/E23*12</f>
        <v>#DIV/0!</v>
      </c>
      <c r="AF23" s="452" t="e">
        <f t="shared" ref="AF23:AF86" si="5">(S23+T23+U23)/E23*12</f>
        <v>#DIV/0!</v>
      </c>
      <c r="AG23" s="638"/>
      <c r="AH23" s="638"/>
      <c r="AI23" s="638"/>
      <c r="AJ23" s="638"/>
      <c r="AK23" s="638"/>
      <c r="AL23" s="638"/>
      <c r="AM23" s="638"/>
      <c r="AN23" s="638"/>
      <c r="AO23" s="638"/>
      <c r="AP23" s="638"/>
      <c r="AQ23" s="638"/>
      <c r="AR23" s="638"/>
      <c r="AS23" s="638"/>
      <c r="AT23" s="638"/>
      <c r="AU23" s="638"/>
      <c r="AV23" s="638"/>
      <c r="AW23" s="638"/>
      <c r="AX23" s="638"/>
      <c r="AY23" s="638"/>
      <c r="AZ23" s="638"/>
      <c r="BA23" s="638"/>
      <c r="BB23" s="638"/>
      <c r="BC23" s="638"/>
      <c r="BD23" s="638"/>
      <c r="BE23" s="638"/>
      <c r="BF23" s="638"/>
      <c r="BG23" s="638"/>
      <c r="BH23" s="638"/>
      <c r="BI23" s="638"/>
      <c r="BJ23" s="638"/>
      <c r="BK23" s="638"/>
      <c r="BL23" s="638"/>
      <c r="BM23" s="638"/>
      <c r="BN23" s="638"/>
      <c r="BO23" s="638"/>
      <c r="BP23" s="638"/>
      <c r="BQ23" s="638"/>
      <c r="BR23" s="638"/>
      <c r="BS23" s="638"/>
      <c r="BT23" s="638"/>
      <c r="BU23" s="638"/>
      <c r="BV23" s="638"/>
      <c r="BW23" s="638"/>
      <c r="BX23" s="638"/>
      <c r="BY23" s="638"/>
      <c r="BZ23" s="638"/>
      <c r="CA23" s="638"/>
      <c r="CB23" s="638"/>
      <c r="CC23" s="638"/>
      <c r="CD23" s="638"/>
      <c r="CE23" s="638"/>
      <c r="CF23" s="638"/>
      <c r="CG23" s="638"/>
      <c r="CH23" s="638"/>
      <c r="CI23" s="638"/>
      <c r="CJ23" s="638"/>
      <c r="CK23" s="638"/>
      <c r="CL23" s="638"/>
      <c r="CM23" s="638"/>
      <c r="CN23" s="638"/>
      <c r="CO23" s="638"/>
      <c r="CP23" s="638"/>
      <c r="CQ23" s="638"/>
      <c r="CR23" s="638"/>
      <c r="CS23" s="638"/>
      <c r="CT23" s="638"/>
      <c r="CU23" s="638"/>
      <c r="CV23" s="638"/>
      <c r="CW23" s="638"/>
      <c r="CX23" s="638"/>
      <c r="CY23" s="638"/>
      <c r="CZ23" s="638"/>
      <c r="DA23" s="638"/>
      <c r="DB23" s="638"/>
      <c r="DC23" s="638"/>
      <c r="DD23" s="638"/>
      <c r="DE23" s="638"/>
      <c r="DF23" s="638"/>
      <c r="DG23" s="638"/>
      <c r="DH23" s="638"/>
      <c r="DI23" s="638"/>
      <c r="DJ23" s="638"/>
      <c r="DK23" s="638"/>
      <c r="DL23" s="638"/>
      <c r="DM23" s="638"/>
      <c r="DN23" s="638"/>
      <c r="DO23" s="638"/>
      <c r="DP23" s="638"/>
      <c r="DQ23" s="638"/>
      <c r="DR23" s="638"/>
      <c r="DS23" s="638"/>
      <c r="DT23" s="638"/>
      <c r="DU23" s="638"/>
      <c r="DV23" s="638"/>
      <c r="DW23" s="638"/>
      <c r="DX23" s="638"/>
      <c r="DY23" s="638"/>
      <c r="DZ23" s="638"/>
      <c r="EA23" s="638"/>
      <c r="EB23" s="638"/>
      <c r="EC23" s="638"/>
      <c r="ED23" s="638"/>
      <c r="EE23" s="638"/>
      <c r="EF23" s="638"/>
      <c r="EG23" s="638"/>
      <c r="EH23" s="638"/>
      <c r="EI23" s="638"/>
      <c r="EJ23" s="638"/>
      <c r="EK23" s="638"/>
      <c r="EL23" s="638"/>
      <c r="EM23" s="638"/>
      <c r="EN23" s="638"/>
      <c r="EO23" s="638"/>
      <c r="EP23" s="638"/>
      <c r="EQ23" s="638"/>
      <c r="ER23" s="638"/>
      <c r="ES23" s="638"/>
      <c r="ET23" s="638"/>
      <c r="EU23" s="638"/>
      <c r="EV23" s="638"/>
      <c r="EW23" s="638"/>
      <c r="EX23" s="638"/>
      <c r="EY23" s="638"/>
      <c r="EZ23" s="638"/>
      <c r="FA23" s="638"/>
      <c r="FB23" s="638"/>
      <c r="FC23" s="638"/>
      <c r="FD23" s="638"/>
      <c r="FE23" s="638"/>
      <c r="FF23" s="638"/>
      <c r="FG23" s="638"/>
      <c r="FH23" s="638"/>
      <c r="FI23" s="638"/>
      <c r="FJ23" s="638"/>
      <c r="FK23" s="638"/>
      <c r="FL23" s="638"/>
      <c r="FM23" s="638"/>
      <c r="FN23" s="638"/>
      <c r="FO23" s="638"/>
      <c r="FP23" s="638"/>
      <c r="FQ23" s="638"/>
      <c r="FR23" s="638"/>
      <c r="FS23" s="638"/>
      <c r="FT23" s="638"/>
      <c r="FU23" s="638"/>
      <c r="FV23" s="638"/>
      <c r="FW23" s="638"/>
      <c r="FX23" s="638"/>
      <c r="FY23" s="638"/>
      <c r="FZ23" s="638"/>
      <c r="GA23" s="638"/>
      <c r="GB23" s="638"/>
      <c r="GC23" s="638"/>
      <c r="GD23" s="638"/>
      <c r="GE23" s="638"/>
      <c r="GF23" s="638"/>
      <c r="GG23" s="638"/>
      <c r="GH23" s="638"/>
      <c r="GI23" s="638"/>
      <c r="GJ23" s="638"/>
      <c r="GK23" s="638"/>
      <c r="GL23" s="638"/>
      <c r="GM23" s="638"/>
      <c r="GN23" s="638"/>
      <c r="GO23" s="638"/>
      <c r="GP23" s="638"/>
      <c r="GQ23" s="638"/>
      <c r="GR23" s="638"/>
      <c r="GS23" s="638"/>
      <c r="GT23" s="638"/>
      <c r="GU23" s="638"/>
      <c r="GV23" s="638"/>
      <c r="GW23" s="638"/>
      <c r="GX23" s="638"/>
      <c r="GY23" s="638"/>
      <c r="GZ23" s="638"/>
      <c r="HA23" s="638"/>
      <c r="HB23" s="638"/>
      <c r="HC23" s="638"/>
      <c r="HD23" s="638"/>
      <c r="HE23" s="638"/>
      <c r="HF23" s="638"/>
      <c r="HG23" s="638"/>
      <c r="HH23" s="638"/>
      <c r="HI23" s="638"/>
      <c r="HJ23" s="638"/>
      <c r="HK23" s="638"/>
      <c r="HL23" s="638"/>
      <c r="HM23" s="638"/>
      <c r="HN23" s="638"/>
      <c r="HO23" s="638"/>
      <c r="HP23" s="638"/>
      <c r="HQ23" s="638"/>
      <c r="HR23" s="638"/>
      <c r="HS23" s="638"/>
      <c r="HT23" s="638"/>
      <c r="HU23" s="638"/>
      <c r="HV23" s="638"/>
      <c r="HW23" s="638"/>
      <c r="HX23" s="638"/>
      <c r="HY23" s="638"/>
      <c r="HZ23" s="638"/>
      <c r="IA23" s="638"/>
      <c r="IB23" s="638"/>
      <c r="IC23" s="638"/>
      <c r="ID23" s="638"/>
      <c r="IE23" s="638"/>
      <c r="IF23" s="638"/>
      <c r="IG23" s="638"/>
      <c r="IH23" s="638"/>
      <c r="II23" s="638"/>
      <c r="IJ23" s="638"/>
      <c r="IK23" s="638"/>
      <c r="IL23" s="638"/>
      <c r="IM23" s="638"/>
      <c r="IN23" s="638"/>
      <c r="IO23" s="638"/>
      <c r="IP23" s="638"/>
      <c r="IQ23" s="638"/>
      <c r="IR23" s="638"/>
      <c r="IS23" s="638"/>
      <c r="IT23" s="638"/>
      <c r="IU23" s="638"/>
      <c r="IV23" s="638"/>
      <c r="IW23" s="638"/>
      <c r="IX23" s="638"/>
      <c r="IY23" s="638"/>
      <c r="IZ23" s="638"/>
      <c r="JA23" s="638"/>
      <c r="JB23" s="638"/>
      <c r="JC23" s="638"/>
      <c r="JD23" s="638"/>
      <c r="JE23" s="638"/>
      <c r="JF23" s="638"/>
      <c r="JG23" s="638"/>
      <c r="JH23" s="638"/>
      <c r="JI23" s="638"/>
      <c r="JJ23" s="638"/>
      <c r="JK23" s="638"/>
      <c r="JL23" s="638"/>
      <c r="JM23" s="638"/>
      <c r="JN23" s="638"/>
      <c r="JO23" s="638"/>
      <c r="JP23" s="638"/>
      <c r="JQ23" s="638"/>
      <c r="JR23" s="638"/>
      <c r="JS23" s="638"/>
      <c r="JT23" s="638"/>
      <c r="JU23" s="638"/>
      <c r="JV23" s="638"/>
      <c r="JW23" s="638"/>
      <c r="JX23" s="638"/>
      <c r="JY23" s="638"/>
      <c r="JZ23" s="638"/>
      <c r="KA23" s="638"/>
      <c r="KB23" s="638"/>
      <c r="KC23" s="638"/>
      <c r="KD23" s="638"/>
      <c r="KE23" s="638"/>
      <c r="KF23" s="638"/>
      <c r="KG23" s="638"/>
      <c r="KH23" s="638"/>
      <c r="KI23" s="638"/>
      <c r="KJ23" s="638"/>
      <c r="KK23" s="638"/>
      <c r="KL23" s="638"/>
      <c r="KM23" s="638"/>
      <c r="KN23" s="638"/>
      <c r="KO23" s="638"/>
      <c r="KP23" s="638"/>
      <c r="KQ23" s="638"/>
      <c r="KR23" s="638"/>
      <c r="KS23" s="638"/>
      <c r="KT23" s="638"/>
      <c r="KU23" s="638"/>
      <c r="KV23" s="638"/>
      <c r="KW23" s="638"/>
      <c r="KX23" s="638"/>
      <c r="KY23" s="638"/>
      <c r="KZ23" s="638"/>
      <c r="LA23" s="638"/>
      <c r="LB23" s="638"/>
      <c r="LC23" s="638"/>
      <c r="LD23" s="638"/>
      <c r="LE23" s="638"/>
      <c r="LF23" s="638"/>
      <c r="LG23" s="638"/>
      <c r="LH23" s="638"/>
      <c r="LI23" s="638"/>
      <c r="LJ23" s="638"/>
      <c r="LK23" s="638"/>
      <c r="LL23" s="638"/>
      <c r="LM23" s="638"/>
      <c r="LN23" s="638"/>
      <c r="LO23" s="638"/>
      <c r="LP23" s="638"/>
      <c r="LQ23" s="638"/>
      <c r="LR23" s="638"/>
      <c r="LS23" s="638"/>
      <c r="LT23" s="638"/>
      <c r="LU23" s="638"/>
      <c r="LV23" s="638"/>
      <c r="LW23" s="638"/>
      <c r="LX23" s="638"/>
      <c r="LY23" s="638"/>
      <c r="LZ23" s="638"/>
      <c r="MA23" s="638"/>
    </row>
    <row r="24" spans="1:339" s="639" customFormat="1" ht="15.75" customHeight="1">
      <c r="A24" s="636" t="s">
        <v>299</v>
      </c>
      <c r="B24" s="637">
        <v>2018</v>
      </c>
      <c r="C24" s="451">
        <v>0</v>
      </c>
      <c r="D24" s="451">
        <v>0</v>
      </c>
      <c r="E24" s="451">
        <v>0</v>
      </c>
      <c r="F24" s="641"/>
      <c r="G24" s="451">
        <v>0</v>
      </c>
      <c r="H24" s="451">
        <v>0</v>
      </c>
      <c r="I24" s="451">
        <v>0</v>
      </c>
      <c r="J24" s="301"/>
      <c r="K24" s="301"/>
      <c r="L24" s="301"/>
      <c r="M24" s="301"/>
      <c r="N24" s="638"/>
      <c r="O24" s="638"/>
      <c r="Q24" s="300">
        <f t="shared" si="2"/>
        <v>0</v>
      </c>
      <c r="R24" s="638"/>
      <c r="S24" s="300">
        <f>E24*(($V$5+$V$6)/12)</f>
        <v>0</v>
      </c>
      <c r="T24" s="300">
        <f t="shared" si="3"/>
        <v>0</v>
      </c>
      <c r="U24" s="300">
        <f>E24*($V$7/12)</f>
        <v>0</v>
      </c>
      <c r="V24" s="300">
        <v>0</v>
      </c>
      <c r="W24" s="300">
        <v>0</v>
      </c>
      <c r="X24" s="300">
        <v>0</v>
      </c>
      <c r="Y24" s="638"/>
      <c r="Z24" s="300">
        <v>0</v>
      </c>
      <c r="AA24" s="638"/>
      <c r="AB24" s="300">
        <v>0</v>
      </c>
      <c r="AC24" s="300">
        <v>0</v>
      </c>
      <c r="AD24" s="640"/>
      <c r="AE24" s="452" t="e">
        <f t="shared" si="4"/>
        <v>#DIV/0!</v>
      </c>
      <c r="AF24" s="452" t="e">
        <f t="shared" si="5"/>
        <v>#DIV/0!</v>
      </c>
      <c r="AG24" s="638"/>
      <c r="AH24" s="638"/>
      <c r="AI24" s="638"/>
      <c r="AJ24" s="638"/>
      <c r="AK24" s="638"/>
      <c r="AL24" s="638"/>
      <c r="AM24" s="638"/>
      <c r="AN24" s="638"/>
      <c r="AO24" s="638"/>
      <c r="AP24" s="638"/>
      <c r="AQ24" s="638"/>
      <c r="AR24" s="638"/>
      <c r="AS24" s="638"/>
      <c r="AT24" s="638"/>
      <c r="AU24" s="638"/>
      <c r="AV24" s="638"/>
      <c r="AW24" s="638"/>
      <c r="AX24" s="638"/>
      <c r="AY24" s="638"/>
      <c r="AZ24" s="638"/>
      <c r="BA24" s="638"/>
      <c r="BB24" s="638"/>
      <c r="BC24" s="638"/>
      <c r="BD24" s="638"/>
      <c r="BE24" s="638"/>
      <c r="BF24" s="638"/>
      <c r="BG24" s="638"/>
      <c r="BH24" s="638"/>
      <c r="BI24" s="638"/>
      <c r="BJ24" s="638"/>
      <c r="BK24" s="638"/>
      <c r="BL24" s="638"/>
      <c r="BM24" s="638"/>
      <c r="BN24" s="638"/>
      <c r="BO24" s="638"/>
      <c r="BP24" s="638"/>
      <c r="BQ24" s="638"/>
      <c r="BR24" s="638"/>
      <c r="BS24" s="638"/>
      <c r="BT24" s="638"/>
      <c r="BU24" s="638"/>
      <c r="BV24" s="638"/>
      <c r="BW24" s="638"/>
      <c r="BX24" s="638"/>
      <c r="BY24" s="638"/>
      <c r="BZ24" s="638"/>
      <c r="CA24" s="638"/>
      <c r="CB24" s="638"/>
      <c r="CC24" s="638"/>
      <c r="CD24" s="638"/>
      <c r="CE24" s="638"/>
      <c r="CF24" s="638"/>
      <c r="CG24" s="638"/>
      <c r="CH24" s="638"/>
      <c r="CI24" s="638"/>
      <c r="CJ24" s="638"/>
      <c r="CK24" s="638"/>
      <c r="CL24" s="638"/>
      <c r="CM24" s="638"/>
      <c r="CN24" s="638"/>
      <c r="CO24" s="638"/>
      <c r="CP24" s="638"/>
      <c r="CQ24" s="638"/>
      <c r="CR24" s="638"/>
      <c r="CS24" s="638"/>
      <c r="CT24" s="638"/>
      <c r="CU24" s="638"/>
      <c r="CV24" s="638"/>
      <c r="CW24" s="638"/>
      <c r="CX24" s="638"/>
      <c r="CY24" s="638"/>
      <c r="CZ24" s="638"/>
      <c r="DA24" s="638"/>
      <c r="DB24" s="638"/>
      <c r="DC24" s="638"/>
      <c r="DD24" s="638"/>
      <c r="DE24" s="638"/>
      <c r="DF24" s="638"/>
      <c r="DG24" s="638"/>
      <c r="DH24" s="638"/>
      <c r="DI24" s="638"/>
      <c r="DJ24" s="638"/>
      <c r="DK24" s="638"/>
      <c r="DL24" s="638"/>
      <c r="DM24" s="638"/>
      <c r="DN24" s="638"/>
      <c r="DO24" s="638"/>
      <c r="DP24" s="638"/>
      <c r="DQ24" s="638"/>
      <c r="DR24" s="638"/>
      <c r="DS24" s="638"/>
      <c r="DT24" s="638"/>
      <c r="DU24" s="638"/>
      <c r="DV24" s="638"/>
      <c r="DW24" s="638"/>
      <c r="DX24" s="638"/>
      <c r="DY24" s="638"/>
      <c r="DZ24" s="638"/>
      <c r="EA24" s="638"/>
      <c r="EB24" s="638"/>
      <c r="EC24" s="638"/>
      <c r="ED24" s="638"/>
      <c r="EE24" s="638"/>
      <c r="EF24" s="638"/>
      <c r="EG24" s="638"/>
      <c r="EH24" s="638"/>
      <c r="EI24" s="638"/>
      <c r="EJ24" s="638"/>
      <c r="EK24" s="638"/>
      <c r="EL24" s="638"/>
      <c r="EM24" s="638"/>
      <c r="EN24" s="638"/>
      <c r="EO24" s="638"/>
      <c r="EP24" s="638"/>
      <c r="EQ24" s="638"/>
      <c r="ER24" s="638"/>
      <c r="ES24" s="638"/>
      <c r="ET24" s="638"/>
      <c r="EU24" s="638"/>
      <c r="EV24" s="638"/>
      <c r="EW24" s="638"/>
      <c r="EX24" s="638"/>
      <c r="EY24" s="638"/>
      <c r="EZ24" s="638"/>
      <c r="FA24" s="638"/>
      <c r="FB24" s="638"/>
      <c r="FC24" s="638"/>
      <c r="FD24" s="638"/>
      <c r="FE24" s="638"/>
      <c r="FF24" s="638"/>
      <c r="FG24" s="638"/>
      <c r="FH24" s="638"/>
      <c r="FI24" s="638"/>
      <c r="FJ24" s="638"/>
      <c r="FK24" s="638"/>
      <c r="FL24" s="638"/>
      <c r="FM24" s="638"/>
      <c r="FN24" s="638"/>
      <c r="FO24" s="638"/>
      <c r="FP24" s="638"/>
      <c r="FQ24" s="638"/>
      <c r="FR24" s="638"/>
      <c r="FS24" s="638"/>
      <c r="FT24" s="638"/>
      <c r="FU24" s="638"/>
      <c r="FV24" s="638"/>
      <c r="FW24" s="638"/>
      <c r="FX24" s="638"/>
      <c r="FY24" s="638"/>
      <c r="FZ24" s="638"/>
      <c r="GA24" s="638"/>
      <c r="GB24" s="638"/>
      <c r="GC24" s="638"/>
      <c r="GD24" s="638"/>
      <c r="GE24" s="638"/>
      <c r="GF24" s="638"/>
      <c r="GG24" s="638"/>
      <c r="GH24" s="638"/>
      <c r="GI24" s="638"/>
      <c r="GJ24" s="638"/>
      <c r="GK24" s="638"/>
      <c r="GL24" s="638"/>
      <c r="GM24" s="638"/>
      <c r="GN24" s="638"/>
      <c r="GO24" s="638"/>
      <c r="GP24" s="638"/>
      <c r="GQ24" s="638"/>
      <c r="GR24" s="638"/>
      <c r="GS24" s="638"/>
      <c r="GT24" s="638"/>
      <c r="GU24" s="638"/>
      <c r="GV24" s="638"/>
      <c r="GW24" s="638"/>
      <c r="GX24" s="638"/>
      <c r="GY24" s="638"/>
      <c r="GZ24" s="638"/>
      <c r="HA24" s="638"/>
      <c r="HB24" s="638"/>
      <c r="HC24" s="638"/>
      <c r="HD24" s="638"/>
      <c r="HE24" s="638"/>
      <c r="HF24" s="638"/>
      <c r="HG24" s="638"/>
      <c r="HH24" s="638"/>
      <c r="HI24" s="638"/>
      <c r="HJ24" s="638"/>
      <c r="HK24" s="638"/>
      <c r="HL24" s="638"/>
      <c r="HM24" s="638"/>
      <c r="HN24" s="638"/>
      <c r="HO24" s="638"/>
      <c r="HP24" s="638"/>
      <c r="HQ24" s="638"/>
      <c r="HR24" s="638"/>
      <c r="HS24" s="638"/>
      <c r="HT24" s="638"/>
      <c r="HU24" s="638"/>
      <c r="HV24" s="638"/>
      <c r="HW24" s="638"/>
      <c r="HX24" s="638"/>
      <c r="HY24" s="638"/>
      <c r="HZ24" s="638"/>
      <c r="IA24" s="638"/>
      <c r="IB24" s="638"/>
      <c r="IC24" s="638"/>
      <c r="ID24" s="638"/>
      <c r="IE24" s="638"/>
      <c r="IF24" s="638"/>
      <c r="IG24" s="638"/>
      <c r="IH24" s="638"/>
      <c r="II24" s="638"/>
      <c r="IJ24" s="638"/>
      <c r="IK24" s="638"/>
      <c r="IL24" s="638"/>
      <c r="IM24" s="638"/>
      <c r="IN24" s="638"/>
      <c r="IO24" s="638"/>
      <c r="IP24" s="638"/>
      <c r="IQ24" s="638"/>
      <c r="IR24" s="638"/>
      <c r="IS24" s="638"/>
      <c r="IT24" s="638"/>
      <c r="IU24" s="638"/>
      <c r="IV24" s="638"/>
      <c r="IW24" s="638"/>
      <c r="IX24" s="638"/>
      <c r="IY24" s="638"/>
      <c r="IZ24" s="638"/>
      <c r="JA24" s="638"/>
      <c r="JB24" s="638"/>
      <c r="JC24" s="638"/>
      <c r="JD24" s="638"/>
      <c r="JE24" s="638"/>
      <c r="JF24" s="638"/>
      <c r="JG24" s="638"/>
      <c r="JH24" s="638"/>
      <c r="JI24" s="638"/>
      <c r="JJ24" s="638"/>
      <c r="JK24" s="638"/>
      <c r="JL24" s="638"/>
      <c r="JM24" s="638"/>
      <c r="JN24" s="638"/>
      <c r="JO24" s="638"/>
      <c r="JP24" s="638"/>
      <c r="JQ24" s="638"/>
      <c r="JR24" s="638"/>
      <c r="JS24" s="638"/>
      <c r="JT24" s="638"/>
      <c r="JU24" s="638"/>
      <c r="JV24" s="638"/>
      <c r="JW24" s="638"/>
      <c r="JX24" s="638"/>
      <c r="JY24" s="638"/>
      <c r="JZ24" s="638"/>
      <c r="KA24" s="638"/>
      <c r="KB24" s="638"/>
      <c r="KC24" s="638"/>
      <c r="KD24" s="638"/>
      <c r="KE24" s="638"/>
      <c r="KF24" s="638"/>
      <c r="KG24" s="638"/>
      <c r="KH24" s="638"/>
      <c r="KI24" s="638"/>
      <c r="KJ24" s="638"/>
      <c r="KK24" s="638"/>
      <c r="KL24" s="638"/>
      <c r="KM24" s="638"/>
      <c r="KN24" s="638"/>
      <c r="KO24" s="638"/>
      <c r="KP24" s="638"/>
      <c r="KQ24" s="638"/>
      <c r="KR24" s="638"/>
      <c r="KS24" s="638"/>
      <c r="KT24" s="638"/>
      <c r="KU24" s="638"/>
      <c r="KV24" s="638"/>
      <c r="KW24" s="638"/>
      <c r="KX24" s="638"/>
      <c r="KY24" s="638"/>
      <c r="KZ24" s="638"/>
      <c r="LA24" s="638"/>
      <c r="LB24" s="638"/>
      <c r="LC24" s="638"/>
      <c r="LD24" s="638"/>
      <c r="LE24" s="638"/>
      <c r="LF24" s="638"/>
      <c r="LG24" s="638"/>
      <c r="LH24" s="638"/>
      <c r="LI24" s="638"/>
      <c r="LJ24" s="638"/>
      <c r="LK24" s="638"/>
      <c r="LL24" s="638"/>
      <c r="LM24" s="638"/>
      <c r="LN24" s="638"/>
      <c r="LO24" s="638"/>
      <c r="LP24" s="638"/>
      <c r="LQ24" s="638"/>
      <c r="LR24" s="638"/>
      <c r="LS24" s="638"/>
      <c r="LT24" s="638"/>
      <c r="LU24" s="638"/>
      <c r="LV24" s="638"/>
      <c r="LW24" s="638"/>
      <c r="LX24" s="638"/>
      <c r="LY24" s="638"/>
      <c r="LZ24" s="638"/>
      <c r="MA24" s="638"/>
    </row>
    <row r="25" spans="1:339" s="639" customFormat="1" ht="15.75" customHeight="1">
      <c r="A25" s="636" t="s">
        <v>300</v>
      </c>
      <c r="B25" s="637">
        <v>2018</v>
      </c>
      <c r="C25" s="451">
        <v>0</v>
      </c>
      <c r="D25" s="451">
        <v>0</v>
      </c>
      <c r="E25" s="451">
        <v>0</v>
      </c>
      <c r="F25" s="641"/>
      <c r="G25" s="451">
        <v>0</v>
      </c>
      <c r="H25" s="451">
        <v>0</v>
      </c>
      <c r="I25" s="451">
        <v>0</v>
      </c>
      <c r="J25" s="301"/>
      <c r="K25" s="301"/>
      <c r="L25" s="301"/>
      <c r="M25" s="301"/>
      <c r="N25" s="638"/>
      <c r="O25" s="638"/>
      <c r="Q25" s="300">
        <f t="shared" si="2"/>
        <v>0</v>
      </c>
      <c r="R25" s="638"/>
      <c r="S25" s="300">
        <f>E25*(($V$5+$V$6)/12)</f>
        <v>0</v>
      </c>
      <c r="T25" s="300">
        <f t="shared" si="3"/>
        <v>0</v>
      </c>
      <c r="U25" s="300">
        <f>E25*($V$7/12)</f>
        <v>0</v>
      </c>
      <c r="V25" s="300">
        <v>0</v>
      </c>
      <c r="W25" s="300">
        <v>0</v>
      </c>
      <c r="X25" s="300">
        <v>0</v>
      </c>
      <c r="Y25" s="638"/>
      <c r="Z25" s="300">
        <v>0</v>
      </c>
      <c r="AA25" s="638"/>
      <c r="AB25" s="300">
        <v>0</v>
      </c>
      <c r="AC25" s="300">
        <v>0</v>
      </c>
      <c r="AD25" s="640"/>
      <c r="AE25" s="452" t="e">
        <f t="shared" si="4"/>
        <v>#DIV/0!</v>
      </c>
      <c r="AF25" s="452" t="e">
        <f t="shared" si="5"/>
        <v>#DIV/0!</v>
      </c>
      <c r="AG25" s="638"/>
      <c r="AH25" s="638"/>
      <c r="AI25" s="638"/>
      <c r="AJ25" s="638"/>
      <c r="AK25" s="638"/>
      <c r="AL25" s="638"/>
      <c r="AM25" s="638"/>
      <c r="AN25" s="638"/>
      <c r="AO25" s="638"/>
      <c r="AP25" s="638"/>
      <c r="AQ25" s="638"/>
      <c r="AR25" s="638"/>
      <c r="AS25" s="638"/>
      <c r="AT25" s="638"/>
      <c r="AU25" s="638"/>
      <c r="AV25" s="638"/>
      <c r="AW25" s="638"/>
      <c r="AX25" s="638"/>
      <c r="AY25" s="638"/>
      <c r="AZ25" s="638"/>
      <c r="BA25" s="638"/>
      <c r="BB25" s="638"/>
      <c r="BC25" s="638"/>
      <c r="BD25" s="638"/>
      <c r="BE25" s="638"/>
      <c r="BF25" s="638"/>
      <c r="BG25" s="638"/>
      <c r="BH25" s="638"/>
      <c r="BI25" s="638"/>
      <c r="BJ25" s="638"/>
      <c r="BK25" s="638"/>
      <c r="BL25" s="638"/>
      <c r="BM25" s="638"/>
      <c r="BN25" s="638"/>
      <c r="BO25" s="638"/>
      <c r="BP25" s="638"/>
      <c r="BQ25" s="638"/>
      <c r="BR25" s="638"/>
      <c r="BS25" s="638"/>
      <c r="BT25" s="638"/>
      <c r="BU25" s="638"/>
      <c r="BV25" s="638"/>
      <c r="BW25" s="638"/>
      <c r="BX25" s="638"/>
      <c r="BY25" s="638"/>
      <c r="BZ25" s="638"/>
      <c r="CA25" s="638"/>
      <c r="CB25" s="638"/>
      <c r="CC25" s="638"/>
      <c r="CD25" s="638"/>
      <c r="CE25" s="638"/>
      <c r="CF25" s="638"/>
      <c r="CG25" s="638"/>
      <c r="CH25" s="638"/>
      <c r="CI25" s="638"/>
      <c r="CJ25" s="638"/>
      <c r="CK25" s="638"/>
      <c r="CL25" s="638"/>
      <c r="CM25" s="638"/>
      <c r="CN25" s="638"/>
      <c r="CO25" s="638"/>
      <c r="CP25" s="638"/>
      <c r="CQ25" s="638"/>
      <c r="CR25" s="638"/>
      <c r="CS25" s="638"/>
      <c r="CT25" s="638"/>
      <c r="CU25" s="638"/>
      <c r="CV25" s="638"/>
      <c r="CW25" s="638"/>
      <c r="CX25" s="638"/>
      <c r="CY25" s="638"/>
      <c r="CZ25" s="638"/>
      <c r="DA25" s="638"/>
      <c r="DB25" s="638"/>
      <c r="DC25" s="638"/>
      <c r="DD25" s="638"/>
      <c r="DE25" s="638"/>
      <c r="DF25" s="638"/>
      <c r="DG25" s="638"/>
      <c r="DH25" s="638"/>
      <c r="DI25" s="638"/>
      <c r="DJ25" s="638"/>
      <c r="DK25" s="638"/>
      <c r="DL25" s="638"/>
      <c r="DM25" s="638"/>
      <c r="DN25" s="638"/>
      <c r="DO25" s="638"/>
      <c r="DP25" s="638"/>
      <c r="DQ25" s="638"/>
      <c r="DR25" s="638"/>
      <c r="DS25" s="638"/>
      <c r="DT25" s="638"/>
      <c r="DU25" s="638"/>
      <c r="DV25" s="638"/>
      <c r="DW25" s="638"/>
      <c r="DX25" s="638"/>
      <c r="DY25" s="638"/>
      <c r="DZ25" s="638"/>
      <c r="EA25" s="638"/>
      <c r="EB25" s="638"/>
      <c r="EC25" s="638"/>
      <c r="ED25" s="638"/>
      <c r="EE25" s="638"/>
      <c r="EF25" s="638"/>
      <c r="EG25" s="638"/>
      <c r="EH25" s="638"/>
      <c r="EI25" s="638"/>
      <c r="EJ25" s="638"/>
      <c r="EK25" s="638"/>
      <c r="EL25" s="638"/>
      <c r="EM25" s="638"/>
      <c r="EN25" s="638"/>
      <c r="EO25" s="638"/>
      <c r="EP25" s="638"/>
      <c r="EQ25" s="638"/>
      <c r="ER25" s="638"/>
      <c r="ES25" s="638"/>
      <c r="ET25" s="638"/>
      <c r="EU25" s="638"/>
      <c r="EV25" s="638"/>
      <c r="EW25" s="638"/>
      <c r="EX25" s="638"/>
      <c r="EY25" s="638"/>
      <c r="EZ25" s="638"/>
      <c r="FA25" s="638"/>
      <c r="FB25" s="638"/>
      <c r="FC25" s="638"/>
      <c r="FD25" s="638"/>
      <c r="FE25" s="638"/>
      <c r="FF25" s="638"/>
      <c r="FG25" s="638"/>
      <c r="FH25" s="638"/>
      <c r="FI25" s="638"/>
      <c r="FJ25" s="638"/>
      <c r="FK25" s="638"/>
      <c r="FL25" s="638"/>
      <c r="FM25" s="638"/>
      <c r="FN25" s="638"/>
      <c r="FO25" s="638"/>
      <c r="FP25" s="638"/>
      <c r="FQ25" s="638"/>
      <c r="FR25" s="638"/>
      <c r="FS25" s="638"/>
      <c r="FT25" s="638"/>
      <c r="FU25" s="638"/>
      <c r="FV25" s="638"/>
      <c r="FW25" s="638"/>
      <c r="FX25" s="638"/>
      <c r="FY25" s="638"/>
      <c r="FZ25" s="638"/>
      <c r="GA25" s="638"/>
      <c r="GB25" s="638"/>
      <c r="GC25" s="638"/>
      <c r="GD25" s="638"/>
      <c r="GE25" s="638"/>
      <c r="GF25" s="638"/>
      <c r="GG25" s="638"/>
      <c r="GH25" s="638"/>
      <c r="GI25" s="638"/>
      <c r="GJ25" s="638"/>
      <c r="GK25" s="638"/>
      <c r="GL25" s="638"/>
      <c r="GM25" s="638"/>
      <c r="GN25" s="638"/>
      <c r="GO25" s="638"/>
      <c r="GP25" s="638"/>
      <c r="GQ25" s="638"/>
      <c r="GR25" s="638"/>
      <c r="GS25" s="638"/>
      <c r="GT25" s="638"/>
      <c r="GU25" s="638"/>
      <c r="GV25" s="638"/>
      <c r="GW25" s="638"/>
      <c r="GX25" s="638"/>
      <c r="GY25" s="638"/>
      <c r="GZ25" s="638"/>
      <c r="HA25" s="638"/>
      <c r="HB25" s="638"/>
      <c r="HC25" s="638"/>
      <c r="HD25" s="638"/>
      <c r="HE25" s="638"/>
      <c r="HF25" s="638"/>
      <c r="HG25" s="638"/>
      <c r="HH25" s="638"/>
      <c r="HI25" s="638"/>
      <c r="HJ25" s="638"/>
      <c r="HK25" s="638"/>
      <c r="HL25" s="638"/>
      <c r="HM25" s="638"/>
      <c r="HN25" s="638"/>
      <c r="HO25" s="638"/>
      <c r="HP25" s="638"/>
      <c r="HQ25" s="638"/>
      <c r="HR25" s="638"/>
      <c r="HS25" s="638"/>
      <c r="HT25" s="638"/>
      <c r="HU25" s="638"/>
      <c r="HV25" s="638"/>
      <c r="HW25" s="638"/>
      <c r="HX25" s="638"/>
      <c r="HY25" s="638"/>
      <c r="HZ25" s="638"/>
      <c r="IA25" s="638"/>
      <c r="IB25" s="638"/>
      <c r="IC25" s="638"/>
      <c r="ID25" s="638"/>
      <c r="IE25" s="638"/>
      <c r="IF25" s="638"/>
      <c r="IG25" s="638"/>
      <c r="IH25" s="638"/>
      <c r="II25" s="638"/>
      <c r="IJ25" s="638"/>
      <c r="IK25" s="638"/>
      <c r="IL25" s="638"/>
      <c r="IM25" s="638"/>
      <c r="IN25" s="638"/>
      <c r="IO25" s="638"/>
      <c r="IP25" s="638"/>
      <c r="IQ25" s="638"/>
      <c r="IR25" s="638"/>
      <c r="IS25" s="638"/>
      <c r="IT25" s="638"/>
      <c r="IU25" s="638"/>
      <c r="IV25" s="638"/>
      <c r="IW25" s="638"/>
      <c r="IX25" s="638"/>
      <c r="IY25" s="638"/>
      <c r="IZ25" s="638"/>
      <c r="JA25" s="638"/>
      <c r="JB25" s="638"/>
      <c r="JC25" s="638"/>
      <c r="JD25" s="638"/>
      <c r="JE25" s="638"/>
      <c r="JF25" s="638"/>
      <c r="JG25" s="638"/>
      <c r="JH25" s="638"/>
      <c r="JI25" s="638"/>
      <c r="JJ25" s="638"/>
      <c r="JK25" s="638"/>
      <c r="JL25" s="638"/>
      <c r="JM25" s="638"/>
      <c r="JN25" s="638"/>
      <c r="JO25" s="638"/>
      <c r="JP25" s="638"/>
      <c r="JQ25" s="638"/>
      <c r="JR25" s="638"/>
      <c r="JS25" s="638"/>
      <c r="JT25" s="638"/>
      <c r="JU25" s="638"/>
      <c r="JV25" s="638"/>
      <c r="JW25" s="638"/>
      <c r="JX25" s="638"/>
      <c r="JY25" s="638"/>
      <c r="JZ25" s="638"/>
      <c r="KA25" s="638"/>
      <c r="KB25" s="638"/>
      <c r="KC25" s="638"/>
      <c r="KD25" s="638"/>
      <c r="KE25" s="638"/>
      <c r="KF25" s="638"/>
      <c r="KG25" s="638"/>
      <c r="KH25" s="638"/>
      <c r="KI25" s="638"/>
      <c r="KJ25" s="638"/>
      <c r="KK25" s="638"/>
      <c r="KL25" s="638"/>
      <c r="KM25" s="638"/>
      <c r="KN25" s="638"/>
      <c r="KO25" s="638"/>
      <c r="KP25" s="638"/>
      <c r="KQ25" s="638"/>
      <c r="KR25" s="638"/>
      <c r="KS25" s="638"/>
      <c r="KT25" s="638"/>
      <c r="KU25" s="638"/>
      <c r="KV25" s="638"/>
      <c r="KW25" s="638"/>
      <c r="KX25" s="638"/>
      <c r="KY25" s="638"/>
      <c r="KZ25" s="638"/>
      <c r="LA25" s="638"/>
      <c r="LB25" s="638"/>
      <c r="LC25" s="638"/>
      <c r="LD25" s="638"/>
      <c r="LE25" s="638"/>
      <c r="LF25" s="638"/>
      <c r="LG25" s="638"/>
      <c r="LH25" s="638"/>
      <c r="LI25" s="638"/>
      <c r="LJ25" s="638"/>
      <c r="LK25" s="638"/>
      <c r="LL25" s="638"/>
      <c r="LM25" s="638"/>
      <c r="LN25" s="638"/>
      <c r="LO25" s="638"/>
      <c r="LP25" s="638"/>
      <c r="LQ25" s="638"/>
      <c r="LR25" s="638"/>
      <c r="LS25" s="638"/>
      <c r="LT25" s="638"/>
      <c r="LU25" s="638"/>
      <c r="LV25" s="638"/>
      <c r="LW25" s="638"/>
      <c r="LX25" s="638"/>
      <c r="LY25" s="638"/>
      <c r="LZ25" s="638"/>
      <c r="MA25" s="638"/>
    </row>
    <row r="26" spans="1:339" s="642" customFormat="1">
      <c r="A26" s="636" t="s">
        <v>301</v>
      </c>
      <c r="B26" s="637">
        <v>2019</v>
      </c>
      <c r="C26" s="451">
        <v>335537.05488095235</v>
      </c>
      <c r="D26" s="451">
        <v>-6818.2746597857149</v>
      </c>
      <c r="E26" s="451">
        <v>328718.78022116667</v>
      </c>
      <c r="F26" s="451"/>
      <c r="G26" s="451">
        <v>3329.1151190476189</v>
      </c>
      <c r="H26" s="451">
        <v>713.5</v>
      </c>
      <c r="I26" s="451">
        <v>0</v>
      </c>
      <c r="J26" s="301"/>
      <c r="K26" s="301"/>
      <c r="L26" s="301"/>
      <c r="M26" s="301"/>
      <c r="Q26" s="300">
        <f t="shared" si="2"/>
        <v>4042.6151190476189</v>
      </c>
      <c r="S26" s="300">
        <f>E26*(($V$5+$V$6)/12)</f>
        <v>431.32067736233199</v>
      </c>
      <c r="T26" s="300">
        <f t="shared" si="3"/>
        <v>548.27639905164131</v>
      </c>
      <c r="U26" s="300">
        <f>E26*($V$7/12)</f>
        <v>1402.1910468809142</v>
      </c>
      <c r="V26" s="300">
        <v>0</v>
      </c>
      <c r="W26" s="300">
        <v>0</v>
      </c>
      <c r="X26" s="300">
        <v>2381.7881232948876</v>
      </c>
      <c r="Y26" s="643"/>
      <c r="Z26" s="300">
        <v>-951.96395707178988</v>
      </c>
      <c r="AA26" s="258"/>
      <c r="AB26" s="300">
        <v>108536.47888739403</v>
      </c>
      <c r="AC26" s="300">
        <v>114008.91817266475</v>
      </c>
      <c r="AE26" s="452">
        <f t="shared" si="4"/>
        <v>6.693302000000001E-2</v>
      </c>
      <c r="AF26" s="452">
        <f t="shared" si="5"/>
        <v>8.6948051645569624E-2</v>
      </c>
    </row>
    <row r="27" spans="1:339" s="642" customFormat="1">
      <c r="A27" s="636" t="s">
        <v>302</v>
      </c>
      <c r="B27" s="637">
        <v>2019</v>
      </c>
      <c r="C27" s="451">
        <v>1006581.4117857142</v>
      </c>
      <c r="D27" s="451">
        <v>-27354.641934214287</v>
      </c>
      <c r="E27" s="451">
        <v>979226.76985149982</v>
      </c>
      <c r="F27" s="451"/>
      <c r="G27" s="451">
        <v>9640.1629761904769</v>
      </c>
      <c r="H27" s="451">
        <v>2536.0301190476193</v>
      </c>
      <c r="I27" s="451">
        <v>0</v>
      </c>
      <c r="J27" s="301"/>
      <c r="K27" s="301"/>
      <c r="L27" s="301"/>
      <c r="M27" s="301"/>
      <c r="Q27" s="300">
        <f t="shared" si="2"/>
        <v>12176.193095238097</v>
      </c>
      <c r="S27" s="300">
        <f t="shared" ref="S27:S35" si="6">E27*(($V$5+$V$6)/12)</f>
        <v>1284.8695574360156</v>
      </c>
      <c r="T27" s="300">
        <f t="shared" si="3"/>
        <v>1633.2712322305574</v>
      </c>
      <c r="U27" s="300">
        <f t="shared" ref="U27:U35" si="7">E27*($V$7/12)</f>
        <v>4177.0141901478046</v>
      </c>
      <c r="V27" s="300">
        <v>214.10960012658231</v>
      </c>
      <c r="W27" s="300">
        <v>716.0119654688001</v>
      </c>
      <c r="X27" s="300">
        <v>8025.2765454097607</v>
      </c>
      <c r="Y27" s="643"/>
      <c r="Z27" s="300">
        <v>-1517.008512504033</v>
      </c>
      <c r="AA27" s="258"/>
      <c r="AB27" s="300">
        <v>108536.47888739403</v>
      </c>
      <c r="AC27" s="300">
        <v>18684.461128143826</v>
      </c>
      <c r="AE27" s="452">
        <f t="shared" si="4"/>
        <v>6.693302000000001E-2</v>
      </c>
      <c r="AF27" s="452">
        <f t="shared" si="5"/>
        <v>8.6948051645569638E-2</v>
      </c>
    </row>
    <row r="28" spans="1:339" s="642" customFormat="1">
      <c r="A28" s="636" t="s">
        <v>303</v>
      </c>
      <c r="B28" s="637">
        <v>2019</v>
      </c>
      <c r="C28" s="451">
        <v>1934895.3423809523</v>
      </c>
      <c r="D28" s="451">
        <v>-67002.221770285716</v>
      </c>
      <c r="E28" s="451">
        <v>1867893.1206106665</v>
      </c>
      <c r="F28" s="451"/>
      <c r="G28" s="451">
        <v>19924.944761904764</v>
      </c>
      <c r="H28" s="451">
        <v>3582.454642857143</v>
      </c>
      <c r="I28" s="451">
        <v>0</v>
      </c>
      <c r="J28" s="301"/>
      <c r="K28" s="301"/>
      <c r="L28" s="301"/>
      <c r="M28" s="301"/>
      <c r="Q28" s="300">
        <f t="shared" si="2"/>
        <v>23507.399404761905</v>
      </c>
      <c r="S28" s="300">
        <f t="shared" si="6"/>
        <v>2450.9123740364716</v>
      </c>
      <c r="T28" s="300">
        <f t="shared" si="3"/>
        <v>3115.4949932970235</v>
      </c>
      <c r="U28" s="300">
        <f t="shared" si="7"/>
        <v>7967.731592604875</v>
      </c>
      <c r="V28" s="300">
        <v>1163.7345187025317</v>
      </c>
      <c r="W28" s="300">
        <v>3891.6883667405336</v>
      </c>
      <c r="X28" s="300">
        <v>18589.561845381435</v>
      </c>
      <c r="Y28" s="643"/>
      <c r="Z28" s="300">
        <v>-1887.9544787721973</v>
      </c>
      <c r="AA28" s="258"/>
      <c r="AB28" s="300">
        <v>108536.47888739403</v>
      </c>
      <c r="AC28" s="300">
        <v>40209.006771371147</v>
      </c>
      <c r="AE28" s="452">
        <f t="shared" si="4"/>
        <v>6.693302000000001E-2</v>
      </c>
      <c r="AF28" s="452">
        <f t="shared" si="5"/>
        <v>8.6948051645569624E-2</v>
      </c>
    </row>
    <row r="29" spans="1:339" s="642" customFormat="1">
      <c r="A29" s="636" t="s">
        <v>304</v>
      </c>
      <c r="B29" s="637">
        <v>2019</v>
      </c>
      <c r="C29" s="451">
        <v>3196270.510119047</v>
      </c>
      <c r="D29" s="451">
        <v>-132759.23459121428</v>
      </c>
      <c r="E29" s="451">
        <v>3063511.275527833</v>
      </c>
      <c r="F29" s="451"/>
      <c r="G29" s="451">
        <v>33953.148452380949</v>
      </c>
      <c r="H29" s="451">
        <v>5034.7638095238099</v>
      </c>
      <c r="I29" s="451">
        <v>0</v>
      </c>
      <c r="J29" s="301"/>
      <c r="K29" s="301"/>
      <c r="L29" s="301"/>
      <c r="M29" s="301"/>
      <c r="Q29" s="300">
        <f t="shared" si="2"/>
        <v>38987.912261904756</v>
      </c>
      <c r="S29" s="300">
        <f t="shared" si="6"/>
        <v>4019.7148382540836</v>
      </c>
      <c r="T29" s="300">
        <f t="shared" si="3"/>
        <v>5109.6895938540774</v>
      </c>
      <c r="U29" s="300">
        <f t="shared" si="7"/>
        <v>13067.790284673414</v>
      </c>
      <c r="V29" s="300">
        <v>2595.302284948576</v>
      </c>
      <c r="W29" s="300">
        <v>8679.0479685781665</v>
      </c>
      <c r="X29" s="300">
        <v>33471.544970308314</v>
      </c>
      <c r="Y29" s="643"/>
      <c r="Z29" s="300">
        <v>-2446.7987925248563</v>
      </c>
      <c r="AA29" s="258"/>
      <c r="AB29" s="300">
        <v>108536.47888739403</v>
      </c>
      <c r="AC29" s="300">
        <v>70012.65843968821</v>
      </c>
      <c r="AE29" s="452">
        <f t="shared" si="4"/>
        <v>6.693302000000001E-2</v>
      </c>
      <c r="AF29" s="452">
        <f t="shared" si="5"/>
        <v>8.6948051645569624E-2</v>
      </c>
    </row>
    <row r="30" spans="1:339" s="642" customFormat="1">
      <c r="A30" s="636" t="s">
        <v>305</v>
      </c>
      <c r="B30" s="637">
        <v>2019</v>
      </c>
      <c r="C30" s="451">
        <v>4118704.0567857139</v>
      </c>
      <c r="D30" s="451">
        <v>-218052.79479321427</v>
      </c>
      <c r="E30" s="451">
        <v>3900651.2619925002</v>
      </c>
      <c r="F30" s="451"/>
      <c r="G30" s="451">
        <v>44733.314166666663</v>
      </c>
      <c r="H30" s="451">
        <v>5837.9891666666672</v>
      </c>
      <c r="I30" s="451">
        <v>0</v>
      </c>
      <c r="J30" s="301"/>
      <c r="K30" s="301"/>
      <c r="L30" s="301"/>
      <c r="M30" s="301"/>
      <c r="Q30" s="300">
        <f t="shared" si="2"/>
        <v>50571.30333333333</v>
      </c>
      <c r="S30" s="300">
        <f t="shared" si="6"/>
        <v>5118.1485382273459</v>
      </c>
      <c r="T30" s="300">
        <f t="shared" si="3"/>
        <v>6505.9715372592473</v>
      </c>
      <c r="U30" s="300">
        <f t="shared" si="7"/>
        <v>16638.715539436758</v>
      </c>
      <c r="V30" s="300">
        <v>3666.4190627432754</v>
      </c>
      <c r="W30" s="300">
        <v>12261.009865018019</v>
      </c>
      <c r="X30" s="300">
        <v>44190.264542684643</v>
      </c>
      <c r="Y30" s="643"/>
      <c r="Z30" s="300">
        <v>-3382.6971086848603</v>
      </c>
      <c r="AA30" s="258"/>
      <c r="AB30" s="300">
        <v>108536.47888739403</v>
      </c>
      <c r="AC30" s="300">
        <v>91378.870767333108</v>
      </c>
      <c r="AE30" s="452">
        <f t="shared" si="4"/>
        <v>6.693302000000001E-2</v>
      </c>
      <c r="AF30" s="452">
        <f t="shared" si="5"/>
        <v>8.6948051645569624E-2</v>
      </c>
    </row>
    <row r="31" spans="1:339" s="642" customFormat="1">
      <c r="A31" s="636" t="s">
        <v>306</v>
      </c>
      <c r="B31" s="637">
        <v>2019</v>
      </c>
      <c r="C31" s="451">
        <v>4478974.7301190477</v>
      </c>
      <c r="D31" s="451">
        <v>-311694.86195721431</v>
      </c>
      <c r="E31" s="451">
        <v>4167279.8681618334</v>
      </c>
      <c r="F31" s="451"/>
      <c r="G31" s="451">
        <v>48835.608214285712</v>
      </c>
      <c r="H31" s="451">
        <v>6685.5984523809529</v>
      </c>
      <c r="I31" s="451">
        <v>0</v>
      </c>
      <c r="J31" s="301"/>
      <c r="K31" s="301"/>
      <c r="L31" s="301"/>
      <c r="M31" s="301"/>
      <c r="Q31" s="300">
        <f t="shared" si="2"/>
        <v>55521.206666666665</v>
      </c>
      <c r="S31" s="300">
        <f t="shared" si="6"/>
        <v>5467.9990424782918</v>
      </c>
      <c r="T31" s="300">
        <f t="shared" si="3"/>
        <v>6950.6865364336909</v>
      </c>
      <c r="U31" s="300">
        <f t="shared" si="7"/>
        <v>17776.053187627822</v>
      </c>
      <c r="V31" s="300">
        <v>5152.3805296281644</v>
      </c>
      <c r="W31" s="300">
        <v>17230.269486661004</v>
      </c>
      <c r="X31" s="300">
        <v>52577.388782828973</v>
      </c>
      <c r="Y31" s="643"/>
      <c r="Z31" s="300">
        <v>-4502.787591158266</v>
      </c>
      <c r="AA31" s="258"/>
      <c r="AB31" s="300">
        <v>108536.47888739403</v>
      </c>
      <c r="AC31" s="300">
        <v>103595.80785833737</v>
      </c>
      <c r="AE31" s="452">
        <f t="shared" si="4"/>
        <v>6.693302000000001E-2</v>
      </c>
      <c r="AF31" s="452">
        <f t="shared" si="5"/>
        <v>8.6948051645569624E-2</v>
      </c>
    </row>
    <row r="32" spans="1:339" s="642" customFormat="1">
      <c r="A32" s="636" t="s">
        <v>307</v>
      </c>
      <c r="B32" s="637">
        <v>2019</v>
      </c>
      <c r="C32" s="451">
        <v>5440754.594047619</v>
      </c>
      <c r="D32" s="451">
        <v>-426008.97714128578</v>
      </c>
      <c r="E32" s="451">
        <v>5014745.6169063328</v>
      </c>
      <c r="F32" s="451"/>
      <c r="G32" s="451">
        <v>60178.628095238091</v>
      </c>
      <c r="H32" s="451">
        <v>7599.2179761904772</v>
      </c>
      <c r="I32" s="451">
        <v>0</v>
      </c>
      <c r="J32" s="301"/>
      <c r="K32" s="301"/>
      <c r="L32" s="301"/>
      <c r="M32" s="301"/>
      <c r="Q32" s="300">
        <f t="shared" si="2"/>
        <v>67777.846071428561</v>
      </c>
      <c r="S32" s="300">
        <f t="shared" si="6"/>
        <v>6579.9814504925826</v>
      </c>
      <c r="T32" s="300">
        <f t="shared" si="3"/>
        <v>8364.1910180718169</v>
      </c>
      <c r="U32" s="300">
        <f t="shared" si="7"/>
        <v>21391.024272116076</v>
      </c>
      <c r="V32" s="300">
        <v>6440.6929919204895</v>
      </c>
      <c r="W32" s="300">
        <v>21538.563639368418</v>
      </c>
      <c r="X32" s="300">
        <v>64314.453371969386</v>
      </c>
      <c r="Y32" s="643"/>
      <c r="Z32" s="300">
        <v>-5425.0321090881462</v>
      </c>
      <c r="AA32" s="258"/>
      <c r="AB32" s="300">
        <v>108536.47888739403</v>
      </c>
      <c r="AC32" s="300">
        <v>126667.2673343098</v>
      </c>
      <c r="AE32" s="452">
        <f t="shared" si="4"/>
        <v>6.6933019999999996E-2</v>
      </c>
      <c r="AF32" s="452">
        <f t="shared" si="5"/>
        <v>8.6948051645569624E-2</v>
      </c>
    </row>
    <row r="33" spans="1:32" s="642" customFormat="1">
      <c r="A33" s="636" t="s">
        <v>308</v>
      </c>
      <c r="B33" s="637">
        <v>2019</v>
      </c>
      <c r="C33" s="451">
        <v>5953906.8501190469</v>
      </c>
      <c r="D33" s="451">
        <v>-552127.87196721428</v>
      </c>
      <c r="E33" s="451">
        <v>5401778.9781518336</v>
      </c>
      <c r="F33" s="451"/>
      <c r="G33" s="451">
        <v>65217.035833333328</v>
      </c>
      <c r="H33" s="451">
        <v>9559.9680952380968</v>
      </c>
      <c r="I33" s="451">
        <v>0</v>
      </c>
      <c r="J33" s="301"/>
      <c r="K33" s="301"/>
      <c r="L33" s="301"/>
      <c r="M33" s="301"/>
      <c r="Q33" s="300">
        <f t="shared" si="2"/>
        <v>74777.00392857143</v>
      </c>
      <c r="S33" s="300">
        <f t="shared" si="6"/>
        <v>7087.8182446724377</v>
      </c>
      <c r="T33" s="300">
        <f t="shared" si="3"/>
        <v>9009.7314325068073</v>
      </c>
      <c r="U33" s="300">
        <f t="shared" si="7"/>
        <v>23041.963453678916</v>
      </c>
      <c r="V33" s="300">
        <v>8101.8808069165343</v>
      </c>
      <c r="W33" s="300">
        <v>27093.80428119365</v>
      </c>
      <c r="X33" s="300">
        <v>74335.198218968348</v>
      </c>
      <c r="Y33" s="643"/>
      <c r="Z33" s="300">
        <v>-5960.2336420440479</v>
      </c>
      <c r="AA33" s="258"/>
      <c r="AB33" s="300">
        <v>108536.47888739403</v>
      </c>
      <c r="AC33" s="300">
        <v>143151.96850549575</v>
      </c>
      <c r="AE33" s="452">
        <f t="shared" si="4"/>
        <v>6.693302000000001E-2</v>
      </c>
      <c r="AF33" s="452">
        <f t="shared" si="5"/>
        <v>8.6948051645569624E-2</v>
      </c>
    </row>
    <row r="34" spans="1:32" s="642" customFormat="1">
      <c r="A34" s="636" t="s">
        <v>309</v>
      </c>
      <c r="B34" s="637">
        <v>2019</v>
      </c>
      <c r="C34" s="451">
        <v>6660575.8145238096</v>
      </c>
      <c r="D34" s="451">
        <v>-694126.12547014293</v>
      </c>
      <c r="E34" s="451">
        <v>5966449.6890536668</v>
      </c>
      <c r="F34" s="451"/>
      <c r="G34" s="451">
        <v>71792.437023809514</v>
      </c>
      <c r="H34" s="451">
        <v>12399.578571428574</v>
      </c>
      <c r="I34" s="451">
        <v>0</v>
      </c>
      <c r="J34" s="301"/>
      <c r="K34" s="301"/>
      <c r="L34" s="301"/>
      <c r="M34" s="301"/>
      <c r="Q34" s="300">
        <f t="shared" si="2"/>
        <v>84192.015595238088</v>
      </c>
      <c r="S34" s="300">
        <f t="shared" si="6"/>
        <v>7828.7377423323569</v>
      </c>
      <c r="T34" s="300">
        <f t="shared" si="3"/>
        <v>9951.5566115090132</v>
      </c>
      <c r="U34" s="300">
        <f t="shared" si="7"/>
        <v>25450.636954869547</v>
      </c>
      <c r="V34" s="300">
        <v>10651.217270714005</v>
      </c>
      <c r="W34" s="300">
        <v>35619.136218695523</v>
      </c>
      <c r="X34" s="300">
        <v>89501.28479812044</v>
      </c>
      <c r="Y34" s="643"/>
      <c r="Z34" s="300">
        <v>-6301.2124886007405</v>
      </c>
      <c r="AA34" s="258"/>
      <c r="AB34" s="300">
        <v>108536.47888739403</v>
      </c>
      <c r="AC34" s="300">
        <v>167392.08790475779</v>
      </c>
      <c r="AE34" s="452">
        <f t="shared" si="4"/>
        <v>6.693302000000001E-2</v>
      </c>
      <c r="AF34" s="452">
        <f t="shared" si="5"/>
        <v>8.6948051645569624E-2</v>
      </c>
    </row>
    <row r="35" spans="1:32" s="642" customFormat="1">
      <c r="A35" s="636" t="s">
        <v>298</v>
      </c>
      <c r="B35" s="637">
        <v>2019</v>
      </c>
      <c r="C35" s="451">
        <v>7145275.3834523801</v>
      </c>
      <c r="D35" s="451">
        <v>-847684.53013521433</v>
      </c>
      <c r="E35" s="451">
        <v>6297590.8533171657</v>
      </c>
      <c r="F35" s="451"/>
      <c r="G35" s="451">
        <v>76222.181785714274</v>
      </c>
      <c r="H35" s="451">
        <v>14823.949285714289</v>
      </c>
      <c r="I35" s="451">
        <v>0</v>
      </c>
      <c r="J35" s="301"/>
      <c r="K35" s="301"/>
      <c r="L35" s="301"/>
      <c r="M35" s="635"/>
      <c r="Q35" s="300">
        <f t="shared" si="2"/>
        <v>91046.131071428565</v>
      </c>
      <c r="S35" s="300">
        <f t="shared" si="6"/>
        <v>8263.2368943935417</v>
      </c>
      <c r="T35" s="300">
        <f t="shared" si="3"/>
        <v>10503.873351666072</v>
      </c>
      <c r="U35" s="300">
        <f t="shared" si="7"/>
        <v>26863.160983681038</v>
      </c>
      <c r="V35" s="300">
        <v>12471.95212504747</v>
      </c>
      <c r="W35" s="300">
        <v>41707.924114605477</v>
      </c>
      <c r="X35" s="300">
        <v>99810.147469393603</v>
      </c>
      <c r="Y35" s="643"/>
      <c r="Z35" s="300">
        <v>-6829.9650693691283</v>
      </c>
      <c r="AA35" s="258"/>
      <c r="AB35" s="300">
        <v>108536.47888739403</v>
      </c>
      <c r="AC35" s="300">
        <v>184026.31347145303</v>
      </c>
      <c r="AE35" s="452">
        <f t="shared" si="4"/>
        <v>6.693302000000001E-2</v>
      </c>
      <c r="AF35" s="452">
        <f t="shared" si="5"/>
        <v>8.6948051645569638E-2</v>
      </c>
    </row>
    <row r="36" spans="1:32" s="642" customFormat="1">
      <c r="A36" s="636" t="s">
        <v>299</v>
      </c>
      <c r="B36" s="637">
        <v>2019</v>
      </c>
      <c r="C36" s="451">
        <v>8288239.6274999995</v>
      </c>
      <c r="D36" s="451">
        <v>-1026318.6203265002</v>
      </c>
      <c r="E36" s="451">
        <v>7261921.0071734991</v>
      </c>
      <c r="F36" s="451"/>
      <c r="G36" s="451">
        <v>90279.741309523801</v>
      </c>
      <c r="H36" s="451">
        <v>15633.984642857145</v>
      </c>
      <c r="I36" s="451">
        <v>0</v>
      </c>
      <c r="J36" s="301"/>
      <c r="K36" s="301"/>
      <c r="L36" s="301"/>
      <c r="M36" s="301"/>
      <c r="Q36" s="300">
        <f t="shared" si="2"/>
        <v>105913.72595238095</v>
      </c>
      <c r="S36" s="300">
        <f>E36*(($V$13+$V$14)/12)</f>
        <v>10669.552144098156</v>
      </c>
      <c r="T36" s="300">
        <f>E36*($AA$16/12)</f>
        <v>12266.696757411537</v>
      </c>
      <c r="U36" s="300">
        <f>E36*($V$15/12)</f>
        <v>31371.498750989518</v>
      </c>
      <c r="V36" s="300">
        <v>15088.731249976579</v>
      </c>
      <c r="W36" s="300">
        <v>51712.871930195332</v>
      </c>
      <c r="X36" s="300">
        <v>121109.35083267113</v>
      </c>
      <c r="Y36" s="643"/>
      <c r="Z36" s="300">
        <v>-7735.6465210885335</v>
      </c>
      <c r="AA36" s="258"/>
      <c r="AB36" s="300">
        <v>108536.47888739403</v>
      </c>
      <c r="AC36" s="300">
        <v>219287.43026396353</v>
      </c>
      <c r="AE36" s="452">
        <f t="shared" si="4"/>
        <v>6.9470958200000016E-2</v>
      </c>
      <c r="AF36" s="452">
        <f t="shared" si="5"/>
        <v>8.974112651269997E-2</v>
      </c>
    </row>
    <row r="37" spans="1:32" s="642" customFormat="1">
      <c r="A37" s="636" t="s">
        <v>300</v>
      </c>
      <c r="B37" s="637">
        <v>2019</v>
      </c>
      <c r="C37" s="451">
        <v>9861621.4846428577</v>
      </c>
      <c r="D37" s="451">
        <v>-1239076.8060653573</v>
      </c>
      <c r="E37" s="451">
        <v>8622544.6785775013</v>
      </c>
      <c r="F37" s="451"/>
      <c r="G37" s="451">
        <v>108349.00202380952</v>
      </c>
      <c r="H37" s="451">
        <v>17797.200833333336</v>
      </c>
      <c r="I37" s="451">
        <v>0</v>
      </c>
      <c r="J37" s="301"/>
      <c r="K37" s="301"/>
      <c r="L37" s="301"/>
      <c r="M37" s="301"/>
      <c r="Q37" s="300">
        <f t="shared" si="2"/>
        <v>126146.20285714285</v>
      </c>
      <c r="S37" s="300">
        <f t="shared" ref="S37:S60" si="8">E37*(($V$13+$V$14)/12)</f>
        <v>12668.643733802697</v>
      </c>
      <c r="T37" s="300">
        <f t="shared" ref="T37:T61" si="9">E37*($AA$16/12)</f>
        <v>14565.035993211777</v>
      </c>
      <c r="U37" s="300">
        <f t="shared" ref="U37:U60" si="10">E37*($V$15/12)</f>
        <v>37249.393011454806</v>
      </c>
      <c r="V37" s="300">
        <v>17669.916476249608</v>
      </c>
      <c r="W37" s="300">
        <v>60559.242034015464</v>
      </c>
      <c r="X37" s="300">
        <v>142712.23124873434</v>
      </c>
      <c r="Y37" s="643"/>
      <c r="Z37" s="300">
        <v>-8825.3944873267101</v>
      </c>
      <c r="AA37" s="258"/>
      <c r="AB37" s="300">
        <v>108536.47888739403</v>
      </c>
      <c r="AC37" s="300">
        <v>260033.03961855051</v>
      </c>
      <c r="AE37" s="452">
        <f t="shared" si="4"/>
        <v>6.9470958200000002E-2</v>
      </c>
      <c r="AF37" s="452">
        <f t="shared" si="5"/>
        <v>8.9741126512699956E-2</v>
      </c>
    </row>
    <row r="38" spans="1:32" s="642" customFormat="1">
      <c r="A38" s="636" t="s">
        <v>301</v>
      </c>
      <c r="B38" s="637">
        <v>2020</v>
      </c>
      <c r="C38" s="451">
        <v>10468871.166785713</v>
      </c>
      <c r="D38" s="451">
        <v>-1458783.2958614645</v>
      </c>
      <c r="E38" s="451">
        <v>9010087.8709242493</v>
      </c>
      <c r="F38" s="451"/>
      <c r="G38" s="451">
        <v>116162.56845238095</v>
      </c>
      <c r="H38" s="451">
        <v>18819.729404761907</v>
      </c>
      <c r="I38" s="451">
        <v>0</v>
      </c>
      <c r="J38" s="301"/>
      <c r="K38" s="301"/>
      <c r="L38" s="301"/>
      <c r="M38" s="301"/>
      <c r="Q38" s="300">
        <f t="shared" si="2"/>
        <v>134982.29785714287</v>
      </c>
      <c r="S38" s="300">
        <f t="shared" si="8"/>
        <v>13238.040219216036</v>
      </c>
      <c r="T38" s="300">
        <f t="shared" si="9"/>
        <v>15219.666471320914</v>
      </c>
      <c r="U38" s="300">
        <f t="shared" si="10"/>
        <v>38923.579602392754</v>
      </c>
      <c r="V38" s="300">
        <v>19494.756503509256</v>
      </c>
      <c r="W38" s="300">
        <v>66813.427164585592</v>
      </c>
      <c r="X38" s="300">
        <v>153689.46996102453</v>
      </c>
      <c r="Y38" s="643"/>
      <c r="Z38" s="300">
        <v>-9717.1703147246826</v>
      </c>
      <c r="AA38" s="258"/>
      <c r="AB38" s="300">
        <v>127709.23992068251</v>
      </c>
      <c r="AC38" s="300">
        <v>278954.59750344272</v>
      </c>
      <c r="AE38" s="452">
        <f t="shared" si="4"/>
        <v>6.9470958200000002E-2</v>
      </c>
      <c r="AF38" s="452">
        <f t="shared" si="5"/>
        <v>8.9741126512699942E-2</v>
      </c>
    </row>
    <row r="39" spans="1:32" s="642" customFormat="1">
      <c r="A39" s="636" t="s">
        <v>302</v>
      </c>
      <c r="B39" s="637">
        <v>2020</v>
      </c>
      <c r="C39" s="451">
        <v>10719257.918333333</v>
      </c>
      <c r="D39" s="451">
        <v>-1670316.2290777501</v>
      </c>
      <c r="E39" s="451">
        <v>9048941.6892555822</v>
      </c>
      <c r="F39" s="451"/>
      <c r="G39" s="451">
        <v>119806.76809523809</v>
      </c>
      <c r="H39" s="451">
        <v>19818.530357142859</v>
      </c>
      <c r="I39" s="451">
        <v>0</v>
      </c>
      <c r="J39" s="301"/>
      <c r="K39" s="301"/>
      <c r="L39" s="301"/>
      <c r="M39" s="301"/>
      <c r="Q39" s="300">
        <f t="shared" si="2"/>
        <v>139625.29845238096</v>
      </c>
      <c r="S39" s="300">
        <f t="shared" si="8"/>
        <v>13295.126056458546</v>
      </c>
      <c r="T39" s="300">
        <f t="shared" si="9"/>
        <v>15285.297591084845</v>
      </c>
      <c r="U39" s="300">
        <f t="shared" si="10"/>
        <v>39091.428097584117</v>
      </c>
      <c r="V39" s="300">
        <v>20705.504146638923</v>
      </c>
      <c r="W39" s="300">
        <v>70962.963449092465</v>
      </c>
      <c r="X39" s="300">
        <v>159340.3193408589</v>
      </c>
      <c r="Y39" s="643"/>
      <c r="Z39" s="300">
        <v>-10221.776458177213</v>
      </c>
      <c r="AA39" s="258"/>
      <c r="AB39" s="300">
        <v>127709.23992068251</v>
      </c>
      <c r="AC39" s="300">
        <v>288743.84133506264</v>
      </c>
      <c r="AE39" s="452">
        <f t="shared" si="4"/>
        <v>6.9470958200000002E-2</v>
      </c>
      <c r="AF39" s="452">
        <f t="shared" si="5"/>
        <v>8.974112651269997E-2</v>
      </c>
    </row>
    <row r="40" spans="1:32" s="642" customFormat="1">
      <c r="A40" s="636" t="s">
        <v>303</v>
      </c>
      <c r="B40" s="637">
        <v>2020</v>
      </c>
      <c r="C40" s="451">
        <v>11401032.891071428</v>
      </c>
      <c r="D40" s="451">
        <v>-1876243.9970049285</v>
      </c>
      <c r="E40" s="451">
        <v>9524788.8940664995</v>
      </c>
      <c r="F40" s="451"/>
      <c r="G40" s="451">
        <v>127885.32988095237</v>
      </c>
      <c r="H40" s="451">
        <v>21636.357380952384</v>
      </c>
      <c r="I40" s="451">
        <v>0</v>
      </c>
      <c r="J40" s="301"/>
      <c r="K40" s="301"/>
      <c r="L40" s="301"/>
      <c r="M40" s="301"/>
      <c r="Q40" s="300">
        <f t="shared" si="2"/>
        <v>149521.68726190476</v>
      </c>
      <c r="S40" s="300">
        <f t="shared" si="8"/>
        <v>13994.262904592557</v>
      </c>
      <c r="T40" s="300">
        <f t="shared" si="9"/>
        <v>16089.089502138604</v>
      </c>
      <c r="U40" s="300">
        <f t="shared" si="10"/>
        <v>41147.088022367279</v>
      </c>
      <c r="V40" s="300">
        <v>22768.043890447301</v>
      </c>
      <c r="W40" s="300">
        <v>78031.805212886611</v>
      </c>
      <c r="X40" s="300">
        <v>172030.28953243233</v>
      </c>
      <c r="Y40" s="643"/>
      <c r="Z40" s="300">
        <v>-10532.032689402518</v>
      </c>
      <c r="AA40" s="258"/>
      <c r="AB40" s="300">
        <v>127709.23992068251</v>
      </c>
      <c r="AC40" s="300">
        <v>311019.94410493458</v>
      </c>
      <c r="AE40" s="452">
        <f t="shared" si="4"/>
        <v>6.9470958200000002E-2</v>
      </c>
      <c r="AF40" s="452">
        <f t="shared" si="5"/>
        <v>8.9741126512699956E-2</v>
      </c>
    </row>
    <row r="41" spans="1:32" s="642" customFormat="1">
      <c r="A41" s="636" t="s">
        <v>304</v>
      </c>
      <c r="B41" s="637">
        <v>2020</v>
      </c>
      <c r="C41" s="451">
        <v>12178090.32</v>
      </c>
      <c r="D41" s="451">
        <v>-2070539.29396825</v>
      </c>
      <c r="E41" s="451">
        <v>10107551.026031751</v>
      </c>
      <c r="F41" s="451"/>
      <c r="G41" s="451">
        <v>137560.03095238094</v>
      </c>
      <c r="H41" s="451">
        <v>23125.260119047623</v>
      </c>
      <c r="I41" s="451">
        <v>0</v>
      </c>
      <c r="J41" s="301"/>
      <c r="K41" s="301"/>
      <c r="L41" s="301"/>
      <c r="M41" s="301"/>
      <c r="Q41" s="300">
        <f t="shared" si="2"/>
        <v>160685.29107142857</v>
      </c>
      <c r="S41" s="300">
        <f t="shared" si="8"/>
        <v>14850.484137027743</v>
      </c>
      <c r="T41" s="300">
        <f t="shared" si="9"/>
        <v>17073.480043905565</v>
      </c>
      <c r="U41" s="300">
        <f t="shared" si="10"/>
        <v>43664.620432457166</v>
      </c>
      <c r="V41" s="300">
        <v>24018.794068853418</v>
      </c>
      <c r="W41" s="300">
        <v>82318.44023348749</v>
      </c>
      <c r="X41" s="300">
        <v>181925.81891573139</v>
      </c>
      <c r="Y41" s="643"/>
      <c r="Z41" s="300">
        <v>-11029.934899964099</v>
      </c>
      <c r="AA41" s="258"/>
      <c r="AB41" s="300">
        <v>127709.23992068251</v>
      </c>
      <c r="AC41" s="300">
        <v>331581.17508719582</v>
      </c>
      <c r="AE41" s="452">
        <f t="shared" si="4"/>
        <v>6.9470958200000002E-2</v>
      </c>
      <c r="AF41" s="452">
        <f t="shared" si="5"/>
        <v>8.9741126512699956E-2</v>
      </c>
    </row>
    <row r="42" spans="1:32" s="642" customFormat="1">
      <c r="A42" s="636" t="s">
        <v>305</v>
      </c>
      <c r="B42" s="637">
        <v>2020</v>
      </c>
      <c r="C42" s="451">
        <v>12882521.416302867</v>
      </c>
      <c r="D42" s="451">
        <v>-2259621.5342353275</v>
      </c>
      <c r="E42" s="451">
        <v>10622899.882067539</v>
      </c>
      <c r="F42" s="451"/>
      <c r="G42" s="451">
        <v>146874.52531403341</v>
      </c>
      <c r="H42" s="451">
        <v>24233.854761904768</v>
      </c>
      <c r="I42" s="451">
        <v>0</v>
      </c>
      <c r="J42" s="301"/>
      <c r="K42" s="301"/>
      <c r="L42" s="301"/>
      <c r="M42" s="301"/>
      <c r="Q42" s="300">
        <f t="shared" si="2"/>
        <v>171108.38007593818</v>
      </c>
      <c r="S42" s="300">
        <f t="shared" si="8"/>
        <v>15607.658648626475</v>
      </c>
      <c r="T42" s="300">
        <f t="shared" si="9"/>
        <v>17943.997381539131</v>
      </c>
      <c r="U42" s="300">
        <f t="shared" si="10"/>
        <v>45890.927490531765</v>
      </c>
      <c r="V42" s="300">
        <v>24704.733844974267</v>
      </c>
      <c r="W42" s="300">
        <v>84669.328138288605</v>
      </c>
      <c r="X42" s="300">
        <v>188816.64550396026</v>
      </c>
      <c r="Y42" s="643"/>
      <c r="Z42" s="300">
        <v>-11904.637695353918</v>
      </c>
      <c r="AA42" s="258"/>
      <c r="AB42" s="300">
        <v>127709.23992068251</v>
      </c>
      <c r="AC42" s="300">
        <v>348020.38788454456</v>
      </c>
      <c r="AE42" s="452">
        <f t="shared" si="4"/>
        <v>6.9470958200000002E-2</v>
      </c>
      <c r="AF42" s="452">
        <f t="shared" si="5"/>
        <v>8.9741126512699956E-2</v>
      </c>
    </row>
    <row r="43" spans="1:32" s="642" customFormat="1">
      <c r="A43" s="636" t="s">
        <v>306</v>
      </c>
      <c r="B43" s="637">
        <v>2020</v>
      </c>
      <c r="C43" s="451">
        <v>13921343.411822166</v>
      </c>
      <c r="D43" s="451">
        <v>-2463550.2180444761</v>
      </c>
      <c r="E43" s="451">
        <v>11457793.193777692</v>
      </c>
      <c r="F43" s="451"/>
      <c r="G43" s="451">
        <v>160177.47805212866</v>
      </c>
      <c r="H43" s="451">
        <v>25508.376428571435</v>
      </c>
      <c r="I43" s="451">
        <v>0</v>
      </c>
      <c r="J43" s="301"/>
      <c r="K43" s="301"/>
      <c r="L43" s="301"/>
      <c r="M43" s="301"/>
      <c r="Q43" s="300">
        <f t="shared" si="2"/>
        <v>185685.8544807001</v>
      </c>
      <c r="S43" s="300">
        <f t="shared" si="8"/>
        <v>16834.322738644914</v>
      </c>
      <c r="T43" s="300">
        <f t="shared" si="9"/>
        <v>19354.283044165153</v>
      </c>
      <c r="U43" s="300">
        <f t="shared" si="10"/>
        <v>49497.666597119627</v>
      </c>
      <c r="V43" s="300">
        <v>25375.500555522722</v>
      </c>
      <c r="W43" s="300">
        <v>86968.214136253751</v>
      </c>
      <c r="X43" s="300">
        <v>198029.98707170616</v>
      </c>
      <c r="Y43" s="643"/>
      <c r="Z43" s="300">
        <v>-12963.278185683272</v>
      </c>
      <c r="AA43" s="258"/>
      <c r="AB43" s="300">
        <v>127709.23992068251</v>
      </c>
      <c r="AC43" s="300">
        <v>370752.56336672301</v>
      </c>
      <c r="AE43" s="452">
        <f t="shared" si="4"/>
        <v>6.9470958200000016E-2</v>
      </c>
      <c r="AF43" s="452">
        <f t="shared" si="5"/>
        <v>8.9741126512699956E-2</v>
      </c>
    </row>
    <row r="44" spans="1:32" s="642" customFormat="1">
      <c r="A44" s="636" t="s">
        <v>307</v>
      </c>
      <c r="B44" s="637">
        <v>2020</v>
      </c>
      <c r="C44" s="451">
        <v>15437718.479246229</v>
      </c>
      <c r="D44" s="451">
        <v>-2677948.2107003038</v>
      </c>
      <c r="E44" s="451">
        <v>12759770.268545926</v>
      </c>
      <c r="F44" s="451"/>
      <c r="G44" s="451">
        <v>179199.54590927152</v>
      </c>
      <c r="H44" s="451">
        <v>26993.066666666673</v>
      </c>
      <c r="I44" s="451">
        <v>0</v>
      </c>
      <c r="J44" s="301"/>
      <c r="K44" s="301"/>
      <c r="L44" s="301"/>
      <c r="M44" s="301"/>
      <c r="Q44" s="300">
        <f t="shared" si="2"/>
        <v>206192.6125759382</v>
      </c>
      <c r="S44" s="300">
        <f t="shared" si="8"/>
        <v>18747.248020528001</v>
      </c>
      <c r="T44" s="300">
        <f t="shared" si="9"/>
        <v>21553.557581234225</v>
      </c>
      <c r="U44" s="300">
        <f t="shared" si="10"/>
        <v>55122.207560118397</v>
      </c>
      <c r="V44" s="300">
        <v>26418.476525640624</v>
      </c>
      <c r="W44" s="300">
        <v>90542.754757027404</v>
      </c>
      <c r="X44" s="300">
        <v>212384.24444454868</v>
      </c>
      <c r="Y44" s="643"/>
      <c r="Z44" s="300">
        <v>-13823.817181918435</v>
      </c>
      <c r="AA44" s="258"/>
      <c r="AB44" s="300">
        <v>127709.23992068251</v>
      </c>
      <c r="AC44" s="300">
        <v>404753.03983856842</v>
      </c>
      <c r="AE44" s="452">
        <f t="shared" si="4"/>
        <v>6.9470958200000016E-2</v>
      </c>
      <c r="AF44" s="452">
        <f t="shared" si="5"/>
        <v>8.974112651269997E-2</v>
      </c>
    </row>
    <row r="45" spans="1:32" s="642" customFormat="1">
      <c r="A45" s="636" t="s">
        <v>308</v>
      </c>
      <c r="B45" s="637">
        <v>2020</v>
      </c>
      <c r="C45" s="451">
        <v>17958093.257146481</v>
      </c>
      <c r="D45" s="451">
        <v>-2933979.1238234881</v>
      </c>
      <c r="E45" s="451">
        <v>15024114.133322993</v>
      </c>
      <c r="F45" s="451"/>
      <c r="G45" s="451">
        <v>209634.96864736674</v>
      </c>
      <c r="H45" s="451">
        <v>29407.853452380958</v>
      </c>
      <c r="I45" s="451">
        <v>0</v>
      </c>
      <c r="J45" s="301"/>
      <c r="K45" s="301"/>
      <c r="L45" s="301"/>
      <c r="M45" s="301"/>
      <c r="Q45" s="300">
        <f t="shared" si="2"/>
        <v>239042.82209974769</v>
      </c>
      <c r="S45" s="300">
        <f t="shared" si="8"/>
        <v>22074.127356387246</v>
      </c>
      <c r="T45" s="300">
        <f t="shared" si="9"/>
        <v>25378.443519305947</v>
      </c>
      <c r="U45" s="300">
        <f t="shared" si="10"/>
        <v>64904.173055955333</v>
      </c>
      <c r="V45" s="300">
        <v>27937.177045463912</v>
      </c>
      <c r="W45" s="300">
        <v>95747.72290052622</v>
      </c>
      <c r="X45" s="300">
        <v>236041.64387763865</v>
      </c>
      <c r="Y45" s="643"/>
      <c r="Z45" s="300">
        <v>-14297.056601051905</v>
      </c>
      <c r="AA45" s="258"/>
      <c r="AB45" s="300">
        <v>127709.23992068251</v>
      </c>
      <c r="AC45" s="300">
        <v>460787.4093763344</v>
      </c>
      <c r="AE45" s="452">
        <f t="shared" si="4"/>
        <v>6.9470958200000002E-2</v>
      </c>
      <c r="AF45" s="452">
        <f t="shared" si="5"/>
        <v>8.974112651269997E-2</v>
      </c>
    </row>
    <row r="46" spans="1:32" s="642" customFormat="1">
      <c r="A46" s="636" t="s">
        <v>309</v>
      </c>
      <c r="B46" s="637">
        <v>2020</v>
      </c>
      <c r="C46" s="451">
        <v>19042492.786475305</v>
      </c>
      <c r="D46" s="451">
        <v>-3198377.1048747441</v>
      </c>
      <c r="E46" s="451">
        <v>15844115.681600561</v>
      </c>
      <c r="F46" s="451"/>
      <c r="G46" s="451">
        <v>218999.72924260484</v>
      </c>
      <c r="H46" s="451">
        <v>35988.181428571435</v>
      </c>
      <c r="I46" s="451">
        <v>0</v>
      </c>
      <c r="J46" s="301"/>
      <c r="K46" s="301"/>
      <c r="L46" s="301"/>
      <c r="M46" s="301"/>
      <c r="Q46" s="300">
        <f t="shared" si="2"/>
        <v>254987.91067117627</v>
      </c>
      <c r="S46" s="300">
        <f t="shared" si="8"/>
        <v>23278.911774855336</v>
      </c>
      <c r="T46" s="300">
        <f t="shared" si="9"/>
        <v>26763.574302661018</v>
      </c>
      <c r="U46" s="300">
        <f t="shared" si="10"/>
        <v>68446.579744514427</v>
      </c>
      <c r="V46" s="300">
        <v>29240.878123071139</v>
      </c>
      <c r="W46" s="300">
        <v>100215.83395271722</v>
      </c>
      <c r="X46" s="300">
        <v>247945.77789781915</v>
      </c>
      <c r="Y46" s="643"/>
      <c r="Z46" s="300">
        <v>-14575.815674662854</v>
      </c>
      <c r="AA46" s="258"/>
      <c r="AB46" s="300">
        <v>127709.23992068251</v>
      </c>
      <c r="AC46" s="300">
        <v>488357.87289433257</v>
      </c>
      <c r="AE46" s="452">
        <f t="shared" si="4"/>
        <v>6.9470958200000016E-2</v>
      </c>
      <c r="AF46" s="452">
        <f t="shared" si="5"/>
        <v>8.974112651269997E-2</v>
      </c>
    </row>
    <row r="47" spans="1:32" s="642" customFormat="1">
      <c r="A47" s="636" t="s">
        <v>298</v>
      </c>
      <c r="B47" s="637">
        <v>2020</v>
      </c>
      <c r="C47" s="451">
        <v>19969583.504613653</v>
      </c>
      <c r="D47" s="451">
        <v>-3473308.6503173574</v>
      </c>
      <c r="E47" s="451">
        <v>16496274.854296297</v>
      </c>
      <c r="F47" s="451"/>
      <c r="G47" s="451">
        <v>230099.65162355721</v>
      </c>
      <c r="H47" s="451">
        <v>39130.170238095248</v>
      </c>
      <c r="I47" s="451">
        <v>0</v>
      </c>
      <c r="J47" s="301"/>
      <c r="K47" s="301"/>
      <c r="L47" s="301"/>
      <c r="M47" s="301"/>
      <c r="Q47" s="300">
        <f t="shared" si="2"/>
        <v>269229.82186165242</v>
      </c>
      <c r="S47" s="300">
        <f t="shared" si="8"/>
        <v>24237.09436765076</v>
      </c>
      <c r="T47" s="300">
        <f t="shared" si="9"/>
        <v>27865.188985762165</v>
      </c>
      <c r="U47" s="300">
        <f t="shared" si="10"/>
        <v>71263.907370560002</v>
      </c>
      <c r="V47" s="300">
        <v>30713.874345756907</v>
      </c>
      <c r="W47" s="300">
        <v>105264.16199007483</v>
      </c>
      <c r="X47" s="300">
        <v>259344.22705980466</v>
      </c>
      <c r="Y47" s="643"/>
      <c r="Z47" s="300">
        <v>-15042.089751929667</v>
      </c>
      <c r="AA47" s="258"/>
      <c r="AB47" s="300">
        <v>127709.23992068251</v>
      </c>
      <c r="AC47" s="300">
        <v>513531.9591695274</v>
      </c>
      <c r="AE47" s="452">
        <f t="shared" si="4"/>
        <v>6.9470958200000002E-2</v>
      </c>
      <c r="AF47" s="452">
        <f t="shared" si="5"/>
        <v>8.9741126512699956E-2</v>
      </c>
    </row>
    <row r="48" spans="1:32" s="642" customFormat="1">
      <c r="A48" s="636" t="s">
        <v>299</v>
      </c>
      <c r="B48" s="637">
        <v>2020</v>
      </c>
      <c r="C48" s="451">
        <v>20454400.896561526</v>
      </c>
      <c r="D48" s="451">
        <v>-3734307.8320935778</v>
      </c>
      <c r="E48" s="451">
        <v>16720093.064467948</v>
      </c>
      <c r="F48" s="451"/>
      <c r="G48" s="451">
        <v>236351.99733784291</v>
      </c>
      <c r="H48" s="451">
        <v>41962.730714285724</v>
      </c>
      <c r="I48" s="451">
        <v>0</v>
      </c>
      <c r="J48" s="301"/>
      <c r="K48" s="301"/>
      <c r="L48" s="301"/>
      <c r="M48" s="301"/>
      <c r="Q48" s="300">
        <f t="shared" si="2"/>
        <v>278314.72805212863</v>
      </c>
      <c r="S48" s="300">
        <f t="shared" si="8"/>
        <v>24565.938493312024</v>
      </c>
      <c r="T48" s="300">
        <f t="shared" si="9"/>
        <v>28243.258385064382</v>
      </c>
      <c r="U48" s="300">
        <f t="shared" si="10"/>
        <v>72230.802038501541</v>
      </c>
      <c r="V48" s="300">
        <v>32245.132555794247</v>
      </c>
      <c r="W48" s="300">
        <v>110512.16849213537</v>
      </c>
      <c r="X48" s="300">
        <v>267797.29996480758</v>
      </c>
      <c r="Y48" s="643"/>
      <c r="Z48" s="300">
        <v>-15885.03289370377</v>
      </c>
      <c r="AA48" s="258"/>
      <c r="AB48" s="300">
        <v>127709.23992068251</v>
      </c>
      <c r="AC48" s="300">
        <v>530226.99512323248</v>
      </c>
      <c r="AE48" s="452">
        <f t="shared" si="4"/>
        <v>6.9470958200000002E-2</v>
      </c>
      <c r="AF48" s="452">
        <f t="shared" si="5"/>
        <v>8.974112651269997E-2</v>
      </c>
    </row>
    <row r="49" spans="1:32" s="642" customFormat="1">
      <c r="A49" s="636" t="s">
        <v>300</v>
      </c>
      <c r="B49" s="637">
        <v>2020</v>
      </c>
      <c r="C49" s="451">
        <v>20923976.284223683</v>
      </c>
      <c r="D49" s="451">
        <v>-3970693.0566445831</v>
      </c>
      <c r="E49" s="451">
        <v>16953283.227579102</v>
      </c>
      <c r="F49" s="451"/>
      <c r="G49" s="451">
        <v>242905.3172187953</v>
      </c>
      <c r="H49" s="451">
        <v>44420.135119047627</v>
      </c>
      <c r="I49" s="451">
        <v>0</v>
      </c>
      <c r="J49" s="301"/>
      <c r="K49" s="301"/>
      <c r="L49" s="301"/>
      <c r="M49" s="301"/>
      <c r="Q49" s="300">
        <f t="shared" si="2"/>
        <v>287325.4523378429</v>
      </c>
      <c r="S49" s="300">
        <f t="shared" si="8"/>
        <v>24908.552328184021</v>
      </c>
      <c r="T49" s="300">
        <f t="shared" si="9"/>
        <v>28637.158706325135</v>
      </c>
      <c r="U49" s="300">
        <f t="shared" si="10"/>
        <v>73238.183543141728</v>
      </c>
      <c r="V49" s="300">
        <v>33453.870867814498</v>
      </c>
      <c r="W49" s="300">
        <v>114654.81829423326</v>
      </c>
      <c r="X49" s="300">
        <v>274892.58373969863</v>
      </c>
      <c r="Y49" s="643"/>
      <c r="Z49" s="300">
        <v>-16911.781663191119</v>
      </c>
      <c r="AA49" s="258"/>
      <c r="AB49" s="300">
        <v>127709.23992068251</v>
      </c>
      <c r="AC49" s="300">
        <v>545306.25441435038</v>
      </c>
      <c r="AE49" s="452">
        <f t="shared" si="4"/>
        <v>6.9470958200000002E-2</v>
      </c>
      <c r="AF49" s="452">
        <f t="shared" si="5"/>
        <v>8.974112651269997E-2</v>
      </c>
    </row>
    <row r="50" spans="1:32" s="642" customFormat="1" outlineLevel="1">
      <c r="A50" s="636" t="s">
        <v>301</v>
      </c>
      <c r="B50" s="637">
        <v>2021</v>
      </c>
      <c r="C50" s="451">
        <v>21533399.985219173</v>
      </c>
      <c r="D50" s="451">
        <v>-4207913.8720280891</v>
      </c>
      <c r="E50" s="451">
        <v>17325486.113191083</v>
      </c>
      <c r="F50" s="451"/>
      <c r="G50" s="451">
        <v>250236.80007593817</v>
      </c>
      <c r="H50" s="451">
        <v>47892.858928571433</v>
      </c>
      <c r="I50" s="451">
        <v>0</v>
      </c>
      <c r="J50" s="301"/>
      <c r="K50" s="301"/>
      <c r="L50" s="301"/>
      <c r="M50" s="301"/>
      <c r="Q50" s="300">
        <f t="shared" si="2"/>
        <v>298129.65900450962</v>
      </c>
      <c r="S50" s="300">
        <f t="shared" si="8"/>
        <v>25455.410121362704</v>
      </c>
      <c r="T50" s="300">
        <f t="shared" si="9"/>
        <v>29265.876634477423</v>
      </c>
      <c r="U50" s="300">
        <f t="shared" si="10"/>
        <v>74846.100008985479</v>
      </c>
      <c r="V50" s="300">
        <v>34735.11602796807</v>
      </c>
      <c r="W50" s="300">
        <v>119045.96727690911</v>
      </c>
      <c r="X50" s="300">
        <v>283348.47006970277</v>
      </c>
      <c r="Y50" s="643"/>
      <c r="Z50" s="300">
        <v>-17740.296322178445</v>
      </c>
      <c r="AA50" s="258"/>
      <c r="AB50" s="300">
        <v>151123.8504516363</v>
      </c>
      <c r="AC50" s="300">
        <v>563737.83275203395</v>
      </c>
      <c r="AE50" s="452">
        <f t="shared" si="4"/>
        <v>6.9470958200000002E-2</v>
      </c>
      <c r="AF50" s="452">
        <f t="shared" si="5"/>
        <v>8.974112651269997E-2</v>
      </c>
    </row>
    <row r="51" spans="1:32" s="642" customFormat="1" outlineLevel="1">
      <c r="A51" s="636" t="s">
        <v>302</v>
      </c>
      <c r="B51" s="637">
        <v>2021</v>
      </c>
      <c r="C51" s="451">
        <v>21839354.849428948</v>
      </c>
      <c r="D51" s="451">
        <v>-4448273.9437771309</v>
      </c>
      <c r="E51" s="451">
        <v>17391080.905651815</v>
      </c>
      <c r="F51" s="451"/>
      <c r="G51" s="451">
        <v>255200.6191235572</v>
      </c>
      <c r="H51" s="451">
        <v>50207.166666666672</v>
      </c>
      <c r="I51" s="451">
        <v>0</v>
      </c>
      <c r="J51" s="301"/>
      <c r="K51" s="301"/>
      <c r="L51" s="301"/>
      <c r="M51" s="301"/>
      <c r="Q51" s="300">
        <f t="shared" si="2"/>
        <v>305407.78579022386</v>
      </c>
      <c r="S51" s="300">
        <f t="shared" si="8"/>
        <v>25551.785041697109</v>
      </c>
      <c r="T51" s="300">
        <f t="shared" si="9"/>
        <v>29376.678091445396</v>
      </c>
      <c r="U51" s="300">
        <f t="shared" si="10"/>
        <v>75129.469512415846</v>
      </c>
      <c r="V51" s="300">
        <v>36110.154398780585</v>
      </c>
      <c r="W51" s="300">
        <v>123758.5691511749</v>
      </c>
      <c r="X51" s="300">
        <v>289926.65619551385</v>
      </c>
      <c r="Y51" s="643"/>
      <c r="Z51" s="300">
        <v>-18181.378236195018</v>
      </c>
      <c r="AA51" s="258"/>
      <c r="AB51" s="300">
        <v>151123.8504516363</v>
      </c>
      <c r="AC51" s="300">
        <v>577153.06374954269</v>
      </c>
      <c r="AE51" s="452">
        <f t="shared" si="4"/>
        <v>6.9470958200000002E-2</v>
      </c>
      <c r="AF51" s="452">
        <f t="shared" si="5"/>
        <v>8.974112651269997E-2</v>
      </c>
    </row>
    <row r="52" spans="1:32" s="642" customFormat="1" outlineLevel="1">
      <c r="A52" s="636" t="s">
        <v>303</v>
      </c>
      <c r="B52" s="637">
        <v>2021</v>
      </c>
      <c r="C52" s="451">
        <v>23276315.186614916</v>
      </c>
      <c r="D52" s="451">
        <v>-4704566.6512200292</v>
      </c>
      <c r="E52" s="451">
        <v>18571748.535394885</v>
      </c>
      <c r="F52" s="451"/>
      <c r="G52" s="451">
        <v>272938.08650450956</v>
      </c>
      <c r="H52" s="451">
        <v>53462.086309523816</v>
      </c>
      <c r="I52" s="451">
        <v>0</v>
      </c>
      <c r="J52" s="301"/>
      <c r="K52" s="301"/>
      <c r="L52" s="301"/>
      <c r="M52" s="301"/>
      <c r="Q52" s="300">
        <f t="shared" si="2"/>
        <v>326400.17281403334</v>
      </c>
      <c r="S52" s="300">
        <f t="shared" si="8"/>
        <v>27286.476844038203</v>
      </c>
      <c r="T52" s="300">
        <f t="shared" si="9"/>
        <v>31371.039056132773</v>
      </c>
      <c r="U52" s="300">
        <f t="shared" si="10"/>
        <v>80229.953672905904</v>
      </c>
      <c r="V52" s="300">
        <v>36965.361296472285</v>
      </c>
      <c r="W52" s="300">
        <v>126689.57799754289</v>
      </c>
      <c r="X52" s="300">
        <v>302542.40886709205</v>
      </c>
      <c r="Y52" s="643"/>
      <c r="Z52" s="300">
        <v>-18427.846083063632</v>
      </c>
      <c r="AA52" s="258"/>
      <c r="AB52" s="300">
        <v>151123.8504516363</v>
      </c>
      <c r="AC52" s="300">
        <v>610514.7355980617</v>
      </c>
      <c r="AE52" s="452">
        <f t="shared" si="4"/>
        <v>6.9470958200000002E-2</v>
      </c>
      <c r="AF52" s="452">
        <f t="shared" si="5"/>
        <v>8.9741126512699956E-2</v>
      </c>
    </row>
    <row r="53" spans="1:32" s="642" customFormat="1" outlineLevel="1">
      <c r="A53" s="636" t="s">
        <v>304</v>
      </c>
      <c r="B53" s="637">
        <v>2021</v>
      </c>
      <c r="C53" s="451">
        <v>23837026.157729451</v>
      </c>
      <c r="D53" s="451">
        <v>-4956919.2614150001</v>
      </c>
      <c r="E53" s="451">
        <v>18880106.896314453</v>
      </c>
      <c r="F53" s="451"/>
      <c r="G53" s="451">
        <v>280633.76674260478</v>
      </c>
      <c r="H53" s="451">
        <v>56454.492142857147</v>
      </c>
      <c r="I53" s="451">
        <v>0</v>
      </c>
      <c r="J53" s="301"/>
      <c r="K53" s="301"/>
      <c r="L53" s="301"/>
      <c r="M53" s="301"/>
      <c r="Q53" s="300">
        <f t="shared" si="2"/>
        <v>337088.25888546195</v>
      </c>
      <c r="S53" s="300">
        <f t="shared" si="8"/>
        <v>27739.531291704323</v>
      </c>
      <c r="T53" s="300">
        <f t="shared" si="9"/>
        <v>31891.912045838435</v>
      </c>
      <c r="U53" s="300">
        <f t="shared" si="10"/>
        <v>81562.061792078443</v>
      </c>
      <c r="V53" s="300">
        <v>37604.859042679876</v>
      </c>
      <c r="W53" s="300">
        <v>128881.29740067913</v>
      </c>
      <c r="X53" s="300">
        <v>307679.66157298023</v>
      </c>
      <c r="Y53" s="643"/>
      <c r="Z53" s="300">
        <v>-18861.694655903568</v>
      </c>
      <c r="AA53" s="258"/>
      <c r="AB53" s="300">
        <v>151123.8504516363</v>
      </c>
      <c r="AC53" s="300">
        <v>625906.22580253868</v>
      </c>
      <c r="AE53" s="452">
        <f t="shared" si="4"/>
        <v>6.9470958200000002E-2</v>
      </c>
      <c r="AF53" s="452">
        <f t="shared" si="5"/>
        <v>8.9741126512699956E-2</v>
      </c>
    </row>
    <row r="54" spans="1:32" s="642" customFormat="1" outlineLevel="1">
      <c r="A54" s="636" t="s">
        <v>305</v>
      </c>
      <c r="B54" s="637">
        <v>2021</v>
      </c>
      <c r="C54" s="451">
        <v>24834842.836820178</v>
      </c>
      <c r="D54" s="451">
        <v>-5215888.2710431535</v>
      </c>
      <c r="E54" s="451">
        <v>19618954.565777026</v>
      </c>
      <c r="F54" s="451"/>
      <c r="G54" s="451">
        <v>293506.05936165241</v>
      </c>
      <c r="H54" s="451">
        <v>59665.391547619052</v>
      </c>
      <c r="I54" s="451">
        <v>0</v>
      </c>
      <c r="J54" s="301"/>
      <c r="K54" s="301"/>
      <c r="L54" s="301"/>
      <c r="M54" s="301"/>
      <c r="Q54" s="300">
        <f t="shared" si="2"/>
        <v>353171.45090927149</v>
      </c>
      <c r="S54" s="300">
        <f t="shared" si="8"/>
        <v>28825.080656409493</v>
      </c>
      <c r="T54" s="300">
        <f t="shared" si="9"/>
        <v>33139.95926395947</v>
      </c>
      <c r="U54" s="300">
        <f t="shared" si="10"/>
        <v>84753.883724156753</v>
      </c>
      <c r="V54" s="300">
        <v>38892.503309159889</v>
      </c>
      <c r="W54" s="300">
        <v>133294.37772804161</v>
      </c>
      <c r="X54" s="300">
        <v>318905.8046817272</v>
      </c>
      <c r="Y54" s="643"/>
      <c r="Z54" s="300">
        <v>-19672.077457194882</v>
      </c>
      <c r="AA54" s="258"/>
      <c r="AB54" s="300">
        <v>151123.8504516363</v>
      </c>
      <c r="AC54" s="300">
        <v>652405.17813380389</v>
      </c>
      <c r="AE54" s="452">
        <f t="shared" si="4"/>
        <v>6.9470958200000002E-2</v>
      </c>
      <c r="AF54" s="452">
        <f t="shared" si="5"/>
        <v>8.9741126512699942E-2</v>
      </c>
    </row>
    <row r="55" spans="1:32" s="642" customFormat="1" outlineLevel="1">
      <c r="A55" s="636" t="s">
        <v>306</v>
      </c>
      <c r="B55" s="637">
        <v>2021</v>
      </c>
      <c r="C55" s="451">
        <v>25296325.693768047</v>
      </c>
      <c r="D55" s="451">
        <v>-5462727.3524251999</v>
      </c>
      <c r="E55" s="451">
        <v>19833598.341342848</v>
      </c>
      <c r="F55" s="451"/>
      <c r="G55" s="451">
        <v>299613.45400450955</v>
      </c>
      <c r="H55" s="451">
        <v>63373.109047619051</v>
      </c>
      <c r="I55" s="451">
        <v>0</v>
      </c>
      <c r="J55" s="301"/>
      <c r="K55" s="301"/>
      <c r="L55" s="301"/>
      <c r="M55" s="301"/>
      <c r="Q55" s="300">
        <f t="shared" si="2"/>
        <v>362986.56305212859</v>
      </c>
      <c r="S55" s="300">
        <f t="shared" si="8"/>
        <v>29140.445275983759</v>
      </c>
      <c r="T55" s="300">
        <f t="shared" si="9"/>
        <v>33502.53138545886</v>
      </c>
      <c r="U55" s="300">
        <f t="shared" si="10"/>
        <v>85681.144834601102</v>
      </c>
      <c r="V55" s="300">
        <v>40189.069338196474</v>
      </c>
      <c r="W55" s="300">
        <v>137738.03517662364</v>
      </c>
      <c r="X55" s="300">
        <v>326251.22601086384</v>
      </c>
      <c r="Y55" s="643"/>
      <c r="Z55" s="300">
        <v>-20666.130489450275</v>
      </c>
      <c r="AA55" s="258"/>
      <c r="AB55" s="300">
        <v>151123.8504516363</v>
      </c>
      <c r="AC55" s="300">
        <v>668571.65857354214</v>
      </c>
      <c r="AE55" s="452">
        <f t="shared" si="4"/>
        <v>6.9470958200000002E-2</v>
      </c>
      <c r="AF55" s="452">
        <f t="shared" si="5"/>
        <v>8.974112651269997E-2</v>
      </c>
    </row>
    <row r="56" spans="1:32" s="642" customFormat="1" outlineLevel="1">
      <c r="A56" s="636" t="s">
        <v>307</v>
      </c>
      <c r="B56" s="637">
        <v>2021</v>
      </c>
      <c r="C56" s="451">
        <v>25303734.429989144</v>
      </c>
      <c r="D56" s="451">
        <v>-5676741.8968882374</v>
      </c>
      <c r="E56" s="451">
        <v>19626992.533100907</v>
      </c>
      <c r="F56" s="451"/>
      <c r="G56" s="451">
        <v>300917.07103877893</v>
      </c>
      <c r="H56" s="451">
        <v>66532.085980496966</v>
      </c>
      <c r="I56" s="451">
        <v>0</v>
      </c>
      <c r="J56" s="301"/>
      <c r="K56" s="301"/>
      <c r="L56" s="301"/>
      <c r="M56" s="301"/>
      <c r="Q56" s="300">
        <f t="shared" si="2"/>
        <v>367449.15701927588</v>
      </c>
      <c r="S56" s="300">
        <f t="shared" si="8"/>
        <v>28836.890411901186</v>
      </c>
      <c r="T56" s="300">
        <f t="shared" si="9"/>
        <v>33153.536843171729</v>
      </c>
      <c r="U56" s="300">
        <f t="shared" si="10"/>
        <v>84788.607742995911</v>
      </c>
      <c r="V56" s="300">
        <v>40626.748200890703</v>
      </c>
      <c r="W56" s="300">
        <v>139238.0705737744</v>
      </c>
      <c r="X56" s="300">
        <v>326643.85377273394</v>
      </c>
      <c r="Y56" s="643"/>
      <c r="Z56" s="300">
        <v>-21461.813451431652</v>
      </c>
      <c r="AA56" s="258"/>
      <c r="AB56" s="300">
        <v>151123.8504516363</v>
      </c>
      <c r="AC56" s="300">
        <v>672631.19734057819</v>
      </c>
      <c r="AE56" s="452">
        <f t="shared" si="4"/>
        <v>6.9470958200000002E-2</v>
      </c>
      <c r="AF56" s="452">
        <f t="shared" si="5"/>
        <v>8.9741126512699956E-2</v>
      </c>
    </row>
    <row r="57" spans="1:32" s="642" customFormat="1" outlineLevel="1">
      <c r="A57" s="636" t="s">
        <v>308</v>
      </c>
      <c r="B57" s="637">
        <v>2021</v>
      </c>
      <c r="C57" s="451">
        <v>30958742.488861509</v>
      </c>
      <c r="D57" s="451">
        <v>-5948496.3170872126</v>
      </c>
      <c r="E57" s="451">
        <v>25010246.171774298</v>
      </c>
      <c r="F57" s="451"/>
      <c r="G57" s="451">
        <v>303758.12315377843</v>
      </c>
      <c r="H57" s="451">
        <v>136250.75935816788</v>
      </c>
      <c r="I57" s="451">
        <v>0</v>
      </c>
      <c r="J57" s="301"/>
      <c r="K57" s="301"/>
      <c r="L57" s="301"/>
      <c r="M57" s="301"/>
      <c r="Q57" s="300">
        <f t="shared" si="2"/>
        <v>440008.88251194631</v>
      </c>
      <c r="S57" s="300">
        <f t="shared" si="8"/>
        <v>36746.217068855221</v>
      </c>
      <c r="T57" s="300">
        <f t="shared" si="9"/>
        <v>42246.824953660405</v>
      </c>
      <c r="U57" s="300">
        <f t="shared" si="10"/>
        <v>108044.26346206496</v>
      </c>
      <c r="V57" s="300">
        <v>41274.96972078587</v>
      </c>
      <c r="W57" s="300">
        <v>141459.68854054599</v>
      </c>
      <c r="X57" s="300">
        <v>369771.96374591242</v>
      </c>
      <c r="Y57" s="643"/>
      <c r="Z57" s="300">
        <v>-21869.92714330223</v>
      </c>
      <c r="AA57" s="258"/>
      <c r="AB57" s="300">
        <v>151123.8504516363</v>
      </c>
      <c r="AC57" s="300">
        <v>787910.91911455651</v>
      </c>
      <c r="AE57" s="452">
        <f t="shared" si="4"/>
        <v>6.9470958200000002E-2</v>
      </c>
      <c r="AF57" s="452">
        <f t="shared" si="5"/>
        <v>8.9741126512699942E-2</v>
      </c>
    </row>
    <row r="58" spans="1:32" s="642" customFormat="1" outlineLevel="1">
      <c r="A58" s="636" t="s">
        <v>309</v>
      </c>
      <c r="B58" s="637">
        <v>2021</v>
      </c>
      <c r="C58" s="451">
        <v>30805011.050328441</v>
      </c>
      <c r="D58" s="451">
        <v>-6194692.8821308725</v>
      </c>
      <c r="E58" s="451">
        <v>24610318.168197569</v>
      </c>
      <c r="F58" s="451"/>
      <c r="G58" s="451">
        <v>304386.33403157128</v>
      </c>
      <c r="H58" s="451">
        <v>139071.67431144585</v>
      </c>
      <c r="I58" s="451">
        <v>0</v>
      </c>
      <c r="J58" s="301"/>
      <c r="K58" s="301"/>
      <c r="L58" s="301"/>
      <c r="M58" s="301"/>
      <c r="Q58" s="300">
        <f t="shared" si="2"/>
        <v>443458.00834301714</v>
      </c>
      <c r="S58" s="300">
        <f t="shared" si="8"/>
        <v>36158.624242682657</v>
      </c>
      <c r="T58" s="300">
        <f t="shared" si="9"/>
        <v>41571.274291538539</v>
      </c>
      <c r="U58" s="300">
        <f t="shared" si="10"/>
        <v>106316.57448661349</v>
      </c>
      <c r="V58" s="300">
        <v>41057.269667153712</v>
      </c>
      <c r="W58" s="300">
        <v>140713.57577558476</v>
      </c>
      <c r="X58" s="300">
        <v>365817.31846357312</v>
      </c>
      <c r="Y58" s="643"/>
      <c r="Z58" s="300">
        <v>-22083.289675167751</v>
      </c>
      <c r="AA58" s="258"/>
      <c r="AB58" s="300">
        <v>151123.8504516363</v>
      </c>
      <c r="AC58" s="300">
        <v>787192.03713142243</v>
      </c>
      <c r="AE58" s="452">
        <f t="shared" si="4"/>
        <v>6.9470958200000002E-2</v>
      </c>
      <c r="AF58" s="452">
        <f t="shared" si="5"/>
        <v>8.9741126512699942E-2</v>
      </c>
    </row>
    <row r="59" spans="1:32" s="642" customFormat="1" outlineLevel="1">
      <c r="A59" s="636" t="s">
        <v>298</v>
      </c>
      <c r="B59" s="637">
        <v>2021</v>
      </c>
      <c r="C59" s="451">
        <v>30466000.165905081</v>
      </c>
      <c r="D59" s="451">
        <v>-6414988.0544190425</v>
      </c>
      <c r="E59" s="451">
        <v>24051012.11148604</v>
      </c>
      <c r="F59" s="451"/>
      <c r="G59" s="451">
        <v>304867.13865306228</v>
      </c>
      <c r="H59" s="451">
        <v>139849.26877332421</v>
      </c>
      <c r="I59" s="451">
        <v>0</v>
      </c>
      <c r="J59" s="301"/>
      <c r="K59" s="301"/>
      <c r="L59" s="301"/>
      <c r="M59" s="301"/>
      <c r="Q59" s="300">
        <f t="shared" si="2"/>
        <v>444716.40742638649</v>
      </c>
      <c r="S59" s="300">
        <f t="shared" si="8"/>
        <v>35336.865767108677</v>
      </c>
      <c r="T59" s="300">
        <f t="shared" si="9"/>
        <v>40626.505299217271</v>
      </c>
      <c r="U59" s="300">
        <f t="shared" si="10"/>
        <v>103900.3723216197</v>
      </c>
      <c r="V59" s="300">
        <v>40437.914573008333</v>
      </c>
      <c r="W59" s="300">
        <v>138590.89030042902</v>
      </c>
      <c r="X59" s="300">
        <v>358892.54826138297</v>
      </c>
      <c r="Y59" s="643"/>
      <c r="Z59" s="300">
        <v>-22483.895270069712</v>
      </c>
      <c r="AA59" s="258"/>
      <c r="AB59" s="300">
        <v>151123.8504516363</v>
      </c>
      <c r="AC59" s="300">
        <v>781125.06041769974</v>
      </c>
      <c r="AE59" s="452">
        <f t="shared" si="4"/>
        <v>6.9470958200000002E-2</v>
      </c>
      <c r="AF59" s="452">
        <f t="shared" si="5"/>
        <v>8.9741126512699956E-2</v>
      </c>
    </row>
    <row r="60" spans="1:32" s="642" customFormat="1" outlineLevel="1">
      <c r="A60" s="636" t="s">
        <v>299</v>
      </c>
      <c r="B60" s="637">
        <v>2021</v>
      </c>
      <c r="C60" s="451">
        <v>32513441.401679382</v>
      </c>
      <c r="D60" s="451">
        <v>-6668048.701145879</v>
      </c>
      <c r="E60" s="451">
        <v>25845392.700533502</v>
      </c>
      <c r="F60" s="451"/>
      <c r="G60" s="451">
        <v>305236.54584972397</v>
      </c>
      <c r="H60" s="451">
        <v>169505.85727787559</v>
      </c>
      <c r="I60" s="451">
        <v>0</v>
      </c>
      <c r="J60" s="301"/>
      <c r="K60" s="301"/>
      <c r="L60" s="301"/>
      <c r="M60" s="301"/>
      <c r="Q60" s="300">
        <f t="shared" si="2"/>
        <v>474742.40312759957</v>
      </c>
      <c r="S60" s="300">
        <f t="shared" si="8"/>
        <v>37973.253197140941</v>
      </c>
      <c r="T60" s="300">
        <f t="shared" si="9"/>
        <v>43657.538345636756</v>
      </c>
      <c r="U60" s="300">
        <f t="shared" si="10"/>
        <v>111652.09646630473</v>
      </c>
      <c r="V60" s="300">
        <v>39952.568044673819</v>
      </c>
      <c r="W60" s="300">
        <v>136927.4858401258</v>
      </c>
      <c r="X60" s="300">
        <v>370162.94189388206</v>
      </c>
      <c r="Y60" s="643"/>
      <c r="Z60" s="300">
        <v>-23260.896858039796</v>
      </c>
      <c r="AA60" s="258"/>
      <c r="AB60" s="300">
        <v>151123.8504516363</v>
      </c>
      <c r="AC60" s="300">
        <v>821644.44816344185</v>
      </c>
      <c r="AE60" s="452">
        <f t="shared" si="4"/>
        <v>6.9470958200000002E-2</v>
      </c>
      <c r="AF60" s="452">
        <f t="shared" si="5"/>
        <v>8.974112651269997E-2</v>
      </c>
    </row>
    <row r="61" spans="1:32" s="642" customFormat="1" outlineLevel="1">
      <c r="A61" s="636" t="s">
        <v>300</v>
      </c>
      <c r="B61" s="637">
        <v>2021</v>
      </c>
      <c r="C61" s="451">
        <v>36161185.194999941</v>
      </c>
      <c r="D61" s="451">
        <v>-6987149.8519478776</v>
      </c>
      <c r="E61" s="451">
        <v>29174035.343052067</v>
      </c>
      <c r="F61" s="451"/>
      <c r="G61" s="451">
        <v>305378.95217778906</v>
      </c>
      <c r="H61" s="451">
        <v>219031.95934075219</v>
      </c>
      <c r="I61" s="451">
        <v>0</v>
      </c>
      <c r="J61" s="301"/>
      <c r="K61" s="301"/>
      <c r="L61" s="301"/>
      <c r="M61" s="301"/>
      <c r="Q61" s="300">
        <f t="shared" si="2"/>
        <v>524410.91151854128</v>
      </c>
      <c r="S61" s="300">
        <f>E61*(('Capital Structure '!$T$15+'Capital Structure '!$T$16)/12)</f>
        <v>40260.168773411853</v>
      </c>
      <c r="T61" s="300">
        <f t="shared" si="9"/>
        <v>49280.217230360227</v>
      </c>
      <c r="U61" s="300">
        <f>E61*('Capital Structure '!$T$18/12)</f>
        <v>126031.83268198493</v>
      </c>
      <c r="V61" s="300">
        <v>39175.718844064439</v>
      </c>
      <c r="W61" s="300">
        <v>132195.210597</v>
      </c>
      <c r="X61" s="300">
        <v>386943.1481268215</v>
      </c>
      <c r="Y61" s="643"/>
      <c r="Z61" s="300">
        <v>-24221.429866761897</v>
      </c>
      <c r="AA61" s="258"/>
      <c r="AB61" s="300">
        <v>151123.8504516363</v>
      </c>
      <c r="AC61" s="300">
        <v>887132.62977860088</v>
      </c>
      <c r="AE61" s="452">
        <f t="shared" si="4"/>
        <v>6.8400000000000002E-2</v>
      </c>
      <c r="AF61" s="452">
        <f t="shared" si="5"/>
        <v>8.8670168312699957E-2</v>
      </c>
    </row>
    <row r="62" spans="1:32" s="642" customFormat="1" outlineLevel="1">
      <c r="A62" s="636" t="s">
        <v>301</v>
      </c>
      <c r="B62" s="637">
        <v>2022</v>
      </c>
      <c r="C62" s="451">
        <v>35673134.538124256</v>
      </c>
      <c r="D62" s="451">
        <v>-7285730.4231892321</v>
      </c>
      <c r="E62" s="451">
        <v>28387404.114935022</v>
      </c>
      <c r="F62" s="451"/>
      <c r="G62" s="451">
        <v>304939.80253493192</v>
      </c>
      <c r="H62" s="451">
        <v>219909.1843407522</v>
      </c>
      <c r="I62" s="451">
        <v>0</v>
      </c>
      <c r="J62" s="301"/>
      <c r="K62" s="301"/>
      <c r="L62" s="301"/>
      <c r="M62" s="301"/>
      <c r="Q62" s="300">
        <f t="shared" si="2"/>
        <v>524848.98687568412</v>
      </c>
      <c r="S62" s="300">
        <f>E62*(('Capital Structure '!$T$15+'Capital Structure '!$T$16)/12)</f>
        <v>39174.617678610331</v>
      </c>
      <c r="T62" s="300">
        <f t="shared" ref="T62:T72" si="11">E62*($AA$16/12)</f>
        <v>47951.454947530365</v>
      </c>
      <c r="U62" s="300">
        <f>E62*('Capital Structure '!$T$18/12)</f>
        <v>122633.58577651929</v>
      </c>
      <c r="V62" s="300">
        <v>38399.656649631608</v>
      </c>
      <c r="W62" s="300">
        <v>129576.45315600002</v>
      </c>
      <c r="X62" s="300">
        <v>377735.76820829161</v>
      </c>
      <c r="Y62" s="643"/>
      <c r="Z62" s="300">
        <v>-24031.489460706991</v>
      </c>
      <c r="AA62" s="258"/>
      <c r="AB62" s="300">
        <v>47946.022789301998</v>
      </c>
      <c r="AC62" s="300">
        <v>878553.26562326867</v>
      </c>
      <c r="AE62" s="452">
        <f t="shared" si="4"/>
        <v>6.8400000000000002E-2</v>
      </c>
      <c r="AF62" s="452">
        <f t="shared" si="5"/>
        <v>8.8670168312699957E-2</v>
      </c>
    </row>
    <row r="63" spans="1:32" s="642" customFormat="1" outlineLevel="1">
      <c r="A63" s="636" t="s">
        <v>302</v>
      </c>
      <c r="B63" s="637">
        <v>2022</v>
      </c>
      <c r="C63" s="451">
        <v>35385885.550653331</v>
      </c>
      <c r="D63" s="451">
        <v>-7574817.970848267</v>
      </c>
      <c r="E63" s="451">
        <v>27811067.579805065</v>
      </c>
      <c r="F63" s="451"/>
      <c r="G63" s="451">
        <v>305005.57932541106</v>
      </c>
      <c r="H63" s="451">
        <v>222706.05814551111</v>
      </c>
      <c r="I63" s="451">
        <v>0</v>
      </c>
      <c r="J63" s="301"/>
      <c r="K63" s="301"/>
      <c r="L63" s="301"/>
      <c r="M63" s="301"/>
      <c r="Q63" s="300">
        <f t="shared" si="2"/>
        <v>527711.6374709222</v>
      </c>
      <c r="S63" s="300">
        <f>E63*(('Capital Structure '!$T$15+'Capital Structure '!$T$16)/12)</f>
        <v>38379.273260130991</v>
      </c>
      <c r="T63" s="300">
        <f t="shared" si="11"/>
        <v>46977.91839987682</v>
      </c>
      <c r="U63" s="300">
        <f>E63*('Capital Structure '!$T$18/12)</f>
        <v>120143.81194475788</v>
      </c>
      <c r="V63" s="300">
        <v>37615.836808408407</v>
      </c>
      <c r="W63" s="300">
        <v>126931.51818</v>
      </c>
      <c r="X63" s="300">
        <v>370048.35859317408</v>
      </c>
      <c r="Y63" s="643"/>
      <c r="Z63" s="300">
        <v>-23840.759219130243</v>
      </c>
      <c r="AA63" s="258"/>
      <c r="AB63" s="300">
        <v>47946.022789301998</v>
      </c>
      <c r="AC63" s="300">
        <v>873919.23684496596</v>
      </c>
      <c r="AE63" s="452">
        <f t="shared" si="4"/>
        <v>6.8399999999999989E-2</v>
      </c>
      <c r="AF63" s="452">
        <f t="shared" si="5"/>
        <v>8.8670168312699957E-2</v>
      </c>
    </row>
    <row r="64" spans="1:32" s="642" customFormat="1" outlineLevel="1">
      <c r="A64" s="636" t="s">
        <v>303</v>
      </c>
      <c r="B64" s="637">
        <v>2022</v>
      </c>
      <c r="C64" s="451">
        <v>37659324.994968124</v>
      </c>
      <c r="D64" s="451">
        <v>-7879519.5384947658</v>
      </c>
      <c r="E64" s="451">
        <v>29779805.456473358</v>
      </c>
      <c r="F64" s="451"/>
      <c r="G64" s="451">
        <v>304827.29497628449</v>
      </c>
      <c r="H64" s="451">
        <v>256633.15070892341</v>
      </c>
      <c r="I64" s="451">
        <v>0</v>
      </c>
      <c r="J64" s="301"/>
      <c r="K64" s="301"/>
      <c r="L64" s="301"/>
      <c r="M64" s="301"/>
      <c r="Q64" s="300">
        <f t="shared" si="2"/>
        <v>561460.44568520784</v>
      </c>
      <c r="S64" s="300">
        <f>E64*(('Capital Structure '!$T$15+'Capital Structure '!$T$16)/12)</f>
        <v>41096.131529933235</v>
      </c>
      <c r="T64" s="300">
        <f t="shared" si="11"/>
        <v>50303.472410181304</v>
      </c>
      <c r="U64" s="300">
        <f>E64*('Capital Structure '!$T$18/12)</f>
        <v>128648.75957196491</v>
      </c>
      <c r="V64" s="300">
        <v>36686.821092780869</v>
      </c>
      <c r="W64" s="300">
        <v>123796.63178100002</v>
      </c>
      <c r="X64" s="300">
        <v>380531.81638586032</v>
      </c>
      <c r="Y64" s="643"/>
      <c r="Z64" s="300">
        <v>-23649.235857632277</v>
      </c>
      <c r="AA64" s="258"/>
      <c r="AB64" s="300">
        <v>47946.022789301998</v>
      </c>
      <c r="AC64" s="300">
        <v>918343.02621343592</v>
      </c>
      <c r="AE64" s="452">
        <f t="shared" si="4"/>
        <v>6.8400000000000016E-2</v>
      </c>
      <c r="AF64" s="452">
        <f t="shared" si="5"/>
        <v>8.8670168312699971E-2</v>
      </c>
    </row>
    <row r="65" spans="1:32" s="642" customFormat="1" outlineLevel="1">
      <c r="A65" s="636" t="s">
        <v>304</v>
      </c>
      <c r="B65" s="637">
        <v>2022</v>
      </c>
      <c r="C65" s="451">
        <v>37700810.984401956</v>
      </c>
      <c r="D65" s="451">
        <v>-8175442.3213167284</v>
      </c>
      <c r="E65" s="451">
        <v>29525368.663085237</v>
      </c>
      <c r="F65" s="451"/>
      <c r="G65" s="451">
        <v>304895.69602342555</v>
      </c>
      <c r="H65" s="451">
        <v>263775.82597130613</v>
      </c>
      <c r="I65" s="451">
        <v>53.338571428571427</v>
      </c>
      <c r="J65" s="301"/>
      <c r="K65" s="301"/>
      <c r="L65" s="301"/>
      <c r="M65" s="301"/>
      <c r="Q65" s="300">
        <v>568724.86056616018</v>
      </c>
      <c r="S65" s="300">
        <f>E65*(('Capital Structure '!$T$15+'Capital Structure '!$T$16)/12)</f>
        <v>40745.008755057628</v>
      </c>
      <c r="T65" s="300">
        <f t="shared" si="11"/>
        <v>49873.682691271228</v>
      </c>
      <c r="U65" s="300">
        <f>E65*('Capital Structure '!$T$18/12)</f>
        <v>127549.59262452823</v>
      </c>
      <c r="V65" s="300">
        <v>35902.967569294648</v>
      </c>
      <c r="W65" s="300">
        <v>121151.583147</v>
      </c>
      <c r="X65" s="300">
        <v>375222.83478715178</v>
      </c>
      <c r="Y65" s="643"/>
      <c r="Z65" s="300">
        <v>-23456.916078156082</v>
      </c>
      <c r="AA65" s="258"/>
      <c r="AB65" s="300">
        <v>47946.022789301998</v>
      </c>
      <c r="AC65" s="300">
        <v>920490.77927515586</v>
      </c>
      <c r="AE65" s="452">
        <f t="shared" si="4"/>
        <v>6.8400000000000002E-2</v>
      </c>
      <c r="AF65" s="452">
        <f t="shared" si="5"/>
        <v>8.8670168312699971E-2</v>
      </c>
    </row>
    <row r="66" spans="1:32" s="642" customFormat="1" outlineLevel="1">
      <c r="A66" s="636" t="s">
        <v>305</v>
      </c>
      <c r="B66" s="637">
        <v>2022</v>
      </c>
      <c r="C66" s="451">
        <v>37215992.157764375</v>
      </c>
      <c r="D66" s="451">
        <v>-8441423.2182395123</v>
      </c>
      <c r="E66" s="451">
        <v>28774568.939524859</v>
      </c>
      <c r="F66" s="451"/>
      <c r="G66" s="451">
        <v>304982.69876641716</v>
      </c>
      <c r="H66" s="451">
        <v>264699.73929974315</v>
      </c>
      <c r="I66" s="451">
        <v>53.338571428571427</v>
      </c>
      <c r="J66" s="301"/>
      <c r="K66" s="301"/>
      <c r="L66" s="301"/>
      <c r="M66" s="301"/>
      <c r="Q66" s="300">
        <v>569735.77663758886</v>
      </c>
      <c r="S66" s="300">
        <f>E66*(('Capital Structure '!$T$15+'Capital Structure '!$T$16)/12)</f>
        <v>39708.905136544301</v>
      </c>
      <c r="T66" s="300">
        <f t="shared" si="11"/>
        <v>48605.446294129775</v>
      </c>
      <c r="U66" s="300">
        <f>E66*('Capital Structure '!$T$18/12)</f>
        <v>124306.13781874739</v>
      </c>
      <c r="V66" s="300">
        <v>35192.339640326507</v>
      </c>
      <c r="W66" s="300">
        <v>118753.62820200002</v>
      </c>
      <c r="X66" s="300">
        <v>366566.45709174802</v>
      </c>
      <c r="Y66" s="643"/>
      <c r="Z66" s="300">
        <v>-23263.796568930229</v>
      </c>
      <c r="AA66" s="258"/>
      <c r="AB66" s="300">
        <v>47946.022789301998</v>
      </c>
      <c r="AC66" s="300">
        <v>913038.43716040673</v>
      </c>
      <c r="AE66" s="452">
        <f t="shared" si="4"/>
        <v>6.8399999999999989E-2</v>
      </c>
      <c r="AF66" s="452">
        <f t="shared" si="5"/>
        <v>8.8670168312699943E-2</v>
      </c>
    </row>
    <row r="67" spans="1:32" s="642" customFormat="1" outlineLevel="1">
      <c r="A67" s="636" t="s">
        <v>306</v>
      </c>
      <c r="B67" s="637">
        <v>2022</v>
      </c>
      <c r="C67" s="451">
        <v>40268286.434817262</v>
      </c>
      <c r="D67" s="451">
        <v>-8761692.3152464405</v>
      </c>
      <c r="E67" s="451">
        <v>31506594.119570818</v>
      </c>
      <c r="F67" s="451"/>
      <c r="G67" s="451">
        <v>305031.21408913622</v>
      </c>
      <c r="H67" s="451">
        <v>308290.14028654789</v>
      </c>
      <c r="I67" s="451">
        <v>53.338571428571427</v>
      </c>
      <c r="J67" s="301"/>
      <c r="K67" s="301"/>
      <c r="L67" s="301"/>
      <c r="M67" s="301"/>
      <c r="Q67" s="300">
        <v>613374.69294711272</v>
      </c>
      <c r="S67" s="300">
        <f>E67*(('Capital Structure '!$T$15+'Capital Structure '!$T$16)/12)</f>
        <v>43479.099885007723</v>
      </c>
      <c r="T67" s="300">
        <f t="shared" si="11"/>
        <v>53220.330480301942</v>
      </c>
      <c r="U67" s="300">
        <f>E67*('Capital Structure '!$T$18/12)</f>
        <v>136108.48659654593</v>
      </c>
      <c r="V67" s="300">
        <v>34298.196097267275</v>
      </c>
      <c r="W67" s="300">
        <v>115736.41505400001</v>
      </c>
      <c r="X67" s="300">
        <v>382842.52811312291</v>
      </c>
      <c r="Y67" s="643"/>
      <c r="Z67" s="300">
        <v>-23069.874004411846</v>
      </c>
      <c r="AA67" s="258"/>
      <c r="AB67" s="300">
        <v>47946.022789301998</v>
      </c>
      <c r="AC67" s="300">
        <v>973147.34705582378</v>
      </c>
      <c r="AE67" s="452">
        <f t="shared" si="4"/>
        <v>6.8399999999999989E-2</v>
      </c>
      <c r="AF67" s="452">
        <f t="shared" si="5"/>
        <v>8.8670168312699957E-2</v>
      </c>
    </row>
    <row r="68" spans="1:32" s="642" customFormat="1" outlineLevel="1">
      <c r="A68" s="636" t="s">
        <v>307</v>
      </c>
      <c r="B68" s="637">
        <v>2022</v>
      </c>
      <c r="C68" s="451">
        <v>39752368.513893954</v>
      </c>
      <c r="D68" s="451">
        <v>-9075160.7346788552</v>
      </c>
      <c r="E68" s="451">
        <v>30677207.779215101</v>
      </c>
      <c r="F68" s="451"/>
      <c r="G68" s="451">
        <v>305072.52916306019</v>
      </c>
      <c r="H68" s="451">
        <v>309423.00318881439</v>
      </c>
      <c r="I68" s="451">
        <v>53.338571428571427</v>
      </c>
      <c r="J68" s="301"/>
      <c r="K68" s="301"/>
      <c r="L68" s="301"/>
      <c r="M68" s="301"/>
      <c r="Q68" s="300">
        <v>614548.87092330307</v>
      </c>
      <c r="S68" s="300">
        <f>E68*(('Capital Structure '!$T$15+'Capital Structure '!$T$16)/12)</f>
        <v>42334.546735316835</v>
      </c>
      <c r="T68" s="300">
        <f t="shared" si="11"/>
        <v>51819.347087363225</v>
      </c>
      <c r="U68" s="300">
        <f>E68*('Capital Structure '!$T$18/12)</f>
        <v>132525.53760620923</v>
      </c>
      <c r="V68" s="300">
        <v>33494.067591303392</v>
      </c>
      <c r="W68" s="300">
        <v>113022.95017500002</v>
      </c>
      <c r="X68" s="300">
        <v>373196.44919519266</v>
      </c>
      <c r="Y68" s="643"/>
      <c r="Z68" s="300">
        <v>-22875.145045229339</v>
      </c>
      <c r="AA68" s="258"/>
      <c r="AB68" s="300">
        <v>47946.022789301998</v>
      </c>
      <c r="AC68" s="300">
        <v>964870.17507326638</v>
      </c>
      <c r="AE68" s="452">
        <f t="shared" si="4"/>
        <v>6.8399999999999989E-2</v>
      </c>
      <c r="AF68" s="452">
        <f t="shared" si="5"/>
        <v>8.8670168312699943E-2</v>
      </c>
    </row>
    <row r="69" spans="1:32" s="642" customFormat="1" outlineLevel="1">
      <c r="A69" s="636" t="s">
        <v>308</v>
      </c>
      <c r="B69" s="637">
        <v>2022</v>
      </c>
      <c r="C69" s="451">
        <v>39963633.083446845</v>
      </c>
      <c r="D69" s="451">
        <v>-9262634.3093521986</v>
      </c>
      <c r="E69" s="451">
        <v>30700998.774094645</v>
      </c>
      <c r="F69" s="451"/>
      <c r="G69" s="451">
        <v>304987.98864021711</v>
      </c>
      <c r="H69" s="451">
        <v>319457.10323546699</v>
      </c>
      <c r="I69" s="451">
        <v>53.338571428571427</v>
      </c>
      <c r="J69" s="301"/>
      <c r="K69" s="301"/>
      <c r="L69" s="301"/>
      <c r="M69" s="301"/>
      <c r="Q69" s="300">
        <v>624498.43044711265</v>
      </c>
      <c r="S69" s="300">
        <f>E69*(('Capital Structure '!$T$15+'Capital Structure '!$T$16)/12)</f>
        <v>42367.378308250605</v>
      </c>
      <c r="T69" s="300">
        <f t="shared" si="11"/>
        <v>51859.534376574469</v>
      </c>
      <c r="U69" s="300">
        <f>E69*('Capital Structure '!$T$18/12)</f>
        <v>132628.31470408887</v>
      </c>
      <c r="V69" s="300">
        <v>32406.48355164213</v>
      </c>
      <c r="W69" s="300">
        <v>109352.98813200001</v>
      </c>
      <c r="X69" s="300">
        <v>368614.6990725561</v>
      </c>
      <c r="Y69" s="643"/>
      <c r="Z69" s="300">
        <v>-22679.606338124897</v>
      </c>
      <c r="AA69" s="258"/>
      <c r="AB69" s="300">
        <v>47946.022789301998</v>
      </c>
      <c r="AC69" s="300">
        <v>970433.52318154392</v>
      </c>
      <c r="AE69" s="452">
        <f t="shared" si="4"/>
        <v>6.8400000000000002E-2</v>
      </c>
      <c r="AF69" s="452">
        <f t="shared" si="5"/>
        <v>8.8670168312699957E-2</v>
      </c>
    </row>
    <row r="70" spans="1:32" s="642" customFormat="1" outlineLevel="1">
      <c r="A70" s="636" t="s">
        <v>309</v>
      </c>
      <c r="B70" s="637">
        <v>2022</v>
      </c>
      <c r="C70" s="451">
        <v>46607989.646809258</v>
      </c>
      <c r="D70" s="451">
        <v>-9591027.6756646</v>
      </c>
      <c r="E70" s="451">
        <v>37016961.971144654</v>
      </c>
      <c r="F70" s="451"/>
      <c r="G70" s="451">
        <v>305030.88147818035</v>
      </c>
      <c r="H70" s="451">
        <v>406990.77658797993</v>
      </c>
      <c r="I70" s="451">
        <v>53.338571428571427</v>
      </c>
      <c r="J70" s="301"/>
      <c r="K70" s="301"/>
      <c r="L70" s="301"/>
      <c r="M70" s="301"/>
      <c r="Q70" s="300">
        <v>712074.99663758883</v>
      </c>
      <c r="S70" s="300">
        <f>E70*(('Capital Structure '!$T$15+'Capital Structure '!$T$16)/12)</f>
        <v>51083.407520179622</v>
      </c>
      <c r="T70" s="300">
        <f t="shared" si="11"/>
        <v>62528.337464992983</v>
      </c>
      <c r="U70" s="300">
        <f>E70*('Capital Structure '!$T$18/12)</f>
        <v>159913.27571534491</v>
      </c>
      <c r="V70" s="300">
        <v>31804.01320364869</v>
      </c>
      <c r="W70" s="300">
        <v>107320.00196400001</v>
      </c>
      <c r="X70" s="300">
        <v>412649.03586816619</v>
      </c>
      <c r="Y70" s="643"/>
      <c r="Z70" s="300">
        <v>-22483.254515896744</v>
      </c>
      <c r="AA70" s="258"/>
      <c r="AB70" s="300">
        <v>47946.022789301998</v>
      </c>
      <c r="AC70" s="300">
        <v>1102240.7779898583</v>
      </c>
      <c r="AE70" s="452">
        <f t="shared" si="4"/>
        <v>6.8399999999999989E-2</v>
      </c>
      <c r="AF70" s="452">
        <f t="shared" si="5"/>
        <v>8.8670168312699957E-2</v>
      </c>
    </row>
    <row r="71" spans="1:32" s="642" customFormat="1" outlineLevel="1">
      <c r="A71" s="636" t="s">
        <v>298</v>
      </c>
      <c r="B71" s="637">
        <v>2022</v>
      </c>
      <c r="C71" s="451">
        <v>46374729.397790715</v>
      </c>
      <c r="D71" s="451">
        <v>-9926674.6365263723</v>
      </c>
      <c r="E71" s="451">
        <v>36448054.761264347</v>
      </c>
      <c r="F71" s="451"/>
      <c r="G71" s="451">
        <v>305036.84544225287</v>
      </c>
      <c r="H71" s="451">
        <v>412753.66500485979</v>
      </c>
      <c r="I71" s="451">
        <v>53.338571428571427</v>
      </c>
      <c r="J71" s="300"/>
      <c r="K71" s="300"/>
      <c r="L71" s="300"/>
      <c r="M71" s="300"/>
      <c r="Q71" s="300">
        <f t="shared" si="2"/>
        <v>717843.84901854116</v>
      </c>
      <c r="S71" s="300">
        <f>E71*(('Capital Structure '!$T$15+'Capital Structure '!$T$16)/12)</f>
        <v>50298.315570544793</v>
      </c>
      <c r="T71" s="300">
        <f t="shared" si="11"/>
        <v>61567.350390111125</v>
      </c>
      <c r="U71" s="300">
        <f>E71*('Capital Structure '!$T$18/12)</f>
        <v>157455.59656866197</v>
      </c>
      <c r="V71" s="300">
        <v>31062.98318097939</v>
      </c>
      <c r="W71" s="300">
        <v>104819.45767800001</v>
      </c>
      <c r="X71" s="300">
        <v>405203.70338829723</v>
      </c>
      <c r="Y71" s="643"/>
      <c r="Z71" s="300">
        <v>-22286.086197341167</v>
      </c>
      <c r="AA71" s="258"/>
      <c r="AB71" s="300">
        <v>47946.022789301998</v>
      </c>
      <c r="AC71" s="300">
        <v>1100761.4662094973</v>
      </c>
      <c r="AE71" s="452">
        <f t="shared" si="4"/>
        <v>6.8400000000000002E-2</v>
      </c>
      <c r="AF71" s="452">
        <f t="shared" si="5"/>
        <v>8.8670168312699943E-2</v>
      </c>
    </row>
    <row r="72" spans="1:32" s="642" customFormat="1" outlineLevel="1">
      <c r="A72" s="636" t="s">
        <v>299</v>
      </c>
      <c r="B72" s="637">
        <v>2022</v>
      </c>
      <c r="C72" s="451">
        <v>45696634.189486459</v>
      </c>
      <c r="D72" s="451">
        <v>-10204047.157182151</v>
      </c>
      <c r="E72" s="451">
        <v>35492587.032304309</v>
      </c>
      <c r="F72" s="451"/>
      <c r="G72" s="451">
        <v>305043.56125131628</v>
      </c>
      <c r="H72" s="451">
        <v>413225.84848151071</v>
      </c>
      <c r="I72" s="451">
        <v>53.338571428571427</v>
      </c>
      <c r="J72" s="301"/>
      <c r="K72" s="301"/>
      <c r="L72" s="301"/>
      <c r="M72" s="301"/>
      <c r="Q72" s="300">
        <f t="shared" si="2"/>
        <v>718322.74830425554</v>
      </c>
      <c r="S72" s="300">
        <f>E72*(('Capital Structure '!$T$15+'Capital Structure '!$T$16)/12)</f>
        <v>48979.770104579948</v>
      </c>
      <c r="T72" s="300">
        <f t="shared" si="11"/>
        <v>59953.392749830025</v>
      </c>
      <c r="U72" s="300">
        <f>E72*('Capital Structure '!$T$18/12)</f>
        <v>153327.97597955461</v>
      </c>
      <c r="V72" s="300">
        <v>30364.162793971464</v>
      </c>
      <c r="W72" s="300">
        <v>102461.34630300001</v>
      </c>
      <c r="X72" s="300">
        <v>395086.64793093607</v>
      </c>
      <c r="Y72" s="643"/>
      <c r="Z72" s="300">
        <v>-22088.097987194255</v>
      </c>
      <c r="AA72" s="258"/>
      <c r="AB72" s="300">
        <v>47946.022789301998</v>
      </c>
      <c r="AC72" s="300">
        <v>1091321.2982479974</v>
      </c>
      <c r="AE72" s="452">
        <f t="shared" si="4"/>
        <v>6.8400000000000002E-2</v>
      </c>
      <c r="AF72" s="452">
        <f t="shared" si="5"/>
        <v>8.8670168312699957E-2</v>
      </c>
    </row>
    <row r="73" spans="1:32" s="642" customFormat="1" outlineLevel="1">
      <c r="A73" s="636" t="s">
        <v>300</v>
      </c>
      <c r="B73" s="637">
        <v>2022</v>
      </c>
      <c r="C73" s="451">
        <v>46056772.148682207</v>
      </c>
      <c r="D73" s="451">
        <v>-10405601.795193575</v>
      </c>
      <c r="E73" s="451">
        <v>35651170.353488632</v>
      </c>
      <c r="F73" s="451"/>
      <c r="G73" s="451">
        <v>305049.95348623279</v>
      </c>
      <c r="H73" s="451">
        <v>426212.9587465942</v>
      </c>
      <c r="I73" s="451">
        <v>53.338571428571427</v>
      </c>
      <c r="J73" s="301"/>
      <c r="K73" s="301"/>
      <c r="L73" s="301"/>
      <c r="M73" s="301"/>
      <c r="Q73" s="300">
        <f t="shared" si="2"/>
        <v>731316.25080425548</v>
      </c>
      <c r="S73" s="300">
        <f>E73*(('Capital Structure '!$T$15+'Capital Structure '!$T$16)/12)</f>
        <v>49198.615087814309</v>
      </c>
      <c r="T73" s="300">
        <f t="shared" ref="T73:T126" si="12">E73*($AA$16/12)</f>
        <v>60221.268634162792</v>
      </c>
      <c r="U73" s="300">
        <f>E73*('Capital Structure '!$T$18/12)</f>
        <v>154013.05592707088</v>
      </c>
      <c r="V73" s="300">
        <v>29719.601441476705</v>
      </c>
      <c r="W73" s="300">
        <v>100286.32753500002</v>
      </c>
      <c r="X73" s="300">
        <v>393438.86862552469</v>
      </c>
      <c r="Z73" s="300">
        <v>-21889.286476073488</v>
      </c>
      <c r="AA73" s="258"/>
      <c r="AB73" s="300">
        <v>47946.022789301998</v>
      </c>
      <c r="AC73" s="300">
        <v>1102865.8329537066</v>
      </c>
      <c r="AE73" s="452">
        <f t="shared" si="4"/>
        <v>6.8399999999999989E-2</v>
      </c>
      <c r="AF73" s="452">
        <f t="shared" si="5"/>
        <v>8.8670168312699943E-2</v>
      </c>
    </row>
    <row r="74" spans="1:32" s="642" customFormat="1" outlineLevel="1">
      <c r="A74" s="636" t="s">
        <v>301</v>
      </c>
      <c r="B74" s="637">
        <v>2023</v>
      </c>
      <c r="C74" s="451">
        <v>45339293.974068433</v>
      </c>
      <c r="D74" s="451">
        <v>-10606575.628701892</v>
      </c>
      <c r="E74" s="451">
        <v>34732718.345366538</v>
      </c>
      <c r="F74" s="451"/>
      <c r="G74" s="451">
        <v>305049.99736664328</v>
      </c>
      <c r="H74" s="451">
        <v>426379.63867570751</v>
      </c>
      <c r="I74" s="451">
        <v>53.338571428571427</v>
      </c>
      <c r="J74" s="301"/>
      <c r="K74" s="301"/>
      <c r="L74" s="301"/>
      <c r="M74" s="301"/>
      <c r="Q74" s="300">
        <f t="shared" si="2"/>
        <v>731482.97461377934</v>
      </c>
      <c r="S74" s="300">
        <f>E74*(('Capital Structure '!$T$15+'Capital Structure '!$T$16)/12)</f>
        <v>47931.151316605821</v>
      </c>
      <c r="T74" s="300">
        <f t="shared" si="12"/>
        <v>58669.837234848448</v>
      </c>
      <c r="U74" s="300">
        <f>E74*('Capital Structure '!$T$18/12)</f>
        <v>150045.34325198343</v>
      </c>
      <c r="V74" s="300">
        <v>29046.660096596253</v>
      </c>
      <c r="W74" s="300">
        <v>98015.542839000016</v>
      </c>
      <c r="X74" s="300">
        <v>383708.53473903396</v>
      </c>
      <c r="Z74" s="300">
        <v>-21689.648240418974</v>
      </c>
      <c r="AA74" s="258"/>
      <c r="AB74" s="300">
        <v>0</v>
      </c>
      <c r="AC74" s="300">
        <v>1093501.8611123944</v>
      </c>
      <c r="AE74" s="452">
        <f t="shared" si="4"/>
        <v>6.8400000000000002E-2</v>
      </c>
      <c r="AF74" s="452">
        <f t="shared" si="5"/>
        <v>8.8670168312699957E-2</v>
      </c>
    </row>
    <row r="75" spans="1:32" s="642" customFormat="1" outlineLevel="1">
      <c r="A75" s="636" t="s">
        <v>302</v>
      </c>
      <c r="B75" s="637">
        <v>2023</v>
      </c>
      <c r="C75" s="451">
        <v>44635909.928145133</v>
      </c>
      <c r="D75" s="451">
        <v>-10802487.608406601</v>
      </c>
      <c r="E75" s="451">
        <v>33833422.319738537</v>
      </c>
      <c r="F75" s="451"/>
      <c r="G75" s="451">
        <v>305056.36660822469</v>
      </c>
      <c r="H75" s="451">
        <v>426711.8107436499</v>
      </c>
      <c r="I75" s="451">
        <v>53.338571428571427</v>
      </c>
      <c r="J75" s="301"/>
      <c r="K75" s="301"/>
      <c r="L75" s="301"/>
      <c r="M75" s="301"/>
      <c r="Q75" s="300">
        <f t="shared" si="2"/>
        <v>731821.51592330309</v>
      </c>
      <c r="S75" s="300">
        <f>E75*(('Capital Structure '!$T$15+'Capital Structure '!$T$16)/12)</f>
        <v>46690.12280123918</v>
      </c>
      <c r="T75" s="300">
        <f t="shared" si="12"/>
        <v>57150.763751313309</v>
      </c>
      <c r="U75" s="300">
        <f>E75*('Capital Structure '!$T$18/12)</f>
        <v>146160.38442127049</v>
      </c>
      <c r="V75" s="300">
        <v>28362.412541693371</v>
      </c>
      <c r="W75" s="300">
        <v>95706.606276000006</v>
      </c>
      <c r="X75" s="300">
        <v>374070.28979151638</v>
      </c>
      <c r="Z75" s="300">
        <v>-21489.179842434532</v>
      </c>
      <c r="AA75" s="258"/>
      <c r="AB75" s="300">
        <v>0</v>
      </c>
      <c r="AC75" s="300">
        <v>1084402.625872385</v>
      </c>
      <c r="AE75" s="452">
        <f t="shared" si="4"/>
        <v>6.8399999999999989E-2</v>
      </c>
      <c r="AF75" s="452">
        <f t="shared" si="5"/>
        <v>8.8670168312699957E-2</v>
      </c>
    </row>
    <row r="76" spans="1:32" s="642" customFormat="1" outlineLevel="1">
      <c r="A76" s="636" t="s">
        <v>303</v>
      </c>
      <c r="B76" s="637">
        <v>2023</v>
      </c>
      <c r="C76" s="451">
        <v>43924057.29329326</v>
      </c>
      <c r="D76" s="451">
        <v>-10932397.83547499</v>
      </c>
      <c r="E76" s="451">
        <v>32991659.45781827</v>
      </c>
      <c r="F76" s="451"/>
      <c r="G76" s="451">
        <v>305062.91593501071</v>
      </c>
      <c r="H76" s="451">
        <v>426945.85034543532</v>
      </c>
      <c r="I76" s="451">
        <v>53.338571428571427</v>
      </c>
      <c r="J76" s="301"/>
      <c r="K76" s="301"/>
      <c r="L76" s="301"/>
      <c r="M76" s="301"/>
      <c r="Q76" s="300">
        <f t="shared" si="2"/>
        <v>732062.10485187452</v>
      </c>
      <c r="S76" s="300">
        <f>E76*(('Capital Structure '!$T$15+'Capital Structure '!$T$16)/12)</f>
        <v>45528.490051789209</v>
      </c>
      <c r="T76" s="300">
        <f t="shared" si="12"/>
        <v>55728.874177104655</v>
      </c>
      <c r="U76" s="300">
        <f>E76*('Capital Structure '!$T$18/12)</f>
        <v>142523.96885777492</v>
      </c>
      <c r="V76" s="300">
        <v>27565.911243986771</v>
      </c>
      <c r="W76" s="300">
        <v>93018.878778000028</v>
      </c>
      <c r="X76" s="300">
        <v>364366.12310865556</v>
      </c>
      <c r="Z76" s="300">
        <v>-21287.877830028472</v>
      </c>
      <c r="AA76" s="258"/>
      <c r="AB76" s="300">
        <v>0</v>
      </c>
      <c r="AC76" s="300">
        <v>1075140.3501305017</v>
      </c>
      <c r="AE76" s="452">
        <f t="shared" si="4"/>
        <v>6.8399999999999989E-2</v>
      </c>
      <c r="AF76" s="452">
        <f t="shared" si="5"/>
        <v>8.8670168312699943E-2</v>
      </c>
    </row>
    <row r="77" spans="1:32" s="642" customFormat="1" outlineLevel="1">
      <c r="A77" s="636" t="s">
        <v>304</v>
      </c>
      <c r="B77" s="637">
        <v>2023</v>
      </c>
      <c r="C77" s="451">
        <v>45029388.667608052</v>
      </c>
      <c r="D77" s="451">
        <v>-11085350.594369629</v>
      </c>
      <c r="E77" s="451">
        <v>33944038.073238425</v>
      </c>
      <c r="F77" s="451"/>
      <c r="G77" s="451">
        <v>305062.91593501071</v>
      </c>
      <c r="H77" s="451">
        <v>449083.12117876863</v>
      </c>
      <c r="I77" s="451">
        <v>53.338571428571427</v>
      </c>
      <c r="J77" s="301"/>
      <c r="K77" s="301"/>
      <c r="L77" s="301"/>
      <c r="M77" s="301"/>
      <c r="Q77" s="300">
        <f t="shared" si="2"/>
        <v>754199.3756852079</v>
      </c>
      <c r="S77" s="300">
        <f>E77*(('Capital Structure '!$T$15+'Capital Structure '!$T$16)/12)</f>
        <v>46842.772541069025</v>
      </c>
      <c r="T77" s="300">
        <f t="shared" si="12"/>
        <v>57337.613746436546</v>
      </c>
      <c r="U77" s="300">
        <f>E77*('Capital Structure '!$T$18/12)</f>
        <v>146638.24447638998</v>
      </c>
      <c r="V77" s="300">
        <v>29322.473888468663</v>
      </c>
      <c r="W77" s="300">
        <v>98946.253579682569</v>
      </c>
      <c r="X77" s="300">
        <v>379087.35823204677</v>
      </c>
      <c r="Z77" s="300">
        <v>-21085.73873675416</v>
      </c>
      <c r="AA77" s="258"/>
      <c r="AB77" s="300">
        <v>0</v>
      </c>
      <c r="AC77" s="300">
        <v>1112200.9951805004</v>
      </c>
      <c r="AE77" s="452">
        <f t="shared" si="4"/>
        <v>6.8399999999999989E-2</v>
      </c>
      <c r="AF77" s="452">
        <f t="shared" si="5"/>
        <v>8.8670168312699943E-2</v>
      </c>
    </row>
    <row r="78" spans="1:32" s="642" customFormat="1" outlineLevel="1">
      <c r="A78" s="636" t="s">
        <v>305</v>
      </c>
      <c r="B78" s="637">
        <v>2023</v>
      </c>
      <c r="C78" s="451">
        <v>46296688.67763713</v>
      </c>
      <c r="D78" s="451">
        <v>-11277392.015444802</v>
      </c>
      <c r="E78" s="451">
        <v>35019296.662192322</v>
      </c>
      <c r="F78" s="451"/>
      <c r="G78" s="451">
        <v>305062.91593501071</v>
      </c>
      <c r="H78" s="451">
        <v>473438.53546448291</v>
      </c>
      <c r="I78" s="451">
        <v>53.338571428571427</v>
      </c>
      <c r="J78" s="301"/>
      <c r="K78" s="301"/>
      <c r="L78" s="301"/>
      <c r="M78" s="301"/>
      <c r="Q78" s="300">
        <f t="shared" si="2"/>
        <v>778554.78997092217</v>
      </c>
      <c r="S78" s="300">
        <f>E78*(('Capital Structure '!$T$15+'Capital Structure '!$T$16)/12)</f>
        <v>48326.629393825402</v>
      </c>
      <c r="T78" s="300">
        <f t="shared" si="12"/>
        <v>59153.919794584195</v>
      </c>
      <c r="U78" s="300">
        <f>E78*('Capital Structure '!$T$18/12)</f>
        <v>151283.36158067084</v>
      </c>
      <c r="V78" s="300">
        <v>31289.823994663398</v>
      </c>
      <c r="W78" s="300">
        <v>105584.9131698651</v>
      </c>
      <c r="X78" s="300">
        <v>395638.64793360891</v>
      </c>
      <c r="Z78" s="300">
        <v>-20882.759081750311</v>
      </c>
      <c r="AA78" s="258"/>
      <c r="AB78" s="300">
        <v>0</v>
      </c>
      <c r="AC78" s="300">
        <v>1153310.6788227807</v>
      </c>
      <c r="AE78" s="452">
        <f t="shared" si="4"/>
        <v>6.8400000000000002E-2</v>
      </c>
      <c r="AF78" s="452">
        <f t="shared" si="5"/>
        <v>8.8670168312699971E-2</v>
      </c>
    </row>
    <row r="79" spans="1:32" s="642" customFormat="1" outlineLevel="1">
      <c r="A79" s="636" t="s">
        <v>306</v>
      </c>
      <c r="B79" s="637">
        <v>2023</v>
      </c>
      <c r="C79" s="451">
        <v>46855330.208618581</v>
      </c>
      <c r="D79" s="451">
        <v>-11410737.614571439</v>
      </c>
      <c r="E79" s="451">
        <v>35444592.594047129</v>
      </c>
      <c r="F79" s="451"/>
      <c r="G79" s="451">
        <v>305062.91593501071</v>
      </c>
      <c r="H79" s="451">
        <v>489549.33451210195</v>
      </c>
      <c r="I79" s="451">
        <v>53.338571428571427</v>
      </c>
      <c r="J79" s="301"/>
      <c r="K79" s="301"/>
      <c r="L79" s="301"/>
      <c r="M79" s="301"/>
      <c r="Q79" s="300">
        <f t="shared" si="2"/>
        <v>794665.58901854116</v>
      </c>
      <c r="S79" s="300">
        <f>E79*(('Capital Structure '!$T$15+'Capital Structure '!$T$16)/12)</f>
        <v>48913.537779785038</v>
      </c>
      <c r="T79" s="300">
        <f t="shared" si="12"/>
        <v>59872.321471367817</v>
      </c>
      <c r="U79" s="300">
        <f>E79*('Capital Structure '!$T$18/12)</f>
        <v>153120.64000628359</v>
      </c>
      <c r="V79" s="300">
        <v>32269.702250113081</v>
      </c>
      <c r="W79" s="300">
        <v>108891.43098653096</v>
      </c>
      <c r="X79" s="300">
        <v>403067.63249408046</v>
      </c>
      <c r="Z79" s="300">
        <v>-20678.935369681072</v>
      </c>
      <c r="AA79" s="258"/>
      <c r="AB79" s="300">
        <v>0</v>
      </c>
      <c r="AC79" s="300">
        <v>1177054.2861429406</v>
      </c>
      <c r="AE79" s="452">
        <f t="shared" si="4"/>
        <v>6.8400000000000002E-2</v>
      </c>
      <c r="AF79" s="452">
        <f t="shared" si="5"/>
        <v>8.8670168312699943E-2</v>
      </c>
    </row>
    <row r="80" spans="1:32" s="642" customFormat="1" outlineLevel="1">
      <c r="A80" s="636" t="s">
        <v>307</v>
      </c>
      <c r="B80" s="637">
        <v>2023</v>
      </c>
      <c r="C80" s="451">
        <v>48221835.614838138</v>
      </c>
      <c r="D80" s="451">
        <v>-11585688.819845757</v>
      </c>
      <c r="E80" s="451">
        <v>36636146.79499238</v>
      </c>
      <c r="F80" s="451"/>
      <c r="G80" s="451">
        <v>305062.91593501071</v>
      </c>
      <c r="H80" s="451">
        <v>515587.53927400673</v>
      </c>
      <c r="I80" s="451">
        <v>53.338571428571427</v>
      </c>
      <c r="J80" s="301"/>
      <c r="K80" s="301"/>
      <c r="L80" s="301"/>
      <c r="M80" s="301"/>
      <c r="Q80" s="300">
        <f t="shared" si="2"/>
        <v>820703.79378044605</v>
      </c>
      <c r="S80" s="300">
        <f>E80*(('Capital Structure '!$T$15+'Capital Structure '!$T$16)/12)</f>
        <v>50557.882577089484</v>
      </c>
      <c r="T80" s="300">
        <f t="shared" si="12"/>
        <v>61885.071821939899</v>
      </c>
      <c r="U80" s="300">
        <f>E80*('Capital Structure '!$T$18/12)</f>
        <v>158268.15415436708</v>
      </c>
      <c r="V80" s="300">
        <v>34353.026330586719</v>
      </c>
      <c r="W80" s="300">
        <v>115921.43512394685</v>
      </c>
      <c r="X80" s="300">
        <v>420985.57000792999</v>
      </c>
      <c r="Z80" s="300">
        <v>-20474.264090675806</v>
      </c>
      <c r="AA80" s="258"/>
      <c r="AB80" s="300">
        <v>0</v>
      </c>
      <c r="AC80" s="300">
        <v>1221215.0996977002</v>
      </c>
      <c r="AE80" s="452">
        <f t="shared" si="4"/>
        <v>6.8399999999999989E-2</v>
      </c>
      <c r="AF80" s="452">
        <f t="shared" si="5"/>
        <v>8.8670168312699943E-2</v>
      </c>
    </row>
    <row r="81" spans="1:32" s="642" customFormat="1" outlineLevel="1">
      <c r="A81" s="636" t="s">
        <v>308</v>
      </c>
      <c r="B81" s="637">
        <v>2023</v>
      </c>
      <c r="C81" s="451">
        <v>51059090.559033878</v>
      </c>
      <c r="D81" s="451">
        <v>-11815393.76127243</v>
      </c>
      <c r="E81" s="451">
        <v>39243696.797761448</v>
      </c>
      <c r="F81" s="451"/>
      <c r="G81" s="451">
        <v>305062.91593501071</v>
      </c>
      <c r="H81" s="451">
        <v>559659.33129781624</v>
      </c>
      <c r="I81" s="451">
        <v>53.338571428571427</v>
      </c>
      <c r="J81" s="301"/>
      <c r="K81" s="301"/>
      <c r="L81" s="301"/>
      <c r="M81" s="301"/>
      <c r="Q81" s="300">
        <f t="shared" si="2"/>
        <v>864775.58580425545</v>
      </c>
      <c r="S81" s="300">
        <f>E81*(('Capital Structure '!$T$15+'Capital Structure '!$T$16)/12)</f>
        <v>54156.301580910796</v>
      </c>
      <c r="T81" s="300">
        <f t="shared" si="12"/>
        <v>66289.694941932423</v>
      </c>
      <c r="U81" s="300">
        <f>E81*('Capital Structure '!$T$18/12)</f>
        <v>169532.77016632946</v>
      </c>
      <c r="V81" s="300">
        <v>38457.422319999423</v>
      </c>
      <c r="W81" s="300">
        <v>129771.37861454606</v>
      </c>
      <c r="X81" s="300">
        <v>458207.56762371818</v>
      </c>
      <c r="Z81" s="300">
        <v>-20268.741720268681</v>
      </c>
      <c r="AA81" s="258"/>
      <c r="AB81" s="300">
        <v>0</v>
      </c>
      <c r="AC81" s="300">
        <v>1302714.4117077049</v>
      </c>
      <c r="AE81" s="452">
        <f t="shared" si="4"/>
        <v>6.8400000000000002E-2</v>
      </c>
      <c r="AF81" s="452">
        <f t="shared" si="5"/>
        <v>8.8670168312699971E-2</v>
      </c>
    </row>
    <row r="82" spans="1:32" s="642" customFormat="1" outlineLevel="1">
      <c r="A82" s="636" t="s">
        <v>309</v>
      </c>
      <c r="B82" s="637">
        <v>2023</v>
      </c>
      <c r="C82" s="451">
        <v>51068578.415741533</v>
      </c>
      <c r="D82" s="451">
        <v>-11890539.747889725</v>
      </c>
      <c r="E82" s="451">
        <v>39178038.667851806</v>
      </c>
      <c r="F82" s="451"/>
      <c r="G82" s="451">
        <v>305062.91593501071</v>
      </c>
      <c r="H82" s="451">
        <v>570192.62578591146</v>
      </c>
      <c r="I82" s="451">
        <v>53.338571428571427</v>
      </c>
      <c r="J82" s="301"/>
      <c r="K82" s="301"/>
      <c r="L82" s="301"/>
      <c r="M82" s="301"/>
      <c r="Q82" s="300">
        <f t="shared" si="2"/>
        <v>875308.88029235066</v>
      </c>
      <c r="S82" s="300">
        <f>E82*(('Capital Structure '!$T$15+'Capital Structure '!$T$16)/12)</f>
        <v>54065.693361635487</v>
      </c>
      <c r="T82" s="300">
        <f t="shared" si="12"/>
        <v>66178.786496568617</v>
      </c>
      <c r="U82" s="300">
        <f>E82*('Capital Structure '!$T$18/12)</f>
        <v>169249.12704511979</v>
      </c>
      <c r="V82" s="300">
        <v>38650.256350303571</v>
      </c>
      <c r="W82" s="300">
        <v>130422.08103937694</v>
      </c>
      <c r="X82" s="300">
        <v>458565.94429300446</v>
      </c>
      <c r="Z82" s="300">
        <v>-20062.364719337947</v>
      </c>
      <c r="AA82" s="258"/>
      <c r="AB82" s="300">
        <v>0</v>
      </c>
      <c r="AC82" s="300">
        <v>1313812.4598660171</v>
      </c>
      <c r="AE82" s="452">
        <f t="shared" si="4"/>
        <v>6.8400000000000002E-2</v>
      </c>
      <c r="AF82" s="452">
        <f t="shared" si="5"/>
        <v>8.8670168312699957E-2</v>
      </c>
    </row>
    <row r="83" spans="1:32" s="642" customFormat="1" outlineLevel="1">
      <c r="A83" s="636" t="s">
        <v>298</v>
      </c>
      <c r="B83" s="637">
        <v>2023</v>
      </c>
      <c r="C83" s="451">
        <v>51559699.029496796</v>
      </c>
      <c r="D83" s="451">
        <v>-11982100.869516306</v>
      </c>
      <c r="E83" s="451">
        <v>39577598.159980483</v>
      </c>
      <c r="F83" s="451"/>
      <c r="G83" s="451">
        <v>305062.91593501071</v>
      </c>
      <c r="H83" s="451">
        <v>586655.6317382924</v>
      </c>
      <c r="I83" s="451">
        <v>53.338571428571427</v>
      </c>
      <c r="J83" s="301"/>
      <c r="K83" s="301"/>
      <c r="L83" s="301"/>
      <c r="M83" s="301"/>
      <c r="Q83" s="300">
        <f t="shared" si="2"/>
        <v>891771.88624473172</v>
      </c>
      <c r="S83" s="300">
        <f>E83*(('Capital Structure '!$T$15+'Capital Structure '!$T$16)/12)</f>
        <v>54617.085460773065</v>
      </c>
      <c r="T83" s="300">
        <f t="shared" si="12"/>
        <v>66853.714676267395</v>
      </c>
      <c r="U83" s="300">
        <f>E83*('Capital Structure '!$T$18/12)</f>
        <v>170975.22405111569</v>
      </c>
      <c r="V83" s="300">
        <v>39504.339549970959</v>
      </c>
      <c r="W83" s="300">
        <v>133304.11388469115</v>
      </c>
      <c r="X83" s="300">
        <v>465254.4776228182</v>
      </c>
      <c r="Z83" s="300">
        <v>-19855.129534045009</v>
      </c>
      <c r="AA83" s="258"/>
      <c r="AB83" s="300">
        <v>0</v>
      </c>
      <c r="AC83" s="300">
        <v>1337171.2343335049</v>
      </c>
      <c r="AE83" s="452">
        <f t="shared" si="4"/>
        <v>6.8399999999999989E-2</v>
      </c>
      <c r="AF83" s="452">
        <f t="shared" si="5"/>
        <v>8.8670168312699943E-2</v>
      </c>
    </row>
    <row r="84" spans="1:32" s="642" customFormat="1" outlineLevel="1">
      <c r="A84" s="636" t="s">
        <v>299</v>
      </c>
      <c r="B84" s="637">
        <v>2023</v>
      </c>
      <c r="C84" s="451">
        <v>51782476.838668734</v>
      </c>
      <c r="D84" s="451">
        <v>-12095367.847961638</v>
      </c>
      <c r="E84" s="451">
        <v>39687108.990707107</v>
      </c>
      <c r="F84" s="451"/>
      <c r="G84" s="451">
        <v>305062.91593501071</v>
      </c>
      <c r="H84" s="451">
        <v>600083.94132162572</v>
      </c>
      <c r="I84" s="451">
        <v>53.338571428571427</v>
      </c>
      <c r="J84" s="301"/>
      <c r="K84" s="301"/>
      <c r="L84" s="301"/>
      <c r="M84" s="301"/>
      <c r="Q84" s="300">
        <f t="shared" si="2"/>
        <v>905200.19582806504</v>
      </c>
      <c r="S84" s="300">
        <f>E84*(('Capital Structure '!$T$15+'Capital Structure '!$T$16)/12)</f>
        <v>54768.210407175808</v>
      </c>
      <c r="T84" s="300">
        <f t="shared" si="12"/>
        <v>67038.69825717507</v>
      </c>
      <c r="U84" s="300">
        <f>E84*('Capital Structure '!$T$18/12)</f>
        <v>171448.3108398547</v>
      </c>
      <c r="V84" s="300">
        <v>39980.678579048363</v>
      </c>
      <c r="W84" s="300">
        <v>134911.48038931366</v>
      </c>
      <c r="X84" s="300">
        <v>468147.37847256759</v>
      </c>
      <c r="Z84" s="300">
        <v>-19647.032595773228</v>
      </c>
      <c r="AA84" s="258"/>
      <c r="AB84" s="300">
        <v>0</v>
      </c>
      <c r="AC84" s="300">
        <v>1353700.5417048594</v>
      </c>
      <c r="AE84" s="452">
        <f t="shared" si="4"/>
        <v>6.8400000000000002E-2</v>
      </c>
      <c r="AF84" s="452">
        <f t="shared" si="5"/>
        <v>8.8670168312699957E-2</v>
      </c>
    </row>
    <row r="85" spans="1:32" s="642" customFormat="1" outlineLevel="1">
      <c r="A85" s="636" t="s">
        <v>300</v>
      </c>
      <c r="B85" s="637">
        <v>2023</v>
      </c>
      <c r="C85" s="451">
        <v>52307955.984834716</v>
      </c>
      <c r="D85" s="451">
        <v>-12212139.605251057</v>
      </c>
      <c r="E85" s="451">
        <v>40095816.379583657</v>
      </c>
      <c r="F85" s="451"/>
      <c r="G85" s="451">
        <v>305062.91593501071</v>
      </c>
      <c r="H85" s="451">
        <v>617321.0418275781</v>
      </c>
      <c r="I85" s="451">
        <v>53.338571428571427</v>
      </c>
      <c r="J85" s="301"/>
      <c r="K85" s="301"/>
      <c r="L85" s="301"/>
      <c r="M85" s="301"/>
      <c r="Q85" s="300">
        <f t="shared" si="2"/>
        <v>922437.2963340173</v>
      </c>
      <c r="S85" s="300">
        <f>E85*(('Capital Structure '!$T$15+'Capital Structure '!$T$16)/12)</f>
        <v>55332.226603825446</v>
      </c>
      <c r="T85" s="300">
        <f t="shared" si="12"/>
        <v>67729.078887439391</v>
      </c>
      <c r="U85" s="300">
        <f>E85*('Capital Structure '!$T$18/12)</f>
        <v>173213.9267598014</v>
      </c>
      <c r="V85" s="300">
        <v>40866.4493285309</v>
      </c>
      <c r="W85" s="300">
        <v>137900.44024055704</v>
      </c>
      <c r="X85" s="300">
        <v>475042.12182015425</v>
      </c>
      <c r="Z85" s="300">
        <v>-19438.070321066465</v>
      </c>
      <c r="AA85" s="258"/>
      <c r="AB85" s="300">
        <v>0</v>
      </c>
      <c r="AC85" s="300">
        <v>1378041.3478331051</v>
      </c>
      <c r="AE85" s="452">
        <f t="shared" si="4"/>
        <v>6.8400000000000002E-2</v>
      </c>
      <c r="AF85" s="452">
        <f t="shared" si="5"/>
        <v>8.8670168312699957E-2</v>
      </c>
    </row>
    <row r="86" spans="1:32" s="642" customFormat="1" outlineLevel="1">
      <c r="A86" s="636" t="s">
        <v>301</v>
      </c>
      <c r="B86" s="637">
        <v>2024</v>
      </c>
      <c r="C86" s="451">
        <v>51385518.688500702</v>
      </c>
      <c r="D86" s="451">
        <v>-12328583.300100476</v>
      </c>
      <c r="E86" s="451">
        <v>39056935.388400227</v>
      </c>
      <c r="F86" s="451"/>
      <c r="G86" s="451">
        <v>305062.91593501071</v>
      </c>
      <c r="H86" s="451">
        <v>617321.0418275781</v>
      </c>
      <c r="I86" s="451">
        <v>53.338571428571427</v>
      </c>
      <c r="J86" s="301"/>
      <c r="K86" s="301"/>
      <c r="L86" s="301"/>
      <c r="M86" s="301"/>
      <c r="Q86" s="300">
        <f t="shared" si="2"/>
        <v>922437.2963340173</v>
      </c>
      <c r="S86" s="300">
        <f>E86*(('Capital Structure '!$T$15+'Capital Structure '!$T$16)/12)</f>
        <v>53898.570835992308</v>
      </c>
      <c r="T86" s="300">
        <f t="shared" si="12"/>
        <v>65974.221175093335</v>
      </c>
      <c r="U86" s="300">
        <f>E86*('Capital Structure '!$T$18/12)</f>
        <v>168725.96087788898</v>
      </c>
      <c r="V86" s="300">
        <v>39759.350065415194</v>
      </c>
      <c r="W86" s="300">
        <v>134164.62569630041</v>
      </c>
      <c r="X86" s="300">
        <v>462522.72865069023</v>
      </c>
      <c r="Z86" s="300">
        <v>-19228.239111567378</v>
      </c>
      <c r="AA86" s="258"/>
      <c r="AB86" s="300">
        <v>0</v>
      </c>
      <c r="AC86" s="300">
        <v>1365731.7858731402</v>
      </c>
      <c r="AE86" s="452">
        <f t="shared" si="4"/>
        <v>6.8400000000000002E-2</v>
      </c>
      <c r="AF86" s="452">
        <f t="shared" si="5"/>
        <v>8.8670168312699957E-2</v>
      </c>
    </row>
    <row r="87" spans="1:32" s="642" customFormat="1" outlineLevel="1">
      <c r="A87" s="636" t="s">
        <v>302</v>
      </c>
      <c r="B87" s="637">
        <v>2024</v>
      </c>
      <c r="C87" s="451">
        <v>51988108.768357158</v>
      </c>
      <c r="D87" s="451">
        <v>-12475350.138452288</v>
      </c>
      <c r="E87" s="451">
        <v>39512758.629904874</v>
      </c>
      <c r="F87" s="451"/>
      <c r="G87" s="451">
        <v>305062.91593501071</v>
      </c>
      <c r="H87" s="451">
        <v>635694.86563710193</v>
      </c>
      <c r="I87" s="451">
        <v>53.338571428571427</v>
      </c>
      <c r="J87" s="301"/>
      <c r="K87" s="301"/>
      <c r="L87" s="301"/>
      <c r="M87" s="301"/>
      <c r="Q87" s="300">
        <f t="shared" ref="Q87:Q150" si="13">SUM(G87:M87)</f>
        <v>940811.12014354113</v>
      </c>
      <c r="S87" s="300">
        <f>E87*(('Capital Structure '!$T$15+'Capital Structure '!$T$16)/12)</f>
        <v>54527.606909268725</v>
      </c>
      <c r="T87" s="300">
        <f t="shared" si="12"/>
        <v>66744.188993938311</v>
      </c>
      <c r="U87" s="300">
        <f>E87*('Capital Structure '!$T$18/12)</f>
        <v>170695.11728118904</v>
      </c>
      <c r="V87" s="300">
        <v>40755.135365698683</v>
      </c>
      <c r="W87" s="300">
        <v>137524.82051504377</v>
      </c>
      <c r="X87" s="300">
        <v>470246.86906513851</v>
      </c>
      <c r="Z87" s="300">
        <v>-19017.53535395546</v>
      </c>
      <c r="AA87" s="258"/>
      <c r="AB87" s="300">
        <v>0</v>
      </c>
      <c r="AC87" s="300">
        <v>1392040.4538547243</v>
      </c>
      <c r="AE87" s="452">
        <f t="shared" ref="AE87:AE150" si="14">(S87+U87)/E87*12</f>
        <v>6.8400000000000002E-2</v>
      </c>
      <c r="AF87" s="452">
        <f t="shared" ref="AF87:AF150" si="15">(S87+T87+U87)/E87*12</f>
        <v>8.8670168312699971E-2</v>
      </c>
    </row>
    <row r="88" spans="1:32" s="642" customFormat="1" outlineLevel="1">
      <c r="A88" s="636" t="s">
        <v>303</v>
      </c>
      <c r="B88" s="637">
        <v>2024</v>
      </c>
      <c r="C88" s="451">
        <v>52254836.339285053</v>
      </c>
      <c r="D88" s="451">
        <v>-12646181.338118279</v>
      </c>
      <c r="E88" s="451">
        <v>39608655.001166768</v>
      </c>
      <c r="F88" s="451"/>
      <c r="G88" s="451">
        <v>305062.91593501071</v>
      </c>
      <c r="H88" s="451">
        <v>650243.52456567332</v>
      </c>
      <c r="I88" s="451">
        <v>53.338571428571427</v>
      </c>
      <c r="J88" s="301"/>
      <c r="K88" s="301"/>
      <c r="L88" s="301"/>
      <c r="M88" s="301"/>
      <c r="Q88" s="300">
        <f t="shared" si="13"/>
        <v>955359.77907211264</v>
      </c>
      <c r="S88" s="300">
        <f>E88*(('Capital Structure '!$T$15+'Capital Structure '!$T$16)/12)</f>
        <v>54659.943901610139</v>
      </c>
      <c r="T88" s="300">
        <f t="shared" si="12"/>
        <v>66906.175292776286</v>
      </c>
      <c r="U88" s="300">
        <f>E88*('Capital Structure '!$T$18/12)</f>
        <v>171109.38960504043</v>
      </c>
      <c r="V88" s="300">
        <v>41285.881433682771</v>
      </c>
      <c r="W88" s="300">
        <v>139315.77905520381</v>
      </c>
      <c r="X88" s="300">
        <v>473277.16928831337</v>
      </c>
      <c r="Z88" s="300">
        <v>-18805.955419884813</v>
      </c>
      <c r="AA88" s="258"/>
      <c r="AB88" s="300">
        <v>0</v>
      </c>
      <c r="AC88" s="300">
        <v>1409830.9929405411</v>
      </c>
      <c r="AE88" s="452">
        <f t="shared" si="14"/>
        <v>6.8400000000000002E-2</v>
      </c>
      <c r="AF88" s="452">
        <f t="shared" si="15"/>
        <v>8.8670168312699943E-2</v>
      </c>
    </row>
    <row r="89" spans="1:32" s="642" customFormat="1" outlineLevel="1">
      <c r="A89" s="636" t="s">
        <v>304</v>
      </c>
      <c r="B89" s="637">
        <v>2024</v>
      </c>
      <c r="C89" s="451">
        <v>51299476.56021294</v>
      </c>
      <c r="D89" s="451">
        <v>-12773453.029965524</v>
      </c>
      <c r="E89" s="451">
        <v>38526023.530247413</v>
      </c>
      <c r="F89" s="451"/>
      <c r="G89" s="451">
        <v>305062.91593501071</v>
      </c>
      <c r="H89" s="451">
        <v>650243.52456567332</v>
      </c>
      <c r="I89" s="451">
        <v>53.338571428571427</v>
      </c>
      <c r="J89" s="301"/>
      <c r="K89" s="301"/>
      <c r="L89" s="301"/>
      <c r="M89" s="301"/>
      <c r="Q89" s="300">
        <f t="shared" si="13"/>
        <v>955359.77907211264</v>
      </c>
      <c r="S89" s="300">
        <f>E89*(('Capital Structure '!$T$15+'Capital Structure '!$T$16)/12)</f>
        <v>53165.912471741423</v>
      </c>
      <c r="T89" s="300">
        <f t="shared" si="12"/>
        <v>65077.415114762851</v>
      </c>
      <c r="U89" s="300">
        <f>E89*('Capital Structure '!$T$18/12)</f>
        <v>166432.42165066884</v>
      </c>
      <c r="V89" s="300">
        <v>40138.31601196569</v>
      </c>
      <c r="W89" s="300">
        <v>135443.41481853049</v>
      </c>
      <c r="X89" s="300">
        <v>460257.4800676693</v>
      </c>
      <c r="Z89" s="300">
        <v>-18593.495665921644</v>
      </c>
      <c r="AA89" s="258"/>
      <c r="AB89" s="300">
        <v>0</v>
      </c>
      <c r="AC89" s="300">
        <v>1397023.7634738602</v>
      </c>
      <c r="AE89" s="452">
        <f t="shared" si="14"/>
        <v>6.8400000000000016E-2</v>
      </c>
      <c r="AF89" s="452">
        <f t="shared" si="15"/>
        <v>8.8670168312699971E-2</v>
      </c>
    </row>
    <row r="90" spans="1:32" s="642" customFormat="1" outlineLevel="1">
      <c r="A90" s="636" t="s">
        <v>305</v>
      </c>
      <c r="B90" s="637">
        <v>2024</v>
      </c>
      <c r="C90" s="451">
        <v>50344116.781140827</v>
      </c>
      <c r="D90" s="451">
        <v>-12852800.573122764</v>
      </c>
      <c r="E90" s="451">
        <v>37491316.208018057</v>
      </c>
      <c r="F90" s="451"/>
      <c r="G90" s="451">
        <v>305062.91593501071</v>
      </c>
      <c r="H90" s="451">
        <v>650243.52456567332</v>
      </c>
      <c r="I90" s="451">
        <v>53.338571428571427</v>
      </c>
      <c r="J90" s="301"/>
      <c r="K90" s="301"/>
      <c r="L90" s="301"/>
      <c r="M90" s="301"/>
      <c r="Q90" s="300">
        <f t="shared" si="13"/>
        <v>955359.77907211264</v>
      </c>
      <c r="S90" s="300">
        <f>E90*(('Capital Structure '!$T$15+'Capital Structure '!$T$16)/12)</f>
        <v>51738.016367064913</v>
      </c>
      <c r="T90" s="300">
        <f t="shared" si="12"/>
        <v>63329.607483431835</v>
      </c>
      <c r="U90" s="300">
        <f>E90*('Capital Structure '!$T$18/12)</f>
        <v>161962.48601863801</v>
      </c>
      <c r="V90" s="300">
        <v>39002.822345500739</v>
      </c>
      <c r="W90" s="300">
        <v>131611.78571767389</v>
      </c>
      <c r="X90" s="300">
        <v>447644.71793230937</v>
      </c>
      <c r="Z90" s="300">
        <v>-18380.152433481588</v>
      </c>
      <c r="AA90" s="258"/>
      <c r="AB90" s="300">
        <v>0</v>
      </c>
      <c r="AC90" s="300">
        <v>1384624.3445709404</v>
      </c>
      <c r="AE90" s="452">
        <f t="shared" si="14"/>
        <v>6.8399999999999989E-2</v>
      </c>
      <c r="AF90" s="452">
        <f t="shared" si="15"/>
        <v>8.8670168312699943E-2</v>
      </c>
    </row>
    <row r="91" spans="1:32" s="642" customFormat="1" outlineLevel="1">
      <c r="A91" s="636" t="s">
        <v>306</v>
      </c>
      <c r="B91" s="637">
        <v>2024</v>
      </c>
      <c r="C91" s="451">
        <v>49388757.002068713</v>
      </c>
      <c r="D91" s="451">
        <v>-12900446.896994006</v>
      </c>
      <c r="E91" s="451">
        <v>36488310.105074704</v>
      </c>
      <c r="F91" s="451"/>
      <c r="G91" s="451">
        <v>305062.91593501071</v>
      </c>
      <c r="H91" s="451">
        <v>650243.52456567332</v>
      </c>
      <c r="I91" s="451">
        <v>53.338571428571427</v>
      </c>
      <c r="J91" s="301"/>
      <c r="K91" s="301"/>
      <c r="L91" s="301"/>
      <c r="M91" s="301"/>
      <c r="Q91" s="300">
        <f t="shared" si="13"/>
        <v>955359.77907211264</v>
      </c>
      <c r="S91" s="300">
        <f>E91*(('Capital Structure '!$T$15+'Capital Structure '!$T$16)/12)</f>
        <v>50353.86794500309</v>
      </c>
      <c r="T91" s="300">
        <f t="shared" si="12"/>
        <v>61635.348939654585</v>
      </c>
      <c r="U91" s="300">
        <f>E91*('Capital Structure '!$T$18/12)</f>
        <v>157629.49965392271</v>
      </c>
      <c r="V91" s="300">
        <v>37880.821394295213</v>
      </c>
      <c r="W91" s="300">
        <v>127825.68666420058</v>
      </c>
      <c r="X91" s="300">
        <v>435325.22459707613</v>
      </c>
      <c r="Z91" s="300">
        <v>-18165.922048766628</v>
      </c>
      <c r="AA91" s="258"/>
      <c r="AB91" s="300">
        <v>0</v>
      </c>
      <c r="AC91" s="300">
        <v>1372519.0816204222</v>
      </c>
      <c r="AE91" s="452">
        <f t="shared" si="14"/>
        <v>6.8400000000000002E-2</v>
      </c>
      <c r="AF91" s="452">
        <f t="shared" si="15"/>
        <v>8.8670168312699943E-2</v>
      </c>
    </row>
    <row r="92" spans="1:32" s="642" customFormat="1" outlineLevel="1">
      <c r="A92" s="636" t="s">
        <v>307</v>
      </c>
      <c r="B92" s="637">
        <v>2024</v>
      </c>
      <c r="C92" s="451">
        <v>48433397.2229966</v>
      </c>
      <c r="D92" s="451">
        <v>-12896857.845355248</v>
      </c>
      <c r="E92" s="451">
        <v>35536539.377641357</v>
      </c>
      <c r="F92" s="451"/>
      <c r="G92" s="451">
        <v>305062.91593501071</v>
      </c>
      <c r="H92" s="451">
        <v>650243.52456567332</v>
      </c>
      <c r="I92" s="451">
        <v>53.338571428571427</v>
      </c>
      <c r="J92" s="301"/>
      <c r="K92" s="301"/>
      <c r="L92" s="301"/>
      <c r="M92" s="301"/>
      <c r="Q92" s="300">
        <f t="shared" si="13"/>
        <v>955359.77907211264</v>
      </c>
      <c r="S92" s="300">
        <f>E92*(('Capital Structure '!$T$15+'Capital Structure '!$T$16)/12)</f>
        <v>49040.424341145073</v>
      </c>
      <c r="T92" s="300">
        <f t="shared" si="12"/>
        <v>60027.63620297335</v>
      </c>
      <c r="U92" s="300">
        <f>E92*('Capital Structure '!$T$18/12)</f>
        <v>153517.85011141066</v>
      </c>
      <c r="V92" s="300">
        <v>36769.09341600442</v>
      </c>
      <c r="W92" s="300">
        <v>124074.25290489396</v>
      </c>
      <c r="X92" s="300">
        <v>423429.25697642751</v>
      </c>
      <c r="Z92" s="300">
        <v>-17950.800822701895</v>
      </c>
      <c r="AA92" s="258"/>
      <c r="AB92" s="300">
        <v>0</v>
      </c>
      <c r="AC92" s="300">
        <v>1360838.2352258381</v>
      </c>
      <c r="AE92" s="452">
        <f t="shared" si="14"/>
        <v>6.8400000000000002E-2</v>
      </c>
      <c r="AF92" s="452">
        <f t="shared" si="15"/>
        <v>8.8670168312699971E-2</v>
      </c>
    </row>
    <row r="93" spans="1:32" s="642" customFormat="1" outlineLevel="1">
      <c r="A93" s="636" t="s">
        <v>308</v>
      </c>
      <c r="B93" s="637">
        <v>2024</v>
      </c>
      <c r="C93" s="451">
        <v>47478037.443924487</v>
      </c>
      <c r="D93" s="451">
        <v>-12806548.728551243</v>
      </c>
      <c r="E93" s="451">
        <v>34671488.71537324</v>
      </c>
      <c r="F93" s="451"/>
      <c r="G93" s="451">
        <v>305062.91593501071</v>
      </c>
      <c r="H93" s="451">
        <v>650243.52456567332</v>
      </c>
      <c r="I93" s="451">
        <v>53.338571428571427</v>
      </c>
      <c r="J93" s="301"/>
      <c r="K93" s="301"/>
      <c r="L93" s="301"/>
      <c r="M93" s="301"/>
      <c r="Q93" s="300">
        <f t="shared" si="13"/>
        <v>955359.77907211264</v>
      </c>
      <c r="S93" s="300">
        <f>E93*(('Capital Structure '!$T$15+'Capital Structure '!$T$16)/12)</f>
        <v>47846.654427215071</v>
      </c>
      <c r="T93" s="300">
        <f t="shared" si="12"/>
        <v>58566.409326041074</v>
      </c>
      <c r="U93" s="300">
        <f>E93*('Capital Structure '!$T$18/12)</f>
        <v>149780.83125041239</v>
      </c>
      <c r="V93" s="300">
        <v>35672.197117428106</v>
      </c>
      <c r="W93" s="300">
        <v>120372.86741735402</v>
      </c>
      <c r="X93" s="300">
        <v>412238.95953845064</v>
      </c>
      <c r="Z93" s="300">
        <v>-17734.785050872113</v>
      </c>
      <c r="AA93" s="258"/>
      <c r="AB93" s="300">
        <v>0</v>
      </c>
      <c r="AC93" s="300">
        <v>1349863.9535596911</v>
      </c>
      <c r="AE93" s="452">
        <f t="shared" si="14"/>
        <v>6.8400000000000002E-2</v>
      </c>
      <c r="AF93" s="452">
        <f t="shared" si="15"/>
        <v>8.8670168312699943E-2</v>
      </c>
    </row>
    <row r="94" spans="1:32" s="642" customFormat="1" outlineLevel="1">
      <c r="A94" s="636" t="s">
        <v>309</v>
      </c>
      <c r="B94" s="637">
        <v>2024</v>
      </c>
      <c r="C94" s="451">
        <v>46522677.664852373</v>
      </c>
      <c r="D94" s="451">
        <v>-12695513.248183008</v>
      </c>
      <c r="E94" s="451">
        <v>33827164.416669369</v>
      </c>
      <c r="F94" s="451"/>
      <c r="G94" s="451">
        <v>305062.91593501071</v>
      </c>
      <c r="H94" s="451">
        <v>650243.52456567332</v>
      </c>
      <c r="I94" s="451">
        <v>53.338571428571427</v>
      </c>
      <c r="J94" s="301"/>
      <c r="K94" s="301"/>
      <c r="L94" s="301"/>
      <c r="M94" s="301"/>
      <c r="Q94" s="300">
        <f t="shared" si="13"/>
        <v>955359.77907211264</v>
      </c>
      <c r="S94" s="300">
        <f>E94*(('Capital Structure '!$T$15+'Capital Structure '!$T$16)/12)</f>
        <v>46681.486895003727</v>
      </c>
      <c r="T94" s="300">
        <f t="shared" si="12"/>
        <v>57140.193022271924</v>
      </c>
      <c r="U94" s="300">
        <f>E94*('Capital Structure '!$T$18/12)</f>
        <v>146133.35028001168</v>
      </c>
      <c r="V94" s="300">
        <v>34596.257150942867</v>
      </c>
      <c r="W94" s="300">
        <v>116742.19733251404</v>
      </c>
      <c r="X94" s="300">
        <v>401293.48468074424</v>
      </c>
      <c r="Z94" s="300">
        <v>-17517.8710134578</v>
      </c>
      <c r="AA94" s="258"/>
      <c r="AB94" s="300">
        <v>0</v>
      </c>
      <c r="AC94" s="300">
        <v>1339135.3927393991</v>
      </c>
      <c r="AE94" s="452">
        <f t="shared" si="14"/>
        <v>6.8400000000000002E-2</v>
      </c>
      <c r="AF94" s="452">
        <f t="shared" si="15"/>
        <v>8.8670168312699957E-2</v>
      </c>
    </row>
    <row r="95" spans="1:32" s="642" customFormat="1" outlineLevel="1">
      <c r="A95" s="636" t="s">
        <v>298</v>
      </c>
      <c r="B95" s="637">
        <v>2024</v>
      </c>
      <c r="C95" s="451">
        <v>45567317.88578026</v>
      </c>
      <c r="D95" s="451">
        <v>-12552083.511002274</v>
      </c>
      <c r="E95" s="451">
        <v>33015234.374777984</v>
      </c>
      <c r="F95" s="451"/>
      <c r="G95" s="451">
        <v>305062.91593501071</v>
      </c>
      <c r="H95" s="451">
        <v>650243.52456567332</v>
      </c>
      <c r="I95" s="451">
        <v>53.338571428571427</v>
      </c>
      <c r="J95" s="301"/>
      <c r="K95" s="301"/>
      <c r="L95" s="301"/>
      <c r="M95" s="301"/>
      <c r="Q95" s="300">
        <f t="shared" si="13"/>
        <v>955359.77907211264</v>
      </c>
      <c r="S95" s="300">
        <f>E95*(('Capital Structure '!$T$15+'Capital Structure '!$T$16)/12)</f>
        <v>45561.023437193617</v>
      </c>
      <c r="T95" s="300">
        <f t="shared" si="12"/>
        <v>55768.6964716656</v>
      </c>
      <c r="U95" s="300">
        <f>E95*('Capital Structure '!$T$18/12)</f>
        <v>142625.81249904088</v>
      </c>
      <c r="V95" s="300">
        <v>33534.282307063098</v>
      </c>
      <c r="W95" s="300">
        <v>113158.6513944241</v>
      </c>
      <c r="X95" s="300">
        <v>390648.46610938729</v>
      </c>
      <c r="Z95" s="300">
        <v>-17300.054975171246</v>
      </c>
      <c r="AA95" s="258"/>
      <c r="AB95" s="300">
        <v>0</v>
      </c>
      <c r="AC95" s="300">
        <v>1328708.1902063286</v>
      </c>
      <c r="AE95" s="452">
        <f t="shared" si="14"/>
        <v>6.8400000000000002E-2</v>
      </c>
      <c r="AF95" s="452">
        <f t="shared" si="15"/>
        <v>8.8670168312699943E-2</v>
      </c>
    </row>
    <row r="96" spans="1:32" s="642" customFormat="1" outlineLevel="1">
      <c r="A96" s="636" t="s">
        <v>299</v>
      </c>
      <c r="B96" s="637">
        <v>2024</v>
      </c>
      <c r="C96" s="451">
        <v>44611958.106708147</v>
      </c>
      <c r="D96" s="451">
        <v>-12382230.889054416</v>
      </c>
      <c r="E96" s="451">
        <v>32229727.217653729</v>
      </c>
      <c r="F96" s="451"/>
      <c r="G96" s="451">
        <v>305062.91593501071</v>
      </c>
      <c r="H96" s="451">
        <v>650243.52456567332</v>
      </c>
      <c r="I96" s="451">
        <v>53.338571428571427</v>
      </c>
      <c r="J96" s="301"/>
      <c r="K96" s="301"/>
      <c r="L96" s="301"/>
      <c r="M96" s="301"/>
      <c r="Q96" s="300">
        <f t="shared" si="13"/>
        <v>955359.77907211264</v>
      </c>
      <c r="S96" s="300">
        <f>E96*(('Capital Structure '!$T$15+'Capital Structure '!$T$16)/12)</f>
        <v>44477.02356036214</v>
      </c>
      <c r="T96" s="300">
        <f t="shared" si="12"/>
        <v>54441.832947854004</v>
      </c>
      <c r="U96" s="300">
        <f>E96*('Capital Structure '!$T$18/12)</f>
        <v>139232.42158026411</v>
      </c>
      <c r="V96" s="300">
        <v>32493.007339075622</v>
      </c>
      <c r="W96" s="300">
        <v>109644.95546888412</v>
      </c>
      <c r="X96" s="300">
        <v>380289.24089643999</v>
      </c>
      <c r="Z96" s="300">
        <v>-17081.333185192147</v>
      </c>
      <c r="AA96" s="258"/>
      <c r="AB96" s="300">
        <v>0</v>
      </c>
      <c r="AC96" s="300">
        <v>1318567.6867833606</v>
      </c>
      <c r="AE96" s="452">
        <f t="shared" si="14"/>
        <v>6.8400000000000002E-2</v>
      </c>
      <c r="AF96" s="452">
        <f t="shared" si="15"/>
        <v>8.8670168312699957E-2</v>
      </c>
    </row>
    <row r="97" spans="1:32" s="642" customFormat="1" outlineLevel="1">
      <c r="A97" s="636" t="s">
        <v>300</v>
      </c>
      <c r="B97" s="637">
        <v>2024</v>
      </c>
      <c r="C97" s="451">
        <v>43656598.327636026</v>
      </c>
      <c r="D97" s="451">
        <v>-12178460.824440995</v>
      </c>
      <c r="E97" s="451">
        <v>31478137.503195036</v>
      </c>
      <c r="F97" s="451"/>
      <c r="G97" s="451">
        <v>305062.91593501071</v>
      </c>
      <c r="H97" s="451">
        <v>650243.52456567332</v>
      </c>
      <c r="I97" s="451">
        <v>53.338571428571427</v>
      </c>
      <c r="J97" s="301"/>
      <c r="K97" s="301"/>
      <c r="L97" s="301"/>
      <c r="M97" s="301"/>
      <c r="Q97" s="300">
        <f t="shared" si="13"/>
        <v>955359.77907211264</v>
      </c>
      <c r="S97" s="300">
        <f>E97*(('Capital Structure '!$T$15+'Capital Structure '!$T$16)/12)</f>
        <v>43439.829754409147</v>
      </c>
      <c r="T97" s="300">
        <f t="shared" si="12"/>
        <v>53172.26211333969</v>
      </c>
      <c r="U97" s="300">
        <f>E97*('Capital Structure '!$T$18/12)</f>
        <v>135985.55401380255</v>
      </c>
      <c r="V97" s="300">
        <v>31469.272414338157</v>
      </c>
      <c r="W97" s="300">
        <v>106190.44696299417</v>
      </c>
      <c r="X97" s="300">
        <v>370257.36525888368</v>
      </c>
      <c r="Z97" s="300">
        <v>-16861.701877103053</v>
      </c>
      <c r="AA97" s="258"/>
      <c r="AB97" s="300">
        <v>0</v>
      </c>
      <c r="AC97" s="300">
        <v>1308755.4424538934</v>
      </c>
      <c r="AE97" s="452">
        <f t="shared" si="14"/>
        <v>6.8400000000000002E-2</v>
      </c>
      <c r="AF97" s="452">
        <f t="shared" si="15"/>
        <v>8.8670168312699943E-2</v>
      </c>
    </row>
    <row r="98" spans="1:32" s="642" customFormat="1" outlineLevel="1">
      <c r="A98" s="636" t="s">
        <v>301</v>
      </c>
      <c r="B98" s="637">
        <v>2025</v>
      </c>
      <c r="C98" s="451">
        <v>42701238.54856392</v>
      </c>
      <c r="D98" s="451">
        <v>-11974690.759827575</v>
      </c>
      <c r="E98" s="451">
        <v>30726547.788736347</v>
      </c>
      <c r="F98" s="451"/>
      <c r="G98" s="451">
        <v>305062.91593501071</v>
      </c>
      <c r="H98" s="451">
        <v>650243.52456567332</v>
      </c>
      <c r="I98" s="451">
        <v>53.338571428571427</v>
      </c>
      <c r="J98" s="301"/>
      <c r="K98" s="301"/>
      <c r="L98" s="301"/>
      <c r="M98" s="301"/>
      <c r="Q98" s="300">
        <f t="shared" si="13"/>
        <v>955359.77907211264</v>
      </c>
      <c r="S98" s="300">
        <f>E98*(('Capital Structure '!$T$15+'Capital Structure '!$T$16)/12)</f>
        <v>42402.635948456154</v>
      </c>
      <c r="T98" s="300">
        <f t="shared" si="12"/>
        <v>51902.691278825376</v>
      </c>
      <c r="U98" s="300">
        <f>E98*('Capital Structure '!$T$18/12)</f>
        <v>132738.68644734102</v>
      </c>
      <c r="V98" s="300">
        <v>30460.621627786302</v>
      </c>
      <c r="W98" s="300">
        <v>102786.83862902087</v>
      </c>
      <c r="X98" s="300">
        <v>360291.47393142973</v>
      </c>
      <c r="Z98" s="300">
        <v>-16641.157268824485</v>
      </c>
      <c r="AA98" s="258"/>
      <c r="AB98" s="300">
        <v>0</v>
      </c>
      <c r="AC98" s="300">
        <v>1299010.0957347178</v>
      </c>
      <c r="AE98" s="452">
        <f t="shared" si="14"/>
        <v>6.8400000000000002E-2</v>
      </c>
      <c r="AF98" s="452">
        <f t="shared" si="15"/>
        <v>8.8670168312699957E-2</v>
      </c>
    </row>
    <row r="99" spans="1:32" s="642" customFormat="1" outlineLevel="1">
      <c r="A99" s="636" t="s">
        <v>302</v>
      </c>
      <c r="B99" s="637">
        <v>2025</v>
      </c>
      <c r="C99" s="451">
        <v>41745878.769491807</v>
      </c>
      <c r="D99" s="451">
        <v>-11734766.522104153</v>
      </c>
      <c r="E99" s="451">
        <v>30011112.247387651</v>
      </c>
      <c r="F99" s="451"/>
      <c r="G99" s="451">
        <v>305062.91593501071</v>
      </c>
      <c r="H99" s="451">
        <v>650243.52456567332</v>
      </c>
      <c r="I99" s="451">
        <v>53.338571428571427</v>
      </c>
      <c r="J99" s="301"/>
      <c r="K99" s="301"/>
      <c r="L99" s="301"/>
      <c r="M99" s="301"/>
      <c r="Q99" s="300">
        <f t="shared" si="13"/>
        <v>955359.77907211264</v>
      </c>
      <c r="S99" s="300">
        <f>E99*(('Capital Structure '!$T$15+'Capital Structure '!$T$16)/12)</f>
        <v>41415.334901394956</v>
      </c>
      <c r="T99" s="300">
        <f t="shared" si="12"/>
        <v>50694.191375489907</v>
      </c>
      <c r="U99" s="300">
        <f>E99*('Capital Structure '!$T$18/12)</f>
        <v>129648.00490871466</v>
      </c>
      <c r="V99" s="300">
        <v>29463.045053549922</v>
      </c>
      <c r="W99" s="300">
        <v>99420.599305047566</v>
      </c>
      <c r="X99" s="300">
        <v>350641.17554419697</v>
      </c>
      <c r="Z99" s="300">
        <v>-16419.69556254983</v>
      </c>
      <c r="AA99" s="258"/>
      <c r="AB99" s="300">
        <v>0</v>
      </c>
      <c r="AC99" s="300">
        <v>1289581.2590537597</v>
      </c>
      <c r="AE99" s="452">
        <f t="shared" si="14"/>
        <v>6.8400000000000002E-2</v>
      </c>
      <c r="AF99" s="452">
        <f t="shared" si="15"/>
        <v>8.8670168312699957E-2</v>
      </c>
    </row>
    <row r="100" spans="1:32" s="642" customFormat="1" outlineLevel="1">
      <c r="A100" s="636" t="s">
        <v>303</v>
      </c>
      <c r="B100" s="637">
        <v>2025</v>
      </c>
      <c r="C100" s="451">
        <v>40790518.990419701</v>
      </c>
      <c r="D100" s="451">
        <v>-11466214.888206983</v>
      </c>
      <c r="E100" s="451">
        <v>29324304.102212708</v>
      </c>
      <c r="F100" s="451"/>
      <c r="G100" s="451">
        <v>305062.91593501071</v>
      </c>
      <c r="H100" s="451">
        <v>650243.52456567332</v>
      </c>
      <c r="I100" s="451">
        <v>53.338571428571427</v>
      </c>
      <c r="J100" s="301"/>
      <c r="K100" s="301"/>
      <c r="L100" s="301"/>
      <c r="M100" s="301"/>
      <c r="Q100" s="300">
        <f t="shared" si="13"/>
        <v>955359.77907211264</v>
      </c>
      <c r="S100" s="300">
        <f>E100*(('Capital Structure '!$T$15+'Capital Structure '!$T$16)/12)</f>
        <v>40467.539661053539</v>
      </c>
      <c r="T100" s="300">
        <f t="shared" si="12"/>
        <v>49534.048317054127</v>
      </c>
      <c r="U100" s="300">
        <f>E100*('Capital Structure '!$T$18/12)</f>
        <v>126680.9937215589</v>
      </c>
      <c r="V100" s="300">
        <v>28482.545307832675</v>
      </c>
      <c r="W100" s="300">
        <v>96111.984321074269</v>
      </c>
      <c r="X100" s="300">
        <v>341277.11132857355</v>
      </c>
      <c r="Z100" s="300">
        <v>-16197.312944679914</v>
      </c>
      <c r="AA100" s="258"/>
      <c r="AB100" s="300">
        <v>0</v>
      </c>
      <c r="AC100" s="300">
        <v>1280439.5774560063</v>
      </c>
      <c r="AE100" s="452">
        <f t="shared" si="14"/>
        <v>6.8400000000000002E-2</v>
      </c>
      <c r="AF100" s="452">
        <f t="shared" si="15"/>
        <v>8.8670168312699957E-2</v>
      </c>
    </row>
    <row r="101" spans="1:32" s="642" customFormat="1" outlineLevel="1">
      <c r="A101" s="636" t="s">
        <v>304</v>
      </c>
      <c r="B101" s="637">
        <v>2025</v>
      </c>
      <c r="C101" s="451">
        <v>39835159.21134758</v>
      </c>
      <c r="D101" s="451">
        <v>-11197663.254309813</v>
      </c>
      <c r="E101" s="451">
        <v>28637495.957037766</v>
      </c>
      <c r="F101" s="451"/>
      <c r="G101" s="451">
        <v>305062.91593501071</v>
      </c>
      <c r="H101" s="451">
        <v>650243.52456567332</v>
      </c>
      <c r="I101" s="451">
        <v>53.338571428571427</v>
      </c>
      <c r="J101" s="301"/>
      <c r="K101" s="301"/>
      <c r="L101" s="301"/>
      <c r="M101" s="301"/>
      <c r="Q101" s="300">
        <f t="shared" si="13"/>
        <v>955359.77907211264</v>
      </c>
      <c r="S101" s="300">
        <f>E101*(('Capital Structure '!$T$15+'Capital Structure '!$T$16)/12)</f>
        <v>39519.744420712115</v>
      </c>
      <c r="T101" s="300">
        <f t="shared" si="12"/>
        <v>48373.905258618346</v>
      </c>
      <c r="U101" s="300">
        <f>E101*('Capital Structure '!$T$18/12)</f>
        <v>123713.98253440314</v>
      </c>
      <c r="V101" s="300">
        <v>27515.174606719116</v>
      </c>
      <c r="W101" s="300">
        <v>92847.67220805095</v>
      </c>
      <c r="X101" s="300">
        <v>331970.4790285037</v>
      </c>
      <c r="Z101" s="300">
        <v>-15974.005585757355</v>
      </c>
      <c r="AA101" s="258"/>
      <c r="AB101" s="300">
        <v>0</v>
      </c>
      <c r="AC101" s="300">
        <v>1271356.252514859</v>
      </c>
      <c r="AE101" s="452">
        <f t="shared" si="14"/>
        <v>6.8400000000000002E-2</v>
      </c>
      <c r="AF101" s="452">
        <f t="shared" si="15"/>
        <v>8.8670168312699971E-2</v>
      </c>
    </row>
    <row r="102" spans="1:32" s="642" customFormat="1" outlineLevel="1">
      <c r="A102" s="636" t="s">
        <v>305</v>
      </c>
      <c r="B102" s="637">
        <v>2025</v>
      </c>
      <c r="C102" s="451">
        <v>38879799.432275474</v>
      </c>
      <c r="D102" s="451">
        <v>-10929111.620412642</v>
      </c>
      <c r="E102" s="451">
        <v>27950687.811862826</v>
      </c>
      <c r="F102" s="451"/>
      <c r="G102" s="451">
        <v>305062.91593501071</v>
      </c>
      <c r="H102" s="451">
        <v>650243.52456567332</v>
      </c>
      <c r="I102" s="451">
        <v>53.338571428571427</v>
      </c>
      <c r="J102" s="301"/>
      <c r="K102" s="301"/>
      <c r="L102" s="301"/>
      <c r="M102" s="301"/>
      <c r="Q102" s="300">
        <f t="shared" si="13"/>
        <v>955359.77907211264</v>
      </c>
      <c r="S102" s="300">
        <f>E102*(('Capital Structure '!$T$15+'Capital Structure '!$T$16)/12)</f>
        <v>38571.949180370699</v>
      </c>
      <c r="T102" s="300">
        <f t="shared" si="12"/>
        <v>47213.762200182573</v>
      </c>
      <c r="U102" s="300">
        <f>E102*('Capital Structure '!$T$18/12)</f>
        <v>120746.97134724741</v>
      </c>
      <c r="V102" s="300">
        <v>26556.898482608198</v>
      </c>
      <c r="W102" s="300">
        <v>89614.048990027644</v>
      </c>
      <c r="X102" s="300">
        <v>322703.63020043651</v>
      </c>
      <c r="Z102" s="300">
        <v>-15749.769640400613</v>
      </c>
      <c r="AA102" s="258"/>
      <c r="AB102" s="300">
        <v>0</v>
      </c>
      <c r="AC102" s="300">
        <v>1262313.6396321487</v>
      </c>
      <c r="AE102" s="452">
        <f t="shared" si="14"/>
        <v>6.8400000000000002E-2</v>
      </c>
      <c r="AF102" s="452">
        <f t="shared" si="15"/>
        <v>8.8670168312699957E-2</v>
      </c>
    </row>
    <row r="103" spans="1:32" s="642" customFormat="1" outlineLevel="1">
      <c r="A103" s="636" t="s">
        <v>306</v>
      </c>
      <c r="B103" s="637">
        <v>2025</v>
      </c>
      <c r="C103" s="451">
        <v>37924439.653203353</v>
      </c>
      <c r="D103" s="451">
        <v>-10660559.986515472</v>
      </c>
      <c r="E103" s="451">
        <v>27263879.666687883</v>
      </c>
      <c r="F103" s="451"/>
      <c r="G103" s="451">
        <v>305062.91593501071</v>
      </c>
      <c r="H103" s="451">
        <v>650243.52456567332</v>
      </c>
      <c r="I103" s="451">
        <v>53.338571428571427</v>
      </c>
      <c r="J103" s="301"/>
      <c r="K103" s="301"/>
      <c r="L103" s="301"/>
      <c r="M103" s="301"/>
      <c r="Q103" s="300">
        <f t="shared" si="13"/>
        <v>955359.77907211264</v>
      </c>
      <c r="S103" s="300">
        <f>E103*(('Capital Structure '!$T$15+'Capital Structure '!$T$16)/12)</f>
        <v>37624.153940029275</v>
      </c>
      <c r="T103" s="300">
        <f t="shared" si="12"/>
        <v>46053.619141746793</v>
      </c>
      <c r="U103" s="300">
        <f>E103*('Capital Structure '!$T$18/12)</f>
        <v>117779.96016009166</v>
      </c>
      <c r="V103" s="300">
        <v>25611.742393855748</v>
      </c>
      <c r="W103" s="300">
        <v>86424.69824200435</v>
      </c>
      <c r="X103" s="300">
        <v>313494.17387772782</v>
      </c>
      <c r="Z103" s="300">
        <v>-15524.601247237759</v>
      </c>
      <c r="AA103" s="258"/>
      <c r="AB103" s="300">
        <v>0</v>
      </c>
      <c r="AC103" s="300">
        <v>1253329.3517026026</v>
      </c>
      <c r="AE103" s="452">
        <f t="shared" si="14"/>
        <v>6.8400000000000002E-2</v>
      </c>
      <c r="AF103" s="452">
        <f t="shared" si="15"/>
        <v>8.8670168312699971E-2</v>
      </c>
    </row>
    <row r="104" spans="1:32" s="642" customFormat="1" outlineLevel="1">
      <c r="A104" s="636" t="s">
        <v>307</v>
      </c>
      <c r="B104" s="637">
        <v>2025</v>
      </c>
      <c r="C104" s="451">
        <v>36969079.874131247</v>
      </c>
      <c r="D104" s="451">
        <v>-10392008.352618299</v>
      </c>
      <c r="E104" s="451">
        <v>26577071.521512941</v>
      </c>
      <c r="F104" s="451"/>
      <c r="G104" s="451">
        <v>305062.91593501071</v>
      </c>
      <c r="H104" s="451">
        <v>650243.52456567332</v>
      </c>
      <c r="I104" s="451">
        <v>53.338571428571427</v>
      </c>
      <c r="J104" s="301"/>
      <c r="K104" s="301"/>
      <c r="L104" s="301"/>
      <c r="M104" s="301"/>
      <c r="Q104" s="300">
        <f t="shared" si="13"/>
        <v>955359.77907211264</v>
      </c>
      <c r="S104" s="300">
        <f>E104*(('Capital Structure '!$T$15+'Capital Structure '!$T$16)/12)</f>
        <v>36676.358699687858</v>
      </c>
      <c r="T104" s="300">
        <f t="shared" si="12"/>
        <v>44893.476083311012</v>
      </c>
      <c r="U104" s="300">
        <f>E104*('Capital Structure '!$T$18/12)</f>
        <v>114812.9489729359</v>
      </c>
      <c r="V104" s="300">
        <v>24682.686465299255</v>
      </c>
      <c r="W104" s="300">
        <v>83289.676147814404</v>
      </c>
      <c r="X104" s="300">
        <v>304355.14636904839</v>
      </c>
      <c r="Z104" s="300">
        <v>-15298.496528840002</v>
      </c>
      <c r="AA104" s="258"/>
      <c r="AB104" s="300">
        <v>0</v>
      </c>
      <c r="AC104" s="300">
        <v>1244416.4289123211</v>
      </c>
      <c r="AE104" s="452">
        <f t="shared" si="14"/>
        <v>6.8400000000000002E-2</v>
      </c>
      <c r="AF104" s="452">
        <f t="shared" si="15"/>
        <v>8.8670168312699957E-2</v>
      </c>
    </row>
    <row r="105" spans="1:32" s="642" customFormat="1" outlineLevel="1">
      <c r="A105" s="636" t="s">
        <v>308</v>
      </c>
      <c r="B105" s="637">
        <v>2025</v>
      </c>
      <c r="C105" s="451">
        <v>36013720.095059127</v>
      </c>
      <c r="D105" s="451">
        <v>-10123456.718721129</v>
      </c>
      <c r="E105" s="451">
        <v>25890263.376337998</v>
      </c>
      <c r="F105" s="451"/>
      <c r="G105" s="451">
        <v>305062.91593501071</v>
      </c>
      <c r="H105" s="451">
        <v>650243.52456567332</v>
      </c>
      <c r="I105" s="451">
        <v>53.338571428571427</v>
      </c>
      <c r="J105" s="301"/>
      <c r="K105" s="301"/>
      <c r="L105" s="301"/>
      <c r="M105" s="301"/>
      <c r="Q105" s="300">
        <f t="shared" si="13"/>
        <v>955359.77907211264</v>
      </c>
      <c r="S105" s="300">
        <f>E105*(('Capital Structure '!$T$15+'Capital Structure '!$T$16)/12)</f>
        <v>35728.563459346435</v>
      </c>
      <c r="T105" s="300">
        <f t="shared" si="12"/>
        <v>43733.333024875232</v>
      </c>
      <c r="U105" s="300">
        <f>E105*('Capital Structure '!$T$18/12)</f>
        <v>111845.93778578014</v>
      </c>
      <c r="V105" s="300">
        <v>23772.056229911133</v>
      </c>
      <c r="W105" s="300">
        <v>80216.8300253911</v>
      </c>
      <c r="X105" s="300">
        <v>295296.72052530403</v>
      </c>
      <c r="Z105" s="300">
        <v>-15071.45159165491</v>
      </c>
      <c r="AA105" s="258"/>
      <c r="AB105" s="300">
        <v>0</v>
      </c>
      <c r="AC105" s="300">
        <v>1235585.0480057618</v>
      </c>
      <c r="AE105" s="452">
        <f t="shared" si="14"/>
        <v>6.8400000000000002E-2</v>
      </c>
      <c r="AF105" s="452">
        <f t="shared" si="15"/>
        <v>8.8670168312699943E-2</v>
      </c>
    </row>
    <row r="106" spans="1:32" s="642" customFormat="1" outlineLevel="1">
      <c r="A106" s="636" t="s">
        <v>309</v>
      </c>
      <c r="B106" s="637">
        <v>2025</v>
      </c>
      <c r="C106" s="451">
        <v>35058360.315987021</v>
      </c>
      <c r="D106" s="451">
        <v>-9854905.0848239604</v>
      </c>
      <c r="E106" s="451">
        <v>25203455.231163058</v>
      </c>
      <c r="F106" s="451"/>
      <c r="G106" s="451">
        <v>305062.91593501071</v>
      </c>
      <c r="H106" s="451">
        <v>650243.52456567332</v>
      </c>
      <c r="I106" s="451">
        <v>53.338571428571427</v>
      </c>
      <c r="J106" s="301"/>
      <c r="K106" s="301"/>
      <c r="L106" s="301"/>
      <c r="M106" s="301"/>
      <c r="Q106" s="300">
        <f t="shared" si="13"/>
        <v>955359.77907211264</v>
      </c>
      <c r="S106" s="300">
        <f>E106*(('Capital Structure '!$T$15+'Capital Structure '!$T$16)/12)</f>
        <v>34780.768219005018</v>
      </c>
      <c r="T106" s="300">
        <f t="shared" si="12"/>
        <v>42573.189966439459</v>
      </c>
      <c r="U106" s="300">
        <f>E106*('Capital Structure '!$T$18/12)</f>
        <v>108878.92659862441</v>
      </c>
      <c r="V106" s="300">
        <v>22885.27774748575</v>
      </c>
      <c r="W106" s="300">
        <v>77224.469663001146</v>
      </c>
      <c r="X106" s="300">
        <v>286342.63219455577</v>
      </c>
      <c r="Z106" s="300">
        <v>-14843.462525939356</v>
      </c>
      <c r="AA106" s="258"/>
      <c r="AB106" s="300">
        <v>0</v>
      </c>
      <c r="AC106" s="300">
        <v>1226858.9487407291</v>
      </c>
      <c r="AE106" s="452">
        <f t="shared" si="14"/>
        <v>6.8400000000000002E-2</v>
      </c>
      <c r="AF106" s="452">
        <f t="shared" si="15"/>
        <v>8.8670168312699957E-2</v>
      </c>
    </row>
    <row r="107" spans="1:32" s="642" customFormat="1" outlineLevel="1">
      <c r="A107" s="636" t="s">
        <v>298</v>
      </c>
      <c r="B107" s="637">
        <v>2025</v>
      </c>
      <c r="C107" s="451">
        <v>34103000.5369149</v>
      </c>
      <c r="D107" s="451">
        <v>-9586353.4509267882</v>
      </c>
      <c r="E107" s="451">
        <v>24516647.085988116</v>
      </c>
      <c r="F107" s="451"/>
      <c r="G107" s="451">
        <v>305062.91593501071</v>
      </c>
      <c r="H107" s="451">
        <v>650243.52456567332</v>
      </c>
      <c r="I107" s="451">
        <v>53.338571428571427</v>
      </c>
      <c r="J107" s="301"/>
      <c r="K107" s="301"/>
      <c r="L107" s="301"/>
      <c r="M107" s="301"/>
      <c r="Q107" s="300">
        <f t="shared" si="13"/>
        <v>955359.77907211264</v>
      </c>
      <c r="S107" s="300">
        <f>E107*(('Capital Structure '!$T$15+'Capital Structure '!$T$16)/12)</f>
        <v>33832.972978663594</v>
      </c>
      <c r="T107" s="300">
        <f t="shared" si="12"/>
        <v>41413.046908003678</v>
      </c>
      <c r="U107" s="300">
        <f>E107*('Capital Structure '!$T$18/12)</f>
        <v>105911.91541146865</v>
      </c>
      <c r="V107" s="300">
        <v>22017.320772866933</v>
      </c>
      <c r="W107" s="300">
        <v>74295.620916011176</v>
      </c>
      <c r="X107" s="300">
        <v>277470.87698701402</v>
      </c>
      <c r="Z107" s="300">
        <v>-14614.525405692202</v>
      </c>
      <c r="AA107" s="258"/>
      <c r="AB107" s="300">
        <v>0</v>
      </c>
      <c r="AC107" s="300">
        <v>1218216.1306534344</v>
      </c>
      <c r="AE107" s="452">
        <f t="shared" si="14"/>
        <v>6.8400000000000002E-2</v>
      </c>
      <c r="AF107" s="452">
        <f t="shared" si="15"/>
        <v>8.8670168312699943E-2</v>
      </c>
    </row>
    <row r="108" spans="1:32" s="642" customFormat="1" outlineLevel="1">
      <c r="A108" s="636" t="s">
        <v>299</v>
      </c>
      <c r="B108" s="637">
        <v>2025</v>
      </c>
      <c r="C108" s="451">
        <v>33147640.757842794</v>
      </c>
      <c r="D108" s="451">
        <v>-9317801.8170296177</v>
      </c>
      <c r="E108" s="451">
        <v>23829838.940813173</v>
      </c>
      <c r="F108" s="451"/>
      <c r="G108" s="451">
        <v>305062.91593501071</v>
      </c>
      <c r="H108" s="451">
        <v>650243.52456567332</v>
      </c>
      <c r="I108" s="451">
        <v>53.338571428571427</v>
      </c>
      <c r="J108" s="301"/>
      <c r="K108" s="301"/>
      <c r="L108" s="301"/>
      <c r="M108" s="301"/>
      <c r="Q108" s="300">
        <f t="shared" si="13"/>
        <v>955359.77907211264</v>
      </c>
      <c r="S108" s="300">
        <f>E108*(('Capital Structure '!$T$15+'Capital Structure '!$T$16)/12)</f>
        <v>32885.177738322178</v>
      </c>
      <c r="T108" s="300">
        <f t="shared" si="12"/>
        <v>40252.903849567898</v>
      </c>
      <c r="U108" s="300">
        <f>E108*('Capital Structure '!$T$18/12)</f>
        <v>102944.90422431291</v>
      </c>
      <c r="V108" s="300">
        <v>21172.876816240499</v>
      </c>
      <c r="W108" s="300">
        <v>71446.11489602123</v>
      </c>
      <c r="X108" s="300">
        <v>268701.97752446472</v>
      </c>
      <c r="Z108" s="300">
        <v>-14384.636288586687</v>
      </c>
      <c r="AA108" s="258"/>
      <c r="AB108" s="300">
        <v>0</v>
      </c>
      <c r="AC108" s="300">
        <v>1209677.1203079906</v>
      </c>
      <c r="AE108" s="452">
        <f t="shared" si="14"/>
        <v>6.8400000000000016E-2</v>
      </c>
      <c r="AF108" s="452">
        <f t="shared" si="15"/>
        <v>8.8670168312699943E-2</v>
      </c>
    </row>
    <row r="109" spans="1:32" s="642" customFormat="1" outlineLevel="1">
      <c r="A109" s="636" t="s">
        <v>300</v>
      </c>
      <c r="B109" s="637">
        <v>2025</v>
      </c>
      <c r="C109" s="451">
        <v>32192280.978770681</v>
      </c>
      <c r="D109" s="451">
        <v>-9049250.1831324473</v>
      </c>
      <c r="E109" s="451">
        <v>23143030.795638233</v>
      </c>
      <c r="F109" s="451"/>
      <c r="G109" s="451">
        <v>305062.91593501071</v>
      </c>
      <c r="H109" s="451">
        <v>650243.52456567332</v>
      </c>
      <c r="I109" s="451">
        <v>53.338571428571427</v>
      </c>
      <c r="J109" s="301"/>
      <c r="K109" s="301"/>
      <c r="L109" s="301"/>
      <c r="M109" s="301"/>
      <c r="Q109" s="300">
        <f t="shared" si="13"/>
        <v>955359.77907211264</v>
      </c>
      <c r="S109" s="300">
        <f>E109*(('Capital Structure '!$T$15+'Capital Structure '!$T$16)/12)</f>
        <v>31937.382497980761</v>
      </c>
      <c r="T109" s="300">
        <f t="shared" si="12"/>
        <v>39092.760791132125</v>
      </c>
      <c r="U109" s="300">
        <f>E109*('Capital Structure '!$T$18/12)</f>
        <v>99977.893037157177</v>
      </c>
      <c r="V109" s="300">
        <v>20354.231969523469</v>
      </c>
      <c r="W109" s="300">
        <v>68683.665830397935</v>
      </c>
      <c r="X109" s="300">
        <v>260045.93412619148</v>
      </c>
      <c r="Z109" s="300">
        <v>-14153.791215902542</v>
      </c>
      <c r="AA109" s="258"/>
      <c r="AB109" s="300">
        <v>0</v>
      </c>
      <c r="AC109" s="300">
        <v>1201251.9219824015</v>
      </c>
      <c r="AE109" s="452">
        <f t="shared" si="14"/>
        <v>6.8400000000000016E-2</v>
      </c>
      <c r="AF109" s="452">
        <f t="shared" si="15"/>
        <v>8.8670168312699985E-2</v>
      </c>
    </row>
    <row r="110" spans="1:32" s="642" customFormat="1" outlineLevel="1">
      <c r="A110" s="636" t="s">
        <v>301</v>
      </c>
      <c r="B110" s="637">
        <v>2026</v>
      </c>
      <c r="C110" s="451">
        <v>31240963.814817615</v>
      </c>
      <c r="D110" s="451">
        <v>-8781834.9283452388</v>
      </c>
      <c r="E110" s="451">
        <v>22459128.886472374</v>
      </c>
      <c r="F110" s="451"/>
      <c r="G110" s="451">
        <v>301733.80081596307</v>
      </c>
      <c r="H110" s="451">
        <v>649530.02456567332</v>
      </c>
      <c r="I110" s="451">
        <v>53.338571428571427</v>
      </c>
      <c r="J110" s="301"/>
      <c r="K110" s="301"/>
      <c r="L110" s="301"/>
      <c r="M110" s="301"/>
      <c r="Q110" s="300">
        <f t="shared" si="13"/>
        <v>951317.16395306494</v>
      </c>
      <c r="S110" s="300">
        <f>E110*(('Capital Structure '!$T$15+'Capital Structure '!$T$16)/12)</f>
        <v>30993.597863331874</v>
      </c>
      <c r="T110" s="300">
        <f t="shared" si="12"/>
        <v>37937.526890451387</v>
      </c>
      <c r="U110" s="300">
        <f>E110*('Capital Structure '!$T$18/12)</f>
        <v>97023.436789560656</v>
      </c>
      <c r="V110" s="300">
        <v>19554.953922352215</v>
      </c>
      <c r="W110" s="300">
        <v>65986.568421874646</v>
      </c>
      <c r="X110" s="300">
        <v>251496.08388757077</v>
      </c>
      <c r="Z110" s="300">
        <v>-13921.986212457818</v>
      </c>
      <c r="AA110" s="258"/>
      <c r="AB110" s="300">
        <v>0</v>
      </c>
      <c r="AC110" s="300">
        <v>1188891.2616281779</v>
      </c>
      <c r="AE110" s="452">
        <f t="shared" si="14"/>
        <v>6.8400000000000002E-2</v>
      </c>
      <c r="AF110" s="452">
        <f t="shared" si="15"/>
        <v>8.8670168312699943E-2</v>
      </c>
    </row>
    <row r="111" spans="1:32" s="642" customFormat="1" outlineLevel="1">
      <c r="A111" s="636" t="s">
        <v>302</v>
      </c>
      <c r="B111" s="637">
        <v>2026</v>
      </c>
      <c r="C111" s="451">
        <v>30297780.228840742</v>
      </c>
      <c r="D111" s="451">
        <v>-8516706.0223271418</v>
      </c>
      <c r="E111" s="451">
        <v>21781074.206513602</v>
      </c>
      <c r="F111" s="451"/>
      <c r="G111" s="451">
        <v>295422.75295882026</v>
      </c>
      <c r="H111" s="451">
        <v>647707.4944466257</v>
      </c>
      <c r="I111" s="451">
        <v>53.338571428571427</v>
      </c>
      <c r="J111" s="301"/>
      <c r="K111" s="301"/>
      <c r="L111" s="301"/>
      <c r="M111" s="301"/>
      <c r="Q111" s="300">
        <f t="shared" si="13"/>
        <v>943183.58597687446</v>
      </c>
      <c r="S111" s="300">
        <f>E111*(('Capital Structure '!$T$15+'Capital Structure '!$T$16)/12)</f>
        <v>30057.88240498877</v>
      </c>
      <c r="T111" s="300">
        <f t="shared" si="12"/>
        <v>36792.170016453201</v>
      </c>
      <c r="U111" s="300">
        <f>E111*('Capital Structure '!$T$18/12)</f>
        <v>94094.240572138762</v>
      </c>
      <c r="V111" s="300">
        <v>18781.842492398297</v>
      </c>
      <c r="W111" s="300">
        <v>63377.768090615617</v>
      </c>
      <c r="X111" s="300">
        <v>243103.90357659466</v>
      </c>
      <c r="Z111" s="300">
        <v>-13689.217286540437</v>
      </c>
      <c r="AA111" s="258"/>
      <c r="AB111" s="300">
        <v>0</v>
      </c>
      <c r="AC111" s="300">
        <v>1172598.2722669286</v>
      </c>
      <c r="AE111" s="452">
        <f t="shared" si="14"/>
        <v>6.8399999999999989E-2</v>
      </c>
      <c r="AF111" s="452">
        <f t="shared" si="15"/>
        <v>8.8670168312699971E-2</v>
      </c>
    </row>
    <row r="112" spans="1:32" s="642" customFormat="1" outlineLevel="1">
      <c r="A112" s="636" t="s">
        <v>303</v>
      </c>
      <c r="B112" s="637">
        <v>2026</v>
      </c>
      <c r="C112" s="451">
        <v>29365927.849173389</v>
      </c>
      <c r="D112" s="451">
        <v>-8254762.3184026489</v>
      </c>
      <c r="E112" s="451">
        <v>21111165.530770741</v>
      </c>
      <c r="F112" s="451"/>
      <c r="G112" s="451">
        <v>285137.97117310594</v>
      </c>
      <c r="H112" s="451">
        <v>646661.06992281624</v>
      </c>
      <c r="I112" s="451">
        <v>53.338571428571427</v>
      </c>
      <c r="J112" s="301"/>
      <c r="K112" s="301"/>
      <c r="L112" s="301"/>
      <c r="M112" s="301"/>
      <c r="Q112" s="300">
        <f t="shared" si="13"/>
        <v>931852.37966735079</v>
      </c>
      <c r="S112" s="300">
        <f>E112*(('Capital Structure '!$T$15+'Capital Structure '!$T$16)/12)</f>
        <v>29133.408432463621</v>
      </c>
      <c r="T112" s="300">
        <f t="shared" si="12"/>
        <v>35660.573215499397</v>
      </c>
      <c r="U112" s="300">
        <f>E112*('Capital Structure '!$T$18/12)</f>
        <v>91200.235092929608</v>
      </c>
      <c r="V112" s="300">
        <v>18032.289018314015</v>
      </c>
      <c r="W112" s="300">
        <v>60848.462125492333</v>
      </c>
      <c r="X112" s="300">
        <v>234874.96788469897</v>
      </c>
      <c r="Z112" s="300">
        <v>-13455.480429839448</v>
      </c>
      <c r="AA112" s="258"/>
      <c r="AB112" s="300">
        <v>0</v>
      </c>
      <c r="AC112" s="300">
        <v>1153271.8671222103</v>
      </c>
      <c r="AE112" s="452">
        <f t="shared" si="14"/>
        <v>6.8400000000000002E-2</v>
      </c>
      <c r="AF112" s="452">
        <f t="shared" si="15"/>
        <v>8.8670168312699957E-2</v>
      </c>
    </row>
    <row r="113" spans="1:32" s="642" customFormat="1" outlineLevel="1">
      <c r="A113" s="636" t="s">
        <v>304</v>
      </c>
      <c r="B113" s="637">
        <v>2026</v>
      </c>
      <c r="C113" s="451">
        <v>28449555.982363183</v>
      </c>
      <c r="D113" s="451">
        <v>-7997170.1866422994</v>
      </c>
      <c r="E113" s="451">
        <v>20452385.795720883</v>
      </c>
      <c r="F113" s="451"/>
      <c r="G113" s="451">
        <v>271109.7674826298</v>
      </c>
      <c r="H113" s="451">
        <v>645208.76075614954</v>
      </c>
      <c r="I113" s="451">
        <v>53.338571428571427</v>
      </c>
      <c r="J113" s="301"/>
      <c r="K113" s="301"/>
      <c r="L113" s="301"/>
      <c r="M113" s="301"/>
      <c r="Q113" s="300">
        <f t="shared" si="13"/>
        <v>916371.86681020795</v>
      </c>
      <c r="S113" s="300">
        <f>E113*(('Capital Structure '!$T$15+'Capital Structure '!$T$16)/12)</f>
        <v>28224.292398094818</v>
      </c>
      <c r="T113" s="300">
        <f t="shared" si="12"/>
        <v>34547.775206294682</v>
      </c>
      <c r="U113" s="300">
        <f>E113*('Capital Structure '!$T$18/12)</f>
        <v>88354.306637514208</v>
      </c>
      <c r="V113" s="300">
        <v>17305.43095018277</v>
      </c>
      <c r="W113" s="300">
        <v>58395.73992342619</v>
      </c>
      <c r="X113" s="300">
        <v>226827.54511551268</v>
      </c>
      <c r="Z113" s="300">
        <v>-13220.771617376013</v>
      </c>
      <c r="AA113" s="258"/>
      <c r="AB113" s="300">
        <v>0</v>
      </c>
      <c r="AC113" s="300">
        <v>1129978.6403083447</v>
      </c>
      <c r="AE113" s="452">
        <f t="shared" si="14"/>
        <v>6.8399999999999989E-2</v>
      </c>
      <c r="AF113" s="452">
        <f t="shared" si="15"/>
        <v>8.8670168312699957E-2</v>
      </c>
    </row>
    <row r="114" spans="1:32" s="642" customFormat="1" outlineLevel="1">
      <c r="A114" s="636" t="s">
        <v>305</v>
      </c>
      <c r="B114" s="637">
        <v>2026</v>
      </c>
      <c r="C114" s="451">
        <v>27544767.506624404</v>
      </c>
      <c r="D114" s="451">
        <v>-7742834.1461121291</v>
      </c>
      <c r="E114" s="451">
        <v>19801933.360512275</v>
      </c>
      <c r="F114" s="451"/>
      <c r="G114" s="451">
        <v>260329.60176834397</v>
      </c>
      <c r="H114" s="451">
        <v>644405.53539900668</v>
      </c>
      <c r="I114" s="451">
        <v>53.338571428571427</v>
      </c>
      <c r="J114" s="301"/>
      <c r="K114" s="301"/>
      <c r="L114" s="301"/>
      <c r="M114" s="301"/>
      <c r="Q114" s="300">
        <f t="shared" si="13"/>
        <v>904788.47573877918</v>
      </c>
      <c r="S114" s="300">
        <f>E114*(('Capital Structure '!$T$15+'Capital Structure '!$T$16)/12)</f>
        <v>27326.668037506937</v>
      </c>
      <c r="T114" s="300">
        <f t="shared" si="12"/>
        <v>33449.043511204349</v>
      </c>
      <c r="U114" s="300">
        <f>E114*('Capital Structure '!$T$18/12)</f>
        <v>85544.352117413029</v>
      </c>
      <c r="V114" s="300">
        <v>16599.63313113117</v>
      </c>
      <c r="W114" s="300">
        <v>56014.083783310045</v>
      </c>
      <c r="X114" s="300">
        <v>218933.78058056554</v>
      </c>
      <c r="Z114" s="300">
        <v>-12985.086807434083</v>
      </c>
      <c r="AA114" s="258"/>
      <c r="AB114" s="300">
        <v>0</v>
      </c>
      <c r="AC114" s="300">
        <v>1110737.1695119105</v>
      </c>
      <c r="AE114" s="452">
        <f t="shared" si="14"/>
        <v>6.8400000000000002E-2</v>
      </c>
      <c r="AF114" s="452">
        <f t="shared" si="15"/>
        <v>8.8670168312699943E-2</v>
      </c>
    </row>
    <row r="115" spans="1:32" s="642" customFormat="1" outlineLevel="1">
      <c r="A115" s="636" t="s">
        <v>306</v>
      </c>
      <c r="B115" s="637">
        <v>2026</v>
      </c>
      <c r="C115" s="451">
        <v>26644928.934218958</v>
      </c>
      <c r="D115" s="451">
        <v>-7489889.5234089578</v>
      </c>
      <c r="E115" s="451">
        <v>19155039.410809997</v>
      </c>
      <c r="F115" s="451"/>
      <c r="G115" s="451">
        <v>256227.30772072493</v>
      </c>
      <c r="H115" s="451">
        <v>643557.92611329246</v>
      </c>
      <c r="I115" s="451">
        <v>53.338571428571427</v>
      </c>
      <c r="J115" s="301"/>
      <c r="K115" s="301"/>
      <c r="L115" s="301"/>
      <c r="M115" s="301"/>
      <c r="Q115" s="300">
        <f t="shared" si="13"/>
        <v>899838.57240544597</v>
      </c>
      <c r="S115" s="300">
        <f>E115*(('Capital Structure '!$T$15+'Capital Structure '!$T$16)/12)</f>
        <v>26433.954386917794</v>
      </c>
      <c r="T115" s="300">
        <f t="shared" si="12"/>
        <v>32356.322741126645</v>
      </c>
      <c r="U115" s="300">
        <f>E115*('Capital Structure '!$T$18/12)</f>
        <v>82749.770254699193</v>
      </c>
      <c r="V115" s="300">
        <v>15919.936750369612</v>
      </c>
      <c r="W115" s="300">
        <v>53720.504779579613</v>
      </c>
      <c r="X115" s="300">
        <v>211180.48891269285</v>
      </c>
      <c r="Z115" s="300">
        <v>-12748.421941490811</v>
      </c>
      <c r="AA115" s="258"/>
      <c r="AB115" s="300">
        <v>0</v>
      </c>
      <c r="AC115" s="300">
        <v>1098270.639376648</v>
      </c>
      <c r="AE115" s="452">
        <f t="shared" si="14"/>
        <v>6.8399999999999989E-2</v>
      </c>
      <c r="AF115" s="452">
        <f t="shared" si="15"/>
        <v>8.8670168312699957E-2</v>
      </c>
    </row>
    <row r="116" spans="1:32" s="642" customFormat="1" outlineLevel="1">
      <c r="A116" s="636" t="s">
        <v>307</v>
      </c>
      <c r="B116" s="637">
        <v>2026</v>
      </c>
      <c r="C116" s="451">
        <v>25757347.001218271</v>
      </c>
      <c r="D116" s="451">
        <v>-7240390.2420424651</v>
      </c>
      <c r="E116" s="451">
        <v>18516956.759175807</v>
      </c>
      <c r="F116" s="451"/>
      <c r="G116" s="451">
        <v>244884.28783977253</v>
      </c>
      <c r="H116" s="451">
        <v>642644.30658948293</v>
      </c>
      <c r="I116" s="451">
        <v>53.338571428571427</v>
      </c>
      <c r="J116" s="301"/>
      <c r="K116" s="301"/>
      <c r="L116" s="301"/>
      <c r="M116" s="301"/>
      <c r="Q116" s="300">
        <f t="shared" si="13"/>
        <v>887581.93300068402</v>
      </c>
      <c r="S116" s="300">
        <f>E116*(('Capital Structure '!$T$15+'Capital Structure '!$T$16)/12)</f>
        <v>25553.400327662614</v>
      </c>
      <c r="T116" s="300">
        <f t="shared" si="12"/>
        <v>31278.4858456234</v>
      </c>
      <c r="U116" s="300">
        <f>E116*('Capital Structure '!$T$18/12)</f>
        <v>79993.253199639483</v>
      </c>
      <c r="V116" s="300">
        <v>15259.168593375598</v>
      </c>
      <c r="W116" s="300">
        <v>51490.797495399172</v>
      </c>
      <c r="X116" s="300">
        <v>203575.10546170027</v>
      </c>
      <c r="Z116" s="300">
        <v>-12510.772944146658</v>
      </c>
      <c r="AA116" s="258"/>
      <c r="AB116" s="300">
        <v>0</v>
      </c>
      <c r="AC116" s="300">
        <v>1078646.2655182376</v>
      </c>
      <c r="AE116" s="452">
        <f t="shared" si="14"/>
        <v>6.8400000000000002E-2</v>
      </c>
      <c r="AF116" s="452">
        <f t="shared" si="15"/>
        <v>8.8670168312699957E-2</v>
      </c>
    </row>
    <row r="117" spans="1:32" s="642" customFormat="1" outlineLevel="1">
      <c r="A117" s="636" t="s">
        <v>308</v>
      </c>
      <c r="B117" s="637">
        <v>2026</v>
      </c>
      <c r="C117" s="451">
        <v>24876764.226074729</v>
      </c>
      <c r="D117" s="451">
        <v>-6992858.423949616</v>
      </c>
      <c r="E117" s="451">
        <v>17883905.802125115</v>
      </c>
      <c r="F117" s="451"/>
      <c r="G117" s="451">
        <v>239845.88010167729</v>
      </c>
      <c r="H117" s="451">
        <v>640683.55647043523</v>
      </c>
      <c r="I117" s="451">
        <v>53.338571428571427</v>
      </c>
      <c r="J117" s="301"/>
      <c r="K117" s="301"/>
      <c r="L117" s="301"/>
      <c r="M117" s="301"/>
      <c r="Q117" s="300">
        <f t="shared" si="13"/>
        <v>880582.77514354105</v>
      </c>
      <c r="S117" s="300">
        <f>E117*(('Capital Structure '!$T$15+'Capital Structure '!$T$16)/12)</f>
        <v>24679.790006932657</v>
      </c>
      <c r="T117" s="300">
        <f t="shared" si="12"/>
        <v>30209.148391462288</v>
      </c>
      <c r="U117" s="300">
        <f>E117*('Capital Structure '!$T$18/12)</f>
        <v>77258.4730651805</v>
      </c>
      <c r="V117" s="300">
        <v>14615.803666975144</v>
      </c>
      <c r="W117" s="300">
        <v>49319.81596791873</v>
      </c>
      <c r="X117" s="300">
        <v>196083.03109846931</v>
      </c>
      <c r="Z117" s="300">
        <v>-12272.135723055215</v>
      </c>
      <c r="AA117" s="258"/>
      <c r="AB117" s="300">
        <v>0</v>
      </c>
      <c r="AC117" s="300">
        <v>1064393.6705189552</v>
      </c>
      <c r="AE117" s="452">
        <f t="shared" si="14"/>
        <v>6.8400000000000002E-2</v>
      </c>
      <c r="AF117" s="452">
        <f t="shared" si="15"/>
        <v>8.8670168312699957E-2</v>
      </c>
    </row>
    <row r="118" spans="1:32" s="642" customFormat="1" outlineLevel="1">
      <c r="A118" s="636" t="s">
        <v>309</v>
      </c>
      <c r="B118" s="637">
        <v>2026</v>
      </c>
      <c r="C118" s="451">
        <v>24005596.462597858</v>
      </c>
      <c r="D118" s="451">
        <v>-6747973.1656362657</v>
      </c>
      <c r="E118" s="451">
        <v>17257623.296961591</v>
      </c>
      <c r="F118" s="451"/>
      <c r="G118" s="451">
        <v>233270.47891120109</v>
      </c>
      <c r="H118" s="451">
        <v>637843.94599424477</v>
      </c>
      <c r="I118" s="451">
        <v>53.338571428571427</v>
      </c>
      <c r="J118" s="301"/>
      <c r="K118" s="301"/>
      <c r="L118" s="301"/>
      <c r="M118" s="301"/>
      <c r="Q118" s="300">
        <f t="shared" si="13"/>
        <v>871167.76347687445</v>
      </c>
      <c r="S118" s="300">
        <f>E118*(('Capital Structure '!$T$15+'Capital Structure '!$T$16)/12)</f>
        <v>23815.520149806995</v>
      </c>
      <c r="T118" s="300">
        <f t="shared" si="12"/>
        <v>29151.24407554862</v>
      </c>
      <c r="U118" s="300">
        <f>E118*('Capital Structure '!$T$18/12)</f>
        <v>74552.932642874075</v>
      </c>
      <c r="V118" s="300">
        <v>13981.991720998751</v>
      </c>
      <c r="W118" s="300">
        <v>47181.070179724004</v>
      </c>
      <c r="X118" s="300">
        <v>188682.75876895245</v>
      </c>
      <c r="Z118" s="300">
        <v>-12032.506168852735</v>
      </c>
      <c r="AA118" s="258"/>
      <c r="AB118" s="300">
        <v>0</v>
      </c>
      <c r="AC118" s="300">
        <v>1047818.0160769741</v>
      </c>
      <c r="AE118" s="452">
        <f t="shared" si="14"/>
        <v>6.8400000000000002E-2</v>
      </c>
      <c r="AF118" s="452">
        <f t="shared" si="15"/>
        <v>8.8670168312699957E-2</v>
      </c>
    </row>
    <row r="119" spans="1:32" s="642" customFormat="1" outlineLevel="1">
      <c r="A119" s="636" t="s">
        <v>298</v>
      </c>
      <c r="B119" s="637">
        <v>2026</v>
      </c>
      <c r="C119" s="451">
        <v>23141282.814597171</v>
      </c>
      <c r="D119" s="451">
        <v>-6505014.5991832744</v>
      </c>
      <c r="E119" s="451">
        <v>16636268.215413896</v>
      </c>
      <c r="F119" s="451"/>
      <c r="G119" s="451">
        <v>228840.73414929633</v>
      </c>
      <c r="H119" s="451">
        <v>635419.57527995913</v>
      </c>
      <c r="I119" s="451">
        <v>53.338571428571427</v>
      </c>
      <c r="J119" s="301"/>
      <c r="K119" s="301"/>
      <c r="L119" s="301"/>
      <c r="M119" s="301"/>
      <c r="Q119" s="300">
        <f t="shared" si="13"/>
        <v>864313.64800068398</v>
      </c>
      <c r="S119" s="300">
        <f>E119*(('Capital Structure '!$T$15+'Capital Structure '!$T$16)/12)</f>
        <v>22958.050137271177</v>
      </c>
      <c r="T119" s="300">
        <f t="shared" si="12"/>
        <v>28101.663068471691</v>
      </c>
      <c r="U119" s="300">
        <f>E119*('Capital Structure '!$T$18/12)</f>
        <v>71868.678690588029</v>
      </c>
      <c r="V119" s="300">
        <v>13355.185090896137</v>
      </c>
      <c r="W119" s="300">
        <v>45065.963248314998</v>
      </c>
      <c r="X119" s="300">
        <v>181349.54023554205</v>
      </c>
      <c r="Z119" s="300">
        <v>-11791.880155087361</v>
      </c>
      <c r="AA119" s="258"/>
      <c r="AB119" s="300">
        <v>0</v>
      </c>
      <c r="AC119" s="300">
        <v>1033871.3080811386</v>
      </c>
      <c r="AE119" s="452">
        <f t="shared" si="14"/>
        <v>6.8399999999999989E-2</v>
      </c>
      <c r="AF119" s="452">
        <f t="shared" si="15"/>
        <v>8.8670168312699957E-2</v>
      </c>
    </row>
    <row r="120" spans="1:32" s="642" customFormat="1" outlineLevel="1">
      <c r="A120" s="636" t="s">
        <v>299</v>
      </c>
      <c r="B120" s="637">
        <v>2026</v>
      </c>
      <c r="C120" s="451">
        <v>22291836.761477437</v>
      </c>
      <c r="D120" s="451">
        <v>-6266235.3136513177</v>
      </c>
      <c r="E120" s="451">
        <v>16025601.447826117</v>
      </c>
      <c r="F120" s="451"/>
      <c r="G120" s="451">
        <v>214783.17462548683</v>
      </c>
      <c r="H120" s="451">
        <v>634609.53992281621</v>
      </c>
      <c r="I120" s="451">
        <v>53.338571428571427</v>
      </c>
      <c r="J120" s="301"/>
      <c r="K120" s="301"/>
      <c r="L120" s="301"/>
      <c r="M120" s="301"/>
      <c r="Q120" s="300">
        <f t="shared" si="13"/>
        <v>849446.0531197316</v>
      </c>
      <c r="S120" s="300">
        <f>E120*(('Capital Structure '!$T$15+'Capital Structure '!$T$16)/12)</f>
        <v>22115.329998000041</v>
      </c>
      <c r="T120" s="300">
        <f t="shared" si="12"/>
        <v>27070.136554973629</v>
      </c>
      <c r="U120" s="300">
        <f>E120*('Capital Structure '!$T$18/12)</f>
        <v>69230.598254608834</v>
      </c>
      <c r="V120" s="300">
        <v>12734.656792711365</v>
      </c>
      <c r="W120" s="300">
        <v>42972.042026691721</v>
      </c>
      <c r="X120" s="300">
        <v>174122.7636269856</v>
      </c>
      <c r="Z120" s="300">
        <v>-11550.253538148081</v>
      </c>
      <c r="AA120" s="258"/>
      <c r="AB120" s="300">
        <v>0</v>
      </c>
      <c r="AC120" s="300">
        <v>1012018.5632085691</v>
      </c>
      <c r="AE120" s="452">
        <f t="shared" si="14"/>
        <v>6.8400000000000016E-2</v>
      </c>
      <c r="AF120" s="452">
        <f t="shared" si="15"/>
        <v>8.8670168312699957E-2</v>
      </c>
    </row>
    <row r="121" spans="1:32" s="642" customFormat="1" outlineLevel="1">
      <c r="A121" s="636" t="s">
        <v>300</v>
      </c>
      <c r="B121" s="637">
        <v>2026</v>
      </c>
      <c r="C121" s="451">
        <v>21462623.185262468</v>
      </c>
      <c r="D121" s="451">
        <v>-6033143.3773772903</v>
      </c>
      <c r="E121" s="451">
        <v>15429479.807885176</v>
      </c>
      <c r="F121" s="451"/>
      <c r="G121" s="451">
        <v>196713.91391120112</v>
      </c>
      <c r="H121" s="451">
        <v>632446.32373234001</v>
      </c>
      <c r="I121" s="451">
        <v>53.338571428571427</v>
      </c>
      <c r="J121" s="301"/>
      <c r="K121" s="301"/>
      <c r="L121" s="301"/>
      <c r="M121" s="301"/>
      <c r="Q121" s="300">
        <f t="shared" si="13"/>
        <v>829213.57621496962</v>
      </c>
      <c r="S121" s="300">
        <f>E121*(('Capital Structure '!$T$15+'Capital Structure '!$T$16)/12)</f>
        <v>21292.682134881543</v>
      </c>
      <c r="T121" s="300">
        <f t="shared" si="12"/>
        <v>26063.17939026983</v>
      </c>
      <c r="U121" s="300">
        <f>E121*('Capital Structure '!$T$18/12)</f>
        <v>66655.352770063953</v>
      </c>
      <c r="V121" s="300">
        <v>12120.166700359785</v>
      </c>
      <c r="W121" s="300">
        <v>40898.496229318429</v>
      </c>
      <c r="X121" s="300">
        <v>167029.87722489354</v>
      </c>
      <c r="Z121" s="300">
        <v>-11307.622157193362</v>
      </c>
      <c r="AA121" s="258"/>
      <c r="AB121" s="300">
        <v>0</v>
      </c>
      <c r="AC121" s="300">
        <v>984935.83128266979</v>
      </c>
      <c r="AE121" s="452">
        <f t="shared" si="14"/>
        <v>6.8399999999999989E-2</v>
      </c>
      <c r="AF121" s="452">
        <f t="shared" si="15"/>
        <v>8.8670168312699943E-2</v>
      </c>
    </row>
    <row r="122" spans="1:32" s="642" customFormat="1" outlineLevel="1">
      <c r="A122" s="636" t="s">
        <v>301</v>
      </c>
      <c r="B122" s="637">
        <v>2027</v>
      </c>
      <c r="C122" s="451">
        <v>20642245.704047497</v>
      </c>
      <c r="D122" s="451">
        <v>-5802535.2674077619</v>
      </c>
      <c r="E122" s="451">
        <v>14839710.436639735</v>
      </c>
      <c r="F122" s="451"/>
      <c r="G122" s="451">
        <v>188900.34748262967</v>
      </c>
      <c r="H122" s="451">
        <v>631423.79516091151</v>
      </c>
      <c r="I122" s="451">
        <v>53.338571428571427</v>
      </c>
      <c r="J122" s="301"/>
      <c r="K122" s="301"/>
      <c r="L122" s="301"/>
      <c r="M122" s="301"/>
      <c r="Q122" s="300">
        <f t="shared" si="13"/>
        <v>820377.48121496977</v>
      </c>
      <c r="S122" s="300">
        <f>E122*(('Capital Structure '!$T$15+'Capital Structure '!$T$16)/12)</f>
        <v>20478.800402562832</v>
      </c>
      <c r="T122" s="300">
        <f t="shared" si="12"/>
        <v>25066.952355201473</v>
      </c>
      <c r="U122" s="300">
        <f>E122*('Capital Structure '!$T$18/12)</f>
        <v>64107.54908628366</v>
      </c>
      <c r="V122" s="300">
        <v>11509.641696654809</v>
      </c>
      <c r="W122" s="300">
        <v>38838.330294373714</v>
      </c>
      <c r="X122" s="300">
        <v>160001.27383507648</v>
      </c>
      <c r="Z122" s="300">
        <v>-11063.981834079505</v>
      </c>
      <c r="AA122" s="258"/>
      <c r="AB122" s="300">
        <v>0</v>
      </c>
      <c r="AC122" s="300">
        <v>969314.77321596676</v>
      </c>
      <c r="AE122" s="452">
        <f t="shared" si="14"/>
        <v>6.8400000000000002E-2</v>
      </c>
      <c r="AF122" s="452">
        <f t="shared" si="15"/>
        <v>8.8670168312699957E-2</v>
      </c>
    </row>
    <row r="123" spans="1:32" s="642" customFormat="1" outlineLevel="1">
      <c r="A123" s="636" t="s">
        <v>302</v>
      </c>
      <c r="B123" s="637">
        <v>2027</v>
      </c>
      <c r="C123" s="451">
        <v>19826511.223427765</v>
      </c>
      <c r="D123" s="451">
        <v>-5573232.3049055561</v>
      </c>
      <c r="E123" s="451">
        <v>14253278.918522213</v>
      </c>
      <c r="F123" s="451"/>
      <c r="G123" s="451">
        <v>185256.14783977251</v>
      </c>
      <c r="H123" s="451">
        <v>630424.99420853052</v>
      </c>
      <c r="I123" s="451">
        <v>53.338571428571427</v>
      </c>
      <c r="J123" s="301"/>
      <c r="K123" s="301"/>
      <c r="L123" s="301"/>
      <c r="M123" s="301"/>
      <c r="Q123" s="300">
        <f t="shared" si="13"/>
        <v>815734.48061973159</v>
      </c>
      <c r="S123" s="300">
        <f>E123*(('Capital Structure '!$T$15+'Capital Structure '!$T$16)/12)</f>
        <v>19669.524907560652</v>
      </c>
      <c r="T123" s="300">
        <f t="shared" si="12"/>
        <v>24076.363557191944</v>
      </c>
      <c r="U123" s="300">
        <f>E123*('Capital Structure '!$T$18/12)</f>
        <v>61574.164928015962</v>
      </c>
      <c r="V123" s="300">
        <v>10903.152707478428</v>
      </c>
      <c r="W123" s="300">
        <v>36791.783555357571</v>
      </c>
      <c r="X123" s="300">
        <v>153014.98965560456</v>
      </c>
      <c r="Z123" s="300">
        <v>-10819.328373288699</v>
      </c>
      <c r="AA123" s="258"/>
      <c r="AB123" s="300">
        <v>0</v>
      </c>
      <c r="AC123" s="300">
        <v>957930.14190204744</v>
      </c>
      <c r="AE123" s="452">
        <f t="shared" si="14"/>
        <v>6.8400000000000002E-2</v>
      </c>
      <c r="AF123" s="452">
        <f t="shared" si="15"/>
        <v>8.8670168312699957E-2</v>
      </c>
    </row>
    <row r="124" spans="1:32" s="642" customFormat="1" outlineLevel="1">
      <c r="A124" s="636" t="s">
        <v>303</v>
      </c>
      <c r="B124" s="637">
        <v>2027</v>
      </c>
      <c r="C124" s="451">
        <v>19020673.131617565</v>
      </c>
      <c r="D124" s="451">
        <v>-5346711.2172977058</v>
      </c>
      <c r="E124" s="451">
        <v>13673961.914319858</v>
      </c>
      <c r="F124" s="451"/>
      <c r="G124" s="451">
        <v>177177.58605405825</v>
      </c>
      <c r="H124" s="451">
        <v>628607.16718472098</v>
      </c>
      <c r="I124" s="451">
        <v>53.338571428571427</v>
      </c>
      <c r="J124" s="301"/>
      <c r="K124" s="301"/>
      <c r="L124" s="301"/>
      <c r="M124" s="301"/>
      <c r="Q124" s="300">
        <f t="shared" si="13"/>
        <v>805838.09181020781</v>
      </c>
      <c r="S124" s="300">
        <f>E124*(('Capital Structure '!$T$15+'Capital Structure '!$T$16)/12)</f>
        <v>18870.067441761403</v>
      </c>
      <c r="T124" s="300">
        <f t="shared" si="12"/>
        <v>23097.792458726039</v>
      </c>
      <c r="U124" s="300">
        <f>E124*('Capital Structure '!$T$18/12)</f>
        <v>59071.515469861784</v>
      </c>
      <c r="V124" s="300">
        <v>10299.877990664078</v>
      </c>
      <c r="W124" s="300">
        <v>34756.083111555701</v>
      </c>
      <c r="X124" s="300">
        <v>146095.336472569</v>
      </c>
      <c r="Z124" s="300">
        <v>-10573.657561856773</v>
      </c>
      <c r="AA124" s="258"/>
      <c r="AB124" s="300">
        <v>0</v>
      </c>
      <c r="AC124" s="300">
        <v>941359.77072092006</v>
      </c>
      <c r="AE124" s="452">
        <f t="shared" si="14"/>
        <v>6.8400000000000002E-2</v>
      </c>
      <c r="AF124" s="452">
        <f t="shared" si="15"/>
        <v>8.8670168312699957E-2</v>
      </c>
    </row>
    <row r="125" spans="1:32" s="642" customFormat="1" outlineLevel="1">
      <c r="A125" s="636" t="s">
        <v>304</v>
      </c>
      <c r="B125" s="637">
        <v>2027</v>
      </c>
      <c r="C125" s="451">
        <v>18225998.643616881</v>
      </c>
      <c r="D125" s="451">
        <v>-5123328.2187207146</v>
      </c>
      <c r="E125" s="451">
        <v>13102670.424896168</v>
      </c>
      <c r="F125" s="451"/>
      <c r="G125" s="451">
        <v>167502.88498262968</v>
      </c>
      <c r="H125" s="451">
        <v>627118.26444662572</v>
      </c>
      <c r="I125" s="451">
        <v>53.338571428571427</v>
      </c>
      <c r="J125" s="301"/>
      <c r="K125" s="301"/>
      <c r="L125" s="301"/>
      <c r="M125" s="301"/>
      <c r="Q125" s="300">
        <f t="shared" si="13"/>
        <v>794674.48800068395</v>
      </c>
      <c r="S125" s="300">
        <f>E125*(('Capital Structure '!$T$15+'Capital Structure '!$T$16)/12)</f>
        <v>18081.68518635671</v>
      </c>
      <c r="T125" s="300">
        <f t="shared" si="12"/>
        <v>22132.777904873434</v>
      </c>
      <c r="U125" s="300">
        <f>E125*('Capital Structure '!$T$18/12)</f>
        <v>56603.536235551444</v>
      </c>
      <c r="V125" s="300">
        <v>9699.6230582501812</v>
      </c>
      <c r="W125" s="300">
        <v>32730.57267948956</v>
      </c>
      <c r="X125" s="300">
        <v>139248.19506452134</v>
      </c>
      <c r="Z125" s="300">
        <v>-10326.965169300642</v>
      </c>
      <c r="AA125" s="258"/>
      <c r="AB125" s="300">
        <v>0</v>
      </c>
      <c r="AC125" s="300">
        <v>923595.71789590467</v>
      </c>
      <c r="AE125" s="452">
        <f t="shared" si="14"/>
        <v>6.8399999999999989E-2</v>
      </c>
      <c r="AF125" s="452">
        <f t="shared" si="15"/>
        <v>8.8670168312699957E-2</v>
      </c>
    </row>
    <row r="126" spans="1:32" s="642" customFormat="1" outlineLevel="1">
      <c r="A126" s="636" t="s">
        <v>305</v>
      </c>
      <c r="B126" s="637">
        <v>2027</v>
      </c>
      <c r="C126" s="451">
        <v>17441747.244620707</v>
      </c>
      <c r="D126" s="451">
        <v>-4902875.1504628891</v>
      </c>
      <c r="E126" s="451">
        <v>12538872.094157817</v>
      </c>
      <c r="F126" s="451"/>
      <c r="G126" s="451">
        <v>158188.39062097724</v>
      </c>
      <c r="H126" s="451">
        <v>626009.66980376863</v>
      </c>
      <c r="I126" s="451">
        <v>53.338571428571427</v>
      </c>
      <c r="J126" s="301"/>
      <c r="K126" s="301"/>
      <c r="L126" s="301"/>
      <c r="M126" s="301"/>
      <c r="Q126" s="300">
        <f t="shared" si="13"/>
        <v>784251.39899617445</v>
      </c>
      <c r="S126" s="300">
        <f>E126*(('Capital Structure '!$T$15+'Capital Structure '!$T$16)/12)</f>
        <v>17303.643489937785</v>
      </c>
      <c r="T126" s="300">
        <f t="shared" si="12"/>
        <v>21180.420649999633</v>
      </c>
      <c r="U126" s="300">
        <f>E126*('Capital Structure '!$T$18/12)</f>
        <v>54167.927446761772</v>
      </c>
      <c r="V126" s="300">
        <v>9103.2705535207242</v>
      </c>
      <c r="W126" s="300">
        <v>30718.2306656377</v>
      </c>
      <c r="X126" s="300">
        <v>132473.49280585759</v>
      </c>
      <c r="Z126" s="300">
        <v>-10079.246947545465</v>
      </c>
      <c r="AA126" s="258"/>
      <c r="AB126" s="300">
        <v>0</v>
      </c>
      <c r="AC126" s="300">
        <v>906645.64485448657</v>
      </c>
      <c r="AE126" s="452">
        <f t="shared" si="14"/>
        <v>6.8400000000000002E-2</v>
      </c>
      <c r="AF126" s="452">
        <f t="shared" si="15"/>
        <v>8.8670168312699943E-2</v>
      </c>
    </row>
    <row r="127" spans="1:32" s="642" customFormat="1" outlineLevel="1">
      <c r="A127" s="636" t="s">
        <v>306</v>
      </c>
      <c r="B127" s="637">
        <v>2027</v>
      </c>
      <c r="C127" s="451">
        <v>16672073.320029296</v>
      </c>
      <c r="D127" s="451">
        <v>-4686519.8102602437</v>
      </c>
      <c r="E127" s="451">
        <v>11985553.509769052</v>
      </c>
      <c r="F127" s="451"/>
      <c r="G127" s="451">
        <v>144885.43788288199</v>
      </c>
      <c r="H127" s="451">
        <v>624735.1481371019</v>
      </c>
      <c r="I127" s="451">
        <v>53.338571428571427</v>
      </c>
      <c r="J127" s="301"/>
      <c r="K127" s="301"/>
      <c r="L127" s="301"/>
      <c r="M127" s="301"/>
      <c r="Q127" s="300">
        <f t="shared" si="13"/>
        <v>769673.92459141242</v>
      </c>
      <c r="S127" s="300">
        <f>E127*(('Capital Structure '!$T$15+'Capital Structure '!$T$16)/12)</f>
        <v>16540.06384348129</v>
      </c>
      <c r="T127" s="300">
        <f t="shared" ref="T127:T163" si="16">E127*($AA$16/12)</f>
        <v>20245.765580324201</v>
      </c>
      <c r="U127" s="300">
        <f>E127*('Capital Structure '!$T$18/12)</f>
        <v>51777.591162202305</v>
      </c>
      <c r="V127" s="300">
        <v>8508.6181234929027</v>
      </c>
      <c r="W127" s="300">
        <v>28711.625412714413</v>
      </c>
      <c r="X127" s="300">
        <v>125783.66412221509</v>
      </c>
      <c r="Z127" s="300">
        <v>-9830.4986308514908</v>
      </c>
      <c r="AA127" s="258"/>
      <c r="AB127" s="300">
        <v>0</v>
      </c>
      <c r="AC127" s="300">
        <v>885627.09008277603</v>
      </c>
      <c r="AE127" s="452">
        <f t="shared" si="14"/>
        <v>6.8400000000000002E-2</v>
      </c>
      <c r="AF127" s="452">
        <f t="shared" si="15"/>
        <v>8.8670168312699943E-2</v>
      </c>
    </row>
    <row r="128" spans="1:32" s="642" customFormat="1" outlineLevel="1">
      <c r="A128" s="636" t="s">
        <v>307</v>
      </c>
      <c r="B128" s="637">
        <v>2027</v>
      </c>
      <c r="C128" s="451">
        <v>15922906.153533125</v>
      </c>
      <c r="D128" s="451">
        <v>-4475928.919758169</v>
      </c>
      <c r="E128" s="451">
        <v>11446977.233774956</v>
      </c>
      <c r="F128" s="451"/>
      <c r="G128" s="451">
        <v>125863.37002573912</v>
      </c>
      <c r="H128" s="451">
        <v>623250.45789900667</v>
      </c>
      <c r="I128" s="451">
        <v>53.338571428571427</v>
      </c>
      <c r="J128" s="301"/>
      <c r="K128" s="301"/>
      <c r="L128" s="301"/>
      <c r="M128" s="301"/>
      <c r="Q128" s="300">
        <f t="shared" si="13"/>
        <v>749167.16649617429</v>
      </c>
      <c r="S128" s="300">
        <f>E128*(('Capital Structure '!$T$15+'Capital Structure '!$T$16)/12)</f>
        <v>15796.82858260944</v>
      </c>
      <c r="T128" s="300">
        <f t="shared" si="16"/>
        <v>19336.012933355247</v>
      </c>
      <c r="U128" s="300">
        <f>E128*('Capital Structure '!$T$18/12)</f>
        <v>49450.941649907814</v>
      </c>
      <c r="V128" s="300">
        <v>7917.8137904623727</v>
      </c>
      <c r="W128" s="300">
        <v>26718.005243612533</v>
      </c>
      <c r="X128" s="300">
        <v>119219.6021999474</v>
      </c>
      <c r="Z128" s="300">
        <v>-9580.7159357405963</v>
      </c>
      <c r="AA128" s="258"/>
      <c r="AB128" s="300">
        <v>0</v>
      </c>
      <c r="AC128" s="300">
        <v>858806.05276038114</v>
      </c>
      <c r="AE128" s="452">
        <f t="shared" si="14"/>
        <v>6.8400000000000002E-2</v>
      </c>
      <c r="AF128" s="452">
        <f t="shared" si="15"/>
        <v>8.8670168312699971E-2</v>
      </c>
    </row>
    <row r="129" spans="1:32" s="642" customFormat="1" outlineLevel="1">
      <c r="A129" s="636" t="s">
        <v>308</v>
      </c>
      <c r="B129" s="637">
        <v>2027</v>
      </c>
      <c r="C129" s="451">
        <v>15206589.196560761</v>
      </c>
      <c r="D129" s="451">
        <v>-4274572.2231532363</v>
      </c>
      <c r="E129" s="451">
        <v>10932016.973407524</v>
      </c>
      <c r="F129" s="451"/>
      <c r="G129" s="451">
        <v>95427.947287643896</v>
      </c>
      <c r="H129" s="451">
        <v>620835.67111329245</v>
      </c>
      <c r="I129" s="451">
        <v>53.338571428571427</v>
      </c>
      <c r="J129" s="301"/>
      <c r="K129" s="301"/>
      <c r="L129" s="301"/>
      <c r="M129" s="301"/>
      <c r="Q129" s="300">
        <f t="shared" si="13"/>
        <v>716316.95697236492</v>
      </c>
      <c r="S129" s="300">
        <f>E129*(('Capital Structure '!$T$15+'Capital Structure '!$T$16)/12)</f>
        <v>15086.183423302382</v>
      </c>
      <c r="T129" s="300">
        <f t="shared" si="16"/>
        <v>18466.152004021944</v>
      </c>
      <c r="U129" s="300">
        <f>E129*('Capital Structure '!$T$18/12)</f>
        <v>47226.3133251205</v>
      </c>
      <c r="V129" s="300">
        <v>7328.7538918283026</v>
      </c>
      <c r="W129" s="300">
        <v>24730.27152354638</v>
      </c>
      <c r="X129" s="300">
        <v>112837.67416781951</v>
      </c>
      <c r="Z129" s="300">
        <v>-9329.894560922532</v>
      </c>
      <c r="AA129" s="258"/>
      <c r="AB129" s="300">
        <v>0</v>
      </c>
      <c r="AC129" s="300">
        <v>819824.73657926195</v>
      </c>
      <c r="AE129" s="452">
        <f t="shared" si="14"/>
        <v>6.8400000000000002E-2</v>
      </c>
      <c r="AF129" s="452">
        <f t="shared" si="15"/>
        <v>8.8670168312699957E-2</v>
      </c>
    </row>
    <row r="130" spans="1:32" s="642" customFormat="1" outlineLevel="1">
      <c r="A130" s="636" t="s">
        <v>309</v>
      </c>
      <c r="B130" s="637">
        <v>2027</v>
      </c>
      <c r="C130" s="451">
        <v>14506217.328159826</v>
      </c>
      <c r="D130" s="451">
        <v>-4077697.6909457338</v>
      </c>
      <c r="E130" s="451">
        <v>10428519.637214093</v>
      </c>
      <c r="F130" s="451"/>
      <c r="G130" s="451">
        <v>86063.186692405798</v>
      </c>
      <c r="H130" s="451">
        <v>614255.34313710197</v>
      </c>
      <c r="I130" s="451">
        <v>53.338571428571427</v>
      </c>
      <c r="J130" s="301"/>
      <c r="K130" s="301"/>
      <c r="L130" s="301"/>
      <c r="M130" s="301"/>
      <c r="Q130" s="300">
        <f t="shared" si="13"/>
        <v>700371.86840093636</v>
      </c>
      <c r="S130" s="300">
        <f>E130*(('Capital Structure '!$T$15+'Capital Structure '!$T$16)/12)</f>
        <v>14391.357099355448</v>
      </c>
      <c r="T130" s="300">
        <f t="shared" si="16"/>
        <v>17615.654024885531</v>
      </c>
      <c r="U130" s="300">
        <f>E130*('Capital Structure '!$T$18/12)</f>
        <v>45051.204832764881</v>
      </c>
      <c r="V130" s="300">
        <v>6743.8693691518347</v>
      </c>
      <c r="W130" s="300">
        <v>22756.627262980219</v>
      </c>
      <c r="X130" s="300">
        <v>106558.7125891379</v>
      </c>
      <c r="Z130" s="300">
        <v>-9078.0301872208493</v>
      </c>
      <c r="AA130" s="258"/>
      <c r="AB130" s="300">
        <v>0</v>
      </c>
      <c r="AC130" s="300">
        <v>797852.55080285342</v>
      </c>
      <c r="AE130" s="452">
        <f t="shared" si="14"/>
        <v>6.8400000000000002E-2</v>
      </c>
      <c r="AF130" s="452">
        <f t="shared" si="15"/>
        <v>8.8670168312699957E-2</v>
      </c>
    </row>
    <row r="131" spans="1:32" s="642" customFormat="1" outlineLevel="1">
      <c r="A131" s="636" t="s">
        <v>298</v>
      </c>
      <c r="B131" s="637">
        <v>2027</v>
      </c>
      <c r="C131" s="451">
        <v>13820087.370949361</v>
      </c>
      <c r="D131" s="451">
        <v>-3884826.5599738737</v>
      </c>
      <c r="E131" s="451">
        <v>9935260.8109754883</v>
      </c>
      <c r="F131" s="451"/>
      <c r="G131" s="451">
        <v>74963.2643114534</v>
      </c>
      <c r="H131" s="451">
        <v>611113.35432757821</v>
      </c>
      <c r="I131" s="451">
        <v>53.338571428571427</v>
      </c>
      <c r="J131" s="301"/>
      <c r="K131" s="301"/>
      <c r="L131" s="301"/>
      <c r="M131" s="301"/>
      <c r="Q131" s="300">
        <f t="shared" si="13"/>
        <v>686129.95721046021</v>
      </c>
      <c r="S131" s="300">
        <f>E131*(('Capital Structure '!$T$15+'Capital Structure '!$T$16)/12)</f>
        <v>13710.659919146174</v>
      </c>
      <c r="T131" s="300">
        <f t="shared" si="16"/>
        <v>16782.450739087089</v>
      </c>
      <c r="U131" s="300">
        <f>E131*('Capital Structure '!$T$18/12)</f>
        <v>42920.32670341411</v>
      </c>
      <c r="V131" s="300">
        <v>6163.9373056784143</v>
      </c>
      <c r="W131" s="300">
        <v>20799.694664806913</v>
      </c>
      <c r="X131" s="300">
        <v>100377.0693321327</v>
      </c>
      <c r="Z131" s="300">
        <v>-8825.1184774985231</v>
      </c>
      <c r="AA131" s="258"/>
      <c r="AB131" s="300">
        <v>0</v>
      </c>
      <c r="AC131" s="300">
        <v>777681.90806509438</v>
      </c>
      <c r="AE131" s="452">
        <f t="shared" si="14"/>
        <v>6.8400000000000002E-2</v>
      </c>
      <c r="AF131" s="452">
        <f t="shared" si="15"/>
        <v>8.8670168312699957E-2</v>
      </c>
    </row>
    <row r="132" spans="1:32" s="642" customFormat="1" outlineLevel="1">
      <c r="A132" s="636" t="s">
        <v>299</v>
      </c>
      <c r="B132" s="637">
        <v>2027</v>
      </c>
      <c r="C132" s="451">
        <v>13143042.319929373</v>
      </c>
      <c r="D132" s="451">
        <v>-3694509.1961321561</v>
      </c>
      <c r="E132" s="451">
        <v>9448533.1237972155</v>
      </c>
      <c r="F132" s="451"/>
      <c r="G132" s="451">
        <v>68710.918597167692</v>
      </c>
      <c r="H132" s="451">
        <v>608280.79385138769</v>
      </c>
      <c r="I132" s="451">
        <v>53.338571428571427</v>
      </c>
      <c r="J132" s="301"/>
      <c r="K132" s="301"/>
      <c r="L132" s="301"/>
      <c r="M132" s="301"/>
      <c r="Q132" s="300">
        <f t="shared" si="13"/>
        <v>677045.05101998395</v>
      </c>
      <c r="S132" s="300">
        <f>E132*(('Capital Structure '!$T$15+'Capital Structure '!$T$16)/12)</f>
        <v>13038.975710840157</v>
      </c>
      <c r="T132" s="300">
        <f t="shared" si="16"/>
        <v>15960.279727290857</v>
      </c>
      <c r="U132" s="300">
        <f>E132*('Capital Structure '!$T$18/12)</f>
        <v>40817.663094803975</v>
      </c>
      <c r="V132" s="300">
        <v>5588.2828620579012</v>
      </c>
      <c r="W132" s="300">
        <v>18857.196539669323</v>
      </c>
      <c r="X132" s="300">
        <v>94262.397934662207</v>
      </c>
      <c r="Z132" s="300">
        <v>-8571.155076583269</v>
      </c>
      <c r="AA132" s="258"/>
      <c r="AB132" s="300">
        <v>0</v>
      </c>
      <c r="AC132" s="300">
        <v>762736.29387806286</v>
      </c>
      <c r="AE132" s="452">
        <f t="shared" si="14"/>
        <v>6.8400000000000016E-2</v>
      </c>
      <c r="AF132" s="452">
        <f t="shared" si="15"/>
        <v>8.8670168312699957E-2</v>
      </c>
    </row>
    <row r="133" spans="1:32" s="642" customFormat="1" outlineLevel="1">
      <c r="A133" s="636" t="s">
        <v>300</v>
      </c>
      <c r="B133" s="637">
        <v>2027</v>
      </c>
      <c r="C133" s="451">
        <v>12475007.993195107</v>
      </c>
      <c r="D133" s="451">
        <v>-3506724.7468871525</v>
      </c>
      <c r="E133" s="451">
        <v>8968283.2463079542</v>
      </c>
      <c r="F133" s="451"/>
      <c r="G133" s="451">
        <v>62157.598716215325</v>
      </c>
      <c r="H133" s="451">
        <v>605823.38944662572</v>
      </c>
      <c r="I133" s="451">
        <v>53.338571428571427</v>
      </c>
      <c r="J133" s="301"/>
      <c r="K133" s="301"/>
      <c r="L133" s="301"/>
      <c r="M133" s="301"/>
      <c r="Q133" s="300">
        <f t="shared" si="13"/>
        <v>668034.32673426962</v>
      </c>
      <c r="S133" s="300">
        <f>E133*(('Capital Structure '!$T$15+'Capital Structure '!$T$16)/12)</f>
        <v>12376.230879904977</v>
      </c>
      <c r="T133" s="300">
        <f t="shared" si="16"/>
        <v>15149.050906552453</v>
      </c>
      <c r="U133" s="300">
        <f>E133*('Capital Structure '!$T$18/12)</f>
        <v>38742.983624050365</v>
      </c>
      <c r="V133" s="300">
        <v>5015.4570279226737</v>
      </c>
      <c r="W133" s="300">
        <v>16924.243322388873</v>
      </c>
      <c r="X133" s="300">
        <v>88207.965760819352</v>
      </c>
      <c r="Z133" s="300">
        <v>-8316.1356111925415</v>
      </c>
      <c r="AA133" s="258"/>
      <c r="AB133" s="300">
        <v>0</v>
      </c>
      <c r="AC133" s="300">
        <v>747926.15688389644</v>
      </c>
      <c r="AE133" s="452">
        <f t="shared" si="14"/>
        <v>6.8400000000000002E-2</v>
      </c>
      <c r="AF133" s="452">
        <f t="shared" si="15"/>
        <v>8.8670168312699971E-2</v>
      </c>
    </row>
    <row r="134" spans="1:32" s="642" customFormat="1" outlineLevel="1">
      <c r="A134" s="636" t="s">
        <v>301</v>
      </c>
      <c r="B134" s="637">
        <v>2028</v>
      </c>
      <c r="C134" s="451">
        <v>11817777.8731275</v>
      </c>
      <c r="D134" s="451">
        <v>-3321977.3601361495</v>
      </c>
      <c r="E134" s="451">
        <v>8495800.5129913501</v>
      </c>
      <c r="F134" s="451"/>
      <c r="G134" s="451">
        <v>54826.115859072466</v>
      </c>
      <c r="H134" s="451">
        <v>602350.66563710198</v>
      </c>
      <c r="I134" s="451">
        <v>53.338571428571427</v>
      </c>
      <c r="J134" s="301"/>
      <c r="K134" s="301"/>
      <c r="L134" s="301"/>
      <c r="M134" s="301"/>
      <c r="Q134" s="300">
        <f t="shared" si="13"/>
        <v>657230.12006760295</v>
      </c>
      <c r="S134" s="300">
        <f>E134*(('Capital Structure '!$T$15+'Capital Structure '!$T$16)/12)</f>
        <v>11724.204707928062</v>
      </c>
      <c r="T134" s="300">
        <f t="shared" si="16"/>
        <v>14350.942195788111</v>
      </c>
      <c r="U134" s="300">
        <f>E134*('Capital Structure '!$T$18/12)</f>
        <v>36701.85821612263</v>
      </c>
      <c r="V134" s="300">
        <v>4445.8838284484727</v>
      </c>
      <c r="W134" s="300">
        <v>15002.265850715572</v>
      </c>
      <c r="X134" s="300">
        <v>82225.154799002848</v>
      </c>
      <c r="Z134" s="300">
        <v>-8060.0556898582317</v>
      </c>
      <c r="AA134" s="258"/>
      <c r="AB134" s="300">
        <v>0</v>
      </c>
      <c r="AC134" s="300">
        <v>731395.2191767476</v>
      </c>
      <c r="AE134" s="452">
        <f t="shared" si="14"/>
        <v>6.8399999999999989E-2</v>
      </c>
      <c r="AF134" s="452">
        <f t="shared" si="15"/>
        <v>8.8670168312699943E-2</v>
      </c>
    </row>
    <row r="135" spans="1:32" s="642" customFormat="1" outlineLevel="1">
      <c r="A135" s="636" t="s">
        <v>302</v>
      </c>
      <c r="B135" s="637">
        <v>2028</v>
      </c>
      <c r="C135" s="451">
        <v>11167825.879845606</v>
      </c>
      <c r="D135" s="451">
        <v>-3139275.8548246105</v>
      </c>
      <c r="E135" s="451">
        <v>8028550.0250209961</v>
      </c>
      <c r="F135" s="451"/>
      <c r="G135" s="451">
        <v>49862.296811453423</v>
      </c>
      <c r="H135" s="451">
        <v>600036.35789900669</v>
      </c>
      <c r="I135" s="451">
        <v>53.338571428571427</v>
      </c>
      <c r="J135" s="301"/>
      <c r="K135" s="301"/>
      <c r="L135" s="301"/>
      <c r="M135" s="301"/>
      <c r="Q135" s="300">
        <f t="shared" si="13"/>
        <v>649951.99328188866</v>
      </c>
      <c r="S135" s="300">
        <f>E135*(('Capital Structure '!$T$15+'Capital Structure '!$T$16)/12)</f>
        <v>11079.399034528975</v>
      </c>
      <c r="T135" s="300">
        <f t="shared" si="16"/>
        <v>13561.671692842256</v>
      </c>
      <c r="U135" s="300">
        <f>E135*('Capital Structure '!$T$18/12)</f>
        <v>34683.336108090705</v>
      </c>
      <c r="V135" s="300">
        <v>3879.3547620296054</v>
      </c>
      <c r="W135" s="300">
        <v>13090.560553292267</v>
      </c>
      <c r="X135" s="300">
        <v>76294.322150783817</v>
      </c>
      <c r="Z135" s="300">
        <v>-7802.9109028510402</v>
      </c>
      <c r="AA135" s="258"/>
      <c r="AB135" s="300">
        <v>0</v>
      </c>
      <c r="AC135" s="300">
        <v>718443.40452982148</v>
      </c>
      <c r="AE135" s="452">
        <f t="shared" si="14"/>
        <v>6.8400000000000016E-2</v>
      </c>
      <c r="AF135" s="452">
        <f t="shared" si="15"/>
        <v>8.8670168312699971E-2</v>
      </c>
    </row>
    <row r="136" spans="1:32" s="642" customFormat="1" outlineLevel="1">
      <c r="A136" s="636" t="s">
        <v>303</v>
      </c>
      <c r="B136" s="637">
        <v>2028</v>
      </c>
      <c r="C136" s="451">
        <v>10538866.273587525</v>
      </c>
      <c r="D136" s="451">
        <v>-2962475.3095054645</v>
      </c>
      <c r="E136" s="451">
        <v>7576390.9640820595</v>
      </c>
      <c r="F136" s="451"/>
      <c r="G136" s="451">
        <v>32124.829430501031</v>
      </c>
      <c r="H136" s="451">
        <v>596781.43825614953</v>
      </c>
      <c r="I136" s="451">
        <v>53.338571428571427</v>
      </c>
      <c r="J136" s="301"/>
      <c r="K136" s="301"/>
      <c r="L136" s="301"/>
      <c r="M136" s="301"/>
      <c r="Q136" s="300">
        <f t="shared" si="13"/>
        <v>628959.60625807906</v>
      </c>
      <c r="S136" s="300">
        <f>E136*(('Capital Structure '!$T$15+'Capital Structure '!$T$16)/12)</f>
        <v>10455.419530433241</v>
      </c>
      <c r="T136" s="300">
        <f t="shared" si="16"/>
        <v>12797.893337063539</v>
      </c>
      <c r="U136" s="300">
        <f>E136*('Capital Structure '!$T$18/12)</f>
        <v>32730.008964834498</v>
      </c>
      <c r="V136" s="300">
        <v>3313.0006227392323</v>
      </c>
      <c r="W136" s="300">
        <v>11179.445532940394</v>
      </c>
      <c r="X136" s="300">
        <v>70475.767988010892</v>
      </c>
      <c r="Z136" s="300">
        <v>-7544.6968221045436</v>
      </c>
      <c r="AA136" s="258"/>
      <c r="AB136" s="300">
        <v>0</v>
      </c>
      <c r="AC136" s="300">
        <v>691890.67742398544</v>
      </c>
      <c r="AE136" s="452">
        <f t="shared" si="14"/>
        <v>6.8400000000000002E-2</v>
      </c>
      <c r="AF136" s="452">
        <f t="shared" si="15"/>
        <v>8.8670168312699957E-2</v>
      </c>
    </row>
    <row r="137" spans="1:32" s="642" customFormat="1" outlineLevel="1">
      <c r="A137" s="636" t="s">
        <v>304</v>
      </c>
      <c r="B137" s="637">
        <v>2028</v>
      </c>
      <c r="C137" s="451">
        <v>9920594.7534008734</v>
      </c>
      <c r="D137" s="451">
        <v>-2788679.185180997</v>
      </c>
      <c r="E137" s="451">
        <v>7131915.5682198759</v>
      </c>
      <c r="F137" s="451"/>
      <c r="G137" s="451">
        <v>24429.149192405792</v>
      </c>
      <c r="H137" s="451">
        <v>593789.03242281626</v>
      </c>
      <c r="I137" s="451">
        <v>53.338571428571427</v>
      </c>
      <c r="J137" s="301"/>
      <c r="K137" s="301"/>
      <c r="L137" s="301"/>
      <c r="M137" s="301"/>
      <c r="Q137" s="300">
        <f t="shared" si="13"/>
        <v>618271.52018665057</v>
      </c>
      <c r="S137" s="300">
        <f>E137*(('Capital Structure '!$T$15+'Capital Structure '!$T$16)/12)</f>
        <v>9842.0434841434289</v>
      </c>
      <c r="T137" s="300">
        <f t="shared" si="16"/>
        <v>12047.094079981838</v>
      </c>
      <c r="U137" s="300">
        <f>E137*('Capital Structure '!$T$18/12)</f>
        <v>30809.875254709863</v>
      </c>
      <c r="V137" s="300">
        <v>2792.6499401176607</v>
      </c>
      <c r="W137" s="300">
        <v>9423.5653575885226</v>
      </c>
      <c r="X137" s="300">
        <v>64915.228116541315</v>
      </c>
      <c r="Z137" s="300">
        <v>-7285.4090011389426</v>
      </c>
      <c r="AA137" s="258"/>
      <c r="AB137" s="300">
        <v>0</v>
      </c>
      <c r="AC137" s="300">
        <v>675901.33930205298</v>
      </c>
      <c r="AE137" s="452">
        <f t="shared" si="14"/>
        <v>6.8399999999999989E-2</v>
      </c>
      <c r="AF137" s="452">
        <f t="shared" si="15"/>
        <v>8.8670168312699957E-2</v>
      </c>
    </row>
    <row r="138" spans="1:32" s="642" customFormat="1" outlineLevel="1">
      <c r="A138" s="636" t="s">
        <v>305</v>
      </c>
      <c r="B138" s="637">
        <v>2028</v>
      </c>
      <c r="C138" s="451">
        <v>9318406.4252380319</v>
      </c>
      <c r="D138" s="451">
        <v>-2619404.0461344225</v>
      </c>
      <c r="E138" s="451">
        <v>6699002.3791036094</v>
      </c>
      <c r="F138" s="451"/>
      <c r="G138" s="451">
        <v>11556.856573358182</v>
      </c>
      <c r="H138" s="451">
        <v>590578.1330180543</v>
      </c>
      <c r="I138" s="451">
        <v>53.338571428571427</v>
      </c>
      <c r="J138" s="301"/>
      <c r="K138" s="301"/>
      <c r="L138" s="301"/>
      <c r="M138" s="301"/>
      <c r="Q138" s="300">
        <f t="shared" si="13"/>
        <v>602188.32816284103</v>
      </c>
      <c r="S138" s="300">
        <f>E138*(('Capital Structure '!$T$15+'Capital Structure '!$T$16)/12)</f>
        <v>9244.6232831629804</v>
      </c>
      <c r="T138" s="300">
        <f t="shared" si="16"/>
        <v>11315.825479300636</v>
      </c>
      <c r="U138" s="300">
        <f>E138*('Capital Structure '!$T$18/12)</f>
        <v>28939.690277727594</v>
      </c>
      <c r="V138" s="300">
        <v>2326.8165474267912</v>
      </c>
      <c r="W138" s="300">
        <v>7851.6492507009352</v>
      </c>
      <c r="X138" s="300">
        <v>59678.604838318934</v>
      </c>
      <c r="Z138" s="300">
        <v>-7025.0429749844934</v>
      </c>
      <c r="AA138" s="258"/>
      <c r="AB138" s="300">
        <v>0</v>
      </c>
      <c r="AC138" s="300">
        <v>654841.89002617542</v>
      </c>
      <c r="AE138" s="452">
        <f t="shared" si="14"/>
        <v>6.8400000000000002E-2</v>
      </c>
      <c r="AF138" s="452">
        <f t="shared" si="15"/>
        <v>8.8670168312699957E-2</v>
      </c>
    </row>
    <row r="139" spans="1:32" s="642" customFormat="1" outlineLevel="1">
      <c r="A139" s="636" t="s">
        <v>306</v>
      </c>
      <c r="B139" s="637">
        <v>2028</v>
      </c>
      <c r="C139" s="451">
        <v>8726033.2092180494</v>
      </c>
      <c r="D139" s="451">
        <v>-2452887.9351112051</v>
      </c>
      <c r="E139" s="451">
        <v>6273145.2741068434</v>
      </c>
      <c r="F139" s="451"/>
      <c r="G139" s="451">
        <v>5449.4619305010347</v>
      </c>
      <c r="H139" s="451">
        <v>586870.41551805439</v>
      </c>
      <c r="I139" s="451">
        <v>53.338571428571427</v>
      </c>
      <c r="J139" s="301"/>
      <c r="K139" s="301"/>
      <c r="L139" s="301"/>
      <c r="M139" s="301"/>
      <c r="Q139" s="300">
        <f t="shared" si="13"/>
        <v>592373.21601998399</v>
      </c>
      <c r="S139" s="300">
        <f>E139*(('Capital Structure '!$T$15+'Capital Structure '!$T$16)/12)</f>
        <v>8656.9404782674428</v>
      </c>
      <c r="T139" s="300">
        <f t="shared" si="16"/>
        <v>10596.475879680336</v>
      </c>
      <c r="U139" s="300">
        <f>E139*('Capital Structure '!$T$18/12)</f>
        <v>27099.987584141563</v>
      </c>
      <c r="V139" s="300">
        <v>1897.5988013210376</v>
      </c>
      <c r="W139" s="300">
        <v>6403.2896031276377</v>
      </c>
      <c r="X139" s="300">
        <v>54654.292346538015</v>
      </c>
      <c r="Z139" s="300">
        <v>-6763.594260104619</v>
      </c>
      <c r="AA139" s="258"/>
      <c r="AB139" s="300">
        <v>0</v>
      </c>
      <c r="AC139" s="300">
        <v>640263.91410641733</v>
      </c>
      <c r="AE139" s="452">
        <f t="shared" si="14"/>
        <v>6.8399999999999989E-2</v>
      </c>
      <c r="AF139" s="452">
        <f t="shared" si="15"/>
        <v>8.8670168312699943E-2</v>
      </c>
    </row>
    <row r="140" spans="1:32" s="642" customFormat="1" outlineLevel="1">
      <c r="A140" s="636" t="s">
        <v>307</v>
      </c>
      <c r="B140" s="637">
        <v>2028</v>
      </c>
      <c r="C140" s="451">
        <v>8138122.5871652123</v>
      </c>
      <c r="D140" s="451">
        <v>-2287626.2592521529</v>
      </c>
      <c r="E140" s="451">
        <v>5850496.3279130599</v>
      </c>
      <c r="F140" s="451"/>
      <c r="G140" s="451">
        <v>4145.8448962316634</v>
      </c>
      <c r="H140" s="451">
        <v>583711.43858517648</v>
      </c>
      <c r="I140" s="451">
        <v>53.338571428571427</v>
      </c>
      <c r="J140" s="301"/>
      <c r="K140" s="301"/>
      <c r="L140" s="301"/>
      <c r="M140" s="301"/>
      <c r="Q140" s="300">
        <f t="shared" si="13"/>
        <v>587910.6220528367</v>
      </c>
      <c r="S140" s="300">
        <f>E140*(('Capital Structure '!$T$15+'Capital Structure '!$T$16)/12)</f>
        <v>8073.6849325200219</v>
      </c>
      <c r="T140" s="300">
        <f t="shared" si="16"/>
        <v>9882.5454399692317</v>
      </c>
      <c r="U140" s="300">
        <f>E140*('Capital Structure '!$T$18/12)</f>
        <v>25274.144136584418</v>
      </c>
      <c r="V140" s="300">
        <v>1522.9069778647963</v>
      </c>
      <c r="W140" s="300">
        <v>5138.9231544115</v>
      </c>
      <c r="X140" s="300">
        <v>49892.204641349977</v>
      </c>
      <c r="Z140" s="300">
        <v>-6501.0583543187022</v>
      </c>
      <c r="AA140" s="258"/>
      <c r="AB140" s="300">
        <v>0</v>
      </c>
      <c r="AC140" s="300">
        <v>631301.76833986794</v>
      </c>
      <c r="AE140" s="452">
        <f t="shared" si="14"/>
        <v>6.8399999999999989E-2</v>
      </c>
      <c r="AF140" s="452">
        <f t="shared" si="15"/>
        <v>8.8670168312699971E-2</v>
      </c>
    </row>
    <row r="141" spans="1:32" s="642" customFormat="1" outlineLevel="1">
      <c r="A141" s="636" t="s">
        <v>308</v>
      </c>
      <c r="B141" s="637">
        <v>2028</v>
      </c>
      <c r="C141" s="451">
        <v>7622771.6906050434</v>
      </c>
      <c r="D141" s="451">
        <v>-2142761.12222909</v>
      </c>
      <c r="E141" s="451">
        <v>5480010.5683759535</v>
      </c>
      <c r="F141" s="451"/>
      <c r="G141" s="451">
        <v>1304.7927812321468</v>
      </c>
      <c r="H141" s="451">
        <v>513992.76520750555</v>
      </c>
      <c r="I141" s="451">
        <v>53.338571428571427</v>
      </c>
      <c r="J141" s="301"/>
      <c r="K141" s="301"/>
      <c r="L141" s="301"/>
      <c r="M141" s="301"/>
      <c r="Q141" s="300">
        <f t="shared" si="13"/>
        <v>515350.89656016626</v>
      </c>
      <c r="S141" s="300">
        <f>E141*(('Capital Structure '!$T$15+'Capital Structure '!$T$16)/12)</f>
        <v>7562.4145843588158</v>
      </c>
      <c r="T141" s="300">
        <f t="shared" si="16"/>
        <v>9256.7280480295958</v>
      </c>
      <c r="U141" s="300">
        <f>E141*('Capital Structure '!$T$18/12)</f>
        <v>23673.64565538412</v>
      </c>
      <c r="V141" s="300">
        <v>1238.5638619619749</v>
      </c>
      <c r="W141" s="300">
        <v>4179.4309179524907</v>
      </c>
      <c r="X141" s="300">
        <v>45910.783067687</v>
      </c>
      <c r="Z141" s="300">
        <v>-6237.4307367245574</v>
      </c>
      <c r="AA141" s="258"/>
      <c r="AB141" s="300">
        <v>0</v>
      </c>
      <c r="AC141" s="300">
        <v>555024.24889112869</v>
      </c>
      <c r="AE141" s="452">
        <f t="shared" si="14"/>
        <v>6.8400000000000002E-2</v>
      </c>
      <c r="AF141" s="452">
        <f t="shared" si="15"/>
        <v>8.8670168312699971E-2</v>
      </c>
    </row>
    <row r="142" spans="1:32" s="642" customFormat="1" outlineLevel="1">
      <c r="A142" s="636" t="s">
        <v>309</v>
      </c>
      <c r="B142" s="637">
        <v>2028</v>
      </c>
      <c r="C142" s="451">
        <v>7110869.9198759459</v>
      </c>
      <c r="D142" s="451">
        <v>-1998865.5344771412</v>
      </c>
      <c r="E142" s="451">
        <v>5112004.3853988042</v>
      </c>
      <c r="F142" s="451"/>
      <c r="G142" s="451">
        <v>676.5819034393088</v>
      </c>
      <c r="H142" s="451">
        <v>511171.85025422752</v>
      </c>
      <c r="I142" s="451">
        <v>53.338571428571427</v>
      </c>
      <c r="J142" s="301"/>
      <c r="K142" s="301"/>
      <c r="L142" s="301"/>
      <c r="M142" s="301"/>
      <c r="Q142" s="300">
        <f t="shared" si="13"/>
        <v>511901.77072909538</v>
      </c>
      <c r="S142" s="300">
        <f>E142*(('Capital Structure '!$T$15+'Capital Structure '!$T$16)/12)</f>
        <v>7054.5660518503491</v>
      </c>
      <c r="T142" s="300">
        <f t="shared" si="16"/>
        <v>8635.0991089411727</v>
      </c>
      <c r="U142" s="300">
        <f>E142*('Capital Structure '!$T$18/12)</f>
        <v>22083.858944922835</v>
      </c>
      <c r="V142" s="300">
        <v>977.66312983876651</v>
      </c>
      <c r="W142" s="300">
        <v>3299.0430592070588</v>
      </c>
      <c r="X142" s="300">
        <v>42050.230294760186</v>
      </c>
      <c r="Z142" s="300">
        <v>-5972.7068676205854</v>
      </c>
      <c r="AA142" s="258"/>
      <c r="AB142" s="300">
        <v>0</v>
      </c>
      <c r="AC142" s="300">
        <v>547979.29415623494</v>
      </c>
      <c r="AE142" s="452">
        <f t="shared" si="14"/>
        <v>6.8400000000000002E-2</v>
      </c>
      <c r="AF142" s="452">
        <f t="shared" si="15"/>
        <v>8.8670168312699957E-2</v>
      </c>
    </row>
    <row r="143" spans="1:32" s="642" customFormat="1" outlineLevel="1">
      <c r="A143" s="636" t="s">
        <v>298</v>
      </c>
      <c r="B143" s="637">
        <v>2028</v>
      </c>
      <c r="C143" s="451">
        <v>6600226.5482302196</v>
      </c>
      <c r="D143" s="451">
        <v>-1855323.6827075277</v>
      </c>
      <c r="E143" s="451">
        <v>4744902.8655226929</v>
      </c>
      <c r="F143" s="451"/>
      <c r="G143" s="451">
        <v>195.77728194830394</v>
      </c>
      <c r="H143" s="451">
        <v>510394.25579234917</v>
      </c>
      <c r="I143" s="451">
        <v>53.338571428571427</v>
      </c>
      <c r="J143" s="301"/>
      <c r="K143" s="301"/>
      <c r="L143" s="301"/>
      <c r="M143" s="301"/>
      <c r="Q143" s="300">
        <f t="shared" si="13"/>
        <v>510643.37164572603</v>
      </c>
      <c r="S143" s="300">
        <f>E143*(('Capital Structure '!$T$15+'Capital Structure '!$T$16)/12)</f>
        <v>6547.9659544213155</v>
      </c>
      <c r="T143" s="300">
        <f t="shared" si="16"/>
        <v>8014.9983092964439</v>
      </c>
      <c r="U143" s="300">
        <f>E143*('Capital Structure '!$T$18/12)</f>
        <v>20497.980379058034</v>
      </c>
      <c r="V143" s="300">
        <v>749.8171602650898</v>
      </c>
      <c r="W143" s="300">
        <v>2530.1957522473435</v>
      </c>
      <c r="X143" s="300">
        <v>38340.957555288231</v>
      </c>
      <c r="Z143" s="300">
        <v>-5706.8821884275885</v>
      </c>
      <c r="AA143" s="258"/>
      <c r="AB143" s="300">
        <v>0</v>
      </c>
      <c r="AC143" s="300">
        <v>543277.44701258664</v>
      </c>
      <c r="AE143" s="452">
        <f t="shared" si="14"/>
        <v>6.8399999999999989E-2</v>
      </c>
      <c r="AF143" s="452">
        <f t="shared" si="15"/>
        <v>8.8670168312699957E-2</v>
      </c>
    </row>
    <row r="144" spans="1:32" s="642" customFormat="1" outlineLevel="1">
      <c r="A144" s="636" t="s">
        <v>299</v>
      </c>
      <c r="B144" s="637">
        <v>2028</v>
      </c>
      <c r="C144" s="451">
        <v>6119609.1722857067</v>
      </c>
      <c r="D144" s="451">
        <v>-1720222.1383295252</v>
      </c>
      <c r="E144" s="451">
        <v>4399387.0339561813</v>
      </c>
      <c r="F144" s="451"/>
      <c r="G144" s="451">
        <v>-173.6299147133613</v>
      </c>
      <c r="H144" s="451">
        <v>480737.6672877979</v>
      </c>
      <c r="I144" s="451">
        <v>53.338571428571427</v>
      </c>
      <c r="J144" s="301"/>
      <c r="K144" s="301"/>
      <c r="L144" s="301"/>
      <c r="M144" s="301"/>
      <c r="Q144" s="300">
        <f t="shared" si="13"/>
        <v>480617.37594451307</v>
      </c>
      <c r="S144" s="300">
        <f>E144*(('Capital Structure '!$T$15+'Capital Structure '!$T$16)/12)</f>
        <v>6071.1541068595297</v>
      </c>
      <c r="T144" s="300">
        <f t="shared" si="16"/>
        <v>7431.3596375834704</v>
      </c>
      <c r="U144" s="300">
        <f>E144*('Capital Structure '!$T$18/12)</f>
        <v>19005.351986690705</v>
      </c>
      <c r="V144" s="300">
        <v>550.03166998427332</v>
      </c>
      <c r="W144" s="300">
        <v>1856.0362028840536</v>
      </c>
      <c r="X144" s="300">
        <v>34913.933604002035</v>
      </c>
      <c r="Z144" s="300">
        <v>-5439.9521216102803</v>
      </c>
      <c r="AA144" s="258"/>
      <c r="AB144" s="300">
        <v>0</v>
      </c>
      <c r="AC144" s="300">
        <v>510091.35742690484</v>
      </c>
      <c r="AE144" s="452">
        <f t="shared" si="14"/>
        <v>6.8400000000000002E-2</v>
      </c>
      <c r="AF144" s="452">
        <f t="shared" si="15"/>
        <v>8.8670168312699957E-2</v>
      </c>
    </row>
    <row r="145" spans="1:32" s="642" customFormat="1" outlineLevel="1">
      <c r="A145" s="636" t="s">
        <v>300</v>
      </c>
      <c r="B145" s="637">
        <v>2028</v>
      </c>
      <c r="C145" s="451">
        <v>5687789.8907937389</v>
      </c>
      <c r="D145" s="451">
        <v>-1598837.7383021219</v>
      </c>
      <c r="E145" s="451">
        <v>4088952.152491617</v>
      </c>
      <c r="F145" s="451"/>
      <c r="G145" s="451">
        <v>0</v>
      </c>
      <c r="H145" s="451">
        <v>431211.56522492133</v>
      </c>
      <c r="I145" s="451">
        <v>53.338571428571427</v>
      </c>
      <c r="J145" s="301"/>
      <c r="K145" s="301"/>
      <c r="L145" s="301"/>
      <c r="M145" s="301"/>
      <c r="Q145" s="300">
        <f t="shared" si="13"/>
        <v>431264.90379634988</v>
      </c>
      <c r="S145" s="300">
        <f>E145*(('Capital Structure '!$T$15+'Capital Structure '!$T$16)/12)</f>
        <v>5642.7539704384308</v>
      </c>
      <c r="T145" s="300">
        <f t="shared" si="16"/>
        <v>6906.9790294651557</v>
      </c>
      <c r="U145" s="300">
        <f>E145*('Capital Structure '!$T$18/12)</f>
        <v>17664.273298763786</v>
      </c>
      <c r="V145" s="300">
        <v>383.59789560368472</v>
      </c>
      <c r="W145" s="300">
        <v>1294.419249733261</v>
      </c>
      <c r="X145" s="300">
        <v>31892.02344400432</v>
      </c>
      <c r="Z145" s="300">
        <v>-5171.9120705984578</v>
      </c>
      <c r="AA145" s="258"/>
      <c r="AB145" s="300">
        <v>0</v>
      </c>
      <c r="AC145" s="300">
        <v>457985.01516975573</v>
      </c>
      <c r="AE145" s="452">
        <f t="shared" si="14"/>
        <v>6.8400000000000002E-2</v>
      </c>
      <c r="AF145" s="452">
        <f t="shared" si="15"/>
        <v>8.8670168312699957E-2</v>
      </c>
    </row>
    <row r="146" spans="1:32" s="642" customFormat="1" outlineLevel="1">
      <c r="A146" s="636" t="s">
        <v>301</v>
      </c>
      <c r="B146" s="637">
        <v>2029</v>
      </c>
      <c r="C146" s="451">
        <v>5257402.2119973889</v>
      </c>
      <c r="D146" s="451">
        <v>-1477855.7617924677</v>
      </c>
      <c r="E146" s="451">
        <v>3779546.4502049205</v>
      </c>
      <c r="F146" s="451"/>
      <c r="G146" s="451">
        <v>0</v>
      </c>
      <c r="H146" s="451">
        <v>430334.34022492135</v>
      </c>
      <c r="I146" s="451">
        <v>53.338571428571427</v>
      </c>
      <c r="J146" s="301"/>
      <c r="K146" s="301"/>
      <c r="L146" s="301"/>
      <c r="M146" s="301"/>
      <c r="Q146" s="300">
        <f t="shared" si="13"/>
        <v>430387.67879634991</v>
      </c>
      <c r="S146" s="300">
        <f>E146*(('Capital Structure '!$T$15+'Capital Structure '!$T$16)/12)</f>
        <v>5215.7741012827901</v>
      </c>
      <c r="T146" s="300">
        <f t="shared" si="16"/>
        <v>6384.3368909434503</v>
      </c>
      <c r="U146" s="300">
        <f>E146*('Capital Structure '!$T$18/12)</f>
        <v>16327.640664885257</v>
      </c>
      <c r="V146" s="300">
        <v>217.93476667917048</v>
      </c>
      <c r="W146" s="300">
        <v>735.40277568961665</v>
      </c>
      <c r="X146" s="300">
        <v>28881.089199480284</v>
      </c>
      <c r="Z146" s="300">
        <v>-4902.7574197078438</v>
      </c>
      <c r="AA146" s="258"/>
      <c r="AB146" s="300">
        <v>0</v>
      </c>
      <c r="AC146" s="300">
        <v>454366.01057612232</v>
      </c>
      <c r="AE146" s="452">
        <f t="shared" si="14"/>
        <v>6.8400000000000002E-2</v>
      </c>
      <c r="AF146" s="452">
        <f t="shared" si="15"/>
        <v>8.8670168312699957E-2</v>
      </c>
    </row>
    <row r="147" spans="1:32" s="642" customFormat="1" outlineLevel="1">
      <c r="A147" s="636" t="s">
        <v>302</v>
      </c>
      <c r="B147" s="637">
        <v>2029</v>
      </c>
      <c r="C147" s="451">
        <v>4829811.4070058009</v>
      </c>
      <c r="D147" s="451">
        <v>-1357659.9865093315</v>
      </c>
      <c r="E147" s="451">
        <v>3472151.4204964694</v>
      </c>
      <c r="F147" s="451"/>
      <c r="G147" s="451">
        <v>0</v>
      </c>
      <c r="H147" s="451">
        <v>427537.46642016241</v>
      </c>
      <c r="I147" s="451">
        <v>53.338571428571427</v>
      </c>
      <c r="J147" s="301"/>
      <c r="K147" s="301"/>
      <c r="L147" s="301"/>
      <c r="M147" s="301"/>
      <c r="Q147" s="300">
        <f t="shared" si="13"/>
        <v>427590.80499159097</v>
      </c>
      <c r="S147" s="300">
        <f>E147*(('Capital Structure '!$T$15+'Capital Structure '!$T$16)/12)</f>
        <v>4791.5689602851271</v>
      </c>
      <c r="T147" s="300">
        <f t="shared" si="16"/>
        <v>5865.0911417203079</v>
      </c>
      <c r="U147" s="300">
        <f>E147*('Capital Structure '!$T$18/12)</f>
        <v>14999.694136544747</v>
      </c>
      <c r="V147" s="300">
        <v>88.049094942547185</v>
      </c>
      <c r="W147" s="300">
        <v>297.11436043167487</v>
      </c>
      <c r="X147" s="300">
        <v>26041.517693924405</v>
      </c>
      <c r="Z147" s="300">
        <v>-4642.575936326265</v>
      </c>
      <c r="AA147" s="258"/>
      <c r="AB147" s="300">
        <v>0</v>
      </c>
      <c r="AC147" s="300">
        <v>448989.7467491891</v>
      </c>
      <c r="AE147" s="452">
        <f t="shared" si="14"/>
        <v>6.8400000000000002E-2</v>
      </c>
      <c r="AF147" s="452">
        <f t="shared" si="15"/>
        <v>8.8670168312699957E-2</v>
      </c>
    </row>
    <row r="148" spans="1:32" s="642" customFormat="1" outlineLevel="1">
      <c r="A148" s="636" t="s">
        <v>303</v>
      </c>
      <c r="B148" s="637">
        <v>2029</v>
      </c>
      <c r="C148" s="451">
        <v>4436147.6945776194</v>
      </c>
      <c r="D148" s="451">
        <v>-1247001.1169457706</v>
      </c>
      <c r="E148" s="451">
        <v>3189146.5776318489</v>
      </c>
      <c r="F148" s="451"/>
      <c r="G148" s="451">
        <v>0</v>
      </c>
      <c r="H148" s="451">
        <v>393610.37385675008</v>
      </c>
      <c r="I148" s="451">
        <v>53.338571428571427</v>
      </c>
      <c r="J148" s="301"/>
      <c r="K148" s="301"/>
      <c r="L148" s="301"/>
      <c r="M148" s="301"/>
      <c r="Q148" s="300">
        <f t="shared" si="13"/>
        <v>393663.71242817864</v>
      </c>
      <c r="S148" s="300">
        <f>E148*(('Capital Structure '!$T$15+'Capital Structure '!$T$16)/12)</f>
        <v>4401.0222771319513</v>
      </c>
      <c r="T148" s="300">
        <f t="shared" si="16"/>
        <v>5387.0448252057186</v>
      </c>
      <c r="U148" s="300">
        <f>E148*('Capital Structure '!$T$18/12)</f>
        <v>13777.113215369587</v>
      </c>
      <c r="V148" s="300">
        <v>-12.523349277836985</v>
      </c>
      <c r="W148" s="300">
        <v>-42.259002361975945</v>
      </c>
      <c r="X148" s="300">
        <v>23510.397966067445</v>
      </c>
      <c r="Z148" s="300">
        <v>-4387.3679729690166</v>
      </c>
      <c r="AA148" s="258"/>
      <c r="AB148" s="300">
        <v>0</v>
      </c>
      <c r="AC148" s="300">
        <v>412786.74242127704</v>
      </c>
      <c r="AE148" s="452">
        <f t="shared" si="14"/>
        <v>6.8400000000000002E-2</v>
      </c>
      <c r="AF148" s="452">
        <f t="shared" si="15"/>
        <v>8.8670168312699957E-2</v>
      </c>
    </row>
    <row r="149" spans="1:32" s="642" customFormat="1" outlineLevel="1">
      <c r="A149" s="636" t="s">
        <v>304</v>
      </c>
      <c r="B149" s="637">
        <v>2029</v>
      </c>
      <c r="C149" s="451">
        <v>4049679.9959832504</v>
      </c>
      <c r="D149" s="451">
        <v>-1138365.0468708938</v>
      </c>
      <c r="E149" s="451">
        <v>2911314.9491123566</v>
      </c>
      <c r="F149" s="451"/>
      <c r="G149" s="451">
        <v>0</v>
      </c>
      <c r="H149" s="451">
        <v>386467.69859436736</v>
      </c>
      <c r="I149" s="451">
        <v>0</v>
      </c>
      <c r="J149" s="301"/>
      <c r="K149" s="301"/>
      <c r="L149" s="301"/>
      <c r="M149" s="301"/>
      <c r="Q149" s="300">
        <f t="shared" si="13"/>
        <v>386467.69859436736</v>
      </c>
      <c r="S149" s="300">
        <f>E149*(('Capital Structure '!$T$15+'Capital Structure '!$T$16)/12)</f>
        <v>4017.614629775052</v>
      </c>
      <c r="T149" s="300">
        <f t="shared" si="16"/>
        <v>4917.7370024822494</v>
      </c>
      <c r="U149" s="300">
        <f>E149*('Capital Structure '!$T$18/12)</f>
        <v>12576.880580165382</v>
      </c>
      <c r="V149" s="300">
        <v>-113.07065688076977</v>
      </c>
      <c r="W149" s="300">
        <v>-381.54754372705429</v>
      </c>
      <c r="X149" s="300">
        <v>21017.614011814861</v>
      </c>
      <c r="Z149" s="300">
        <v>-4135.1357307370699</v>
      </c>
      <c r="AA149" s="258"/>
      <c r="AB149" s="300">
        <v>0</v>
      </c>
      <c r="AC149" s="300">
        <v>403350.17687544518</v>
      </c>
      <c r="AE149" s="452">
        <f t="shared" si="14"/>
        <v>6.8400000000000002E-2</v>
      </c>
      <c r="AF149" s="452">
        <f t="shared" si="15"/>
        <v>8.8670168312699971E-2</v>
      </c>
    </row>
    <row r="150" spans="1:32" s="642" customFormat="1" outlineLevel="1">
      <c r="A150" s="636" t="s">
        <v>305</v>
      </c>
      <c r="B150" s="637">
        <v>2029</v>
      </c>
      <c r="C150" s="451">
        <v>3664136.2107173204</v>
      </c>
      <c r="D150" s="451">
        <v>-1029988.6888326408</v>
      </c>
      <c r="E150" s="451">
        <v>2634147.5218846798</v>
      </c>
      <c r="F150" s="451"/>
      <c r="G150" s="451">
        <v>0</v>
      </c>
      <c r="H150" s="451">
        <v>385543.7852659304</v>
      </c>
      <c r="I150" s="451">
        <v>0</v>
      </c>
      <c r="J150" s="301"/>
      <c r="K150" s="301"/>
      <c r="L150" s="301"/>
      <c r="M150" s="301"/>
      <c r="Q150" s="300">
        <f t="shared" si="13"/>
        <v>385543.7852659304</v>
      </c>
      <c r="S150" s="300">
        <f>E150*(('Capital Structure '!$T$15+'Capital Structure '!$T$16)/12)</f>
        <v>3635.1235802008578</v>
      </c>
      <c r="T150" s="300">
        <f t="shared" si="16"/>
        <v>4449.5511357569967</v>
      </c>
      <c r="U150" s="300">
        <f>E150*('Capital Structure '!$T$18/12)</f>
        <v>11379.517294541816</v>
      </c>
      <c r="V150" s="300">
        <v>-212.91716765473859</v>
      </c>
      <c r="W150" s="300">
        <v>-718.4713043778504</v>
      </c>
      <c r="X150" s="300">
        <v>18532.803538467084</v>
      </c>
      <c r="Z150" s="300">
        <v>-3887.9100641239011</v>
      </c>
      <c r="AA150" s="258"/>
      <c r="AB150" s="300">
        <v>0</v>
      </c>
      <c r="AC150" s="300">
        <v>400188.67874027358</v>
      </c>
      <c r="AE150" s="452">
        <f t="shared" si="14"/>
        <v>6.8399999999999989E-2</v>
      </c>
      <c r="AF150" s="452">
        <f t="shared" si="15"/>
        <v>8.8670168312699957E-2</v>
      </c>
    </row>
    <row r="151" spans="1:32" s="642" customFormat="1" outlineLevel="1">
      <c r="A151" s="636" t="s">
        <v>306</v>
      </c>
      <c r="B151" s="637">
        <v>2029</v>
      </c>
      <c r="C151" s="451">
        <v>3322182.826438196</v>
      </c>
      <c r="D151" s="451">
        <v>-933865.59251177858</v>
      </c>
      <c r="E151" s="451">
        <v>2388317.2339264173</v>
      </c>
      <c r="F151" s="451"/>
      <c r="G151" s="451">
        <v>0</v>
      </c>
      <c r="H151" s="451">
        <v>341953.3842791256</v>
      </c>
      <c r="I151" s="451">
        <v>0</v>
      </c>
      <c r="J151" s="301"/>
      <c r="K151" s="301"/>
      <c r="L151" s="301"/>
      <c r="M151" s="301"/>
      <c r="Q151" s="300">
        <f t="shared" ref="Q151:Q214" si="17">SUM(G151:M151)</f>
        <v>341953.3842791256</v>
      </c>
      <c r="S151" s="300">
        <f>E151*(('Capital Structure '!$T$15+'Capital Structure '!$T$16)/12)</f>
        <v>3295.8777828184557</v>
      </c>
      <c r="T151" s="300">
        <f t="shared" si="16"/>
        <v>4034.2993596508736</v>
      </c>
      <c r="U151" s="300">
        <f>E151*('Capital Structure '!$T$18/12)</f>
        <v>10317.530450562122</v>
      </c>
      <c r="V151" s="300">
        <v>-310.71202771233504</v>
      </c>
      <c r="W151" s="300">
        <v>-1048.4719400286444</v>
      </c>
      <c r="X151" s="300">
        <v>16288.523625290472</v>
      </c>
      <c r="Z151" s="300">
        <v>-3649.7487530460535</v>
      </c>
      <c r="AA151" s="258"/>
      <c r="AB151" s="300">
        <v>0</v>
      </c>
      <c r="AC151" s="300">
        <v>354592.15915137</v>
      </c>
      <c r="AE151" s="452">
        <f t="shared" ref="AE151:AE214" si="18">(S151+U151)/E151*12</f>
        <v>6.8400000000000002E-2</v>
      </c>
      <c r="AF151" s="452">
        <f t="shared" ref="AF151:AF214" si="19">(S151+T151+U151)/E151*12</f>
        <v>8.8670168312699957E-2</v>
      </c>
    </row>
    <row r="152" spans="1:32" s="642" customFormat="1" outlineLevel="1">
      <c r="A152" s="636" t="s">
        <v>307</v>
      </c>
      <c r="B152" s="637">
        <v>2029</v>
      </c>
      <c r="C152" s="451">
        <v>2981362.3050613403</v>
      </c>
      <c r="D152" s="451">
        <v>-838060.94395274343</v>
      </c>
      <c r="E152" s="451">
        <v>2143301.3611085969</v>
      </c>
      <c r="F152" s="451"/>
      <c r="G152" s="451">
        <v>0</v>
      </c>
      <c r="H152" s="451">
        <v>340820.52137685911</v>
      </c>
      <c r="I152" s="451">
        <v>0</v>
      </c>
      <c r="J152" s="301"/>
      <c r="K152" s="301"/>
      <c r="L152" s="301"/>
      <c r="M152" s="301"/>
      <c r="Q152" s="300">
        <f t="shared" si="17"/>
        <v>340820.52137685911</v>
      </c>
      <c r="S152" s="300">
        <f>E152*(('Capital Structure '!$T$15+'Capital Structure '!$T$16)/12)</f>
        <v>2957.7558783298637</v>
      </c>
      <c r="T152" s="300">
        <f t="shared" si="16"/>
        <v>3620.4232778758478</v>
      </c>
      <c r="U152" s="300">
        <f>E152*('Capital Structure '!$T$18/12)</f>
        <v>9259.0618799891381</v>
      </c>
      <c r="V152" s="300">
        <v>-407.2276422337286</v>
      </c>
      <c r="W152" s="300">
        <v>-1374.15586782944</v>
      </c>
      <c r="X152" s="300">
        <v>14055.85752613168</v>
      </c>
      <c r="Z152" s="300">
        <v>-3422.7079705684264</v>
      </c>
      <c r="AA152" s="258"/>
      <c r="AB152" s="300">
        <v>0</v>
      </c>
      <c r="AC152" s="300">
        <v>351453.67093242233</v>
      </c>
      <c r="AE152" s="452">
        <f t="shared" si="18"/>
        <v>6.8399999999999989E-2</v>
      </c>
      <c r="AF152" s="452">
        <f t="shared" si="19"/>
        <v>8.8670168312699957E-2</v>
      </c>
    </row>
    <row r="153" spans="1:32" s="642" customFormat="1" outlineLevel="1">
      <c r="A153" s="636" t="s">
        <v>308</v>
      </c>
      <c r="B153" s="637">
        <v>2029</v>
      </c>
      <c r="C153" s="451">
        <v>2650575.8837311342</v>
      </c>
      <c r="D153" s="451">
        <v>-745076.88091682235</v>
      </c>
      <c r="E153" s="451">
        <v>1905499.002814312</v>
      </c>
      <c r="F153" s="451"/>
      <c r="G153" s="451">
        <v>0</v>
      </c>
      <c r="H153" s="451">
        <v>330786.4213302065</v>
      </c>
      <c r="I153" s="451">
        <v>0</v>
      </c>
      <c r="J153" s="301"/>
      <c r="K153" s="301"/>
      <c r="L153" s="301"/>
      <c r="M153" s="301"/>
      <c r="Q153" s="300">
        <f t="shared" si="17"/>
        <v>330786.4213302065</v>
      </c>
      <c r="S153" s="300">
        <f>E153*(('Capital Structure '!$T$15+'Capital Structure '!$T$16)/12)</f>
        <v>2629.5886238837506</v>
      </c>
      <c r="T153" s="300">
        <f t="shared" si="16"/>
        <v>3218.7321255606698</v>
      </c>
      <c r="U153" s="300">
        <f>E153*('Capital Structure '!$T$18/12)</f>
        <v>8231.7556921578271</v>
      </c>
      <c r="V153" s="300">
        <v>-501.11709468211433</v>
      </c>
      <c r="W153" s="300">
        <v>-1690.9780297572202</v>
      </c>
      <c r="X153" s="300">
        <v>11887.981317162912</v>
      </c>
      <c r="Z153" s="300">
        <v>-3204.8154791026509</v>
      </c>
      <c r="AA153" s="258"/>
      <c r="AB153" s="300">
        <v>0</v>
      </c>
      <c r="AC153" s="300">
        <v>339469.58716826676</v>
      </c>
      <c r="AE153" s="452">
        <f t="shared" si="18"/>
        <v>6.8399999999999989E-2</v>
      </c>
      <c r="AF153" s="452">
        <f t="shared" si="19"/>
        <v>8.8670168312699943E-2</v>
      </c>
    </row>
    <row r="154" spans="1:32" s="642" customFormat="1" outlineLevel="1">
      <c r="A154" s="636" t="s">
        <v>309</v>
      </c>
      <c r="B154" s="637">
        <v>2029</v>
      </c>
      <c r="C154" s="451">
        <v>2407323.1357534379</v>
      </c>
      <c r="D154" s="451">
        <v>-676698.53346029273</v>
      </c>
      <c r="E154" s="451">
        <v>1730624.6022931451</v>
      </c>
      <c r="F154" s="451"/>
      <c r="G154" s="451">
        <v>0</v>
      </c>
      <c r="H154" s="451">
        <v>243252.74797769351</v>
      </c>
      <c r="I154" s="451">
        <v>0</v>
      </c>
      <c r="J154" s="301"/>
      <c r="K154" s="301"/>
      <c r="L154" s="301"/>
      <c r="M154" s="301"/>
      <c r="Q154" s="300">
        <f t="shared" si="17"/>
        <v>243252.74797769351</v>
      </c>
      <c r="S154" s="300">
        <f>E154*(('Capital Structure '!$T$15+'Capital Structure '!$T$16)/12)</f>
        <v>2388.2619511645403</v>
      </c>
      <c r="T154" s="300">
        <f t="shared" si="16"/>
        <v>2923.3376645484568</v>
      </c>
      <c r="U154" s="300">
        <f>E154*('Capital Structure '!$T$18/12)</f>
        <v>7476.2982819063873</v>
      </c>
      <c r="V154" s="300">
        <v>-588.65046404861289</v>
      </c>
      <c r="W154" s="300">
        <v>-1986.3521170516638</v>
      </c>
      <c r="X154" s="300">
        <v>10212.895316519109</v>
      </c>
      <c r="Z154" s="300">
        <v>-2992.0723593859234</v>
      </c>
      <c r="AA154" s="258"/>
      <c r="AB154" s="300">
        <v>0</v>
      </c>
      <c r="AC154" s="300">
        <v>250473.57093482668</v>
      </c>
      <c r="AE154" s="452">
        <f t="shared" si="18"/>
        <v>6.8400000000000002E-2</v>
      </c>
      <c r="AF154" s="452">
        <f t="shared" si="19"/>
        <v>8.8670168312699957E-2</v>
      </c>
    </row>
    <row r="155" spans="1:32" s="642" customFormat="1" outlineLevel="1">
      <c r="A155" s="636" t="s">
        <v>298</v>
      </c>
      <c r="B155" s="637">
        <v>2029</v>
      </c>
      <c r="C155" s="451">
        <v>2169833.2761926278</v>
      </c>
      <c r="D155" s="451">
        <v>-609940.13393774803</v>
      </c>
      <c r="E155" s="451">
        <v>1559893.1422548797</v>
      </c>
      <c r="F155" s="451"/>
      <c r="G155" s="451">
        <v>0</v>
      </c>
      <c r="H155" s="451">
        <v>237489.8595608137</v>
      </c>
      <c r="I155" s="451">
        <v>0</v>
      </c>
      <c r="J155" s="301"/>
      <c r="K155" s="301"/>
      <c r="L155" s="301"/>
      <c r="M155" s="301"/>
      <c r="Q155" s="300">
        <f t="shared" si="17"/>
        <v>237489.8595608137</v>
      </c>
      <c r="S155" s="300">
        <f>E155*(('Capital Structure '!$T$15+'Capital Structure '!$T$16)/12)</f>
        <v>2152.6525363117339</v>
      </c>
      <c r="T155" s="300">
        <f t="shared" si="16"/>
        <v>2634.9413786110695</v>
      </c>
      <c r="U155" s="300">
        <f>E155*('Capital Structure '!$T$18/12)</f>
        <v>6738.7383745410807</v>
      </c>
      <c r="V155" s="300">
        <v>-671.92804544956493</v>
      </c>
      <c r="W155" s="300">
        <v>-2267.3654012016659</v>
      </c>
      <c r="X155" s="300">
        <v>8587.0388428126535</v>
      </c>
      <c r="Z155" s="300">
        <v>-2782.4815437693023</v>
      </c>
      <c r="AA155" s="258"/>
      <c r="AB155" s="300">
        <v>0</v>
      </c>
      <c r="AC155" s="300">
        <v>243294.41685985704</v>
      </c>
      <c r="AE155" s="452">
        <f t="shared" si="18"/>
        <v>6.8400000000000002E-2</v>
      </c>
      <c r="AF155" s="452">
        <f t="shared" si="19"/>
        <v>8.8670168312699957E-2</v>
      </c>
    </row>
    <row r="156" spans="1:32" s="642" customFormat="1" outlineLevel="1">
      <c r="A156" s="636" t="s">
        <v>299</v>
      </c>
      <c r="B156" s="637">
        <v>2029</v>
      </c>
      <c r="C156" s="451">
        <v>1932815.600108467</v>
      </c>
      <c r="D156" s="451">
        <v>-543314.46519048989</v>
      </c>
      <c r="E156" s="451">
        <v>1389501.1349179773</v>
      </c>
      <c r="F156" s="451"/>
      <c r="G156" s="451">
        <v>0</v>
      </c>
      <c r="H156" s="451">
        <v>237017.67608416278</v>
      </c>
      <c r="I156" s="451">
        <v>0</v>
      </c>
      <c r="J156" s="301"/>
      <c r="K156" s="301"/>
      <c r="L156" s="301"/>
      <c r="M156" s="301"/>
      <c r="Q156" s="300">
        <f t="shared" si="17"/>
        <v>237017.67608416278</v>
      </c>
      <c r="S156" s="300">
        <f>E156*(('Capital Structure '!$T$15+'Capital Structure '!$T$16)/12)</f>
        <v>1917.5115661868085</v>
      </c>
      <c r="T156" s="300">
        <f t="shared" si="16"/>
        <v>2347.1184896229179</v>
      </c>
      <c r="U156" s="300">
        <f>E156*('Capital Structure '!$T$18/12)</f>
        <v>6002.6449028456618</v>
      </c>
      <c r="V156" s="300">
        <v>-747.84993468248138</v>
      </c>
      <c r="W156" s="300">
        <v>-2523.5575128516639</v>
      </c>
      <c r="X156" s="300">
        <v>6995.8675111212424</v>
      </c>
      <c r="Z156" s="300">
        <v>-2578.0746210371344</v>
      </c>
      <c r="AA156" s="258"/>
      <c r="AB156" s="300">
        <v>0</v>
      </c>
      <c r="AC156" s="300">
        <v>241435.46897424691</v>
      </c>
      <c r="AE156" s="452">
        <f t="shared" si="18"/>
        <v>6.8400000000000002E-2</v>
      </c>
      <c r="AF156" s="452">
        <f t="shared" si="19"/>
        <v>8.8670168312699943E-2</v>
      </c>
    </row>
    <row r="157" spans="1:32" s="642" customFormat="1" outlineLevel="1">
      <c r="A157" s="636" t="s">
        <v>300</v>
      </c>
      <c r="B157" s="637">
        <v>2029</v>
      </c>
      <c r="C157" s="451">
        <v>1708785.0342893898</v>
      </c>
      <c r="D157" s="451">
        <v>-480339.47313874669</v>
      </c>
      <c r="E157" s="451">
        <v>1228445.561150643</v>
      </c>
      <c r="F157" s="451"/>
      <c r="G157" s="451">
        <v>0</v>
      </c>
      <c r="H157" s="451">
        <v>224030.56581907923</v>
      </c>
      <c r="I157" s="451">
        <v>0</v>
      </c>
      <c r="J157" s="301"/>
      <c r="K157" s="301"/>
      <c r="L157" s="301"/>
      <c r="M157" s="301"/>
      <c r="Q157" s="300">
        <f t="shared" si="17"/>
        <v>224030.56581907923</v>
      </c>
      <c r="S157" s="300">
        <f>E157*(('Capital Structure '!$T$15+'Capital Structure '!$T$16)/12)</f>
        <v>1695.2548743878874</v>
      </c>
      <c r="T157" s="300">
        <f t="shared" si="16"/>
        <v>2075.0665239593905</v>
      </c>
      <c r="U157" s="300">
        <f>E157*('Capital Structure '!$T$18/12)</f>
        <v>5306.8848241707783</v>
      </c>
      <c r="V157" s="300">
        <v>-817.27772964081248</v>
      </c>
      <c r="W157" s="300">
        <v>-2757.835842557221</v>
      </c>
      <c r="X157" s="300">
        <v>5502.0926503200226</v>
      </c>
      <c r="Z157" s="300">
        <v>-2382.9101084502604</v>
      </c>
      <c r="AA157" s="258"/>
      <c r="AB157" s="300">
        <v>0</v>
      </c>
      <c r="AC157" s="300">
        <v>227149.74836094899</v>
      </c>
      <c r="AE157" s="452">
        <f t="shared" si="18"/>
        <v>6.8400000000000002E-2</v>
      </c>
      <c r="AF157" s="452">
        <f t="shared" si="19"/>
        <v>8.8670168312699957E-2</v>
      </c>
    </row>
    <row r="158" spans="1:32" s="642" customFormat="1" outlineLevel="1">
      <c r="A158" s="636" t="s">
        <v>301</v>
      </c>
      <c r="B158" s="637">
        <v>2030</v>
      </c>
      <c r="C158" s="451">
        <v>1484921.1483994275</v>
      </c>
      <c r="D158" s="451">
        <v>-417411.33481507725</v>
      </c>
      <c r="E158" s="451">
        <v>1067509.8135843503</v>
      </c>
      <c r="F158" s="451"/>
      <c r="G158" s="451">
        <v>0</v>
      </c>
      <c r="H158" s="451">
        <v>223863.88588996592</v>
      </c>
      <c r="I158" s="451">
        <v>0</v>
      </c>
      <c r="J158" s="301"/>
      <c r="K158" s="301"/>
      <c r="L158" s="301"/>
      <c r="M158" s="301"/>
      <c r="Q158" s="300">
        <f t="shared" si="17"/>
        <v>223863.88588996592</v>
      </c>
      <c r="S158" s="300">
        <f>E158*(('Capital Structure '!$T$15+'Capital Structure '!$T$16)/12)</f>
        <v>1473.1635427464032</v>
      </c>
      <c r="T158" s="300">
        <f t="shared" si="16"/>
        <v>1803.2169664011449</v>
      </c>
      <c r="U158" s="300">
        <f>E158*('Capital Structure '!$T$18/12)</f>
        <v>4611.6423946843934</v>
      </c>
      <c r="V158" s="300">
        <v>-879.97424589445518</v>
      </c>
      <c r="W158" s="300">
        <v>-2969.4000311516638</v>
      </c>
      <c r="X158" s="300">
        <v>4038.6486267858227</v>
      </c>
      <c r="Z158" s="300">
        <v>-2199.0449194839975</v>
      </c>
      <c r="AA158" s="258"/>
      <c r="AB158" s="300">
        <v>0</v>
      </c>
      <c r="AC158" s="300">
        <v>225703.48959726776</v>
      </c>
      <c r="AE158" s="452">
        <f t="shared" si="18"/>
        <v>6.8400000000000002E-2</v>
      </c>
      <c r="AF158" s="452">
        <f t="shared" si="19"/>
        <v>8.8670168312699957E-2</v>
      </c>
    </row>
    <row r="159" spans="1:32" s="642" customFormat="1" outlineLevel="1">
      <c r="A159" s="636" t="s">
        <v>302</v>
      </c>
      <c r="B159" s="637">
        <v>2030</v>
      </c>
      <c r="C159" s="451">
        <v>1261389.4345774055</v>
      </c>
      <c r="D159" s="451">
        <v>-354576.57005970646</v>
      </c>
      <c r="E159" s="451">
        <v>906812.864517699</v>
      </c>
      <c r="F159" s="451"/>
      <c r="G159" s="451">
        <v>0</v>
      </c>
      <c r="H159" s="451">
        <v>223531.71382202354</v>
      </c>
      <c r="I159" s="451">
        <v>0</v>
      </c>
      <c r="J159" s="301"/>
      <c r="K159" s="301"/>
      <c r="L159" s="301"/>
      <c r="M159" s="301"/>
      <c r="Q159" s="300">
        <f t="shared" si="17"/>
        <v>223531.71382202354</v>
      </c>
      <c r="S159" s="300">
        <f>E159*(('Capital Structure '!$T$15+'Capital Structure '!$T$16)/12)</f>
        <v>1251.4017530344245</v>
      </c>
      <c r="T159" s="300">
        <f t="shared" si="16"/>
        <v>1531.7707826579453</v>
      </c>
      <c r="U159" s="300">
        <f>E159*('Capital Structure '!$T$18/12)</f>
        <v>3917.4315747164596</v>
      </c>
      <c r="V159" s="300">
        <v>-938.37012374498215</v>
      </c>
      <c r="W159" s="300">
        <v>-3166.4520725238854</v>
      </c>
      <c r="X159" s="300">
        <v>2595.7819141399614</v>
      </c>
      <c r="Z159" s="300">
        <v>-2024.5075600392718</v>
      </c>
      <c r="AA159" s="258"/>
      <c r="AB159" s="300">
        <v>0</v>
      </c>
      <c r="AC159" s="300">
        <v>224102.98817612423</v>
      </c>
      <c r="AE159" s="452">
        <f t="shared" si="18"/>
        <v>6.8400000000000002E-2</v>
      </c>
      <c r="AF159" s="452">
        <f t="shared" si="19"/>
        <v>8.8670168312699943E-2</v>
      </c>
    </row>
    <row r="160" spans="1:32" s="642" customFormat="1" outlineLevel="1">
      <c r="A160" s="636" t="s">
        <v>303</v>
      </c>
      <c r="B160" s="637">
        <v>2030</v>
      </c>
      <c r="C160" s="451">
        <v>1038091.7603571638</v>
      </c>
      <c r="D160" s="451">
        <v>-291807.59383639751</v>
      </c>
      <c r="E160" s="451">
        <v>746284.16652076633</v>
      </c>
      <c r="F160" s="451"/>
      <c r="G160" s="451">
        <v>0</v>
      </c>
      <c r="H160" s="451">
        <v>223297.67422023811</v>
      </c>
      <c r="I160" s="451">
        <v>0</v>
      </c>
      <c r="J160" s="301"/>
      <c r="K160" s="301"/>
      <c r="L160" s="301"/>
      <c r="M160" s="301"/>
      <c r="Q160" s="300">
        <f t="shared" si="17"/>
        <v>223297.67422023811</v>
      </c>
      <c r="S160" s="300">
        <f>E160*(('Capital Structure '!$T$15+'Capital Structure '!$T$16)/12)</f>
        <v>1029.8721497986576</v>
      </c>
      <c r="T160" s="300">
        <f t="shared" si="16"/>
        <v>1260.6088053732449</v>
      </c>
      <c r="U160" s="300">
        <f>E160*('Capital Structure '!$T$18/12)</f>
        <v>3223.9475993697106</v>
      </c>
      <c r="V160" s="300">
        <v>-992.42192935180401</v>
      </c>
      <c r="W160" s="300">
        <v>-3348.8454027849975</v>
      </c>
      <c r="X160" s="300">
        <v>1173.1612224048122</v>
      </c>
      <c r="Z160" s="300">
        <v>-1855.2998574342475</v>
      </c>
      <c r="AA160" s="258"/>
      <c r="AB160" s="300">
        <v>0</v>
      </c>
      <c r="AC160" s="300">
        <v>222615.53558520868</v>
      </c>
      <c r="AE160" s="452">
        <f t="shared" si="18"/>
        <v>6.8399999999999989E-2</v>
      </c>
      <c r="AF160" s="452">
        <f t="shared" si="19"/>
        <v>8.8670168312699957E-2</v>
      </c>
    </row>
    <row r="161" spans="1:32" s="642" customFormat="1" outlineLevel="1">
      <c r="A161" s="636" t="s">
        <v>304</v>
      </c>
      <c r="B161" s="637">
        <v>2030</v>
      </c>
      <c r="C161" s="451">
        <v>836931.35697025806</v>
      </c>
      <c r="D161" s="451">
        <v>-235261.40444433858</v>
      </c>
      <c r="E161" s="451">
        <v>601669.95252591954</v>
      </c>
      <c r="F161" s="451"/>
      <c r="G161" s="451">
        <v>0</v>
      </c>
      <c r="H161" s="451">
        <v>201160.40338690474</v>
      </c>
      <c r="I161" s="451">
        <v>0</v>
      </c>
      <c r="J161" s="301"/>
      <c r="K161" s="301"/>
      <c r="L161" s="301"/>
      <c r="M161" s="301"/>
      <c r="Q161" s="300">
        <f t="shared" si="17"/>
        <v>201160.40338690474</v>
      </c>
      <c r="S161" s="300">
        <f>E161*(('Capital Structure '!$T$15+'Capital Structure '!$T$16)/12)</f>
        <v>830.30453448576895</v>
      </c>
      <c r="T161" s="300">
        <f t="shared" si="16"/>
        <v>1016.3292671995487</v>
      </c>
      <c r="U161" s="300">
        <f>E161*('Capital Structure '!$T$18/12)</f>
        <v>2599.2141949119723</v>
      </c>
      <c r="V161" s="300">
        <v>-1043.5728017273007</v>
      </c>
      <c r="W161" s="300">
        <v>-3521.4497747127771</v>
      </c>
      <c r="X161" s="300">
        <v>-119.17457984278735</v>
      </c>
      <c r="Z161" s="300">
        <v>-1689.4254937054859</v>
      </c>
      <c r="AA161" s="258"/>
      <c r="AB161" s="300">
        <v>0</v>
      </c>
      <c r="AC161" s="300">
        <v>199351.80331335647</v>
      </c>
      <c r="AE161" s="452">
        <f t="shared" si="18"/>
        <v>6.8400000000000002E-2</v>
      </c>
      <c r="AF161" s="452">
        <f t="shared" si="19"/>
        <v>8.8670168312699957E-2</v>
      </c>
    </row>
    <row r="162" spans="1:32" s="642" customFormat="1" outlineLevel="1">
      <c r="A162" s="636" t="s">
        <v>305</v>
      </c>
      <c r="B162" s="637">
        <v>2030</v>
      </c>
      <c r="C162" s="451">
        <v>660126.36786906421</v>
      </c>
      <c r="D162" s="451">
        <v>-185561.52200799395</v>
      </c>
      <c r="E162" s="451">
        <v>474564.84586107027</v>
      </c>
      <c r="F162" s="451"/>
      <c r="G162" s="451">
        <v>0</v>
      </c>
      <c r="H162" s="451">
        <v>176804.98910119047</v>
      </c>
      <c r="I162" s="451">
        <v>0</v>
      </c>
      <c r="J162" s="301"/>
      <c r="K162" s="301"/>
      <c r="L162" s="301"/>
      <c r="M162" s="301"/>
      <c r="Q162" s="300">
        <f t="shared" si="17"/>
        <v>176804.98910119047</v>
      </c>
      <c r="S162" s="300">
        <f>E162*(('Capital Structure '!$T$15+'Capital Structure '!$T$16)/12)</f>
        <v>654.89948728827699</v>
      </c>
      <c r="T162" s="300">
        <f t="shared" si="16"/>
        <v>801.62577507453398</v>
      </c>
      <c r="U162" s="300">
        <f>E162*('Capital Structure '!$T$18/12)</f>
        <v>2050.1201341198234</v>
      </c>
      <c r="V162" s="300">
        <v>-1093.3188857483663</v>
      </c>
      <c r="W162" s="300">
        <v>-3689.3138049738891</v>
      </c>
      <c r="X162" s="300">
        <v>-1275.9872942396214</v>
      </c>
      <c r="Z162" s="300">
        <v>-1528.9168104402784</v>
      </c>
      <c r="AA162" s="258"/>
      <c r="AB162" s="300">
        <v>0</v>
      </c>
      <c r="AC162" s="300">
        <v>174000.08499651056</v>
      </c>
      <c r="AE162" s="452">
        <f t="shared" si="18"/>
        <v>6.8400000000000002E-2</v>
      </c>
      <c r="AF162" s="452">
        <f t="shared" si="19"/>
        <v>8.8670168312699943E-2</v>
      </c>
    </row>
    <row r="163" spans="1:32" s="642" customFormat="1" outlineLevel="1">
      <c r="A163" s="636" t="s">
        <v>306</v>
      </c>
      <c r="B163" s="637">
        <v>2030</v>
      </c>
      <c r="C163" s="451">
        <v>499432.17781548947</v>
      </c>
      <c r="D163" s="451">
        <v>-140390.38518393502</v>
      </c>
      <c r="E163" s="451">
        <v>359041.79263155442</v>
      </c>
      <c r="F163" s="451"/>
      <c r="G163" s="451">
        <v>0</v>
      </c>
      <c r="H163" s="451">
        <v>160694.19005357142</v>
      </c>
      <c r="I163" s="451">
        <v>0</v>
      </c>
      <c r="J163" s="301"/>
      <c r="K163" s="301"/>
      <c r="L163" s="301"/>
      <c r="M163" s="301"/>
      <c r="Q163" s="300">
        <f t="shared" si="17"/>
        <v>160694.19005357142</v>
      </c>
      <c r="S163" s="300">
        <f>E163*(('Capital Structure '!$T$15+'Capital Structure '!$T$16)/12)</f>
        <v>495.47767383154508</v>
      </c>
      <c r="T163" s="300">
        <f t="shared" si="16"/>
        <v>606.48646399459369</v>
      </c>
      <c r="U163" s="300">
        <f>E163*('Capital Structure '!$T$18/12)</f>
        <v>1551.0605441683151</v>
      </c>
      <c r="V163" s="300">
        <v>-1140.7301466785993</v>
      </c>
      <c r="W163" s="300">
        <v>-3849.299168568336</v>
      </c>
      <c r="X163" s="300">
        <v>-2337.0046332524812</v>
      </c>
      <c r="Z163" s="300">
        <v>-1377.8330808328142</v>
      </c>
      <c r="AA163" s="258"/>
      <c r="AB163" s="300">
        <v>0</v>
      </c>
      <c r="AC163" s="300">
        <v>156979.35233948613</v>
      </c>
      <c r="AE163" s="452">
        <f t="shared" si="18"/>
        <v>6.8399999999999989E-2</v>
      </c>
      <c r="AF163" s="452">
        <f t="shared" si="19"/>
        <v>8.8670168312699971E-2</v>
      </c>
    </row>
    <row r="164" spans="1:32" s="642" customFormat="1" outlineLevel="1">
      <c r="A164" s="636" t="s">
        <v>307</v>
      </c>
      <c r="B164" s="637">
        <v>2030</v>
      </c>
      <c r="C164" s="451">
        <v>0</v>
      </c>
      <c r="D164" s="451">
        <v>0</v>
      </c>
      <c r="E164" s="451">
        <v>0</v>
      </c>
      <c r="F164" s="451"/>
      <c r="G164" s="451">
        <v>0</v>
      </c>
      <c r="H164" s="451">
        <v>0</v>
      </c>
      <c r="I164" s="451">
        <v>0</v>
      </c>
      <c r="J164" s="301"/>
      <c r="K164" s="301"/>
      <c r="L164" s="301"/>
      <c r="M164" s="301"/>
      <c r="Q164" s="300">
        <f t="shared" si="17"/>
        <v>0</v>
      </c>
      <c r="S164" s="300">
        <f t="shared" ref="S164" si="20">E164*(($V$13+$V$14)/12)</f>
        <v>0</v>
      </c>
      <c r="T164" s="300">
        <f t="shared" ref="T164" si="21">E164*($AA$16/12)</f>
        <v>0</v>
      </c>
      <c r="U164" s="300">
        <f t="shared" ref="U164" si="22">E164*($V$15/12)</f>
        <v>0</v>
      </c>
      <c r="V164" s="300">
        <v>-1186.0049068437738</v>
      </c>
      <c r="W164" s="300">
        <v>-4002.0750877183355</v>
      </c>
      <c r="X164" s="300">
        <v>-5188.0799945621093</v>
      </c>
      <c r="Z164" s="300">
        <v>-1238.2319774351845</v>
      </c>
      <c r="AA164" s="258"/>
      <c r="AB164" s="300">
        <v>0</v>
      </c>
      <c r="AC164" s="300">
        <v>-6426.3119719972938</v>
      </c>
      <c r="AE164" s="452" t="e">
        <f t="shared" si="18"/>
        <v>#DIV/0!</v>
      </c>
      <c r="AF164" s="452" t="e">
        <f t="shared" si="19"/>
        <v>#DIV/0!</v>
      </c>
    </row>
    <row r="165" spans="1:32" s="642" customFormat="1" outlineLevel="1">
      <c r="A165" s="636" t="s">
        <v>308</v>
      </c>
      <c r="B165" s="637">
        <v>2030</v>
      </c>
      <c r="C165" s="451">
        <v>0</v>
      </c>
      <c r="D165" s="451">
        <v>0</v>
      </c>
      <c r="E165" s="451">
        <v>0</v>
      </c>
      <c r="F165" s="451"/>
      <c r="G165" s="451">
        <v>0</v>
      </c>
      <c r="H165" s="451">
        <v>0</v>
      </c>
      <c r="I165" s="451">
        <v>0</v>
      </c>
      <c r="J165" s="301"/>
      <c r="K165" s="301"/>
      <c r="L165" s="301"/>
      <c r="M165" s="301"/>
      <c r="Q165" s="300">
        <f t="shared" si="17"/>
        <v>0</v>
      </c>
      <c r="S165" s="300">
        <f t="shared" ref="S165:S228" si="23">E165*(($V$13+$V$14)/12)</f>
        <v>0</v>
      </c>
      <c r="T165" s="300">
        <f t="shared" ref="T165:T228" si="24">E165*($AA$16/12)</f>
        <v>0</v>
      </c>
      <c r="U165" s="300">
        <f t="shared" ref="U165:U228" si="25">E165*($V$15/12)</f>
        <v>0</v>
      </c>
      <c r="V165" s="300">
        <v>-1228.3309518608048</v>
      </c>
      <c r="W165" s="300">
        <v>-4144.9008124238899</v>
      </c>
      <c r="X165" s="300">
        <v>-5373.2317642846947</v>
      </c>
      <c r="Z165" s="300">
        <v>-1108.1427683815809</v>
      </c>
      <c r="AA165" s="258"/>
      <c r="AB165" s="300">
        <v>0</v>
      </c>
      <c r="AC165" s="300">
        <v>-6481.3745326662756</v>
      </c>
      <c r="AE165" s="452" t="e">
        <f t="shared" si="18"/>
        <v>#DIV/0!</v>
      </c>
      <c r="AF165" s="452" t="e">
        <f t="shared" si="19"/>
        <v>#DIV/0!</v>
      </c>
    </row>
    <row r="166" spans="1:32" s="642" customFormat="1" outlineLevel="1">
      <c r="A166" s="636" t="s">
        <v>309</v>
      </c>
      <c r="B166" s="637">
        <v>2030</v>
      </c>
      <c r="C166" s="451">
        <v>0</v>
      </c>
      <c r="D166" s="451">
        <v>0</v>
      </c>
      <c r="E166" s="451">
        <v>0</v>
      </c>
      <c r="F166" s="451"/>
      <c r="G166" s="451">
        <v>0</v>
      </c>
      <c r="H166" s="451">
        <v>0</v>
      </c>
      <c r="I166" s="451">
        <v>0</v>
      </c>
      <c r="J166" s="301"/>
      <c r="K166" s="301"/>
      <c r="L166" s="301"/>
      <c r="M166" s="301"/>
      <c r="Q166" s="300">
        <f t="shared" si="17"/>
        <v>0</v>
      </c>
      <c r="S166" s="300">
        <f t="shared" si="23"/>
        <v>0</v>
      </c>
      <c r="T166" s="300">
        <f t="shared" si="24"/>
        <v>0</v>
      </c>
      <c r="U166" s="300">
        <f t="shared" si="25"/>
        <v>0</v>
      </c>
      <c r="V166" s="300">
        <v>-1267.5312030877292</v>
      </c>
      <c r="W166" s="300">
        <v>-4277.1788055100005</v>
      </c>
      <c r="X166" s="300">
        <v>-5544.7100085977299</v>
      </c>
      <c r="Z166" s="300">
        <v>-983.56804639305551</v>
      </c>
      <c r="AA166" s="258"/>
      <c r="AB166" s="300">
        <v>0</v>
      </c>
      <c r="AC166" s="300">
        <v>-6528.2780549907857</v>
      </c>
      <c r="AE166" s="452" t="e">
        <f t="shared" si="18"/>
        <v>#DIV/0!</v>
      </c>
      <c r="AF166" s="452" t="e">
        <f t="shared" si="19"/>
        <v>#DIV/0!</v>
      </c>
    </row>
    <row r="167" spans="1:32" s="642" customFormat="1" outlineLevel="1">
      <c r="A167" s="636" t="s">
        <v>298</v>
      </c>
      <c r="B167" s="637">
        <v>2030</v>
      </c>
      <c r="C167" s="451">
        <v>0</v>
      </c>
      <c r="D167" s="451">
        <v>0</v>
      </c>
      <c r="E167" s="451">
        <v>0</v>
      </c>
      <c r="F167" s="451"/>
      <c r="G167" s="451">
        <v>0</v>
      </c>
      <c r="H167" s="451">
        <v>0</v>
      </c>
      <c r="I167" s="451">
        <v>0</v>
      </c>
      <c r="J167" s="301"/>
      <c r="K167" s="301"/>
      <c r="L167" s="301"/>
      <c r="M167" s="301"/>
      <c r="Q167" s="300">
        <f t="shared" si="17"/>
        <v>0</v>
      </c>
      <c r="S167" s="300">
        <f t="shared" si="23"/>
        <v>0</v>
      </c>
      <c r="T167" s="300">
        <f t="shared" si="24"/>
        <v>0</v>
      </c>
      <c r="U167" s="300">
        <f t="shared" si="25"/>
        <v>0</v>
      </c>
      <c r="V167" s="300">
        <v>-1303.8865056928703</v>
      </c>
      <c r="W167" s="300">
        <v>-4399.8567556794442</v>
      </c>
      <c r="X167" s="300">
        <v>-5703.743261372314</v>
      </c>
      <c r="Z167" s="300">
        <v>-862.51226209185631</v>
      </c>
      <c r="AA167" s="258"/>
      <c r="AB167" s="300">
        <v>0</v>
      </c>
      <c r="AC167" s="300">
        <v>-6566.2555234641704</v>
      </c>
      <c r="AE167" s="452" t="e">
        <f t="shared" si="18"/>
        <v>#DIV/0!</v>
      </c>
      <c r="AF167" s="452" t="e">
        <f t="shared" si="19"/>
        <v>#DIV/0!</v>
      </c>
    </row>
    <row r="168" spans="1:32" s="642" customFormat="1" outlineLevel="1">
      <c r="A168" s="636" t="s">
        <v>299</v>
      </c>
      <c r="B168" s="637">
        <v>2030</v>
      </c>
      <c r="C168" s="451">
        <v>0</v>
      </c>
      <c r="D168" s="451">
        <v>0</v>
      </c>
      <c r="E168" s="451">
        <v>0</v>
      </c>
      <c r="F168" s="451"/>
      <c r="G168" s="451">
        <v>0</v>
      </c>
      <c r="H168" s="451">
        <v>0</v>
      </c>
      <c r="I168" s="451">
        <v>0</v>
      </c>
      <c r="J168" s="301"/>
      <c r="K168" s="301"/>
      <c r="L168" s="301"/>
      <c r="M168" s="301"/>
      <c r="Q168" s="300">
        <f t="shared" si="17"/>
        <v>0</v>
      </c>
      <c r="S168" s="300">
        <f t="shared" si="23"/>
        <v>0</v>
      </c>
      <c r="T168" s="300">
        <f t="shared" si="24"/>
        <v>0</v>
      </c>
      <c r="U168" s="300">
        <f t="shared" si="25"/>
        <v>0</v>
      </c>
      <c r="V168" s="300">
        <v>-1337.6736280225905</v>
      </c>
      <c r="W168" s="300">
        <v>-4513.8685947377762</v>
      </c>
      <c r="X168" s="300">
        <v>-5851.5422227603667</v>
      </c>
      <c r="Z168" s="300">
        <v>-747.00852884699748</v>
      </c>
      <c r="AA168" s="258"/>
      <c r="AB168" s="300">
        <v>0</v>
      </c>
      <c r="AC168" s="300">
        <v>-6598.550751607364</v>
      </c>
      <c r="AE168" s="452" t="e">
        <f t="shared" si="18"/>
        <v>#DIV/0!</v>
      </c>
      <c r="AF168" s="452" t="e">
        <f t="shared" si="19"/>
        <v>#DIV/0!</v>
      </c>
    </row>
    <row r="169" spans="1:32" s="642" customFormat="1" outlineLevel="1">
      <c r="A169" s="636" t="s">
        <v>300</v>
      </c>
      <c r="B169" s="637">
        <v>2030</v>
      </c>
      <c r="C169" s="451">
        <v>0</v>
      </c>
      <c r="D169" s="451">
        <v>0</v>
      </c>
      <c r="E169" s="451">
        <v>0</v>
      </c>
      <c r="F169" s="451"/>
      <c r="G169" s="451">
        <v>0</v>
      </c>
      <c r="H169" s="451">
        <v>0</v>
      </c>
      <c r="I169" s="451">
        <v>0</v>
      </c>
      <c r="J169" s="301"/>
      <c r="K169" s="301"/>
      <c r="L169" s="301"/>
      <c r="M169" s="301"/>
      <c r="Q169" s="300">
        <f t="shared" si="17"/>
        <v>0</v>
      </c>
      <c r="S169" s="300">
        <f t="shared" si="23"/>
        <v>0</v>
      </c>
      <c r="T169" s="300">
        <f t="shared" si="24"/>
        <v>0</v>
      </c>
      <c r="U169" s="300">
        <f t="shared" si="25"/>
        <v>0</v>
      </c>
      <c r="V169" s="300">
        <v>-1369.1732282310138</v>
      </c>
      <c r="W169" s="300">
        <v>-4620.1613803238852</v>
      </c>
      <c r="X169" s="300">
        <v>-5989.3346085548992</v>
      </c>
      <c r="Z169" s="300">
        <v>-641.11689484371664</v>
      </c>
      <c r="AA169" s="258"/>
      <c r="AB169" s="300">
        <v>0</v>
      </c>
      <c r="AC169" s="300">
        <v>-6630.4515033986154</v>
      </c>
      <c r="AE169" s="452" t="e">
        <f t="shared" si="18"/>
        <v>#DIV/0!</v>
      </c>
      <c r="AF169" s="452" t="e">
        <f t="shared" si="19"/>
        <v>#DIV/0!</v>
      </c>
    </row>
    <row r="170" spans="1:32" s="642" customFormat="1" outlineLevel="1">
      <c r="A170" s="636" t="s">
        <v>301</v>
      </c>
      <c r="B170" s="637">
        <v>2031</v>
      </c>
      <c r="C170" s="451">
        <v>0</v>
      </c>
      <c r="D170" s="451">
        <v>0</v>
      </c>
      <c r="E170" s="451">
        <v>0</v>
      </c>
      <c r="F170" s="451"/>
      <c r="G170" s="451">
        <v>0</v>
      </c>
      <c r="H170" s="451">
        <v>0</v>
      </c>
      <c r="I170" s="451">
        <v>0</v>
      </c>
      <c r="J170" s="301"/>
      <c r="K170" s="301"/>
      <c r="L170" s="301"/>
      <c r="M170" s="301"/>
      <c r="Q170" s="300">
        <f t="shared" si="17"/>
        <v>0</v>
      </c>
      <c r="S170" s="300">
        <f t="shared" si="23"/>
        <v>0</v>
      </c>
      <c r="T170" s="300">
        <f t="shared" si="24"/>
        <v>0</v>
      </c>
      <c r="U170" s="300">
        <f t="shared" si="25"/>
        <v>0</v>
      </c>
      <c r="V170" s="300">
        <v>-1398.7257035987091</v>
      </c>
      <c r="W170" s="300">
        <v>-4719.883754798886</v>
      </c>
      <c r="X170" s="300">
        <v>-6118.6094583975955</v>
      </c>
      <c r="Z170" s="300">
        <v>-546.89581084782435</v>
      </c>
      <c r="AA170" s="258"/>
      <c r="AB170" s="300">
        <v>0</v>
      </c>
      <c r="AC170" s="300">
        <v>-6665.5052692454201</v>
      </c>
      <c r="AE170" s="452" t="e">
        <f t="shared" si="18"/>
        <v>#DIV/0!</v>
      </c>
      <c r="AF170" s="452" t="e">
        <f t="shared" si="19"/>
        <v>#DIV/0!</v>
      </c>
    </row>
    <row r="171" spans="1:32" s="642" customFormat="1" outlineLevel="1">
      <c r="A171" s="636" t="s">
        <v>302</v>
      </c>
      <c r="B171" s="637">
        <v>2031</v>
      </c>
      <c r="C171" s="451">
        <v>0</v>
      </c>
      <c r="D171" s="451">
        <v>0</v>
      </c>
      <c r="E171" s="451">
        <v>0</v>
      </c>
      <c r="F171" s="451"/>
      <c r="G171" s="451">
        <v>0</v>
      </c>
      <c r="H171" s="451">
        <v>0</v>
      </c>
      <c r="I171" s="451">
        <v>0</v>
      </c>
      <c r="J171" s="301"/>
      <c r="K171" s="301"/>
      <c r="L171" s="301"/>
      <c r="M171" s="301"/>
      <c r="Q171" s="300">
        <f t="shared" si="17"/>
        <v>0</v>
      </c>
      <c r="S171" s="300">
        <f t="shared" si="23"/>
        <v>0</v>
      </c>
      <c r="T171" s="300">
        <f t="shared" si="24"/>
        <v>0</v>
      </c>
      <c r="U171" s="300">
        <f t="shared" si="25"/>
        <v>0</v>
      </c>
      <c r="V171" s="300">
        <v>-1426.7519091159102</v>
      </c>
      <c r="W171" s="300">
        <v>-4814.4558583849957</v>
      </c>
      <c r="X171" s="300">
        <v>-6241.2077675009059</v>
      </c>
      <c r="Z171" s="300">
        <v>-462.37532644330372</v>
      </c>
      <c r="AA171" s="258"/>
      <c r="AB171" s="300">
        <v>0</v>
      </c>
      <c r="AC171" s="300">
        <v>-6703.5830939442094</v>
      </c>
      <c r="AE171" s="452" t="e">
        <f t="shared" si="18"/>
        <v>#DIV/0!</v>
      </c>
      <c r="AF171" s="452" t="e">
        <f t="shared" si="19"/>
        <v>#DIV/0!</v>
      </c>
    </row>
    <row r="172" spans="1:32" s="642" customFormat="1" outlineLevel="1">
      <c r="A172" s="636" t="s">
        <v>303</v>
      </c>
      <c r="B172" s="637">
        <v>2031</v>
      </c>
      <c r="C172" s="451">
        <v>0</v>
      </c>
      <c r="D172" s="451">
        <v>0</v>
      </c>
      <c r="E172" s="451">
        <v>0</v>
      </c>
      <c r="F172" s="451"/>
      <c r="G172" s="451">
        <v>0</v>
      </c>
      <c r="H172" s="451">
        <v>0</v>
      </c>
      <c r="I172" s="451">
        <v>0</v>
      </c>
      <c r="J172" s="301"/>
      <c r="K172" s="301"/>
      <c r="L172" s="301"/>
      <c r="M172" s="301"/>
      <c r="Q172" s="300">
        <f t="shared" si="17"/>
        <v>0</v>
      </c>
      <c r="S172" s="300">
        <f t="shared" si="23"/>
        <v>0</v>
      </c>
      <c r="T172" s="300">
        <f t="shared" si="24"/>
        <v>0</v>
      </c>
      <c r="U172" s="300">
        <f t="shared" si="25"/>
        <v>0</v>
      </c>
      <c r="V172" s="300">
        <v>-1450.8268081815877</v>
      </c>
      <c r="W172" s="300">
        <v>-4895.6946064155509</v>
      </c>
      <c r="X172" s="300">
        <v>-6346.5214145971386</v>
      </c>
      <c r="Z172" s="300">
        <v>-383.55881905052706</v>
      </c>
      <c r="AA172" s="258"/>
      <c r="AB172" s="300">
        <v>0</v>
      </c>
      <c r="AC172" s="300">
        <v>-6730.0802336476654</v>
      </c>
      <c r="AE172" s="452" t="e">
        <f t="shared" si="18"/>
        <v>#DIV/0!</v>
      </c>
      <c r="AF172" s="452" t="e">
        <f t="shared" si="19"/>
        <v>#DIV/0!</v>
      </c>
    </row>
    <row r="173" spans="1:32" s="642" customFormat="1" outlineLevel="1">
      <c r="A173" s="636" t="s">
        <v>304</v>
      </c>
      <c r="B173" s="637">
        <v>2031</v>
      </c>
      <c r="C173" s="451">
        <v>0</v>
      </c>
      <c r="D173" s="451">
        <v>0</v>
      </c>
      <c r="E173" s="451">
        <v>0</v>
      </c>
      <c r="F173" s="451"/>
      <c r="G173" s="451">
        <v>0</v>
      </c>
      <c r="H173" s="451">
        <v>0</v>
      </c>
      <c r="I173" s="451">
        <v>0</v>
      </c>
      <c r="J173" s="301"/>
      <c r="K173" s="301"/>
      <c r="L173" s="301"/>
      <c r="M173" s="301"/>
      <c r="Q173" s="300">
        <f t="shared" si="17"/>
        <v>0</v>
      </c>
      <c r="S173" s="300">
        <f t="shared" si="23"/>
        <v>0</v>
      </c>
      <c r="T173" s="300">
        <f t="shared" si="24"/>
        <v>0</v>
      </c>
      <c r="U173" s="300">
        <f t="shared" si="25"/>
        <v>0</v>
      </c>
      <c r="V173" s="300">
        <v>-1472.2944724886065</v>
      </c>
      <c r="W173" s="300">
        <v>-4968.1354572238833</v>
      </c>
      <c r="X173" s="300">
        <v>-6440.4299297124899</v>
      </c>
      <c r="Z173" s="300">
        <v>-308.45152725410389</v>
      </c>
      <c r="AA173" s="258"/>
      <c r="AB173" s="300">
        <v>0</v>
      </c>
      <c r="AC173" s="300">
        <v>-6748.8814569665938</v>
      </c>
      <c r="AE173" s="452" t="e">
        <f t="shared" si="18"/>
        <v>#DIV/0!</v>
      </c>
      <c r="AF173" s="452" t="e">
        <f t="shared" si="19"/>
        <v>#DIV/0!</v>
      </c>
    </row>
    <row r="174" spans="1:32" s="642" customFormat="1" outlineLevel="1">
      <c r="A174" s="636" t="s">
        <v>305</v>
      </c>
      <c r="B174" s="637">
        <v>2031</v>
      </c>
      <c r="C174" s="451">
        <v>0</v>
      </c>
      <c r="D174" s="451">
        <v>0</v>
      </c>
      <c r="E174" s="451">
        <v>0</v>
      </c>
      <c r="F174" s="451"/>
      <c r="G174" s="451">
        <v>0</v>
      </c>
      <c r="H174" s="451">
        <v>0</v>
      </c>
      <c r="I174" s="451">
        <v>0</v>
      </c>
      <c r="J174" s="301"/>
      <c r="K174" s="301"/>
      <c r="L174" s="301"/>
      <c r="M174" s="301"/>
      <c r="Q174" s="300">
        <f t="shared" si="17"/>
        <v>0</v>
      </c>
      <c r="S174" s="300">
        <f t="shared" si="23"/>
        <v>0</v>
      </c>
      <c r="T174" s="300">
        <f t="shared" si="24"/>
        <v>0</v>
      </c>
      <c r="U174" s="300">
        <f t="shared" si="25"/>
        <v>0</v>
      </c>
      <c r="V174" s="300">
        <v>-1490.1162686225844</v>
      </c>
      <c r="W174" s="300">
        <v>-5028.2736285877745</v>
      </c>
      <c r="X174" s="300">
        <v>-6518.3898972103589</v>
      </c>
      <c r="Z174" s="300">
        <v>-239.08735566202006</v>
      </c>
      <c r="AA174" s="258"/>
      <c r="AB174" s="300">
        <v>0</v>
      </c>
      <c r="AC174" s="300">
        <v>-6757.4772528723788</v>
      </c>
      <c r="AE174" s="452" t="e">
        <f t="shared" si="18"/>
        <v>#DIV/0!</v>
      </c>
      <c r="AF174" s="452" t="e">
        <f t="shared" si="19"/>
        <v>#DIV/0!</v>
      </c>
    </row>
    <row r="175" spans="1:32" s="642" customFormat="1" outlineLevel="1">
      <c r="A175" s="636" t="s">
        <v>306</v>
      </c>
      <c r="B175" s="637">
        <v>2031</v>
      </c>
      <c r="C175" s="451">
        <v>0</v>
      </c>
      <c r="D175" s="451">
        <v>0</v>
      </c>
      <c r="E175" s="451">
        <v>0</v>
      </c>
      <c r="F175" s="451"/>
      <c r="G175" s="451">
        <v>0</v>
      </c>
      <c r="H175" s="451">
        <v>0</v>
      </c>
      <c r="I175" s="451">
        <v>0</v>
      </c>
      <c r="J175" s="301"/>
      <c r="K175" s="301"/>
      <c r="L175" s="301"/>
      <c r="M175" s="301"/>
      <c r="Q175" s="300">
        <f t="shared" si="17"/>
        <v>0</v>
      </c>
      <c r="S175" s="300">
        <f t="shared" si="23"/>
        <v>0</v>
      </c>
      <c r="T175" s="300">
        <f t="shared" si="24"/>
        <v>0</v>
      </c>
      <c r="U175" s="300">
        <f t="shared" si="25"/>
        <v>0</v>
      </c>
      <c r="V175" s="300">
        <v>-1504.3290540526582</v>
      </c>
      <c r="W175" s="300">
        <v>-5076.2334929766648</v>
      </c>
      <c r="X175" s="300">
        <v>-6580.5625470293235</v>
      </c>
      <c r="Z175" s="300">
        <v>-179.5271469887204</v>
      </c>
      <c r="AA175" s="258"/>
      <c r="AB175" s="300">
        <v>0</v>
      </c>
      <c r="AC175" s="300">
        <v>-6760.0896940180437</v>
      </c>
      <c r="AE175" s="452" t="e">
        <f t="shared" si="18"/>
        <v>#DIV/0!</v>
      </c>
      <c r="AF175" s="452" t="e">
        <f t="shared" si="19"/>
        <v>#DIV/0!</v>
      </c>
    </row>
    <row r="176" spans="1:32" s="642" customFormat="1" outlineLevel="1">
      <c r="A176" s="636" t="s">
        <v>307</v>
      </c>
      <c r="B176" s="637">
        <v>2031</v>
      </c>
      <c r="C176" s="451">
        <v>0</v>
      </c>
      <c r="D176" s="451">
        <v>0</v>
      </c>
      <c r="E176" s="451">
        <v>0</v>
      </c>
      <c r="F176" s="451"/>
      <c r="G176" s="451">
        <v>0</v>
      </c>
      <c r="H176" s="451">
        <v>0</v>
      </c>
      <c r="I176" s="451">
        <v>0</v>
      </c>
      <c r="J176" s="301"/>
      <c r="K176" s="301"/>
      <c r="L176" s="301"/>
      <c r="M176" s="301"/>
      <c r="Q176" s="300">
        <f t="shared" si="17"/>
        <v>0</v>
      </c>
      <c r="S176" s="300">
        <f t="shared" si="23"/>
        <v>0</v>
      </c>
      <c r="T176" s="300">
        <f t="shared" si="24"/>
        <v>0</v>
      </c>
      <c r="U176" s="300">
        <f t="shared" si="25"/>
        <v>0</v>
      </c>
      <c r="V176" s="300">
        <v>-1515.770331901706</v>
      </c>
      <c r="W176" s="300">
        <v>-5114.8411351433333</v>
      </c>
      <c r="X176" s="300">
        <v>-6630.6114670450388</v>
      </c>
      <c r="Z176" s="300">
        <v>-131.83014983313979</v>
      </c>
      <c r="AA176" s="258"/>
      <c r="AB176" s="300">
        <v>0</v>
      </c>
      <c r="AC176" s="300">
        <v>-6762.441616878179</v>
      </c>
      <c r="AE176" s="452" t="e">
        <f t="shared" si="18"/>
        <v>#DIV/0!</v>
      </c>
      <c r="AF176" s="452" t="e">
        <f t="shared" si="19"/>
        <v>#DIV/0!</v>
      </c>
    </row>
    <row r="177" spans="1:32" s="642" customFormat="1" outlineLevel="1">
      <c r="A177" s="636" t="s">
        <v>308</v>
      </c>
      <c r="B177" s="637">
        <v>2031</v>
      </c>
      <c r="C177" s="451">
        <v>0</v>
      </c>
      <c r="D177" s="451">
        <v>0</v>
      </c>
      <c r="E177" s="451">
        <v>0</v>
      </c>
      <c r="F177" s="451"/>
      <c r="G177" s="451">
        <v>0</v>
      </c>
      <c r="H177" s="451">
        <v>0</v>
      </c>
      <c r="I177" s="451">
        <v>0</v>
      </c>
      <c r="J177" s="301"/>
      <c r="K177" s="301"/>
      <c r="L177" s="301"/>
      <c r="M177" s="301"/>
      <c r="Q177" s="300">
        <f t="shared" si="17"/>
        <v>0</v>
      </c>
      <c r="S177" s="300">
        <f t="shared" si="23"/>
        <v>0</v>
      </c>
      <c r="T177" s="300">
        <f t="shared" si="24"/>
        <v>0</v>
      </c>
      <c r="U177" s="300">
        <f t="shared" si="25"/>
        <v>0</v>
      </c>
      <c r="V177" s="300">
        <v>-1522.2912331610751</v>
      </c>
      <c r="W177" s="300">
        <v>-5136.8453750322242</v>
      </c>
      <c r="X177" s="300">
        <v>-6659.1366081932993</v>
      </c>
      <c r="Z177" s="300">
        <v>-94.027214930041808</v>
      </c>
      <c r="AA177" s="258"/>
      <c r="AB177" s="300">
        <v>0</v>
      </c>
      <c r="AC177" s="300">
        <v>-6753.163823123341</v>
      </c>
      <c r="AE177" s="452" t="e">
        <f t="shared" si="18"/>
        <v>#DIV/0!</v>
      </c>
      <c r="AF177" s="452" t="e">
        <f t="shared" si="19"/>
        <v>#DIV/0!</v>
      </c>
    </row>
    <row r="178" spans="1:32" s="642" customFormat="1" outlineLevel="1">
      <c r="A178" s="636" t="s">
        <v>309</v>
      </c>
      <c r="B178" s="637">
        <v>2031</v>
      </c>
      <c r="C178" s="451">
        <v>0</v>
      </c>
      <c r="D178" s="451">
        <v>0</v>
      </c>
      <c r="E178" s="451">
        <v>0</v>
      </c>
      <c r="F178" s="451"/>
      <c r="G178" s="451">
        <v>0</v>
      </c>
      <c r="H178" s="451">
        <v>0</v>
      </c>
      <c r="I178" s="451">
        <v>0</v>
      </c>
      <c r="J178" s="301"/>
      <c r="K178" s="301"/>
      <c r="L178" s="301"/>
      <c r="M178" s="301"/>
      <c r="Q178" s="300">
        <f t="shared" si="17"/>
        <v>0</v>
      </c>
      <c r="S178" s="300">
        <f t="shared" si="23"/>
        <v>0</v>
      </c>
      <c r="T178" s="300">
        <f t="shared" si="24"/>
        <v>0</v>
      </c>
      <c r="U178" s="300">
        <f t="shared" si="25"/>
        <v>0</v>
      </c>
      <c r="V178" s="300">
        <v>-1527.536899624828</v>
      </c>
      <c r="W178" s="300">
        <v>-5154.5464409822234</v>
      </c>
      <c r="X178" s="300">
        <v>-6682.0833406070515</v>
      </c>
      <c r="Z178" s="300">
        <v>-62.122524182031214</v>
      </c>
      <c r="AA178" s="258"/>
      <c r="AB178" s="300">
        <v>0</v>
      </c>
      <c r="AC178" s="300">
        <v>-6744.2058647890826</v>
      </c>
      <c r="AE178" s="452" t="e">
        <f t="shared" si="18"/>
        <v>#DIV/0!</v>
      </c>
      <c r="AF178" s="452" t="e">
        <f t="shared" si="19"/>
        <v>#DIV/0!</v>
      </c>
    </row>
    <row r="179" spans="1:32" s="642" customFormat="1" outlineLevel="1">
      <c r="A179" s="636" t="s">
        <v>298</v>
      </c>
      <c r="B179" s="637">
        <v>2031</v>
      </c>
      <c r="C179" s="451">
        <v>0</v>
      </c>
      <c r="D179" s="451">
        <v>0</v>
      </c>
      <c r="E179" s="451">
        <v>0</v>
      </c>
      <c r="F179" s="451"/>
      <c r="G179" s="451">
        <v>0</v>
      </c>
      <c r="H179" s="451">
        <v>0</v>
      </c>
      <c r="I179" s="451">
        <v>0</v>
      </c>
      <c r="J179" s="301"/>
      <c r="K179" s="301"/>
      <c r="L179" s="301"/>
      <c r="M179" s="301"/>
      <c r="Q179" s="300">
        <f t="shared" si="17"/>
        <v>0</v>
      </c>
      <c r="S179" s="300">
        <f t="shared" si="23"/>
        <v>0</v>
      </c>
      <c r="T179" s="300">
        <f t="shared" si="24"/>
        <v>0</v>
      </c>
      <c r="U179" s="300">
        <f t="shared" si="25"/>
        <v>0</v>
      </c>
      <c r="V179" s="300">
        <v>-1532.3511544228413</v>
      </c>
      <c r="W179" s="300">
        <v>-5170.7917440849997</v>
      </c>
      <c r="X179" s="300">
        <v>-6703.142898507841</v>
      </c>
      <c r="Z179" s="300">
        <v>-34.122124001255315</v>
      </c>
      <c r="AA179" s="258"/>
      <c r="AB179" s="300">
        <v>0</v>
      </c>
      <c r="AC179" s="300">
        <v>-6737.2650225090965</v>
      </c>
      <c r="AE179" s="452" t="e">
        <f t="shared" si="18"/>
        <v>#DIV/0!</v>
      </c>
      <c r="AF179" s="452" t="e">
        <f t="shared" si="19"/>
        <v>#DIV/0!</v>
      </c>
    </row>
    <row r="180" spans="1:32" s="642" customFormat="1" outlineLevel="1">
      <c r="A180" s="636" t="s">
        <v>299</v>
      </c>
      <c r="B180" s="637">
        <v>2031</v>
      </c>
      <c r="C180" s="451">
        <v>0</v>
      </c>
      <c r="D180" s="451">
        <v>0</v>
      </c>
      <c r="E180" s="451">
        <v>0</v>
      </c>
      <c r="F180" s="451"/>
      <c r="G180" s="451">
        <v>0</v>
      </c>
      <c r="H180" s="451">
        <v>0</v>
      </c>
      <c r="I180" s="451">
        <v>0</v>
      </c>
      <c r="J180" s="301"/>
      <c r="K180" s="301"/>
      <c r="L180" s="301"/>
      <c r="M180" s="301"/>
      <c r="Q180" s="300">
        <f t="shared" si="17"/>
        <v>0</v>
      </c>
      <c r="S180" s="300">
        <f t="shared" si="23"/>
        <v>0</v>
      </c>
      <c r="T180" s="300">
        <f t="shared" si="24"/>
        <v>0</v>
      </c>
      <c r="U180" s="300">
        <f t="shared" si="25"/>
        <v>0</v>
      </c>
      <c r="V180" s="300">
        <v>-1535.6288384962479</v>
      </c>
      <c r="W180" s="300">
        <v>-5181.8520168544455</v>
      </c>
      <c r="X180" s="300">
        <v>-6717.4808553506937</v>
      </c>
      <c r="Z180" s="300">
        <v>-12.060730182453778</v>
      </c>
      <c r="AA180" s="258"/>
      <c r="AB180" s="300">
        <v>0</v>
      </c>
      <c r="AC180" s="300">
        <v>-6729.5415855331476</v>
      </c>
      <c r="AE180" s="452" t="e">
        <f t="shared" si="18"/>
        <v>#DIV/0!</v>
      </c>
      <c r="AF180" s="452" t="e">
        <f t="shared" si="19"/>
        <v>#DIV/0!</v>
      </c>
    </row>
    <row r="181" spans="1:32" s="642" customFormat="1" outlineLevel="1">
      <c r="A181" s="636" t="s">
        <v>300</v>
      </c>
      <c r="B181" s="637">
        <v>2031</v>
      </c>
      <c r="C181" s="451">
        <v>0</v>
      </c>
      <c r="D181" s="451">
        <v>0</v>
      </c>
      <c r="E181" s="451">
        <v>0</v>
      </c>
      <c r="F181" s="451"/>
      <c r="G181" s="451">
        <v>0</v>
      </c>
      <c r="H181" s="451">
        <v>0</v>
      </c>
      <c r="I181" s="451">
        <v>0</v>
      </c>
      <c r="J181" s="301"/>
      <c r="K181" s="301"/>
      <c r="L181" s="301"/>
      <c r="M181" s="301"/>
      <c r="Q181" s="300">
        <f t="shared" si="17"/>
        <v>0</v>
      </c>
      <c r="S181" s="300">
        <f t="shared" si="23"/>
        <v>0</v>
      </c>
      <c r="T181" s="300">
        <f t="shared" si="24"/>
        <v>0</v>
      </c>
      <c r="U181" s="300">
        <f t="shared" si="25"/>
        <v>0</v>
      </c>
      <c r="V181" s="300">
        <v>-1537.3264432425717</v>
      </c>
      <c r="W181" s="300">
        <v>-5187.5804431238903</v>
      </c>
      <c r="X181" s="300">
        <v>-6724.9068863664615</v>
      </c>
      <c r="Z181" s="300">
        <v>-1.0316818836268264E-11</v>
      </c>
      <c r="AA181" s="258"/>
      <c r="AB181" s="300">
        <v>0</v>
      </c>
      <c r="AC181" s="300">
        <v>-6724.9068863664716</v>
      </c>
      <c r="AE181" s="452" t="e">
        <f t="shared" si="18"/>
        <v>#DIV/0!</v>
      </c>
      <c r="AF181" s="452" t="e">
        <f t="shared" si="19"/>
        <v>#DIV/0!</v>
      </c>
    </row>
    <row r="182" spans="1:32" s="642" customFormat="1" outlineLevel="1">
      <c r="A182" s="636" t="s">
        <v>301</v>
      </c>
      <c r="B182" s="637">
        <v>2032</v>
      </c>
      <c r="C182" s="451">
        <v>0</v>
      </c>
      <c r="D182" s="451">
        <v>0</v>
      </c>
      <c r="E182" s="451">
        <v>0</v>
      </c>
      <c r="F182" s="451"/>
      <c r="G182" s="451">
        <v>0</v>
      </c>
      <c r="H182" s="451">
        <v>0</v>
      </c>
      <c r="I182" s="451">
        <v>0</v>
      </c>
      <c r="J182" s="301"/>
      <c r="K182" s="301"/>
      <c r="L182" s="301"/>
      <c r="M182" s="301"/>
      <c r="Q182" s="300">
        <f t="shared" si="17"/>
        <v>0</v>
      </c>
      <c r="S182" s="300">
        <f t="shared" si="23"/>
        <v>0</v>
      </c>
      <c r="T182" s="300">
        <f t="shared" si="24"/>
        <v>0</v>
      </c>
      <c r="U182" s="300">
        <f t="shared" si="25"/>
        <v>0</v>
      </c>
      <c r="V182" s="300">
        <v>-1538.5657795231837</v>
      </c>
      <c r="W182" s="300">
        <v>-5191.7624805044452</v>
      </c>
      <c r="X182" s="300">
        <v>-6730.3282600276289</v>
      </c>
      <c r="Z182" s="300">
        <v>0</v>
      </c>
      <c r="AA182" s="258"/>
      <c r="AB182" s="300">
        <v>0</v>
      </c>
      <c r="AC182" s="300">
        <v>-6730.3282600276289</v>
      </c>
      <c r="AE182" s="452" t="e">
        <f t="shared" si="18"/>
        <v>#DIV/0!</v>
      </c>
      <c r="AF182" s="452" t="e">
        <f t="shared" si="19"/>
        <v>#DIV/0!</v>
      </c>
    </row>
    <row r="183" spans="1:32" s="642" customFormat="1" outlineLevel="1">
      <c r="A183" s="636" t="s">
        <v>302</v>
      </c>
      <c r="B183" s="637">
        <v>2032</v>
      </c>
      <c r="C183" s="451">
        <v>0</v>
      </c>
      <c r="D183" s="451">
        <v>0</v>
      </c>
      <c r="E183" s="451">
        <v>0</v>
      </c>
      <c r="F183" s="451"/>
      <c r="G183" s="451">
        <v>0</v>
      </c>
      <c r="H183" s="451">
        <v>0</v>
      </c>
      <c r="I183" s="451">
        <v>0</v>
      </c>
      <c r="J183" s="301"/>
      <c r="K183" s="301"/>
      <c r="L183" s="301"/>
      <c r="M183" s="301"/>
      <c r="Q183" s="300">
        <f t="shared" si="17"/>
        <v>0</v>
      </c>
      <c r="S183" s="300">
        <f t="shared" si="23"/>
        <v>0</v>
      </c>
      <c r="T183" s="300">
        <f t="shared" si="24"/>
        <v>0</v>
      </c>
      <c r="U183" s="300">
        <f t="shared" si="25"/>
        <v>0</v>
      </c>
      <c r="V183" s="300">
        <v>-1539.5705073742502</v>
      </c>
      <c r="W183" s="300">
        <v>-5195.1528512183322</v>
      </c>
      <c r="X183" s="300">
        <v>-6734.7233585925824</v>
      </c>
      <c r="Z183" s="300">
        <v>0</v>
      </c>
      <c r="AA183" s="258"/>
      <c r="AB183" s="300">
        <v>0</v>
      </c>
      <c r="AC183" s="300">
        <v>-6734.7233585925824</v>
      </c>
      <c r="AE183" s="452" t="e">
        <f t="shared" si="18"/>
        <v>#DIV/0!</v>
      </c>
      <c r="AF183" s="452" t="e">
        <f t="shared" si="19"/>
        <v>#DIV/0!</v>
      </c>
    </row>
    <row r="184" spans="1:32" s="642" customFormat="1" outlineLevel="1">
      <c r="A184" s="636" t="s">
        <v>303</v>
      </c>
      <c r="B184" s="637">
        <v>2032</v>
      </c>
      <c r="C184" s="451">
        <v>0</v>
      </c>
      <c r="D184" s="451">
        <v>0</v>
      </c>
      <c r="E184" s="451">
        <v>0</v>
      </c>
      <c r="F184" s="451"/>
      <c r="G184" s="451">
        <v>0</v>
      </c>
      <c r="H184" s="451">
        <v>0</v>
      </c>
      <c r="I184" s="451">
        <v>0</v>
      </c>
      <c r="J184" s="301"/>
      <c r="K184" s="301"/>
      <c r="L184" s="301"/>
      <c r="M184" s="301"/>
      <c r="Q184" s="300">
        <f t="shared" si="17"/>
        <v>0</v>
      </c>
      <c r="S184" s="300">
        <f t="shared" si="23"/>
        <v>0</v>
      </c>
      <c r="T184" s="300">
        <f t="shared" si="24"/>
        <v>0</v>
      </c>
      <c r="U184" s="300">
        <f t="shared" si="25"/>
        <v>0</v>
      </c>
      <c r="V184" s="300">
        <v>-1540.5752352253166</v>
      </c>
      <c r="W184" s="300">
        <v>-5198.5432219322211</v>
      </c>
      <c r="X184" s="300">
        <v>-6739.1184571575377</v>
      </c>
      <c r="Z184" s="300">
        <v>0</v>
      </c>
      <c r="AA184" s="258"/>
      <c r="AB184" s="300">
        <v>0</v>
      </c>
      <c r="AC184" s="300">
        <v>-6739.1184571575377</v>
      </c>
      <c r="AE184" s="452" t="e">
        <f t="shared" si="18"/>
        <v>#DIV/0!</v>
      </c>
      <c r="AF184" s="452" t="e">
        <f t="shared" si="19"/>
        <v>#DIV/0!</v>
      </c>
    </row>
    <row r="185" spans="1:32" s="642" customFormat="1" outlineLevel="1">
      <c r="A185" s="636" t="s">
        <v>304</v>
      </c>
      <c r="B185" s="637">
        <v>2032</v>
      </c>
      <c r="C185" s="451">
        <v>0</v>
      </c>
      <c r="D185" s="451">
        <v>0</v>
      </c>
      <c r="E185" s="451">
        <v>0</v>
      </c>
      <c r="F185" s="451"/>
      <c r="G185" s="451">
        <v>0</v>
      </c>
      <c r="H185" s="451">
        <v>0</v>
      </c>
      <c r="I185" s="451">
        <v>0</v>
      </c>
      <c r="J185" s="301"/>
      <c r="K185" s="301"/>
      <c r="L185" s="301"/>
      <c r="M185" s="301"/>
      <c r="Q185" s="300">
        <f t="shared" si="17"/>
        <v>0</v>
      </c>
      <c r="S185" s="300">
        <f t="shared" si="23"/>
        <v>0</v>
      </c>
      <c r="T185" s="300">
        <f t="shared" si="24"/>
        <v>0</v>
      </c>
      <c r="U185" s="300">
        <f t="shared" si="25"/>
        <v>0</v>
      </c>
      <c r="V185" s="300">
        <v>-1541.3891482203535</v>
      </c>
      <c r="W185" s="300">
        <v>-5201.2897037572202</v>
      </c>
      <c r="X185" s="300">
        <v>-6742.6788519775737</v>
      </c>
      <c r="Z185" s="300">
        <v>0</v>
      </c>
      <c r="AA185" s="258"/>
      <c r="AB185" s="300">
        <v>0</v>
      </c>
      <c r="AC185" s="300">
        <v>-6742.6788519775737</v>
      </c>
      <c r="AE185" s="452" t="e">
        <f t="shared" si="18"/>
        <v>#DIV/0!</v>
      </c>
      <c r="AF185" s="452" t="e">
        <f t="shared" si="19"/>
        <v>#DIV/0!</v>
      </c>
    </row>
    <row r="186" spans="1:32" s="642" customFormat="1" outlineLevel="1">
      <c r="A186" s="636" t="s">
        <v>305</v>
      </c>
      <c r="B186" s="637">
        <v>2032</v>
      </c>
      <c r="C186" s="451">
        <v>0</v>
      </c>
      <c r="D186" s="451">
        <v>0</v>
      </c>
      <c r="E186" s="451">
        <v>0</v>
      </c>
      <c r="F186" s="451"/>
      <c r="G186" s="451">
        <v>0</v>
      </c>
      <c r="H186" s="451">
        <v>0</v>
      </c>
      <c r="I186" s="451">
        <v>0</v>
      </c>
      <c r="J186" s="301"/>
      <c r="K186" s="301"/>
      <c r="L186" s="301"/>
      <c r="M186" s="301"/>
      <c r="Q186" s="300">
        <f t="shared" si="17"/>
        <v>0</v>
      </c>
      <c r="S186" s="300">
        <f t="shared" si="23"/>
        <v>0</v>
      </c>
      <c r="T186" s="300">
        <f t="shared" si="24"/>
        <v>0</v>
      </c>
      <c r="U186" s="300">
        <f t="shared" si="25"/>
        <v>0</v>
      </c>
      <c r="V186" s="300">
        <v>-1541.3891482203535</v>
      </c>
      <c r="W186" s="300">
        <v>-5201.2897037572202</v>
      </c>
      <c r="X186" s="300">
        <v>-6742.6788519775737</v>
      </c>
      <c r="Z186" s="300">
        <v>0</v>
      </c>
      <c r="AA186" s="258"/>
      <c r="AB186" s="300">
        <v>0</v>
      </c>
      <c r="AC186" s="300">
        <v>-6742.6788519775737</v>
      </c>
      <c r="AE186" s="452" t="e">
        <f t="shared" si="18"/>
        <v>#DIV/0!</v>
      </c>
      <c r="AF186" s="452" t="e">
        <f t="shared" si="19"/>
        <v>#DIV/0!</v>
      </c>
    </row>
    <row r="187" spans="1:32" s="642" customFormat="1" outlineLevel="1">
      <c r="A187" s="636" t="s">
        <v>306</v>
      </c>
      <c r="B187" s="637">
        <v>2032</v>
      </c>
      <c r="C187" s="451">
        <v>0</v>
      </c>
      <c r="D187" s="451">
        <v>0</v>
      </c>
      <c r="E187" s="451">
        <v>0</v>
      </c>
      <c r="F187" s="451"/>
      <c r="G187" s="451">
        <v>0</v>
      </c>
      <c r="H187" s="451">
        <v>0</v>
      </c>
      <c r="I187" s="451">
        <v>0</v>
      </c>
      <c r="J187" s="301"/>
      <c r="K187" s="301"/>
      <c r="L187" s="301"/>
      <c r="M187" s="301"/>
      <c r="Q187" s="300">
        <f t="shared" si="17"/>
        <v>0</v>
      </c>
      <c r="S187" s="300">
        <f t="shared" si="23"/>
        <v>0</v>
      </c>
      <c r="T187" s="300">
        <f t="shared" si="24"/>
        <v>0</v>
      </c>
      <c r="U187" s="300">
        <f t="shared" si="25"/>
        <v>0</v>
      </c>
      <c r="V187" s="300">
        <v>-1541.3891482203535</v>
      </c>
      <c r="W187" s="300">
        <v>-5201.2897037572202</v>
      </c>
      <c r="X187" s="300">
        <v>-6742.6788519775737</v>
      </c>
      <c r="Z187" s="300">
        <v>0</v>
      </c>
      <c r="AA187" s="258"/>
      <c r="AB187" s="300">
        <v>0</v>
      </c>
      <c r="AC187" s="300">
        <v>-6742.6788519775737</v>
      </c>
      <c r="AE187" s="452" t="e">
        <f t="shared" si="18"/>
        <v>#DIV/0!</v>
      </c>
      <c r="AF187" s="452" t="e">
        <f t="shared" si="19"/>
        <v>#DIV/0!</v>
      </c>
    </row>
    <row r="188" spans="1:32" s="642" customFormat="1" outlineLevel="1">
      <c r="A188" s="636" t="s">
        <v>307</v>
      </c>
      <c r="B188" s="637">
        <v>2032</v>
      </c>
      <c r="C188" s="451">
        <v>0</v>
      </c>
      <c r="D188" s="451">
        <v>0</v>
      </c>
      <c r="E188" s="451">
        <v>0</v>
      </c>
      <c r="F188" s="451"/>
      <c r="G188" s="451">
        <v>0</v>
      </c>
      <c r="H188" s="451">
        <v>0</v>
      </c>
      <c r="I188" s="451">
        <v>0</v>
      </c>
      <c r="J188" s="301"/>
      <c r="K188" s="301"/>
      <c r="L188" s="301"/>
      <c r="M188" s="301"/>
      <c r="Q188" s="300">
        <f t="shared" si="17"/>
        <v>0</v>
      </c>
      <c r="S188" s="300">
        <f t="shared" si="23"/>
        <v>0</v>
      </c>
      <c r="T188" s="300">
        <f t="shared" si="24"/>
        <v>0</v>
      </c>
      <c r="U188" s="300">
        <f t="shared" si="25"/>
        <v>0</v>
      </c>
      <c r="V188" s="300">
        <v>-1541.3891482203535</v>
      </c>
      <c r="W188" s="300">
        <v>-5201.2897037572202</v>
      </c>
      <c r="X188" s="300">
        <v>-6742.6788519775737</v>
      </c>
      <c r="Z188" s="300">
        <v>0</v>
      </c>
      <c r="AA188" s="258"/>
      <c r="AB188" s="300">
        <v>0</v>
      </c>
      <c r="AC188" s="300">
        <v>-6742.6788519775737</v>
      </c>
      <c r="AE188" s="452" t="e">
        <f t="shared" si="18"/>
        <v>#DIV/0!</v>
      </c>
      <c r="AF188" s="452" t="e">
        <f t="shared" si="19"/>
        <v>#DIV/0!</v>
      </c>
    </row>
    <row r="189" spans="1:32" s="642" customFormat="1" outlineLevel="1">
      <c r="A189" s="636" t="s">
        <v>308</v>
      </c>
      <c r="B189" s="637">
        <v>2032</v>
      </c>
      <c r="C189" s="451">
        <v>0</v>
      </c>
      <c r="D189" s="451">
        <v>0</v>
      </c>
      <c r="E189" s="451">
        <v>0</v>
      </c>
      <c r="F189" s="451"/>
      <c r="G189" s="451">
        <v>0</v>
      </c>
      <c r="H189" s="451">
        <v>0</v>
      </c>
      <c r="I189" s="451">
        <v>0</v>
      </c>
      <c r="J189" s="301"/>
      <c r="K189" s="301"/>
      <c r="L189" s="301"/>
      <c r="M189" s="301"/>
      <c r="Q189" s="300">
        <f t="shared" si="17"/>
        <v>0</v>
      </c>
      <c r="S189" s="300">
        <f t="shared" si="23"/>
        <v>0</v>
      </c>
      <c r="T189" s="300">
        <f t="shared" si="24"/>
        <v>0</v>
      </c>
      <c r="U189" s="300">
        <f t="shared" si="25"/>
        <v>0</v>
      </c>
      <c r="V189" s="300">
        <v>-1541.3891482203535</v>
      </c>
      <c r="W189" s="300">
        <v>-5201.2897037572202</v>
      </c>
      <c r="X189" s="300">
        <v>-6742.6788519775737</v>
      </c>
      <c r="Z189" s="300">
        <v>0</v>
      </c>
      <c r="AA189" s="258"/>
      <c r="AB189" s="300">
        <v>0</v>
      </c>
      <c r="AC189" s="300">
        <v>-6742.6788519775737</v>
      </c>
      <c r="AE189" s="452" t="e">
        <f t="shared" si="18"/>
        <v>#DIV/0!</v>
      </c>
      <c r="AF189" s="452" t="e">
        <f t="shared" si="19"/>
        <v>#DIV/0!</v>
      </c>
    </row>
    <row r="190" spans="1:32" s="642" customFormat="1" outlineLevel="1">
      <c r="A190" s="636" t="s">
        <v>309</v>
      </c>
      <c r="B190" s="637">
        <v>2032</v>
      </c>
      <c r="C190" s="451">
        <v>0</v>
      </c>
      <c r="D190" s="451">
        <v>0</v>
      </c>
      <c r="E190" s="451">
        <v>0</v>
      </c>
      <c r="F190" s="451"/>
      <c r="G190" s="451">
        <v>0</v>
      </c>
      <c r="H190" s="451">
        <v>0</v>
      </c>
      <c r="I190" s="451">
        <v>0</v>
      </c>
      <c r="J190" s="301"/>
      <c r="K190" s="301"/>
      <c r="L190" s="301"/>
      <c r="M190" s="301"/>
      <c r="Q190" s="300">
        <f t="shared" si="17"/>
        <v>0</v>
      </c>
      <c r="S190" s="300">
        <f t="shared" si="23"/>
        <v>0</v>
      </c>
      <c r="T190" s="300">
        <f t="shared" si="24"/>
        <v>0</v>
      </c>
      <c r="U190" s="300">
        <f t="shared" si="25"/>
        <v>0</v>
      </c>
      <c r="V190" s="300">
        <v>-1541.3891482203535</v>
      </c>
      <c r="W190" s="300">
        <v>-5201.2897037572202</v>
      </c>
      <c r="X190" s="300">
        <v>-6742.6788519775737</v>
      </c>
      <c r="Z190" s="300">
        <v>0</v>
      </c>
      <c r="AA190" s="258"/>
      <c r="AB190" s="300">
        <v>0</v>
      </c>
      <c r="AC190" s="300">
        <v>-6742.6788519775737</v>
      </c>
      <c r="AE190" s="452" t="e">
        <f t="shared" si="18"/>
        <v>#DIV/0!</v>
      </c>
      <c r="AF190" s="452" t="e">
        <f t="shared" si="19"/>
        <v>#DIV/0!</v>
      </c>
    </row>
    <row r="191" spans="1:32" s="642" customFormat="1" outlineLevel="1">
      <c r="A191" s="636" t="s">
        <v>298</v>
      </c>
      <c r="B191" s="637">
        <v>2032</v>
      </c>
      <c r="C191" s="451">
        <v>0</v>
      </c>
      <c r="D191" s="451">
        <v>0</v>
      </c>
      <c r="E191" s="451">
        <v>0</v>
      </c>
      <c r="F191" s="451"/>
      <c r="G191" s="451">
        <v>0</v>
      </c>
      <c r="H191" s="451">
        <v>0</v>
      </c>
      <c r="I191" s="451">
        <v>0</v>
      </c>
      <c r="J191" s="301"/>
      <c r="K191" s="301"/>
      <c r="L191" s="301"/>
      <c r="M191" s="301"/>
      <c r="Q191" s="300">
        <f t="shared" si="17"/>
        <v>0</v>
      </c>
      <c r="S191" s="300">
        <f t="shared" si="23"/>
        <v>0</v>
      </c>
      <c r="T191" s="300">
        <f t="shared" si="24"/>
        <v>0</v>
      </c>
      <c r="U191" s="300">
        <f t="shared" si="25"/>
        <v>0</v>
      </c>
      <c r="V191" s="300">
        <v>-1541.3891482203535</v>
      </c>
      <c r="W191" s="300">
        <v>-5201.2897037572202</v>
      </c>
      <c r="X191" s="300">
        <v>-6742.6788519775737</v>
      </c>
      <c r="Z191" s="300">
        <v>0</v>
      </c>
      <c r="AA191" s="258"/>
      <c r="AB191" s="300">
        <v>0</v>
      </c>
      <c r="AC191" s="300">
        <v>-6742.6788519775737</v>
      </c>
      <c r="AE191" s="452" t="e">
        <f t="shared" si="18"/>
        <v>#DIV/0!</v>
      </c>
      <c r="AF191" s="452" t="e">
        <f t="shared" si="19"/>
        <v>#DIV/0!</v>
      </c>
    </row>
    <row r="192" spans="1:32" s="642" customFormat="1" outlineLevel="1">
      <c r="A192" s="636" t="s">
        <v>299</v>
      </c>
      <c r="B192" s="637">
        <v>2032</v>
      </c>
      <c r="C192" s="451">
        <v>0</v>
      </c>
      <c r="D192" s="451">
        <v>0</v>
      </c>
      <c r="E192" s="451">
        <v>0</v>
      </c>
      <c r="F192" s="451"/>
      <c r="G192" s="451">
        <v>0</v>
      </c>
      <c r="H192" s="451">
        <v>0</v>
      </c>
      <c r="I192" s="451">
        <v>0</v>
      </c>
      <c r="J192" s="301"/>
      <c r="K192" s="301"/>
      <c r="L192" s="301"/>
      <c r="M192" s="301"/>
      <c r="Q192" s="300">
        <f t="shared" si="17"/>
        <v>0</v>
      </c>
      <c r="S192" s="300">
        <f t="shared" si="23"/>
        <v>0</v>
      </c>
      <c r="T192" s="300">
        <f t="shared" si="24"/>
        <v>0</v>
      </c>
      <c r="U192" s="300">
        <f t="shared" si="25"/>
        <v>0</v>
      </c>
      <c r="V192" s="300">
        <v>-1541.3891482203535</v>
      </c>
      <c r="W192" s="300">
        <v>-5201.2897037572202</v>
      </c>
      <c r="X192" s="300">
        <v>-6742.6788519775737</v>
      </c>
      <c r="Z192" s="300">
        <v>0</v>
      </c>
      <c r="AA192" s="258"/>
      <c r="AB192" s="300">
        <v>0</v>
      </c>
      <c r="AC192" s="300">
        <v>-6742.6788519775737</v>
      </c>
      <c r="AE192" s="452" t="e">
        <f t="shared" si="18"/>
        <v>#DIV/0!</v>
      </c>
      <c r="AF192" s="452" t="e">
        <f t="shared" si="19"/>
        <v>#DIV/0!</v>
      </c>
    </row>
    <row r="193" spans="1:32" s="642" customFormat="1" outlineLevel="1">
      <c r="A193" s="636" t="s">
        <v>300</v>
      </c>
      <c r="B193" s="637">
        <v>2032</v>
      </c>
      <c r="C193" s="451">
        <v>0</v>
      </c>
      <c r="D193" s="451">
        <v>0</v>
      </c>
      <c r="E193" s="451">
        <v>0</v>
      </c>
      <c r="F193" s="451"/>
      <c r="G193" s="451">
        <v>0</v>
      </c>
      <c r="H193" s="451">
        <v>0</v>
      </c>
      <c r="I193" s="451">
        <v>0</v>
      </c>
      <c r="J193" s="301"/>
      <c r="K193" s="301"/>
      <c r="L193" s="301"/>
      <c r="M193" s="301"/>
      <c r="Q193" s="300">
        <f t="shared" si="17"/>
        <v>0</v>
      </c>
      <c r="S193" s="300">
        <f t="shared" si="23"/>
        <v>0</v>
      </c>
      <c r="T193" s="300">
        <f t="shared" si="24"/>
        <v>0</v>
      </c>
      <c r="U193" s="300">
        <f t="shared" si="25"/>
        <v>0</v>
      </c>
      <c r="V193" s="300">
        <v>-1541.3891482203535</v>
      </c>
      <c r="W193" s="300">
        <v>-5201.2897037572202</v>
      </c>
      <c r="X193" s="300">
        <v>-6742.6788519775737</v>
      </c>
      <c r="Z193" s="300">
        <v>0</v>
      </c>
      <c r="AA193" s="258"/>
      <c r="AB193" s="300">
        <v>0</v>
      </c>
      <c r="AC193" s="300">
        <v>-6742.6788519775737</v>
      </c>
      <c r="AE193" s="452" t="e">
        <f t="shared" si="18"/>
        <v>#DIV/0!</v>
      </c>
      <c r="AF193" s="452" t="e">
        <f t="shared" si="19"/>
        <v>#DIV/0!</v>
      </c>
    </row>
    <row r="194" spans="1:32" s="642" customFormat="1" outlineLevel="1">
      <c r="A194" s="636" t="s">
        <v>301</v>
      </c>
      <c r="B194" s="637">
        <v>2033</v>
      </c>
      <c r="C194" s="451">
        <v>0</v>
      </c>
      <c r="D194" s="451">
        <v>0</v>
      </c>
      <c r="E194" s="451">
        <v>0</v>
      </c>
      <c r="F194" s="451"/>
      <c r="G194" s="451">
        <v>0</v>
      </c>
      <c r="H194" s="451">
        <v>0</v>
      </c>
      <c r="I194" s="451">
        <v>0</v>
      </c>
      <c r="J194" s="301"/>
      <c r="K194" s="301"/>
      <c r="L194" s="301"/>
      <c r="M194" s="301"/>
      <c r="Q194" s="300">
        <f t="shared" si="17"/>
        <v>0</v>
      </c>
      <c r="S194" s="300">
        <f t="shared" si="23"/>
        <v>0</v>
      </c>
      <c r="T194" s="300">
        <f t="shared" si="24"/>
        <v>0</v>
      </c>
      <c r="U194" s="300">
        <f t="shared" si="25"/>
        <v>0</v>
      </c>
      <c r="V194" s="300">
        <v>-1541.3891482203535</v>
      </c>
      <c r="W194" s="300">
        <v>-5201.2897037572202</v>
      </c>
      <c r="X194" s="300">
        <v>-6742.6788519775737</v>
      </c>
      <c r="Z194" s="300">
        <v>0</v>
      </c>
      <c r="AA194" s="258"/>
      <c r="AB194" s="300">
        <v>0</v>
      </c>
      <c r="AC194" s="300">
        <v>-6742.6788519775737</v>
      </c>
      <c r="AE194" s="452" t="e">
        <f t="shared" si="18"/>
        <v>#DIV/0!</v>
      </c>
      <c r="AF194" s="452" t="e">
        <f t="shared" si="19"/>
        <v>#DIV/0!</v>
      </c>
    </row>
    <row r="195" spans="1:32" s="642" customFormat="1" outlineLevel="1">
      <c r="A195" s="636" t="s">
        <v>302</v>
      </c>
      <c r="B195" s="637">
        <v>2033</v>
      </c>
      <c r="C195" s="451">
        <v>0</v>
      </c>
      <c r="D195" s="451">
        <v>0</v>
      </c>
      <c r="E195" s="451">
        <v>0</v>
      </c>
      <c r="F195" s="451"/>
      <c r="G195" s="451">
        <v>0</v>
      </c>
      <c r="H195" s="451">
        <v>0</v>
      </c>
      <c r="I195" s="451">
        <v>0</v>
      </c>
      <c r="J195" s="301"/>
      <c r="K195" s="301"/>
      <c r="L195" s="301"/>
      <c r="M195" s="301"/>
      <c r="Q195" s="300">
        <f t="shared" si="17"/>
        <v>0</v>
      </c>
      <c r="S195" s="300">
        <f t="shared" si="23"/>
        <v>0</v>
      </c>
      <c r="T195" s="300">
        <f t="shared" si="24"/>
        <v>0</v>
      </c>
      <c r="U195" s="300">
        <f t="shared" si="25"/>
        <v>0</v>
      </c>
      <c r="V195" s="300">
        <v>-1541.3891482203535</v>
      </c>
      <c r="W195" s="300">
        <v>-5201.2897037572202</v>
      </c>
      <c r="X195" s="300">
        <v>-6742.6788519775737</v>
      </c>
      <c r="Z195" s="300">
        <v>0</v>
      </c>
      <c r="AA195" s="258"/>
      <c r="AB195" s="300">
        <v>0</v>
      </c>
      <c r="AC195" s="300">
        <v>-6742.6788519775737</v>
      </c>
      <c r="AE195" s="452" t="e">
        <f t="shared" si="18"/>
        <v>#DIV/0!</v>
      </c>
      <c r="AF195" s="452" t="e">
        <f t="shared" si="19"/>
        <v>#DIV/0!</v>
      </c>
    </row>
    <row r="196" spans="1:32" s="642" customFormat="1" outlineLevel="1">
      <c r="A196" s="636" t="s">
        <v>303</v>
      </c>
      <c r="B196" s="637">
        <v>2033</v>
      </c>
      <c r="C196" s="451">
        <v>0</v>
      </c>
      <c r="D196" s="451">
        <v>0</v>
      </c>
      <c r="E196" s="451">
        <v>0</v>
      </c>
      <c r="F196" s="451"/>
      <c r="G196" s="451">
        <v>0</v>
      </c>
      <c r="H196" s="451">
        <v>0</v>
      </c>
      <c r="I196" s="451">
        <v>0</v>
      </c>
      <c r="J196" s="301"/>
      <c r="K196" s="301"/>
      <c r="L196" s="301"/>
      <c r="M196" s="301"/>
      <c r="Q196" s="300">
        <f t="shared" si="17"/>
        <v>0</v>
      </c>
      <c r="S196" s="300">
        <f t="shared" si="23"/>
        <v>0</v>
      </c>
      <c r="T196" s="300">
        <f t="shared" si="24"/>
        <v>0</v>
      </c>
      <c r="U196" s="300">
        <f t="shared" si="25"/>
        <v>0</v>
      </c>
      <c r="V196" s="300">
        <v>-1541.3891482203535</v>
      </c>
      <c r="W196" s="300">
        <v>-5201.2897037572202</v>
      </c>
      <c r="X196" s="300">
        <v>-6742.6788519775737</v>
      </c>
      <c r="Z196" s="300">
        <v>0</v>
      </c>
      <c r="AA196" s="258"/>
      <c r="AB196" s="300">
        <v>0</v>
      </c>
      <c r="AC196" s="300">
        <v>-6742.6788519775737</v>
      </c>
      <c r="AE196" s="452" t="e">
        <f t="shared" si="18"/>
        <v>#DIV/0!</v>
      </c>
      <c r="AF196" s="452" t="e">
        <f t="shared" si="19"/>
        <v>#DIV/0!</v>
      </c>
    </row>
    <row r="197" spans="1:32" s="642" customFormat="1" outlineLevel="1">
      <c r="A197" s="636" t="s">
        <v>304</v>
      </c>
      <c r="B197" s="637">
        <v>2033</v>
      </c>
      <c r="C197" s="451">
        <v>0</v>
      </c>
      <c r="D197" s="451">
        <v>0</v>
      </c>
      <c r="E197" s="451">
        <v>0</v>
      </c>
      <c r="F197" s="451"/>
      <c r="G197" s="451">
        <v>0</v>
      </c>
      <c r="H197" s="451">
        <v>0</v>
      </c>
      <c r="I197" s="451">
        <v>0</v>
      </c>
      <c r="J197" s="301"/>
      <c r="K197" s="301"/>
      <c r="L197" s="301"/>
      <c r="M197" s="301"/>
      <c r="Q197" s="300">
        <f t="shared" si="17"/>
        <v>0</v>
      </c>
      <c r="S197" s="300">
        <f t="shared" si="23"/>
        <v>0</v>
      </c>
      <c r="T197" s="300">
        <f t="shared" si="24"/>
        <v>0</v>
      </c>
      <c r="U197" s="300">
        <f t="shared" si="25"/>
        <v>0</v>
      </c>
      <c r="V197" s="300">
        <v>-1541.3891482203535</v>
      </c>
      <c r="W197" s="300">
        <v>-5201.2897037572202</v>
      </c>
      <c r="X197" s="300">
        <v>-6742.6788519775737</v>
      </c>
      <c r="Z197" s="300">
        <v>0</v>
      </c>
      <c r="AA197" s="258"/>
      <c r="AB197" s="300">
        <v>0</v>
      </c>
      <c r="AC197" s="300">
        <v>-6742.6788519775737</v>
      </c>
      <c r="AE197" s="452" t="e">
        <f t="shared" si="18"/>
        <v>#DIV/0!</v>
      </c>
      <c r="AF197" s="452" t="e">
        <f t="shared" si="19"/>
        <v>#DIV/0!</v>
      </c>
    </row>
    <row r="198" spans="1:32" s="642" customFormat="1" outlineLevel="1">
      <c r="A198" s="636" t="s">
        <v>305</v>
      </c>
      <c r="B198" s="637">
        <v>2033</v>
      </c>
      <c r="C198" s="451">
        <v>0</v>
      </c>
      <c r="D198" s="451">
        <v>0</v>
      </c>
      <c r="E198" s="451">
        <v>0</v>
      </c>
      <c r="F198" s="451"/>
      <c r="G198" s="451">
        <v>0</v>
      </c>
      <c r="H198" s="451">
        <v>0</v>
      </c>
      <c r="I198" s="451">
        <v>0</v>
      </c>
      <c r="J198" s="301"/>
      <c r="K198" s="301"/>
      <c r="L198" s="301"/>
      <c r="M198" s="301"/>
      <c r="Q198" s="300">
        <f t="shared" si="17"/>
        <v>0</v>
      </c>
      <c r="S198" s="300">
        <f t="shared" si="23"/>
        <v>0</v>
      </c>
      <c r="T198" s="300">
        <f t="shared" si="24"/>
        <v>0</v>
      </c>
      <c r="U198" s="300">
        <f t="shared" si="25"/>
        <v>0</v>
      </c>
      <c r="V198" s="300">
        <v>-1541.3891482203535</v>
      </c>
      <c r="W198" s="300">
        <v>-5201.2897037572202</v>
      </c>
      <c r="X198" s="300">
        <v>-6742.6788519775737</v>
      </c>
      <c r="Z198" s="300">
        <v>0</v>
      </c>
      <c r="AA198" s="258"/>
      <c r="AB198" s="300">
        <v>0</v>
      </c>
      <c r="AC198" s="300">
        <v>-6742.6788519775737</v>
      </c>
      <c r="AE198" s="452" t="e">
        <f t="shared" si="18"/>
        <v>#DIV/0!</v>
      </c>
      <c r="AF198" s="452" t="e">
        <f t="shared" si="19"/>
        <v>#DIV/0!</v>
      </c>
    </row>
    <row r="199" spans="1:32" s="642" customFormat="1" outlineLevel="1">
      <c r="A199" s="636" t="s">
        <v>306</v>
      </c>
      <c r="B199" s="637">
        <v>2033</v>
      </c>
      <c r="C199" s="451">
        <v>0</v>
      </c>
      <c r="D199" s="451">
        <v>0</v>
      </c>
      <c r="E199" s="451">
        <v>0</v>
      </c>
      <c r="F199" s="451"/>
      <c r="G199" s="451">
        <v>0</v>
      </c>
      <c r="H199" s="451">
        <v>0</v>
      </c>
      <c r="I199" s="451">
        <v>0</v>
      </c>
      <c r="J199" s="301"/>
      <c r="K199" s="301"/>
      <c r="L199" s="301"/>
      <c r="M199" s="301"/>
      <c r="Q199" s="300">
        <f t="shared" si="17"/>
        <v>0</v>
      </c>
      <c r="S199" s="300">
        <f t="shared" si="23"/>
        <v>0</v>
      </c>
      <c r="T199" s="300">
        <f t="shared" si="24"/>
        <v>0</v>
      </c>
      <c r="U199" s="300">
        <f t="shared" si="25"/>
        <v>0</v>
      </c>
      <c r="V199" s="300">
        <v>-1541.3891482203535</v>
      </c>
      <c r="W199" s="300">
        <v>-5201.2897037572202</v>
      </c>
      <c r="X199" s="300">
        <v>-6742.6788519775737</v>
      </c>
      <c r="Z199" s="300">
        <v>0</v>
      </c>
      <c r="AA199" s="258"/>
      <c r="AB199" s="300">
        <v>0</v>
      </c>
      <c r="AC199" s="300">
        <v>-6742.6788519775737</v>
      </c>
      <c r="AE199" s="452" t="e">
        <f t="shared" si="18"/>
        <v>#DIV/0!</v>
      </c>
      <c r="AF199" s="452" t="e">
        <f t="shared" si="19"/>
        <v>#DIV/0!</v>
      </c>
    </row>
    <row r="200" spans="1:32" s="642" customFormat="1" outlineLevel="1">
      <c r="A200" s="636" t="s">
        <v>307</v>
      </c>
      <c r="B200" s="637">
        <v>2033</v>
      </c>
      <c r="C200" s="451">
        <v>0</v>
      </c>
      <c r="D200" s="451">
        <v>0</v>
      </c>
      <c r="E200" s="451">
        <v>0</v>
      </c>
      <c r="F200" s="451"/>
      <c r="G200" s="451">
        <v>0</v>
      </c>
      <c r="H200" s="451">
        <v>0</v>
      </c>
      <c r="I200" s="451">
        <v>0</v>
      </c>
      <c r="J200" s="301"/>
      <c r="K200" s="301"/>
      <c r="L200" s="301"/>
      <c r="M200" s="301"/>
      <c r="Q200" s="300">
        <f t="shared" si="17"/>
        <v>0</v>
      </c>
      <c r="S200" s="300">
        <f t="shared" si="23"/>
        <v>0</v>
      </c>
      <c r="T200" s="300">
        <f t="shared" si="24"/>
        <v>0</v>
      </c>
      <c r="U200" s="300">
        <f t="shared" si="25"/>
        <v>0</v>
      </c>
      <c r="V200" s="300">
        <v>-1541.3891482203535</v>
      </c>
      <c r="W200" s="300">
        <v>-5201.2897037572202</v>
      </c>
      <c r="X200" s="300">
        <v>-6742.6788519775737</v>
      </c>
      <c r="Z200" s="300">
        <v>0</v>
      </c>
      <c r="AA200" s="258"/>
      <c r="AB200" s="300">
        <v>0</v>
      </c>
      <c r="AC200" s="300">
        <v>-6742.6788519775737</v>
      </c>
      <c r="AE200" s="452" t="e">
        <f t="shared" si="18"/>
        <v>#DIV/0!</v>
      </c>
      <c r="AF200" s="452" t="e">
        <f t="shared" si="19"/>
        <v>#DIV/0!</v>
      </c>
    </row>
    <row r="201" spans="1:32" s="642" customFormat="1" outlineLevel="1">
      <c r="A201" s="636" t="s">
        <v>308</v>
      </c>
      <c r="B201" s="637">
        <v>2033</v>
      </c>
      <c r="C201" s="451">
        <v>0</v>
      </c>
      <c r="D201" s="451">
        <v>0</v>
      </c>
      <c r="E201" s="451">
        <v>0</v>
      </c>
      <c r="F201" s="451"/>
      <c r="G201" s="451">
        <v>0</v>
      </c>
      <c r="H201" s="451">
        <v>0</v>
      </c>
      <c r="I201" s="451">
        <v>0</v>
      </c>
      <c r="J201" s="301"/>
      <c r="K201" s="301"/>
      <c r="L201" s="301"/>
      <c r="M201" s="301"/>
      <c r="Q201" s="300">
        <f t="shared" si="17"/>
        <v>0</v>
      </c>
      <c r="S201" s="300">
        <f t="shared" si="23"/>
        <v>0</v>
      </c>
      <c r="T201" s="300">
        <f t="shared" si="24"/>
        <v>0</v>
      </c>
      <c r="U201" s="300">
        <f t="shared" si="25"/>
        <v>0</v>
      </c>
      <c r="V201" s="300">
        <v>-1541.3891482203535</v>
      </c>
      <c r="W201" s="300">
        <v>-5201.2897037572202</v>
      </c>
      <c r="X201" s="300">
        <v>-6742.6788519775737</v>
      </c>
      <c r="Z201" s="300">
        <v>0</v>
      </c>
      <c r="AA201" s="258"/>
      <c r="AB201" s="300">
        <v>0</v>
      </c>
      <c r="AC201" s="300">
        <v>-6742.6788519775737</v>
      </c>
      <c r="AE201" s="452" t="e">
        <f t="shared" si="18"/>
        <v>#DIV/0!</v>
      </c>
      <c r="AF201" s="452" t="e">
        <f t="shared" si="19"/>
        <v>#DIV/0!</v>
      </c>
    </row>
    <row r="202" spans="1:32" s="642" customFormat="1" outlineLevel="1">
      <c r="A202" s="636" t="s">
        <v>309</v>
      </c>
      <c r="B202" s="637">
        <v>2033</v>
      </c>
      <c r="C202" s="451">
        <v>0</v>
      </c>
      <c r="D202" s="451">
        <v>0</v>
      </c>
      <c r="E202" s="451">
        <v>0</v>
      </c>
      <c r="F202" s="451"/>
      <c r="G202" s="451">
        <v>0</v>
      </c>
      <c r="H202" s="451">
        <v>0</v>
      </c>
      <c r="I202" s="451">
        <v>0</v>
      </c>
      <c r="J202" s="301"/>
      <c r="K202" s="301"/>
      <c r="L202" s="301"/>
      <c r="M202" s="301"/>
      <c r="Q202" s="300">
        <f t="shared" si="17"/>
        <v>0</v>
      </c>
      <c r="S202" s="300">
        <f t="shared" si="23"/>
        <v>0</v>
      </c>
      <c r="T202" s="300">
        <f t="shared" si="24"/>
        <v>0</v>
      </c>
      <c r="U202" s="300">
        <f t="shared" si="25"/>
        <v>0</v>
      </c>
      <c r="V202" s="300">
        <v>-1541.3891482203535</v>
      </c>
      <c r="W202" s="300">
        <v>-5201.2897037572202</v>
      </c>
      <c r="X202" s="300">
        <v>-6742.6788519775737</v>
      </c>
      <c r="Z202" s="300">
        <v>0</v>
      </c>
      <c r="AA202" s="258"/>
      <c r="AB202" s="300">
        <v>0</v>
      </c>
      <c r="AC202" s="300">
        <v>-6742.6788519775737</v>
      </c>
      <c r="AE202" s="452" t="e">
        <f t="shared" si="18"/>
        <v>#DIV/0!</v>
      </c>
      <c r="AF202" s="452" t="e">
        <f t="shared" si="19"/>
        <v>#DIV/0!</v>
      </c>
    </row>
    <row r="203" spans="1:32" s="642" customFormat="1" outlineLevel="1">
      <c r="A203" s="636" t="s">
        <v>298</v>
      </c>
      <c r="B203" s="637">
        <v>2033</v>
      </c>
      <c r="C203" s="451">
        <v>0</v>
      </c>
      <c r="D203" s="451">
        <v>0</v>
      </c>
      <c r="E203" s="451">
        <v>0</v>
      </c>
      <c r="F203" s="451"/>
      <c r="G203" s="451">
        <v>0</v>
      </c>
      <c r="H203" s="451">
        <v>0</v>
      </c>
      <c r="I203" s="451">
        <v>0</v>
      </c>
      <c r="J203" s="301"/>
      <c r="K203" s="301"/>
      <c r="L203" s="301"/>
      <c r="M203" s="301"/>
      <c r="Q203" s="300">
        <f t="shared" si="17"/>
        <v>0</v>
      </c>
      <c r="S203" s="300">
        <f t="shared" si="23"/>
        <v>0</v>
      </c>
      <c r="T203" s="300">
        <f t="shared" si="24"/>
        <v>0</v>
      </c>
      <c r="U203" s="300">
        <f t="shared" si="25"/>
        <v>0</v>
      </c>
      <c r="V203" s="300">
        <v>-1541.3891482203535</v>
      </c>
      <c r="W203" s="300">
        <v>-5201.2897037572202</v>
      </c>
      <c r="X203" s="300">
        <v>-6742.6788519775737</v>
      </c>
      <c r="Z203" s="300">
        <v>0</v>
      </c>
      <c r="AA203" s="258"/>
      <c r="AB203" s="300">
        <v>0</v>
      </c>
      <c r="AC203" s="300">
        <v>-6742.6788519775737</v>
      </c>
      <c r="AE203" s="452" t="e">
        <f t="shared" si="18"/>
        <v>#DIV/0!</v>
      </c>
      <c r="AF203" s="452" t="e">
        <f t="shared" si="19"/>
        <v>#DIV/0!</v>
      </c>
    </row>
    <row r="204" spans="1:32" s="642" customFormat="1" outlineLevel="1">
      <c r="A204" s="636" t="s">
        <v>299</v>
      </c>
      <c r="B204" s="637">
        <v>2033</v>
      </c>
      <c r="C204" s="451">
        <v>0</v>
      </c>
      <c r="D204" s="451">
        <v>0</v>
      </c>
      <c r="E204" s="451">
        <v>0</v>
      </c>
      <c r="F204" s="451"/>
      <c r="G204" s="451">
        <v>0</v>
      </c>
      <c r="H204" s="451">
        <v>0</v>
      </c>
      <c r="I204" s="451">
        <v>0</v>
      </c>
      <c r="J204" s="301"/>
      <c r="K204" s="301"/>
      <c r="L204" s="301"/>
      <c r="M204" s="301"/>
      <c r="Q204" s="300">
        <f t="shared" si="17"/>
        <v>0</v>
      </c>
      <c r="S204" s="300">
        <f t="shared" si="23"/>
        <v>0</v>
      </c>
      <c r="T204" s="300">
        <f t="shared" si="24"/>
        <v>0</v>
      </c>
      <c r="U204" s="300">
        <f t="shared" si="25"/>
        <v>0</v>
      </c>
      <c r="V204" s="300">
        <v>-1541.3891482203535</v>
      </c>
      <c r="W204" s="300">
        <v>-5201.2897037572202</v>
      </c>
      <c r="X204" s="300">
        <v>-6742.6788519775737</v>
      </c>
      <c r="Z204" s="300">
        <v>0</v>
      </c>
      <c r="AA204" s="258"/>
      <c r="AB204" s="300">
        <v>0</v>
      </c>
      <c r="AC204" s="300">
        <v>-6742.6788519775737</v>
      </c>
      <c r="AE204" s="452" t="e">
        <f t="shared" si="18"/>
        <v>#DIV/0!</v>
      </c>
      <c r="AF204" s="452" t="e">
        <f t="shared" si="19"/>
        <v>#DIV/0!</v>
      </c>
    </row>
    <row r="205" spans="1:32" s="642" customFormat="1" outlineLevel="1">
      <c r="A205" s="636" t="s">
        <v>300</v>
      </c>
      <c r="B205" s="637">
        <v>2033</v>
      </c>
      <c r="C205" s="451">
        <v>0</v>
      </c>
      <c r="D205" s="451">
        <v>0</v>
      </c>
      <c r="E205" s="451">
        <v>0</v>
      </c>
      <c r="F205" s="451"/>
      <c r="G205" s="451">
        <v>0</v>
      </c>
      <c r="H205" s="451">
        <v>0</v>
      </c>
      <c r="I205" s="451">
        <v>0</v>
      </c>
      <c r="J205" s="301"/>
      <c r="K205" s="301"/>
      <c r="L205" s="301"/>
      <c r="M205" s="301"/>
      <c r="Q205" s="300">
        <f t="shared" si="17"/>
        <v>0</v>
      </c>
      <c r="S205" s="300">
        <f t="shared" si="23"/>
        <v>0</v>
      </c>
      <c r="T205" s="300">
        <f t="shared" si="24"/>
        <v>0</v>
      </c>
      <c r="U205" s="300">
        <f t="shared" si="25"/>
        <v>0</v>
      </c>
      <c r="V205" s="300">
        <v>-1541.3891482203535</v>
      </c>
      <c r="W205" s="300">
        <v>-5201.2897037572202</v>
      </c>
      <c r="X205" s="300">
        <v>-6742.6788519775737</v>
      </c>
      <c r="Z205" s="300">
        <v>0</v>
      </c>
      <c r="AA205" s="258"/>
      <c r="AB205" s="300">
        <v>0</v>
      </c>
      <c r="AC205" s="300">
        <v>-6742.6788519775737</v>
      </c>
      <c r="AE205" s="452" t="e">
        <f t="shared" si="18"/>
        <v>#DIV/0!</v>
      </c>
      <c r="AF205" s="452" t="e">
        <f t="shared" si="19"/>
        <v>#DIV/0!</v>
      </c>
    </row>
    <row r="206" spans="1:32" s="642" customFormat="1" outlineLevel="1">
      <c r="A206" s="636" t="s">
        <v>301</v>
      </c>
      <c r="B206" s="637">
        <v>2034</v>
      </c>
      <c r="C206" s="451">
        <v>0</v>
      </c>
      <c r="D206" s="451">
        <v>0</v>
      </c>
      <c r="E206" s="451">
        <v>0</v>
      </c>
      <c r="F206" s="451"/>
      <c r="G206" s="451">
        <v>0</v>
      </c>
      <c r="H206" s="451">
        <v>0</v>
      </c>
      <c r="I206" s="451">
        <v>0</v>
      </c>
      <c r="J206" s="301"/>
      <c r="K206" s="301"/>
      <c r="L206" s="301"/>
      <c r="M206" s="301"/>
      <c r="Q206" s="300">
        <f t="shared" si="17"/>
        <v>0</v>
      </c>
      <c r="S206" s="300">
        <f t="shared" si="23"/>
        <v>0</v>
      </c>
      <c r="T206" s="300">
        <f t="shared" si="24"/>
        <v>0</v>
      </c>
      <c r="U206" s="300">
        <f t="shared" si="25"/>
        <v>0</v>
      </c>
      <c r="V206" s="300">
        <v>-1541.3891482203535</v>
      </c>
      <c r="W206" s="300">
        <v>-5201.2897037572202</v>
      </c>
      <c r="X206" s="300">
        <v>-6742.6788519775737</v>
      </c>
      <c r="Z206" s="300">
        <v>0</v>
      </c>
      <c r="AA206" s="258"/>
      <c r="AB206" s="300">
        <v>0</v>
      </c>
      <c r="AC206" s="300">
        <v>-6742.6788519775737</v>
      </c>
      <c r="AE206" s="452" t="e">
        <f t="shared" si="18"/>
        <v>#DIV/0!</v>
      </c>
      <c r="AF206" s="452" t="e">
        <f t="shared" si="19"/>
        <v>#DIV/0!</v>
      </c>
    </row>
    <row r="207" spans="1:32" s="642" customFormat="1" outlineLevel="1">
      <c r="A207" s="636" t="s">
        <v>302</v>
      </c>
      <c r="B207" s="637">
        <v>2034</v>
      </c>
      <c r="C207" s="451">
        <v>0</v>
      </c>
      <c r="D207" s="451">
        <v>0</v>
      </c>
      <c r="E207" s="451">
        <v>0</v>
      </c>
      <c r="F207" s="451"/>
      <c r="G207" s="451">
        <v>0</v>
      </c>
      <c r="H207" s="451">
        <v>0</v>
      </c>
      <c r="I207" s="451">
        <v>0</v>
      </c>
      <c r="J207" s="301"/>
      <c r="K207" s="301"/>
      <c r="L207" s="301"/>
      <c r="M207" s="301"/>
      <c r="Q207" s="300">
        <f t="shared" si="17"/>
        <v>0</v>
      </c>
      <c r="S207" s="300">
        <f t="shared" si="23"/>
        <v>0</v>
      </c>
      <c r="T207" s="300">
        <f t="shared" si="24"/>
        <v>0</v>
      </c>
      <c r="U207" s="300">
        <f t="shared" si="25"/>
        <v>0</v>
      </c>
      <c r="V207" s="300">
        <v>-1541.3891482203535</v>
      </c>
      <c r="W207" s="300">
        <v>-5201.2897037572202</v>
      </c>
      <c r="X207" s="300">
        <v>-6742.6788519775737</v>
      </c>
      <c r="Z207" s="300">
        <v>0</v>
      </c>
      <c r="AA207" s="258"/>
      <c r="AB207" s="300">
        <v>0</v>
      </c>
      <c r="AC207" s="300">
        <v>-6742.6788519775737</v>
      </c>
      <c r="AE207" s="452" t="e">
        <f t="shared" si="18"/>
        <v>#DIV/0!</v>
      </c>
      <c r="AF207" s="452" t="e">
        <f t="shared" si="19"/>
        <v>#DIV/0!</v>
      </c>
    </row>
    <row r="208" spans="1:32" s="642" customFormat="1" outlineLevel="1">
      <c r="A208" s="636" t="s">
        <v>303</v>
      </c>
      <c r="B208" s="637">
        <v>2034</v>
      </c>
      <c r="C208" s="451">
        <v>0</v>
      </c>
      <c r="D208" s="451">
        <v>0</v>
      </c>
      <c r="E208" s="451">
        <v>0</v>
      </c>
      <c r="F208" s="451"/>
      <c r="G208" s="451">
        <v>0</v>
      </c>
      <c r="H208" s="451">
        <v>0</v>
      </c>
      <c r="I208" s="451">
        <v>0</v>
      </c>
      <c r="J208" s="301"/>
      <c r="K208" s="301"/>
      <c r="L208" s="301"/>
      <c r="M208" s="301"/>
      <c r="Q208" s="300">
        <f t="shared" si="17"/>
        <v>0</v>
      </c>
      <c r="S208" s="300">
        <f t="shared" si="23"/>
        <v>0</v>
      </c>
      <c r="T208" s="300">
        <f t="shared" si="24"/>
        <v>0</v>
      </c>
      <c r="U208" s="300">
        <f t="shared" si="25"/>
        <v>0</v>
      </c>
      <c r="V208" s="300">
        <v>-1541.3891482203535</v>
      </c>
      <c r="W208" s="300">
        <v>-5201.2897037572202</v>
      </c>
      <c r="X208" s="300">
        <v>-6742.6788519775737</v>
      </c>
      <c r="Z208" s="300">
        <v>0</v>
      </c>
      <c r="AA208" s="258"/>
      <c r="AB208" s="300">
        <v>0</v>
      </c>
      <c r="AC208" s="300">
        <v>-6742.6788519775737</v>
      </c>
      <c r="AE208" s="452" t="e">
        <f t="shared" si="18"/>
        <v>#DIV/0!</v>
      </c>
      <c r="AF208" s="452" t="e">
        <f t="shared" si="19"/>
        <v>#DIV/0!</v>
      </c>
    </row>
    <row r="209" spans="1:32" s="642" customFormat="1" outlineLevel="1">
      <c r="A209" s="636" t="s">
        <v>304</v>
      </c>
      <c r="B209" s="637">
        <v>2034</v>
      </c>
      <c r="C209" s="451">
        <v>0</v>
      </c>
      <c r="D209" s="451">
        <v>0</v>
      </c>
      <c r="E209" s="451">
        <v>0</v>
      </c>
      <c r="F209" s="451"/>
      <c r="G209" s="451">
        <v>0</v>
      </c>
      <c r="H209" s="451">
        <v>0</v>
      </c>
      <c r="I209" s="451">
        <v>0</v>
      </c>
      <c r="J209" s="301"/>
      <c r="K209" s="301"/>
      <c r="L209" s="301"/>
      <c r="M209" s="301"/>
      <c r="Q209" s="300">
        <f t="shared" si="17"/>
        <v>0</v>
      </c>
      <c r="S209" s="300">
        <f t="shared" si="23"/>
        <v>0</v>
      </c>
      <c r="T209" s="300">
        <f t="shared" si="24"/>
        <v>0</v>
      </c>
      <c r="U209" s="300">
        <f t="shared" si="25"/>
        <v>0</v>
      </c>
      <c r="V209" s="300">
        <v>-1541.3891482203535</v>
      </c>
      <c r="W209" s="300">
        <v>-5201.2897037572202</v>
      </c>
      <c r="X209" s="300">
        <v>-6742.6788519775737</v>
      </c>
      <c r="Z209" s="300">
        <v>0</v>
      </c>
      <c r="AA209" s="258"/>
      <c r="AB209" s="300">
        <v>0</v>
      </c>
      <c r="AC209" s="300">
        <v>-6742.6788519775737</v>
      </c>
      <c r="AE209" s="452" t="e">
        <f t="shared" si="18"/>
        <v>#DIV/0!</v>
      </c>
      <c r="AF209" s="452" t="e">
        <f t="shared" si="19"/>
        <v>#DIV/0!</v>
      </c>
    </row>
    <row r="210" spans="1:32" s="642" customFormat="1" outlineLevel="1">
      <c r="A210" s="636" t="s">
        <v>305</v>
      </c>
      <c r="B210" s="637">
        <v>2034</v>
      </c>
      <c r="C210" s="451">
        <v>0</v>
      </c>
      <c r="D210" s="451">
        <v>0</v>
      </c>
      <c r="E210" s="451">
        <v>0</v>
      </c>
      <c r="F210" s="451"/>
      <c r="G210" s="451">
        <v>0</v>
      </c>
      <c r="H210" s="451">
        <v>0</v>
      </c>
      <c r="I210" s="451">
        <v>0</v>
      </c>
      <c r="J210" s="301"/>
      <c r="K210" s="301"/>
      <c r="L210" s="301"/>
      <c r="M210" s="301"/>
      <c r="Q210" s="300">
        <f t="shared" si="17"/>
        <v>0</v>
      </c>
      <c r="S210" s="300">
        <f t="shared" si="23"/>
        <v>0</v>
      </c>
      <c r="T210" s="300">
        <f t="shared" si="24"/>
        <v>0</v>
      </c>
      <c r="U210" s="300">
        <f t="shared" si="25"/>
        <v>0</v>
      </c>
      <c r="V210" s="300">
        <v>-1541.3891482203535</v>
      </c>
      <c r="W210" s="300">
        <v>-5201.2897037572202</v>
      </c>
      <c r="X210" s="300">
        <v>-6742.6788519775737</v>
      </c>
      <c r="Z210" s="300">
        <v>0</v>
      </c>
      <c r="AA210" s="258"/>
      <c r="AB210" s="300">
        <v>0</v>
      </c>
      <c r="AC210" s="300">
        <v>-6742.6788519775737</v>
      </c>
      <c r="AE210" s="452" t="e">
        <f t="shared" si="18"/>
        <v>#DIV/0!</v>
      </c>
      <c r="AF210" s="452" t="e">
        <f t="shared" si="19"/>
        <v>#DIV/0!</v>
      </c>
    </row>
    <row r="211" spans="1:32" s="642" customFormat="1" outlineLevel="1">
      <c r="A211" s="636" t="s">
        <v>306</v>
      </c>
      <c r="B211" s="637">
        <v>2034</v>
      </c>
      <c r="C211" s="451">
        <v>0</v>
      </c>
      <c r="D211" s="451">
        <v>0</v>
      </c>
      <c r="E211" s="451">
        <v>0</v>
      </c>
      <c r="F211" s="451"/>
      <c r="G211" s="451">
        <v>0</v>
      </c>
      <c r="H211" s="451">
        <v>0</v>
      </c>
      <c r="I211" s="451">
        <v>0</v>
      </c>
      <c r="J211" s="301"/>
      <c r="K211" s="301"/>
      <c r="L211" s="301"/>
      <c r="M211" s="301"/>
      <c r="Q211" s="300">
        <f t="shared" si="17"/>
        <v>0</v>
      </c>
      <c r="S211" s="300">
        <f t="shared" si="23"/>
        <v>0</v>
      </c>
      <c r="T211" s="300">
        <f t="shared" si="24"/>
        <v>0</v>
      </c>
      <c r="U211" s="300">
        <f t="shared" si="25"/>
        <v>0</v>
      </c>
      <c r="V211" s="300">
        <v>-1541.3891482203535</v>
      </c>
      <c r="W211" s="300">
        <v>-5201.2897037572202</v>
      </c>
      <c r="X211" s="300">
        <v>-6742.6788519775737</v>
      </c>
      <c r="Z211" s="300">
        <v>0</v>
      </c>
      <c r="AA211" s="258"/>
      <c r="AB211" s="300">
        <v>0</v>
      </c>
      <c r="AC211" s="300">
        <v>-6742.6788519775737</v>
      </c>
      <c r="AE211" s="452" t="e">
        <f t="shared" si="18"/>
        <v>#DIV/0!</v>
      </c>
      <c r="AF211" s="452" t="e">
        <f t="shared" si="19"/>
        <v>#DIV/0!</v>
      </c>
    </row>
    <row r="212" spans="1:32" s="642" customFormat="1" outlineLevel="1">
      <c r="A212" s="636" t="s">
        <v>307</v>
      </c>
      <c r="B212" s="637">
        <v>2034</v>
      </c>
      <c r="C212" s="451">
        <v>0</v>
      </c>
      <c r="D212" s="451">
        <v>0</v>
      </c>
      <c r="E212" s="451">
        <v>0</v>
      </c>
      <c r="F212" s="451"/>
      <c r="G212" s="451">
        <v>0</v>
      </c>
      <c r="H212" s="451">
        <v>0</v>
      </c>
      <c r="I212" s="451">
        <v>0</v>
      </c>
      <c r="J212" s="301"/>
      <c r="K212" s="301"/>
      <c r="L212" s="301"/>
      <c r="M212" s="301"/>
      <c r="Q212" s="300">
        <f t="shared" si="17"/>
        <v>0</v>
      </c>
      <c r="S212" s="300">
        <f t="shared" si="23"/>
        <v>0</v>
      </c>
      <c r="T212" s="300">
        <f t="shared" si="24"/>
        <v>0</v>
      </c>
      <c r="U212" s="300">
        <f t="shared" si="25"/>
        <v>0</v>
      </c>
      <c r="V212" s="300">
        <v>-1541.3891482203535</v>
      </c>
      <c r="W212" s="300">
        <v>-5201.2897037572202</v>
      </c>
      <c r="X212" s="300">
        <v>-6742.6788519775737</v>
      </c>
      <c r="Z212" s="300">
        <v>0</v>
      </c>
      <c r="AA212" s="258"/>
      <c r="AB212" s="300">
        <v>0</v>
      </c>
      <c r="AC212" s="300">
        <v>-6742.6788519775737</v>
      </c>
      <c r="AE212" s="452" t="e">
        <f t="shared" si="18"/>
        <v>#DIV/0!</v>
      </c>
      <c r="AF212" s="452" t="e">
        <f t="shared" si="19"/>
        <v>#DIV/0!</v>
      </c>
    </row>
    <row r="213" spans="1:32" s="642" customFormat="1" outlineLevel="1">
      <c r="A213" s="636" t="s">
        <v>308</v>
      </c>
      <c r="B213" s="637">
        <v>2034</v>
      </c>
      <c r="C213" s="451">
        <v>0</v>
      </c>
      <c r="D213" s="451">
        <v>0</v>
      </c>
      <c r="E213" s="451">
        <v>0</v>
      </c>
      <c r="F213" s="451"/>
      <c r="G213" s="451">
        <v>0</v>
      </c>
      <c r="H213" s="451">
        <v>0</v>
      </c>
      <c r="I213" s="451">
        <v>0</v>
      </c>
      <c r="J213" s="301"/>
      <c r="K213" s="301"/>
      <c r="L213" s="301"/>
      <c r="M213" s="301"/>
      <c r="Q213" s="300">
        <f t="shared" si="17"/>
        <v>0</v>
      </c>
      <c r="S213" s="300">
        <f t="shared" si="23"/>
        <v>0</v>
      </c>
      <c r="T213" s="300">
        <f t="shared" si="24"/>
        <v>0</v>
      </c>
      <c r="U213" s="300">
        <f t="shared" si="25"/>
        <v>0</v>
      </c>
      <c r="V213" s="300">
        <v>-1541.3891482203535</v>
      </c>
      <c r="W213" s="300">
        <v>-5201.2897037572202</v>
      </c>
      <c r="X213" s="300">
        <v>-6742.6788519775737</v>
      </c>
      <c r="Z213" s="300">
        <v>0</v>
      </c>
      <c r="AA213" s="258"/>
      <c r="AB213" s="300">
        <v>0</v>
      </c>
      <c r="AC213" s="300">
        <v>-6742.6788519775737</v>
      </c>
      <c r="AE213" s="452" t="e">
        <f t="shared" si="18"/>
        <v>#DIV/0!</v>
      </c>
      <c r="AF213" s="452" t="e">
        <f t="shared" si="19"/>
        <v>#DIV/0!</v>
      </c>
    </row>
    <row r="214" spans="1:32" s="642" customFormat="1" outlineLevel="1">
      <c r="A214" s="636" t="s">
        <v>309</v>
      </c>
      <c r="B214" s="637">
        <v>2034</v>
      </c>
      <c r="C214" s="451">
        <v>0</v>
      </c>
      <c r="D214" s="451">
        <v>0</v>
      </c>
      <c r="E214" s="451">
        <v>0</v>
      </c>
      <c r="F214" s="451"/>
      <c r="G214" s="451">
        <v>0</v>
      </c>
      <c r="H214" s="451">
        <v>0</v>
      </c>
      <c r="I214" s="451">
        <v>0</v>
      </c>
      <c r="J214" s="301"/>
      <c r="K214" s="301"/>
      <c r="L214" s="301"/>
      <c r="M214" s="301"/>
      <c r="Q214" s="300">
        <f t="shared" si="17"/>
        <v>0</v>
      </c>
      <c r="S214" s="300">
        <f t="shared" si="23"/>
        <v>0</v>
      </c>
      <c r="T214" s="300">
        <f t="shared" si="24"/>
        <v>0</v>
      </c>
      <c r="U214" s="300">
        <f t="shared" si="25"/>
        <v>0</v>
      </c>
      <c r="V214" s="300">
        <v>-1541.3891482203535</v>
      </c>
      <c r="W214" s="300">
        <v>-5201.2897037572202</v>
      </c>
      <c r="X214" s="300">
        <v>-6742.6788519775737</v>
      </c>
      <c r="Z214" s="300">
        <v>0</v>
      </c>
      <c r="AA214" s="258"/>
      <c r="AB214" s="300">
        <v>0</v>
      </c>
      <c r="AC214" s="300">
        <v>-6742.6788519775737</v>
      </c>
      <c r="AE214" s="452" t="e">
        <f t="shared" si="18"/>
        <v>#DIV/0!</v>
      </c>
      <c r="AF214" s="452" t="e">
        <f t="shared" si="19"/>
        <v>#DIV/0!</v>
      </c>
    </row>
    <row r="215" spans="1:32" s="642" customFormat="1" outlineLevel="1">
      <c r="A215" s="636" t="s">
        <v>298</v>
      </c>
      <c r="B215" s="637">
        <v>2034</v>
      </c>
      <c r="C215" s="451">
        <v>0</v>
      </c>
      <c r="D215" s="451">
        <v>0</v>
      </c>
      <c r="E215" s="451">
        <v>0</v>
      </c>
      <c r="F215" s="451"/>
      <c r="G215" s="451">
        <v>0</v>
      </c>
      <c r="H215" s="451">
        <v>0</v>
      </c>
      <c r="I215" s="451">
        <v>0</v>
      </c>
      <c r="J215" s="301"/>
      <c r="K215" s="301"/>
      <c r="L215" s="301"/>
      <c r="M215" s="301"/>
      <c r="Q215" s="300">
        <f t="shared" ref="Q215:Q278" si="26">SUM(G215:M215)</f>
        <v>0</v>
      </c>
      <c r="S215" s="300">
        <f t="shared" si="23"/>
        <v>0</v>
      </c>
      <c r="T215" s="300">
        <f t="shared" si="24"/>
        <v>0</v>
      </c>
      <c r="U215" s="300">
        <f t="shared" si="25"/>
        <v>0</v>
      </c>
      <c r="V215" s="300">
        <v>-1541.3891482203535</v>
      </c>
      <c r="W215" s="300">
        <v>-5201.2897037572202</v>
      </c>
      <c r="X215" s="300">
        <v>-6742.6788519775737</v>
      </c>
      <c r="Z215" s="300">
        <v>0</v>
      </c>
      <c r="AA215" s="258"/>
      <c r="AB215" s="300">
        <v>0</v>
      </c>
      <c r="AC215" s="300">
        <v>-6742.6788519775737</v>
      </c>
      <c r="AE215" s="452" t="e">
        <f t="shared" ref="AE215:AE278" si="27">(S215+U215)/E215*12</f>
        <v>#DIV/0!</v>
      </c>
      <c r="AF215" s="452" t="e">
        <f t="shared" ref="AF215:AF278" si="28">(S215+T215+U215)/E215*12</f>
        <v>#DIV/0!</v>
      </c>
    </row>
    <row r="216" spans="1:32" s="642" customFormat="1" outlineLevel="1">
      <c r="A216" s="636" t="s">
        <v>299</v>
      </c>
      <c r="B216" s="637">
        <v>2034</v>
      </c>
      <c r="C216" s="451">
        <v>0</v>
      </c>
      <c r="D216" s="451">
        <v>0</v>
      </c>
      <c r="E216" s="451">
        <v>0</v>
      </c>
      <c r="F216" s="451"/>
      <c r="G216" s="451">
        <v>0</v>
      </c>
      <c r="H216" s="451">
        <v>0</v>
      </c>
      <c r="I216" s="451">
        <v>0</v>
      </c>
      <c r="J216" s="301"/>
      <c r="K216" s="301"/>
      <c r="L216" s="301"/>
      <c r="M216" s="301"/>
      <c r="Q216" s="300">
        <f t="shared" si="26"/>
        <v>0</v>
      </c>
      <c r="S216" s="300">
        <f t="shared" si="23"/>
        <v>0</v>
      </c>
      <c r="T216" s="300">
        <f t="shared" si="24"/>
        <v>0</v>
      </c>
      <c r="U216" s="300">
        <f t="shared" si="25"/>
        <v>0</v>
      </c>
      <c r="V216" s="300">
        <v>-1541.3891482203535</v>
      </c>
      <c r="W216" s="300">
        <v>-5201.2897037572202</v>
      </c>
      <c r="X216" s="300">
        <v>-6742.6788519775737</v>
      </c>
      <c r="Z216" s="300">
        <v>0</v>
      </c>
      <c r="AA216" s="258"/>
      <c r="AB216" s="300">
        <v>0</v>
      </c>
      <c r="AC216" s="300">
        <v>-6742.6788519775737</v>
      </c>
      <c r="AE216" s="452" t="e">
        <f t="shared" si="27"/>
        <v>#DIV/0!</v>
      </c>
      <c r="AF216" s="452" t="e">
        <f t="shared" si="28"/>
        <v>#DIV/0!</v>
      </c>
    </row>
    <row r="217" spans="1:32" s="642" customFormat="1" outlineLevel="1">
      <c r="A217" s="636" t="s">
        <v>300</v>
      </c>
      <c r="B217" s="637">
        <v>2034</v>
      </c>
      <c r="C217" s="451">
        <v>0</v>
      </c>
      <c r="D217" s="451">
        <v>0</v>
      </c>
      <c r="E217" s="451">
        <v>0</v>
      </c>
      <c r="F217" s="451"/>
      <c r="G217" s="451">
        <v>0</v>
      </c>
      <c r="H217" s="451">
        <v>0</v>
      </c>
      <c r="I217" s="451">
        <v>0</v>
      </c>
      <c r="J217" s="301"/>
      <c r="K217" s="301"/>
      <c r="L217" s="301"/>
      <c r="M217" s="301"/>
      <c r="Q217" s="300">
        <f t="shared" si="26"/>
        <v>0</v>
      </c>
      <c r="S217" s="300">
        <f t="shared" si="23"/>
        <v>0</v>
      </c>
      <c r="T217" s="300">
        <f t="shared" si="24"/>
        <v>0</v>
      </c>
      <c r="U217" s="300">
        <f t="shared" si="25"/>
        <v>0</v>
      </c>
      <c r="V217" s="300">
        <v>-1541.3891482203535</v>
      </c>
      <c r="W217" s="300">
        <v>-5201.2897037572202</v>
      </c>
      <c r="X217" s="300">
        <v>-6742.6788519775737</v>
      </c>
      <c r="Z217" s="300">
        <v>0</v>
      </c>
      <c r="AA217" s="258"/>
      <c r="AB217" s="300">
        <v>0</v>
      </c>
      <c r="AC217" s="300">
        <v>-6742.6788519775737</v>
      </c>
      <c r="AE217" s="452" t="e">
        <f t="shared" si="27"/>
        <v>#DIV/0!</v>
      </c>
      <c r="AF217" s="452" t="e">
        <f t="shared" si="28"/>
        <v>#DIV/0!</v>
      </c>
    </row>
    <row r="218" spans="1:32" s="642" customFormat="1" outlineLevel="1">
      <c r="A218" s="636" t="s">
        <v>301</v>
      </c>
      <c r="B218" s="637">
        <v>2035</v>
      </c>
      <c r="C218" s="451">
        <v>0</v>
      </c>
      <c r="D218" s="451">
        <v>0</v>
      </c>
      <c r="E218" s="451">
        <v>0</v>
      </c>
      <c r="F218" s="451"/>
      <c r="G218" s="451">
        <v>0</v>
      </c>
      <c r="H218" s="451">
        <v>0</v>
      </c>
      <c r="I218" s="451">
        <v>0</v>
      </c>
      <c r="J218" s="301"/>
      <c r="K218" s="301"/>
      <c r="L218" s="301"/>
      <c r="M218" s="301"/>
      <c r="Q218" s="300">
        <f t="shared" si="26"/>
        <v>0</v>
      </c>
      <c r="S218" s="300">
        <f t="shared" si="23"/>
        <v>0</v>
      </c>
      <c r="T218" s="300">
        <f t="shared" si="24"/>
        <v>0</v>
      </c>
      <c r="U218" s="300">
        <f t="shared" si="25"/>
        <v>0</v>
      </c>
      <c r="V218" s="300">
        <v>-1541.3891482203535</v>
      </c>
      <c r="W218" s="300">
        <v>-5201.2897037572202</v>
      </c>
      <c r="X218" s="300">
        <v>-6742.6788519775737</v>
      </c>
      <c r="Z218" s="300">
        <v>0</v>
      </c>
      <c r="AA218" s="258"/>
      <c r="AB218" s="300">
        <v>0</v>
      </c>
      <c r="AC218" s="300">
        <v>-6742.6788519775737</v>
      </c>
      <c r="AE218" s="452" t="e">
        <f t="shared" si="27"/>
        <v>#DIV/0!</v>
      </c>
      <c r="AF218" s="452" t="e">
        <f t="shared" si="28"/>
        <v>#DIV/0!</v>
      </c>
    </row>
    <row r="219" spans="1:32" s="642" customFormat="1" outlineLevel="1">
      <c r="A219" s="636" t="s">
        <v>302</v>
      </c>
      <c r="B219" s="637">
        <v>2035</v>
      </c>
      <c r="C219" s="451">
        <v>0</v>
      </c>
      <c r="D219" s="451">
        <v>0</v>
      </c>
      <c r="E219" s="451">
        <v>0</v>
      </c>
      <c r="F219" s="451"/>
      <c r="G219" s="451">
        <v>0</v>
      </c>
      <c r="H219" s="451">
        <v>0</v>
      </c>
      <c r="I219" s="451">
        <v>0</v>
      </c>
      <c r="J219" s="301"/>
      <c r="K219" s="301"/>
      <c r="L219" s="301"/>
      <c r="M219" s="301"/>
      <c r="Q219" s="300">
        <f t="shared" si="26"/>
        <v>0</v>
      </c>
      <c r="S219" s="300">
        <f t="shared" si="23"/>
        <v>0</v>
      </c>
      <c r="T219" s="300">
        <f t="shared" si="24"/>
        <v>0</v>
      </c>
      <c r="U219" s="300">
        <f t="shared" si="25"/>
        <v>0</v>
      </c>
      <c r="V219" s="300">
        <v>-1541.3891482203535</v>
      </c>
      <c r="W219" s="300">
        <v>-5201.2897037572202</v>
      </c>
      <c r="X219" s="300">
        <v>-6742.6788519775737</v>
      </c>
      <c r="Z219" s="300">
        <v>0</v>
      </c>
      <c r="AA219" s="258"/>
      <c r="AB219" s="300">
        <v>0</v>
      </c>
      <c r="AC219" s="300">
        <v>-6742.6788519775737</v>
      </c>
      <c r="AE219" s="452" t="e">
        <f t="shared" si="27"/>
        <v>#DIV/0!</v>
      </c>
      <c r="AF219" s="452" t="e">
        <f t="shared" si="28"/>
        <v>#DIV/0!</v>
      </c>
    </row>
    <row r="220" spans="1:32" s="642" customFormat="1" outlineLevel="1">
      <c r="A220" s="636" t="s">
        <v>303</v>
      </c>
      <c r="B220" s="637">
        <v>2035</v>
      </c>
      <c r="C220" s="451">
        <v>0</v>
      </c>
      <c r="D220" s="451">
        <v>0</v>
      </c>
      <c r="E220" s="451">
        <v>0</v>
      </c>
      <c r="F220" s="451"/>
      <c r="G220" s="451">
        <v>0</v>
      </c>
      <c r="H220" s="451">
        <v>0</v>
      </c>
      <c r="I220" s="451">
        <v>0</v>
      </c>
      <c r="J220" s="301"/>
      <c r="K220" s="301"/>
      <c r="L220" s="301"/>
      <c r="M220" s="301"/>
      <c r="Q220" s="300">
        <f t="shared" si="26"/>
        <v>0</v>
      </c>
      <c r="S220" s="300">
        <f t="shared" si="23"/>
        <v>0</v>
      </c>
      <c r="T220" s="300">
        <f t="shared" si="24"/>
        <v>0</v>
      </c>
      <c r="U220" s="300">
        <f t="shared" si="25"/>
        <v>0</v>
      </c>
      <c r="V220" s="300">
        <v>-1541.3891482203535</v>
      </c>
      <c r="W220" s="300">
        <v>-5201.2897037572202</v>
      </c>
      <c r="X220" s="300">
        <v>-6742.6788519775737</v>
      </c>
      <c r="Z220" s="300">
        <v>0</v>
      </c>
      <c r="AA220" s="258"/>
      <c r="AB220" s="300">
        <v>0</v>
      </c>
      <c r="AC220" s="300">
        <v>-6742.6788519775737</v>
      </c>
      <c r="AE220" s="452" t="e">
        <f t="shared" si="27"/>
        <v>#DIV/0!</v>
      </c>
      <c r="AF220" s="452" t="e">
        <f t="shared" si="28"/>
        <v>#DIV/0!</v>
      </c>
    </row>
    <row r="221" spans="1:32" s="642" customFormat="1" outlineLevel="1">
      <c r="A221" s="636" t="s">
        <v>304</v>
      </c>
      <c r="B221" s="637">
        <v>2035</v>
      </c>
      <c r="C221" s="451">
        <v>0</v>
      </c>
      <c r="D221" s="451">
        <v>0</v>
      </c>
      <c r="E221" s="451">
        <v>0</v>
      </c>
      <c r="F221" s="451"/>
      <c r="G221" s="451">
        <v>0</v>
      </c>
      <c r="H221" s="451">
        <v>0</v>
      </c>
      <c r="I221" s="451">
        <v>0</v>
      </c>
      <c r="J221" s="301"/>
      <c r="K221" s="301"/>
      <c r="L221" s="301"/>
      <c r="M221" s="301"/>
      <c r="Q221" s="300">
        <f t="shared" si="26"/>
        <v>0</v>
      </c>
      <c r="S221" s="300">
        <f t="shared" si="23"/>
        <v>0</v>
      </c>
      <c r="T221" s="300">
        <f t="shared" si="24"/>
        <v>0</v>
      </c>
      <c r="U221" s="300">
        <f t="shared" si="25"/>
        <v>0</v>
      </c>
      <c r="V221" s="300">
        <v>-1541.3891482203535</v>
      </c>
      <c r="W221" s="300">
        <v>-5201.2897037572202</v>
      </c>
      <c r="X221" s="300">
        <v>-6742.6788519775737</v>
      </c>
      <c r="Z221" s="300">
        <v>0</v>
      </c>
      <c r="AA221" s="258"/>
      <c r="AB221" s="300">
        <v>0</v>
      </c>
      <c r="AC221" s="300">
        <v>-6742.6788519775737</v>
      </c>
      <c r="AE221" s="452" t="e">
        <f t="shared" si="27"/>
        <v>#DIV/0!</v>
      </c>
      <c r="AF221" s="452" t="e">
        <f t="shared" si="28"/>
        <v>#DIV/0!</v>
      </c>
    </row>
    <row r="222" spans="1:32" s="642" customFormat="1" outlineLevel="1">
      <c r="A222" s="636" t="s">
        <v>305</v>
      </c>
      <c r="B222" s="637">
        <v>2035</v>
      </c>
      <c r="C222" s="451">
        <v>0</v>
      </c>
      <c r="D222" s="451">
        <v>0</v>
      </c>
      <c r="E222" s="451">
        <v>0</v>
      </c>
      <c r="F222" s="451"/>
      <c r="G222" s="451">
        <v>0</v>
      </c>
      <c r="H222" s="451">
        <v>0</v>
      </c>
      <c r="I222" s="451">
        <v>0</v>
      </c>
      <c r="J222" s="301"/>
      <c r="K222" s="301"/>
      <c r="L222" s="301"/>
      <c r="M222" s="301"/>
      <c r="Q222" s="300">
        <f t="shared" si="26"/>
        <v>0</v>
      </c>
      <c r="S222" s="300">
        <f t="shared" si="23"/>
        <v>0</v>
      </c>
      <c r="T222" s="300">
        <f t="shared" si="24"/>
        <v>0</v>
      </c>
      <c r="U222" s="300">
        <f t="shared" si="25"/>
        <v>0</v>
      </c>
      <c r="V222" s="300">
        <v>-1541.3891482203535</v>
      </c>
      <c r="W222" s="300">
        <v>-5201.2897037572202</v>
      </c>
      <c r="X222" s="300">
        <v>-6742.6788519775737</v>
      </c>
      <c r="Z222" s="300">
        <v>0</v>
      </c>
      <c r="AA222" s="258"/>
      <c r="AB222" s="300">
        <v>0</v>
      </c>
      <c r="AC222" s="300">
        <v>-6742.6788519775737</v>
      </c>
      <c r="AE222" s="452" t="e">
        <f t="shared" si="27"/>
        <v>#DIV/0!</v>
      </c>
      <c r="AF222" s="452" t="e">
        <f t="shared" si="28"/>
        <v>#DIV/0!</v>
      </c>
    </row>
    <row r="223" spans="1:32" s="642" customFormat="1" outlineLevel="1">
      <c r="A223" s="636" t="s">
        <v>306</v>
      </c>
      <c r="B223" s="637">
        <v>2035</v>
      </c>
      <c r="C223" s="451">
        <v>0</v>
      </c>
      <c r="D223" s="451">
        <v>0</v>
      </c>
      <c r="E223" s="451">
        <v>0</v>
      </c>
      <c r="F223" s="451"/>
      <c r="G223" s="451">
        <v>0</v>
      </c>
      <c r="H223" s="451">
        <v>0</v>
      </c>
      <c r="I223" s="451">
        <v>0</v>
      </c>
      <c r="J223" s="301"/>
      <c r="K223" s="301"/>
      <c r="L223" s="301"/>
      <c r="M223" s="301"/>
      <c r="Q223" s="300">
        <f t="shared" si="26"/>
        <v>0</v>
      </c>
      <c r="S223" s="300">
        <f t="shared" si="23"/>
        <v>0</v>
      </c>
      <c r="T223" s="300">
        <f t="shared" si="24"/>
        <v>0</v>
      </c>
      <c r="U223" s="300">
        <f t="shared" si="25"/>
        <v>0</v>
      </c>
      <c r="V223" s="300">
        <v>-1541.3891482203535</v>
      </c>
      <c r="W223" s="300">
        <v>-5201.2897037572202</v>
      </c>
      <c r="X223" s="300">
        <v>-6742.6788519775737</v>
      </c>
      <c r="Z223" s="300">
        <v>0</v>
      </c>
      <c r="AA223" s="258"/>
      <c r="AB223" s="300">
        <v>0</v>
      </c>
      <c r="AC223" s="300">
        <v>-6742.6788519775737</v>
      </c>
      <c r="AE223" s="452" t="e">
        <f t="shared" si="27"/>
        <v>#DIV/0!</v>
      </c>
      <c r="AF223" s="452" t="e">
        <f t="shared" si="28"/>
        <v>#DIV/0!</v>
      </c>
    </row>
    <row r="224" spans="1:32" s="642" customFormat="1" outlineLevel="1">
      <c r="A224" s="636" t="s">
        <v>307</v>
      </c>
      <c r="B224" s="637">
        <v>2035</v>
      </c>
      <c r="C224" s="451">
        <v>0</v>
      </c>
      <c r="D224" s="451">
        <v>0</v>
      </c>
      <c r="E224" s="451">
        <v>0</v>
      </c>
      <c r="F224" s="451"/>
      <c r="G224" s="451">
        <v>0</v>
      </c>
      <c r="H224" s="451">
        <v>0</v>
      </c>
      <c r="I224" s="451">
        <v>0</v>
      </c>
      <c r="J224" s="301"/>
      <c r="K224" s="301"/>
      <c r="L224" s="301"/>
      <c r="M224" s="301"/>
      <c r="Q224" s="300">
        <f t="shared" si="26"/>
        <v>0</v>
      </c>
      <c r="S224" s="300">
        <f t="shared" si="23"/>
        <v>0</v>
      </c>
      <c r="T224" s="300">
        <f t="shared" si="24"/>
        <v>0</v>
      </c>
      <c r="U224" s="300">
        <f t="shared" si="25"/>
        <v>0</v>
      </c>
      <c r="V224" s="300">
        <v>-1541.3891482203535</v>
      </c>
      <c r="W224" s="300">
        <v>-5201.2897037572202</v>
      </c>
      <c r="X224" s="300">
        <v>-6742.6788519775737</v>
      </c>
      <c r="Z224" s="300">
        <v>0</v>
      </c>
      <c r="AA224" s="258"/>
      <c r="AB224" s="300">
        <v>0</v>
      </c>
      <c r="AC224" s="300">
        <v>-6742.6788519775737</v>
      </c>
      <c r="AE224" s="452" t="e">
        <f t="shared" si="27"/>
        <v>#DIV/0!</v>
      </c>
      <c r="AF224" s="452" t="e">
        <f t="shared" si="28"/>
        <v>#DIV/0!</v>
      </c>
    </row>
    <row r="225" spans="1:32" s="642" customFormat="1" outlineLevel="1">
      <c r="A225" s="636" t="s">
        <v>308</v>
      </c>
      <c r="B225" s="637">
        <v>2035</v>
      </c>
      <c r="C225" s="451">
        <v>0</v>
      </c>
      <c r="D225" s="451">
        <v>0</v>
      </c>
      <c r="E225" s="451">
        <v>0</v>
      </c>
      <c r="F225" s="451"/>
      <c r="G225" s="451">
        <v>0</v>
      </c>
      <c r="H225" s="451">
        <v>0</v>
      </c>
      <c r="I225" s="451">
        <v>0</v>
      </c>
      <c r="J225" s="301"/>
      <c r="K225" s="301"/>
      <c r="L225" s="301"/>
      <c r="M225" s="301"/>
      <c r="Q225" s="300">
        <f t="shared" si="26"/>
        <v>0</v>
      </c>
      <c r="S225" s="300">
        <f t="shared" si="23"/>
        <v>0</v>
      </c>
      <c r="T225" s="300">
        <f t="shared" si="24"/>
        <v>0</v>
      </c>
      <c r="U225" s="300">
        <f t="shared" si="25"/>
        <v>0</v>
      </c>
      <c r="V225" s="300">
        <v>-1541.3891482203535</v>
      </c>
      <c r="W225" s="300">
        <v>-5201.2897037572202</v>
      </c>
      <c r="X225" s="300">
        <v>-6742.6788519775737</v>
      </c>
      <c r="Z225" s="300">
        <v>0</v>
      </c>
      <c r="AA225" s="258"/>
      <c r="AB225" s="300">
        <v>0</v>
      </c>
      <c r="AC225" s="300">
        <v>-6742.6788519775737</v>
      </c>
      <c r="AE225" s="452" t="e">
        <f t="shared" si="27"/>
        <v>#DIV/0!</v>
      </c>
      <c r="AF225" s="452" t="e">
        <f t="shared" si="28"/>
        <v>#DIV/0!</v>
      </c>
    </row>
    <row r="226" spans="1:32" s="642" customFormat="1" outlineLevel="1">
      <c r="A226" s="636" t="s">
        <v>309</v>
      </c>
      <c r="B226" s="637">
        <v>2035</v>
      </c>
      <c r="C226" s="451">
        <v>0</v>
      </c>
      <c r="D226" s="451">
        <v>0</v>
      </c>
      <c r="E226" s="451">
        <v>0</v>
      </c>
      <c r="F226" s="451"/>
      <c r="G226" s="451">
        <v>0</v>
      </c>
      <c r="H226" s="451">
        <v>0</v>
      </c>
      <c r="I226" s="451">
        <v>0</v>
      </c>
      <c r="J226" s="301"/>
      <c r="K226" s="301"/>
      <c r="L226" s="301"/>
      <c r="M226" s="301"/>
      <c r="Q226" s="300">
        <f t="shared" si="26"/>
        <v>0</v>
      </c>
      <c r="S226" s="300">
        <f t="shared" si="23"/>
        <v>0</v>
      </c>
      <c r="T226" s="300">
        <f t="shared" si="24"/>
        <v>0</v>
      </c>
      <c r="U226" s="300">
        <f t="shared" si="25"/>
        <v>0</v>
      </c>
      <c r="V226" s="300">
        <v>-1541.3891482203535</v>
      </c>
      <c r="W226" s="300">
        <v>-5201.2897037572202</v>
      </c>
      <c r="X226" s="300">
        <v>-6742.6788519775737</v>
      </c>
      <c r="Z226" s="300">
        <v>0</v>
      </c>
      <c r="AA226" s="258"/>
      <c r="AB226" s="300">
        <v>0</v>
      </c>
      <c r="AC226" s="300">
        <v>-6742.6788519775737</v>
      </c>
      <c r="AE226" s="452" t="e">
        <f t="shared" si="27"/>
        <v>#DIV/0!</v>
      </c>
      <c r="AF226" s="452" t="e">
        <f t="shared" si="28"/>
        <v>#DIV/0!</v>
      </c>
    </row>
    <row r="227" spans="1:32" s="642" customFormat="1" outlineLevel="1">
      <c r="A227" s="636" t="s">
        <v>298</v>
      </c>
      <c r="B227" s="637">
        <v>2035</v>
      </c>
      <c r="C227" s="451">
        <v>0</v>
      </c>
      <c r="D227" s="451">
        <v>0</v>
      </c>
      <c r="E227" s="451">
        <v>0</v>
      </c>
      <c r="F227" s="451"/>
      <c r="G227" s="451">
        <v>0</v>
      </c>
      <c r="H227" s="451">
        <v>0</v>
      </c>
      <c r="I227" s="451">
        <v>0</v>
      </c>
      <c r="J227" s="301"/>
      <c r="K227" s="301"/>
      <c r="L227" s="301"/>
      <c r="M227" s="301"/>
      <c r="Q227" s="300">
        <f t="shared" si="26"/>
        <v>0</v>
      </c>
      <c r="S227" s="300">
        <f t="shared" si="23"/>
        <v>0</v>
      </c>
      <c r="T227" s="300">
        <f t="shared" si="24"/>
        <v>0</v>
      </c>
      <c r="U227" s="300">
        <f t="shared" si="25"/>
        <v>0</v>
      </c>
      <c r="V227" s="300">
        <v>-1541.3891482203535</v>
      </c>
      <c r="W227" s="300">
        <v>-5201.2897037572202</v>
      </c>
      <c r="X227" s="300">
        <v>-6742.6788519775737</v>
      </c>
      <c r="Z227" s="300">
        <v>0</v>
      </c>
      <c r="AA227" s="258"/>
      <c r="AB227" s="300">
        <v>0</v>
      </c>
      <c r="AC227" s="300">
        <v>-6742.6788519775737</v>
      </c>
      <c r="AE227" s="452" t="e">
        <f t="shared" si="27"/>
        <v>#DIV/0!</v>
      </c>
      <c r="AF227" s="452" t="e">
        <f t="shared" si="28"/>
        <v>#DIV/0!</v>
      </c>
    </row>
    <row r="228" spans="1:32" s="642" customFormat="1" outlineLevel="1">
      <c r="A228" s="636" t="s">
        <v>299</v>
      </c>
      <c r="B228" s="637">
        <v>2035</v>
      </c>
      <c r="C228" s="451">
        <v>0</v>
      </c>
      <c r="D228" s="451">
        <v>0</v>
      </c>
      <c r="E228" s="451">
        <v>0</v>
      </c>
      <c r="F228" s="451"/>
      <c r="G228" s="451">
        <v>0</v>
      </c>
      <c r="H228" s="451">
        <v>0</v>
      </c>
      <c r="I228" s="451">
        <v>0</v>
      </c>
      <c r="J228" s="301"/>
      <c r="K228" s="301"/>
      <c r="L228" s="301"/>
      <c r="M228" s="301"/>
      <c r="Q228" s="300">
        <f t="shared" si="26"/>
        <v>0</v>
      </c>
      <c r="S228" s="300">
        <f t="shared" si="23"/>
        <v>0</v>
      </c>
      <c r="T228" s="300">
        <f t="shared" si="24"/>
        <v>0</v>
      </c>
      <c r="U228" s="300">
        <f t="shared" si="25"/>
        <v>0</v>
      </c>
      <c r="V228" s="300">
        <v>-1541.3891482203535</v>
      </c>
      <c r="W228" s="300">
        <v>-5201.2897037572202</v>
      </c>
      <c r="X228" s="300">
        <v>-6742.6788519775737</v>
      </c>
      <c r="Z228" s="300">
        <v>0</v>
      </c>
      <c r="AA228" s="258"/>
      <c r="AB228" s="300">
        <v>0</v>
      </c>
      <c r="AC228" s="300">
        <v>-6742.6788519775737</v>
      </c>
      <c r="AE228" s="452" t="e">
        <f t="shared" si="27"/>
        <v>#DIV/0!</v>
      </c>
      <c r="AF228" s="452" t="e">
        <f t="shared" si="28"/>
        <v>#DIV/0!</v>
      </c>
    </row>
    <row r="229" spans="1:32" s="642" customFormat="1" outlineLevel="1">
      <c r="A229" s="636" t="s">
        <v>300</v>
      </c>
      <c r="B229" s="637">
        <v>2035</v>
      </c>
      <c r="C229" s="451">
        <v>0</v>
      </c>
      <c r="D229" s="451">
        <v>0</v>
      </c>
      <c r="E229" s="451">
        <v>0</v>
      </c>
      <c r="F229" s="451"/>
      <c r="G229" s="451">
        <v>0</v>
      </c>
      <c r="H229" s="451">
        <v>0</v>
      </c>
      <c r="I229" s="451">
        <v>0</v>
      </c>
      <c r="J229" s="301"/>
      <c r="K229" s="301"/>
      <c r="L229" s="301"/>
      <c r="M229" s="301"/>
      <c r="Q229" s="300">
        <f t="shared" si="26"/>
        <v>0</v>
      </c>
      <c r="S229" s="300">
        <f t="shared" ref="S229:S292" si="29">E229*(($V$13+$V$14)/12)</f>
        <v>0</v>
      </c>
      <c r="T229" s="300">
        <f t="shared" ref="T229:T292" si="30">E229*($AA$16/12)</f>
        <v>0</v>
      </c>
      <c r="U229" s="300">
        <f t="shared" ref="U229:U292" si="31">E229*($V$15/12)</f>
        <v>0</v>
      </c>
      <c r="V229" s="300">
        <v>-1541.3891482203535</v>
      </c>
      <c r="W229" s="300">
        <v>-5201.2897037572202</v>
      </c>
      <c r="X229" s="300">
        <v>-6742.6788519775737</v>
      </c>
      <c r="Z229" s="300">
        <v>0</v>
      </c>
      <c r="AA229" s="258"/>
      <c r="AB229" s="300">
        <v>0</v>
      </c>
      <c r="AC229" s="300">
        <v>-6742.6788519775737</v>
      </c>
      <c r="AE229" s="452" t="e">
        <f t="shared" si="27"/>
        <v>#DIV/0!</v>
      </c>
      <c r="AF229" s="452" t="e">
        <f t="shared" si="28"/>
        <v>#DIV/0!</v>
      </c>
    </row>
    <row r="230" spans="1:32" s="642" customFormat="1" outlineLevel="1">
      <c r="A230" s="636" t="s">
        <v>301</v>
      </c>
      <c r="B230" s="637">
        <v>2036</v>
      </c>
      <c r="C230" s="451">
        <v>0</v>
      </c>
      <c r="D230" s="451">
        <v>0</v>
      </c>
      <c r="E230" s="451">
        <v>0</v>
      </c>
      <c r="F230" s="451"/>
      <c r="G230" s="451">
        <v>0</v>
      </c>
      <c r="H230" s="451">
        <v>0</v>
      </c>
      <c r="I230" s="451">
        <v>0</v>
      </c>
      <c r="J230" s="301"/>
      <c r="K230" s="301"/>
      <c r="L230" s="301"/>
      <c r="M230" s="301"/>
      <c r="Q230" s="300">
        <f t="shared" si="26"/>
        <v>0</v>
      </c>
      <c r="S230" s="300">
        <f t="shared" si="29"/>
        <v>0</v>
      </c>
      <c r="T230" s="300">
        <f t="shared" si="30"/>
        <v>0</v>
      </c>
      <c r="U230" s="300">
        <f t="shared" si="31"/>
        <v>0</v>
      </c>
      <c r="V230" s="300">
        <v>-1541.3891482203535</v>
      </c>
      <c r="W230" s="300">
        <v>-5201.2897037572202</v>
      </c>
      <c r="X230" s="300">
        <v>-6742.6788519775737</v>
      </c>
      <c r="Z230" s="300">
        <v>0</v>
      </c>
      <c r="AA230" s="258"/>
      <c r="AB230" s="300">
        <v>0</v>
      </c>
      <c r="AC230" s="300">
        <v>-6742.6788519775737</v>
      </c>
      <c r="AE230" s="452" t="e">
        <f t="shared" si="27"/>
        <v>#DIV/0!</v>
      </c>
      <c r="AF230" s="452" t="e">
        <f t="shared" si="28"/>
        <v>#DIV/0!</v>
      </c>
    </row>
    <row r="231" spans="1:32" s="642" customFormat="1" outlineLevel="1">
      <c r="A231" s="636" t="s">
        <v>302</v>
      </c>
      <c r="B231" s="637">
        <v>2036</v>
      </c>
      <c r="C231" s="451">
        <v>0</v>
      </c>
      <c r="D231" s="451">
        <v>0</v>
      </c>
      <c r="E231" s="451">
        <v>0</v>
      </c>
      <c r="F231" s="451"/>
      <c r="G231" s="451">
        <v>0</v>
      </c>
      <c r="H231" s="451">
        <v>0</v>
      </c>
      <c r="I231" s="451">
        <v>0</v>
      </c>
      <c r="J231" s="301"/>
      <c r="K231" s="301"/>
      <c r="L231" s="301"/>
      <c r="M231" s="301"/>
      <c r="Q231" s="300">
        <f t="shared" si="26"/>
        <v>0</v>
      </c>
      <c r="S231" s="300">
        <f t="shared" si="29"/>
        <v>0</v>
      </c>
      <c r="T231" s="300">
        <f t="shared" si="30"/>
        <v>0</v>
      </c>
      <c r="U231" s="300">
        <f t="shared" si="31"/>
        <v>0</v>
      </c>
      <c r="V231" s="300">
        <v>-1541.3891482203535</v>
      </c>
      <c r="W231" s="300">
        <v>-5201.2897037572202</v>
      </c>
      <c r="X231" s="300">
        <v>-6742.6788519775737</v>
      </c>
      <c r="Z231" s="300">
        <v>0</v>
      </c>
      <c r="AA231" s="258"/>
      <c r="AB231" s="300">
        <v>0</v>
      </c>
      <c r="AC231" s="300">
        <v>-6742.6788519775737</v>
      </c>
      <c r="AE231" s="452" t="e">
        <f t="shared" si="27"/>
        <v>#DIV/0!</v>
      </c>
      <c r="AF231" s="452" t="e">
        <f t="shared" si="28"/>
        <v>#DIV/0!</v>
      </c>
    </row>
    <row r="232" spans="1:32" s="642" customFormat="1" outlineLevel="1">
      <c r="A232" s="636" t="s">
        <v>303</v>
      </c>
      <c r="B232" s="637">
        <v>2036</v>
      </c>
      <c r="C232" s="451">
        <v>0</v>
      </c>
      <c r="D232" s="451">
        <v>0</v>
      </c>
      <c r="E232" s="451">
        <v>0</v>
      </c>
      <c r="F232" s="451"/>
      <c r="G232" s="451">
        <v>0</v>
      </c>
      <c r="H232" s="451">
        <v>0</v>
      </c>
      <c r="I232" s="451">
        <v>0</v>
      </c>
      <c r="J232" s="301"/>
      <c r="K232" s="301"/>
      <c r="L232" s="301"/>
      <c r="M232" s="301"/>
      <c r="Q232" s="300">
        <f t="shared" si="26"/>
        <v>0</v>
      </c>
      <c r="S232" s="300">
        <f t="shared" si="29"/>
        <v>0</v>
      </c>
      <c r="T232" s="300">
        <f t="shared" si="30"/>
        <v>0</v>
      </c>
      <c r="U232" s="300">
        <f t="shared" si="31"/>
        <v>0</v>
      </c>
      <c r="V232" s="300">
        <v>-1541.3891482203535</v>
      </c>
      <c r="W232" s="300">
        <v>-5201.2897037572202</v>
      </c>
      <c r="X232" s="300">
        <v>-6742.6788519775737</v>
      </c>
      <c r="Z232" s="300">
        <v>0</v>
      </c>
      <c r="AA232" s="258"/>
      <c r="AB232" s="300">
        <v>0</v>
      </c>
      <c r="AC232" s="300">
        <v>-6742.6788519775737</v>
      </c>
      <c r="AE232" s="452" t="e">
        <f t="shared" si="27"/>
        <v>#DIV/0!</v>
      </c>
      <c r="AF232" s="452" t="e">
        <f t="shared" si="28"/>
        <v>#DIV/0!</v>
      </c>
    </row>
    <row r="233" spans="1:32" s="642" customFormat="1" outlineLevel="1">
      <c r="A233" s="636" t="s">
        <v>304</v>
      </c>
      <c r="B233" s="637">
        <v>2036</v>
      </c>
      <c r="C233" s="451">
        <v>0</v>
      </c>
      <c r="D233" s="451">
        <v>0</v>
      </c>
      <c r="E233" s="451">
        <v>0</v>
      </c>
      <c r="F233" s="451"/>
      <c r="G233" s="451">
        <v>0</v>
      </c>
      <c r="H233" s="451">
        <v>0</v>
      </c>
      <c r="I233" s="451">
        <v>0</v>
      </c>
      <c r="J233" s="301"/>
      <c r="K233" s="301"/>
      <c r="L233" s="301"/>
      <c r="M233" s="301"/>
      <c r="Q233" s="300">
        <f t="shared" si="26"/>
        <v>0</v>
      </c>
      <c r="S233" s="300">
        <f t="shared" si="29"/>
        <v>0</v>
      </c>
      <c r="T233" s="300">
        <f t="shared" si="30"/>
        <v>0</v>
      </c>
      <c r="U233" s="300">
        <f t="shared" si="31"/>
        <v>0</v>
      </c>
      <c r="V233" s="300">
        <v>-1541.3891482203535</v>
      </c>
      <c r="W233" s="300">
        <v>-5201.2897037572202</v>
      </c>
      <c r="X233" s="300">
        <v>-6742.6788519775737</v>
      </c>
      <c r="Z233" s="300">
        <v>0</v>
      </c>
      <c r="AA233" s="258"/>
      <c r="AB233" s="300">
        <v>0</v>
      </c>
      <c r="AC233" s="300">
        <v>-6742.6788519775737</v>
      </c>
      <c r="AE233" s="452" t="e">
        <f t="shared" si="27"/>
        <v>#DIV/0!</v>
      </c>
      <c r="AF233" s="452" t="e">
        <f t="shared" si="28"/>
        <v>#DIV/0!</v>
      </c>
    </row>
    <row r="234" spans="1:32" s="642" customFormat="1" outlineLevel="1">
      <c r="A234" s="636" t="s">
        <v>305</v>
      </c>
      <c r="B234" s="637">
        <v>2036</v>
      </c>
      <c r="C234" s="451">
        <v>0</v>
      </c>
      <c r="D234" s="451">
        <v>0</v>
      </c>
      <c r="E234" s="451">
        <v>0</v>
      </c>
      <c r="F234" s="451"/>
      <c r="G234" s="451">
        <v>0</v>
      </c>
      <c r="H234" s="451">
        <v>0</v>
      </c>
      <c r="I234" s="451">
        <v>0</v>
      </c>
      <c r="J234" s="301"/>
      <c r="K234" s="301"/>
      <c r="L234" s="301"/>
      <c r="M234" s="301"/>
      <c r="Q234" s="300">
        <f t="shared" si="26"/>
        <v>0</v>
      </c>
      <c r="S234" s="300">
        <f t="shared" si="29"/>
        <v>0</v>
      </c>
      <c r="T234" s="300">
        <f t="shared" si="30"/>
        <v>0</v>
      </c>
      <c r="U234" s="300">
        <f t="shared" si="31"/>
        <v>0</v>
      </c>
      <c r="V234" s="300">
        <v>-1541.3891482203535</v>
      </c>
      <c r="W234" s="300">
        <v>-5201.2897037572202</v>
      </c>
      <c r="X234" s="300">
        <v>-6742.6788519775737</v>
      </c>
      <c r="Z234" s="300">
        <v>0</v>
      </c>
      <c r="AA234" s="258"/>
      <c r="AB234" s="300">
        <v>0</v>
      </c>
      <c r="AC234" s="300">
        <v>-6742.6788519775737</v>
      </c>
      <c r="AE234" s="452" t="e">
        <f t="shared" si="27"/>
        <v>#DIV/0!</v>
      </c>
      <c r="AF234" s="452" t="e">
        <f t="shared" si="28"/>
        <v>#DIV/0!</v>
      </c>
    </row>
    <row r="235" spans="1:32" s="642" customFormat="1" outlineLevel="1">
      <c r="A235" s="636" t="s">
        <v>306</v>
      </c>
      <c r="B235" s="637">
        <v>2036</v>
      </c>
      <c r="C235" s="451">
        <v>0</v>
      </c>
      <c r="D235" s="451">
        <v>0</v>
      </c>
      <c r="E235" s="451">
        <v>0</v>
      </c>
      <c r="F235" s="451"/>
      <c r="G235" s="451">
        <v>0</v>
      </c>
      <c r="H235" s="451">
        <v>0</v>
      </c>
      <c r="I235" s="451">
        <v>0</v>
      </c>
      <c r="J235" s="301"/>
      <c r="K235" s="301"/>
      <c r="L235" s="301"/>
      <c r="M235" s="301"/>
      <c r="Q235" s="300">
        <f t="shared" si="26"/>
        <v>0</v>
      </c>
      <c r="S235" s="300">
        <f t="shared" si="29"/>
        <v>0</v>
      </c>
      <c r="T235" s="300">
        <f t="shared" si="30"/>
        <v>0</v>
      </c>
      <c r="U235" s="300">
        <f t="shared" si="31"/>
        <v>0</v>
      </c>
      <c r="V235" s="300">
        <v>-1541.3891482203535</v>
      </c>
      <c r="W235" s="300">
        <v>-5201.2897037572202</v>
      </c>
      <c r="X235" s="300">
        <v>-6742.6788519775737</v>
      </c>
      <c r="Z235" s="300">
        <v>0</v>
      </c>
      <c r="AA235" s="258"/>
      <c r="AB235" s="300">
        <v>0</v>
      </c>
      <c r="AC235" s="300">
        <v>-6742.6788519775737</v>
      </c>
      <c r="AE235" s="452" t="e">
        <f t="shared" si="27"/>
        <v>#DIV/0!</v>
      </c>
      <c r="AF235" s="452" t="e">
        <f t="shared" si="28"/>
        <v>#DIV/0!</v>
      </c>
    </row>
    <row r="236" spans="1:32" s="642" customFormat="1" outlineLevel="1">
      <c r="A236" s="636" t="s">
        <v>307</v>
      </c>
      <c r="B236" s="637">
        <v>2036</v>
      </c>
      <c r="C236" s="451">
        <v>0</v>
      </c>
      <c r="D236" s="451">
        <v>0</v>
      </c>
      <c r="E236" s="451">
        <v>0</v>
      </c>
      <c r="F236" s="451"/>
      <c r="G236" s="451">
        <v>0</v>
      </c>
      <c r="H236" s="451">
        <v>0</v>
      </c>
      <c r="I236" s="451">
        <v>0</v>
      </c>
      <c r="J236" s="301"/>
      <c r="K236" s="301"/>
      <c r="L236" s="301"/>
      <c r="M236" s="301"/>
      <c r="Q236" s="300">
        <f t="shared" si="26"/>
        <v>0</v>
      </c>
      <c r="S236" s="300">
        <f t="shared" si="29"/>
        <v>0</v>
      </c>
      <c r="T236" s="300">
        <f t="shared" si="30"/>
        <v>0</v>
      </c>
      <c r="U236" s="300">
        <f t="shared" si="31"/>
        <v>0</v>
      </c>
      <c r="V236" s="300">
        <v>-1541.3891482203535</v>
      </c>
      <c r="W236" s="300">
        <v>-5201.2897037572202</v>
      </c>
      <c r="X236" s="300">
        <v>-6742.6788519775737</v>
      </c>
      <c r="Z236" s="300">
        <v>0</v>
      </c>
      <c r="AA236" s="258"/>
      <c r="AB236" s="300">
        <v>0</v>
      </c>
      <c r="AC236" s="300">
        <v>-6742.6788519775737</v>
      </c>
      <c r="AE236" s="452" t="e">
        <f t="shared" si="27"/>
        <v>#DIV/0!</v>
      </c>
      <c r="AF236" s="452" t="e">
        <f t="shared" si="28"/>
        <v>#DIV/0!</v>
      </c>
    </row>
    <row r="237" spans="1:32" s="642" customFormat="1" outlineLevel="1">
      <c r="A237" s="636" t="s">
        <v>308</v>
      </c>
      <c r="B237" s="637">
        <v>2036</v>
      </c>
      <c r="C237" s="451">
        <v>0</v>
      </c>
      <c r="D237" s="451">
        <v>0</v>
      </c>
      <c r="E237" s="451">
        <v>0</v>
      </c>
      <c r="F237" s="451"/>
      <c r="G237" s="451">
        <v>0</v>
      </c>
      <c r="H237" s="451">
        <v>0</v>
      </c>
      <c r="I237" s="451">
        <v>0</v>
      </c>
      <c r="J237" s="301"/>
      <c r="K237" s="301"/>
      <c r="L237" s="301"/>
      <c r="M237" s="301"/>
      <c r="Q237" s="300">
        <f t="shared" si="26"/>
        <v>0</v>
      </c>
      <c r="S237" s="300">
        <f t="shared" si="29"/>
        <v>0</v>
      </c>
      <c r="T237" s="300">
        <f t="shared" si="30"/>
        <v>0</v>
      </c>
      <c r="U237" s="300">
        <f t="shared" si="31"/>
        <v>0</v>
      </c>
      <c r="V237" s="300">
        <v>-1541.3891482203535</v>
      </c>
      <c r="W237" s="300">
        <v>-5201.2897037572202</v>
      </c>
      <c r="X237" s="300">
        <v>-6742.6788519775737</v>
      </c>
      <c r="Z237" s="300">
        <v>0</v>
      </c>
      <c r="AA237" s="258"/>
      <c r="AB237" s="300">
        <v>0</v>
      </c>
      <c r="AC237" s="300">
        <v>-6742.6788519775737</v>
      </c>
      <c r="AE237" s="452" t="e">
        <f t="shared" si="27"/>
        <v>#DIV/0!</v>
      </c>
      <c r="AF237" s="452" t="e">
        <f t="shared" si="28"/>
        <v>#DIV/0!</v>
      </c>
    </row>
    <row r="238" spans="1:32" s="642" customFormat="1" outlineLevel="1">
      <c r="A238" s="636" t="s">
        <v>309</v>
      </c>
      <c r="B238" s="637">
        <v>2036</v>
      </c>
      <c r="C238" s="451">
        <v>0</v>
      </c>
      <c r="D238" s="451">
        <v>0</v>
      </c>
      <c r="E238" s="451">
        <v>0</v>
      </c>
      <c r="F238" s="451"/>
      <c r="G238" s="451">
        <v>0</v>
      </c>
      <c r="H238" s="451">
        <v>0</v>
      </c>
      <c r="I238" s="451">
        <v>0</v>
      </c>
      <c r="J238" s="301"/>
      <c r="K238" s="301"/>
      <c r="L238" s="301"/>
      <c r="M238" s="301"/>
      <c r="Q238" s="300">
        <f t="shared" si="26"/>
        <v>0</v>
      </c>
      <c r="S238" s="300">
        <f t="shared" si="29"/>
        <v>0</v>
      </c>
      <c r="T238" s="300">
        <f t="shared" si="30"/>
        <v>0</v>
      </c>
      <c r="U238" s="300">
        <f t="shared" si="31"/>
        <v>0</v>
      </c>
      <c r="V238" s="300">
        <v>-1541.3891482203535</v>
      </c>
      <c r="W238" s="300">
        <v>-5201.2897037572202</v>
      </c>
      <c r="X238" s="300">
        <v>-6742.6788519775737</v>
      </c>
      <c r="Z238" s="300">
        <v>0</v>
      </c>
      <c r="AA238" s="258"/>
      <c r="AB238" s="300">
        <v>0</v>
      </c>
      <c r="AC238" s="300">
        <v>-6742.6788519775737</v>
      </c>
      <c r="AE238" s="452" t="e">
        <f t="shared" si="27"/>
        <v>#DIV/0!</v>
      </c>
      <c r="AF238" s="452" t="e">
        <f t="shared" si="28"/>
        <v>#DIV/0!</v>
      </c>
    </row>
    <row r="239" spans="1:32" s="642" customFormat="1" outlineLevel="1">
      <c r="A239" s="636" t="s">
        <v>298</v>
      </c>
      <c r="B239" s="637">
        <v>2036</v>
      </c>
      <c r="C239" s="451">
        <v>0</v>
      </c>
      <c r="D239" s="451">
        <v>0</v>
      </c>
      <c r="E239" s="451">
        <v>0</v>
      </c>
      <c r="F239" s="451"/>
      <c r="G239" s="451">
        <v>0</v>
      </c>
      <c r="H239" s="451">
        <v>0</v>
      </c>
      <c r="I239" s="451">
        <v>0</v>
      </c>
      <c r="J239" s="301"/>
      <c r="K239" s="301"/>
      <c r="L239" s="301"/>
      <c r="M239" s="301"/>
      <c r="Q239" s="300">
        <f t="shared" si="26"/>
        <v>0</v>
      </c>
      <c r="S239" s="300">
        <f t="shared" si="29"/>
        <v>0</v>
      </c>
      <c r="T239" s="300">
        <f t="shared" si="30"/>
        <v>0</v>
      </c>
      <c r="U239" s="300">
        <f t="shared" si="31"/>
        <v>0</v>
      </c>
      <c r="V239" s="300">
        <v>-1541.3891482203535</v>
      </c>
      <c r="W239" s="300">
        <v>-5201.2897037572202</v>
      </c>
      <c r="X239" s="300">
        <v>-6742.6788519775737</v>
      </c>
      <c r="Z239" s="300">
        <v>0</v>
      </c>
      <c r="AA239" s="258"/>
      <c r="AB239" s="300">
        <v>0</v>
      </c>
      <c r="AC239" s="300">
        <v>-6742.6788519775737</v>
      </c>
      <c r="AE239" s="452" t="e">
        <f t="shared" si="27"/>
        <v>#DIV/0!</v>
      </c>
      <c r="AF239" s="452" t="e">
        <f t="shared" si="28"/>
        <v>#DIV/0!</v>
      </c>
    </row>
    <row r="240" spans="1:32" s="642" customFormat="1" outlineLevel="1">
      <c r="A240" s="636" t="s">
        <v>299</v>
      </c>
      <c r="B240" s="637">
        <v>2036</v>
      </c>
      <c r="C240" s="451">
        <v>0</v>
      </c>
      <c r="D240" s="451">
        <v>0</v>
      </c>
      <c r="E240" s="451">
        <v>0</v>
      </c>
      <c r="F240" s="451"/>
      <c r="G240" s="451">
        <v>0</v>
      </c>
      <c r="H240" s="451">
        <v>0</v>
      </c>
      <c r="I240" s="451">
        <v>0</v>
      </c>
      <c r="J240" s="301"/>
      <c r="K240" s="301"/>
      <c r="L240" s="301"/>
      <c r="M240" s="301"/>
      <c r="Q240" s="300">
        <f t="shared" si="26"/>
        <v>0</v>
      </c>
      <c r="S240" s="300">
        <f t="shared" si="29"/>
        <v>0</v>
      </c>
      <c r="T240" s="300">
        <f t="shared" si="30"/>
        <v>0</v>
      </c>
      <c r="U240" s="300">
        <f t="shared" si="31"/>
        <v>0</v>
      </c>
      <c r="V240" s="300">
        <v>-1541.3891482203535</v>
      </c>
      <c r="W240" s="300">
        <v>-5201.2897037572202</v>
      </c>
      <c r="X240" s="300">
        <v>-6742.6788519775737</v>
      </c>
      <c r="Z240" s="300">
        <v>0</v>
      </c>
      <c r="AA240" s="258"/>
      <c r="AB240" s="300">
        <v>0</v>
      </c>
      <c r="AC240" s="300">
        <v>-6742.6788519775737</v>
      </c>
      <c r="AE240" s="452" t="e">
        <f t="shared" si="27"/>
        <v>#DIV/0!</v>
      </c>
      <c r="AF240" s="452" t="e">
        <f t="shared" si="28"/>
        <v>#DIV/0!</v>
      </c>
    </row>
    <row r="241" spans="1:32" s="642" customFormat="1" outlineLevel="1">
      <c r="A241" s="636" t="s">
        <v>300</v>
      </c>
      <c r="B241" s="637">
        <v>2036</v>
      </c>
      <c r="C241" s="451">
        <v>0</v>
      </c>
      <c r="D241" s="451">
        <v>0</v>
      </c>
      <c r="E241" s="451">
        <v>0</v>
      </c>
      <c r="F241" s="451"/>
      <c r="G241" s="451">
        <v>0</v>
      </c>
      <c r="H241" s="451">
        <v>0</v>
      </c>
      <c r="I241" s="451">
        <v>0</v>
      </c>
      <c r="J241" s="301"/>
      <c r="K241" s="301"/>
      <c r="L241" s="301"/>
      <c r="M241" s="301"/>
      <c r="Q241" s="300">
        <f t="shared" si="26"/>
        <v>0</v>
      </c>
      <c r="S241" s="300">
        <f t="shared" si="29"/>
        <v>0</v>
      </c>
      <c r="T241" s="300">
        <f t="shared" si="30"/>
        <v>0</v>
      </c>
      <c r="U241" s="300">
        <f t="shared" si="31"/>
        <v>0</v>
      </c>
      <c r="V241" s="300">
        <v>-1541.3891482203535</v>
      </c>
      <c r="W241" s="300">
        <v>-5201.2897037572202</v>
      </c>
      <c r="X241" s="300">
        <v>-6742.6788519775737</v>
      </c>
      <c r="Z241" s="300">
        <v>0</v>
      </c>
      <c r="AA241" s="258"/>
      <c r="AB241" s="300">
        <v>0</v>
      </c>
      <c r="AC241" s="300">
        <v>-6742.6788519775737</v>
      </c>
      <c r="AE241" s="452" t="e">
        <f t="shared" si="27"/>
        <v>#DIV/0!</v>
      </c>
      <c r="AF241" s="452" t="e">
        <f t="shared" si="28"/>
        <v>#DIV/0!</v>
      </c>
    </row>
    <row r="242" spans="1:32" s="642" customFormat="1" outlineLevel="1">
      <c r="A242" s="636" t="s">
        <v>301</v>
      </c>
      <c r="B242" s="637">
        <v>2037</v>
      </c>
      <c r="C242" s="451">
        <v>0</v>
      </c>
      <c r="D242" s="451">
        <v>0</v>
      </c>
      <c r="E242" s="451">
        <v>0</v>
      </c>
      <c r="F242" s="451"/>
      <c r="G242" s="451">
        <v>0</v>
      </c>
      <c r="H242" s="451">
        <v>0</v>
      </c>
      <c r="I242" s="451">
        <v>0</v>
      </c>
      <c r="J242" s="301"/>
      <c r="K242" s="301"/>
      <c r="L242" s="301"/>
      <c r="M242" s="301"/>
      <c r="Q242" s="300">
        <f t="shared" si="26"/>
        <v>0</v>
      </c>
      <c r="S242" s="300">
        <f t="shared" si="29"/>
        <v>0</v>
      </c>
      <c r="T242" s="300">
        <f t="shared" si="30"/>
        <v>0</v>
      </c>
      <c r="U242" s="300">
        <f t="shared" si="31"/>
        <v>0</v>
      </c>
      <c r="V242" s="300">
        <v>-1541.3891482203535</v>
      </c>
      <c r="W242" s="300">
        <v>-5201.2897037572202</v>
      </c>
      <c r="X242" s="300">
        <v>-6742.6788519775737</v>
      </c>
      <c r="Z242" s="300">
        <v>0</v>
      </c>
      <c r="AA242" s="258"/>
      <c r="AB242" s="300">
        <v>0</v>
      </c>
      <c r="AC242" s="300">
        <v>-6742.6788519775737</v>
      </c>
      <c r="AE242" s="452" t="e">
        <f t="shared" si="27"/>
        <v>#DIV/0!</v>
      </c>
      <c r="AF242" s="452" t="e">
        <f t="shared" si="28"/>
        <v>#DIV/0!</v>
      </c>
    </row>
    <row r="243" spans="1:32" s="642" customFormat="1" outlineLevel="1">
      <c r="A243" s="636" t="s">
        <v>302</v>
      </c>
      <c r="B243" s="637">
        <v>2037</v>
      </c>
      <c r="C243" s="451">
        <v>0</v>
      </c>
      <c r="D243" s="451">
        <v>0</v>
      </c>
      <c r="E243" s="451">
        <v>0</v>
      </c>
      <c r="F243" s="451"/>
      <c r="G243" s="451">
        <v>0</v>
      </c>
      <c r="H243" s="451">
        <v>0</v>
      </c>
      <c r="I243" s="451">
        <v>0</v>
      </c>
      <c r="J243" s="301"/>
      <c r="K243" s="301"/>
      <c r="L243" s="301"/>
      <c r="M243" s="301"/>
      <c r="Q243" s="300">
        <f t="shared" si="26"/>
        <v>0</v>
      </c>
      <c r="S243" s="300">
        <f t="shared" si="29"/>
        <v>0</v>
      </c>
      <c r="T243" s="300">
        <f t="shared" si="30"/>
        <v>0</v>
      </c>
      <c r="U243" s="300">
        <f t="shared" si="31"/>
        <v>0</v>
      </c>
      <c r="V243" s="300">
        <v>-1541.3891482203535</v>
      </c>
      <c r="W243" s="300">
        <v>-5201.2897037572202</v>
      </c>
      <c r="X243" s="300">
        <v>-6742.6788519775737</v>
      </c>
      <c r="Z243" s="300">
        <v>0</v>
      </c>
      <c r="AA243" s="258"/>
      <c r="AB243" s="300">
        <v>0</v>
      </c>
      <c r="AC243" s="300">
        <v>-6742.6788519775737</v>
      </c>
      <c r="AE243" s="452" t="e">
        <f t="shared" si="27"/>
        <v>#DIV/0!</v>
      </c>
      <c r="AF243" s="452" t="e">
        <f t="shared" si="28"/>
        <v>#DIV/0!</v>
      </c>
    </row>
    <row r="244" spans="1:32" s="642" customFormat="1" outlineLevel="1">
      <c r="A244" s="636" t="s">
        <v>303</v>
      </c>
      <c r="B244" s="637">
        <v>2037</v>
      </c>
      <c r="C244" s="451">
        <v>0</v>
      </c>
      <c r="D244" s="451">
        <v>0</v>
      </c>
      <c r="E244" s="451">
        <v>0</v>
      </c>
      <c r="F244" s="451"/>
      <c r="G244" s="451">
        <v>0</v>
      </c>
      <c r="H244" s="451">
        <v>0</v>
      </c>
      <c r="I244" s="451">
        <v>0</v>
      </c>
      <c r="J244" s="301"/>
      <c r="K244" s="301"/>
      <c r="L244" s="301"/>
      <c r="M244" s="301"/>
      <c r="Q244" s="300">
        <f t="shared" si="26"/>
        <v>0</v>
      </c>
      <c r="S244" s="300">
        <f t="shared" si="29"/>
        <v>0</v>
      </c>
      <c r="T244" s="300">
        <f t="shared" si="30"/>
        <v>0</v>
      </c>
      <c r="U244" s="300">
        <f t="shared" si="31"/>
        <v>0</v>
      </c>
      <c r="V244" s="300">
        <v>-1541.3891482203535</v>
      </c>
      <c r="W244" s="300">
        <v>-5201.2897037572202</v>
      </c>
      <c r="X244" s="300">
        <v>-6742.6788519775737</v>
      </c>
      <c r="Z244" s="300">
        <v>0</v>
      </c>
      <c r="AA244" s="258"/>
      <c r="AB244" s="300">
        <v>0</v>
      </c>
      <c r="AC244" s="300">
        <v>-6742.6788519775737</v>
      </c>
      <c r="AE244" s="452" t="e">
        <f t="shared" si="27"/>
        <v>#DIV/0!</v>
      </c>
      <c r="AF244" s="452" t="e">
        <f t="shared" si="28"/>
        <v>#DIV/0!</v>
      </c>
    </row>
    <row r="245" spans="1:32" s="642" customFormat="1" outlineLevel="1">
      <c r="A245" s="636" t="s">
        <v>304</v>
      </c>
      <c r="B245" s="637">
        <v>2037</v>
      </c>
      <c r="C245" s="451">
        <v>0</v>
      </c>
      <c r="D245" s="451">
        <v>0</v>
      </c>
      <c r="E245" s="451">
        <v>0</v>
      </c>
      <c r="F245" s="451"/>
      <c r="G245" s="451">
        <v>0</v>
      </c>
      <c r="H245" s="451">
        <v>0</v>
      </c>
      <c r="I245" s="451">
        <v>0</v>
      </c>
      <c r="J245" s="301"/>
      <c r="K245" s="301"/>
      <c r="L245" s="301"/>
      <c r="M245" s="301"/>
      <c r="Q245" s="300">
        <f t="shared" si="26"/>
        <v>0</v>
      </c>
      <c r="S245" s="300">
        <f t="shared" si="29"/>
        <v>0</v>
      </c>
      <c r="T245" s="300">
        <f t="shared" si="30"/>
        <v>0</v>
      </c>
      <c r="U245" s="300">
        <f t="shared" si="31"/>
        <v>0</v>
      </c>
      <c r="V245" s="300">
        <v>-1541.3891482203535</v>
      </c>
      <c r="W245" s="300">
        <v>-5201.2897037572202</v>
      </c>
      <c r="X245" s="300">
        <v>-6742.6788519775737</v>
      </c>
      <c r="Z245" s="300">
        <v>0</v>
      </c>
      <c r="AA245" s="258"/>
      <c r="AB245" s="300">
        <v>0</v>
      </c>
      <c r="AC245" s="300">
        <v>-6742.6788519775737</v>
      </c>
      <c r="AE245" s="452" t="e">
        <f t="shared" si="27"/>
        <v>#DIV/0!</v>
      </c>
      <c r="AF245" s="452" t="e">
        <f t="shared" si="28"/>
        <v>#DIV/0!</v>
      </c>
    </row>
    <row r="246" spans="1:32" s="642" customFormat="1" outlineLevel="1">
      <c r="A246" s="636" t="s">
        <v>305</v>
      </c>
      <c r="B246" s="637">
        <v>2037</v>
      </c>
      <c r="C246" s="451">
        <v>0</v>
      </c>
      <c r="D246" s="451">
        <v>0</v>
      </c>
      <c r="E246" s="451">
        <v>0</v>
      </c>
      <c r="F246" s="451"/>
      <c r="G246" s="451">
        <v>0</v>
      </c>
      <c r="H246" s="451">
        <v>0</v>
      </c>
      <c r="I246" s="451">
        <v>0</v>
      </c>
      <c r="J246" s="301"/>
      <c r="K246" s="301"/>
      <c r="L246" s="301"/>
      <c r="M246" s="301"/>
      <c r="Q246" s="300">
        <f t="shared" si="26"/>
        <v>0</v>
      </c>
      <c r="S246" s="300">
        <f t="shared" si="29"/>
        <v>0</v>
      </c>
      <c r="T246" s="300">
        <f t="shared" si="30"/>
        <v>0</v>
      </c>
      <c r="U246" s="300">
        <f t="shared" si="31"/>
        <v>0</v>
      </c>
      <c r="V246" s="300">
        <v>-1541.3891482203535</v>
      </c>
      <c r="W246" s="300">
        <v>-5201.2897037572202</v>
      </c>
      <c r="X246" s="300">
        <v>-6742.6788519775737</v>
      </c>
      <c r="Z246" s="300">
        <v>0</v>
      </c>
      <c r="AA246" s="258"/>
      <c r="AB246" s="300">
        <v>0</v>
      </c>
      <c r="AC246" s="300">
        <v>-6742.6788519775737</v>
      </c>
      <c r="AE246" s="452" t="e">
        <f t="shared" si="27"/>
        <v>#DIV/0!</v>
      </c>
      <c r="AF246" s="452" t="e">
        <f t="shared" si="28"/>
        <v>#DIV/0!</v>
      </c>
    </row>
    <row r="247" spans="1:32" s="642" customFormat="1" outlineLevel="1">
      <c r="A247" s="636" t="s">
        <v>306</v>
      </c>
      <c r="B247" s="637">
        <v>2037</v>
      </c>
      <c r="C247" s="451">
        <v>0</v>
      </c>
      <c r="D247" s="451">
        <v>0</v>
      </c>
      <c r="E247" s="451">
        <v>0</v>
      </c>
      <c r="F247" s="451"/>
      <c r="G247" s="451">
        <v>0</v>
      </c>
      <c r="H247" s="451">
        <v>0</v>
      </c>
      <c r="I247" s="451">
        <v>0</v>
      </c>
      <c r="J247" s="301"/>
      <c r="K247" s="301"/>
      <c r="L247" s="301"/>
      <c r="M247" s="301"/>
      <c r="Q247" s="300">
        <f t="shared" si="26"/>
        <v>0</v>
      </c>
      <c r="S247" s="300">
        <f t="shared" si="29"/>
        <v>0</v>
      </c>
      <c r="T247" s="300">
        <f t="shared" si="30"/>
        <v>0</v>
      </c>
      <c r="U247" s="300">
        <f t="shared" si="31"/>
        <v>0</v>
      </c>
      <c r="V247" s="300">
        <v>-1541.3891482203535</v>
      </c>
      <c r="W247" s="300">
        <v>-5201.2897037572202</v>
      </c>
      <c r="X247" s="300">
        <v>-6742.6788519775737</v>
      </c>
      <c r="Z247" s="300">
        <v>0</v>
      </c>
      <c r="AA247" s="258"/>
      <c r="AB247" s="300">
        <v>0</v>
      </c>
      <c r="AC247" s="300">
        <v>-6742.6788519775737</v>
      </c>
      <c r="AE247" s="452" t="e">
        <f t="shared" si="27"/>
        <v>#DIV/0!</v>
      </c>
      <c r="AF247" s="452" t="e">
        <f t="shared" si="28"/>
        <v>#DIV/0!</v>
      </c>
    </row>
    <row r="248" spans="1:32" s="642" customFormat="1" outlineLevel="1">
      <c r="A248" s="636" t="s">
        <v>307</v>
      </c>
      <c r="B248" s="637">
        <v>2037</v>
      </c>
      <c r="C248" s="451">
        <v>0</v>
      </c>
      <c r="D248" s="451">
        <v>0</v>
      </c>
      <c r="E248" s="451">
        <v>0</v>
      </c>
      <c r="F248" s="451"/>
      <c r="G248" s="451">
        <v>0</v>
      </c>
      <c r="H248" s="451">
        <v>0</v>
      </c>
      <c r="I248" s="451">
        <v>0</v>
      </c>
      <c r="J248" s="301"/>
      <c r="K248" s="301"/>
      <c r="L248" s="301"/>
      <c r="M248" s="301"/>
      <c r="Q248" s="300">
        <f t="shared" si="26"/>
        <v>0</v>
      </c>
      <c r="S248" s="300">
        <f t="shared" si="29"/>
        <v>0</v>
      </c>
      <c r="T248" s="300">
        <f t="shared" si="30"/>
        <v>0</v>
      </c>
      <c r="U248" s="300">
        <f t="shared" si="31"/>
        <v>0</v>
      </c>
      <c r="V248" s="300">
        <v>-1541.3891482203535</v>
      </c>
      <c r="W248" s="300">
        <v>-5201.2897037572202</v>
      </c>
      <c r="X248" s="300">
        <v>-6742.6788519775737</v>
      </c>
      <c r="Z248" s="300">
        <v>0</v>
      </c>
      <c r="AA248" s="258"/>
      <c r="AB248" s="300">
        <v>0</v>
      </c>
      <c r="AC248" s="300">
        <v>-6742.6788519775737</v>
      </c>
      <c r="AE248" s="452" t="e">
        <f t="shared" si="27"/>
        <v>#DIV/0!</v>
      </c>
      <c r="AF248" s="452" t="e">
        <f t="shared" si="28"/>
        <v>#DIV/0!</v>
      </c>
    </row>
    <row r="249" spans="1:32" s="642" customFormat="1" outlineLevel="1">
      <c r="A249" s="636" t="s">
        <v>308</v>
      </c>
      <c r="B249" s="637">
        <v>2037</v>
      </c>
      <c r="C249" s="451">
        <v>0</v>
      </c>
      <c r="D249" s="451">
        <v>0</v>
      </c>
      <c r="E249" s="451">
        <v>0</v>
      </c>
      <c r="F249" s="451"/>
      <c r="G249" s="451">
        <v>0</v>
      </c>
      <c r="H249" s="451">
        <v>0</v>
      </c>
      <c r="I249" s="451">
        <v>0</v>
      </c>
      <c r="J249" s="301"/>
      <c r="K249" s="301"/>
      <c r="L249" s="301"/>
      <c r="M249" s="301"/>
      <c r="Q249" s="300">
        <f t="shared" si="26"/>
        <v>0</v>
      </c>
      <c r="S249" s="300">
        <f t="shared" si="29"/>
        <v>0</v>
      </c>
      <c r="T249" s="300">
        <f t="shared" si="30"/>
        <v>0</v>
      </c>
      <c r="U249" s="300">
        <f t="shared" si="31"/>
        <v>0</v>
      </c>
      <c r="V249" s="300">
        <v>-1541.3891482203535</v>
      </c>
      <c r="W249" s="300">
        <v>-5201.2897037572202</v>
      </c>
      <c r="X249" s="300">
        <v>-6742.6788519775737</v>
      </c>
      <c r="Z249" s="300">
        <v>0</v>
      </c>
      <c r="AA249" s="258"/>
      <c r="AB249" s="300">
        <v>0</v>
      </c>
      <c r="AC249" s="300">
        <v>-6742.6788519775737</v>
      </c>
      <c r="AE249" s="452" t="e">
        <f t="shared" si="27"/>
        <v>#DIV/0!</v>
      </c>
      <c r="AF249" s="452" t="e">
        <f t="shared" si="28"/>
        <v>#DIV/0!</v>
      </c>
    </row>
    <row r="250" spans="1:32" s="642" customFormat="1" outlineLevel="1">
      <c r="A250" s="636" t="s">
        <v>309</v>
      </c>
      <c r="B250" s="637">
        <v>2037</v>
      </c>
      <c r="C250" s="451">
        <v>0</v>
      </c>
      <c r="D250" s="451">
        <v>0</v>
      </c>
      <c r="E250" s="451">
        <v>0</v>
      </c>
      <c r="F250" s="451"/>
      <c r="G250" s="451">
        <v>0</v>
      </c>
      <c r="H250" s="451">
        <v>0</v>
      </c>
      <c r="I250" s="451">
        <v>0</v>
      </c>
      <c r="J250" s="301"/>
      <c r="K250" s="301"/>
      <c r="L250" s="301"/>
      <c r="M250" s="301"/>
      <c r="Q250" s="300">
        <f t="shared" si="26"/>
        <v>0</v>
      </c>
      <c r="S250" s="300">
        <f t="shared" si="29"/>
        <v>0</v>
      </c>
      <c r="T250" s="300">
        <f t="shared" si="30"/>
        <v>0</v>
      </c>
      <c r="U250" s="300">
        <f t="shared" si="31"/>
        <v>0</v>
      </c>
      <c r="V250" s="300">
        <v>-1541.3891482203535</v>
      </c>
      <c r="W250" s="300">
        <v>-5201.2897037572202</v>
      </c>
      <c r="X250" s="300">
        <v>-6742.6788519775737</v>
      </c>
      <c r="Z250" s="300">
        <v>0</v>
      </c>
      <c r="AA250" s="258"/>
      <c r="AB250" s="300">
        <v>0</v>
      </c>
      <c r="AC250" s="300">
        <v>-6742.6788519775737</v>
      </c>
      <c r="AE250" s="452" t="e">
        <f t="shared" si="27"/>
        <v>#DIV/0!</v>
      </c>
      <c r="AF250" s="452" t="e">
        <f t="shared" si="28"/>
        <v>#DIV/0!</v>
      </c>
    </row>
    <row r="251" spans="1:32" s="642" customFormat="1" outlineLevel="1">
      <c r="A251" s="636" t="s">
        <v>298</v>
      </c>
      <c r="B251" s="637">
        <v>2037</v>
      </c>
      <c r="C251" s="451">
        <v>0</v>
      </c>
      <c r="D251" s="451">
        <v>0</v>
      </c>
      <c r="E251" s="451">
        <v>0</v>
      </c>
      <c r="F251" s="451"/>
      <c r="G251" s="451">
        <v>0</v>
      </c>
      <c r="H251" s="451">
        <v>0</v>
      </c>
      <c r="I251" s="451">
        <v>0</v>
      </c>
      <c r="J251" s="301"/>
      <c r="K251" s="301"/>
      <c r="L251" s="301"/>
      <c r="M251" s="301"/>
      <c r="Q251" s="300">
        <f t="shared" si="26"/>
        <v>0</v>
      </c>
      <c r="S251" s="300">
        <f t="shared" si="29"/>
        <v>0</v>
      </c>
      <c r="T251" s="300">
        <f t="shared" si="30"/>
        <v>0</v>
      </c>
      <c r="U251" s="300">
        <f t="shared" si="31"/>
        <v>0</v>
      </c>
      <c r="V251" s="300">
        <v>-1541.3891482203535</v>
      </c>
      <c r="W251" s="300">
        <v>-5201.2897037572202</v>
      </c>
      <c r="X251" s="300">
        <v>-6742.6788519775737</v>
      </c>
      <c r="Z251" s="300">
        <v>0</v>
      </c>
      <c r="AA251" s="258"/>
      <c r="AB251" s="300">
        <v>0</v>
      </c>
      <c r="AC251" s="300">
        <v>-6742.6788519775737</v>
      </c>
      <c r="AE251" s="452" t="e">
        <f t="shared" si="27"/>
        <v>#DIV/0!</v>
      </c>
      <c r="AF251" s="452" t="e">
        <f t="shared" si="28"/>
        <v>#DIV/0!</v>
      </c>
    </row>
    <row r="252" spans="1:32" s="642" customFormat="1" outlineLevel="1">
      <c r="A252" s="636" t="s">
        <v>299</v>
      </c>
      <c r="B252" s="637">
        <v>2037</v>
      </c>
      <c r="C252" s="451">
        <v>0</v>
      </c>
      <c r="D252" s="451">
        <v>0</v>
      </c>
      <c r="E252" s="451">
        <v>0</v>
      </c>
      <c r="F252" s="451"/>
      <c r="G252" s="451">
        <v>0</v>
      </c>
      <c r="H252" s="451">
        <v>0</v>
      </c>
      <c r="I252" s="451">
        <v>0</v>
      </c>
      <c r="J252" s="301"/>
      <c r="K252" s="301"/>
      <c r="L252" s="301"/>
      <c r="M252" s="301"/>
      <c r="Q252" s="300">
        <f t="shared" si="26"/>
        <v>0</v>
      </c>
      <c r="S252" s="300">
        <f t="shared" si="29"/>
        <v>0</v>
      </c>
      <c r="T252" s="300">
        <f t="shared" si="30"/>
        <v>0</v>
      </c>
      <c r="U252" s="300">
        <f t="shared" si="31"/>
        <v>0</v>
      </c>
      <c r="V252" s="300">
        <v>-1541.3891482203535</v>
      </c>
      <c r="W252" s="300">
        <v>-5201.2897037572202</v>
      </c>
      <c r="X252" s="300">
        <v>-6742.6788519775737</v>
      </c>
      <c r="Z252" s="300">
        <v>0</v>
      </c>
      <c r="AA252" s="258"/>
      <c r="AB252" s="300">
        <v>0</v>
      </c>
      <c r="AC252" s="300">
        <v>-6742.6788519775737</v>
      </c>
      <c r="AE252" s="452" t="e">
        <f t="shared" si="27"/>
        <v>#DIV/0!</v>
      </c>
      <c r="AF252" s="452" t="e">
        <f t="shared" si="28"/>
        <v>#DIV/0!</v>
      </c>
    </row>
    <row r="253" spans="1:32" s="642" customFormat="1" outlineLevel="1">
      <c r="A253" s="636" t="s">
        <v>300</v>
      </c>
      <c r="B253" s="637">
        <v>2037</v>
      </c>
      <c r="C253" s="451">
        <v>0</v>
      </c>
      <c r="D253" s="451">
        <v>0</v>
      </c>
      <c r="E253" s="451">
        <v>0</v>
      </c>
      <c r="F253" s="451"/>
      <c r="G253" s="451">
        <v>0</v>
      </c>
      <c r="H253" s="451">
        <v>0</v>
      </c>
      <c r="I253" s="451">
        <v>0</v>
      </c>
      <c r="J253" s="301"/>
      <c r="K253" s="301"/>
      <c r="L253" s="301"/>
      <c r="M253" s="301"/>
      <c r="Q253" s="300">
        <f t="shared" si="26"/>
        <v>0</v>
      </c>
      <c r="S253" s="300">
        <f t="shared" si="29"/>
        <v>0</v>
      </c>
      <c r="T253" s="300">
        <f t="shared" si="30"/>
        <v>0</v>
      </c>
      <c r="U253" s="300">
        <f t="shared" si="31"/>
        <v>0</v>
      </c>
      <c r="V253" s="300">
        <v>-1541.3891482203535</v>
      </c>
      <c r="W253" s="300">
        <v>-5201.2897037572202</v>
      </c>
      <c r="X253" s="300">
        <v>-6742.6788519775737</v>
      </c>
      <c r="Z253" s="300">
        <v>0</v>
      </c>
      <c r="AA253" s="258"/>
      <c r="AB253" s="300">
        <v>0</v>
      </c>
      <c r="AC253" s="300">
        <v>-6742.6788519775737</v>
      </c>
      <c r="AE253" s="452" t="e">
        <f t="shared" si="27"/>
        <v>#DIV/0!</v>
      </c>
      <c r="AF253" s="452" t="e">
        <f t="shared" si="28"/>
        <v>#DIV/0!</v>
      </c>
    </row>
    <row r="254" spans="1:32" s="642" customFormat="1" outlineLevel="1">
      <c r="A254" s="636" t="s">
        <v>301</v>
      </c>
      <c r="B254" s="637">
        <v>2038</v>
      </c>
      <c r="C254" s="451">
        <v>0</v>
      </c>
      <c r="D254" s="451">
        <v>0</v>
      </c>
      <c r="E254" s="451">
        <v>0</v>
      </c>
      <c r="F254" s="451"/>
      <c r="G254" s="451">
        <v>0</v>
      </c>
      <c r="H254" s="451">
        <v>0</v>
      </c>
      <c r="I254" s="451">
        <v>0</v>
      </c>
      <c r="J254" s="301"/>
      <c r="K254" s="301"/>
      <c r="L254" s="301"/>
      <c r="M254" s="301"/>
      <c r="Q254" s="300">
        <f t="shared" si="26"/>
        <v>0</v>
      </c>
      <c r="S254" s="300">
        <f t="shared" si="29"/>
        <v>0</v>
      </c>
      <c r="T254" s="300">
        <f t="shared" si="30"/>
        <v>0</v>
      </c>
      <c r="U254" s="300">
        <f t="shared" si="31"/>
        <v>0</v>
      </c>
      <c r="V254" s="300">
        <v>-1541.3891482203535</v>
      </c>
      <c r="W254" s="300">
        <v>-5201.2897037572202</v>
      </c>
      <c r="X254" s="300">
        <v>-6742.6788519775737</v>
      </c>
      <c r="Z254" s="300">
        <v>0</v>
      </c>
      <c r="AA254" s="258"/>
      <c r="AB254" s="300">
        <v>0</v>
      </c>
      <c r="AC254" s="300">
        <v>-6742.6788519775737</v>
      </c>
      <c r="AE254" s="452" t="e">
        <f t="shared" si="27"/>
        <v>#DIV/0!</v>
      </c>
      <c r="AF254" s="452" t="e">
        <f t="shared" si="28"/>
        <v>#DIV/0!</v>
      </c>
    </row>
    <row r="255" spans="1:32" s="642" customFormat="1" outlineLevel="1">
      <c r="A255" s="636" t="s">
        <v>302</v>
      </c>
      <c r="B255" s="637">
        <v>2038</v>
      </c>
      <c r="C255" s="451">
        <v>0</v>
      </c>
      <c r="D255" s="451">
        <v>0</v>
      </c>
      <c r="E255" s="451">
        <v>0</v>
      </c>
      <c r="F255" s="451"/>
      <c r="G255" s="451">
        <v>0</v>
      </c>
      <c r="H255" s="451">
        <v>0</v>
      </c>
      <c r="I255" s="451">
        <v>0</v>
      </c>
      <c r="J255" s="301"/>
      <c r="K255" s="301"/>
      <c r="L255" s="301"/>
      <c r="M255" s="301"/>
      <c r="Q255" s="300">
        <f t="shared" si="26"/>
        <v>0</v>
      </c>
      <c r="S255" s="300">
        <f t="shared" si="29"/>
        <v>0</v>
      </c>
      <c r="T255" s="300">
        <f t="shared" si="30"/>
        <v>0</v>
      </c>
      <c r="U255" s="300">
        <f t="shared" si="31"/>
        <v>0</v>
      </c>
      <c r="V255" s="300">
        <v>-1541.3891482203535</v>
      </c>
      <c r="W255" s="300">
        <v>-5201.2897037572202</v>
      </c>
      <c r="X255" s="300">
        <v>-6742.6788519775737</v>
      </c>
      <c r="Z255" s="300">
        <v>0</v>
      </c>
      <c r="AA255" s="258"/>
      <c r="AB255" s="300">
        <v>0</v>
      </c>
      <c r="AC255" s="300">
        <v>-6742.6788519775737</v>
      </c>
      <c r="AE255" s="452" t="e">
        <f t="shared" si="27"/>
        <v>#DIV/0!</v>
      </c>
      <c r="AF255" s="452" t="e">
        <f t="shared" si="28"/>
        <v>#DIV/0!</v>
      </c>
    </row>
    <row r="256" spans="1:32" s="642" customFormat="1" outlineLevel="1">
      <c r="A256" s="636" t="s">
        <v>303</v>
      </c>
      <c r="B256" s="637">
        <v>2038</v>
      </c>
      <c r="C256" s="451">
        <v>0</v>
      </c>
      <c r="D256" s="451">
        <v>0</v>
      </c>
      <c r="E256" s="451">
        <v>0</v>
      </c>
      <c r="F256" s="451"/>
      <c r="G256" s="451">
        <v>0</v>
      </c>
      <c r="H256" s="451">
        <v>0</v>
      </c>
      <c r="I256" s="451">
        <v>0</v>
      </c>
      <c r="J256" s="301"/>
      <c r="K256" s="301"/>
      <c r="L256" s="301"/>
      <c r="M256" s="301"/>
      <c r="Q256" s="300">
        <f t="shared" si="26"/>
        <v>0</v>
      </c>
      <c r="S256" s="300">
        <f t="shared" si="29"/>
        <v>0</v>
      </c>
      <c r="T256" s="300">
        <f t="shared" si="30"/>
        <v>0</v>
      </c>
      <c r="U256" s="300">
        <f t="shared" si="31"/>
        <v>0</v>
      </c>
      <c r="V256" s="300">
        <v>-1541.3891482203535</v>
      </c>
      <c r="W256" s="300">
        <v>-5201.2897037572202</v>
      </c>
      <c r="X256" s="300">
        <v>-6742.6788519775737</v>
      </c>
      <c r="Z256" s="300">
        <v>0</v>
      </c>
      <c r="AA256" s="258"/>
      <c r="AB256" s="300">
        <v>0</v>
      </c>
      <c r="AC256" s="300">
        <v>-6742.6788519775737</v>
      </c>
      <c r="AE256" s="452" t="e">
        <f t="shared" si="27"/>
        <v>#DIV/0!</v>
      </c>
      <c r="AF256" s="452" t="e">
        <f t="shared" si="28"/>
        <v>#DIV/0!</v>
      </c>
    </row>
    <row r="257" spans="1:32" s="48" customFormat="1" outlineLevel="1">
      <c r="A257" s="450" t="s">
        <v>304</v>
      </c>
      <c r="B257" s="302">
        <v>2038</v>
      </c>
      <c r="C257" s="451">
        <v>0</v>
      </c>
      <c r="D257" s="451">
        <v>0</v>
      </c>
      <c r="E257" s="451">
        <v>0</v>
      </c>
      <c r="F257" s="451"/>
      <c r="G257" s="451">
        <v>0</v>
      </c>
      <c r="H257" s="451">
        <v>0</v>
      </c>
      <c r="I257" s="451">
        <v>0</v>
      </c>
      <c r="J257" s="301"/>
      <c r="K257" s="301"/>
      <c r="L257" s="301"/>
      <c r="M257" s="301"/>
      <c r="Q257" s="300">
        <f t="shared" si="26"/>
        <v>0</v>
      </c>
      <c r="S257" s="300">
        <f t="shared" si="29"/>
        <v>0</v>
      </c>
      <c r="T257" s="300">
        <f t="shared" si="30"/>
        <v>0</v>
      </c>
      <c r="U257" s="300">
        <f t="shared" si="31"/>
        <v>0</v>
      </c>
      <c r="V257" s="300">
        <v>-1541.3891482203535</v>
      </c>
      <c r="W257" s="300">
        <v>-5201.2897037572202</v>
      </c>
      <c r="X257" s="300">
        <v>-6742.6788519775737</v>
      </c>
      <c r="Z257" s="300">
        <v>0</v>
      </c>
      <c r="AA257" s="239"/>
      <c r="AB257" s="300">
        <v>0</v>
      </c>
      <c r="AC257" s="300">
        <v>-6742.6788519775737</v>
      </c>
      <c r="AE257" s="452" t="e">
        <f t="shared" si="27"/>
        <v>#DIV/0!</v>
      </c>
      <c r="AF257" s="452" t="e">
        <f t="shared" si="28"/>
        <v>#DIV/0!</v>
      </c>
    </row>
    <row r="258" spans="1:32" s="48" customFormat="1" outlineLevel="1">
      <c r="A258" s="450" t="s">
        <v>305</v>
      </c>
      <c r="B258" s="302">
        <v>2038</v>
      </c>
      <c r="C258" s="451">
        <v>0</v>
      </c>
      <c r="D258" s="451">
        <v>0</v>
      </c>
      <c r="E258" s="451">
        <v>0</v>
      </c>
      <c r="F258" s="451"/>
      <c r="G258" s="451">
        <v>0</v>
      </c>
      <c r="H258" s="451">
        <v>0</v>
      </c>
      <c r="I258" s="451">
        <v>0</v>
      </c>
      <c r="J258" s="301"/>
      <c r="K258" s="301"/>
      <c r="L258" s="301"/>
      <c r="M258" s="301"/>
      <c r="Q258" s="300">
        <f t="shared" si="26"/>
        <v>0</v>
      </c>
      <c r="S258" s="300">
        <f t="shared" si="29"/>
        <v>0</v>
      </c>
      <c r="T258" s="300">
        <f t="shared" si="30"/>
        <v>0</v>
      </c>
      <c r="U258" s="300">
        <f t="shared" si="31"/>
        <v>0</v>
      </c>
      <c r="V258" s="300">
        <v>-1541.3891482203535</v>
      </c>
      <c r="W258" s="300">
        <v>-5201.2897037572202</v>
      </c>
      <c r="X258" s="300">
        <v>-6742.6788519775737</v>
      </c>
      <c r="Z258" s="300">
        <v>0</v>
      </c>
      <c r="AA258" s="239"/>
      <c r="AB258" s="300">
        <v>0</v>
      </c>
      <c r="AC258" s="300">
        <v>-6742.6788519775737</v>
      </c>
      <c r="AE258" s="452" t="e">
        <f t="shared" si="27"/>
        <v>#DIV/0!</v>
      </c>
      <c r="AF258" s="452" t="e">
        <f t="shared" si="28"/>
        <v>#DIV/0!</v>
      </c>
    </row>
    <row r="259" spans="1:32" s="48" customFormat="1" outlineLevel="1">
      <c r="A259" s="450" t="s">
        <v>306</v>
      </c>
      <c r="B259" s="302">
        <v>2038</v>
      </c>
      <c r="C259" s="451">
        <v>0</v>
      </c>
      <c r="D259" s="451">
        <v>0</v>
      </c>
      <c r="E259" s="451">
        <v>0</v>
      </c>
      <c r="F259" s="451"/>
      <c r="G259" s="451">
        <v>0</v>
      </c>
      <c r="H259" s="451">
        <v>0</v>
      </c>
      <c r="I259" s="451">
        <v>0</v>
      </c>
      <c r="J259" s="301"/>
      <c r="K259" s="301"/>
      <c r="L259" s="301"/>
      <c r="M259" s="301"/>
      <c r="Q259" s="300">
        <f t="shared" si="26"/>
        <v>0</v>
      </c>
      <c r="S259" s="300">
        <f t="shared" si="29"/>
        <v>0</v>
      </c>
      <c r="T259" s="300">
        <f t="shared" si="30"/>
        <v>0</v>
      </c>
      <c r="U259" s="300">
        <f t="shared" si="31"/>
        <v>0</v>
      </c>
      <c r="V259" s="300">
        <v>-1541.3891482203535</v>
      </c>
      <c r="W259" s="300">
        <v>-5201.2897037572202</v>
      </c>
      <c r="X259" s="300">
        <v>-6742.6788519775737</v>
      </c>
      <c r="Z259" s="300">
        <v>0</v>
      </c>
      <c r="AA259" s="239"/>
      <c r="AB259" s="300">
        <v>0</v>
      </c>
      <c r="AC259" s="300">
        <v>-6742.6788519775737</v>
      </c>
      <c r="AE259" s="452" t="e">
        <f t="shared" si="27"/>
        <v>#DIV/0!</v>
      </c>
      <c r="AF259" s="452" t="e">
        <f t="shared" si="28"/>
        <v>#DIV/0!</v>
      </c>
    </row>
    <row r="260" spans="1:32" s="48" customFormat="1" outlineLevel="1">
      <c r="A260" s="450" t="s">
        <v>307</v>
      </c>
      <c r="B260" s="302">
        <v>2038</v>
      </c>
      <c r="C260" s="451">
        <v>0</v>
      </c>
      <c r="D260" s="451">
        <v>0</v>
      </c>
      <c r="E260" s="451">
        <v>0</v>
      </c>
      <c r="F260" s="451"/>
      <c r="G260" s="451">
        <v>0</v>
      </c>
      <c r="H260" s="451">
        <v>0</v>
      </c>
      <c r="I260" s="451">
        <v>0</v>
      </c>
      <c r="J260" s="301"/>
      <c r="K260" s="301"/>
      <c r="L260" s="301"/>
      <c r="M260" s="301"/>
      <c r="Q260" s="300">
        <f t="shared" si="26"/>
        <v>0</v>
      </c>
      <c r="S260" s="300">
        <f t="shared" si="29"/>
        <v>0</v>
      </c>
      <c r="T260" s="300">
        <f t="shared" si="30"/>
        <v>0</v>
      </c>
      <c r="U260" s="300">
        <f t="shared" si="31"/>
        <v>0</v>
      </c>
      <c r="V260" s="300">
        <v>-1541.3891482203535</v>
      </c>
      <c r="W260" s="300">
        <v>-5201.2897037572202</v>
      </c>
      <c r="X260" s="300">
        <v>-6742.6788519775737</v>
      </c>
      <c r="Z260" s="300">
        <v>0</v>
      </c>
      <c r="AA260" s="239"/>
      <c r="AB260" s="300">
        <v>0</v>
      </c>
      <c r="AC260" s="300">
        <v>-6742.6788519775737</v>
      </c>
      <c r="AE260" s="452" t="e">
        <f t="shared" si="27"/>
        <v>#DIV/0!</v>
      </c>
      <c r="AF260" s="452" t="e">
        <f t="shared" si="28"/>
        <v>#DIV/0!</v>
      </c>
    </row>
    <row r="261" spans="1:32" s="48" customFormat="1" outlineLevel="1">
      <c r="A261" s="450" t="s">
        <v>308</v>
      </c>
      <c r="B261" s="302">
        <v>2038</v>
      </c>
      <c r="C261" s="451">
        <v>0</v>
      </c>
      <c r="D261" s="451">
        <v>0</v>
      </c>
      <c r="E261" s="451">
        <v>0</v>
      </c>
      <c r="F261" s="451"/>
      <c r="G261" s="451">
        <v>0</v>
      </c>
      <c r="H261" s="451">
        <v>0</v>
      </c>
      <c r="I261" s="451">
        <v>0</v>
      </c>
      <c r="J261" s="301"/>
      <c r="K261" s="301"/>
      <c r="L261" s="301"/>
      <c r="M261" s="301"/>
      <c r="Q261" s="300">
        <f t="shared" si="26"/>
        <v>0</v>
      </c>
      <c r="S261" s="300">
        <f t="shared" si="29"/>
        <v>0</v>
      </c>
      <c r="T261" s="300">
        <f t="shared" si="30"/>
        <v>0</v>
      </c>
      <c r="U261" s="300">
        <f t="shared" si="31"/>
        <v>0</v>
      </c>
      <c r="V261" s="300">
        <v>-1541.3891482203535</v>
      </c>
      <c r="W261" s="300">
        <v>-5201.2897037572202</v>
      </c>
      <c r="X261" s="300">
        <v>-6742.6788519775737</v>
      </c>
      <c r="Z261" s="300">
        <v>0</v>
      </c>
      <c r="AA261" s="239"/>
      <c r="AB261" s="300">
        <v>0</v>
      </c>
      <c r="AC261" s="300">
        <v>-6742.6788519775737</v>
      </c>
      <c r="AE261" s="452" t="e">
        <f t="shared" si="27"/>
        <v>#DIV/0!</v>
      </c>
      <c r="AF261" s="452" t="e">
        <f t="shared" si="28"/>
        <v>#DIV/0!</v>
      </c>
    </row>
    <row r="262" spans="1:32" s="48" customFormat="1" outlineLevel="1">
      <c r="A262" s="450" t="s">
        <v>309</v>
      </c>
      <c r="B262" s="302">
        <v>2038</v>
      </c>
      <c r="C262" s="451">
        <v>0</v>
      </c>
      <c r="D262" s="451">
        <v>0</v>
      </c>
      <c r="E262" s="451">
        <v>0</v>
      </c>
      <c r="F262" s="451"/>
      <c r="G262" s="451">
        <v>0</v>
      </c>
      <c r="H262" s="451">
        <v>0</v>
      </c>
      <c r="I262" s="451">
        <v>0</v>
      </c>
      <c r="J262" s="301"/>
      <c r="K262" s="301"/>
      <c r="L262" s="301"/>
      <c r="M262" s="301"/>
      <c r="Q262" s="300">
        <f t="shared" si="26"/>
        <v>0</v>
      </c>
      <c r="S262" s="300">
        <f t="shared" si="29"/>
        <v>0</v>
      </c>
      <c r="T262" s="300">
        <f t="shared" si="30"/>
        <v>0</v>
      </c>
      <c r="U262" s="300">
        <f t="shared" si="31"/>
        <v>0</v>
      </c>
      <c r="V262" s="300">
        <v>-1541.3891482203535</v>
      </c>
      <c r="W262" s="300">
        <v>-5201.2897037572202</v>
      </c>
      <c r="X262" s="300">
        <v>-6742.6788519775737</v>
      </c>
      <c r="Z262" s="300">
        <v>0</v>
      </c>
      <c r="AA262" s="239"/>
      <c r="AB262" s="300">
        <v>0</v>
      </c>
      <c r="AC262" s="300">
        <v>-6742.6788519775737</v>
      </c>
      <c r="AE262" s="452" t="e">
        <f t="shared" si="27"/>
        <v>#DIV/0!</v>
      </c>
      <c r="AF262" s="452" t="e">
        <f t="shared" si="28"/>
        <v>#DIV/0!</v>
      </c>
    </row>
    <row r="263" spans="1:32" s="48" customFormat="1" outlineLevel="1">
      <c r="A263" s="450" t="s">
        <v>298</v>
      </c>
      <c r="B263" s="302">
        <v>2038</v>
      </c>
      <c r="C263" s="451">
        <v>0</v>
      </c>
      <c r="D263" s="451">
        <v>0</v>
      </c>
      <c r="E263" s="451">
        <v>0</v>
      </c>
      <c r="F263" s="451"/>
      <c r="G263" s="451">
        <v>0</v>
      </c>
      <c r="H263" s="451">
        <v>0</v>
      </c>
      <c r="I263" s="451">
        <v>0</v>
      </c>
      <c r="J263" s="301"/>
      <c r="K263" s="301"/>
      <c r="L263" s="301"/>
      <c r="M263" s="301"/>
      <c r="Q263" s="300">
        <f t="shared" si="26"/>
        <v>0</v>
      </c>
      <c r="S263" s="300">
        <f t="shared" si="29"/>
        <v>0</v>
      </c>
      <c r="T263" s="300">
        <f t="shared" si="30"/>
        <v>0</v>
      </c>
      <c r="U263" s="300">
        <f t="shared" si="31"/>
        <v>0</v>
      </c>
      <c r="V263" s="300">
        <v>-1541.3891482203535</v>
      </c>
      <c r="W263" s="300">
        <v>-5201.2897037572202</v>
      </c>
      <c r="X263" s="300">
        <v>-6742.6788519775737</v>
      </c>
      <c r="Z263" s="300">
        <v>0</v>
      </c>
      <c r="AA263" s="239"/>
      <c r="AB263" s="300">
        <v>0</v>
      </c>
      <c r="AC263" s="300">
        <v>-6742.6788519775737</v>
      </c>
      <c r="AE263" s="452" t="e">
        <f t="shared" si="27"/>
        <v>#DIV/0!</v>
      </c>
      <c r="AF263" s="452" t="e">
        <f t="shared" si="28"/>
        <v>#DIV/0!</v>
      </c>
    </row>
    <row r="264" spans="1:32" s="48" customFormat="1" outlineLevel="1">
      <c r="A264" s="450" t="s">
        <v>299</v>
      </c>
      <c r="B264" s="302">
        <v>2038</v>
      </c>
      <c r="C264" s="451">
        <v>0</v>
      </c>
      <c r="D264" s="451">
        <v>0</v>
      </c>
      <c r="E264" s="451">
        <v>0</v>
      </c>
      <c r="F264" s="451"/>
      <c r="G264" s="451">
        <v>0</v>
      </c>
      <c r="H264" s="451">
        <v>0</v>
      </c>
      <c r="I264" s="451">
        <v>0</v>
      </c>
      <c r="J264" s="301"/>
      <c r="K264" s="301"/>
      <c r="L264" s="301"/>
      <c r="M264" s="301"/>
      <c r="Q264" s="300">
        <f t="shared" si="26"/>
        <v>0</v>
      </c>
      <c r="S264" s="300">
        <f t="shared" si="29"/>
        <v>0</v>
      </c>
      <c r="T264" s="300">
        <f t="shared" si="30"/>
        <v>0</v>
      </c>
      <c r="U264" s="300">
        <f t="shared" si="31"/>
        <v>0</v>
      </c>
      <c r="V264" s="300">
        <v>-1541.3891482203535</v>
      </c>
      <c r="W264" s="300">
        <v>-5201.2897037572202</v>
      </c>
      <c r="X264" s="300">
        <v>-6742.6788519775737</v>
      </c>
      <c r="Z264" s="300">
        <v>0</v>
      </c>
      <c r="AA264" s="239"/>
      <c r="AB264" s="300">
        <v>0</v>
      </c>
      <c r="AC264" s="300">
        <v>-6742.6788519775737</v>
      </c>
      <c r="AE264" s="452" t="e">
        <f t="shared" si="27"/>
        <v>#DIV/0!</v>
      </c>
      <c r="AF264" s="452" t="e">
        <f t="shared" si="28"/>
        <v>#DIV/0!</v>
      </c>
    </row>
    <row r="265" spans="1:32" s="48" customFormat="1" outlineLevel="1">
      <c r="A265" s="450" t="s">
        <v>300</v>
      </c>
      <c r="B265" s="302">
        <v>2038</v>
      </c>
      <c r="C265" s="451">
        <v>0</v>
      </c>
      <c r="D265" s="451">
        <v>0</v>
      </c>
      <c r="E265" s="451">
        <v>0</v>
      </c>
      <c r="F265" s="451"/>
      <c r="G265" s="451">
        <v>0</v>
      </c>
      <c r="H265" s="451">
        <v>0</v>
      </c>
      <c r="I265" s="451">
        <v>0</v>
      </c>
      <c r="J265" s="301"/>
      <c r="K265" s="301"/>
      <c r="L265" s="301"/>
      <c r="M265" s="301"/>
      <c r="Q265" s="300">
        <f t="shared" si="26"/>
        <v>0</v>
      </c>
      <c r="S265" s="300">
        <f t="shared" si="29"/>
        <v>0</v>
      </c>
      <c r="T265" s="300">
        <f t="shared" si="30"/>
        <v>0</v>
      </c>
      <c r="U265" s="300">
        <f t="shared" si="31"/>
        <v>0</v>
      </c>
      <c r="V265" s="300">
        <v>-1541.3891482203535</v>
      </c>
      <c r="W265" s="300">
        <v>-5201.2897037572202</v>
      </c>
      <c r="X265" s="300">
        <v>-6742.6788519775737</v>
      </c>
      <c r="Z265" s="300">
        <v>0</v>
      </c>
      <c r="AA265" s="239"/>
      <c r="AB265" s="300">
        <v>0</v>
      </c>
      <c r="AC265" s="300">
        <v>-6742.6788519775737</v>
      </c>
      <c r="AE265" s="452" t="e">
        <f t="shared" si="27"/>
        <v>#DIV/0!</v>
      </c>
      <c r="AF265" s="452" t="e">
        <f t="shared" si="28"/>
        <v>#DIV/0!</v>
      </c>
    </row>
    <row r="266" spans="1:32" s="48" customFormat="1" outlineLevel="1">
      <c r="A266" s="450" t="s">
        <v>301</v>
      </c>
      <c r="B266" s="302">
        <v>2039</v>
      </c>
      <c r="C266" s="451">
        <v>0</v>
      </c>
      <c r="D266" s="451">
        <v>0</v>
      </c>
      <c r="E266" s="451">
        <v>0</v>
      </c>
      <c r="F266" s="451"/>
      <c r="G266" s="451">
        <v>0</v>
      </c>
      <c r="H266" s="451">
        <v>0</v>
      </c>
      <c r="I266" s="451">
        <v>0</v>
      </c>
      <c r="J266" s="301"/>
      <c r="K266" s="301"/>
      <c r="L266" s="301"/>
      <c r="M266" s="301"/>
      <c r="Q266" s="300">
        <f t="shared" si="26"/>
        <v>0</v>
      </c>
      <c r="S266" s="300">
        <f t="shared" si="29"/>
        <v>0</v>
      </c>
      <c r="T266" s="300">
        <f t="shared" si="30"/>
        <v>0</v>
      </c>
      <c r="U266" s="300">
        <f t="shared" si="31"/>
        <v>0</v>
      </c>
      <c r="V266" s="300">
        <v>-1541.3891482203535</v>
      </c>
      <c r="W266" s="300">
        <v>-5201.2897037572202</v>
      </c>
      <c r="X266" s="300">
        <v>-6742.6788519775737</v>
      </c>
      <c r="Z266" s="300">
        <v>0</v>
      </c>
      <c r="AA266" s="239"/>
      <c r="AB266" s="300">
        <v>0</v>
      </c>
      <c r="AC266" s="300">
        <v>-6742.6788519775737</v>
      </c>
      <c r="AE266" s="452" t="e">
        <f t="shared" si="27"/>
        <v>#DIV/0!</v>
      </c>
      <c r="AF266" s="452" t="e">
        <f t="shared" si="28"/>
        <v>#DIV/0!</v>
      </c>
    </row>
    <row r="267" spans="1:32" s="48" customFormat="1" outlineLevel="1">
      <c r="A267" s="450" t="s">
        <v>302</v>
      </c>
      <c r="B267" s="302">
        <v>2039</v>
      </c>
      <c r="C267" s="451">
        <v>0</v>
      </c>
      <c r="D267" s="451">
        <v>0</v>
      </c>
      <c r="E267" s="451">
        <v>0</v>
      </c>
      <c r="F267" s="451"/>
      <c r="G267" s="451">
        <v>0</v>
      </c>
      <c r="H267" s="451">
        <v>0</v>
      </c>
      <c r="I267" s="451">
        <v>0</v>
      </c>
      <c r="J267" s="301"/>
      <c r="K267" s="301"/>
      <c r="L267" s="301"/>
      <c r="M267" s="301"/>
      <c r="Q267" s="300">
        <f t="shared" si="26"/>
        <v>0</v>
      </c>
      <c r="S267" s="300">
        <f t="shared" si="29"/>
        <v>0</v>
      </c>
      <c r="T267" s="300">
        <f t="shared" si="30"/>
        <v>0</v>
      </c>
      <c r="U267" s="300">
        <f t="shared" si="31"/>
        <v>0</v>
      </c>
      <c r="V267" s="300">
        <v>-1541.3891482203535</v>
      </c>
      <c r="W267" s="300">
        <v>-5201.2897037572202</v>
      </c>
      <c r="X267" s="300">
        <v>-6742.6788519775737</v>
      </c>
      <c r="Z267" s="300">
        <v>0</v>
      </c>
      <c r="AA267" s="239"/>
      <c r="AB267" s="300">
        <v>0</v>
      </c>
      <c r="AC267" s="300">
        <v>-6742.6788519775737</v>
      </c>
      <c r="AE267" s="452" t="e">
        <f t="shared" si="27"/>
        <v>#DIV/0!</v>
      </c>
      <c r="AF267" s="452" t="e">
        <f t="shared" si="28"/>
        <v>#DIV/0!</v>
      </c>
    </row>
    <row r="268" spans="1:32" s="48" customFormat="1" outlineLevel="1">
      <c r="A268" s="450" t="s">
        <v>303</v>
      </c>
      <c r="B268" s="302">
        <v>2039</v>
      </c>
      <c r="C268" s="451">
        <v>0</v>
      </c>
      <c r="D268" s="451">
        <v>0</v>
      </c>
      <c r="E268" s="451">
        <v>0</v>
      </c>
      <c r="F268" s="451"/>
      <c r="G268" s="451">
        <v>0</v>
      </c>
      <c r="H268" s="451">
        <v>0</v>
      </c>
      <c r="I268" s="451">
        <v>0</v>
      </c>
      <c r="J268" s="301"/>
      <c r="K268" s="301"/>
      <c r="L268" s="301"/>
      <c r="M268" s="301"/>
      <c r="Q268" s="300">
        <f t="shared" si="26"/>
        <v>0</v>
      </c>
      <c r="S268" s="300">
        <f t="shared" si="29"/>
        <v>0</v>
      </c>
      <c r="T268" s="300">
        <f t="shared" si="30"/>
        <v>0</v>
      </c>
      <c r="U268" s="300">
        <f t="shared" si="31"/>
        <v>0</v>
      </c>
      <c r="V268" s="300">
        <v>-1541.3891482203535</v>
      </c>
      <c r="W268" s="300">
        <v>-5201.2897037572202</v>
      </c>
      <c r="X268" s="300">
        <v>-6742.6788519775737</v>
      </c>
      <c r="Z268" s="300">
        <v>0</v>
      </c>
      <c r="AA268" s="239"/>
      <c r="AB268" s="300">
        <v>0</v>
      </c>
      <c r="AC268" s="300">
        <v>-6742.6788519775737</v>
      </c>
      <c r="AE268" s="452" t="e">
        <f t="shared" si="27"/>
        <v>#DIV/0!</v>
      </c>
      <c r="AF268" s="452" t="e">
        <f t="shared" si="28"/>
        <v>#DIV/0!</v>
      </c>
    </row>
    <row r="269" spans="1:32" s="48" customFormat="1" outlineLevel="1">
      <c r="A269" s="450" t="s">
        <v>304</v>
      </c>
      <c r="B269" s="302">
        <v>2039</v>
      </c>
      <c r="C269" s="451">
        <v>0</v>
      </c>
      <c r="D269" s="451">
        <v>0</v>
      </c>
      <c r="E269" s="451">
        <v>0</v>
      </c>
      <c r="F269" s="451"/>
      <c r="G269" s="451">
        <v>0</v>
      </c>
      <c r="H269" s="451">
        <v>0</v>
      </c>
      <c r="I269" s="451">
        <v>0</v>
      </c>
      <c r="J269" s="301"/>
      <c r="K269" s="301"/>
      <c r="L269" s="301"/>
      <c r="M269" s="301"/>
      <c r="Q269" s="300">
        <f t="shared" si="26"/>
        <v>0</v>
      </c>
      <c r="S269" s="300">
        <f t="shared" si="29"/>
        <v>0</v>
      </c>
      <c r="T269" s="300">
        <f t="shared" si="30"/>
        <v>0</v>
      </c>
      <c r="U269" s="300">
        <f t="shared" si="31"/>
        <v>0</v>
      </c>
      <c r="V269" s="300">
        <v>-1541.3891482203535</v>
      </c>
      <c r="W269" s="300">
        <v>-5201.2897037572202</v>
      </c>
      <c r="X269" s="300">
        <v>-6742.6788519775737</v>
      </c>
      <c r="Z269" s="300">
        <v>0</v>
      </c>
      <c r="AA269" s="239"/>
      <c r="AB269" s="300">
        <v>0</v>
      </c>
      <c r="AC269" s="300">
        <v>-6742.6788519775737</v>
      </c>
      <c r="AE269" s="452" t="e">
        <f t="shared" si="27"/>
        <v>#DIV/0!</v>
      </c>
      <c r="AF269" s="452" t="e">
        <f t="shared" si="28"/>
        <v>#DIV/0!</v>
      </c>
    </row>
    <row r="270" spans="1:32" s="48" customFormat="1" outlineLevel="1">
      <c r="A270" s="450" t="s">
        <v>305</v>
      </c>
      <c r="B270" s="302">
        <v>2039</v>
      </c>
      <c r="C270" s="451">
        <v>0</v>
      </c>
      <c r="D270" s="451">
        <v>0</v>
      </c>
      <c r="E270" s="451">
        <v>0</v>
      </c>
      <c r="F270" s="451"/>
      <c r="G270" s="451">
        <v>0</v>
      </c>
      <c r="H270" s="451">
        <v>0</v>
      </c>
      <c r="I270" s="451">
        <v>0</v>
      </c>
      <c r="J270" s="301"/>
      <c r="K270" s="301"/>
      <c r="L270" s="301"/>
      <c r="M270" s="301"/>
      <c r="Q270" s="300">
        <f t="shared" si="26"/>
        <v>0</v>
      </c>
      <c r="S270" s="300">
        <f t="shared" si="29"/>
        <v>0</v>
      </c>
      <c r="T270" s="300">
        <f t="shared" si="30"/>
        <v>0</v>
      </c>
      <c r="U270" s="300">
        <f t="shared" si="31"/>
        <v>0</v>
      </c>
      <c r="V270" s="300">
        <v>-1541.3891482203535</v>
      </c>
      <c r="W270" s="300">
        <v>-5201.2897037572202</v>
      </c>
      <c r="X270" s="300">
        <v>-6742.6788519775737</v>
      </c>
      <c r="Z270" s="300">
        <v>0</v>
      </c>
      <c r="AA270" s="239"/>
      <c r="AB270" s="300">
        <v>0</v>
      </c>
      <c r="AC270" s="300">
        <v>-6742.6788519775737</v>
      </c>
      <c r="AE270" s="452" t="e">
        <f t="shared" si="27"/>
        <v>#DIV/0!</v>
      </c>
      <c r="AF270" s="452" t="e">
        <f t="shared" si="28"/>
        <v>#DIV/0!</v>
      </c>
    </row>
    <row r="271" spans="1:32" s="48" customFormat="1" outlineLevel="1">
      <c r="A271" s="450" t="s">
        <v>306</v>
      </c>
      <c r="B271" s="302">
        <v>2039</v>
      </c>
      <c r="C271" s="451">
        <v>0</v>
      </c>
      <c r="D271" s="451">
        <v>0</v>
      </c>
      <c r="E271" s="451">
        <v>0</v>
      </c>
      <c r="F271" s="451"/>
      <c r="G271" s="451">
        <v>0</v>
      </c>
      <c r="H271" s="451">
        <v>0</v>
      </c>
      <c r="I271" s="451">
        <v>0</v>
      </c>
      <c r="J271" s="301"/>
      <c r="K271" s="301"/>
      <c r="L271" s="301"/>
      <c r="M271" s="301"/>
      <c r="Q271" s="300">
        <f t="shared" si="26"/>
        <v>0</v>
      </c>
      <c r="S271" s="300">
        <f t="shared" si="29"/>
        <v>0</v>
      </c>
      <c r="T271" s="300">
        <f t="shared" si="30"/>
        <v>0</v>
      </c>
      <c r="U271" s="300">
        <f t="shared" si="31"/>
        <v>0</v>
      </c>
      <c r="V271" s="300">
        <v>-1541.3891482203535</v>
      </c>
      <c r="W271" s="300">
        <v>-5201.2897037572202</v>
      </c>
      <c r="X271" s="300">
        <v>-6742.6788519775737</v>
      </c>
      <c r="Z271" s="300">
        <v>0</v>
      </c>
      <c r="AA271" s="239"/>
      <c r="AB271" s="300">
        <v>0</v>
      </c>
      <c r="AC271" s="300">
        <v>-6742.6788519775737</v>
      </c>
      <c r="AE271" s="452" t="e">
        <f t="shared" si="27"/>
        <v>#DIV/0!</v>
      </c>
      <c r="AF271" s="452" t="e">
        <f t="shared" si="28"/>
        <v>#DIV/0!</v>
      </c>
    </row>
    <row r="272" spans="1:32" s="48" customFormat="1" outlineLevel="1">
      <c r="A272" s="450" t="s">
        <v>307</v>
      </c>
      <c r="B272" s="302">
        <v>2039</v>
      </c>
      <c r="C272" s="451">
        <v>0</v>
      </c>
      <c r="D272" s="451">
        <v>0</v>
      </c>
      <c r="E272" s="451">
        <v>0</v>
      </c>
      <c r="F272" s="451"/>
      <c r="G272" s="451">
        <v>0</v>
      </c>
      <c r="H272" s="451">
        <v>0</v>
      </c>
      <c r="I272" s="451">
        <v>0</v>
      </c>
      <c r="J272" s="301"/>
      <c r="K272" s="301"/>
      <c r="L272" s="301"/>
      <c r="M272" s="301"/>
      <c r="Q272" s="300">
        <f t="shared" si="26"/>
        <v>0</v>
      </c>
      <c r="S272" s="300">
        <f t="shared" si="29"/>
        <v>0</v>
      </c>
      <c r="T272" s="300">
        <f t="shared" si="30"/>
        <v>0</v>
      </c>
      <c r="U272" s="300">
        <f t="shared" si="31"/>
        <v>0</v>
      </c>
      <c r="V272" s="300">
        <v>-1541.3891482203535</v>
      </c>
      <c r="W272" s="300">
        <v>-5201.2897037572202</v>
      </c>
      <c r="X272" s="300">
        <v>-6742.6788519775737</v>
      </c>
      <c r="Z272" s="300">
        <v>0</v>
      </c>
      <c r="AA272" s="239"/>
      <c r="AB272" s="300">
        <v>0</v>
      </c>
      <c r="AC272" s="300">
        <v>-6742.6788519775737</v>
      </c>
      <c r="AE272" s="452" t="e">
        <f t="shared" si="27"/>
        <v>#DIV/0!</v>
      </c>
      <c r="AF272" s="452" t="e">
        <f t="shared" si="28"/>
        <v>#DIV/0!</v>
      </c>
    </row>
    <row r="273" spans="1:32" s="48" customFormat="1" outlineLevel="1">
      <c r="A273" s="450" t="s">
        <v>308</v>
      </c>
      <c r="B273" s="302">
        <v>2039</v>
      </c>
      <c r="C273" s="451">
        <v>0</v>
      </c>
      <c r="D273" s="451">
        <v>0</v>
      </c>
      <c r="E273" s="451">
        <v>0</v>
      </c>
      <c r="F273" s="451"/>
      <c r="G273" s="451">
        <v>0</v>
      </c>
      <c r="H273" s="451">
        <v>0</v>
      </c>
      <c r="I273" s="451">
        <v>0</v>
      </c>
      <c r="J273" s="301"/>
      <c r="K273" s="301"/>
      <c r="L273" s="301"/>
      <c r="M273" s="301"/>
      <c r="Q273" s="300">
        <f t="shared" si="26"/>
        <v>0</v>
      </c>
      <c r="S273" s="300">
        <f t="shared" si="29"/>
        <v>0</v>
      </c>
      <c r="T273" s="300">
        <f t="shared" si="30"/>
        <v>0</v>
      </c>
      <c r="U273" s="300">
        <f t="shared" si="31"/>
        <v>0</v>
      </c>
      <c r="V273" s="300">
        <v>-1541.3891482203535</v>
      </c>
      <c r="W273" s="300">
        <v>-5201.2897037572202</v>
      </c>
      <c r="X273" s="300">
        <v>-6742.6788519775737</v>
      </c>
      <c r="Z273" s="300">
        <v>0</v>
      </c>
      <c r="AA273" s="239"/>
      <c r="AB273" s="300">
        <v>0</v>
      </c>
      <c r="AC273" s="300">
        <v>-6742.6788519775737</v>
      </c>
      <c r="AE273" s="452" t="e">
        <f t="shared" si="27"/>
        <v>#DIV/0!</v>
      </c>
      <c r="AF273" s="452" t="e">
        <f t="shared" si="28"/>
        <v>#DIV/0!</v>
      </c>
    </row>
    <row r="274" spans="1:32" s="48" customFormat="1" outlineLevel="1">
      <c r="A274" s="450" t="s">
        <v>309</v>
      </c>
      <c r="B274" s="302">
        <v>2039</v>
      </c>
      <c r="C274" s="451">
        <v>0</v>
      </c>
      <c r="D274" s="451">
        <v>0</v>
      </c>
      <c r="E274" s="451">
        <v>0</v>
      </c>
      <c r="F274" s="451"/>
      <c r="G274" s="451">
        <v>0</v>
      </c>
      <c r="H274" s="451">
        <v>0</v>
      </c>
      <c r="I274" s="451">
        <v>0</v>
      </c>
      <c r="J274" s="301"/>
      <c r="K274" s="301"/>
      <c r="L274" s="301"/>
      <c r="M274" s="301"/>
      <c r="Q274" s="300">
        <f t="shared" si="26"/>
        <v>0</v>
      </c>
      <c r="S274" s="300">
        <f t="shared" si="29"/>
        <v>0</v>
      </c>
      <c r="T274" s="300">
        <f t="shared" si="30"/>
        <v>0</v>
      </c>
      <c r="U274" s="300">
        <f t="shared" si="31"/>
        <v>0</v>
      </c>
      <c r="V274" s="300">
        <v>-1541.3891482203535</v>
      </c>
      <c r="W274" s="300">
        <v>-5201.2897037572202</v>
      </c>
      <c r="X274" s="300">
        <v>-6742.6788519775737</v>
      </c>
      <c r="Z274" s="300">
        <v>0</v>
      </c>
      <c r="AA274" s="239"/>
      <c r="AB274" s="300">
        <v>0</v>
      </c>
      <c r="AC274" s="300">
        <v>-6742.6788519775737</v>
      </c>
      <c r="AE274" s="452" t="e">
        <f t="shared" si="27"/>
        <v>#DIV/0!</v>
      </c>
      <c r="AF274" s="452" t="e">
        <f t="shared" si="28"/>
        <v>#DIV/0!</v>
      </c>
    </row>
    <row r="275" spans="1:32" s="48" customFormat="1" outlineLevel="1">
      <c r="A275" s="450" t="s">
        <v>298</v>
      </c>
      <c r="B275" s="302">
        <v>2039</v>
      </c>
      <c r="C275" s="451">
        <v>0</v>
      </c>
      <c r="D275" s="451">
        <v>0</v>
      </c>
      <c r="E275" s="451">
        <v>0</v>
      </c>
      <c r="F275" s="451"/>
      <c r="G275" s="451">
        <v>0</v>
      </c>
      <c r="H275" s="451">
        <v>0</v>
      </c>
      <c r="I275" s="451">
        <v>0</v>
      </c>
      <c r="J275" s="301"/>
      <c r="K275" s="301"/>
      <c r="L275" s="301"/>
      <c r="M275" s="301"/>
      <c r="Q275" s="300">
        <f t="shared" si="26"/>
        <v>0</v>
      </c>
      <c r="S275" s="300">
        <f t="shared" si="29"/>
        <v>0</v>
      </c>
      <c r="T275" s="300">
        <f t="shared" si="30"/>
        <v>0</v>
      </c>
      <c r="U275" s="300">
        <f t="shared" si="31"/>
        <v>0</v>
      </c>
      <c r="V275" s="300">
        <v>-1541.3891482203535</v>
      </c>
      <c r="W275" s="300">
        <v>-5201.2897037572202</v>
      </c>
      <c r="X275" s="300">
        <v>-6742.6788519775737</v>
      </c>
      <c r="Z275" s="300">
        <v>0</v>
      </c>
      <c r="AA275" s="239"/>
      <c r="AB275" s="300">
        <v>0</v>
      </c>
      <c r="AC275" s="300">
        <v>-6742.6788519775737</v>
      </c>
      <c r="AE275" s="452" t="e">
        <f t="shared" si="27"/>
        <v>#DIV/0!</v>
      </c>
      <c r="AF275" s="452" t="e">
        <f t="shared" si="28"/>
        <v>#DIV/0!</v>
      </c>
    </row>
    <row r="276" spans="1:32" s="48" customFormat="1" outlineLevel="1">
      <c r="A276" s="450" t="s">
        <v>299</v>
      </c>
      <c r="B276" s="302">
        <v>2039</v>
      </c>
      <c r="C276" s="451">
        <v>0</v>
      </c>
      <c r="D276" s="451">
        <v>0</v>
      </c>
      <c r="E276" s="451">
        <v>0</v>
      </c>
      <c r="F276" s="451"/>
      <c r="G276" s="451">
        <v>0</v>
      </c>
      <c r="H276" s="451">
        <v>0</v>
      </c>
      <c r="I276" s="451">
        <v>0</v>
      </c>
      <c r="J276" s="301"/>
      <c r="K276" s="301"/>
      <c r="L276" s="301"/>
      <c r="M276" s="301"/>
      <c r="Q276" s="300">
        <f t="shared" si="26"/>
        <v>0</v>
      </c>
      <c r="S276" s="300">
        <f t="shared" si="29"/>
        <v>0</v>
      </c>
      <c r="T276" s="300">
        <f t="shared" si="30"/>
        <v>0</v>
      </c>
      <c r="U276" s="300">
        <f t="shared" si="31"/>
        <v>0</v>
      </c>
      <c r="V276" s="300">
        <v>-1541.3891482203535</v>
      </c>
      <c r="W276" s="300">
        <v>-5201.2897037572202</v>
      </c>
      <c r="X276" s="300">
        <v>-6742.6788519775737</v>
      </c>
      <c r="Z276" s="300">
        <v>0</v>
      </c>
      <c r="AA276" s="239"/>
      <c r="AB276" s="300">
        <v>0</v>
      </c>
      <c r="AC276" s="300">
        <v>-6742.6788519775737</v>
      </c>
      <c r="AE276" s="452" t="e">
        <f t="shared" si="27"/>
        <v>#DIV/0!</v>
      </c>
      <c r="AF276" s="452" t="e">
        <f t="shared" si="28"/>
        <v>#DIV/0!</v>
      </c>
    </row>
    <row r="277" spans="1:32" s="48" customFormat="1" outlineLevel="1">
      <c r="A277" s="450" t="s">
        <v>300</v>
      </c>
      <c r="B277" s="302">
        <v>2039</v>
      </c>
      <c r="C277" s="451">
        <v>0</v>
      </c>
      <c r="D277" s="451">
        <v>0</v>
      </c>
      <c r="E277" s="451">
        <v>0</v>
      </c>
      <c r="F277" s="451"/>
      <c r="G277" s="451">
        <v>0</v>
      </c>
      <c r="H277" s="451">
        <v>0</v>
      </c>
      <c r="I277" s="451">
        <v>0</v>
      </c>
      <c r="J277" s="301"/>
      <c r="K277" s="301"/>
      <c r="L277" s="301"/>
      <c r="M277" s="301"/>
      <c r="Q277" s="300">
        <f t="shared" si="26"/>
        <v>0</v>
      </c>
      <c r="S277" s="300">
        <f t="shared" si="29"/>
        <v>0</v>
      </c>
      <c r="T277" s="300">
        <f t="shared" si="30"/>
        <v>0</v>
      </c>
      <c r="U277" s="300">
        <f t="shared" si="31"/>
        <v>0</v>
      </c>
      <c r="V277" s="300">
        <v>-1541.3891482203535</v>
      </c>
      <c r="W277" s="300">
        <v>-5201.2897037572202</v>
      </c>
      <c r="X277" s="300">
        <v>-6742.6788519775737</v>
      </c>
      <c r="Z277" s="300">
        <v>0</v>
      </c>
      <c r="AA277" s="239"/>
      <c r="AB277" s="300">
        <v>0</v>
      </c>
      <c r="AC277" s="300">
        <v>-6742.6788519775737</v>
      </c>
      <c r="AE277" s="452" t="e">
        <f t="shared" si="27"/>
        <v>#DIV/0!</v>
      </c>
      <c r="AF277" s="452" t="e">
        <f t="shared" si="28"/>
        <v>#DIV/0!</v>
      </c>
    </row>
    <row r="278" spans="1:32" s="48" customFormat="1">
      <c r="A278" s="450" t="s">
        <v>301</v>
      </c>
      <c r="B278" s="302">
        <v>2040</v>
      </c>
      <c r="C278" s="451">
        <v>0</v>
      </c>
      <c r="D278" s="451">
        <v>0</v>
      </c>
      <c r="E278" s="451">
        <v>0</v>
      </c>
      <c r="F278" s="451"/>
      <c r="G278" s="451">
        <v>0</v>
      </c>
      <c r="H278" s="451">
        <v>0</v>
      </c>
      <c r="I278" s="451">
        <v>0</v>
      </c>
      <c r="J278" s="301"/>
      <c r="K278" s="301"/>
      <c r="L278" s="301"/>
      <c r="M278" s="301"/>
      <c r="Q278" s="300">
        <f t="shared" si="26"/>
        <v>0</v>
      </c>
      <c r="S278" s="300">
        <f t="shared" si="29"/>
        <v>0</v>
      </c>
      <c r="T278" s="300">
        <f t="shared" si="30"/>
        <v>0</v>
      </c>
      <c r="U278" s="300">
        <f t="shared" si="31"/>
        <v>0</v>
      </c>
      <c r="V278" s="300">
        <v>-1541.3891482203535</v>
      </c>
      <c r="W278" s="300">
        <v>-5201.2897037572202</v>
      </c>
      <c r="X278" s="300">
        <v>-6742.6788519775737</v>
      </c>
      <c r="Z278" s="300">
        <v>0</v>
      </c>
      <c r="AA278" s="239"/>
      <c r="AB278" s="300">
        <v>0</v>
      </c>
      <c r="AC278" s="300">
        <v>-6742.6788519775737</v>
      </c>
      <c r="AE278" s="452" t="e">
        <f t="shared" si="27"/>
        <v>#DIV/0!</v>
      </c>
      <c r="AF278" s="452" t="e">
        <f t="shared" si="28"/>
        <v>#DIV/0!</v>
      </c>
    </row>
    <row r="279" spans="1:32" s="48" customFormat="1">
      <c r="A279" s="450" t="s">
        <v>302</v>
      </c>
      <c r="B279" s="302">
        <v>2040</v>
      </c>
      <c r="C279" s="451">
        <v>0</v>
      </c>
      <c r="D279" s="451">
        <v>0</v>
      </c>
      <c r="E279" s="451">
        <v>0</v>
      </c>
      <c r="F279" s="451"/>
      <c r="G279" s="451">
        <v>0</v>
      </c>
      <c r="H279" s="451">
        <v>0</v>
      </c>
      <c r="I279" s="451">
        <v>0</v>
      </c>
      <c r="J279" s="301"/>
      <c r="K279" s="301"/>
      <c r="L279" s="301"/>
      <c r="M279" s="301"/>
      <c r="Q279" s="300">
        <f t="shared" ref="Q279:Q342" si="32">SUM(G279:M279)</f>
        <v>0</v>
      </c>
      <c r="S279" s="300">
        <f t="shared" si="29"/>
        <v>0</v>
      </c>
      <c r="T279" s="300">
        <f t="shared" si="30"/>
        <v>0</v>
      </c>
      <c r="U279" s="300">
        <f t="shared" si="31"/>
        <v>0</v>
      </c>
      <c r="V279" s="300">
        <v>-1541.3891482203535</v>
      </c>
      <c r="W279" s="300">
        <v>-5201.2897037572202</v>
      </c>
      <c r="X279" s="300">
        <v>-6742.6788519775737</v>
      </c>
      <c r="Z279" s="300">
        <v>0</v>
      </c>
      <c r="AA279" s="239"/>
      <c r="AB279" s="300">
        <v>0</v>
      </c>
      <c r="AC279" s="300">
        <v>-6742.6788519775737</v>
      </c>
      <c r="AE279" s="452" t="e">
        <f t="shared" ref="AE279:AE342" si="33">(S279+U279)/E279*12</f>
        <v>#DIV/0!</v>
      </c>
      <c r="AF279" s="452" t="e">
        <f t="shared" ref="AF279:AF342" si="34">(S279+T279+U279)/E279*12</f>
        <v>#DIV/0!</v>
      </c>
    </row>
    <row r="280" spans="1:32" s="48" customFormat="1">
      <c r="A280" s="450" t="s">
        <v>303</v>
      </c>
      <c r="B280" s="302">
        <v>2040</v>
      </c>
      <c r="C280" s="451">
        <v>0</v>
      </c>
      <c r="D280" s="451">
        <v>0</v>
      </c>
      <c r="E280" s="451">
        <v>0</v>
      </c>
      <c r="F280" s="451"/>
      <c r="G280" s="451">
        <v>0</v>
      </c>
      <c r="H280" s="451">
        <v>0</v>
      </c>
      <c r="I280" s="451">
        <v>0</v>
      </c>
      <c r="J280" s="301"/>
      <c r="K280" s="301"/>
      <c r="L280" s="301"/>
      <c r="M280" s="301"/>
      <c r="Q280" s="300">
        <f t="shared" si="32"/>
        <v>0</v>
      </c>
      <c r="S280" s="300">
        <f t="shared" si="29"/>
        <v>0</v>
      </c>
      <c r="T280" s="300">
        <f t="shared" si="30"/>
        <v>0</v>
      </c>
      <c r="U280" s="300">
        <f t="shared" si="31"/>
        <v>0</v>
      </c>
      <c r="V280" s="300">
        <v>-1541.3891482203535</v>
      </c>
      <c r="W280" s="300">
        <v>-5201.2897037572202</v>
      </c>
      <c r="X280" s="300">
        <v>-6742.6788519775737</v>
      </c>
      <c r="Z280" s="300">
        <v>0</v>
      </c>
      <c r="AA280" s="239"/>
      <c r="AB280" s="300">
        <v>0</v>
      </c>
      <c r="AC280" s="300">
        <v>-6742.6788519775737</v>
      </c>
      <c r="AE280" s="452" t="e">
        <f t="shared" si="33"/>
        <v>#DIV/0!</v>
      </c>
      <c r="AF280" s="452" t="e">
        <f t="shared" si="34"/>
        <v>#DIV/0!</v>
      </c>
    </row>
    <row r="281" spans="1:32" s="48" customFormat="1">
      <c r="A281" s="450" t="s">
        <v>304</v>
      </c>
      <c r="B281" s="302">
        <v>2040</v>
      </c>
      <c r="C281" s="451">
        <v>0</v>
      </c>
      <c r="D281" s="451">
        <v>0</v>
      </c>
      <c r="E281" s="451">
        <v>0</v>
      </c>
      <c r="F281" s="451"/>
      <c r="G281" s="451">
        <v>0</v>
      </c>
      <c r="H281" s="451">
        <v>0</v>
      </c>
      <c r="I281" s="451">
        <v>0</v>
      </c>
      <c r="J281" s="301"/>
      <c r="K281" s="301"/>
      <c r="L281" s="301"/>
      <c r="M281" s="301"/>
      <c r="Q281" s="300">
        <f t="shared" si="32"/>
        <v>0</v>
      </c>
      <c r="S281" s="300">
        <f t="shared" si="29"/>
        <v>0</v>
      </c>
      <c r="T281" s="300">
        <f t="shared" si="30"/>
        <v>0</v>
      </c>
      <c r="U281" s="300">
        <f t="shared" si="31"/>
        <v>0</v>
      </c>
      <c r="V281" s="300">
        <v>-1541.3891482203535</v>
      </c>
      <c r="W281" s="300">
        <v>-5201.2897037572202</v>
      </c>
      <c r="X281" s="300">
        <v>-6742.6788519775737</v>
      </c>
      <c r="Z281" s="300">
        <v>0</v>
      </c>
      <c r="AA281" s="239"/>
      <c r="AB281" s="300">
        <v>0</v>
      </c>
      <c r="AC281" s="300">
        <v>-6742.6788519775737</v>
      </c>
      <c r="AE281" s="452" t="e">
        <f t="shared" si="33"/>
        <v>#DIV/0!</v>
      </c>
      <c r="AF281" s="452" t="e">
        <f t="shared" si="34"/>
        <v>#DIV/0!</v>
      </c>
    </row>
    <row r="282" spans="1:32" s="48" customFormat="1">
      <c r="A282" s="450" t="s">
        <v>305</v>
      </c>
      <c r="B282" s="302">
        <v>2040</v>
      </c>
      <c r="C282" s="451">
        <v>0</v>
      </c>
      <c r="D282" s="451">
        <v>0</v>
      </c>
      <c r="E282" s="451">
        <v>0</v>
      </c>
      <c r="F282" s="451"/>
      <c r="G282" s="451">
        <v>0</v>
      </c>
      <c r="H282" s="451">
        <v>0</v>
      </c>
      <c r="I282" s="451">
        <v>0</v>
      </c>
      <c r="J282" s="301"/>
      <c r="K282" s="301"/>
      <c r="L282" s="301"/>
      <c r="M282" s="301"/>
      <c r="Q282" s="300">
        <f t="shared" si="32"/>
        <v>0</v>
      </c>
      <c r="S282" s="300">
        <f t="shared" si="29"/>
        <v>0</v>
      </c>
      <c r="T282" s="300">
        <f t="shared" si="30"/>
        <v>0</v>
      </c>
      <c r="U282" s="300">
        <f t="shared" si="31"/>
        <v>0</v>
      </c>
      <c r="V282" s="300">
        <v>-1541.3891482203535</v>
      </c>
      <c r="W282" s="300">
        <v>-5201.2897037572202</v>
      </c>
      <c r="X282" s="300">
        <v>-6742.6788519775737</v>
      </c>
      <c r="Z282" s="300">
        <v>0</v>
      </c>
      <c r="AA282" s="239"/>
      <c r="AB282" s="300">
        <v>0</v>
      </c>
      <c r="AC282" s="300">
        <v>-6742.6788519775737</v>
      </c>
      <c r="AE282" s="452" t="e">
        <f t="shared" si="33"/>
        <v>#DIV/0!</v>
      </c>
      <c r="AF282" s="452" t="e">
        <f t="shared" si="34"/>
        <v>#DIV/0!</v>
      </c>
    </row>
    <row r="283" spans="1:32" s="48" customFormat="1">
      <c r="A283" s="450" t="s">
        <v>306</v>
      </c>
      <c r="B283" s="302">
        <v>2040</v>
      </c>
      <c r="C283" s="451">
        <v>0</v>
      </c>
      <c r="D283" s="451">
        <v>0</v>
      </c>
      <c r="E283" s="451">
        <v>0</v>
      </c>
      <c r="F283" s="451"/>
      <c r="G283" s="451">
        <v>0</v>
      </c>
      <c r="H283" s="451">
        <v>0</v>
      </c>
      <c r="I283" s="451">
        <v>0</v>
      </c>
      <c r="J283" s="301"/>
      <c r="K283" s="301"/>
      <c r="L283" s="301"/>
      <c r="M283" s="301"/>
      <c r="Q283" s="300">
        <f t="shared" si="32"/>
        <v>0</v>
      </c>
      <c r="S283" s="300">
        <f t="shared" si="29"/>
        <v>0</v>
      </c>
      <c r="T283" s="300">
        <f t="shared" si="30"/>
        <v>0</v>
      </c>
      <c r="U283" s="300">
        <f t="shared" si="31"/>
        <v>0</v>
      </c>
      <c r="V283" s="300">
        <v>-1541.3891482203535</v>
      </c>
      <c r="W283" s="300">
        <v>-5201.2897037572202</v>
      </c>
      <c r="X283" s="300">
        <v>-6742.6788519775737</v>
      </c>
      <c r="Z283" s="300">
        <v>0</v>
      </c>
      <c r="AA283" s="239"/>
      <c r="AB283" s="300">
        <v>0</v>
      </c>
      <c r="AC283" s="300">
        <v>-6742.6788519775737</v>
      </c>
      <c r="AE283" s="452" t="e">
        <f t="shared" si="33"/>
        <v>#DIV/0!</v>
      </c>
      <c r="AF283" s="452" t="e">
        <f t="shared" si="34"/>
        <v>#DIV/0!</v>
      </c>
    </row>
    <row r="284" spans="1:32" s="48" customFormat="1">
      <c r="A284" s="450" t="s">
        <v>307</v>
      </c>
      <c r="B284" s="302">
        <v>2040</v>
      </c>
      <c r="C284" s="451">
        <v>0</v>
      </c>
      <c r="D284" s="451">
        <v>0</v>
      </c>
      <c r="E284" s="451">
        <v>0</v>
      </c>
      <c r="F284" s="451"/>
      <c r="G284" s="451">
        <v>0</v>
      </c>
      <c r="H284" s="451">
        <v>0</v>
      </c>
      <c r="I284" s="451">
        <v>0</v>
      </c>
      <c r="J284" s="301"/>
      <c r="K284" s="301"/>
      <c r="L284" s="301"/>
      <c r="M284" s="301"/>
      <c r="Q284" s="300">
        <f t="shared" si="32"/>
        <v>0</v>
      </c>
      <c r="S284" s="300">
        <f t="shared" si="29"/>
        <v>0</v>
      </c>
      <c r="T284" s="300">
        <f t="shared" si="30"/>
        <v>0</v>
      </c>
      <c r="U284" s="300">
        <f t="shared" si="31"/>
        <v>0</v>
      </c>
      <c r="V284" s="300">
        <v>-1541.3891482203535</v>
      </c>
      <c r="W284" s="300">
        <v>-5201.2897037572202</v>
      </c>
      <c r="X284" s="300">
        <v>-6742.6788519775737</v>
      </c>
      <c r="Z284" s="300">
        <v>0</v>
      </c>
      <c r="AA284" s="239"/>
      <c r="AB284" s="300">
        <v>0</v>
      </c>
      <c r="AC284" s="300">
        <v>-6742.6788519775737</v>
      </c>
      <c r="AE284" s="452" t="e">
        <f t="shared" si="33"/>
        <v>#DIV/0!</v>
      </c>
      <c r="AF284" s="452" t="e">
        <f t="shared" si="34"/>
        <v>#DIV/0!</v>
      </c>
    </row>
    <row r="285" spans="1:32" s="48" customFormat="1">
      <c r="A285" s="450" t="s">
        <v>308</v>
      </c>
      <c r="B285" s="302">
        <v>2040</v>
      </c>
      <c r="C285" s="451">
        <v>0</v>
      </c>
      <c r="D285" s="451">
        <v>0</v>
      </c>
      <c r="E285" s="451">
        <v>0</v>
      </c>
      <c r="F285" s="451"/>
      <c r="G285" s="451">
        <v>0</v>
      </c>
      <c r="H285" s="451">
        <v>0</v>
      </c>
      <c r="I285" s="451">
        <v>0</v>
      </c>
      <c r="J285" s="301"/>
      <c r="K285" s="301"/>
      <c r="L285" s="301"/>
      <c r="M285" s="301"/>
      <c r="Q285" s="300">
        <f t="shared" si="32"/>
        <v>0</v>
      </c>
      <c r="S285" s="300">
        <f t="shared" si="29"/>
        <v>0</v>
      </c>
      <c r="T285" s="300">
        <f t="shared" si="30"/>
        <v>0</v>
      </c>
      <c r="U285" s="300">
        <f t="shared" si="31"/>
        <v>0</v>
      </c>
      <c r="V285" s="300">
        <v>-1541.3891482203535</v>
      </c>
      <c r="W285" s="300">
        <v>-5201.2897037572202</v>
      </c>
      <c r="X285" s="300">
        <v>-6742.6788519775737</v>
      </c>
      <c r="Z285" s="300">
        <v>0</v>
      </c>
      <c r="AA285" s="239"/>
      <c r="AB285" s="300">
        <v>0</v>
      </c>
      <c r="AC285" s="300">
        <v>-6742.6788519775737</v>
      </c>
      <c r="AE285" s="452" t="e">
        <f t="shared" si="33"/>
        <v>#DIV/0!</v>
      </c>
      <c r="AF285" s="452" t="e">
        <f t="shared" si="34"/>
        <v>#DIV/0!</v>
      </c>
    </row>
    <row r="286" spans="1:32" s="48" customFormat="1">
      <c r="A286" s="450" t="s">
        <v>309</v>
      </c>
      <c r="B286" s="302">
        <v>2040</v>
      </c>
      <c r="C286" s="451">
        <v>0</v>
      </c>
      <c r="D286" s="451">
        <v>0</v>
      </c>
      <c r="E286" s="451">
        <v>0</v>
      </c>
      <c r="F286" s="451"/>
      <c r="G286" s="451">
        <v>0</v>
      </c>
      <c r="H286" s="451">
        <v>0</v>
      </c>
      <c r="I286" s="451">
        <v>0</v>
      </c>
      <c r="J286" s="301"/>
      <c r="K286" s="301"/>
      <c r="L286" s="301"/>
      <c r="M286" s="301"/>
      <c r="Q286" s="300">
        <f t="shared" si="32"/>
        <v>0</v>
      </c>
      <c r="S286" s="300">
        <f t="shared" si="29"/>
        <v>0</v>
      </c>
      <c r="T286" s="300">
        <f t="shared" si="30"/>
        <v>0</v>
      </c>
      <c r="U286" s="300">
        <f t="shared" si="31"/>
        <v>0</v>
      </c>
      <c r="V286" s="300">
        <v>-1541.3891482203535</v>
      </c>
      <c r="W286" s="300">
        <v>-5201.2897037572202</v>
      </c>
      <c r="X286" s="300">
        <v>-6742.6788519775737</v>
      </c>
      <c r="Z286" s="300">
        <v>0</v>
      </c>
      <c r="AA286" s="239"/>
      <c r="AB286" s="300">
        <v>0</v>
      </c>
      <c r="AC286" s="300">
        <v>-6742.6788519775737</v>
      </c>
      <c r="AE286" s="452" t="e">
        <f t="shared" si="33"/>
        <v>#DIV/0!</v>
      </c>
      <c r="AF286" s="452" t="e">
        <f t="shared" si="34"/>
        <v>#DIV/0!</v>
      </c>
    </row>
    <row r="287" spans="1:32" s="48" customFormat="1">
      <c r="A287" s="450" t="s">
        <v>298</v>
      </c>
      <c r="B287" s="302">
        <v>2040</v>
      </c>
      <c r="C287" s="451">
        <v>0</v>
      </c>
      <c r="D287" s="451">
        <v>0</v>
      </c>
      <c r="E287" s="451">
        <v>0</v>
      </c>
      <c r="F287" s="451"/>
      <c r="G287" s="451">
        <v>0</v>
      </c>
      <c r="H287" s="451">
        <v>0</v>
      </c>
      <c r="I287" s="451">
        <v>0</v>
      </c>
      <c r="J287" s="301"/>
      <c r="K287" s="301"/>
      <c r="L287" s="301"/>
      <c r="M287" s="301"/>
      <c r="Q287" s="300">
        <f t="shared" si="32"/>
        <v>0</v>
      </c>
      <c r="S287" s="300">
        <f t="shared" si="29"/>
        <v>0</v>
      </c>
      <c r="T287" s="300">
        <f t="shared" si="30"/>
        <v>0</v>
      </c>
      <c r="U287" s="300">
        <f t="shared" si="31"/>
        <v>0</v>
      </c>
      <c r="V287" s="300">
        <v>-1541.3891482203535</v>
      </c>
      <c r="W287" s="300">
        <v>-5201.2897037572202</v>
      </c>
      <c r="X287" s="300">
        <v>-6742.6788519775737</v>
      </c>
      <c r="Z287" s="300">
        <v>0</v>
      </c>
      <c r="AA287" s="239"/>
      <c r="AB287" s="300">
        <v>0</v>
      </c>
      <c r="AC287" s="300">
        <v>-6742.6788519775737</v>
      </c>
      <c r="AE287" s="452" t="e">
        <f t="shared" si="33"/>
        <v>#DIV/0!</v>
      </c>
      <c r="AF287" s="452" t="e">
        <f t="shared" si="34"/>
        <v>#DIV/0!</v>
      </c>
    </row>
    <row r="288" spans="1:32" s="48" customFormat="1">
      <c r="A288" s="450" t="s">
        <v>299</v>
      </c>
      <c r="B288" s="302">
        <v>2040</v>
      </c>
      <c r="C288" s="451">
        <v>0</v>
      </c>
      <c r="D288" s="451">
        <v>0</v>
      </c>
      <c r="E288" s="451">
        <v>0</v>
      </c>
      <c r="F288" s="451"/>
      <c r="G288" s="451">
        <v>0</v>
      </c>
      <c r="H288" s="451">
        <v>0</v>
      </c>
      <c r="I288" s="451">
        <v>0</v>
      </c>
      <c r="J288" s="301"/>
      <c r="K288" s="301"/>
      <c r="L288" s="301"/>
      <c r="M288" s="301"/>
      <c r="Q288" s="300">
        <f t="shared" si="32"/>
        <v>0</v>
      </c>
      <c r="S288" s="300">
        <f t="shared" si="29"/>
        <v>0</v>
      </c>
      <c r="T288" s="300">
        <f t="shared" si="30"/>
        <v>0</v>
      </c>
      <c r="U288" s="300">
        <f t="shared" si="31"/>
        <v>0</v>
      </c>
      <c r="V288" s="300">
        <v>-1541.3891482203535</v>
      </c>
      <c r="W288" s="300">
        <v>-5201.2897037572202</v>
      </c>
      <c r="X288" s="300">
        <v>-6742.6788519775737</v>
      </c>
      <c r="Z288" s="300">
        <v>0</v>
      </c>
      <c r="AA288" s="239"/>
      <c r="AB288" s="300">
        <v>0</v>
      </c>
      <c r="AC288" s="300">
        <v>-6742.6788519775737</v>
      </c>
      <c r="AE288" s="452" t="e">
        <f t="shared" si="33"/>
        <v>#DIV/0!</v>
      </c>
      <c r="AF288" s="452" t="e">
        <f t="shared" si="34"/>
        <v>#DIV/0!</v>
      </c>
    </row>
    <row r="289" spans="1:32" s="48" customFormat="1">
      <c r="A289" s="450" t="s">
        <v>300</v>
      </c>
      <c r="B289" s="302">
        <v>2040</v>
      </c>
      <c r="C289" s="451">
        <v>0</v>
      </c>
      <c r="D289" s="451">
        <v>0</v>
      </c>
      <c r="E289" s="451">
        <v>0</v>
      </c>
      <c r="F289" s="451"/>
      <c r="G289" s="451">
        <v>0</v>
      </c>
      <c r="H289" s="451">
        <v>0</v>
      </c>
      <c r="I289" s="451">
        <v>0</v>
      </c>
      <c r="J289" s="301"/>
      <c r="K289" s="301"/>
      <c r="L289" s="301"/>
      <c r="M289" s="301"/>
      <c r="Q289" s="300">
        <f t="shared" si="32"/>
        <v>0</v>
      </c>
      <c r="S289" s="300">
        <f t="shared" si="29"/>
        <v>0</v>
      </c>
      <c r="T289" s="300">
        <f t="shared" si="30"/>
        <v>0</v>
      </c>
      <c r="U289" s="300">
        <f t="shared" si="31"/>
        <v>0</v>
      </c>
      <c r="V289" s="300">
        <v>-1541.3891482203535</v>
      </c>
      <c r="W289" s="300">
        <v>-5201.2897037572202</v>
      </c>
      <c r="X289" s="300">
        <v>-6742.6788519775737</v>
      </c>
      <c r="Z289" s="300">
        <v>0</v>
      </c>
      <c r="AA289" s="239"/>
      <c r="AB289" s="300">
        <v>0</v>
      </c>
      <c r="AC289" s="300">
        <v>-6742.6788519775737</v>
      </c>
      <c r="AE289" s="452" t="e">
        <f t="shared" si="33"/>
        <v>#DIV/0!</v>
      </c>
      <c r="AF289" s="452" t="e">
        <f t="shared" si="34"/>
        <v>#DIV/0!</v>
      </c>
    </row>
    <row r="290" spans="1:32" s="48" customFormat="1">
      <c r="A290" s="450" t="s">
        <v>301</v>
      </c>
      <c r="B290" s="302">
        <v>2041</v>
      </c>
      <c r="C290" s="451">
        <v>0</v>
      </c>
      <c r="D290" s="451">
        <v>0</v>
      </c>
      <c r="E290" s="451">
        <v>0</v>
      </c>
      <c r="F290" s="451"/>
      <c r="G290" s="451">
        <v>0</v>
      </c>
      <c r="H290" s="451">
        <v>0</v>
      </c>
      <c r="I290" s="451">
        <v>0</v>
      </c>
      <c r="J290" s="301"/>
      <c r="K290" s="301"/>
      <c r="L290" s="301"/>
      <c r="M290" s="301"/>
      <c r="Q290" s="300">
        <f t="shared" si="32"/>
        <v>0</v>
      </c>
      <c r="S290" s="300">
        <f t="shared" si="29"/>
        <v>0</v>
      </c>
      <c r="T290" s="300">
        <f t="shared" si="30"/>
        <v>0</v>
      </c>
      <c r="U290" s="300">
        <f t="shared" si="31"/>
        <v>0</v>
      </c>
      <c r="V290" s="300">
        <v>-1541.3891482203535</v>
      </c>
      <c r="W290" s="300">
        <v>-5201.2897037572202</v>
      </c>
      <c r="X290" s="300">
        <v>-6742.6788519775737</v>
      </c>
      <c r="Z290" s="300">
        <v>0</v>
      </c>
      <c r="AA290" s="239"/>
      <c r="AB290" s="300">
        <v>0</v>
      </c>
      <c r="AC290" s="300">
        <v>-6742.6788519775737</v>
      </c>
      <c r="AE290" s="452" t="e">
        <f t="shared" si="33"/>
        <v>#DIV/0!</v>
      </c>
      <c r="AF290" s="452" t="e">
        <f t="shared" si="34"/>
        <v>#DIV/0!</v>
      </c>
    </row>
    <row r="291" spans="1:32" s="48" customFormat="1">
      <c r="A291" s="450" t="s">
        <v>302</v>
      </c>
      <c r="B291" s="302">
        <v>2041</v>
      </c>
      <c r="C291" s="451">
        <v>0</v>
      </c>
      <c r="D291" s="451">
        <v>0</v>
      </c>
      <c r="E291" s="451">
        <v>0</v>
      </c>
      <c r="F291" s="451"/>
      <c r="G291" s="451">
        <v>0</v>
      </c>
      <c r="H291" s="451">
        <v>0</v>
      </c>
      <c r="I291" s="451">
        <v>0</v>
      </c>
      <c r="J291" s="301"/>
      <c r="K291" s="301"/>
      <c r="L291" s="301"/>
      <c r="M291" s="301"/>
      <c r="Q291" s="300">
        <f t="shared" si="32"/>
        <v>0</v>
      </c>
      <c r="S291" s="300">
        <f t="shared" si="29"/>
        <v>0</v>
      </c>
      <c r="T291" s="300">
        <f t="shared" si="30"/>
        <v>0</v>
      </c>
      <c r="U291" s="300">
        <f t="shared" si="31"/>
        <v>0</v>
      </c>
      <c r="V291" s="300">
        <v>-1541.3891482203535</v>
      </c>
      <c r="W291" s="300">
        <v>-5201.2897037572202</v>
      </c>
      <c r="X291" s="300">
        <v>-6742.6788519775737</v>
      </c>
      <c r="Z291" s="300">
        <v>0</v>
      </c>
      <c r="AA291" s="239"/>
      <c r="AB291" s="300">
        <v>0</v>
      </c>
      <c r="AC291" s="300">
        <v>-6742.6788519775737</v>
      </c>
      <c r="AE291" s="452" t="e">
        <f t="shared" si="33"/>
        <v>#DIV/0!</v>
      </c>
      <c r="AF291" s="452" t="e">
        <f t="shared" si="34"/>
        <v>#DIV/0!</v>
      </c>
    </row>
    <row r="292" spans="1:32" s="48" customFormat="1">
      <c r="A292" s="450" t="s">
        <v>303</v>
      </c>
      <c r="B292" s="302">
        <v>2041</v>
      </c>
      <c r="C292" s="451">
        <v>0</v>
      </c>
      <c r="D292" s="451">
        <v>0</v>
      </c>
      <c r="E292" s="451">
        <v>0</v>
      </c>
      <c r="F292" s="451"/>
      <c r="G292" s="451">
        <v>0</v>
      </c>
      <c r="H292" s="451">
        <v>0</v>
      </c>
      <c r="I292" s="451">
        <v>0</v>
      </c>
      <c r="J292" s="301"/>
      <c r="K292" s="301"/>
      <c r="L292" s="301"/>
      <c r="M292" s="301"/>
      <c r="Q292" s="300">
        <f t="shared" si="32"/>
        <v>0</v>
      </c>
      <c r="S292" s="300">
        <f t="shared" si="29"/>
        <v>0</v>
      </c>
      <c r="T292" s="300">
        <f t="shared" si="30"/>
        <v>0</v>
      </c>
      <c r="U292" s="300">
        <f t="shared" si="31"/>
        <v>0</v>
      </c>
      <c r="V292" s="300">
        <v>-1541.3891482203535</v>
      </c>
      <c r="W292" s="300">
        <v>-5201.2897037572202</v>
      </c>
      <c r="X292" s="300">
        <v>-6742.6788519775737</v>
      </c>
      <c r="Z292" s="300">
        <v>0</v>
      </c>
      <c r="AA292" s="239"/>
      <c r="AB292" s="300">
        <v>0</v>
      </c>
      <c r="AC292" s="300">
        <v>-6742.6788519775737</v>
      </c>
      <c r="AE292" s="452" t="e">
        <f t="shared" si="33"/>
        <v>#DIV/0!</v>
      </c>
      <c r="AF292" s="452" t="e">
        <f t="shared" si="34"/>
        <v>#DIV/0!</v>
      </c>
    </row>
    <row r="293" spans="1:32" s="48" customFormat="1">
      <c r="A293" s="450" t="s">
        <v>304</v>
      </c>
      <c r="B293" s="302">
        <v>2041</v>
      </c>
      <c r="C293" s="451">
        <v>0</v>
      </c>
      <c r="D293" s="451">
        <v>0</v>
      </c>
      <c r="E293" s="451">
        <v>0</v>
      </c>
      <c r="F293" s="451"/>
      <c r="G293" s="451">
        <v>0</v>
      </c>
      <c r="H293" s="451">
        <v>0</v>
      </c>
      <c r="I293" s="451">
        <v>0</v>
      </c>
      <c r="J293" s="301"/>
      <c r="K293" s="301"/>
      <c r="L293" s="301"/>
      <c r="M293" s="301"/>
      <c r="Q293" s="300">
        <f t="shared" si="32"/>
        <v>0</v>
      </c>
      <c r="S293" s="300">
        <f t="shared" ref="S293:S356" si="35">E293*(($V$13+$V$14)/12)</f>
        <v>0</v>
      </c>
      <c r="T293" s="300">
        <f t="shared" ref="T293:T356" si="36">E293*($AA$16/12)</f>
        <v>0</v>
      </c>
      <c r="U293" s="300">
        <f t="shared" ref="U293:U356" si="37">E293*($V$15/12)</f>
        <v>0</v>
      </c>
      <c r="V293" s="300">
        <v>-1541.3891482203535</v>
      </c>
      <c r="W293" s="300">
        <v>-5201.2897037572202</v>
      </c>
      <c r="X293" s="300">
        <v>-6742.6788519775737</v>
      </c>
      <c r="Z293" s="300">
        <v>0</v>
      </c>
      <c r="AA293" s="239"/>
      <c r="AB293" s="300">
        <v>0</v>
      </c>
      <c r="AC293" s="300">
        <v>-6742.6788519775737</v>
      </c>
      <c r="AE293" s="452" t="e">
        <f t="shared" si="33"/>
        <v>#DIV/0!</v>
      </c>
      <c r="AF293" s="452" t="e">
        <f t="shared" si="34"/>
        <v>#DIV/0!</v>
      </c>
    </row>
    <row r="294" spans="1:32" s="48" customFormat="1">
      <c r="A294" s="450" t="s">
        <v>305</v>
      </c>
      <c r="B294" s="302">
        <v>2041</v>
      </c>
      <c r="C294" s="451">
        <v>0</v>
      </c>
      <c r="D294" s="451">
        <v>0</v>
      </c>
      <c r="E294" s="451">
        <v>0</v>
      </c>
      <c r="F294" s="451"/>
      <c r="G294" s="451">
        <v>0</v>
      </c>
      <c r="H294" s="451">
        <v>0</v>
      </c>
      <c r="I294" s="451">
        <v>0</v>
      </c>
      <c r="J294" s="301"/>
      <c r="K294" s="301"/>
      <c r="L294" s="301"/>
      <c r="M294" s="301"/>
      <c r="Q294" s="300">
        <f t="shared" si="32"/>
        <v>0</v>
      </c>
      <c r="S294" s="300">
        <f t="shared" si="35"/>
        <v>0</v>
      </c>
      <c r="T294" s="300">
        <f t="shared" si="36"/>
        <v>0</v>
      </c>
      <c r="U294" s="300">
        <f t="shared" si="37"/>
        <v>0</v>
      </c>
      <c r="V294" s="300">
        <v>-1541.3891482203535</v>
      </c>
      <c r="W294" s="300">
        <v>-5201.2897037572202</v>
      </c>
      <c r="X294" s="300">
        <v>-6742.6788519775737</v>
      </c>
      <c r="Z294" s="300">
        <v>0</v>
      </c>
      <c r="AA294" s="239"/>
      <c r="AB294" s="300">
        <v>0</v>
      </c>
      <c r="AC294" s="300">
        <v>-6742.6788519775737</v>
      </c>
      <c r="AE294" s="452" t="e">
        <f t="shared" si="33"/>
        <v>#DIV/0!</v>
      </c>
      <c r="AF294" s="452" t="e">
        <f t="shared" si="34"/>
        <v>#DIV/0!</v>
      </c>
    </row>
    <row r="295" spans="1:32" s="48" customFormat="1">
      <c r="A295" s="450" t="s">
        <v>306</v>
      </c>
      <c r="B295" s="302">
        <v>2041</v>
      </c>
      <c r="C295" s="451">
        <v>0</v>
      </c>
      <c r="D295" s="451">
        <v>0</v>
      </c>
      <c r="E295" s="451">
        <v>0</v>
      </c>
      <c r="F295" s="451"/>
      <c r="G295" s="451">
        <v>0</v>
      </c>
      <c r="H295" s="451">
        <v>0</v>
      </c>
      <c r="I295" s="451">
        <v>0</v>
      </c>
      <c r="J295" s="301"/>
      <c r="K295" s="301"/>
      <c r="L295" s="301"/>
      <c r="M295" s="301"/>
      <c r="Q295" s="300">
        <f t="shared" si="32"/>
        <v>0</v>
      </c>
      <c r="S295" s="300">
        <f t="shared" si="35"/>
        <v>0</v>
      </c>
      <c r="T295" s="300">
        <f t="shared" si="36"/>
        <v>0</v>
      </c>
      <c r="U295" s="300">
        <f t="shared" si="37"/>
        <v>0</v>
      </c>
      <c r="V295" s="300">
        <v>-1541.3891482203535</v>
      </c>
      <c r="W295" s="300">
        <v>-5201.2897037572202</v>
      </c>
      <c r="X295" s="300">
        <v>-6742.6788519775737</v>
      </c>
      <c r="Z295" s="300">
        <v>0</v>
      </c>
      <c r="AA295" s="239"/>
      <c r="AB295" s="300">
        <v>0</v>
      </c>
      <c r="AC295" s="300">
        <v>-6742.6788519775737</v>
      </c>
      <c r="AE295" s="452" t="e">
        <f t="shared" si="33"/>
        <v>#DIV/0!</v>
      </c>
      <c r="AF295" s="452" t="e">
        <f t="shared" si="34"/>
        <v>#DIV/0!</v>
      </c>
    </row>
    <row r="296" spans="1:32" s="48" customFormat="1">
      <c r="A296" s="450" t="s">
        <v>307</v>
      </c>
      <c r="B296" s="302">
        <v>2041</v>
      </c>
      <c r="C296" s="451">
        <v>0</v>
      </c>
      <c r="D296" s="451">
        <v>0</v>
      </c>
      <c r="E296" s="451">
        <v>0</v>
      </c>
      <c r="F296" s="451"/>
      <c r="G296" s="451">
        <v>0</v>
      </c>
      <c r="H296" s="451">
        <v>0</v>
      </c>
      <c r="I296" s="451">
        <v>0</v>
      </c>
      <c r="J296" s="301"/>
      <c r="K296" s="301"/>
      <c r="L296" s="301"/>
      <c r="M296" s="301"/>
      <c r="Q296" s="300">
        <f t="shared" si="32"/>
        <v>0</v>
      </c>
      <c r="S296" s="300">
        <f t="shared" si="35"/>
        <v>0</v>
      </c>
      <c r="T296" s="300">
        <f t="shared" si="36"/>
        <v>0</v>
      </c>
      <c r="U296" s="300">
        <f t="shared" si="37"/>
        <v>0</v>
      </c>
      <c r="V296" s="300">
        <v>-1541.3891482203535</v>
      </c>
      <c r="W296" s="300">
        <v>-5201.2897037572202</v>
      </c>
      <c r="X296" s="300">
        <v>-6742.6788519775737</v>
      </c>
      <c r="Z296" s="300">
        <v>0</v>
      </c>
      <c r="AA296" s="239"/>
      <c r="AB296" s="300">
        <v>0</v>
      </c>
      <c r="AC296" s="300">
        <v>-6742.6788519775737</v>
      </c>
      <c r="AE296" s="452" t="e">
        <f t="shared" si="33"/>
        <v>#DIV/0!</v>
      </c>
      <c r="AF296" s="452" t="e">
        <f t="shared" si="34"/>
        <v>#DIV/0!</v>
      </c>
    </row>
    <row r="297" spans="1:32" s="48" customFormat="1">
      <c r="A297" s="450" t="s">
        <v>308</v>
      </c>
      <c r="B297" s="302">
        <v>2041</v>
      </c>
      <c r="C297" s="451">
        <v>0</v>
      </c>
      <c r="D297" s="451">
        <v>0</v>
      </c>
      <c r="E297" s="451">
        <v>0</v>
      </c>
      <c r="F297" s="451"/>
      <c r="G297" s="451">
        <v>0</v>
      </c>
      <c r="H297" s="451">
        <v>0</v>
      </c>
      <c r="I297" s="451">
        <v>0</v>
      </c>
      <c r="J297" s="301"/>
      <c r="K297" s="301"/>
      <c r="L297" s="301"/>
      <c r="M297" s="301"/>
      <c r="Q297" s="300">
        <f t="shared" si="32"/>
        <v>0</v>
      </c>
      <c r="S297" s="300">
        <f t="shared" si="35"/>
        <v>0</v>
      </c>
      <c r="T297" s="300">
        <f t="shared" si="36"/>
        <v>0</v>
      </c>
      <c r="U297" s="300">
        <f t="shared" si="37"/>
        <v>0</v>
      </c>
      <c r="V297" s="300">
        <v>-1541.3891482203535</v>
      </c>
      <c r="W297" s="300">
        <v>-5201.2897037572202</v>
      </c>
      <c r="X297" s="300">
        <v>-6742.6788519775737</v>
      </c>
      <c r="Z297" s="300">
        <v>0</v>
      </c>
      <c r="AA297" s="239"/>
      <c r="AB297" s="300">
        <v>0</v>
      </c>
      <c r="AC297" s="300">
        <v>-6742.6788519775737</v>
      </c>
      <c r="AE297" s="452" t="e">
        <f t="shared" si="33"/>
        <v>#DIV/0!</v>
      </c>
      <c r="AF297" s="452" t="e">
        <f t="shared" si="34"/>
        <v>#DIV/0!</v>
      </c>
    </row>
    <row r="298" spans="1:32" s="48" customFormat="1">
      <c r="A298" s="450" t="s">
        <v>309</v>
      </c>
      <c r="B298" s="302">
        <v>2041</v>
      </c>
      <c r="C298" s="451">
        <v>0</v>
      </c>
      <c r="D298" s="451">
        <v>0</v>
      </c>
      <c r="E298" s="451">
        <v>0</v>
      </c>
      <c r="F298" s="451"/>
      <c r="G298" s="451">
        <v>0</v>
      </c>
      <c r="H298" s="451">
        <v>0</v>
      </c>
      <c r="I298" s="451">
        <v>0</v>
      </c>
      <c r="J298" s="301"/>
      <c r="K298" s="301"/>
      <c r="L298" s="301"/>
      <c r="M298" s="301"/>
      <c r="Q298" s="300">
        <f t="shared" si="32"/>
        <v>0</v>
      </c>
      <c r="S298" s="300">
        <f t="shared" si="35"/>
        <v>0</v>
      </c>
      <c r="T298" s="300">
        <f t="shared" si="36"/>
        <v>0</v>
      </c>
      <c r="U298" s="300">
        <f t="shared" si="37"/>
        <v>0</v>
      </c>
      <c r="V298" s="300">
        <v>-1541.3891482203535</v>
      </c>
      <c r="W298" s="300">
        <v>-5201.2897037572202</v>
      </c>
      <c r="X298" s="300">
        <v>-6742.6788519775737</v>
      </c>
      <c r="Z298" s="300">
        <v>0</v>
      </c>
      <c r="AA298" s="239"/>
      <c r="AB298" s="300">
        <v>0</v>
      </c>
      <c r="AC298" s="300">
        <v>-6742.6788519775737</v>
      </c>
      <c r="AE298" s="452" t="e">
        <f t="shared" si="33"/>
        <v>#DIV/0!</v>
      </c>
      <c r="AF298" s="452" t="e">
        <f t="shared" si="34"/>
        <v>#DIV/0!</v>
      </c>
    </row>
    <row r="299" spans="1:32" s="48" customFormat="1">
      <c r="A299" s="450" t="s">
        <v>298</v>
      </c>
      <c r="B299" s="302">
        <v>2041</v>
      </c>
      <c r="C299" s="451">
        <v>0</v>
      </c>
      <c r="D299" s="451">
        <v>0</v>
      </c>
      <c r="E299" s="451">
        <v>0</v>
      </c>
      <c r="F299" s="451"/>
      <c r="G299" s="451">
        <v>0</v>
      </c>
      <c r="H299" s="451">
        <v>0</v>
      </c>
      <c r="I299" s="451">
        <v>0</v>
      </c>
      <c r="J299" s="301"/>
      <c r="K299" s="301"/>
      <c r="L299" s="301"/>
      <c r="M299" s="301"/>
      <c r="Q299" s="300">
        <f t="shared" si="32"/>
        <v>0</v>
      </c>
      <c r="S299" s="300">
        <f t="shared" si="35"/>
        <v>0</v>
      </c>
      <c r="T299" s="300">
        <f t="shared" si="36"/>
        <v>0</v>
      </c>
      <c r="U299" s="300">
        <f t="shared" si="37"/>
        <v>0</v>
      </c>
      <c r="V299" s="300">
        <v>-1541.3891482203535</v>
      </c>
      <c r="W299" s="300">
        <v>-5201.2897037572202</v>
      </c>
      <c r="X299" s="300">
        <v>-6742.6788519775737</v>
      </c>
      <c r="Z299" s="300">
        <v>0</v>
      </c>
      <c r="AA299" s="239"/>
      <c r="AB299" s="300">
        <v>0</v>
      </c>
      <c r="AC299" s="300">
        <v>-6742.6788519775737</v>
      </c>
      <c r="AE299" s="452" t="e">
        <f t="shared" si="33"/>
        <v>#DIV/0!</v>
      </c>
      <c r="AF299" s="452" t="e">
        <f t="shared" si="34"/>
        <v>#DIV/0!</v>
      </c>
    </row>
    <row r="300" spans="1:32" s="48" customFormat="1">
      <c r="A300" s="450" t="s">
        <v>299</v>
      </c>
      <c r="B300" s="302">
        <v>2041</v>
      </c>
      <c r="C300" s="451">
        <v>0</v>
      </c>
      <c r="D300" s="451">
        <v>0</v>
      </c>
      <c r="E300" s="451">
        <v>0</v>
      </c>
      <c r="F300" s="451"/>
      <c r="G300" s="451">
        <v>0</v>
      </c>
      <c r="H300" s="451">
        <v>0</v>
      </c>
      <c r="I300" s="451">
        <v>0</v>
      </c>
      <c r="J300" s="301"/>
      <c r="K300" s="301"/>
      <c r="L300" s="301"/>
      <c r="M300" s="301"/>
      <c r="Q300" s="300">
        <f t="shared" si="32"/>
        <v>0</v>
      </c>
      <c r="S300" s="300">
        <f t="shared" si="35"/>
        <v>0</v>
      </c>
      <c r="T300" s="300">
        <f t="shared" si="36"/>
        <v>0</v>
      </c>
      <c r="U300" s="300">
        <f t="shared" si="37"/>
        <v>0</v>
      </c>
      <c r="V300" s="300">
        <v>-1541.3891482203535</v>
      </c>
      <c r="W300" s="300">
        <v>-5201.2897037572202</v>
      </c>
      <c r="X300" s="300">
        <v>-6742.6788519775737</v>
      </c>
      <c r="Z300" s="300">
        <v>0</v>
      </c>
      <c r="AA300" s="239"/>
      <c r="AB300" s="300">
        <v>0</v>
      </c>
      <c r="AC300" s="300">
        <v>-6742.6788519775737</v>
      </c>
      <c r="AE300" s="452" t="e">
        <f t="shared" si="33"/>
        <v>#DIV/0!</v>
      </c>
      <c r="AF300" s="452" t="e">
        <f t="shared" si="34"/>
        <v>#DIV/0!</v>
      </c>
    </row>
    <row r="301" spans="1:32" s="48" customFormat="1">
      <c r="A301" s="450" t="s">
        <v>300</v>
      </c>
      <c r="B301" s="302">
        <v>2041</v>
      </c>
      <c r="C301" s="451">
        <v>0</v>
      </c>
      <c r="D301" s="451">
        <v>0</v>
      </c>
      <c r="E301" s="451">
        <v>0</v>
      </c>
      <c r="F301" s="451"/>
      <c r="G301" s="451">
        <v>0</v>
      </c>
      <c r="H301" s="451">
        <v>0</v>
      </c>
      <c r="I301" s="451">
        <v>0</v>
      </c>
      <c r="J301" s="301"/>
      <c r="K301" s="301"/>
      <c r="L301" s="301"/>
      <c r="M301" s="301"/>
      <c r="Q301" s="300">
        <f t="shared" si="32"/>
        <v>0</v>
      </c>
      <c r="S301" s="300">
        <f t="shared" si="35"/>
        <v>0</v>
      </c>
      <c r="T301" s="300">
        <f t="shared" si="36"/>
        <v>0</v>
      </c>
      <c r="U301" s="300">
        <f t="shared" si="37"/>
        <v>0</v>
      </c>
      <c r="V301" s="300">
        <v>-1541.3891482203535</v>
      </c>
      <c r="W301" s="300">
        <v>-5201.2897037572202</v>
      </c>
      <c r="X301" s="300">
        <v>-6742.6788519775737</v>
      </c>
      <c r="Z301" s="300">
        <v>0</v>
      </c>
      <c r="AA301" s="239"/>
      <c r="AB301" s="300">
        <v>0</v>
      </c>
      <c r="AC301" s="300">
        <v>-6742.6788519775737</v>
      </c>
      <c r="AE301" s="452" t="e">
        <f t="shared" si="33"/>
        <v>#DIV/0!</v>
      </c>
      <c r="AF301" s="452" t="e">
        <f t="shared" si="34"/>
        <v>#DIV/0!</v>
      </c>
    </row>
    <row r="302" spans="1:32" s="48" customFormat="1">
      <c r="A302" s="450" t="s">
        <v>301</v>
      </c>
      <c r="B302" s="302">
        <v>2042</v>
      </c>
      <c r="C302" s="451">
        <v>0</v>
      </c>
      <c r="D302" s="451">
        <v>0</v>
      </c>
      <c r="E302" s="451">
        <v>0</v>
      </c>
      <c r="F302" s="451"/>
      <c r="G302" s="451">
        <v>0</v>
      </c>
      <c r="H302" s="451">
        <v>0</v>
      </c>
      <c r="I302" s="451">
        <v>0</v>
      </c>
      <c r="J302" s="301"/>
      <c r="K302" s="301"/>
      <c r="L302" s="301"/>
      <c r="M302" s="301"/>
      <c r="Q302" s="300">
        <f t="shared" si="32"/>
        <v>0</v>
      </c>
      <c r="S302" s="300">
        <f t="shared" si="35"/>
        <v>0</v>
      </c>
      <c r="T302" s="300">
        <f t="shared" si="36"/>
        <v>0</v>
      </c>
      <c r="U302" s="300">
        <f t="shared" si="37"/>
        <v>0</v>
      </c>
      <c r="V302" s="300">
        <v>-1541.3891482203535</v>
      </c>
      <c r="W302" s="300">
        <v>-5201.2897037572202</v>
      </c>
      <c r="X302" s="300">
        <v>-6742.6788519775737</v>
      </c>
      <c r="Z302" s="300">
        <v>0</v>
      </c>
      <c r="AA302" s="239"/>
      <c r="AB302" s="300">
        <v>0</v>
      </c>
      <c r="AC302" s="300">
        <v>-6742.6788519775737</v>
      </c>
      <c r="AE302" s="452" t="e">
        <f t="shared" si="33"/>
        <v>#DIV/0!</v>
      </c>
      <c r="AF302" s="452" t="e">
        <f t="shared" si="34"/>
        <v>#DIV/0!</v>
      </c>
    </row>
    <row r="303" spans="1:32" s="48" customFormat="1">
      <c r="A303" s="450" t="s">
        <v>302</v>
      </c>
      <c r="B303" s="302">
        <v>2042</v>
      </c>
      <c r="C303" s="451">
        <v>0</v>
      </c>
      <c r="D303" s="451">
        <v>0</v>
      </c>
      <c r="E303" s="451">
        <v>0</v>
      </c>
      <c r="F303" s="451"/>
      <c r="G303" s="451">
        <v>0</v>
      </c>
      <c r="H303" s="451">
        <v>0</v>
      </c>
      <c r="I303" s="451">
        <v>0</v>
      </c>
      <c r="J303" s="301"/>
      <c r="K303" s="301"/>
      <c r="L303" s="301"/>
      <c r="M303" s="301"/>
      <c r="Q303" s="300">
        <f t="shared" si="32"/>
        <v>0</v>
      </c>
      <c r="S303" s="300">
        <f t="shared" si="35"/>
        <v>0</v>
      </c>
      <c r="T303" s="300">
        <f t="shared" si="36"/>
        <v>0</v>
      </c>
      <c r="U303" s="300">
        <f t="shared" si="37"/>
        <v>0</v>
      </c>
      <c r="V303" s="300">
        <v>-1541.3891482203535</v>
      </c>
      <c r="W303" s="300">
        <v>-5201.2897037572202</v>
      </c>
      <c r="X303" s="300">
        <v>-6742.6788519775737</v>
      </c>
      <c r="Z303" s="300">
        <v>0</v>
      </c>
      <c r="AA303" s="239"/>
      <c r="AB303" s="300">
        <v>0</v>
      </c>
      <c r="AC303" s="300">
        <v>-6742.6788519775737</v>
      </c>
      <c r="AE303" s="452" t="e">
        <f t="shared" si="33"/>
        <v>#DIV/0!</v>
      </c>
      <c r="AF303" s="452" t="e">
        <f t="shared" si="34"/>
        <v>#DIV/0!</v>
      </c>
    </row>
    <row r="304" spans="1:32" s="48" customFormat="1">
      <c r="A304" s="450" t="s">
        <v>303</v>
      </c>
      <c r="B304" s="302">
        <v>2042</v>
      </c>
      <c r="C304" s="451">
        <v>0</v>
      </c>
      <c r="D304" s="451">
        <v>0</v>
      </c>
      <c r="E304" s="451">
        <v>0</v>
      </c>
      <c r="F304" s="451"/>
      <c r="G304" s="451">
        <v>0</v>
      </c>
      <c r="H304" s="451">
        <v>0</v>
      </c>
      <c r="I304" s="451">
        <v>0</v>
      </c>
      <c r="J304" s="301"/>
      <c r="K304" s="301"/>
      <c r="L304" s="301"/>
      <c r="M304" s="301"/>
      <c r="Q304" s="300">
        <f t="shared" si="32"/>
        <v>0</v>
      </c>
      <c r="S304" s="300">
        <f t="shared" si="35"/>
        <v>0</v>
      </c>
      <c r="T304" s="300">
        <f t="shared" si="36"/>
        <v>0</v>
      </c>
      <c r="U304" s="300">
        <f t="shared" si="37"/>
        <v>0</v>
      </c>
      <c r="V304" s="300">
        <v>-1541.3891482203535</v>
      </c>
      <c r="W304" s="300">
        <v>-5201.2897037572202</v>
      </c>
      <c r="X304" s="300">
        <v>-6742.6788519775737</v>
      </c>
      <c r="Z304" s="300">
        <v>0</v>
      </c>
      <c r="AA304" s="239"/>
      <c r="AB304" s="300">
        <v>0</v>
      </c>
      <c r="AC304" s="300">
        <v>-6742.6788519775737</v>
      </c>
      <c r="AE304" s="452" t="e">
        <f t="shared" si="33"/>
        <v>#DIV/0!</v>
      </c>
      <c r="AF304" s="452" t="e">
        <f t="shared" si="34"/>
        <v>#DIV/0!</v>
      </c>
    </row>
    <row r="305" spans="1:32" s="48" customFormat="1">
      <c r="A305" s="450" t="s">
        <v>304</v>
      </c>
      <c r="B305" s="302">
        <v>2042</v>
      </c>
      <c r="C305" s="451">
        <v>0</v>
      </c>
      <c r="D305" s="451">
        <v>0</v>
      </c>
      <c r="E305" s="451">
        <v>0</v>
      </c>
      <c r="F305" s="451"/>
      <c r="G305" s="451">
        <v>0</v>
      </c>
      <c r="H305" s="451">
        <v>0</v>
      </c>
      <c r="I305" s="451">
        <v>0</v>
      </c>
      <c r="J305" s="301"/>
      <c r="K305" s="301"/>
      <c r="L305" s="301"/>
      <c r="M305" s="301"/>
      <c r="Q305" s="300">
        <f t="shared" si="32"/>
        <v>0</v>
      </c>
      <c r="S305" s="300">
        <f t="shared" si="35"/>
        <v>0</v>
      </c>
      <c r="T305" s="300">
        <f t="shared" si="36"/>
        <v>0</v>
      </c>
      <c r="U305" s="300">
        <f t="shared" si="37"/>
        <v>0</v>
      </c>
      <c r="V305" s="300">
        <v>-1541.3891482203535</v>
      </c>
      <c r="W305" s="300">
        <v>-5201.2897037572202</v>
      </c>
      <c r="X305" s="300">
        <v>-6742.6788519775737</v>
      </c>
      <c r="Z305" s="300">
        <v>0</v>
      </c>
      <c r="AA305" s="239"/>
      <c r="AB305" s="300">
        <v>0</v>
      </c>
      <c r="AC305" s="300">
        <v>-6742.6788519775737</v>
      </c>
      <c r="AE305" s="452" t="e">
        <f t="shared" si="33"/>
        <v>#DIV/0!</v>
      </c>
      <c r="AF305" s="452" t="e">
        <f t="shared" si="34"/>
        <v>#DIV/0!</v>
      </c>
    </row>
    <row r="306" spans="1:32" s="48" customFormat="1">
      <c r="A306" s="450" t="s">
        <v>305</v>
      </c>
      <c r="B306" s="302">
        <v>2042</v>
      </c>
      <c r="C306" s="451">
        <v>0</v>
      </c>
      <c r="D306" s="451">
        <v>0</v>
      </c>
      <c r="E306" s="451">
        <v>0</v>
      </c>
      <c r="F306" s="451"/>
      <c r="G306" s="451">
        <v>0</v>
      </c>
      <c r="H306" s="451">
        <v>0</v>
      </c>
      <c r="I306" s="451">
        <v>0</v>
      </c>
      <c r="J306" s="301"/>
      <c r="K306" s="301"/>
      <c r="L306" s="301"/>
      <c r="M306" s="301"/>
      <c r="Q306" s="300">
        <f t="shared" si="32"/>
        <v>0</v>
      </c>
      <c r="S306" s="300">
        <f t="shared" si="35"/>
        <v>0</v>
      </c>
      <c r="T306" s="300">
        <f t="shared" si="36"/>
        <v>0</v>
      </c>
      <c r="U306" s="300">
        <f t="shared" si="37"/>
        <v>0</v>
      </c>
      <c r="V306" s="300">
        <v>-1541.3891482203535</v>
      </c>
      <c r="W306" s="300">
        <v>-5201.2897037572202</v>
      </c>
      <c r="X306" s="300">
        <v>-6742.6788519775737</v>
      </c>
      <c r="Z306" s="300">
        <v>0</v>
      </c>
      <c r="AA306" s="239"/>
      <c r="AB306" s="300">
        <v>0</v>
      </c>
      <c r="AC306" s="300">
        <v>-6742.6788519775737</v>
      </c>
      <c r="AE306" s="452" t="e">
        <f t="shared" si="33"/>
        <v>#DIV/0!</v>
      </c>
      <c r="AF306" s="452" t="e">
        <f t="shared" si="34"/>
        <v>#DIV/0!</v>
      </c>
    </row>
    <row r="307" spans="1:32" s="48" customFormat="1">
      <c r="A307" s="450" t="s">
        <v>306</v>
      </c>
      <c r="B307" s="302">
        <v>2042</v>
      </c>
      <c r="C307" s="451">
        <v>0</v>
      </c>
      <c r="D307" s="451">
        <v>0</v>
      </c>
      <c r="E307" s="451">
        <v>0</v>
      </c>
      <c r="F307" s="451"/>
      <c r="G307" s="451">
        <v>0</v>
      </c>
      <c r="H307" s="451">
        <v>0</v>
      </c>
      <c r="I307" s="451">
        <v>0</v>
      </c>
      <c r="J307" s="301"/>
      <c r="K307" s="301"/>
      <c r="L307" s="301"/>
      <c r="M307" s="301"/>
      <c r="Q307" s="300">
        <f t="shared" si="32"/>
        <v>0</v>
      </c>
      <c r="S307" s="300">
        <f t="shared" si="35"/>
        <v>0</v>
      </c>
      <c r="T307" s="300">
        <f t="shared" si="36"/>
        <v>0</v>
      </c>
      <c r="U307" s="300">
        <f t="shared" si="37"/>
        <v>0</v>
      </c>
      <c r="V307" s="300">
        <v>-1541.3891482203535</v>
      </c>
      <c r="W307" s="300">
        <v>-5201.2897037572202</v>
      </c>
      <c r="X307" s="300">
        <v>-6742.6788519775737</v>
      </c>
      <c r="Z307" s="300">
        <v>0</v>
      </c>
      <c r="AA307" s="239"/>
      <c r="AB307" s="300">
        <v>0</v>
      </c>
      <c r="AC307" s="300">
        <v>-6742.6788519775737</v>
      </c>
      <c r="AE307" s="452" t="e">
        <f t="shared" si="33"/>
        <v>#DIV/0!</v>
      </c>
      <c r="AF307" s="452" t="e">
        <f t="shared" si="34"/>
        <v>#DIV/0!</v>
      </c>
    </row>
    <row r="308" spans="1:32" s="48" customFormat="1">
      <c r="A308" s="450" t="s">
        <v>307</v>
      </c>
      <c r="B308" s="302">
        <v>2042</v>
      </c>
      <c r="C308" s="451">
        <v>0</v>
      </c>
      <c r="D308" s="451">
        <v>0</v>
      </c>
      <c r="E308" s="451">
        <v>0</v>
      </c>
      <c r="F308" s="451"/>
      <c r="G308" s="451">
        <v>0</v>
      </c>
      <c r="H308" s="451">
        <v>0</v>
      </c>
      <c r="I308" s="451">
        <v>0</v>
      </c>
      <c r="J308" s="301"/>
      <c r="K308" s="301"/>
      <c r="L308" s="301"/>
      <c r="M308" s="301"/>
      <c r="Q308" s="300">
        <f t="shared" si="32"/>
        <v>0</v>
      </c>
      <c r="S308" s="300">
        <f t="shared" si="35"/>
        <v>0</v>
      </c>
      <c r="T308" s="300">
        <f t="shared" si="36"/>
        <v>0</v>
      </c>
      <c r="U308" s="300">
        <f t="shared" si="37"/>
        <v>0</v>
      </c>
      <c r="V308" s="300">
        <v>-1541.3891482203535</v>
      </c>
      <c r="W308" s="300">
        <v>-5201.2897037572202</v>
      </c>
      <c r="X308" s="300">
        <v>-6742.6788519775737</v>
      </c>
      <c r="Z308" s="300">
        <v>0</v>
      </c>
      <c r="AA308" s="239"/>
      <c r="AB308" s="300">
        <v>0</v>
      </c>
      <c r="AC308" s="300">
        <v>-6742.6788519775737</v>
      </c>
      <c r="AE308" s="452" t="e">
        <f t="shared" si="33"/>
        <v>#DIV/0!</v>
      </c>
      <c r="AF308" s="452" t="e">
        <f t="shared" si="34"/>
        <v>#DIV/0!</v>
      </c>
    </row>
    <row r="309" spans="1:32" s="48" customFormat="1">
      <c r="A309" s="450" t="s">
        <v>308</v>
      </c>
      <c r="B309" s="302">
        <v>2042</v>
      </c>
      <c r="C309" s="451">
        <v>0</v>
      </c>
      <c r="D309" s="451">
        <v>0</v>
      </c>
      <c r="E309" s="451">
        <v>0</v>
      </c>
      <c r="F309" s="451"/>
      <c r="G309" s="451">
        <v>0</v>
      </c>
      <c r="H309" s="451">
        <v>0</v>
      </c>
      <c r="I309" s="451">
        <v>0</v>
      </c>
      <c r="J309" s="301"/>
      <c r="K309" s="301"/>
      <c r="L309" s="301"/>
      <c r="M309" s="301"/>
      <c r="Q309" s="300">
        <f t="shared" si="32"/>
        <v>0</v>
      </c>
      <c r="S309" s="300">
        <f t="shared" si="35"/>
        <v>0</v>
      </c>
      <c r="T309" s="300">
        <f t="shared" si="36"/>
        <v>0</v>
      </c>
      <c r="U309" s="300">
        <f t="shared" si="37"/>
        <v>0</v>
      </c>
      <c r="V309" s="300">
        <v>-1541.3891482203535</v>
      </c>
      <c r="W309" s="300">
        <v>-5201.2897037572202</v>
      </c>
      <c r="X309" s="300">
        <v>-6742.6788519775737</v>
      </c>
      <c r="Z309" s="300">
        <v>0</v>
      </c>
      <c r="AA309" s="239"/>
      <c r="AB309" s="300">
        <v>0</v>
      </c>
      <c r="AC309" s="300">
        <v>-6742.6788519775737</v>
      </c>
      <c r="AE309" s="452" t="e">
        <f t="shared" si="33"/>
        <v>#DIV/0!</v>
      </c>
      <c r="AF309" s="452" t="e">
        <f t="shared" si="34"/>
        <v>#DIV/0!</v>
      </c>
    </row>
    <row r="310" spans="1:32" s="48" customFormat="1">
      <c r="A310" s="450" t="s">
        <v>309</v>
      </c>
      <c r="B310" s="302">
        <v>2042</v>
      </c>
      <c r="C310" s="451">
        <v>0</v>
      </c>
      <c r="D310" s="451">
        <v>0</v>
      </c>
      <c r="E310" s="451">
        <v>0</v>
      </c>
      <c r="F310" s="451"/>
      <c r="G310" s="451">
        <v>0</v>
      </c>
      <c r="H310" s="451">
        <v>0</v>
      </c>
      <c r="I310" s="451">
        <v>0</v>
      </c>
      <c r="J310" s="301"/>
      <c r="K310" s="301"/>
      <c r="L310" s="301"/>
      <c r="M310" s="301"/>
      <c r="Q310" s="300">
        <f t="shared" si="32"/>
        <v>0</v>
      </c>
      <c r="S310" s="300">
        <f t="shared" si="35"/>
        <v>0</v>
      </c>
      <c r="T310" s="300">
        <f t="shared" si="36"/>
        <v>0</v>
      </c>
      <c r="U310" s="300">
        <f t="shared" si="37"/>
        <v>0</v>
      </c>
      <c r="V310" s="300">
        <v>-1541.3891482203535</v>
      </c>
      <c r="W310" s="300">
        <v>-5201.2897037572202</v>
      </c>
      <c r="X310" s="300">
        <v>-6742.6788519775737</v>
      </c>
      <c r="Z310" s="300">
        <v>0</v>
      </c>
      <c r="AA310" s="239"/>
      <c r="AB310" s="300">
        <v>0</v>
      </c>
      <c r="AC310" s="300">
        <v>-6742.6788519775737</v>
      </c>
      <c r="AE310" s="452" t="e">
        <f t="shared" si="33"/>
        <v>#DIV/0!</v>
      </c>
      <c r="AF310" s="452" t="e">
        <f t="shared" si="34"/>
        <v>#DIV/0!</v>
      </c>
    </row>
    <row r="311" spans="1:32" s="48" customFormat="1">
      <c r="A311" s="450" t="s">
        <v>298</v>
      </c>
      <c r="B311" s="302">
        <v>2042</v>
      </c>
      <c r="C311" s="451">
        <v>0</v>
      </c>
      <c r="D311" s="451">
        <v>0</v>
      </c>
      <c r="E311" s="451">
        <v>0</v>
      </c>
      <c r="F311" s="451"/>
      <c r="G311" s="451">
        <v>0</v>
      </c>
      <c r="H311" s="451">
        <v>0</v>
      </c>
      <c r="I311" s="451">
        <v>0</v>
      </c>
      <c r="J311" s="301"/>
      <c r="K311" s="301"/>
      <c r="L311" s="301"/>
      <c r="M311" s="301"/>
      <c r="Q311" s="300">
        <f t="shared" si="32"/>
        <v>0</v>
      </c>
      <c r="S311" s="300">
        <f t="shared" si="35"/>
        <v>0</v>
      </c>
      <c r="T311" s="300">
        <f t="shared" si="36"/>
        <v>0</v>
      </c>
      <c r="U311" s="300">
        <f t="shared" si="37"/>
        <v>0</v>
      </c>
      <c r="V311" s="300">
        <v>-1541.3891482203535</v>
      </c>
      <c r="W311" s="300">
        <v>-5201.2897037572202</v>
      </c>
      <c r="X311" s="300">
        <v>-6742.6788519775737</v>
      </c>
      <c r="Z311" s="300">
        <v>0</v>
      </c>
      <c r="AA311" s="239"/>
      <c r="AB311" s="300">
        <v>0</v>
      </c>
      <c r="AC311" s="300">
        <v>-6742.6788519775737</v>
      </c>
      <c r="AE311" s="452" t="e">
        <f t="shared" si="33"/>
        <v>#DIV/0!</v>
      </c>
      <c r="AF311" s="452" t="e">
        <f t="shared" si="34"/>
        <v>#DIV/0!</v>
      </c>
    </row>
    <row r="312" spans="1:32" s="48" customFormat="1">
      <c r="A312" s="450" t="s">
        <v>299</v>
      </c>
      <c r="B312" s="302">
        <v>2042</v>
      </c>
      <c r="C312" s="451">
        <v>0</v>
      </c>
      <c r="D312" s="451">
        <v>0</v>
      </c>
      <c r="E312" s="451">
        <v>0</v>
      </c>
      <c r="F312" s="451"/>
      <c r="G312" s="451">
        <v>0</v>
      </c>
      <c r="H312" s="451">
        <v>0</v>
      </c>
      <c r="I312" s="451">
        <v>0</v>
      </c>
      <c r="J312" s="301"/>
      <c r="K312" s="301"/>
      <c r="L312" s="301"/>
      <c r="M312" s="301"/>
      <c r="Q312" s="300">
        <f t="shared" si="32"/>
        <v>0</v>
      </c>
      <c r="S312" s="300">
        <f t="shared" si="35"/>
        <v>0</v>
      </c>
      <c r="T312" s="300">
        <f t="shared" si="36"/>
        <v>0</v>
      </c>
      <c r="U312" s="300">
        <f t="shared" si="37"/>
        <v>0</v>
      </c>
      <c r="V312" s="300">
        <v>-1541.3891482203535</v>
      </c>
      <c r="W312" s="300">
        <v>-5201.2897037572202</v>
      </c>
      <c r="X312" s="300">
        <v>-6742.6788519775737</v>
      </c>
      <c r="Z312" s="300">
        <v>0</v>
      </c>
      <c r="AA312" s="239"/>
      <c r="AB312" s="300">
        <v>0</v>
      </c>
      <c r="AC312" s="300">
        <v>-6742.6788519775737</v>
      </c>
      <c r="AE312" s="452" t="e">
        <f t="shared" si="33"/>
        <v>#DIV/0!</v>
      </c>
      <c r="AF312" s="452" t="e">
        <f t="shared" si="34"/>
        <v>#DIV/0!</v>
      </c>
    </row>
    <row r="313" spans="1:32" s="48" customFormat="1">
      <c r="A313" s="450" t="s">
        <v>300</v>
      </c>
      <c r="B313" s="302">
        <v>2042</v>
      </c>
      <c r="C313" s="451">
        <v>0</v>
      </c>
      <c r="D313" s="451">
        <v>0</v>
      </c>
      <c r="E313" s="451">
        <v>0</v>
      </c>
      <c r="F313" s="451"/>
      <c r="G313" s="451">
        <v>0</v>
      </c>
      <c r="H313" s="451">
        <v>0</v>
      </c>
      <c r="I313" s="451">
        <v>0</v>
      </c>
      <c r="J313" s="301"/>
      <c r="K313" s="301"/>
      <c r="L313" s="301"/>
      <c r="M313" s="301"/>
      <c r="Q313" s="300">
        <f t="shared" si="32"/>
        <v>0</v>
      </c>
      <c r="S313" s="300">
        <f t="shared" si="35"/>
        <v>0</v>
      </c>
      <c r="T313" s="300">
        <f t="shared" si="36"/>
        <v>0</v>
      </c>
      <c r="U313" s="300">
        <f t="shared" si="37"/>
        <v>0</v>
      </c>
      <c r="V313" s="300">
        <v>-1541.3891482203535</v>
      </c>
      <c r="W313" s="300">
        <v>-5201.2897037572202</v>
      </c>
      <c r="X313" s="300">
        <v>-6742.6788519775737</v>
      </c>
      <c r="Z313" s="300">
        <v>0</v>
      </c>
      <c r="AA313" s="239"/>
      <c r="AB313" s="300">
        <v>0</v>
      </c>
      <c r="AC313" s="300">
        <v>-6742.6788519775737</v>
      </c>
      <c r="AE313" s="452" t="e">
        <f t="shared" si="33"/>
        <v>#DIV/0!</v>
      </c>
      <c r="AF313" s="452" t="e">
        <f t="shared" si="34"/>
        <v>#DIV/0!</v>
      </c>
    </row>
    <row r="314" spans="1:32" s="48" customFormat="1">
      <c r="A314" s="450" t="s">
        <v>301</v>
      </c>
      <c r="B314" s="302">
        <v>2043</v>
      </c>
      <c r="C314" s="451">
        <v>0</v>
      </c>
      <c r="D314" s="451">
        <v>0</v>
      </c>
      <c r="E314" s="451">
        <v>0</v>
      </c>
      <c r="F314" s="451"/>
      <c r="G314" s="451">
        <v>0</v>
      </c>
      <c r="H314" s="451">
        <v>0</v>
      </c>
      <c r="I314" s="451">
        <v>0</v>
      </c>
      <c r="J314" s="301"/>
      <c r="K314" s="301"/>
      <c r="L314" s="301"/>
      <c r="M314" s="301"/>
      <c r="Q314" s="300">
        <f t="shared" si="32"/>
        <v>0</v>
      </c>
      <c r="S314" s="300">
        <f t="shared" si="35"/>
        <v>0</v>
      </c>
      <c r="T314" s="300">
        <f t="shared" si="36"/>
        <v>0</v>
      </c>
      <c r="U314" s="300">
        <f t="shared" si="37"/>
        <v>0</v>
      </c>
      <c r="V314" s="300">
        <v>-1541.3891482203535</v>
      </c>
      <c r="W314" s="300">
        <v>-5201.2897037572202</v>
      </c>
      <c r="X314" s="300">
        <v>-6742.6788519775737</v>
      </c>
      <c r="Z314" s="300">
        <v>0</v>
      </c>
      <c r="AA314" s="239"/>
      <c r="AB314" s="300">
        <v>0</v>
      </c>
      <c r="AC314" s="300">
        <v>-6742.6788519775737</v>
      </c>
      <c r="AE314" s="452" t="e">
        <f t="shared" si="33"/>
        <v>#DIV/0!</v>
      </c>
      <c r="AF314" s="452" t="e">
        <f t="shared" si="34"/>
        <v>#DIV/0!</v>
      </c>
    </row>
    <row r="315" spans="1:32" s="48" customFormat="1">
      <c r="A315" s="450" t="s">
        <v>302</v>
      </c>
      <c r="B315" s="302">
        <v>2043</v>
      </c>
      <c r="C315" s="451">
        <v>0</v>
      </c>
      <c r="D315" s="451">
        <v>0</v>
      </c>
      <c r="E315" s="451">
        <v>0</v>
      </c>
      <c r="F315" s="451"/>
      <c r="G315" s="451">
        <v>0</v>
      </c>
      <c r="H315" s="451">
        <v>0</v>
      </c>
      <c r="I315" s="451">
        <v>0</v>
      </c>
      <c r="J315" s="301"/>
      <c r="K315" s="301"/>
      <c r="L315" s="301"/>
      <c r="M315" s="301"/>
      <c r="Q315" s="300">
        <f t="shared" si="32"/>
        <v>0</v>
      </c>
      <c r="S315" s="300">
        <f t="shared" si="35"/>
        <v>0</v>
      </c>
      <c r="T315" s="300">
        <f t="shared" si="36"/>
        <v>0</v>
      </c>
      <c r="U315" s="300">
        <f t="shared" si="37"/>
        <v>0</v>
      </c>
      <c r="V315" s="300">
        <v>-1541.3891482203535</v>
      </c>
      <c r="W315" s="300">
        <v>-5201.2897037572202</v>
      </c>
      <c r="X315" s="300">
        <v>-6742.6788519775737</v>
      </c>
      <c r="Z315" s="300">
        <v>0</v>
      </c>
      <c r="AA315" s="239"/>
      <c r="AB315" s="300">
        <v>0</v>
      </c>
      <c r="AC315" s="300">
        <v>-6742.6788519775737</v>
      </c>
      <c r="AE315" s="452" t="e">
        <f t="shared" si="33"/>
        <v>#DIV/0!</v>
      </c>
      <c r="AF315" s="452" t="e">
        <f t="shared" si="34"/>
        <v>#DIV/0!</v>
      </c>
    </row>
    <row r="316" spans="1:32" s="48" customFormat="1">
      <c r="A316" s="450" t="s">
        <v>303</v>
      </c>
      <c r="B316" s="302">
        <v>2043</v>
      </c>
      <c r="C316" s="451">
        <v>0</v>
      </c>
      <c r="D316" s="451">
        <v>0</v>
      </c>
      <c r="E316" s="451">
        <v>0</v>
      </c>
      <c r="F316" s="451"/>
      <c r="G316" s="451">
        <v>0</v>
      </c>
      <c r="H316" s="451">
        <v>0</v>
      </c>
      <c r="I316" s="451">
        <v>0</v>
      </c>
      <c r="J316" s="301"/>
      <c r="K316" s="301"/>
      <c r="L316" s="301"/>
      <c r="M316" s="301"/>
      <c r="Q316" s="300">
        <f t="shared" si="32"/>
        <v>0</v>
      </c>
      <c r="S316" s="300">
        <f t="shared" si="35"/>
        <v>0</v>
      </c>
      <c r="T316" s="300">
        <f t="shared" si="36"/>
        <v>0</v>
      </c>
      <c r="U316" s="300">
        <f t="shared" si="37"/>
        <v>0</v>
      </c>
      <c r="V316" s="300">
        <v>-1541.3891482203535</v>
      </c>
      <c r="W316" s="300">
        <v>-5201.2897037572202</v>
      </c>
      <c r="X316" s="300">
        <v>-6742.6788519775737</v>
      </c>
      <c r="Z316" s="300">
        <v>0</v>
      </c>
      <c r="AA316" s="239"/>
      <c r="AB316" s="300">
        <v>0</v>
      </c>
      <c r="AC316" s="300">
        <v>-6742.6788519775737</v>
      </c>
      <c r="AE316" s="452" t="e">
        <f t="shared" si="33"/>
        <v>#DIV/0!</v>
      </c>
      <c r="AF316" s="452" t="e">
        <f t="shared" si="34"/>
        <v>#DIV/0!</v>
      </c>
    </row>
    <row r="317" spans="1:32" s="48" customFormat="1">
      <c r="A317" s="450" t="s">
        <v>304</v>
      </c>
      <c r="B317" s="302">
        <v>2043</v>
      </c>
      <c r="C317" s="451">
        <v>0</v>
      </c>
      <c r="D317" s="451">
        <v>0</v>
      </c>
      <c r="E317" s="451">
        <v>0</v>
      </c>
      <c r="F317" s="451"/>
      <c r="G317" s="451">
        <v>0</v>
      </c>
      <c r="H317" s="451">
        <v>0</v>
      </c>
      <c r="I317" s="451">
        <v>0</v>
      </c>
      <c r="J317" s="301"/>
      <c r="K317" s="301"/>
      <c r="L317" s="301"/>
      <c r="M317" s="301"/>
      <c r="Q317" s="300">
        <f t="shared" si="32"/>
        <v>0</v>
      </c>
      <c r="S317" s="300">
        <f t="shared" si="35"/>
        <v>0</v>
      </c>
      <c r="T317" s="300">
        <f t="shared" si="36"/>
        <v>0</v>
      </c>
      <c r="U317" s="300">
        <f t="shared" si="37"/>
        <v>0</v>
      </c>
      <c r="V317" s="300">
        <v>-1541.3891482203535</v>
      </c>
      <c r="W317" s="300">
        <v>-5201.2897037572202</v>
      </c>
      <c r="X317" s="300">
        <v>-6742.6788519775737</v>
      </c>
      <c r="Z317" s="300">
        <v>0</v>
      </c>
      <c r="AA317" s="239"/>
      <c r="AB317" s="300">
        <v>0</v>
      </c>
      <c r="AC317" s="300">
        <v>-6742.6788519775737</v>
      </c>
      <c r="AE317" s="452" t="e">
        <f t="shared" si="33"/>
        <v>#DIV/0!</v>
      </c>
      <c r="AF317" s="452" t="e">
        <f t="shared" si="34"/>
        <v>#DIV/0!</v>
      </c>
    </row>
    <row r="318" spans="1:32" s="48" customFormat="1">
      <c r="A318" s="450" t="s">
        <v>305</v>
      </c>
      <c r="B318" s="302">
        <v>2043</v>
      </c>
      <c r="C318" s="451">
        <v>0</v>
      </c>
      <c r="D318" s="451">
        <v>0</v>
      </c>
      <c r="E318" s="451">
        <v>0</v>
      </c>
      <c r="F318" s="451"/>
      <c r="G318" s="451">
        <v>0</v>
      </c>
      <c r="H318" s="451">
        <v>0</v>
      </c>
      <c r="I318" s="451">
        <v>0</v>
      </c>
      <c r="J318" s="301"/>
      <c r="K318" s="301"/>
      <c r="L318" s="301"/>
      <c r="M318" s="301"/>
      <c r="Q318" s="300">
        <f t="shared" si="32"/>
        <v>0</v>
      </c>
      <c r="S318" s="300">
        <f t="shared" si="35"/>
        <v>0</v>
      </c>
      <c r="T318" s="300">
        <f t="shared" si="36"/>
        <v>0</v>
      </c>
      <c r="U318" s="300">
        <f t="shared" si="37"/>
        <v>0</v>
      </c>
      <c r="V318" s="300">
        <v>-1541.3891482203535</v>
      </c>
      <c r="W318" s="300">
        <v>-5201.2897037572202</v>
      </c>
      <c r="X318" s="300">
        <v>-6742.6788519775737</v>
      </c>
      <c r="Z318" s="300">
        <v>0</v>
      </c>
      <c r="AA318" s="239"/>
      <c r="AB318" s="300">
        <v>0</v>
      </c>
      <c r="AC318" s="300">
        <v>-6742.6788519775737</v>
      </c>
      <c r="AE318" s="452" t="e">
        <f t="shared" si="33"/>
        <v>#DIV/0!</v>
      </c>
      <c r="AF318" s="452" t="e">
        <f t="shared" si="34"/>
        <v>#DIV/0!</v>
      </c>
    </row>
    <row r="319" spans="1:32" s="48" customFormat="1">
      <c r="A319" s="450" t="s">
        <v>306</v>
      </c>
      <c r="B319" s="302">
        <v>2043</v>
      </c>
      <c r="C319" s="451">
        <v>0</v>
      </c>
      <c r="D319" s="451">
        <v>0</v>
      </c>
      <c r="E319" s="451">
        <v>0</v>
      </c>
      <c r="F319" s="451"/>
      <c r="G319" s="451">
        <v>0</v>
      </c>
      <c r="H319" s="451">
        <v>0</v>
      </c>
      <c r="I319" s="451">
        <v>0</v>
      </c>
      <c r="J319" s="301"/>
      <c r="K319" s="301"/>
      <c r="L319" s="301"/>
      <c r="M319" s="301"/>
      <c r="Q319" s="300">
        <f t="shared" si="32"/>
        <v>0</v>
      </c>
      <c r="S319" s="300">
        <f t="shared" si="35"/>
        <v>0</v>
      </c>
      <c r="T319" s="300">
        <f t="shared" si="36"/>
        <v>0</v>
      </c>
      <c r="U319" s="300">
        <f t="shared" si="37"/>
        <v>0</v>
      </c>
      <c r="V319" s="300">
        <v>-1541.3891482203535</v>
      </c>
      <c r="W319" s="300">
        <v>-5201.2897037572202</v>
      </c>
      <c r="X319" s="300">
        <v>-6742.6788519775737</v>
      </c>
      <c r="Z319" s="300">
        <v>0</v>
      </c>
      <c r="AA319" s="239"/>
      <c r="AB319" s="300">
        <v>0</v>
      </c>
      <c r="AC319" s="300">
        <v>-6742.6788519775737</v>
      </c>
      <c r="AE319" s="452" t="e">
        <f t="shared" si="33"/>
        <v>#DIV/0!</v>
      </c>
      <c r="AF319" s="452" t="e">
        <f t="shared" si="34"/>
        <v>#DIV/0!</v>
      </c>
    </row>
    <row r="320" spans="1:32" s="48" customFormat="1">
      <c r="A320" s="450" t="s">
        <v>307</v>
      </c>
      <c r="B320" s="302">
        <v>2043</v>
      </c>
      <c r="C320" s="451">
        <v>0</v>
      </c>
      <c r="D320" s="451">
        <v>0</v>
      </c>
      <c r="E320" s="451">
        <v>0</v>
      </c>
      <c r="F320" s="451"/>
      <c r="G320" s="451">
        <v>0</v>
      </c>
      <c r="H320" s="451">
        <v>0</v>
      </c>
      <c r="I320" s="451">
        <v>0</v>
      </c>
      <c r="J320" s="301"/>
      <c r="K320" s="301"/>
      <c r="L320" s="301"/>
      <c r="M320" s="301"/>
      <c r="Q320" s="300">
        <f t="shared" si="32"/>
        <v>0</v>
      </c>
      <c r="S320" s="300">
        <f t="shared" si="35"/>
        <v>0</v>
      </c>
      <c r="T320" s="300">
        <f t="shared" si="36"/>
        <v>0</v>
      </c>
      <c r="U320" s="300">
        <f t="shared" si="37"/>
        <v>0</v>
      </c>
      <c r="V320" s="300">
        <v>-1541.3891482203535</v>
      </c>
      <c r="W320" s="300">
        <v>-5201.2897037572202</v>
      </c>
      <c r="X320" s="300">
        <v>-6742.6788519775737</v>
      </c>
      <c r="Z320" s="300">
        <v>0</v>
      </c>
      <c r="AA320" s="239"/>
      <c r="AB320" s="300">
        <v>0</v>
      </c>
      <c r="AC320" s="300">
        <v>-6742.6788519775737</v>
      </c>
      <c r="AE320" s="452" t="e">
        <f t="shared" si="33"/>
        <v>#DIV/0!</v>
      </c>
      <c r="AF320" s="452" t="e">
        <f t="shared" si="34"/>
        <v>#DIV/0!</v>
      </c>
    </row>
    <row r="321" spans="1:32" s="48" customFormat="1">
      <c r="A321" s="450" t="s">
        <v>308</v>
      </c>
      <c r="B321" s="302">
        <v>2043</v>
      </c>
      <c r="C321" s="451">
        <v>0</v>
      </c>
      <c r="D321" s="451">
        <v>0</v>
      </c>
      <c r="E321" s="451">
        <v>0</v>
      </c>
      <c r="F321" s="451"/>
      <c r="G321" s="451">
        <v>0</v>
      </c>
      <c r="H321" s="451">
        <v>0</v>
      </c>
      <c r="I321" s="451">
        <v>0</v>
      </c>
      <c r="J321" s="301"/>
      <c r="K321" s="301"/>
      <c r="L321" s="301"/>
      <c r="M321" s="301"/>
      <c r="Q321" s="300">
        <f t="shared" si="32"/>
        <v>0</v>
      </c>
      <c r="S321" s="300">
        <f t="shared" si="35"/>
        <v>0</v>
      </c>
      <c r="T321" s="300">
        <f t="shared" si="36"/>
        <v>0</v>
      </c>
      <c r="U321" s="300">
        <f t="shared" si="37"/>
        <v>0</v>
      </c>
      <c r="V321" s="300">
        <v>-1541.3891482203535</v>
      </c>
      <c r="W321" s="300">
        <v>-5201.2897037572202</v>
      </c>
      <c r="X321" s="300">
        <v>-6742.6788519775737</v>
      </c>
      <c r="Z321" s="300">
        <v>0</v>
      </c>
      <c r="AA321" s="239"/>
      <c r="AB321" s="300">
        <v>0</v>
      </c>
      <c r="AC321" s="300">
        <v>-6742.6788519775737</v>
      </c>
      <c r="AE321" s="452" t="e">
        <f t="shared" si="33"/>
        <v>#DIV/0!</v>
      </c>
      <c r="AF321" s="452" t="e">
        <f t="shared" si="34"/>
        <v>#DIV/0!</v>
      </c>
    </row>
    <row r="322" spans="1:32" s="48" customFormat="1">
      <c r="A322" s="450" t="s">
        <v>309</v>
      </c>
      <c r="B322" s="302">
        <v>2043</v>
      </c>
      <c r="C322" s="451">
        <v>0</v>
      </c>
      <c r="D322" s="451">
        <v>0</v>
      </c>
      <c r="E322" s="451">
        <v>0</v>
      </c>
      <c r="F322" s="451"/>
      <c r="G322" s="451">
        <v>0</v>
      </c>
      <c r="H322" s="451">
        <v>0</v>
      </c>
      <c r="I322" s="451">
        <v>0</v>
      </c>
      <c r="J322" s="301"/>
      <c r="K322" s="301"/>
      <c r="L322" s="301"/>
      <c r="M322" s="301"/>
      <c r="Q322" s="300">
        <f t="shared" si="32"/>
        <v>0</v>
      </c>
      <c r="S322" s="300">
        <f t="shared" si="35"/>
        <v>0</v>
      </c>
      <c r="T322" s="300">
        <f t="shared" si="36"/>
        <v>0</v>
      </c>
      <c r="U322" s="300">
        <f t="shared" si="37"/>
        <v>0</v>
      </c>
      <c r="V322" s="300">
        <v>-1541.3891482203535</v>
      </c>
      <c r="W322" s="300">
        <v>-5201.2897037572202</v>
      </c>
      <c r="X322" s="300">
        <v>-6742.6788519775737</v>
      </c>
      <c r="Z322" s="300">
        <v>0</v>
      </c>
      <c r="AA322" s="239"/>
      <c r="AB322" s="300">
        <v>0</v>
      </c>
      <c r="AC322" s="300">
        <v>-6742.6788519775737</v>
      </c>
      <c r="AE322" s="452" t="e">
        <f t="shared" si="33"/>
        <v>#DIV/0!</v>
      </c>
      <c r="AF322" s="452" t="e">
        <f t="shared" si="34"/>
        <v>#DIV/0!</v>
      </c>
    </row>
    <row r="323" spans="1:32" s="48" customFormat="1">
      <c r="A323" s="450" t="s">
        <v>298</v>
      </c>
      <c r="B323" s="302">
        <v>2043</v>
      </c>
      <c r="C323" s="451">
        <v>0</v>
      </c>
      <c r="D323" s="451">
        <v>0</v>
      </c>
      <c r="E323" s="451">
        <v>0</v>
      </c>
      <c r="F323" s="451"/>
      <c r="G323" s="451">
        <v>0</v>
      </c>
      <c r="H323" s="451">
        <v>0</v>
      </c>
      <c r="I323" s="451">
        <v>0</v>
      </c>
      <c r="J323" s="301"/>
      <c r="K323" s="301"/>
      <c r="L323" s="301"/>
      <c r="M323" s="301"/>
      <c r="Q323" s="300">
        <f t="shared" si="32"/>
        <v>0</v>
      </c>
      <c r="S323" s="300">
        <f t="shared" si="35"/>
        <v>0</v>
      </c>
      <c r="T323" s="300">
        <f t="shared" si="36"/>
        <v>0</v>
      </c>
      <c r="U323" s="300">
        <f t="shared" si="37"/>
        <v>0</v>
      </c>
      <c r="V323" s="300">
        <v>-1541.3891482203535</v>
      </c>
      <c r="W323" s="300">
        <v>-5201.2897037572202</v>
      </c>
      <c r="X323" s="300">
        <v>-6742.6788519775737</v>
      </c>
      <c r="Z323" s="300">
        <v>0</v>
      </c>
      <c r="AA323" s="239"/>
      <c r="AB323" s="300">
        <v>0</v>
      </c>
      <c r="AC323" s="300">
        <v>-6742.6788519775737</v>
      </c>
      <c r="AE323" s="452" t="e">
        <f t="shared" si="33"/>
        <v>#DIV/0!</v>
      </c>
      <c r="AF323" s="452" t="e">
        <f t="shared" si="34"/>
        <v>#DIV/0!</v>
      </c>
    </row>
    <row r="324" spans="1:32" s="48" customFormat="1">
      <c r="A324" s="450" t="s">
        <v>299</v>
      </c>
      <c r="B324" s="302">
        <v>2043</v>
      </c>
      <c r="C324" s="451">
        <v>0</v>
      </c>
      <c r="D324" s="451">
        <v>0</v>
      </c>
      <c r="E324" s="451">
        <v>0</v>
      </c>
      <c r="F324" s="451"/>
      <c r="G324" s="451">
        <v>0</v>
      </c>
      <c r="H324" s="451">
        <v>0</v>
      </c>
      <c r="I324" s="451">
        <v>0</v>
      </c>
      <c r="J324" s="301"/>
      <c r="K324" s="301"/>
      <c r="L324" s="301"/>
      <c r="M324" s="301"/>
      <c r="Q324" s="300">
        <f t="shared" si="32"/>
        <v>0</v>
      </c>
      <c r="S324" s="300">
        <f t="shared" si="35"/>
        <v>0</v>
      </c>
      <c r="T324" s="300">
        <f t="shared" si="36"/>
        <v>0</v>
      </c>
      <c r="U324" s="300">
        <f t="shared" si="37"/>
        <v>0</v>
      </c>
      <c r="V324" s="300">
        <v>-1541.3891482203535</v>
      </c>
      <c r="W324" s="300">
        <v>-5201.2897037572202</v>
      </c>
      <c r="X324" s="300">
        <v>-6742.6788519775737</v>
      </c>
      <c r="Z324" s="300">
        <v>0</v>
      </c>
      <c r="AA324" s="239"/>
      <c r="AB324" s="300">
        <v>0</v>
      </c>
      <c r="AC324" s="300">
        <v>-6742.6788519775737</v>
      </c>
      <c r="AE324" s="452" t="e">
        <f t="shared" si="33"/>
        <v>#DIV/0!</v>
      </c>
      <c r="AF324" s="452" t="e">
        <f t="shared" si="34"/>
        <v>#DIV/0!</v>
      </c>
    </row>
    <row r="325" spans="1:32" s="48" customFormat="1">
      <c r="A325" s="450" t="s">
        <v>300</v>
      </c>
      <c r="B325" s="302">
        <v>2043</v>
      </c>
      <c r="C325" s="451">
        <v>0</v>
      </c>
      <c r="D325" s="451">
        <v>0</v>
      </c>
      <c r="E325" s="451">
        <v>0</v>
      </c>
      <c r="F325" s="451"/>
      <c r="G325" s="451">
        <v>0</v>
      </c>
      <c r="H325" s="451">
        <v>0</v>
      </c>
      <c r="I325" s="451">
        <v>0</v>
      </c>
      <c r="J325" s="301"/>
      <c r="K325" s="301"/>
      <c r="L325" s="301"/>
      <c r="M325" s="301"/>
      <c r="Q325" s="300">
        <f t="shared" si="32"/>
        <v>0</v>
      </c>
      <c r="S325" s="300">
        <f t="shared" si="35"/>
        <v>0</v>
      </c>
      <c r="T325" s="300">
        <f t="shared" si="36"/>
        <v>0</v>
      </c>
      <c r="U325" s="300">
        <f t="shared" si="37"/>
        <v>0</v>
      </c>
      <c r="V325" s="300">
        <v>-1541.3891482203535</v>
      </c>
      <c r="W325" s="300">
        <v>-5201.2897037572202</v>
      </c>
      <c r="X325" s="300">
        <v>-6742.6788519775737</v>
      </c>
      <c r="Z325" s="300">
        <v>0</v>
      </c>
      <c r="AA325" s="239"/>
      <c r="AB325" s="300">
        <v>0</v>
      </c>
      <c r="AC325" s="300">
        <v>-6742.6788519775737</v>
      </c>
      <c r="AE325" s="452" t="e">
        <f t="shared" si="33"/>
        <v>#DIV/0!</v>
      </c>
      <c r="AF325" s="452" t="e">
        <f t="shared" si="34"/>
        <v>#DIV/0!</v>
      </c>
    </row>
    <row r="326" spans="1:32" s="48" customFormat="1">
      <c r="A326" s="450" t="s">
        <v>301</v>
      </c>
      <c r="B326" s="302">
        <v>2044</v>
      </c>
      <c r="C326" s="451">
        <v>0</v>
      </c>
      <c r="D326" s="451">
        <v>0</v>
      </c>
      <c r="E326" s="451">
        <v>0</v>
      </c>
      <c r="F326" s="451"/>
      <c r="G326" s="451">
        <v>0</v>
      </c>
      <c r="H326" s="451">
        <v>0</v>
      </c>
      <c r="I326" s="451">
        <v>0</v>
      </c>
      <c r="J326" s="301"/>
      <c r="K326" s="301"/>
      <c r="L326" s="301"/>
      <c r="M326" s="301"/>
      <c r="Q326" s="300">
        <f t="shared" si="32"/>
        <v>0</v>
      </c>
      <c r="S326" s="300">
        <f t="shared" si="35"/>
        <v>0</v>
      </c>
      <c r="T326" s="300">
        <f t="shared" si="36"/>
        <v>0</v>
      </c>
      <c r="U326" s="300">
        <f t="shared" si="37"/>
        <v>0</v>
      </c>
      <c r="V326" s="300">
        <v>-1541.3891482203535</v>
      </c>
      <c r="W326" s="300">
        <v>-5201.2897037572202</v>
      </c>
      <c r="X326" s="300">
        <v>-6742.6788519775737</v>
      </c>
      <c r="Z326" s="300">
        <v>0</v>
      </c>
      <c r="AA326" s="239"/>
      <c r="AB326" s="300">
        <v>0</v>
      </c>
      <c r="AC326" s="300">
        <v>-6742.6788519775737</v>
      </c>
      <c r="AE326" s="452" t="e">
        <f t="shared" si="33"/>
        <v>#DIV/0!</v>
      </c>
      <c r="AF326" s="452" t="e">
        <f t="shared" si="34"/>
        <v>#DIV/0!</v>
      </c>
    </row>
    <row r="327" spans="1:32" s="48" customFormat="1">
      <c r="A327" s="450" t="s">
        <v>302</v>
      </c>
      <c r="B327" s="302">
        <v>2044</v>
      </c>
      <c r="C327" s="451">
        <v>0</v>
      </c>
      <c r="D327" s="451">
        <v>0</v>
      </c>
      <c r="E327" s="451">
        <v>0</v>
      </c>
      <c r="F327" s="451"/>
      <c r="G327" s="451">
        <v>0</v>
      </c>
      <c r="H327" s="451">
        <v>0</v>
      </c>
      <c r="I327" s="451">
        <v>0</v>
      </c>
      <c r="J327" s="301"/>
      <c r="K327" s="301"/>
      <c r="L327" s="301"/>
      <c r="M327" s="301"/>
      <c r="Q327" s="300">
        <f t="shared" si="32"/>
        <v>0</v>
      </c>
      <c r="S327" s="300">
        <f t="shared" si="35"/>
        <v>0</v>
      </c>
      <c r="T327" s="300">
        <f t="shared" si="36"/>
        <v>0</v>
      </c>
      <c r="U327" s="300">
        <f t="shared" si="37"/>
        <v>0</v>
      </c>
      <c r="V327" s="300">
        <v>-1541.3891482203535</v>
      </c>
      <c r="W327" s="300">
        <v>-5201.2897037572202</v>
      </c>
      <c r="X327" s="300">
        <v>-6742.6788519775737</v>
      </c>
      <c r="Z327" s="300">
        <v>0</v>
      </c>
      <c r="AA327" s="239"/>
      <c r="AB327" s="300">
        <v>0</v>
      </c>
      <c r="AC327" s="300">
        <v>-6742.6788519775737</v>
      </c>
      <c r="AE327" s="452" t="e">
        <f t="shared" si="33"/>
        <v>#DIV/0!</v>
      </c>
      <c r="AF327" s="452" t="e">
        <f t="shared" si="34"/>
        <v>#DIV/0!</v>
      </c>
    </row>
    <row r="328" spans="1:32" s="48" customFormat="1">
      <c r="A328" s="450" t="s">
        <v>303</v>
      </c>
      <c r="B328" s="302">
        <v>2044</v>
      </c>
      <c r="C328" s="451">
        <v>0</v>
      </c>
      <c r="D328" s="451">
        <v>0</v>
      </c>
      <c r="E328" s="451">
        <v>0</v>
      </c>
      <c r="F328" s="451"/>
      <c r="G328" s="451">
        <v>0</v>
      </c>
      <c r="H328" s="451">
        <v>0</v>
      </c>
      <c r="I328" s="451">
        <v>0</v>
      </c>
      <c r="J328" s="301"/>
      <c r="K328" s="301"/>
      <c r="L328" s="301"/>
      <c r="M328" s="301"/>
      <c r="Q328" s="300">
        <f t="shared" si="32"/>
        <v>0</v>
      </c>
      <c r="S328" s="300">
        <f t="shared" si="35"/>
        <v>0</v>
      </c>
      <c r="T328" s="300">
        <f t="shared" si="36"/>
        <v>0</v>
      </c>
      <c r="U328" s="300">
        <f t="shared" si="37"/>
        <v>0</v>
      </c>
      <c r="V328" s="300">
        <v>-1541.3891482203535</v>
      </c>
      <c r="W328" s="300">
        <v>-5201.2897037572202</v>
      </c>
      <c r="X328" s="300">
        <v>-6742.6788519775737</v>
      </c>
      <c r="Z328" s="300">
        <v>0</v>
      </c>
      <c r="AA328" s="239"/>
      <c r="AB328" s="300">
        <v>0</v>
      </c>
      <c r="AC328" s="300">
        <v>-6742.6788519775737</v>
      </c>
      <c r="AE328" s="452" t="e">
        <f t="shared" si="33"/>
        <v>#DIV/0!</v>
      </c>
      <c r="AF328" s="452" t="e">
        <f t="shared" si="34"/>
        <v>#DIV/0!</v>
      </c>
    </row>
    <row r="329" spans="1:32" s="48" customFormat="1">
      <c r="A329" s="450" t="s">
        <v>304</v>
      </c>
      <c r="B329" s="302">
        <v>2044</v>
      </c>
      <c r="C329" s="451">
        <v>0</v>
      </c>
      <c r="D329" s="451">
        <v>0</v>
      </c>
      <c r="E329" s="451">
        <v>0</v>
      </c>
      <c r="F329" s="451"/>
      <c r="G329" s="451">
        <v>0</v>
      </c>
      <c r="H329" s="451">
        <v>0</v>
      </c>
      <c r="I329" s="451">
        <v>0</v>
      </c>
      <c r="J329" s="301"/>
      <c r="K329" s="301"/>
      <c r="L329" s="301"/>
      <c r="M329" s="301"/>
      <c r="Q329" s="300">
        <f t="shared" si="32"/>
        <v>0</v>
      </c>
      <c r="S329" s="300">
        <f t="shared" si="35"/>
        <v>0</v>
      </c>
      <c r="T329" s="300">
        <f t="shared" si="36"/>
        <v>0</v>
      </c>
      <c r="U329" s="300">
        <f t="shared" si="37"/>
        <v>0</v>
      </c>
      <c r="V329" s="300">
        <v>-1541.3891482203535</v>
      </c>
      <c r="W329" s="300">
        <v>-5201.2897037572202</v>
      </c>
      <c r="X329" s="300">
        <v>-6742.6788519775737</v>
      </c>
      <c r="Z329" s="300">
        <v>0</v>
      </c>
      <c r="AA329" s="239"/>
      <c r="AB329" s="300">
        <v>0</v>
      </c>
      <c r="AC329" s="300">
        <v>-6742.6788519775737</v>
      </c>
      <c r="AE329" s="452" t="e">
        <f t="shared" si="33"/>
        <v>#DIV/0!</v>
      </c>
      <c r="AF329" s="452" t="e">
        <f t="shared" si="34"/>
        <v>#DIV/0!</v>
      </c>
    </row>
    <row r="330" spans="1:32" s="48" customFormat="1">
      <c r="A330" s="450" t="s">
        <v>305</v>
      </c>
      <c r="B330" s="302">
        <v>2044</v>
      </c>
      <c r="C330" s="451">
        <v>0</v>
      </c>
      <c r="D330" s="451">
        <v>0</v>
      </c>
      <c r="E330" s="451">
        <v>0</v>
      </c>
      <c r="F330" s="451"/>
      <c r="G330" s="451">
        <v>0</v>
      </c>
      <c r="H330" s="451">
        <v>0</v>
      </c>
      <c r="I330" s="451">
        <v>0</v>
      </c>
      <c r="J330" s="301"/>
      <c r="K330" s="301"/>
      <c r="L330" s="301"/>
      <c r="M330" s="301"/>
      <c r="Q330" s="300">
        <f t="shared" si="32"/>
        <v>0</v>
      </c>
      <c r="S330" s="300">
        <f t="shared" si="35"/>
        <v>0</v>
      </c>
      <c r="T330" s="300">
        <f t="shared" si="36"/>
        <v>0</v>
      </c>
      <c r="U330" s="300">
        <f t="shared" si="37"/>
        <v>0</v>
      </c>
      <c r="V330" s="300">
        <v>-1541.3891482203535</v>
      </c>
      <c r="W330" s="300">
        <v>-5201.2897037572202</v>
      </c>
      <c r="X330" s="300">
        <v>-6742.6788519775737</v>
      </c>
      <c r="Z330" s="300">
        <v>0</v>
      </c>
      <c r="AA330" s="239"/>
      <c r="AB330" s="300">
        <v>0</v>
      </c>
      <c r="AC330" s="300">
        <v>-6742.6788519775737</v>
      </c>
      <c r="AE330" s="452" t="e">
        <f t="shared" si="33"/>
        <v>#DIV/0!</v>
      </c>
      <c r="AF330" s="452" t="e">
        <f t="shared" si="34"/>
        <v>#DIV/0!</v>
      </c>
    </row>
    <row r="331" spans="1:32" s="48" customFormat="1">
      <c r="A331" s="450" t="s">
        <v>306</v>
      </c>
      <c r="B331" s="302">
        <v>2044</v>
      </c>
      <c r="C331" s="451">
        <v>0</v>
      </c>
      <c r="D331" s="451">
        <v>0</v>
      </c>
      <c r="E331" s="451">
        <v>0</v>
      </c>
      <c r="F331" s="451"/>
      <c r="G331" s="451">
        <v>0</v>
      </c>
      <c r="H331" s="451">
        <v>0</v>
      </c>
      <c r="I331" s="451">
        <v>0</v>
      </c>
      <c r="J331" s="301"/>
      <c r="K331" s="301"/>
      <c r="L331" s="301"/>
      <c r="M331" s="301"/>
      <c r="Q331" s="300">
        <f t="shared" si="32"/>
        <v>0</v>
      </c>
      <c r="S331" s="300">
        <f t="shared" si="35"/>
        <v>0</v>
      </c>
      <c r="T331" s="300">
        <f t="shared" si="36"/>
        <v>0</v>
      </c>
      <c r="U331" s="300">
        <f t="shared" si="37"/>
        <v>0</v>
      </c>
      <c r="V331" s="300">
        <v>-1541.3891482203535</v>
      </c>
      <c r="W331" s="300">
        <v>-5201.2897037572202</v>
      </c>
      <c r="X331" s="300">
        <v>-6742.6788519775737</v>
      </c>
      <c r="Z331" s="300">
        <v>0</v>
      </c>
      <c r="AA331" s="239"/>
      <c r="AB331" s="300">
        <v>0</v>
      </c>
      <c r="AC331" s="300">
        <v>-6742.6788519775737</v>
      </c>
      <c r="AE331" s="452" t="e">
        <f t="shared" si="33"/>
        <v>#DIV/0!</v>
      </c>
      <c r="AF331" s="452" t="e">
        <f t="shared" si="34"/>
        <v>#DIV/0!</v>
      </c>
    </row>
    <row r="332" spans="1:32" s="48" customFormat="1">
      <c r="A332" s="450" t="s">
        <v>307</v>
      </c>
      <c r="B332" s="302">
        <v>2044</v>
      </c>
      <c r="C332" s="451">
        <v>0</v>
      </c>
      <c r="D332" s="451">
        <v>0</v>
      </c>
      <c r="E332" s="451">
        <v>0</v>
      </c>
      <c r="F332" s="451"/>
      <c r="G332" s="451">
        <v>0</v>
      </c>
      <c r="H332" s="451">
        <v>0</v>
      </c>
      <c r="I332" s="451">
        <v>0</v>
      </c>
      <c r="J332" s="301"/>
      <c r="K332" s="301"/>
      <c r="L332" s="301"/>
      <c r="M332" s="301"/>
      <c r="Q332" s="300">
        <f t="shared" si="32"/>
        <v>0</v>
      </c>
      <c r="S332" s="300">
        <f t="shared" si="35"/>
        <v>0</v>
      </c>
      <c r="T332" s="300">
        <f t="shared" si="36"/>
        <v>0</v>
      </c>
      <c r="U332" s="300">
        <f t="shared" si="37"/>
        <v>0</v>
      </c>
      <c r="V332" s="300">
        <v>-1541.3891482203535</v>
      </c>
      <c r="W332" s="300">
        <v>-5201.2897037572202</v>
      </c>
      <c r="X332" s="300">
        <v>-6742.6788519775737</v>
      </c>
      <c r="Z332" s="300">
        <v>0</v>
      </c>
      <c r="AA332" s="239"/>
      <c r="AB332" s="300">
        <v>0</v>
      </c>
      <c r="AC332" s="300">
        <v>-6742.6788519775737</v>
      </c>
      <c r="AE332" s="452" t="e">
        <f t="shared" si="33"/>
        <v>#DIV/0!</v>
      </c>
      <c r="AF332" s="452" t="e">
        <f t="shared" si="34"/>
        <v>#DIV/0!</v>
      </c>
    </row>
    <row r="333" spans="1:32" s="48" customFormat="1">
      <c r="A333" s="450" t="s">
        <v>308</v>
      </c>
      <c r="B333" s="302">
        <v>2044</v>
      </c>
      <c r="C333" s="451">
        <v>0</v>
      </c>
      <c r="D333" s="451">
        <v>0</v>
      </c>
      <c r="E333" s="451">
        <v>0</v>
      </c>
      <c r="F333" s="451"/>
      <c r="G333" s="451">
        <v>0</v>
      </c>
      <c r="H333" s="451">
        <v>0</v>
      </c>
      <c r="I333" s="451">
        <v>0</v>
      </c>
      <c r="J333" s="301"/>
      <c r="K333" s="301"/>
      <c r="L333" s="301"/>
      <c r="M333" s="301"/>
      <c r="Q333" s="300">
        <f t="shared" si="32"/>
        <v>0</v>
      </c>
      <c r="S333" s="300">
        <f t="shared" si="35"/>
        <v>0</v>
      </c>
      <c r="T333" s="300">
        <f t="shared" si="36"/>
        <v>0</v>
      </c>
      <c r="U333" s="300">
        <f t="shared" si="37"/>
        <v>0</v>
      </c>
      <c r="V333" s="300">
        <v>-1541.3891482203535</v>
      </c>
      <c r="W333" s="300">
        <v>-5201.2897037572202</v>
      </c>
      <c r="X333" s="300">
        <v>-6742.6788519775737</v>
      </c>
      <c r="Z333" s="300">
        <v>0</v>
      </c>
      <c r="AA333" s="239"/>
      <c r="AB333" s="300">
        <v>0</v>
      </c>
      <c r="AC333" s="300">
        <v>-6742.6788519775737</v>
      </c>
      <c r="AE333" s="452" t="e">
        <f t="shared" si="33"/>
        <v>#DIV/0!</v>
      </c>
      <c r="AF333" s="452" t="e">
        <f t="shared" si="34"/>
        <v>#DIV/0!</v>
      </c>
    </row>
    <row r="334" spans="1:32" s="48" customFormat="1">
      <c r="A334" s="450" t="s">
        <v>309</v>
      </c>
      <c r="B334" s="302">
        <v>2044</v>
      </c>
      <c r="C334" s="451">
        <v>0</v>
      </c>
      <c r="D334" s="451">
        <v>0</v>
      </c>
      <c r="E334" s="451">
        <v>0</v>
      </c>
      <c r="F334" s="451"/>
      <c r="G334" s="451">
        <v>0</v>
      </c>
      <c r="H334" s="451">
        <v>0</v>
      </c>
      <c r="I334" s="451">
        <v>0</v>
      </c>
      <c r="J334" s="301"/>
      <c r="K334" s="301"/>
      <c r="L334" s="301"/>
      <c r="M334" s="301"/>
      <c r="Q334" s="300">
        <f t="shared" si="32"/>
        <v>0</v>
      </c>
      <c r="S334" s="300">
        <f t="shared" si="35"/>
        <v>0</v>
      </c>
      <c r="T334" s="300">
        <f t="shared" si="36"/>
        <v>0</v>
      </c>
      <c r="U334" s="300">
        <f t="shared" si="37"/>
        <v>0</v>
      </c>
      <c r="V334" s="300">
        <v>-1541.3891482203535</v>
      </c>
      <c r="W334" s="300">
        <v>-5201.2897037572202</v>
      </c>
      <c r="X334" s="300">
        <v>-6742.6788519775737</v>
      </c>
      <c r="Z334" s="300">
        <v>0</v>
      </c>
      <c r="AA334" s="239"/>
      <c r="AB334" s="300">
        <v>0</v>
      </c>
      <c r="AC334" s="300">
        <v>-6742.6788519775737</v>
      </c>
      <c r="AE334" s="452" t="e">
        <f t="shared" si="33"/>
        <v>#DIV/0!</v>
      </c>
      <c r="AF334" s="452" t="e">
        <f t="shared" si="34"/>
        <v>#DIV/0!</v>
      </c>
    </row>
    <row r="335" spans="1:32" s="48" customFormat="1">
      <c r="A335" s="450" t="s">
        <v>298</v>
      </c>
      <c r="B335" s="302">
        <v>2044</v>
      </c>
      <c r="C335" s="451">
        <v>0</v>
      </c>
      <c r="D335" s="451">
        <v>0</v>
      </c>
      <c r="E335" s="451">
        <v>0</v>
      </c>
      <c r="F335" s="451"/>
      <c r="G335" s="451">
        <v>0</v>
      </c>
      <c r="H335" s="451">
        <v>0</v>
      </c>
      <c r="I335" s="451">
        <v>0</v>
      </c>
      <c r="J335" s="301"/>
      <c r="K335" s="301"/>
      <c r="L335" s="301"/>
      <c r="M335" s="301"/>
      <c r="Q335" s="300">
        <f t="shared" si="32"/>
        <v>0</v>
      </c>
      <c r="S335" s="300">
        <f t="shared" si="35"/>
        <v>0</v>
      </c>
      <c r="T335" s="300">
        <f t="shared" si="36"/>
        <v>0</v>
      </c>
      <c r="U335" s="300">
        <f t="shared" si="37"/>
        <v>0</v>
      </c>
      <c r="V335" s="300">
        <v>-1541.3891482203535</v>
      </c>
      <c r="W335" s="300">
        <v>-5201.2897037572202</v>
      </c>
      <c r="X335" s="300">
        <v>-6742.6788519775737</v>
      </c>
      <c r="Z335" s="300">
        <v>0</v>
      </c>
      <c r="AA335" s="239"/>
      <c r="AB335" s="300">
        <v>0</v>
      </c>
      <c r="AC335" s="300">
        <v>-6742.6788519775737</v>
      </c>
      <c r="AE335" s="452" t="e">
        <f t="shared" si="33"/>
        <v>#DIV/0!</v>
      </c>
      <c r="AF335" s="452" t="e">
        <f t="shared" si="34"/>
        <v>#DIV/0!</v>
      </c>
    </row>
    <row r="336" spans="1:32" s="48" customFormat="1">
      <c r="A336" s="450" t="s">
        <v>299</v>
      </c>
      <c r="B336" s="302">
        <v>2044</v>
      </c>
      <c r="C336" s="451">
        <v>0</v>
      </c>
      <c r="D336" s="451">
        <v>0</v>
      </c>
      <c r="E336" s="451">
        <v>0</v>
      </c>
      <c r="F336" s="451"/>
      <c r="G336" s="451">
        <v>0</v>
      </c>
      <c r="H336" s="451">
        <v>0</v>
      </c>
      <c r="I336" s="451">
        <v>0</v>
      </c>
      <c r="J336" s="301"/>
      <c r="K336" s="301"/>
      <c r="L336" s="301"/>
      <c r="M336" s="301"/>
      <c r="Q336" s="300">
        <f t="shared" si="32"/>
        <v>0</v>
      </c>
      <c r="S336" s="300">
        <f t="shared" si="35"/>
        <v>0</v>
      </c>
      <c r="T336" s="300">
        <f t="shared" si="36"/>
        <v>0</v>
      </c>
      <c r="U336" s="300">
        <f t="shared" si="37"/>
        <v>0</v>
      </c>
      <c r="V336" s="300">
        <v>-1541.3891482203535</v>
      </c>
      <c r="W336" s="300">
        <v>-5201.2897037572202</v>
      </c>
      <c r="X336" s="300">
        <v>-6742.6788519775737</v>
      </c>
      <c r="Z336" s="300">
        <v>0</v>
      </c>
      <c r="AA336" s="239"/>
      <c r="AB336" s="300">
        <v>0</v>
      </c>
      <c r="AC336" s="300">
        <v>-6742.6788519775737</v>
      </c>
      <c r="AE336" s="452" t="e">
        <f t="shared" si="33"/>
        <v>#DIV/0!</v>
      </c>
      <c r="AF336" s="452" t="e">
        <f t="shared" si="34"/>
        <v>#DIV/0!</v>
      </c>
    </row>
    <row r="337" spans="1:32" s="48" customFormat="1">
      <c r="A337" s="450" t="s">
        <v>300</v>
      </c>
      <c r="B337" s="302">
        <v>2044</v>
      </c>
      <c r="C337" s="451">
        <v>0</v>
      </c>
      <c r="D337" s="451">
        <v>0</v>
      </c>
      <c r="E337" s="451">
        <v>0</v>
      </c>
      <c r="F337" s="451"/>
      <c r="G337" s="451">
        <v>0</v>
      </c>
      <c r="H337" s="451">
        <v>0</v>
      </c>
      <c r="I337" s="451">
        <v>0</v>
      </c>
      <c r="J337" s="301"/>
      <c r="K337" s="301"/>
      <c r="L337" s="301"/>
      <c r="M337" s="301"/>
      <c r="Q337" s="300">
        <f t="shared" si="32"/>
        <v>0</v>
      </c>
      <c r="S337" s="300">
        <f t="shared" si="35"/>
        <v>0</v>
      </c>
      <c r="T337" s="300">
        <f t="shared" si="36"/>
        <v>0</v>
      </c>
      <c r="U337" s="300">
        <f t="shared" si="37"/>
        <v>0</v>
      </c>
      <c r="V337" s="300">
        <v>-1541.3891482203535</v>
      </c>
      <c r="W337" s="300">
        <v>-5201.2897037572202</v>
      </c>
      <c r="X337" s="300">
        <v>-6742.6788519775737</v>
      </c>
      <c r="Z337" s="300">
        <v>0</v>
      </c>
      <c r="AA337" s="239"/>
      <c r="AB337" s="300">
        <v>0</v>
      </c>
      <c r="AC337" s="300">
        <v>-6742.6788519775737</v>
      </c>
      <c r="AE337" s="452" t="e">
        <f t="shared" si="33"/>
        <v>#DIV/0!</v>
      </c>
      <c r="AF337" s="452" t="e">
        <f t="shared" si="34"/>
        <v>#DIV/0!</v>
      </c>
    </row>
    <row r="338" spans="1:32" s="48" customFormat="1">
      <c r="A338" s="450" t="s">
        <v>301</v>
      </c>
      <c r="B338" s="302">
        <v>2045</v>
      </c>
      <c r="C338" s="451">
        <v>0</v>
      </c>
      <c r="D338" s="451">
        <v>0</v>
      </c>
      <c r="E338" s="451">
        <v>0</v>
      </c>
      <c r="F338" s="451"/>
      <c r="G338" s="451">
        <v>0</v>
      </c>
      <c r="H338" s="451">
        <v>0</v>
      </c>
      <c r="I338" s="451">
        <v>0</v>
      </c>
      <c r="J338" s="301"/>
      <c r="K338" s="301"/>
      <c r="L338" s="301"/>
      <c r="M338" s="301"/>
      <c r="Q338" s="300">
        <f t="shared" si="32"/>
        <v>0</v>
      </c>
      <c r="S338" s="300">
        <f t="shared" si="35"/>
        <v>0</v>
      </c>
      <c r="T338" s="300">
        <f t="shared" si="36"/>
        <v>0</v>
      </c>
      <c r="U338" s="300">
        <f t="shared" si="37"/>
        <v>0</v>
      </c>
      <c r="V338" s="300">
        <v>-1541.3891482203535</v>
      </c>
      <c r="W338" s="300">
        <v>-5201.2897037572202</v>
      </c>
      <c r="X338" s="300">
        <v>-6742.6788519775737</v>
      </c>
      <c r="Z338" s="300">
        <v>0</v>
      </c>
      <c r="AA338" s="239"/>
      <c r="AB338" s="300">
        <v>0</v>
      </c>
      <c r="AC338" s="300">
        <v>-6742.6788519775737</v>
      </c>
      <c r="AE338" s="452" t="e">
        <f t="shared" si="33"/>
        <v>#DIV/0!</v>
      </c>
      <c r="AF338" s="452" t="e">
        <f t="shared" si="34"/>
        <v>#DIV/0!</v>
      </c>
    </row>
    <row r="339" spans="1:32" s="48" customFormat="1">
      <c r="A339" s="450" t="s">
        <v>302</v>
      </c>
      <c r="B339" s="302">
        <v>2045</v>
      </c>
      <c r="C339" s="451">
        <v>0</v>
      </c>
      <c r="D339" s="451">
        <v>0</v>
      </c>
      <c r="E339" s="451">
        <v>0</v>
      </c>
      <c r="F339" s="451"/>
      <c r="G339" s="451">
        <v>0</v>
      </c>
      <c r="H339" s="451">
        <v>0</v>
      </c>
      <c r="I339" s="451">
        <v>0</v>
      </c>
      <c r="J339" s="301"/>
      <c r="K339" s="301"/>
      <c r="L339" s="301"/>
      <c r="M339" s="301"/>
      <c r="Q339" s="300">
        <f t="shared" si="32"/>
        <v>0</v>
      </c>
      <c r="S339" s="300">
        <f t="shared" si="35"/>
        <v>0</v>
      </c>
      <c r="T339" s="300">
        <f t="shared" si="36"/>
        <v>0</v>
      </c>
      <c r="U339" s="300">
        <f t="shared" si="37"/>
        <v>0</v>
      </c>
      <c r="V339" s="300">
        <v>-1541.3891482203535</v>
      </c>
      <c r="W339" s="300">
        <v>-5201.2897037572202</v>
      </c>
      <c r="X339" s="300">
        <v>-6742.6788519775737</v>
      </c>
      <c r="Z339" s="300">
        <v>0</v>
      </c>
      <c r="AA339" s="239"/>
      <c r="AB339" s="300">
        <v>0</v>
      </c>
      <c r="AC339" s="300">
        <v>-6742.6788519775737</v>
      </c>
      <c r="AE339" s="452" t="e">
        <f t="shared" si="33"/>
        <v>#DIV/0!</v>
      </c>
      <c r="AF339" s="452" t="e">
        <f t="shared" si="34"/>
        <v>#DIV/0!</v>
      </c>
    </row>
    <row r="340" spans="1:32" s="48" customFormat="1">
      <c r="A340" s="450" t="s">
        <v>303</v>
      </c>
      <c r="B340" s="302">
        <v>2045</v>
      </c>
      <c r="C340" s="451">
        <v>0</v>
      </c>
      <c r="D340" s="451">
        <v>0</v>
      </c>
      <c r="E340" s="451">
        <v>0</v>
      </c>
      <c r="F340" s="451"/>
      <c r="G340" s="451">
        <v>0</v>
      </c>
      <c r="H340" s="451">
        <v>0</v>
      </c>
      <c r="I340" s="451">
        <v>0</v>
      </c>
      <c r="J340" s="301"/>
      <c r="K340" s="301"/>
      <c r="L340" s="301"/>
      <c r="M340" s="301"/>
      <c r="Q340" s="300">
        <f t="shared" si="32"/>
        <v>0</v>
      </c>
      <c r="S340" s="300">
        <f t="shared" si="35"/>
        <v>0</v>
      </c>
      <c r="T340" s="300">
        <f t="shared" si="36"/>
        <v>0</v>
      </c>
      <c r="U340" s="300">
        <f t="shared" si="37"/>
        <v>0</v>
      </c>
      <c r="V340" s="300">
        <v>-1541.3891482203535</v>
      </c>
      <c r="W340" s="300">
        <v>-5201.2897037572202</v>
      </c>
      <c r="X340" s="300">
        <v>-6742.6788519775737</v>
      </c>
      <c r="Z340" s="300">
        <v>0</v>
      </c>
      <c r="AA340" s="239"/>
      <c r="AB340" s="300">
        <v>0</v>
      </c>
      <c r="AC340" s="300">
        <v>-6742.6788519775737</v>
      </c>
      <c r="AE340" s="452" t="e">
        <f t="shared" si="33"/>
        <v>#DIV/0!</v>
      </c>
      <c r="AF340" s="452" t="e">
        <f t="shared" si="34"/>
        <v>#DIV/0!</v>
      </c>
    </row>
    <row r="341" spans="1:32" s="48" customFormat="1">
      <c r="A341" s="450" t="s">
        <v>304</v>
      </c>
      <c r="B341" s="302">
        <v>2045</v>
      </c>
      <c r="C341" s="451">
        <v>0</v>
      </c>
      <c r="D341" s="451">
        <v>0</v>
      </c>
      <c r="E341" s="451">
        <v>0</v>
      </c>
      <c r="F341" s="451"/>
      <c r="G341" s="451">
        <v>0</v>
      </c>
      <c r="H341" s="451">
        <v>0</v>
      </c>
      <c r="I341" s="451">
        <v>0</v>
      </c>
      <c r="J341" s="301"/>
      <c r="K341" s="301"/>
      <c r="L341" s="301"/>
      <c r="M341" s="301"/>
      <c r="Q341" s="300">
        <f t="shared" si="32"/>
        <v>0</v>
      </c>
      <c r="S341" s="300">
        <f t="shared" si="35"/>
        <v>0</v>
      </c>
      <c r="T341" s="300">
        <f t="shared" si="36"/>
        <v>0</v>
      </c>
      <c r="U341" s="300">
        <f t="shared" si="37"/>
        <v>0</v>
      </c>
      <c r="V341" s="300">
        <v>-1541.3891482203535</v>
      </c>
      <c r="W341" s="300">
        <v>-5201.2897037572202</v>
      </c>
      <c r="X341" s="300">
        <v>-6742.6788519775737</v>
      </c>
      <c r="Z341" s="300">
        <v>0</v>
      </c>
      <c r="AA341" s="239"/>
      <c r="AB341" s="300">
        <v>0</v>
      </c>
      <c r="AC341" s="300">
        <v>-6742.6788519775737</v>
      </c>
      <c r="AE341" s="452" t="e">
        <f t="shared" si="33"/>
        <v>#DIV/0!</v>
      </c>
      <c r="AF341" s="452" t="e">
        <f t="shared" si="34"/>
        <v>#DIV/0!</v>
      </c>
    </row>
    <row r="342" spans="1:32" s="48" customFormat="1">
      <c r="A342" s="450" t="s">
        <v>305</v>
      </c>
      <c r="B342" s="302">
        <v>2045</v>
      </c>
      <c r="C342" s="451">
        <v>0</v>
      </c>
      <c r="D342" s="451">
        <v>0</v>
      </c>
      <c r="E342" s="451">
        <v>0</v>
      </c>
      <c r="F342" s="451"/>
      <c r="G342" s="451">
        <v>0</v>
      </c>
      <c r="H342" s="451">
        <v>0</v>
      </c>
      <c r="I342" s="451">
        <v>0</v>
      </c>
      <c r="J342" s="301"/>
      <c r="K342" s="301"/>
      <c r="L342" s="301"/>
      <c r="M342" s="301"/>
      <c r="Q342" s="300">
        <f t="shared" si="32"/>
        <v>0</v>
      </c>
      <c r="S342" s="300">
        <f t="shared" si="35"/>
        <v>0</v>
      </c>
      <c r="T342" s="300">
        <f t="shared" si="36"/>
        <v>0</v>
      </c>
      <c r="U342" s="300">
        <f t="shared" si="37"/>
        <v>0</v>
      </c>
      <c r="V342" s="300">
        <v>-1541.3891482203535</v>
      </c>
      <c r="W342" s="300">
        <v>-5201.2897037572202</v>
      </c>
      <c r="X342" s="300">
        <v>-6742.6788519775737</v>
      </c>
      <c r="Z342" s="300">
        <v>0</v>
      </c>
      <c r="AA342" s="239"/>
      <c r="AB342" s="300">
        <v>0</v>
      </c>
      <c r="AC342" s="300">
        <v>-6742.6788519775737</v>
      </c>
      <c r="AE342" s="452" t="e">
        <f t="shared" si="33"/>
        <v>#DIV/0!</v>
      </c>
      <c r="AF342" s="452" t="e">
        <f t="shared" si="34"/>
        <v>#DIV/0!</v>
      </c>
    </row>
    <row r="343" spans="1:32" s="48" customFormat="1">
      <c r="A343" s="450" t="s">
        <v>306</v>
      </c>
      <c r="B343" s="302">
        <v>2045</v>
      </c>
      <c r="C343" s="451">
        <v>0</v>
      </c>
      <c r="D343" s="451">
        <v>0</v>
      </c>
      <c r="E343" s="451">
        <v>0</v>
      </c>
      <c r="F343" s="451"/>
      <c r="G343" s="451">
        <v>0</v>
      </c>
      <c r="H343" s="451">
        <v>0</v>
      </c>
      <c r="I343" s="451">
        <v>0</v>
      </c>
      <c r="J343" s="301"/>
      <c r="K343" s="301"/>
      <c r="L343" s="301"/>
      <c r="M343" s="301"/>
      <c r="Q343" s="300">
        <f t="shared" ref="Q343:Q396" si="38">SUM(G343:M343)</f>
        <v>0</v>
      </c>
      <c r="S343" s="300">
        <f t="shared" si="35"/>
        <v>0</v>
      </c>
      <c r="T343" s="300">
        <f t="shared" si="36"/>
        <v>0</v>
      </c>
      <c r="U343" s="300">
        <f t="shared" si="37"/>
        <v>0</v>
      </c>
      <c r="V343" s="300">
        <v>-1541.3891482203535</v>
      </c>
      <c r="W343" s="300">
        <v>-5201.2897037572202</v>
      </c>
      <c r="X343" s="300">
        <v>-6742.6788519775737</v>
      </c>
      <c r="Z343" s="300">
        <v>0</v>
      </c>
      <c r="AA343" s="239"/>
      <c r="AB343" s="300">
        <v>0</v>
      </c>
      <c r="AC343" s="300">
        <v>-6742.6788519775737</v>
      </c>
      <c r="AE343" s="452" t="e">
        <f t="shared" ref="AE343:AE396" si="39">(S343+U343)/E343*12</f>
        <v>#DIV/0!</v>
      </c>
      <c r="AF343" s="452" t="e">
        <f t="shared" ref="AF343:AF396" si="40">(S343+T343+U343)/E343*12</f>
        <v>#DIV/0!</v>
      </c>
    </row>
    <row r="344" spans="1:32" s="48" customFormat="1">
      <c r="A344" s="450" t="s">
        <v>307</v>
      </c>
      <c r="B344" s="302">
        <v>2045</v>
      </c>
      <c r="C344" s="451">
        <v>0</v>
      </c>
      <c r="D344" s="451">
        <v>0</v>
      </c>
      <c r="E344" s="451">
        <v>0</v>
      </c>
      <c r="F344" s="451"/>
      <c r="G344" s="451">
        <v>0</v>
      </c>
      <c r="H344" s="451">
        <v>0</v>
      </c>
      <c r="I344" s="451">
        <v>0</v>
      </c>
      <c r="J344" s="301"/>
      <c r="K344" s="301"/>
      <c r="L344" s="301"/>
      <c r="M344" s="301"/>
      <c r="Q344" s="300">
        <f t="shared" si="38"/>
        <v>0</v>
      </c>
      <c r="S344" s="300">
        <f t="shared" si="35"/>
        <v>0</v>
      </c>
      <c r="T344" s="300">
        <f t="shared" si="36"/>
        <v>0</v>
      </c>
      <c r="U344" s="300">
        <f t="shared" si="37"/>
        <v>0</v>
      </c>
      <c r="V344" s="300">
        <v>-1541.3891482203535</v>
      </c>
      <c r="W344" s="300">
        <v>-5201.2897037572202</v>
      </c>
      <c r="X344" s="300">
        <v>-6742.6788519775737</v>
      </c>
      <c r="Z344" s="300">
        <v>0</v>
      </c>
      <c r="AA344" s="239"/>
      <c r="AB344" s="300">
        <v>0</v>
      </c>
      <c r="AC344" s="300">
        <v>-6742.6788519775737</v>
      </c>
      <c r="AE344" s="452" t="e">
        <f t="shared" si="39"/>
        <v>#DIV/0!</v>
      </c>
      <c r="AF344" s="452" t="e">
        <f t="shared" si="40"/>
        <v>#DIV/0!</v>
      </c>
    </row>
    <row r="345" spans="1:32" s="48" customFormat="1">
      <c r="A345" s="450" t="s">
        <v>308</v>
      </c>
      <c r="B345" s="302">
        <v>2045</v>
      </c>
      <c r="C345" s="451">
        <v>0</v>
      </c>
      <c r="D345" s="451">
        <v>0</v>
      </c>
      <c r="E345" s="451">
        <v>0</v>
      </c>
      <c r="F345" s="451"/>
      <c r="G345" s="451">
        <v>0</v>
      </c>
      <c r="H345" s="451">
        <v>0</v>
      </c>
      <c r="I345" s="451">
        <v>0</v>
      </c>
      <c r="J345" s="301"/>
      <c r="K345" s="301"/>
      <c r="L345" s="301"/>
      <c r="M345" s="301"/>
      <c r="Q345" s="300">
        <f t="shared" si="38"/>
        <v>0</v>
      </c>
      <c r="S345" s="300">
        <f t="shared" si="35"/>
        <v>0</v>
      </c>
      <c r="T345" s="300">
        <f t="shared" si="36"/>
        <v>0</v>
      </c>
      <c r="U345" s="300">
        <f t="shared" si="37"/>
        <v>0</v>
      </c>
      <c r="V345" s="300">
        <v>-1541.3891482203535</v>
      </c>
      <c r="W345" s="300">
        <v>-5201.2897037572202</v>
      </c>
      <c r="X345" s="300">
        <v>-6742.6788519775737</v>
      </c>
      <c r="Z345" s="300">
        <v>0</v>
      </c>
      <c r="AA345" s="239"/>
      <c r="AB345" s="300">
        <v>0</v>
      </c>
      <c r="AC345" s="300">
        <v>-6742.6788519775737</v>
      </c>
      <c r="AE345" s="452" t="e">
        <f t="shared" si="39"/>
        <v>#DIV/0!</v>
      </c>
      <c r="AF345" s="452" t="e">
        <f t="shared" si="40"/>
        <v>#DIV/0!</v>
      </c>
    </row>
    <row r="346" spans="1:32" s="48" customFormat="1">
      <c r="A346" s="450" t="s">
        <v>309</v>
      </c>
      <c r="B346" s="302">
        <v>2045</v>
      </c>
      <c r="C346" s="451">
        <v>0</v>
      </c>
      <c r="D346" s="451">
        <v>0</v>
      </c>
      <c r="E346" s="451">
        <v>0</v>
      </c>
      <c r="F346" s="451"/>
      <c r="G346" s="451">
        <v>0</v>
      </c>
      <c r="H346" s="451">
        <v>0</v>
      </c>
      <c r="I346" s="451">
        <v>0</v>
      </c>
      <c r="J346" s="301"/>
      <c r="K346" s="301"/>
      <c r="L346" s="301"/>
      <c r="M346" s="301"/>
      <c r="Q346" s="300">
        <f t="shared" si="38"/>
        <v>0</v>
      </c>
      <c r="S346" s="300">
        <f t="shared" si="35"/>
        <v>0</v>
      </c>
      <c r="T346" s="300">
        <f t="shared" si="36"/>
        <v>0</v>
      </c>
      <c r="U346" s="300">
        <f t="shared" si="37"/>
        <v>0</v>
      </c>
      <c r="V346" s="300">
        <v>-1541.3891482203535</v>
      </c>
      <c r="W346" s="300">
        <v>-5201.2897037572202</v>
      </c>
      <c r="X346" s="300">
        <v>-6742.6788519775737</v>
      </c>
      <c r="Z346" s="300">
        <v>0</v>
      </c>
      <c r="AA346" s="239"/>
      <c r="AB346" s="300">
        <v>0</v>
      </c>
      <c r="AC346" s="300">
        <v>-6742.6788519775737</v>
      </c>
      <c r="AE346" s="452" t="e">
        <f t="shared" si="39"/>
        <v>#DIV/0!</v>
      </c>
      <c r="AF346" s="452" t="e">
        <f t="shared" si="40"/>
        <v>#DIV/0!</v>
      </c>
    </row>
    <row r="347" spans="1:32" s="48" customFormat="1">
      <c r="A347" s="450" t="s">
        <v>298</v>
      </c>
      <c r="B347" s="302">
        <v>2045</v>
      </c>
      <c r="C347" s="451">
        <v>0</v>
      </c>
      <c r="D347" s="451">
        <v>0</v>
      </c>
      <c r="E347" s="451">
        <v>0</v>
      </c>
      <c r="F347" s="451"/>
      <c r="G347" s="451">
        <v>0</v>
      </c>
      <c r="H347" s="451">
        <v>0</v>
      </c>
      <c r="I347" s="451">
        <v>0</v>
      </c>
      <c r="J347" s="301"/>
      <c r="K347" s="301"/>
      <c r="L347" s="301"/>
      <c r="M347" s="301"/>
      <c r="Q347" s="300">
        <f t="shared" si="38"/>
        <v>0</v>
      </c>
      <c r="S347" s="300">
        <f t="shared" si="35"/>
        <v>0</v>
      </c>
      <c r="T347" s="300">
        <f t="shared" si="36"/>
        <v>0</v>
      </c>
      <c r="U347" s="300">
        <f t="shared" si="37"/>
        <v>0</v>
      </c>
      <c r="V347" s="300">
        <v>-1541.3891482203535</v>
      </c>
      <c r="W347" s="300">
        <v>-5201.2897037572202</v>
      </c>
      <c r="X347" s="300">
        <v>-6742.6788519775737</v>
      </c>
      <c r="Z347" s="300">
        <v>0</v>
      </c>
      <c r="AA347" s="239"/>
      <c r="AB347" s="300">
        <v>0</v>
      </c>
      <c r="AC347" s="300">
        <v>-6742.6788519775737</v>
      </c>
      <c r="AE347" s="452" t="e">
        <f t="shared" si="39"/>
        <v>#DIV/0!</v>
      </c>
      <c r="AF347" s="452" t="e">
        <f t="shared" si="40"/>
        <v>#DIV/0!</v>
      </c>
    </row>
    <row r="348" spans="1:32" s="48" customFormat="1">
      <c r="A348" s="450" t="s">
        <v>299</v>
      </c>
      <c r="B348" s="302">
        <v>2045</v>
      </c>
      <c r="C348" s="451">
        <v>0</v>
      </c>
      <c r="D348" s="451">
        <v>0</v>
      </c>
      <c r="E348" s="451">
        <v>0</v>
      </c>
      <c r="F348" s="451"/>
      <c r="G348" s="451">
        <v>0</v>
      </c>
      <c r="H348" s="451">
        <v>0</v>
      </c>
      <c r="I348" s="451">
        <v>0</v>
      </c>
      <c r="J348" s="301"/>
      <c r="K348" s="301"/>
      <c r="L348" s="301"/>
      <c r="M348" s="301"/>
      <c r="Q348" s="300">
        <f t="shared" si="38"/>
        <v>0</v>
      </c>
      <c r="S348" s="300">
        <f t="shared" si="35"/>
        <v>0</v>
      </c>
      <c r="T348" s="300">
        <f t="shared" si="36"/>
        <v>0</v>
      </c>
      <c r="U348" s="300">
        <f t="shared" si="37"/>
        <v>0</v>
      </c>
      <c r="V348" s="300">
        <v>-1541.3891482203535</v>
      </c>
      <c r="W348" s="300">
        <v>-5201.2897037572202</v>
      </c>
      <c r="X348" s="300">
        <v>-6742.6788519775737</v>
      </c>
      <c r="Z348" s="300">
        <v>0</v>
      </c>
      <c r="AA348" s="239"/>
      <c r="AB348" s="300">
        <v>0</v>
      </c>
      <c r="AC348" s="300">
        <v>-6742.6788519775737</v>
      </c>
      <c r="AE348" s="452" t="e">
        <f t="shared" si="39"/>
        <v>#DIV/0!</v>
      </c>
      <c r="AF348" s="452" t="e">
        <f t="shared" si="40"/>
        <v>#DIV/0!</v>
      </c>
    </row>
    <row r="349" spans="1:32" s="48" customFormat="1">
      <c r="A349" s="450" t="s">
        <v>300</v>
      </c>
      <c r="B349" s="302">
        <v>2045</v>
      </c>
      <c r="C349" s="451">
        <v>0</v>
      </c>
      <c r="D349" s="451">
        <v>0</v>
      </c>
      <c r="E349" s="451">
        <v>0</v>
      </c>
      <c r="F349" s="451"/>
      <c r="G349" s="451">
        <v>0</v>
      </c>
      <c r="H349" s="451">
        <v>0</v>
      </c>
      <c r="I349" s="451">
        <v>0</v>
      </c>
      <c r="J349" s="301"/>
      <c r="K349" s="301"/>
      <c r="L349" s="301"/>
      <c r="M349" s="301"/>
      <c r="Q349" s="300">
        <f t="shared" si="38"/>
        <v>0</v>
      </c>
      <c r="S349" s="300">
        <f t="shared" si="35"/>
        <v>0</v>
      </c>
      <c r="T349" s="300">
        <f t="shared" si="36"/>
        <v>0</v>
      </c>
      <c r="U349" s="300">
        <f t="shared" si="37"/>
        <v>0</v>
      </c>
      <c r="V349" s="300">
        <v>-1541.3891482203535</v>
      </c>
      <c r="W349" s="300">
        <v>-5201.2897037572202</v>
      </c>
      <c r="X349" s="300">
        <v>-6742.6788519775737</v>
      </c>
      <c r="Z349" s="300">
        <v>0</v>
      </c>
      <c r="AA349" s="239"/>
      <c r="AB349" s="300">
        <v>0</v>
      </c>
      <c r="AC349" s="300">
        <v>-6742.6788519775737</v>
      </c>
      <c r="AE349" s="452" t="e">
        <f t="shared" si="39"/>
        <v>#DIV/0!</v>
      </c>
      <c r="AF349" s="452" t="e">
        <f t="shared" si="40"/>
        <v>#DIV/0!</v>
      </c>
    </row>
    <row r="350" spans="1:32" s="48" customFormat="1">
      <c r="A350" s="450" t="s">
        <v>301</v>
      </c>
      <c r="B350" s="302">
        <v>2046</v>
      </c>
      <c r="C350" s="451">
        <v>0</v>
      </c>
      <c r="D350" s="451">
        <v>0</v>
      </c>
      <c r="E350" s="451">
        <v>0</v>
      </c>
      <c r="F350" s="451"/>
      <c r="G350" s="451">
        <v>0</v>
      </c>
      <c r="H350" s="451">
        <v>0</v>
      </c>
      <c r="I350" s="451">
        <v>0</v>
      </c>
      <c r="J350" s="301"/>
      <c r="K350" s="301"/>
      <c r="L350" s="301"/>
      <c r="M350" s="301"/>
      <c r="Q350" s="300">
        <f t="shared" si="38"/>
        <v>0</v>
      </c>
      <c r="S350" s="300">
        <f t="shared" si="35"/>
        <v>0</v>
      </c>
      <c r="T350" s="300">
        <f t="shared" si="36"/>
        <v>0</v>
      </c>
      <c r="U350" s="300">
        <f t="shared" si="37"/>
        <v>0</v>
      </c>
      <c r="V350" s="300">
        <v>-1541.3891482203535</v>
      </c>
      <c r="W350" s="300">
        <v>-5201.2897037572202</v>
      </c>
      <c r="X350" s="300">
        <v>-6742.6788519775737</v>
      </c>
      <c r="Z350" s="300">
        <v>0</v>
      </c>
      <c r="AA350" s="239"/>
      <c r="AB350" s="300">
        <v>0</v>
      </c>
      <c r="AC350" s="300">
        <v>-6742.6788519775737</v>
      </c>
      <c r="AE350" s="452" t="e">
        <f t="shared" si="39"/>
        <v>#DIV/0!</v>
      </c>
      <c r="AF350" s="452" t="e">
        <f t="shared" si="40"/>
        <v>#DIV/0!</v>
      </c>
    </row>
    <row r="351" spans="1:32" s="48" customFormat="1">
      <c r="A351" s="450" t="s">
        <v>302</v>
      </c>
      <c r="B351" s="302">
        <v>2046</v>
      </c>
      <c r="C351" s="451">
        <v>0</v>
      </c>
      <c r="D351" s="451">
        <v>0</v>
      </c>
      <c r="E351" s="451">
        <v>0</v>
      </c>
      <c r="F351" s="451"/>
      <c r="G351" s="451">
        <v>0</v>
      </c>
      <c r="H351" s="451">
        <v>0</v>
      </c>
      <c r="I351" s="451">
        <v>0</v>
      </c>
      <c r="J351" s="301"/>
      <c r="K351" s="301"/>
      <c r="L351" s="301"/>
      <c r="M351" s="301"/>
      <c r="Q351" s="300">
        <f t="shared" si="38"/>
        <v>0</v>
      </c>
      <c r="S351" s="300">
        <f t="shared" si="35"/>
        <v>0</v>
      </c>
      <c r="T351" s="300">
        <f t="shared" si="36"/>
        <v>0</v>
      </c>
      <c r="U351" s="300">
        <f t="shared" si="37"/>
        <v>0</v>
      </c>
      <c r="V351" s="300">
        <v>-1541.3891482203535</v>
      </c>
      <c r="W351" s="300">
        <v>-5201.2897037572202</v>
      </c>
      <c r="X351" s="300">
        <v>-6742.6788519775737</v>
      </c>
      <c r="Z351" s="300">
        <v>0</v>
      </c>
      <c r="AA351" s="239"/>
      <c r="AB351" s="300">
        <v>0</v>
      </c>
      <c r="AC351" s="300">
        <v>-6742.6788519775737</v>
      </c>
      <c r="AE351" s="452" t="e">
        <f t="shared" si="39"/>
        <v>#DIV/0!</v>
      </c>
      <c r="AF351" s="452" t="e">
        <f t="shared" si="40"/>
        <v>#DIV/0!</v>
      </c>
    </row>
    <row r="352" spans="1:32" s="48" customFormat="1">
      <c r="A352" s="450" t="s">
        <v>303</v>
      </c>
      <c r="B352" s="302">
        <v>2046</v>
      </c>
      <c r="C352" s="451">
        <v>0</v>
      </c>
      <c r="D352" s="451">
        <v>0</v>
      </c>
      <c r="E352" s="451">
        <v>0</v>
      </c>
      <c r="F352" s="451"/>
      <c r="G352" s="451">
        <v>0</v>
      </c>
      <c r="H352" s="451">
        <v>0</v>
      </c>
      <c r="I352" s="451">
        <v>0</v>
      </c>
      <c r="J352" s="301"/>
      <c r="K352" s="301"/>
      <c r="L352" s="301"/>
      <c r="M352" s="301"/>
      <c r="Q352" s="300">
        <f t="shared" si="38"/>
        <v>0</v>
      </c>
      <c r="S352" s="300">
        <f t="shared" si="35"/>
        <v>0</v>
      </c>
      <c r="T352" s="300">
        <f t="shared" si="36"/>
        <v>0</v>
      </c>
      <c r="U352" s="300">
        <f t="shared" si="37"/>
        <v>0</v>
      </c>
      <c r="V352" s="300">
        <v>-1541.3891482203535</v>
      </c>
      <c r="W352" s="300">
        <v>-5201.2897037572202</v>
      </c>
      <c r="X352" s="300">
        <v>-6742.6788519775737</v>
      </c>
      <c r="Z352" s="300">
        <v>0</v>
      </c>
      <c r="AA352" s="239"/>
      <c r="AB352" s="300">
        <v>0</v>
      </c>
      <c r="AC352" s="300">
        <v>-6742.6788519775737</v>
      </c>
      <c r="AE352" s="452" t="e">
        <f t="shared" si="39"/>
        <v>#DIV/0!</v>
      </c>
      <c r="AF352" s="452" t="e">
        <f t="shared" si="40"/>
        <v>#DIV/0!</v>
      </c>
    </row>
    <row r="353" spans="1:32" s="48" customFormat="1">
      <c r="A353" s="450" t="s">
        <v>304</v>
      </c>
      <c r="B353" s="302">
        <v>2046</v>
      </c>
      <c r="C353" s="451">
        <v>0</v>
      </c>
      <c r="D353" s="451">
        <v>0</v>
      </c>
      <c r="E353" s="451">
        <v>0</v>
      </c>
      <c r="F353" s="451"/>
      <c r="G353" s="451">
        <v>0</v>
      </c>
      <c r="H353" s="451">
        <v>0</v>
      </c>
      <c r="I353" s="451">
        <v>0</v>
      </c>
      <c r="J353" s="301"/>
      <c r="K353" s="301"/>
      <c r="L353" s="301"/>
      <c r="M353" s="301"/>
      <c r="Q353" s="300">
        <f t="shared" si="38"/>
        <v>0</v>
      </c>
      <c r="S353" s="300">
        <f t="shared" si="35"/>
        <v>0</v>
      </c>
      <c r="T353" s="300">
        <f t="shared" si="36"/>
        <v>0</v>
      </c>
      <c r="U353" s="300">
        <f t="shared" si="37"/>
        <v>0</v>
      </c>
      <c r="V353" s="300">
        <v>-1541.3891482203535</v>
      </c>
      <c r="W353" s="300">
        <v>-5201.2897037572202</v>
      </c>
      <c r="X353" s="300">
        <v>-6742.6788519775737</v>
      </c>
      <c r="Z353" s="300">
        <v>0</v>
      </c>
      <c r="AA353" s="239"/>
      <c r="AB353" s="300">
        <v>0</v>
      </c>
      <c r="AC353" s="300">
        <v>-6742.6788519775737</v>
      </c>
      <c r="AE353" s="452" t="e">
        <f t="shared" si="39"/>
        <v>#DIV/0!</v>
      </c>
      <c r="AF353" s="452" t="e">
        <f t="shared" si="40"/>
        <v>#DIV/0!</v>
      </c>
    </row>
    <row r="354" spans="1:32" s="48" customFormat="1">
      <c r="A354" s="450" t="s">
        <v>305</v>
      </c>
      <c r="B354" s="302">
        <v>2046</v>
      </c>
      <c r="C354" s="451">
        <v>0</v>
      </c>
      <c r="D354" s="451">
        <v>0</v>
      </c>
      <c r="E354" s="451">
        <v>0</v>
      </c>
      <c r="F354" s="451"/>
      <c r="G354" s="451">
        <v>0</v>
      </c>
      <c r="H354" s="451">
        <v>0</v>
      </c>
      <c r="I354" s="451">
        <v>0</v>
      </c>
      <c r="J354" s="301"/>
      <c r="K354" s="301"/>
      <c r="L354" s="301"/>
      <c r="M354" s="301"/>
      <c r="Q354" s="300">
        <f t="shared" si="38"/>
        <v>0</v>
      </c>
      <c r="S354" s="300">
        <f t="shared" si="35"/>
        <v>0</v>
      </c>
      <c r="T354" s="300">
        <f t="shared" si="36"/>
        <v>0</v>
      </c>
      <c r="U354" s="300">
        <f t="shared" si="37"/>
        <v>0</v>
      </c>
      <c r="V354" s="300">
        <v>-1541.3891482203535</v>
      </c>
      <c r="W354" s="300">
        <v>-5201.2897037572202</v>
      </c>
      <c r="X354" s="300">
        <v>-6742.6788519775737</v>
      </c>
      <c r="Z354" s="300">
        <v>0</v>
      </c>
      <c r="AA354" s="239"/>
      <c r="AB354" s="300">
        <v>0</v>
      </c>
      <c r="AC354" s="300">
        <v>-6742.6788519775737</v>
      </c>
      <c r="AE354" s="452" t="e">
        <f t="shared" si="39"/>
        <v>#DIV/0!</v>
      </c>
      <c r="AF354" s="452" t="e">
        <f t="shared" si="40"/>
        <v>#DIV/0!</v>
      </c>
    </row>
    <row r="355" spans="1:32" s="48" customFormat="1">
      <c r="A355" s="450" t="s">
        <v>306</v>
      </c>
      <c r="B355" s="302">
        <v>2046</v>
      </c>
      <c r="C355" s="451">
        <v>0</v>
      </c>
      <c r="D355" s="451">
        <v>0</v>
      </c>
      <c r="E355" s="451">
        <v>0</v>
      </c>
      <c r="F355" s="451"/>
      <c r="G355" s="451">
        <v>0</v>
      </c>
      <c r="H355" s="451">
        <v>0</v>
      </c>
      <c r="I355" s="451">
        <v>0</v>
      </c>
      <c r="J355" s="301"/>
      <c r="K355" s="301"/>
      <c r="L355" s="301"/>
      <c r="M355" s="301"/>
      <c r="Q355" s="300">
        <f t="shared" si="38"/>
        <v>0</v>
      </c>
      <c r="S355" s="300">
        <f t="shared" si="35"/>
        <v>0</v>
      </c>
      <c r="T355" s="300">
        <f t="shared" si="36"/>
        <v>0</v>
      </c>
      <c r="U355" s="300">
        <f t="shared" si="37"/>
        <v>0</v>
      </c>
      <c r="V355" s="300">
        <v>-1541.3891482203535</v>
      </c>
      <c r="W355" s="300">
        <v>-5201.2897037572202</v>
      </c>
      <c r="X355" s="300">
        <v>-6742.6788519775737</v>
      </c>
      <c r="Z355" s="300">
        <v>0</v>
      </c>
      <c r="AA355" s="239"/>
      <c r="AB355" s="300">
        <v>0</v>
      </c>
      <c r="AC355" s="300">
        <v>-6742.6788519775737</v>
      </c>
      <c r="AE355" s="452" t="e">
        <f t="shared" si="39"/>
        <v>#DIV/0!</v>
      </c>
      <c r="AF355" s="452" t="e">
        <f t="shared" si="40"/>
        <v>#DIV/0!</v>
      </c>
    </row>
    <row r="356" spans="1:32" s="48" customFormat="1">
      <c r="A356" s="450" t="s">
        <v>307</v>
      </c>
      <c r="B356" s="302">
        <v>2046</v>
      </c>
      <c r="C356" s="451">
        <v>0</v>
      </c>
      <c r="D356" s="451">
        <v>0</v>
      </c>
      <c r="E356" s="451">
        <v>0</v>
      </c>
      <c r="F356" s="451"/>
      <c r="G356" s="451">
        <v>0</v>
      </c>
      <c r="H356" s="451">
        <v>0</v>
      </c>
      <c r="I356" s="451">
        <v>0</v>
      </c>
      <c r="J356" s="301"/>
      <c r="K356" s="301"/>
      <c r="L356" s="301"/>
      <c r="M356" s="301"/>
      <c r="Q356" s="300">
        <f t="shared" si="38"/>
        <v>0</v>
      </c>
      <c r="S356" s="300">
        <f t="shared" si="35"/>
        <v>0</v>
      </c>
      <c r="T356" s="300">
        <f t="shared" si="36"/>
        <v>0</v>
      </c>
      <c r="U356" s="300">
        <f t="shared" si="37"/>
        <v>0</v>
      </c>
      <c r="V356" s="300">
        <v>-1541.3891482203535</v>
      </c>
      <c r="W356" s="300">
        <v>-5201.2897037572202</v>
      </c>
      <c r="X356" s="300">
        <v>-6742.6788519775737</v>
      </c>
      <c r="Z356" s="300">
        <v>0</v>
      </c>
      <c r="AA356" s="239"/>
      <c r="AB356" s="300">
        <v>0</v>
      </c>
      <c r="AC356" s="300">
        <v>-6742.6788519775737</v>
      </c>
      <c r="AE356" s="452" t="e">
        <f t="shared" si="39"/>
        <v>#DIV/0!</v>
      </c>
      <c r="AF356" s="452" t="e">
        <f t="shared" si="40"/>
        <v>#DIV/0!</v>
      </c>
    </row>
    <row r="357" spans="1:32" s="48" customFormat="1">
      <c r="A357" s="450" t="s">
        <v>308</v>
      </c>
      <c r="B357" s="302">
        <v>2046</v>
      </c>
      <c r="C357" s="451">
        <v>0</v>
      </c>
      <c r="D357" s="451">
        <v>0</v>
      </c>
      <c r="E357" s="451">
        <v>0</v>
      </c>
      <c r="F357" s="451"/>
      <c r="G357" s="451">
        <v>0</v>
      </c>
      <c r="H357" s="451">
        <v>0</v>
      </c>
      <c r="I357" s="451">
        <v>0</v>
      </c>
      <c r="J357" s="301"/>
      <c r="K357" s="301"/>
      <c r="L357" s="301"/>
      <c r="M357" s="301"/>
      <c r="Q357" s="300">
        <f t="shared" si="38"/>
        <v>0</v>
      </c>
      <c r="S357" s="300">
        <f t="shared" ref="S357:S396" si="41">E357*(($V$13+$V$14)/12)</f>
        <v>0</v>
      </c>
      <c r="T357" s="300">
        <f t="shared" ref="T357:T396" si="42">E357*($AA$16/12)</f>
        <v>0</v>
      </c>
      <c r="U357" s="300">
        <f t="shared" ref="U357:U396" si="43">E357*($V$15/12)</f>
        <v>0</v>
      </c>
      <c r="V357" s="300">
        <v>-1541.3891482203535</v>
      </c>
      <c r="W357" s="300">
        <v>-5201.2897037572202</v>
      </c>
      <c r="X357" s="300">
        <v>-6742.6788519775737</v>
      </c>
      <c r="Z357" s="300">
        <v>0</v>
      </c>
      <c r="AA357" s="239"/>
      <c r="AB357" s="300">
        <v>0</v>
      </c>
      <c r="AC357" s="300">
        <v>-6742.6788519775737</v>
      </c>
      <c r="AE357" s="452" t="e">
        <f t="shared" si="39"/>
        <v>#DIV/0!</v>
      </c>
      <c r="AF357" s="452" t="e">
        <f t="shared" si="40"/>
        <v>#DIV/0!</v>
      </c>
    </row>
    <row r="358" spans="1:32" s="48" customFormat="1">
      <c r="A358" s="450" t="s">
        <v>309</v>
      </c>
      <c r="B358" s="302">
        <v>2046</v>
      </c>
      <c r="C358" s="451">
        <v>0</v>
      </c>
      <c r="D358" s="451">
        <v>0</v>
      </c>
      <c r="E358" s="451">
        <v>0</v>
      </c>
      <c r="F358" s="451"/>
      <c r="G358" s="451">
        <v>0</v>
      </c>
      <c r="H358" s="451">
        <v>0</v>
      </c>
      <c r="I358" s="451">
        <v>0</v>
      </c>
      <c r="J358" s="301"/>
      <c r="K358" s="301"/>
      <c r="L358" s="301"/>
      <c r="M358" s="301"/>
      <c r="Q358" s="300">
        <f t="shared" si="38"/>
        <v>0</v>
      </c>
      <c r="S358" s="300">
        <f t="shared" si="41"/>
        <v>0</v>
      </c>
      <c r="T358" s="300">
        <f t="shared" si="42"/>
        <v>0</v>
      </c>
      <c r="U358" s="300">
        <f t="shared" si="43"/>
        <v>0</v>
      </c>
      <c r="V358" s="300">
        <v>-1541.3891482203535</v>
      </c>
      <c r="W358" s="300">
        <v>-5201.2897037572202</v>
      </c>
      <c r="X358" s="300">
        <v>-6742.6788519775737</v>
      </c>
      <c r="Z358" s="300">
        <v>0</v>
      </c>
      <c r="AA358" s="239"/>
      <c r="AB358" s="300">
        <v>0</v>
      </c>
      <c r="AC358" s="300">
        <v>-6742.6788519775737</v>
      </c>
      <c r="AE358" s="452" t="e">
        <f t="shared" si="39"/>
        <v>#DIV/0!</v>
      </c>
      <c r="AF358" s="452" t="e">
        <f t="shared" si="40"/>
        <v>#DIV/0!</v>
      </c>
    </row>
    <row r="359" spans="1:32" s="48" customFormat="1">
      <c r="A359" s="450" t="s">
        <v>298</v>
      </c>
      <c r="B359" s="302">
        <v>2046</v>
      </c>
      <c r="C359" s="451">
        <v>0</v>
      </c>
      <c r="D359" s="451">
        <v>0</v>
      </c>
      <c r="E359" s="451">
        <v>0</v>
      </c>
      <c r="F359" s="451"/>
      <c r="G359" s="451">
        <v>0</v>
      </c>
      <c r="H359" s="451">
        <v>0</v>
      </c>
      <c r="I359" s="451">
        <v>0</v>
      </c>
      <c r="J359" s="301"/>
      <c r="K359" s="301"/>
      <c r="L359" s="301"/>
      <c r="M359" s="301"/>
      <c r="Q359" s="300">
        <f t="shared" si="38"/>
        <v>0</v>
      </c>
      <c r="S359" s="300">
        <f t="shared" si="41"/>
        <v>0</v>
      </c>
      <c r="T359" s="300">
        <f t="shared" si="42"/>
        <v>0</v>
      </c>
      <c r="U359" s="300">
        <f t="shared" si="43"/>
        <v>0</v>
      </c>
      <c r="V359" s="300">
        <v>-1541.3891482203535</v>
      </c>
      <c r="W359" s="300">
        <v>-5201.2897037572202</v>
      </c>
      <c r="X359" s="300">
        <v>-6742.6788519775737</v>
      </c>
      <c r="Z359" s="300">
        <v>0</v>
      </c>
      <c r="AA359" s="239"/>
      <c r="AB359" s="300">
        <v>0</v>
      </c>
      <c r="AC359" s="300">
        <v>-6742.6788519775737</v>
      </c>
      <c r="AE359" s="452" t="e">
        <f t="shared" si="39"/>
        <v>#DIV/0!</v>
      </c>
      <c r="AF359" s="452" t="e">
        <f t="shared" si="40"/>
        <v>#DIV/0!</v>
      </c>
    </row>
    <row r="360" spans="1:32" s="48" customFormat="1">
      <c r="A360" s="450" t="s">
        <v>299</v>
      </c>
      <c r="B360" s="302">
        <v>2046</v>
      </c>
      <c r="C360" s="451">
        <v>0</v>
      </c>
      <c r="D360" s="451">
        <v>0</v>
      </c>
      <c r="E360" s="451">
        <v>0</v>
      </c>
      <c r="F360" s="451"/>
      <c r="G360" s="451">
        <v>0</v>
      </c>
      <c r="H360" s="451">
        <v>0</v>
      </c>
      <c r="I360" s="451">
        <v>0</v>
      </c>
      <c r="J360" s="301"/>
      <c r="K360" s="301"/>
      <c r="L360" s="301"/>
      <c r="M360" s="301"/>
      <c r="Q360" s="300">
        <f t="shared" si="38"/>
        <v>0</v>
      </c>
      <c r="S360" s="300">
        <f t="shared" si="41"/>
        <v>0</v>
      </c>
      <c r="T360" s="300">
        <f t="shared" si="42"/>
        <v>0</v>
      </c>
      <c r="U360" s="300">
        <f t="shared" si="43"/>
        <v>0</v>
      </c>
      <c r="V360" s="300">
        <v>-1541.3891482203535</v>
      </c>
      <c r="W360" s="300">
        <v>-5201.2897037572202</v>
      </c>
      <c r="X360" s="300">
        <v>-6742.6788519775737</v>
      </c>
      <c r="Z360" s="300">
        <v>0</v>
      </c>
      <c r="AA360" s="239"/>
      <c r="AB360" s="300">
        <v>0</v>
      </c>
      <c r="AC360" s="300">
        <v>-6742.6788519775737</v>
      </c>
      <c r="AE360" s="452" t="e">
        <f t="shared" si="39"/>
        <v>#DIV/0!</v>
      </c>
      <c r="AF360" s="452" t="e">
        <f t="shared" si="40"/>
        <v>#DIV/0!</v>
      </c>
    </row>
    <row r="361" spans="1:32" s="48" customFormat="1">
      <c r="A361" s="450" t="s">
        <v>300</v>
      </c>
      <c r="B361" s="302">
        <v>2046</v>
      </c>
      <c r="C361" s="451">
        <v>0</v>
      </c>
      <c r="D361" s="451">
        <v>0</v>
      </c>
      <c r="E361" s="451">
        <v>0</v>
      </c>
      <c r="F361" s="451"/>
      <c r="G361" s="451">
        <v>0</v>
      </c>
      <c r="H361" s="451">
        <v>0</v>
      </c>
      <c r="I361" s="451">
        <v>0</v>
      </c>
      <c r="J361" s="301"/>
      <c r="K361" s="301"/>
      <c r="L361" s="301"/>
      <c r="M361" s="301"/>
      <c r="Q361" s="300">
        <f t="shared" si="38"/>
        <v>0</v>
      </c>
      <c r="S361" s="300">
        <f t="shared" si="41"/>
        <v>0</v>
      </c>
      <c r="T361" s="300">
        <f t="shared" si="42"/>
        <v>0</v>
      </c>
      <c r="U361" s="300">
        <f t="shared" si="43"/>
        <v>0</v>
      </c>
      <c r="V361" s="300">
        <v>-1541.3891482203535</v>
      </c>
      <c r="W361" s="300">
        <v>-5201.2897037572202</v>
      </c>
      <c r="X361" s="300">
        <v>-6742.6788519775737</v>
      </c>
      <c r="Z361" s="300">
        <v>0</v>
      </c>
      <c r="AA361" s="239"/>
      <c r="AB361" s="300">
        <v>0</v>
      </c>
      <c r="AC361" s="300">
        <v>-6742.6788519775737</v>
      </c>
      <c r="AE361" s="452" t="e">
        <f t="shared" si="39"/>
        <v>#DIV/0!</v>
      </c>
      <c r="AF361" s="452" t="e">
        <f t="shared" si="40"/>
        <v>#DIV/0!</v>
      </c>
    </row>
    <row r="362" spans="1:32" s="48" customFormat="1">
      <c r="A362" s="450" t="s">
        <v>301</v>
      </c>
      <c r="B362" s="302">
        <v>2047</v>
      </c>
      <c r="C362" s="451">
        <v>0</v>
      </c>
      <c r="D362" s="451">
        <v>0</v>
      </c>
      <c r="E362" s="451">
        <v>0</v>
      </c>
      <c r="F362" s="451"/>
      <c r="G362" s="451">
        <v>0</v>
      </c>
      <c r="H362" s="451">
        <v>0</v>
      </c>
      <c r="I362" s="451">
        <v>0</v>
      </c>
      <c r="J362" s="301"/>
      <c r="K362" s="301"/>
      <c r="L362" s="301"/>
      <c r="M362" s="301"/>
      <c r="Q362" s="300">
        <f t="shared" si="38"/>
        <v>0</v>
      </c>
      <c r="S362" s="300">
        <f t="shared" si="41"/>
        <v>0</v>
      </c>
      <c r="T362" s="300">
        <f t="shared" si="42"/>
        <v>0</v>
      </c>
      <c r="U362" s="300">
        <f t="shared" si="43"/>
        <v>0</v>
      </c>
      <c r="V362" s="300">
        <v>-1541.3891482203535</v>
      </c>
      <c r="W362" s="300">
        <v>-5201.2897037572202</v>
      </c>
      <c r="X362" s="300">
        <v>-6742.6788519775737</v>
      </c>
      <c r="Z362" s="300">
        <v>0</v>
      </c>
      <c r="AA362" s="239"/>
      <c r="AB362" s="300">
        <v>0</v>
      </c>
      <c r="AC362" s="300">
        <v>-6742.6788519775737</v>
      </c>
      <c r="AE362" s="452" t="e">
        <f t="shared" si="39"/>
        <v>#DIV/0!</v>
      </c>
      <c r="AF362" s="452" t="e">
        <f t="shared" si="40"/>
        <v>#DIV/0!</v>
      </c>
    </row>
    <row r="363" spans="1:32" s="48" customFormat="1">
      <c r="A363" s="450" t="s">
        <v>302</v>
      </c>
      <c r="B363" s="302">
        <v>2047</v>
      </c>
      <c r="C363" s="451">
        <v>0</v>
      </c>
      <c r="D363" s="451">
        <v>0</v>
      </c>
      <c r="E363" s="451">
        <v>0</v>
      </c>
      <c r="F363" s="451"/>
      <c r="G363" s="451">
        <v>0</v>
      </c>
      <c r="H363" s="451">
        <v>0</v>
      </c>
      <c r="I363" s="451">
        <v>0</v>
      </c>
      <c r="J363" s="301"/>
      <c r="K363" s="301"/>
      <c r="L363" s="301"/>
      <c r="M363" s="301"/>
      <c r="Q363" s="300">
        <f t="shared" si="38"/>
        <v>0</v>
      </c>
      <c r="S363" s="300">
        <f t="shared" si="41"/>
        <v>0</v>
      </c>
      <c r="T363" s="300">
        <f t="shared" si="42"/>
        <v>0</v>
      </c>
      <c r="U363" s="300">
        <f t="shared" si="43"/>
        <v>0</v>
      </c>
      <c r="V363" s="300">
        <v>-1541.3891482203535</v>
      </c>
      <c r="W363" s="300">
        <v>-5201.2897037572202</v>
      </c>
      <c r="X363" s="300">
        <v>-6742.6788519775737</v>
      </c>
      <c r="Z363" s="300">
        <v>0</v>
      </c>
      <c r="AA363" s="239"/>
      <c r="AB363" s="300">
        <v>0</v>
      </c>
      <c r="AC363" s="300">
        <v>-6742.6788519775737</v>
      </c>
      <c r="AE363" s="452" t="e">
        <f t="shared" si="39"/>
        <v>#DIV/0!</v>
      </c>
      <c r="AF363" s="452" t="e">
        <f t="shared" si="40"/>
        <v>#DIV/0!</v>
      </c>
    </row>
    <row r="364" spans="1:32" s="48" customFormat="1">
      <c r="A364" s="450" t="s">
        <v>303</v>
      </c>
      <c r="B364" s="302">
        <v>2047</v>
      </c>
      <c r="C364" s="451">
        <v>0</v>
      </c>
      <c r="D364" s="451">
        <v>0</v>
      </c>
      <c r="E364" s="451">
        <v>0</v>
      </c>
      <c r="F364" s="451"/>
      <c r="G364" s="451">
        <v>0</v>
      </c>
      <c r="H364" s="451">
        <v>0</v>
      </c>
      <c r="I364" s="451">
        <v>0</v>
      </c>
      <c r="J364" s="301"/>
      <c r="K364" s="301"/>
      <c r="L364" s="301"/>
      <c r="M364" s="301"/>
      <c r="Q364" s="300">
        <f t="shared" si="38"/>
        <v>0</v>
      </c>
      <c r="S364" s="300">
        <f t="shared" si="41"/>
        <v>0</v>
      </c>
      <c r="T364" s="300">
        <f t="shared" si="42"/>
        <v>0</v>
      </c>
      <c r="U364" s="300">
        <f t="shared" si="43"/>
        <v>0</v>
      </c>
      <c r="V364" s="300">
        <v>-1541.3891482203535</v>
      </c>
      <c r="W364" s="300">
        <v>-5201.2897037572202</v>
      </c>
      <c r="X364" s="300">
        <v>-6742.6788519775737</v>
      </c>
      <c r="Z364" s="300">
        <v>0</v>
      </c>
      <c r="AA364" s="239"/>
      <c r="AB364" s="300">
        <v>0</v>
      </c>
      <c r="AC364" s="300">
        <v>-6742.6788519775737</v>
      </c>
      <c r="AE364" s="452" t="e">
        <f t="shared" si="39"/>
        <v>#DIV/0!</v>
      </c>
      <c r="AF364" s="452" t="e">
        <f t="shared" si="40"/>
        <v>#DIV/0!</v>
      </c>
    </row>
    <row r="365" spans="1:32" s="48" customFormat="1">
      <c r="A365" s="450" t="s">
        <v>304</v>
      </c>
      <c r="B365" s="302">
        <v>2047</v>
      </c>
      <c r="C365" s="451">
        <v>0</v>
      </c>
      <c r="D365" s="451">
        <v>0</v>
      </c>
      <c r="E365" s="451">
        <v>0</v>
      </c>
      <c r="F365" s="451"/>
      <c r="G365" s="451">
        <v>0</v>
      </c>
      <c r="H365" s="451">
        <v>0</v>
      </c>
      <c r="I365" s="451">
        <v>0</v>
      </c>
      <c r="J365" s="301"/>
      <c r="K365" s="301"/>
      <c r="L365" s="301"/>
      <c r="M365" s="301"/>
      <c r="Q365" s="300">
        <f t="shared" si="38"/>
        <v>0</v>
      </c>
      <c r="S365" s="300">
        <f t="shared" si="41"/>
        <v>0</v>
      </c>
      <c r="T365" s="300">
        <f t="shared" si="42"/>
        <v>0</v>
      </c>
      <c r="U365" s="300">
        <f t="shared" si="43"/>
        <v>0</v>
      </c>
      <c r="V365" s="300">
        <v>-1541.3891482203535</v>
      </c>
      <c r="W365" s="300">
        <v>-5201.2897037572202</v>
      </c>
      <c r="X365" s="300">
        <v>-6742.6788519775737</v>
      </c>
      <c r="Z365" s="300">
        <v>0</v>
      </c>
      <c r="AA365" s="239"/>
      <c r="AB365" s="300">
        <v>0</v>
      </c>
      <c r="AC365" s="300">
        <v>-6742.6788519775737</v>
      </c>
      <c r="AE365" s="452" t="e">
        <f t="shared" si="39"/>
        <v>#DIV/0!</v>
      </c>
      <c r="AF365" s="452" t="e">
        <f t="shared" si="40"/>
        <v>#DIV/0!</v>
      </c>
    </row>
    <row r="366" spans="1:32" s="48" customFormat="1">
      <c r="A366" s="450" t="s">
        <v>305</v>
      </c>
      <c r="B366" s="302">
        <v>2047</v>
      </c>
      <c r="C366" s="451">
        <v>0</v>
      </c>
      <c r="D366" s="451">
        <v>0</v>
      </c>
      <c r="E366" s="451">
        <v>0</v>
      </c>
      <c r="F366" s="451"/>
      <c r="G366" s="451">
        <v>0</v>
      </c>
      <c r="H366" s="451">
        <v>0</v>
      </c>
      <c r="I366" s="451">
        <v>0</v>
      </c>
      <c r="J366" s="301"/>
      <c r="K366" s="301"/>
      <c r="L366" s="301"/>
      <c r="M366" s="301"/>
      <c r="Q366" s="300">
        <f t="shared" si="38"/>
        <v>0</v>
      </c>
      <c r="S366" s="300">
        <f t="shared" si="41"/>
        <v>0</v>
      </c>
      <c r="T366" s="300">
        <f t="shared" si="42"/>
        <v>0</v>
      </c>
      <c r="U366" s="300">
        <f t="shared" si="43"/>
        <v>0</v>
      </c>
      <c r="V366" s="300">
        <v>-1541.3891482203535</v>
      </c>
      <c r="W366" s="300">
        <v>-5201.2897037572202</v>
      </c>
      <c r="X366" s="300">
        <v>-6742.6788519775737</v>
      </c>
      <c r="Z366" s="300">
        <v>0</v>
      </c>
      <c r="AA366" s="239"/>
      <c r="AB366" s="300">
        <v>0</v>
      </c>
      <c r="AC366" s="300">
        <v>-6742.6788519775737</v>
      </c>
      <c r="AE366" s="452" t="e">
        <f t="shared" si="39"/>
        <v>#DIV/0!</v>
      </c>
      <c r="AF366" s="452" t="e">
        <f t="shared" si="40"/>
        <v>#DIV/0!</v>
      </c>
    </row>
    <row r="367" spans="1:32" s="48" customFormat="1">
      <c r="A367" s="450" t="s">
        <v>306</v>
      </c>
      <c r="B367" s="302">
        <v>2047</v>
      </c>
      <c r="C367" s="451">
        <v>0</v>
      </c>
      <c r="D367" s="451">
        <v>0</v>
      </c>
      <c r="E367" s="451">
        <v>0</v>
      </c>
      <c r="F367" s="451"/>
      <c r="G367" s="451">
        <v>0</v>
      </c>
      <c r="H367" s="451">
        <v>0</v>
      </c>
      <c r="I367" s="451">
        <v>0</v>
      </c>
      <c r="J367" s="301"/>
      <c r="K367" s="301"/>
      <c r="L367" s="301"/>
      <c r="M367" s="301"/>
      <c r="Q367" s="300">
        <f t="shared" si="38"/>
        <v>0</v>
      </c>
      <c r="S367" s="300">
        <f t="shared" si="41"/>
        <v>0</v>
      </c>
      <c r="T367" s="300">
        <f t="shared" si="42"/>
        <v>0</v>
      </c>
      <c r="U367" s="300">
        <f t="shared" si="43"/>
        <v>0</v>
      </c>
      <c r="V367" s="300">
        <v>-1541.3891482203535</v>
      </c>
      <c r="W367" s="300">
        <v>-5201.2897037572202</v>
      </c>
      <c r="X367" s="300">
        <v>-6742.6788519775737</v>
      </c>
      <c r="Z367" s="300">
        <v>0</v>
      </c>
      <c r="AA367" s="239"/>
      <c r="AB367" s="300">
        <v>0</v>
      </c>
      <c r="AC367" s="300">
        <v>-6742.6788519775737</v>
      </c>
      <c r="AE367" s="452" t="e">
        <f t="shared" si="39"/>
        <v>#DIV/0!</v>
      </c>
      <c r="AF367" s="452" t="e">
        <f t="shared" si="40"/>
        <v>#DIV/0!</v>
      </c>
    </row>
    <row r="368" spans="1:32" s="48" customFormat="1">
      <c r="A368" s="450" t="s">
        <v>307</v>
      </c>
      <c r="B368" s="302">
        <v>2047</v>
      </c>
      <c r="C368" s="451">
        <v>0</v>
      </c>
      <c r="D368" s="451">
        <v>0</v>
      </c>
      <c r="E368" s="451">
        <v>0</v>
      </c>
      <c r="F368" s="451"/>
      <c r="G368" s="451">
        <v>0</v>
      </c>
      <c r="H368" s="451">
        <v>0</v>
      </c>
      <c r="I368" s="451">
        <v>0</v>
      </c>
      <c r="J368" s="301"/>
      <c r="K368" s="301"/>
      <c r="L368" s="301"/>
      <c r="M368" s="301"/>
      <c r="Q368" s="300">
        <f t="shared" si="38"/>
        <v>0</v>
      </c>
      <c r="S368" s="300">
        <f t="shared" si="41"/>
        <v>0</v>
      </c>
      <c r="T368" s="300">
        <f t="shared" si="42"/>
        <v>0</v>
      </c>
      <c r="U368" s="300">
        <f t="shared" si="43"/>
        <v>0</v>
      </c>
      <c r="V368" s="300">
        <v>-1541.3891482203535</v>
      </c>
      <c r="W368" s="300">
        <v>-5201.2897037572202</v>
      </c>
      <c r="X368" s="300">
        <v>-6742.6788519775737</v>
      </c>
      <c r="Z368" s="300">
        <v>0</v>
      </c>
      <c r="AA368" s="239"/>
      <c r="AB368" s="300">
        <v>0</v>
      </c>
      <c r="AC368" s="300">
        <v>-6742.6788519775737</v>
      </c>
      <c r="AE368" s="452" t="e">
        <f t="shared" si="39"/>
        <v>#DIV/0!</v>
      </c>
      <c r="AF368" s="452" t="e">
        <f t="shared" si="40"/>
        <v>#DIV/0!</v>
      </c>
    </row>
    <row r="369" spans="1:32" s="48" customFormat="1">
      <c r="A369" s="450" t="s">
        <v>308</v>
      </c>
      <c r="B369" s="302">
        <v>2047</v>
      </c>
      <c r="C369" s="451">
        <v>0</v>
      </c>
      <c r="D369" s="451">
        <v>0</v>
      </c>
      <c r="E369" s="451">
        <v>0</v>
      </c>
      <c r="F369" s="451"/>
      <c r="G369" s="451">
        <v>0</v>
      </c>
      <c r="H369" s="451">
        <v>0</v>
      </c>
      <c r="I369" s="451">
        <v>0</v>
      </c>
      <c r="J369" s="301"/>
      <c r="K369" s="301"/>
      <c r="L369" s="301"/>
      <c r="M369" s="301"/>
      <c r="Q369" s="300">
        <f t="shared" si="38"/>
        <v>0</v>
      </c>
      <c r="S369" s="300">
        <f t="shared" si="41"/>
        <v>0</v>
      </c>
      <c r="T369" s="300">
        <f t="shared" si="42"/>
        <v>0</v>
      </c>
      <c r="U369" s="300">
        <f t="shared" si="43"/>
        <v>0</v>
      </c>
      <c r="V369" s="300">
        <v>-1541.3891482203535</v>
      </c>
      <c r="W369" s="300">
        <v>-5201.2897037572202</v>
      </c>
      <c r="X369" s="300">
        <v>-6742.6788519775737</v>
      </c>
      <c r="Z369" s="300">
        <v>0</v>
      </c>
      <c r="AA369" s="239"/>
      <c r="AB369" s="300">
        <v>0</v>
      </c>
      <c r="AC369" s="300">
        <v>-6742.6788519775737</v>
      </c>
      <c r="AE369" s="452" t="e">
        <f t="shared" si="39"/>
        <v>#DIV/0!</v>
      </c>
      <c r="AF369" s="452" t="e">
        <f t="shared" si="40"/>
        <v>#DIV/0!</v>
      </c>
    </row>
    <row r="370" spans="1:32" s="48" customFormat="1">
      <c r="A370" s="450" t="s">
        <v>309</v>
      </c>
      <c r="B370" s="302">
        <v>2047</v>
      </c>
      <c r="C370" s="451">
        <v>0</v>
      </c>
      <c r="D370" s="451">
        <v>0</v>
      </c>
      <c r="E370" s="451">
        <v>0</v>
      </c>
      <c r="F370" s="451"/>
      <c r="G370" s="451">
        <v>0</v>
      </c>
      <c r="H370" s="451">
        <v>0</v>
      </c>
      <c r="I370" s="451">
        <v>0</v>
      </c>
      <c r="J370" s="301"/>
      <c r="K370" s="301"/>
      <c r="L370" s="301"/>
      <c r="M370" s="301"/>
      <c r="Q370" s="300">
        <f t="shared" si="38"/>
        <v>0</v>
      </c>
      <c r="S370" s="300">
        <f t="shared" si="41"/>
        <v>0</v>
      </c>
      <c r="T370" s="300">
        <f t="shared" si="42"/>
        <v>0</v>
      </c>
      <c r="U370" s="300">
        <f t="shared" si="43"/>
        <v>0</v>
      </c>
      <c r="V370" s="300">
        <v>-1541.3891482203535</v>
      </c>
      <c r="W370" s="300">
        <v>-5201.2897037572202</v>
      </c>
      <c r="X370" s="300">
        <v>-6742.6788519775737</v>
      </c>
      <c r="Z370" s="300">
        <v>0</v>
      </c>
      <c r="AA370" s="239"/>
      <c r="AB370" s="300">
        <v>0</v>
      </c>
      <c r="AC370" s="300">
        <v>-6742.6788519775737</v>
      </c>
      <c r="AE370" s="452" t="e">
        <f t="shared" si="39"/>
        <v>#DIV/0!</v>
      </c>
      <c r="AF370" s="452" t="e">
        <f t="shared" si="40"/>
        <v>#DIV/0!</v>
      </c>
    </row>
    <row r="371" spans="1:32" s="48" customFormat="1">
      <c r="A371" s="450" t="s">
        <v>298</v>
      </c>
      <c r="B371" s="302">
        <v>2047</v>
      </c>
      <c r="C371" s="451">
        <v>0</v>
      </c>
      <c r="D371" s="451">
        <v>0</v>
      </c>
      <c r="E371" s="451">
        <v>0</v>
      </c>
      <c r="F371" s="451"/>
      <c r="G371" s="451">
        <v>0</v>
      </c>
      <c r="H371" s="451">
        <v>0</v>
      </c>
      <c r="I371" s="451">
        <v>0</v>
      </c>
      <c r="J371" s="301"/>
      <c r="K371" s="301"/>
      <c r="L371" s="301"/>
      <c r="M371" s="301"/>
      <c r="Q371" s="300">
        <f t="shared" si="38"/>
        <v>0</v>
      </c>
      <c r="S371" s="300">
        <f t="shared" si="41"/>
        <v>0</v>
      </c>
      <c r="T371" s="300">
        <f t="shared" si="42"/>
        <v>0</v>
      </c>
      <c r="U371" s="300">
        <f t="shared" si="43"/>
        <v>0</v>
      </c>
      <c r="V371" s="300">
        <v>-1541.3891482203535</v>
      </c>
      <c r="W371" s="300">
        <v>-5201.2897037572202</v>
      </c>
      <c r="X371" s="300">
        <v>-6742.6788519775737</v>
      </c>
      <c r="Z371" s="300">
        <v>0</v>
      </c>
      <c r="AA371" s="239"/>
      <c r="AB371" s="300">
        <v>0</v>
      </c>
      <c r="AC371" s="300">
        <v>-6742.6788519775737</v>
      </c>
      <c r="AE371" s="452" t="e">
        <f t="shared" si="39"/>
        <v>#DIV/0!</v>
      </c>
      <c r="AF371" s="452" t="e">
        <f t="shared" si="40"/>
        <v>#DIV/0!</v>
      </c>
    </row>
    <row r="372" spans="1:32" s="48" customFormat="1">
      <c r="A372" s="450" t="s">
        <v>299</v>
      </c>
      <c r="B372" s="302">
        <v>2047</v>
      </c>
      <c r="C372" s="451">
        <v>0</v>
      </c>
      <c r="D372" s="451">
        <v>0</v>
      </c>
      <c r="E372" s="451">
        <v>0</v>
      </c>
      <c r="F372" s="451"/>
      <c r="G372" s="451">
        <v>0</v>
      </c>
      <c r="H372" s="451">
        <v>0</v>
      </c>
      <c r="I372" s="451">
        <v>0</v>
      </c>
      <c r="J372" s="301"/>
      <c r="K372" s="301"/>
      <c r="L372" s="301"/>
      <c r="M372" s="301"/>
      <c r="Q372" s="300">
        <f t="shared" si="38"/>
        <v>0</v>
      </c>
      <c r="S372" s="300">
        <f t="shared" si="41"/>
        <v>0</v>
      </c>
      <c r="T372" s="300">
        <f t="shared" si="42"/>
        <v>0</v>
      </c>
      <c r="U372" s="300">
        <f t="shared" si="43"/>
        <v>0</v>
      </c>
      <c r="V372" s="300">
        <v>-1541.3891482203535</v>
      </c>
      <c r="W372" s="300">
        <v>-5201.2897037572202</v>
      </c>
      <c r="X372" s="300">
        <v>-6742.6788519775737</v>
      </c>
      <c r="Z372" s="300">
        <v>0</v>
      </c>
      <c r="AA372" s="239"/>
      <c r="AB372" s="300">
        <v>0</v>
      </c>
      <c r="AC372" s="300">
        <v>-6742.6788519775737</v>
      </c>
      <c r="AE372" s="452" t="e">
        <f t="shared" si="39"/>
        <v>#DIV/0!</v>
      </c>
      <c r="AF372" s="452" t="e">
        <f t="shared" si="40"/>
        <v>#DIV/0!</v>
      </c>
    </row>
    <row r="373" spans="1:32" s="48" customFormat="1">
      <c r="A373" s="450" t="s">
        <v>300</v>
      </c>
      <c r="B373" s="302">
        <v>2047</v>
      </c>
      <c r="C373" s="451">
        <v>0</v>
      </c>
      <c r="D373" s="451">
        <v>0</v>
      </c>
      <c r="E373" s="451">
        <v>0</v>
      </c>
      <c r="F373" s="451"/>
      <c r="G373" s="451">
        <v>0</v>
      </c>
      <c r="H373" s="451">
        <v>0</v>
      </c>
      <c r="I373" s="451">
        <v>0</v>
      </c>
      <c r="J373" s="301"/>
      <c r="K373" s="301"/>
      <c r="L373" s="301"/>
      <c r="M373" s="301"/>
      <c r="Q373" s="300">
        <f t="shared" si="38"/>
        <v>0</v>
      </c>
      <c r="S373" s="300">
        <f t="shared" si="41"/>
        <v>0</v>
      </c>
      <c r="T373" s="300">
        <f t="shared" si="42"/>
        <v>0</v>
      </c>
      <c r="U373" s="300">
        <f t="shared" si="43"/>
        <v>0</v>
      </c>
      <c r="V373" s="300">
        <v>-1541.3891482203535</v>
      </c>
      <c r="W373" s="300">
        <v>-5201.2897037572202</v>
      </c>
      <c r="X373" s="300">
        <v>-6742.6788519775737</v>
      </c>
      <c r="Z373" s="300">
        <v>0</v>
      </c>
      <c r="AA373" s="239"/>
      <c r="AB373" s="300">
        <v>0</v>
      </c>
      <c r="AC373" s="300">
        <v>-6742.6788519775737</v>
      </c>
      <c r="AE373" s="452" t="e">
        <f t="shared" si="39"/>
        <v>#DIV/0!</v>
      </c>
      <c r="AF373" s="452" t="e">
        <f t="shared" si="40"/>
        <v>#DIV/0!</v>
      </c>
    </row>
    <row r="374" spans="1:32" s="48" customFormat="1">
      <c r="A374" s="450" t="s">
        <v>301</v>
      </c>
      <c r="B374" s="302">
        <v>2048</v>
      </c>
      <c r="C374" s="451">
        <v>0</v>
      </c>
      <c r="D374" s="451">
        <v>0</v>
      </c>
      <c r="E374" s="451">
        <v>0</v>
      </c>
      <c r="F374" s="451"/>
      <c r="G374" s="451">
        <v>0</v>
      </c>
      <c r="H374" s="451">
        <v>0</v>
      </c>
      <c r="I374" s="451">
        <v>0</v>
      </c>
      <c r="J374" s="301"/>
      <c r="K374" s="301"/>
      <c r="L374" s="301"/>
      <c r="M374" s="301"/>
      <c r="Q374" s="300">
        <f t="shared" si="38"/>
        <v>0</v>
      </c>
      <c r="S374" s="300">
        <f t="shared" si="41"/>
        <v>0</v>
      </c>
      <c r="T374" s="300">
        <f t="shared" si="42"/>
        <v>0</v>
      </c>
      <c r="U374" s="300">
        <f t="shared" si="43"/>
        <v>0</v>
      </c>
      <c r="V374" s="300">
        <v>-1541.3891482203535</v>
      </c>
      <c r="W374" s="300">
        <v>-5201.2897037572202</v>
      </c>
      <c r="X374" s="300">
        <v>-6742.6788519775737</v>
      </c>
      <c r="Z374" s="300">
        <v>0</v>
      </c>
      <c r="AA374" s="239"/>
      <c r="AB374" s="300">
        <v>0</v>
      </c>
      <c r="AC374" s="300">
        <v>-6742.6788519775737</v>
      </c>
      <c r="AE374" s="452" t="e">
        <f t="shared" si="39"/>
        <v>#DIV/0!</v>
      </c>
      <c r="AF374" s="452" t="e">
        <f t="shared" si="40"/>
        <v>#DIV/0!</v>
      </c>
    </row>
    <row r="375" spans="1:32" s="48" customFormat="1">
      <c r="A375" s="450" t="s">
        <v>302</v>
      </c>
      <c r="B375" s="302">
        <v>2048</v>
      </c>
      <c r="C375" s="451">
        <v>0</v>
      </c>
      <c r="D375" s="451">
        <v>0</v>
      </c>
      <c r="E375" s="451">
        <v>0</v>
      </c>
      <c r="F375" s="451"/>
      <c r="G375" s="451">
        <v>0</v>
      </c>
      <c r="H375" s="451">
        <v>0</v>
      </c>
      <c r="I375" s="451">
        <v>0</v>
      </c>
      <c r="J375" s="301"/>
      <c r="K375" s="301"/>
      <c r="L375" s="301"/>
      <c r="M375" s="301"/>
      <c r="Q375" s="300">
        <f t="shared" si="38"/>
        <v>0</v>
      </c>
      <c r="S375" s="300">
        <f t="shared" si="41"/>
        <v>0</v>
      </c>
      <c r="T375" s="300">
        <f t="shared" si="42"/>
        <v>0</v>
      </c>
      <c r="U375" s="300">
        <f t="shared" si="43"/>
        <v>0</v>
      </c>
      <c r="V375" s="300">
        <v>-1541.3891482203535</v>
      </c>
      <c r="W375" s="300">
        <v>-5201.2897037572202</v>
      </c>
      <c r="X375" s="300">
        <v>-6742.6788519775737</v>
      </c>
      <c r="Z375" s="300">
        <v>0</v>
      </c>
      <c r="AA375" s="239"/>
      <c r="AB375" s="300">
        <v>0</v>
      </c>
      <c r="AC375" s="300">
        <v>-6742.6788519775737</v>
      </c>
      <c r="AE375" s="452" t="e">
        <f t="shared" si="39"/>
        <v>#DIV/0!</v>
      </c>
      <c r="AF375" s="452" t="e">
        <f t="shared" si="40"/>
        <v>#DIV/0!</v>
      </c>
    </row>
    <row r="376" spans="1:32" s="48" customFormat="1">
      <c r="A376" s="450" t="s">
        <v>303</v>
      </c>
      <c r="B376" s="302">
        <v>2048</v>
      </c>
      <c r="C376" s="451">
        <v>0</v>
      </c>
      <c r="D376" s="451">
        <v>0</v>
      </c>
      <c r="E376" s="451">
        <v>0</v>
      </c>
      <c r="F376" s="451"/>
      <c r="G376" s="451">
        <v>0</v>
      </c>
      <c r="H376" s="451">
        <v>0</v>
      </c>
      <c r="I376" s="451">
        <v>0</v>
      </c>
      <c r="J376" s="301"/>
      <c r="K376" s="301"/>
      <c r="L376" s="301"/>
      <c r="M376" s="301"/>
      <c r="Q376" s="300">
        <f t="shared" si="38"/>
        <v>0</v>
      </c>
      <c r="S376" s="300">
        <f t="shared" si="41"/>
        <v>0</v>
      </c>
      <c r="T376" s="300">
        <f t="shared" si="42"/>
        <v>0</v>
      </c>
      <c r="U376" s="300">
        <f t="shared" si="43"/>
        <v>0</v>
      </c>
      <c r="V376" s="300">
        <v>-1541.3891482203535</v>
      </c>
      <c r="W376" s="300">
        <v>-5201.2897037572202</v>
      </c>
      <c r="X376" s="300">
        <v>-6742.6788519775737</v>
      </c>
      <c r="Z376" s="300">
        <v>0</v>
      </c>
      <c r="AA376" s="239"/>
      <c r="AB376" s="300">
        <v>0</v>
      </c>
      <c r="AC376" s="300">
        <v>-6742.6788519775737</v>
      </c>
      <c r="AE376" s="452" t="e">
        <f t="shared" si="39"/>
        <v>#DIV/0!</v>
      </c>
      <c r="AF376" s="452" t="e">
        <f t="shared" si="40"/>
        <v>#DIV/0!</v>
      </c>
    </row>
    <row r="377" spans="1:32" s="48" customFormat="1">
      <c r="A377" s="450" t="s">
        <v>304</v>
      </c>
      <c r="B377" s="302">
        <v>2048</v>
      </c>
      <c r="C377" s="451">
        <v>0</v>
      </c>
      <c r="D377" s="451">
        <v>0</v>
      </c>
      <c r="E377" s="451">
        <v>0</v>
      </c>
      <c r="F377" s="451"/>
      <c r="G377" s="451">
        <v>0</v>
      </c>
      <c r="H377" s="451">
        <v>0</v>
      </c>
      <c r="I377" s="451">
        <v>0</v>
      </c>
      <c r="J377" s="301"/>
      <c r="K377" s="301"/>
      <c r="L377" s="301"/>
      <c r="M377" s="301"/>
      <c r="Q377" s="300">
        <f t="shared" si="38"/>
        <v>0</v>
      </c>
      <c r="S377" s="300">
        <f t="shared" si="41"/>
        <v>0</v>
      </c>
      <c r="T377" s="300">
        <f t="shared" si="42"/>
        <v>0</v>
      </c>
      <c r="U377" s="300">
        <f t="shared" si="43"/>
        <v>0</v>
      </c>
      <c r="V377" s="300">
        <v>-1541.3891482203535</v>
      </c>
      <c r="W377" s="300">
        <v>-5201.2897037572202</v>
      </c>
      <c r="X377" s="300">
        <v>-6742.6788519775737</v>
      </c>
      <c r="Z377" s="300">
        <v>0</v>
      </c>
      <c r="AA377" s="239"/>
      <c r="AB377" s="300">
        <v>0</v>
      </c>
      <c r="AC377" s="300">
        <v>-6742.6788519775737</v>
      </c>
      <c r="AE377" s="452" t="e">
        <f t="shared" si="39"/>
        <v>#DIV/0!</v>
      </c>
      <c r="AF377" s="452" t="e">
        <f t="shared" si="40"/>
        <v>#DIV/0!</v>
      </c>
    </row>
    <row r="378" spans="1:32" s="48" customFormat="1">
      <c r="A378" s="450" t="s">
        <v>305</v>
      </c>
      <c r="B378" s="302">
        <v>2048</v>
      </c>
      <c r="C378" s="451">
        <v>0</v>
      </c>
      <c r="D378" s="451">
        <v>0</v>
      </c>
      <c r="E378" s="451">
        <v>0</v>
      </c>
      <c r="F378" s="451"/>
      <c r="G378" s="451">
        <v>0</v>
      </c>
      <c r="H378" s="451">
        <v>0</v>
      </c>
      <c r="I378" s="451">
        <v>0</v>
      </c>
      <c r="J378" s="301"/>
      <c r="K378" s="301"/>
      <c r="L378" s="301"/>
      <c r="M378" s="301"/>
      <c r="Q378" s="300">
        <f t="shared" si="38"/>
        <v>0</v>
      </c>
      <c r="S378" s="300">
        <f t="shared" si="41"/>
        <v>0</v>
      </c>
      <c r="T378" s="300">
        <f t="shared" si="42"/>
        <v>0</v>
      </c>
      <c r="U378" s="300">
        <f t="shared" si="43"/>
        <v>0</v>
      </c>
      <c r="V378" s="300">
        <v>-1541.3891482203535</v>
      </c>
      <c r="W378" s="300">
        <v>-5201.2897037572202</v>
      </c>
      <c r="X378" s="300">
        <v>-6742.6788519775737</v>
      </c>
      <c r="Z378" s="300">
        <v>0</v>
      </c>
      <c r="AA378" s="239"/>
      <c r="AB378" s="300">
        <v>0</v>
      </c>
      <c r="AC378" s="300">
        <v>-6742.6788519775737</v>
      </c>
      <c r="AE378" s="452" t="e">
        <f t="shared" si="39"/>
        <v>#DIV/0!</v>
      </c>
      <c r="AF378" s="452" t="e">
        <f t="shared" si="40"/>
        <v>#DIV/0!</v>
      </c>
    </row>
    <row r="379" spans="1:32" s="48" customFormat="1">
      <c r="A379" s="450" t="s">
        <v>306</v>
      </c>
      <c r="B379" s="302">
        <v>2048</v>
      </c>
      <c r="C379" s="451">
        <v>0</v>
      </c>
      <c r="D379" s="451">
        <v>0</v>
      </c>
      <c r="E379" s="451">
        <v>0</v>
      </c>
      <c r="F379" s="451"/>
      <c r="G379" s="451">
        <v>0</v>
      </c>
      <c r="H379" s="451">
        <v>0</v>
      </c>
      <c r="I379" s="451">
        <v>0</v>
      </c>
      <c r="J379" s="301"/>
      <c r="K379" s="301"/>
      <c r="L379" s="301"/>
      <c r="M379" s="301"/>
      <c r="Q379" s="300">
        <f t="shared" si="38"/>
        <v>0</v>
      </c>
      <c r="S379" s="300">
        <f t="shared" si="41"/>
        <v>0</v>
      </c>
      <c r="T379" s="300">
        <f t="shared" si="42"/>
        <v>0</v>
      </c>
      <c r="U379" s="300">
        <f t="shared" si="43"/>
        <v>0</v>
      </c>
      <c r="V379" s="300">
        <v>-1541.3891482203535</v>
      </c>
      <c r="W379" s="300">
        <v>-5201.2897037572202</v>
      </c>
      <c r="X379" s="300">
        <v>-6742.6788519775737</v>
      </c>
      <c r="Z379" s="300">
        <v>0</v>
      </c>
      <c r="AA379" s="239"/>
      <c r="AB379" s="300">
        <v>0</v>
      </c>
      <c r="AC379" s="300">
        <v>-6742.6788519775737</v>
      </c>
      <c r="AE379" s="452" t="e">
        <f t="shared" si="39"/>
        <v>#DIV/0!</v>
      </c>
      <c r="AF379" s="452" t="e">
        <f t="shared" si="40"/>
        <v>#DIV/0!</v>
      </c>
    </row>
    <row r="380" spans="1:32" s="48" customFormat="1">
      <c r="A380" s="450" t="s">
        <v>307</v>
      </c>
      <c r="B380" s="302">
        <v>2048</v>
      </c>
      <c r="C380" s="451">
        <v>0</v>
      </c>
      <c r="D380" s="451">
        <v>0</v>
      </c>
      <c r="E380" s="451">
        <v>0</v>
      </c>
      <c r="F380" s="451"/>
      <c r="G380" s="451">
        <v>0</v>
      </c>
      <c r="H380" s="451">
        <v>0</v>
      </c>
      <c r="I380" s="451">
        <v>0</v>
      </c>
      <c r="J380" s="301"/>
      <c r="K380" s="301"/>
      <c r="L380" s="301"/>
      <c r="M380" s="301"/>
      <c r="Q380" s="300">
        <f t="shared" si="38"/>
        <v>0</v>
      </c>
      <c r="S380" s="300">
        <f t="shared" si="41"/>
        <v>0</v>
      </c>
      <c r="T380" s="300">
        <f t="shared" si="42"/>
        <v>0</v>
      </c>
      <c r="U380" s="300">
        <f t="shared" si="43"/>
        <v>0</v>
      </c>
      <c r="V380" s="300">
        <v>-1541.3891482203535</v>
      </c>
      <c r="W380" s="300">
        <v>-5201.2897037572202</v>
      </c>
      <c r="X380" s="300">
        <v>-6742.6788519775737</v>
      </c>
      <c r="Z380" s="300">
        <v>0</v>
      </c>
      <c r="AA380" s="239"/>
      <c r="AB380" s="300">
        <v>0</v>
      </c>
      <c r="AC380" s="300">
        <v>-6742.6788519775737</v>
      </c>
      <c r="AE380" s="452" t="e">
        <f t="shared" si="39"/>
        <v>#DIV/0!</v>
      </c>
      <c r="AF380" s="452" t="e">
        <f t="shared" si="40"/>
        <v>#DIV/0!</v>
      </c>
    </row>
    <row r="381" spans="1:32" s="48" customFormat="1">
      <c r="A381" s="450" t="s">
        <v>308</v>
      </c>
      <c r="B381" s="302">
        <v>2048</v>
      </c>
      <c r="C381" s="451">
        <v>0</v>
      </c>
      <c r="D381" s="451">
        <v>0</v>
      </c>
      <c r="E381" s="451">
        <v>0</v>
      </c>
      <c r="F381" s="451"/>
      <c r="G381" s="451">
        <v>0</v>
      </c>
      <c r="H381" s="451">
        <v>0</v>
      </c>
      <c r="I381" s="451">
        <v>0</v>
      </c>
      <c r="J381" s="301"/>
      <c r="K381" s="301"/>
      <c r="L381" s="301"/>
      <c r="M381" s="301"/>
      <c r="Q381" s="300">
        <f t="shared" si="38"/>
        <v>0</v>
      </c>
      <c r="S381" s="300">
        <f t="shared" si="41"/>
        <v>0</v>
      </c>
      <c r="T381" s="300">
        <f t="shared" si="42"/>
        <v>0</v>
      </c>
      <c r="U381" s="300">
        <f t="shared" si="43"/>
        <v>0</v>
      </c>
      <c r="V381" s="300">
        <v>-1541.3891482203535</v>
      </c>
      <c r="W381" s="300">
        <v>-5201.2897037572202</v>
      </c>
      <c r="X381" s="300">
        <v>-6742.6788519775737</v>
      </c>
      <c r="Z381" s="300">
        <v>0</v>
      </c>
      <c r="AA381" s="239"/>
      <c r="AB381" s="300">
        <v>0</v>
      </c>
      <c r="AC381" s="300">
        <v>-6742.6788519775737</v>
      </c>
      <c r="AE381" s="452" t="e">
        <f t="shared" si="39"/>
        <v>#DIV/0!</v>
      </c>
      <c r="AF381" s="452" t="e">
        <f t="shared" si="40"/>
        <v>#DIV/0!</v>
      </c>
    </row>
    <row r="382" spans="1:32" s="48" customFormat="1">
      <c r="A382" s="450" t="s">
        <v>309</v>
      </c>
      <c r="B382" s="302">
        <v>2048</v>
      </c>
      <c r="C382" s="451">
        <v>0</v>
      </c>
      <c r="D382" s="451">
        <v>0</v>
      </c>
      <c r="E382" s="451">
        <v>0</v>
      </c>
      <c r="F382" s="451"/>
      <c r="G382" s="451">
        <v>0</v>
      </c>
      <c r="H382" s="451">
        <v>0</v>
      </c>
      <c r="I382" s="451">
        <v>0</v>
      </c>
      <c r="J382" s="301"/>
      <c r="K382" s="301"/>
      <c r="L382" s="301"/>
      <c r="M382" s="301"/>
      <c r="Q382" s="300">
        <f t="shared" si="38"/>
        <v>0</v>
      </c>
      <c r="S382" s="300">
        <f t="shared" si="41"/>
        <v>0</v>
      </c>
      <c r="T382" s="300">
        <f t="shared" si="42"/>
        <v>0</v>
      </c>
      <c r="U382" s="300">
        <f t="shared" si="43"/>
        <v>0</v>
      </c>
      <c r="V382" s="300">
        <v>-1541.3891482203535</v>
      </c>
      <c r="W382" s="300">
        <v>-5201.2897037572202</v>
      </c>
      <c r="X382" s="300">
        <v>-6742.6788519775737</v>
      </c>
      <c r="Z382" s="300">
        <v>0</v>
      </c>
      <c r="AA382" s="239"/>
      <c r="AB382" s="300">
        <v>0</v>
      </c>
      <c r="AC382" s="300">
        <v>-6742.6788519775737</v>
      </c>
      <c r="AE382" s="452" t="e">
        <f t="shared" si="39"/>
        <v>#DIV/0!</v>
      </c>
      <c r="AF382" s="452" t="e">
        <f t="shared" si="40"/>
        <v>#DIV/0!</v>
      </c>
    </row>
    <row r="383" spans="1:32" s="48" customFormat="1">
      <c r="A383" s="450" t="s">
        <v>298</v>
      </c>
      <c r="B383" s="302">
        <v>2048</v>
      </c>
      <c r="C383" s="451">
        <v>0</v>
      </c>
      <c r="D383" s="451">
        <v>0</v>
      </c>
      <c r="E383" s="451">
        <v>0</v>
      </c>
      <c r="F383" s="451"/>
      <c r="G383" s="451">
        <v>0</v>
      </c>
      <c r="H383" s="451">
        <v>0</v>
      </c>
      <c r="I383" s="451">
        <v>0</v>
      </c>
      <c r="J383" s="301"/>
      <c r="K383" s="301"/>
      <c r="L383" s="301"/>
      <c r="M383" s="301"/>
      <c r="Q383" s="300">
        <f t="shared" si="38"/>
        <v>0</v>
      </c>
      <c r="S383" s="300">
        <f t="shared" si="41"/>
        <v>0</v>
      </c>
      <c r="T383" s="300">
        <f t="shared" si="42"/>
        <v>0</v>
      </c>
      <c r="U383" s="300">
        <f t="shared" si="43"/>
        <v>0</v>
      </c>
      <c r="V383" s="300">
        <v>-1541.3891482203535</v>
      </c>
      <c r="W383" s="300">
        <v>-5201.2897037572202</v>
      </c>
      <c r="X383" s="300">
        <v>-6742.6788519775737</v>
      </c>
      <c r="Z383" s="300">
        <v>0</v>
      </c>
      <c r="AA383" s="239"/>
      <c r="AB383" s="300">
        <v>0</v>
      </c>
      <c r="AC383" s="300">
        <v>-6742.6788519775737</v>
      </c>
      <c r="AE383" s="452" t="e">
        <f t="shared" si="39"/>
        <v>#DIV/0!</v>
      </c>
      <c r="AF383" s="452" t="e">
        <f t="shared" si="40"/>
        <v>#DIV/0!</v>
      </c>
    </row>
    <row r="384" spans="1:32" s="48" customFormat="1">
      <c r="A384" s="450" t="s">
        <v>299</v>
      </c>
      <c r="B384" s="302">
        <v>2048</v>
      </c>
      <c r="C384" s="451">
        <v>0</v>
      </c>
      <c r="D384" s="451">
        <v>0</v>
      </c>
      <c r="E384" s="451">
        <v>0</v>
      </c>
      <c r="F384" s="451"/>
      <c r="G384" s="451">
        <v>0</v>
      </c>
      <c r="H384" s="451">
        <v>0</v>
      </c>
      <c r="I384" s="451">
        <v>0</v>
      </c>
      <c r="J384" s="301"/>
      <c r="K384" s="301"/>
      <c r="L384" s="301"/>
      <c r="M384" s="301"/>
      <c r="Q384" s="300">
        <f t="shared" si="38"/>
        <v>0</v>
      </c>
      <c r="S384" s="300">
        <f t="shared" si="41"/>
        <v>0</v>
      </c>
      <c r="T384" s="300">
        <f t="shared" si="42"/>
        <v>0</v>
      </c>
      <c r="U384" s="300">
        <f t="shared" si="43"/>
        <v>0</v>
      </c>
      <c r="V384" s="300">
        <v>-1541.3891482203535</v>
      </c>
      <c r="W384" s="300">
        <v>-5201.2897037572202</v>
      </c>
      <c r="X384" s="300">
        <v>-6742.6788519775737</v>
      </c>
      <c r="Z384" s="300">
        <v>0</v>
      </c>
      <c r="AA384" s="239"/>
      <c r="AB384" s="300">
        <v>0</v>
      </c>
      <c r="AC384" s="300">
        <v>-6742.6788519775737</v>
      </c>
      <c r="AE384" s="452" t="e">
        <f t="shared" si="39"/>
        <v>#DIV/0!</v>
      </c>
      <c r="AF384" s="452" t="e">
        <f t="shared" si="40"/>
        <v>#DIV/0!</v>
      </c>
    </row>
    <row r="385" spans="1:32" s="48" customFormat="1">
      <c r="A385" s="450" t="s">
        <v>300</v>
      </c>
      <c r="B385" s="302">
        <v>2048</v>
      </c>
      <c r="C385" s="451">
        <v>0</v>
      </c>
      <c r="D385" s="451">
        <v>0</v>
      </c>
      <c r="E385" s="451">
        <v>0</v>
      </c>
      <c r="F385" s="451"/>
      <c r="G385" s="451">
        <v>0</v>
      </c>
      <c r="H385" s="451">
        <v>0</v>
      </c>
      <c r="I385" s="451">
        <v>0</v>
      </c>
      <c r="J385" s="301"/>
      <c r="K385" s="301"/>
      <c r="L385" s="301"/>
      <c r="M385" s="301"/>
      <c r="Q385" s="300">
        <f t="shared" si="38"/>
        <v>0</v>
      </c>
      <c r="S385" s="300">
        <f t="shared" si="41"/>
        <v>0</v>
      </c>
      <c r="T385" s="300">
        <f t="shared" si="42"/>
        <v>0</v>
      </c>
      <c r="U385" s="300">
        <f t="shared" si="43"/>
        <v>0</v>
      </c>
      <c r="V385" s="300">
        <v>-1541.3891482203535</v>
      </c>
      <c r="W385" s="300">
        <v>-5201.2897037572202</v>
      </c>
      <c r="X385" s="300">
        <v>-6742.6788519775737</v>
      </c>
      <c r="Z385" s="300">
        <v>0</v>
      </c>
      <c r="AA385" s="239"/>
      <c r="AB385" s="300">
        <v>0</v>
      </c>
      <c r="AC385" s="300">
        <v>-6742.6788519775737</v>
      </c>
      <c r="AE385" s="452" t="e">
        <f t="shared" si="39"/>
        <v>#DIV/0!</v>
      </c>
      <c r="AF385" s="452" t="e">
        <f t="shared" si="40"/>
        <v>#DIV/0!</v>
      </c>
    </row>
    <row r="386" spans="1:32" s="48" customFormat="1">
      <c r="A386" s="450" t="s">
        <v>301</v>
      </c>
      <c r="B386" s="302">
        <v>2049</v>
      </c>
      <c r="C386" s="451">
        <v>0</v>
      </c>
      <c r="D386" s="451">
        <v>0</v>
      </c>
      <c r="E386" s="451">
        <v>0</v>
      </c>
      <c r="F386" s="451"/>
      <c r="G386" s="451">
        <v>0</v>
      </c>
      <c r="H386" s="451">
        <v>0</v>
      </c>
      <c r="I386" s="451">
        <v>0</v>
      </c>
      <c r="J386" s="301"/>
      <c r="K386" s="301"/>
      <c r="L386" s="301"/>
      <c r="M386" s="301"/>
      <c r="Q386" s="300">
        <f t="shared" si="38"/>
        <v>0</v>
      </c>
      <c r="S386" s="300">
        <f t="shared" si="41"/>
        <v>0</v>
      </c>
      <c r="T386" s="300">
        <f t="shared" si="42"/>
        <v>0</v>
      </c>
      <c r="U386" s="300">
        <f t="shared" si="43"/>
        <v>0</v>
      </c>
      <c r="V386" s="300">
        <v>-1541.3891482203535</v>
      </c>
      <c r="W386" s="300">
        <v>-5201.2897037572202</v>
      </c>
      <c r="X386" s="300">
        <v>-6742.6788519775737</v>
      </c>
      <c r="Z386" s="300">
        <v>0</v>
      </c>
      <c r="AA386" s="239"/>
      <c r="AB386" s="300">
        <v>0</v>
      </c>
      <c r="AC386" s="300">
        <v>-6742.6788519775737</v>
      </c>
      <c r="AE386" s="452" t="e">
        <f t="shared" si="39"/>
        <v>#DIV/0!</v>
      </c>
      <c r="AF386" s="452" t="e">
        <f t="shared" si="40"/>
        <v>#DIV/0!</v>
      </c>
    </row>
    <row r="387" spans="1:32" s="48" customFormat="1">
      <c r="A387" s="450" t="s">
        <v>302</v>
      </c>
      <c r="B387" s="302">
        <v>2049</v>
      </c>
      <c r="C387" s="451">
        <v>0</v>
      </c>
      <c r="D387" s="451">
        <v>0</v>
      </c>
      <c r="E387" s="451">
        <v>0</v>
      </c>
      <c r="F387" s="451"/>
      <c r="G387" s="451">
        <v>0</v>
      </c>
      <c r="H387" s="451">
        <v>0</v>
      </c>
      <c r="I387" s="451">
        <v>0</v>
      </c>
      <c r="J387" s="301"/>
      <c r="K387" s="301"/>
      <c r="L387" s="301"/>
      <c r="M387" s="301"/>
      <c r="Q387" s="300">
        <f t="shared" si="38"/>
        <v>0</v>
      </c>
      <c r="S387" s="300">
        <f t="shared" si="41"/>
        <v>0</v>
      </c>
      <c r="T387" s="300">
        <f t="shared" si="42"/>
        <v>0</v>
      </c>
      <c r="U387" s="300">
        <f t="shared" si="43"/>
        <v>0</v>
      </c>
      <c r="V387" s="300">
        <v>-1541.3891482203535</v>
      </c>
      <c r="W387" s="300">
        <v>-5201.2897037572202</v>
      </c>
      <c r="X387" s="300">
        <v>-6742.6788519775737</v>
      </c>
      <c r="Z387" s="300">
        <v>0</v>
      </c>
      <c r="AA387" s="239"/>
      <c r="AB387" s="300">
        <v>0</v>
      </c>
      <c r="AC387" s="300">
        <v>-6742.6788519775737</v>
      </c>
      <c r="AE387" s="452" t="e">
        <f t="shared" si="39"/>
        <v>#DIV/0!</v>
      </c>
      <c r="AF387" s="452" t="e">
        <f t="shared" si="40"/>
        <v>#DIV/0!</v>
      </c>
    </row>
    <row r="388" spans="1:32" s="48" customFormat="1">
      <c r="A388" s="450" t="s">
        <v>303</v>
      </c>
      <c r="B388" s="302">
        <v>2049</v>
      </c>
      <c r="C388" s="451">
        <v>0</v>
      </c>
      <c r="D388" s="451">
        <v>0</v>
      </c>
      <c r="E388" s="451">
        <v>0</v>
      </c>
      <c r="F388" s="451"/>
      <c r="G388" s="451">
        <v>0</v>
      </c>
      <c r="H388" s="451">
        <v>0</v>
      </c>
      <c r="I388" s="451">
        <v>0</v>
      </c>
      <c r="J388" s="301"/>
      <c r="K388" s="301"/>
      <c r="L388" s="301"/>
      <c r="M388" s="301"/>
      <c r="Q388" s="300">
        <f t="shared" si="38"/>
        <v>0</v>
      </c>
      <c r="S388" s="300">
        <f t="shared" si="41"/>
        <v>0</v>
      </c>
      <c r="T388" s="300">
        <f t="shared" si="42"/>
        <v>0</v>
      </c>
      <c r="U388" s="300">
        <f t="shared" si="43"/>
        <v>0</v>
      </c>
      <c r="V388" s="300">
        <v>-1541.3891482203535</v>
      </c>
      <c r="W388" s="300">
        <v>-5201.2897037572202</v>
      </c>
      <c r="X388" s="300">
        <v>-6742.6788519775737</v>
      </c>
      <c r="Z388" s="300">
        <v>0</v>
      </c>
      <c r="AA388" s="239"/>
      <c r="AB388" s="300">
        <v>0</v>
      </c>
      <c r="AC388" s="300">
        <v>-6742.6788519775737</v>
      </c>
      <c r="AE388" s="452" t="e">
        <f t="shared" si="39"/>
        <v>#DIV/0!</v>
      </c>
      <c r="AF388" s="452" t="e">
        <f t="shared" si="40"/>
        <v>#DIV/0!</v>
      </c>
    </row>
    <row r="389" spans="1:32" s="48" customFormat="1">
      <c r="A389" s="450" t="s">
        <v>304</v>
      </c>
      <c r="B389" s="302">
        <v>2049</v>
      </c>
      <c r="C389" s="451">
        <v>0</v>
      </c>
      <c r="D389" s="451">
        <v>0</v>
      </c>
      <c r="E389" s="451">
        <v>0</v>
      </c>
      <c r="F389" s="451"/>
      <c r="G389" s="451">
        <v>0</v>
      </c>
      <c r="H389" s="451">
        <v>0</v>
      </c>
      <c r="I389" s="451">
        <v>0</v>
      </c>
      <c r="J389" s="301"/>
      <c r="K389" s="301"/>
      <c r="L389" s="301"/>
      <c r="M389" s="301"/>
      <c r="Q389" s="300">
        <f t="shared" si="38"/>
        <v>0</v>
      </c>
      <c r="S389" s="300">
        <f t="shared" si="41"/>
        <v>0</v>
      </c>
      <c r="T389" s="300">
        <f t="shared" si="42"/>
        <v>0</v>
      </c>
      <c r="U389" s="300">
        <f t="shared" si="43"/>
        <v>0</v>
      </c>
      <c r="V389" s="300">
        <v>-1541.3891482203535</v>
      </c>
      <c r="W389" s="300">
        <v>-5201.2897037572202</v>
      </c>
      <c r="X389" s="300">
        <v>-6742.6788519775737</v>
      </c>
      <c r="Z389" s="300">
        <v>0</v>
      </c>
      <c r="AA389" s="239"/>
      <c r="AB389" s="300">
        <v>0</v>
      </c>
      <c r="AC389" s="300">
        <v>-6742.6788519775737</v>
      </c>
      <c r="AE389" s="452" t="e">
        <f t="shared" si="39"/>
        <v>#DIV/0!</v>
      </c>
      <c r="AF389" s="452" t="e">
        <f t="shared" si="40"/>
        <v>#DIV/0!</v>
      </c>
    </row>
    <row r="390" spans="1:32" s="48" customFormat="1">
      <c r="A390" s="450" t="s">
        <v>305</v>
      </c>
      <c r="B390" s="302">
        <v>2049</v>
      </c>
      <c r="C390" s="451">
        <v>0</v>
      </c>
      <c r="D390" s="451">
        <v>0</v>
      </c>
      <c r="E390" s="451">
        <v>0</v>
      </c>
      <c r="F390" s="451"/>
      <c r="G390" s="451">
        <v>0</v>
      </c>
      <c r="H390" s="451">
        <v>0</v>
      </c>
      <c r="I390" s="451">
        <v>0</v>
      </c>
      <c r="J390" s="301"/>
      <c r="K390" s="301"/>
      <c r="L390" s="301"/>
      <c r="M390" s="301"/>
      <c r="Q390" s="300">
        <f t="shared" si="38"/>
        <v>0</v>
      </c>
      <c r="S390" s="300">
        <f t="shared" si="41"/>
        <v>0</v>
      </c>
      <c r="T390" s="300">
        <f t="shared" si="42"/>
        <v>0</v>
      </c>
      <c r="U390" s="300">
        <f t="shared" si="43"/>
        <v>0</v>
      </c>
      <c r="V390" s="300">
        <v>-1541.3891482203535</v>
      </c>
      <c r="W390" s="300">
        <v>-5201.2897037572202</v>
      </c>
      <c r="X390" s="300">
        <v>-6742.6788519775737</v>
      </c>
      <c r="Z390" s="300">
        <v>0</v>
      </c>
      <c r="AA390" s="239"/>
      <c r="AB390" s="300">
        <v>0</v>
      </c>
      <c r="AC390" s="300">
        <v>-6742.6788519775737</v>
      </c>
      <c r="AE390" s="452" t="e">
        <f t="shared" si="39"/>
        <v>#DIV/0!</v>
      </c>
      <c r="AF390" s="452" t="e">
        <f t="shared" si="40"/>
        <v>#DIV/0!</v>
      </c>
    </row>
    <row r="391" spans="1:32" s="48" customFormat="1">
      <c r="A391" s="450" t="s">
        <v>306</v>
      </c>
      <c r="B391" s="302">
        <v>2049</v>
      </c>
      <c r="C391" s="451">
        <v>0</v>
      </c>
      <c r="D391" s="451">
        <v>0</v>
      </c>
      <c r="E391" s="451">
        <v>0</v>
      </c>
      <c r="F391" s="451"/>
      <c r="G391" s="451">
        <v>0</v>
      </c>
      <c r="H391" s="451">
        <v>0</v>
      </c>
      <c r="I391" s="451">
        <v>0</v>
      </c>
      <c r="J391" s="301"/>
      <c r="K391" s="301"/>
      <c r="L391" s="301"/>
      <c r="M391" s="301"/>
      <c r="Q391" s="300">
        <f t="shared" si="38"/>
        <v>0</v>
      </c>
      <c r="S391" s="300">
        <f t="shared" si="41"/>
        <v>0</v>
      </c>
      <c r="T391" s="300">
        <f t="shared" si="42"/>
        <v>0</v>
      </c>
      <c r="U391" s="300">
        <f t="shared" si="43"/>
        <v>0</v>
      </c>
      <c r="V391" s="300">
        <v>-1541.3891482203535</v>
      </c>
      <c r="W391" s="300">
        <v>-5201.2897037572202</v>
      </c>
      <c r="X391" s="300">
        <v>-6742.6788519775737</v>
      </c>
      <c r="Z391" s="300">
        <v>0</v>
      </c>
      <c r="AA391" s="239"/>
      <c r="AB391" s="300">
        <v>0</v>
      </c>
      <c r="AC391" s="300">
        <v>-6742.6788519775737</v>
      </c>
      <c r="AE391" s="452" t="e">
        <f t="shared" si="39"/>
        <v>#DIV/0!</v>
      </c>
      <c r="AF391" s="452" t="e">
        <f t="shared" si="40"/>
        <v>#DIV/0!</v>
      </c>
    </row>
    <row r="392" spans="1:32" s="48" customFormat="1">
      <c r="A392" s="450" t="s">
        <v>307</v>
      </c>
      <c r="B392" s="302">
        <v>2049</v>
      </c>
      <c r="C392" s="451">
        <v>0</v>
      </c>
      <c r="D392" s="451">
        <v>0</v>
      </c>
      <c r="E392" s="451">
        <v>0</v>
      </c>
      <c r="F392" s="451"/>
      <c r="G392" s="451">
        <v>0</v>
      </c>
      <c r="H392" s="451">
        <v>0</v>
      </c>
      <c r="I392" s="451">
        <v>0</v>
      </c>
      <c r="J392" s="301"/>
      <c r="K392" s="301"/>
      <c r="L392" s="301"/>
      <c r="M392" s="301"/>
      <c r="Q392" s="300">
        <f t="shared" si="38"/>
        <v>0</v>
      </c>
      <c r="S392" s="300">
        <f t="shared" si="41"/>
        <v>0</v>
      </c>
      <c r="T392" s="300">
        <f t="shared" si="42"/>
        <v>0</v>
      </c>
      <c r="U392" s="300">
        <f t="shared" si="43"/>
        <v>0</v>
      </c>
      <c r="V392" s="300">
        <v>-1541.3891482203535</v>
      </c>
      <c r="W392" s="300">
        <v>-5201.2897037572202</v>
      </c>
      <c r="X392" s="300">
        <v>-6742.6788519775737</v>
      </c>
      <c r="Z392" s="300">
        <v>0</v>
      </c>
      <c r="AA392" s="239"/>
      <c r="AB392" s="300">
        <v>0</v>
      </c>
      <c r="AC392" s="300">
        <v>-6742.6788519775737</v>
      </c>
      <c r="AE392" s="452" t="e">
        <f t="shared" si="39"/>
        <v>#DIV/0!</v>
      </c>
      <c r="AF392" s="452" t="e">
        <f t="shared" si="40"/>
        <v>#DIV/0!</v>
      </c>
    </row>
    <row r="393" spans="1:32" s="48" customFormat="1">
      <c r="A393" s="450" t="s">
        <v>308</v>
      </c>
      <c r="B393" s="302">
        <v>2049</v>
      </c>
      <c r="C393" s="451">
        <v>0</v>
      </c>
      <c r="D393" s="451">
        <v>0</v>
      </c>
      <c r="E393" s="451">
        <v>0</v>
      </c>
      <c r="F393" s="451"/>
      <c r="G393" s="451">
        <v>0</v>
      </c>
      <c r="H393" s="451">
        <v>0</v>
      </c>
      <c r="I393" s="451">
        <v>0</v>
      </c>
      <c r="J393" s="301"/>
      <c r="K393" s="301"/>
      <c r="L393" s="301"/>
      <c r="M393" s="301"/>
      <c r="Q393" s="300">
        <f t="shared" si="38"/>
        <v>0</v>
      </c>
      <c r="S393" s="300">
        <f t="shared" si="41"/>
        <v>0</v>
      </c>
      <c r="T393" s="300">
        <f t="shared" si="42"/>
        <v>0</v>
      </c>
      <c r="U393" s="300">
        <f t="shared" si="43"/>
        <v>0</v>
      </c>
      <c r="V393" s="300">
        <v>-1541.3891482203535</v>
      </c>
      <c r="W393" s="300">
        <v>-5201.2897037572202</v>
      </c>
      <c r="X393" s="300">
        <v>-6742.6788519775737</v>
      </c>
      <c r="Z393" s="300">
        <v>0</v>
      </c>
      <c r="AA393" s="239"/>
      <c r="AB393" s="300">
        <v>0</v>
      </c>
      <c r="AC393" s="300">
        <v>-6742.6788519775737</v>
      </c>
      <c r="AE393" s="452" t="e">
        <f t="shared" si="39"/>
        <v>#DIV/0!</v>
      </c>
      <c r="AF393" s="452" t="e">
        <f t="shared" si="40"/>
        <v>#DIV/0!</v>
      </c>
    </row>
    <row r="394" spans="1:32" s="48" customFormat="1">
      <c r="A394" s="450" t="s">
        <v>309</v>
      </c>
      <c r="B394" s="302">
        <v>2049</v>
      </c>
      <c r="C394" s="451">
        <v>0</v>
      </c>
      <c r="D394" s="451">
        <v>0</v>
      </c>
      <c r="E394" s="451">
        <v>0</v>
      </c>
      <c r="F394" s="451"/>
      <c r="G394" s="451">
        <v>0</v>
      </c>
      <c r="H394" s="451">
        <v>0</v>
      </c>
      <c r="I394" s="451">
        <v>0</v>
      </c>
      <c r="J394" s="301"/>
      <c r="K394" s="301"/>
      <c r="L394" s="301"/>
      <c r="M394" s="301"/>
      <c r="Q394" s="300">
        <f t="shared" si="38"/>
        <v>0</v>
      </c>
      <c r="S394" s="300">
        <f t="shared" si="41"/>
        <v>0</v>
      </c>
      <c r="T394" s="300">
        <f t="shared" si="42"/>
        <v>0</v>
      </c>
      <c r="U394" s="300">
        <f t="shared" si="43"/>
        <v>0</v>
      </c>
      <c r="V394" s="300">
        <v>-1541.3891482203535</v>
      </c>
      <c r="W394" s="300">
        <v>-5201.2897037572202</v>
      </c>
      <c r="X394" s="300">
        <v>-6742.6788519775737</v>
      </c>
      <c r="Z394" s="300">
        <v>0</v>
      </c>
      <c r="AA394" s="239"/>
      <c r="AB394" s="300">
        <v>0</v>
      </c>
      <c r="AC394" s="300">
        <v>-6742.6788519775737</v>
      </c>
      <c r="AE394" s="452" t="e">
        <f t="shared" si="39"/>
        <v>#DIV/0!</v>
      </c>
      <c r="AF394" s="452" t="e">
        <f t="shared" si="40"/>
        <v>#DIV/0!</v>
      </c>
    </row>
    <row r="395" spans="1:32" s="48" customFormat="1">
      <c r="A395" s="450" t="s">
        <v>298</v>
      </c>
      <c r="B395" s="302">
        <v>2049</v>
      </c>
      <c r="C395" s="451">
        <v>0</v>
      </c>
      <c r="D395" s="451">
        <v>0</v>
      </c>
      <c r="E395" s="451">
        <v>0</v>
      </c>
      <c r="F395" s="451"/>
      <c r="G395" s="451">
        <v>0</v>
      </c>
      <c r="H395" s="451">
        <v>0</v>
      </c>
      <c r="I395" s="451">
        <v>0</v>
      </c>
      <c r="J395" s="301"/>
      <c r="K395" s="301"/>
      <c r="L395" s="301"/>
      <c r="M395" s="301"/>
      <c r="Q395" s="300">
        <f t="shared" si="38"/>
        <v>0</v>
      </c>
      <c r="S395" s="300">
        <f t="shared" si="41"/>
        <v>0</v>
      </c>
      <c r="T395" s="300">
        <f t="shared" si="42"/>
        <v>0</v>
      </c>
      <c r="U395" s="300">
        <f t="shared" si="43"/>
        <v>0</v>
      </c>
      <c r="V395" s="300">
        <v>-1541.3891482203535</v>
      </c>
      <c r="W395" s="300">
        <v>-5201.2897037572202</v>
      </c>
      <c r="X395" s="300">
        <v>-6742.6788519775737</v>
      </c>
      <c r="Z395" s="300">
        <v>0</v>
      </c>
      <c r="AA395" s="239"/>
      <c r="AB395" s="300">
        <v>0</v>
      </c>
      <c r="AC395" s="300">
        <v>-6742.6788519775737</v>
      </c>
      <c r="AE395" s="452" t="e">
        <f t="shared" si="39"/>
        <v>#DIV/0!</v>
      </c>
      <c r="AF395" s="452" t="e">
        <f t="shared" si="40"/>
        <v>#DIV/0!</v>
      </c>
    </row>
    <row r="396" spans="1:32" s="48" customFormat="1">
      <c r="A396" s="450" t="s">
        <v>299</v>
      </c>
      <c r="B396" s="302">
        <v>2049</v>
      </c>
      <c r="C396" s="451">
        <v>0</v>
      </c>
      <c r="D396" s="451">
        <v>0</v>
      </c>
      <c r="E396" s="451">
        <v>0</v>
      </c>
      <c r="F396" s="451"/>
      <c r="G396" s="451">
        <v>0</v>
      </c>
      <c r="H396" s="451">
        <v>0</v>
      </c>
      <c r="I396" s="451">
        <v>0</v>
      </c>
      <c r="J396" s="301"/>
      <c r="K396" s="301"/>
      <c r="L396" s="301"/>
      <c r="M396" s="301"/>
      <c r="Q396" s="300">
        <f t="shared" si="38"/>
        <v>0</v>
      </c>
      <c r="S396" s="300">
        <f t="shared" si="41"/>
        <v>0</v>
      </c>
      <c r="T396" s="300">
        <f t="shared" si="42"/>
        <v>0</v>
      </c>
      <c r="U396" s="300">
        <f t="shared" si="43"/>
        <v>0</v>
      </c>
      <c r="V396" s="300">
        <v>-1541.3891482203535</v>
      </c>
      <c r="W396" s="300">
        <v>-5201.2897037572202</v>
      </c>
      <c r="X396" s="300">
        <v>-6742.6788519775737</v>
      </c>
      <c r="Z396" s="300">
        <v>0</v>
      </c>
      <c r="AA396" s="239"/>
      <c r="AB396" s="300">
        <v>0</v>
      </c>
      <c r="AC396" s="300">
        <v>-6742.6788519775737</v>
      </c>
      <c r="AE396" s="452" t="e">
        <f t="shared" si="39"/>
        <v>#DIV/0!</v>
      </c>
      <c r="AF396" s="452" t="e">
        <f t="shared" si="40"/>
        <v>#DIV/0!</v>
      </c>
    </row>
    <row r="397" spans="1:32" s="48" customFormat="1">
      <c r="A397" s="453"/>
      <c r="B397" s="453"/>
      <c r="C397" s="451"/>
      <c r="D397" s="451"/>
      <c r="E397" s="451"/>
      <c r="F397" s="453"/>
      <c r="G397" s="300"/>
      <c r="H397" s="300"/>
      <c r="I397" s="300"/>
      <c r="J397" s="300"/>
      <c r="K397" s="300"/>
      <c r="L397" s="300"/>
      <c r="M397" s="300"/>
    </row>
    <row r="398" spans="1:32" s="48" customFormat="1">
      <c r="A398" s="453"/>
      <c r="B398" s="453"/>
      <c r="C398" s="451"/>
      <c r="D398" s="451"/>
      <c r="E398" s="451"/>
      <c r="F398" s="453"/>
      <c r="G398" s="300"/>
      <c r="H398" s="300"/>
      <c r="I398" s="300"/>
      <c r="J398" s="300"/>
      <c r="K398" s="300"/>
      <c r="L398" s="300"/>
      <c r="M398" s="300"/>
    </row>
    <row r="399" spans="1:32" s="48" customFormat="1">
      <c r="A399" s="453"/>
      <c r="B399" s="453"/>
      <c r="C399" s="451"/>
      <c r="D399" s="451"/>
      <c r="E399" s="451"/>
      <c r="F399" s="453"/>
      <c r="G399" s="300"/>
      <c r="H399" s="300"/>
      <c r="I399" s="300"/>
      <c r="J399" s="300"/>
      <c r="K399" s="300"/>
      <c r="L399" s="300"/>
      <c r="M399" s="300"/>
    </row>
    <row r="400" spans="1:32" s="48" customFormat="1">
      <c r="A400" s="453"/>
      <c r="B400" s="453"/>
      <c r="C400" s="451"/>
      <c r="D400" s="451"/>
      <c r="E400" s="451"/>
      <c r="F400" s="453"/>
      <c r="G400" s="300"/>
      <c r="H400" s="300"/>
      <c r="I400" s="300"/>
      <c r="J400" s="300"/>
      <c r="K400" s="300"/>
      <c r="L400" s="300"/>
      <c r="M400" s="300"/>
    </row>
    <row r="401" spans="1:13" s="48" customFormat="1">
      <c r="A401" s="453"/>
      <c r="B401" s="453"/>
      <c r="C401" s="451"/>
      <c r="D401" s="451"/>
      <c r="E401" s="451"/>
      <c r="F401" s="453"/>
      <c r="G401" s="300"/>
      <c r="H401" s="300"/>
      <c r="I401" s="300"/>
      <c r="J401" s="300"/>
      <c r="K401" s="300"/>
      <c r="L401" s="300"/>
      <c r="M401" s="300"/>
    </row>
    <row r="402" spans="1:13" s="48" customFormat="1">
      <c r="A402" s="453"/>
      <c r="B402" s="453"/>
      <c r="C402" s="451"/>
      <c r="D402" s="451"/>
      <c r="E402" s="451"/>
      <c r="F402" s="453"/>
      <c r="G402" s="300"/>
      <c r="H402" s="300"/>
      <c r="I402" s="300"/>
      <c r="J402" s="300"/>
      <c r="K402" s="300"/>
      <c r="L402" s="300"/>
      <c r="M402" s="300"/>
    </row>
    <row r="403" spans="1:13" s="48" customFormat="1">
      <c r="A403" s="453"/>
      <c r="B403" s="453"/>
      <c r="C403" s="451"/>
      <c r="D403" s="451"/>
      <c r="E403" s="451"/>
      <c r="F403" s="453"/>
      <c r="G403" s="300"/>
      <c r="H403" s="300"/>
      <c r="I403" s="300"/>
      <c r="J403" s="300"/>
      <c r="K403" s="300"/>
      <c r="L403" s="300"/>
      <c r="M403" s="300"/>
    </row>
    <row r="404" spans="1:13" s="48" customFormat="1">
      <c r="A404" s="453"/>
      <c r="B404" s="453"/>
      <c r="C404" s="451"/>
      <c r="D404" s="451"/>
      <c r="E404" s="451"/>
      <c r="F404" s="453"/>
      <c r="G404" s="300"/>
      <c r="H404" s="300"/>
      <c r="I404" s="300"/>
      <c r="J404" s="300"/>
      <c r="K404" s="300"/>
      <c r="L404" s="300"/>
      <c r="M404" s="300"/>
    </row>
    <row r="405" spans="1:13" s="48" customFormat="1">
      <c r="A405" s="453"/>
      <c r="B405" s="453"/>
      <c r="C405" s="451"/>
      <c r="D405" s="451"/>
      <c r="E405" s="451"/>
      <c r="F405" s="453"/>
      <c r="G405" s="300"/>
      <c r="H405" s="300"/>
      <c r="I405" s="300"/>
      <c r="J405" s="300"/>
      <c r="K405" s="300"/>
      <c r="L405" s="300"/>
      <c r="M405" s="300"/>
    </row>
    <row r="406" spans="1:13" s="48" customFormat="1">
      <c r="A406" s="453"/>
      <c r="B406" s="453"/>
      <c r="C406" s="451"/>
      <c r="D406" s="451"/>
      <c r="E406" s="451"/>
      <c r="F406" s="453"/>
      <c r="G406" s="300"/>
      <c r="H406" s="300"/>
      <c r="I406" s="300"/>
      <c r="J406" s="300"/>
      <c r="K406" s="300"/>
      <c r="L406" s="300"/>
      <c r="M406" s="300"/>
    </row>
    <row r="407" spans="1:13" s="48" customFormat="1">
      <c r="A407" s="453"/>
      <c r="B407" s="453"/>
      <c r="C407" s="451"/>
      <c r="D407" s="451"/>
      <c r="E407" s="451"/>
      <c r="F407" s="453"/>
      <c r="G407" s="300"/>
      <c r="H407" s="300"/>
      <c r="I407" s="300"/>
      <c r="J407" s="300"/>
      <c r="K407" s="300"/>
      <c r="L407" s="300"/>
      <c r="M407" s="300"/>
    </row>
    <row r="408" spans="1:13" s="48" customFormat="1">
      <c r="A408" s="453"/>
      <c r="B408" s="453"/>
      <c r="C408" s="451"/>
      <c r="D408" s="451"/>
      <c r="E408" s="451"/>
      <c r="F408" s="453"/>
      <c r="G408" s="300"/>
      <c r="H408" s="300"/>
      <c r="I408" s="300"/>
      <c r="J408" s="300"/>
      <c r="K408" s="300"/>
      <c r="L408" s="300"/>
      <c r="M408" s="300"/>
    </row>
    <row r="409" spans="1:13" s="48" customFormat="1">
      <c r="A409" s="453"/>
      <c r="B409" s="453"/>
      <c r="C409" s="451"/>
      <c r="D409" s="451"/>
      <c r="E409" s="451"/>
      <c r="F409" s="453"/>
      <c r="G409" s="300"/>
      <c r="H409" s="300"/>
      <c r="I409" s="300"/>
      <c r="J409" s="300"/>
      <c r="K409" s="300"/>
      <c r="L409" s="300"/>
      <c r="M409" s="300"/>
    </row>
    <row r="410" spans="1:13" s="48" customFormat="1">
      <c r="A410" s="453"/>
      <c r="B410" s="453"/>
      <c r="C410" s="451"/>
      <c r="D410" s="451"/>
      <c r="E410" s="451"/>
      <c r="F410" s="453"/>
      <c r="G410" s="300"/>
      <c r="H410" s="300"/>
      <c r="I410" s="300"/>
      <c r="J410" s="300"/>
      <c r="K410" s="300"/>
      <c r="L410" s="300"/>
      <c r="M410" s="300"/>
    </row>
    <row r="411" spans="1:13" s="48" customFormat="1">
      <c r="A411" s="453"/>
      <c r="B411" s="453"/>
      <c r="C411" s="451"/>
      <c r="D411" s="451"/>
      <c r="E411" s="451"/>
      <c r="F411" s="453"/>
      <c r="G411" s="300"/>
      <c r="H411" s="300"/>
      <c r="I411" s="300"/>
      <c r="J411" s="300"/>
      <c r="K411" s="300"/>
      <c r="L411" s="300"/>
      <c r="M411" s="300"/>
    </row>
    <row r="412" spans="1:13" s="48" customFormat="1">
      <c r="A412" s="453"/>
      <c r="B412" s="453"/>
      <c r="C412" s="451"/>
      <c r="D412" s="451"/>
      <c r="E412" s="451"/>
      <c r="F412" s="453"/>
      <c r="G412" s="300"/>
      <c r="H412" s="300"/>
      <c r="I412" s="300"/>
      <c r="J412" s="300"/>
      <c r="K412" s="300"/>
      <c r="L412" s="300"/>
      <c r="M412" s="300"/>
    </row>
    <row r="413" spans="1:13" s="48" customFormat="1">
      <c r="A413" s="453"/>
      <c r="B413" s="453"/>
      <c r="C413" s="451"/>
      <c r="D413" s="451"/>
      <c r="E413" s="451"/>
      <c r="F413" s="453"/>
      <c r="G413" s="300"/>
      <c r="H413" s="300"/>
      <c r="I413" s="300"/>
      <c r="J413" s="300"/>
      <c r="K413" s="300"/>
      <c r="L413" s="300"/>
      <c r="M413" s="300"/>
    </row>
    <row r="414" spans="1:13" s="48" customFormat="1">
      <c r="A414" s="453"/>
      <c r="B414" s="453"/>
      <c r="C414" s="451"/>
      <c r="D414" s="451"/>
      <c r="E414" s="451"/>
      <c r="F414" s="453"/>
      <c r="G414" s="300"/>
      <c r="H414" s="300"/>
      <c r="I414" s="300"/>
      <c r="J414" s="300"/>
      <c r="K414" s="300"/>
      <c r="L414" s="300"/>
      <c r="M414" s="300"/>
    </row>
    <row r="415" spans="1:13" s="48" customFormat="1">
      <c r="A415" s="453"/>
      <c r="B415" s="453"/>
      <c r="C415" s="451"/>
      <c r="D415" s="451"/>
      <c r="E415" s="451"/>
      <c r="F415" s="453"/>
      <c r="G415" s="300"/>
      <c r="H415" s="300"/>
      <c r="I415" s="300"/>
      <c r="J415" s="300"/>
      <c r="K415" s="300"/>
      <c r="L415" s="300"/>
      <c r="M415" s="300"/>
    </row>
    <row r="416" spans="1:13" s="48" customFormat="1">
      <c r="A416" s="453"/>
      <c r="B416" s="453"/>
      <c r="C416" s="451"/>
      <c r="D416" s="451"/>
      <c r="E416" s="451"/>
      <c r="F416" s="453"/>
      <c r="G416" s="300"/>
      <c r="H416" s="300"/>
      <c r="I416" s="300"/>
      <c r="J416" s="300"/>
      <c r="K416" s="300"/>
      <c r="L416" s="300"/>
      <c r="M416" s="300"/>
    </row>
    <row r="417" spans="1:13" s="48" customFormat="1">
      <c r="A417" s="453"/>
      <c r="B417" s="453"/>
      <c r="C417" s="451"/>
      <c r="D417" s="451"/>
      <c r="E417" s="451"/>
      <c r="F417" s="453"/>
      <c r="G417" s="300"/>
      <c r="H417" s="300"/>
      <c r="I417" s="300"/>
      <c r="J417" s="300"/>
      <c r="K417" s="300"/>
      <c r="L417" s="300"/>
      <c r="M417" s="300"/>
    </row>
    <row r="418" spans="1:13" s="48" customFormat="1">
      <c r="A418" s="453"/>
      <c r="B418" s="453"/>
      <c r="C418" s="451"/>
      <c r="D418" s="451"/>
      <c r="E418" s="451"/>
      <c r="F418" s="453"/>
      <c r="G418" s="300"/>
      <c r="H418" s="300"/>
      <c r="I418" s="300"/>
      <c r="J418" s="300"/>
      <c r="K418" s="300"/>
      <c r="L418" s="300"/>
      <c r="M418" s="300"/>
    </row>
    <row r="419" spans="1:13" s="48" customFormat="1">
      <c r="A419" s="453"/>
      <c r="B419" s="453"/>
      <c r="C419" s="451"/>
      <c r="D419" s="451"/>
      <c r="E419" s="451"/>
      <c r="F419" s="453"/>
      <c r="G419" s="300"/>
      <c r="H419" s="300"/>
      <c r="I419" s="300"/>
      <c r="J419" s="300"/>
      <c r="K419" s="300"/>
      <c r="L419" s="300"/>
      <c r="M419" s="300"/>
    </row>
    <row r="420" spans="1:13" s="48" customFormat="1">
      <c r="A420" s="453"/>
      <c r="B420" s="453"/>
      <c r="C420" s="451"/>
      <c r="D420" s="451"/>
      <c r="E420" s="451"/>
      <c r="F420" s="453"/>
      <c r="G420" s="300"/>
      <c r="H420" s="300"/>
      <c r="I420" s="300"/>
      <c r="J420" s="300"/>
      <c r="K420" s="300"/>
      <c r="L420" s="300"/>
      <c r="M420" s="300"/>
    </row>
    <row r="421" spans="1:13" s="48" customFormat="1">
      <c r="A421" s="453"/>
      <c r="B421" s="453"/>
      <c r="C421" s="451"/>
      <c r="D421" s="451"/>
      <c r="E421" s="451"/>
      <c r="F421" s="453"/>
      <c r="G421" s="300"/>
      <c r="H421" s="300"/>
      <c r="I421" s="300"/>
      <c r="J421" s="300"/>
      <c r="K421" s="300"/>
      <c r="L421" s="300"/>
      <c r="M421" s="300"/>
    </row>
    <row r="422" spans="1:13" s="48" customFormat="1">
      <c r="A422" s="453"/>
      <c r="B422" s="453"/>
      <c r="C422" s="451"/>
      <c r="D422" s="451"/>
      <c r="E422" s="451"/>
      <c r="F422" s="453"/>
      <c r="G422" s="300"/>
      <c r="H422" s="300"/>
      <c r="I422" s="300"/>
      <c r="J422" s="300"/>
      <c r="K422" s="300"/>
      <c r="L422" s="300"/>
      <c r="M422" s="300"/>
    </row>
    <row r="423" spans="1:13" s="48" customFormat="1">
      <c r="A423" s="453"/>
      <c r="B423" s="453"/>
      <c r="C423" s="451"/>
      <c r="D423" s="451"/>
      <c r="E423" s="451"/>
      <c r="F423" s="453"/>
      <c r="G423" s="300"/>
      <c r="H423" s="300"/>
      <c r="I423" s="300"/>
      <c r="J423" s="300"/>
      <c r="K423" s="300"/>
      <c r="L423" s="300"/>
      <c r="M423" s="300"/>
    </row>
    <row r="424" spans="1:13" s="48" customFormat="1">
      <c r="A424" s="453"/>
      <c r="B424" s="453"/>
      <c r="C424" s="451"/>
      <c r="D424" s="451"/>
      <c r="E424" s="451"/>
      <c r="F424" s="453"/>
      <c r="G424" s="300"/>
      <c r="H424" s="300"/>
      <c r="I424" s="300"/>
      <c r="J424" s="300"/>
      <c r="K424" s="300"/>
      <c r="L424" s="300"/>
      <c r="M424" s="300"/>
    </row>
    <row r="425" spans="1:13" s="48" customFormat="1">
      <c r="A425" s="453"/>
      <c r="B425" s="453"/>
      <c r="C425" s="451"/>
      <c r="D425" s="451"/>
      <c r="E425" s="451"/>
      <c r="F425" s="453"/>
      <c r="G425" s="300"/>
      <c r="H425" s="300"/>
      <c r="I425" s="300"/>
      <c r="J425" s="300"/>
      <c r="K425" s="300"/>
      <c r="L425" s="300"/>
      <c r="M425" s="300"/>
    </row>
    <row r="426" spans="1:13" s="48" customFormat="1">
      <c r="A426" s="453"/>
      <c r="B426" s="453"/>
      <c r="C426" s="451"/>
      <c r="D426" s="451"/>
      <c r="E426" s="451"/>
      <c r="F426" s="453"/>
      <c r="G426" s="300"/>
      <c r="H426" s="300"/>
      <c r="I426" s="300"/>
      <c r="J426" s="300"/>
      <c r="K426" s="300"/>
      <c r="L426" s="300"/>
      <c r="M426" s="300"/>
    </row>
    <row r="427" spans="1:13" s="48" customFormat="1">
      <c r="A427" s="453"/>
      <c r="B427" s="453"/>
      <c r="C427" s="451"/>
      <c r="D427" s="451"/>
      <c r="E427" s="451"/>
      <c r="F427" s="453"/>
      <c r="G427" s="300"/>
      <c r="H427" s="300"/>
      <c r="I427" s="300"/>
      <c r="J427" s="300"/>
      <c r="K427" s="300"/>
      <c r="L427" s="300"/>
      <c r="M427" s="300"/>
    </row>
    <row r="428" spans="1:13" s="48" customFormat="1">
      <c r="A428" s="453"/>
      <c r="B428" s="453"/>
      <c r="C428" s="451"/>
      <c r="D428" s="451"/>
      <c r="E428" s="451"/>
      <c r="F428" s="453"/>
      <c r="G428" s="300"/>
      <c r="H428" s="300"/>
      <c r="I428" s="300"/>
      <c r="J428" s="300"/>
      <c r="K428" s="300"/>
      <c r="L428" s="300"/>
      <c r="M428" s="300"/>
    </row>
    <row r="429" spans="1:13" s="48" customFormat="1">
      <c r="A429" s="453"/>
      <c r="B429" s="453"/>
      <c r="C429" s="451"/>
      <c r="D429" s="451"/>
      <c r="E429" s="451"/>
      <c r="F429" s="453"/>
      <c r="G429" s="300"/>
      <c r="H429" s="300"/>
      <c r="I429" s="300"/>
      <c r="J429" s="300"/>
      <c r="K429" s="300"/>
      <c r="L429" s="300"/>
      <c r="M429" s="300"/>
    </row>
    <row r="430" spans="1:13" s="48" customFormat="1">
      <c r="A430" s="453"/>
      <c r="B430" s="453"/>
      <c r="C430" s="451"/>
      <c r="D430" s="451"/>
      <c r="E430" s="451"/>
      <c r="F430" s="453"/>
      <c r="G430" s="300"/>
      <c r="H430" s="300"/>
      <c r="I430" s="300"/>
      <c r="J430" s="300"/>
      <c r="K430" s="300"/>
      <c r="L430" s="300"/>
      <c r="M430" s="300"/>
    </row>
    <row r="431" spans="1:13" s="48" customFormat="1">
      <c r="A431" s="453"/>
      <c r="B431" s="453"/>
      <c r="C431" s="451"/>
      <c r="D431" s="451"/>
      <c r="E431" s="451"/>
      <c r="F431" s="453"/>
      <c r="G431" s="300"/>
      <c r="H431" s="300"/>
      <c r="I431" s="300"/>
      <c r="J431" s="300"/>
      <c r="K431" s="300"/>
      <c r="L431" s="300"/>
      <c r="M431" s="300"/>
    </row>
    <row r="432" spans="1:13" s="48" customFormat="1">
      <c r="A432" s="453"/>
      <c r="B432" s="453"/>
      <c r="C432" s="451"/>
      <c r="D432" s="451"/>
      <c r="E432" s="451"/>
      <c r="F432" s="453"/>
      <c r="G432" s="300"/>
      <c r="H432" s="300"/>
      <c r="I432" s="300"/>
      <c r="J432" s="300"/>
      <c r="K432" s="300"/>
      <c r="L432" s="300"/>
      <c r="M432" s="300"/>
    </row>
    <row r="433" spans="1:13" s="48" customFormat="1">
      <c r="A433" s="453"/>
      <c r="B433" s="453"/>
      <c r="C433" s="451"/>
      <c r="D433" s="451"/>
      <c r="E433" s="451"/>
      <c r="F433" s="453"/>
      <c r="G433" s="300"/>
      <c r="H433" s="300"/>
      <c r="I433" s="300"/>
      <c r="J433" s="300"/>
      <c r="K433" s="300"/>
      <c r="L433" s="300"/>
      <c r="M433" s="300"/>
    </row>
    <row r="434" spans="1:13" s="48" customFormat="1">
      <c r="A434" s="453"/>
      <c r="B434" s="453"/>
      <c r="C434" s="451"/>
      <c r="D434" s="451"/>
      <c r="E434" s="451"/>
      <c r="F434" s="453"/>
      <c r="G434" s="300"/>
      <c r="H434" s="300"/>
      <c r="I434" s="300"/>
      <c r="J434" s="300"/>
      <c r="K434" s="300"/>
      <c r="L434" s="300"/>
      <c r="M434" s="300"/>
    </row>
    <row r="435" spans="1:13" s="48" customFormat="1">
      <c r="A435" s="453"/>
      <c r="B435" s="453"/>
      <c r="C435" s="451"/>
      <c r="D435" s="451"/>
      <c r="E435" s="451"/>
      <c r="F435" s="453"/>
      <c r="G435" s="300"/>
      <c r="H435" s="300"/>
      <c r="I435" s="300"/>
      <c r="J435" s="300"/>
      <c r="K435" s="300"/>
      <c r="L435" s="300"/>
      <c r="M435" s="300"/>
    </row>
    <row r="436" spans="1:13" s="48" customFormat="1">
      <c r="A436" s="453"/>
      <c r="B436" s="453"/>
      <c r="C436" s="451"/>
      <c r="D436" s="451"/>
      <c r="E436" s="451"/>
      <c r="F436" s="453"/>
      <c r="G436" s="300"/>
      <c r="H436" s="300"/>
      <c r="I436" s="300"/>
      <c r="J436" s="300"/>
      <c r="K436" s="300"/>
      <c r="L436" s="300"/>
      <c r="M436" s="300"/>
    </row>
    <row r="437" spans="1:13" s="48" customFormat="1">
      <c r="A437" s="453"/>
      <c r="B437" s="453"/>
      <c r="C437" s="451"/>
      <c r="D437" s="451"/>
      <c r="E437" s="451"/>
      <c r="F437" s="453"/>
      <c r="G437" s="300"/>
      <c r="H437" s="300"/>
      <c r="I437" s="300"/>
      <c r="J437" s="300"/>
      <c r="K437" s="300"/>
      <c r="L437" s="300"/>
      <c r="M437" s="300"/>
    </row>
    <row r="438" spans="1:13" s="48" customFormat="1">
      <c r="A438" s="453"/>
      <c r="B438" s="453"/>
      <c r="C438" s="451"/>
      <c r="D438" s="451"/>
      <c r="E438" s="451"/>
      <c r="F438" s="453"/>
      <c r="G438" s="300"/>
      <c r="H438" s="300"/>
      <c r="I438" s="300"/>
      <c r="J438" s="300"/>
      <c r="K438" s="300"/>
      <c r="L438" s="300"/>
      <c r="M438" s="300"/>
    </row>
    <row r="439" spans="1:13" s="48" customFormat="1">
      <c r="A439" s="453"/>
      <c r="B439" s="453"/>
      <c r="C439" s="451"/>
      <c r="D439" s="451"/>
      <c r="E439" s="451"/>
      <c r="F439" s="453"/>
      <c r="G439" s="300"/>
      <c r="H439" s="300"/>
      <c r="I439" s="300"/>
      <c r="J439" s="300"/>
      <c r="K439" s="300"/>
      <c r="L439" s="300"/>
      <c r="M439" s="300"/>
    </row>
    <row r="440" spans="1:13" s="48" customFormat="1">
      <c r="A440" s="453"/>
      <c r="B440" s="453"/>
      <c r="C440" s="451"/>
      <c r="D440" s="451"/>
      <c r="E440" s="451"/>
      <c r="F440" s="453"/>
      <c r="G440" s="300"/>
      <c r="H440" s="300"/>
      <c r="I440" s="300"/>
      <c r="J440" s="300"/>
      <c r="K440" s="300"/>
      <c r="L440" s="300"/>
      <c r="M440" s="300"/>
    </row>
    <row r="441" spans="1:13" s="48" customFormat="1">
      <c r="A441" s="453"/>
      <c r="B441" s="453"/>
      <c r="C441" s="451"/>
      <c r="D441" s="451"/>
      <c r="E441" s="451"/>
      <c r="F441" s="453"/>
      <c r="G441" s="300"/>
      <c r="H441" s="300"/>
      <c r="I441" s="300"/>
      <c r="J441" s="300"/>
      <c r="K441" s="300"/>
      <c r="L441" s="300"/>
      <c r="M441" s="300"/>
    </row>
    <row r="442" spans="1:13" s="48" customFormat="1">
      <c r="A442" s="453"/>
      <c r="B442" s="453"/>
      <c r="C442" s="451"/>
      <c r="D442" s="451"/>
      <c r="E442" s="451"/>
      <c r="F442" s="453"/>
      <c r="G442" s="300"/>
      <c r="H442" s="300"/>
      <c r="I442" s="300"/>
      <c r="J442" s="300"/>
      <c r="K442" s="300"/>
      <c r="L442" s="300"/>
      <c r="M442" s="300"/>
    </row>
    <row r="443" spans="1:13" s="48" customFormat="1">
      <c r="A443" s="453"/>
      <c r="B443" s="453"/>
      <c r="C443" s="451"/>
      <c r="D443" s="451"/>
      <c r="E443" s="451"/>
      <c r="F443" s="453"/>
      <c r="G443" s="300"/>
      <c r="H443" s="300"/>
      <c r="I443" s="300"/>
      <c r="J443" s="300"/>
      <c r="K443" s="300"/>
      <c r="L443" s="300"/>
      <c r="M443" s="300"/>
    </row>
    <row r="444" spans="1:13" s="48" customFormat="1">
      <c r="A444" s="453"/>
      <c r="B444" s="453"/>
      <c r="C444" s="451"/>
      <c r="D444" s="451"/>
      <c r="E444" s="451"/>
      <c r="F444" s="453"/>
      <c r="G444" s="300"/>
      <c r="H444" s="300"/>
      <c r="I444" s="300"/>
      <c r="J444" s="300"/>
      <c r="K444" s="300"/>
      <c r="L444" s="300"/>
      <c r="M444" s="300"/>
    </row>
    <row r="445" spans="1:13" s="48" customFormat="1">
      <c r="A445" s="453"/>
      <c r="B445" s="453"/>
      <c r="C445" s="451"/>
      <c r="D445" s="451"/>
      <c r="E445" s="451"/>
      <c r="F445" s="453"/>
      <c r="G445" s="300"/>
      <c r="H445" s="300"/>
      <c r="I445" s="300"/>
      <c r="J445" s="300"/>
      <c r="K445" s="300"/>
      <c r="L445" s="300"/>
      <c r="M445" s="300"/>
    </row>
    <row r="446" spans="1:13" s="48" customFormat="1">
      <c r="A446" s="453"/>
      <c r="B446" s="453"/>
      <c r="C446" s="451"/>
      <c r="D446" s="451"/>
      <c r="E446" s="451"/>
      <c r="F446" s="453"/>
      <c r="G446" s="300"/>
      <c r="H446" s="300"/>
      <c r="I446" s="300"/>
      <c r="J446" s="300"/>
      <c r="K446" s="300"/>
      <c r="L446" s="300"/>
      <c r="M446" s="300"/>
    </row>
    <row r="447" spans="1:13" s="48" customFormat="1">
      <c r="A447" s="453"/>
      <c r="B447" s="453"/>
      <c r="C447" s="451"/>
      <c r="D447" s="451"/>
      <c r="E447" s="451"/>
      <c r="F447" s="453"/>
      <c r="G447" s="300"/>
      <c r="H447" s="300"/>
      <c r="I447" s="300"/>
      <c r="J447" s="300"/>
      <c r="K447" s="300"/>
      <c r="L447" s="300"/>
      <c r="M447" s="300"/>
    </row>
    <row r="448" spans="1:13" s="48" customFormat="1">
      <c r="A448" s="453"/>
      <c r="B448" s="453"/>
      <c r="C448" s="451"/>
      <c r="D448" s="451"/>
      <c r="E448" s="451"/>
      <c r="F448" s="453"/>
      <c r="G448" s="300"/>
      <c r="H448" s="300"/>
      <c r="I448" s="300"/>
      <c r="J448" s="300"/>
      <c r="K448" s="300"/>
      <c r="L448" s="300"/>
      <c r="M448" s="300"/>
    </row>
    <row r="449" spans="1:13" s="48" customFormat="1">
      <c r="A449" s="453"/>
      <c r="B449" s="453"/>
      <c r="C449" s="451"/>
      <c r="D449" s="451"/>
      <c r="E449" s="451"/>
      <c r="F449" s="453"/>
      <c r="G449" s="300"/>
      <c r="H449" s="300"/>
      <c r="I449" s="300"/>
      <c r="J449" s="300"/>
      <c r="K449" s="300"/>
      <c r="L449" s="300"/>
      <c r="M449" s="300"/>
    </row>
    <row r="450" spans="1:13" s="48" customFormat="1">
      <c r="A450" s="453"/>
      <c r="B450" s="453"/>
      <c r="C450" s="451"/>
      <c r="D450" s="451"/>
      <c r="E450" s="451"/>
      <c r="F450" s="453"/>
      <c r="G450" s="300"/>
      <c r="H450" s="300"/>
      <c r="I450" s="300"/>
      <c r="J450" s="300"/>
      <c r="K450" s="300"/>
      <c r="L450" s="300"/>
      <c r="M450" s="300"/>
    </row>
    <row r="451" spans="1:13" s="48" customFormat="1">
      <c r="A451" s="453"/>
      <c r="B451" s="453"/>
      <c r="C451" s="451"/>
      <c r="D451" s="451"/>
      <c r="E451" s="451"/>
      <c r="F451" s="453"/>
      <c r="G451" s="300"/>
      <c r="H451" s="300"/>
      <c r="I451" s="300"/>
      <c r="J451" s="300"/>
      <c r="K451" s="300"/>
      <c r="L451" s="300"/>
      <c r="M451" s="300"/>
    </row>
    <row r="452" spans="1:13" s="48" customFormat="1">
      <c r="A452" s="453"/>
      <c r="B452" s="453"/>
      <c r="C452" s="451"/>
      <c r="D452" s="451"/>
      <c r="E452" s="451"/>
      <c r="F452" s="453"/>
      <c r="G452" s="300"/>
      <c r="H452" s="300"/>
      <c r="I452" s="300"/>
      <c r="J452" s="300"/>
      <c r="K452" s="300"/>
      <c r="L452" s="300"/>
      <c r="M452" s="300"/>
    </row>
    <row r="453" spans="1:13" s="48" customFormat="1">
      <c r="A453" s="453"/>
      <c r="B453" s="453"/>
      <c r="C453" s="451"/>
      <c r="D453" s="451"/>
      <c r="E453" s="451"/>
      <c r="F453" s="453"/>
      <c r="G453" s="300"/>
      <c r="H453" s="300"/>
      <c r="I453" s="300"/>
      <c r="J453" s="300"/>
      <c r="K453" s="300"/>
      <c r="L453" s="300"/>
      <c r="M453" s="300"/>
    </row>
    <row r="454" spans="1:13" s="48" customFormat="1">
      <c r="A454" s="453"/>
      <c r="B454" s="453"/>
      <c r="C454" s="451"/>
      <c r="D454" s="451"/>
      <c r="E454" s="451"/>
      <c r="F454" s="453"/>
      <c r="G454" s="300"/>
      <c r="H454" s="300"/>
      <c r="I454" s="300"/>
      <c r="J454" s="300"/>
      <c r="K454" s="300"/>
      <c r="L454" s="300"/>
      <c r="M454" s="300"/>
    </row>
    <row r="455" spans="1:13" s="48" customFormat="1">
      <c r="A455" s="453"/>
      <c r="B455" s="453"/>
      <c r="C455" s="451"/>
      <c r="D455" s="451"/>
      <c r="E455" s="451"/>
      <c r="F455" s="453"/>
      <c r="G455" s="300"/>
      <c r="H455" s="300"/>
      <c r="I455" s="300"/>
      <c r="J455" s="300"/>
      <c r="K455" s="300"/>
      <c r="L455" s="300"/>
      <c r="M455" s="300"/>
    </row>
    <row r="456" spans="1:13" s="48" customFormat="1">
      <c r="A456" s="453"/>
      <c r="B456" s="453"/>
      <c r="C456" s="451"/>
      <c r="D456" s="451"/>
      <c r="E456" s="451"/>
      <c r="F456" s="453"/>
      <c r="G456" s="300"/>
      <c r="H456" s="300"/>
      <c r="I456" s="300"/>
      <c r="J456" s="300"/>
      <c r="K456" s="300"/>
      <c r="L456" s="300"/>
      <c r="M456" s="300"/>
    </row>
    <row r="457" spans="1:13" s="48" customFormat="1">
      <c r="A457" s="453"/>
      <c r="B457" s="453"/>
      <c r="C457" s="451"/>
      <c r="D457" s="451"/>
      <c r="E457" s="451"/>
      <c r="F457" s="453"/>
      <c r="G457" s="300"/>
      <c r="H457" s="300"/>
      <c r="I457" s="300"/>
      <c r="J457" s="300"/>
      <c r="K457" s="300"/>
      <c r="L457" s="300"/>
      <c r="M457" s="300"/>
    </row>
  </sheetData>
  <mergeCells count="23">
    <mergeCell ref="AD21:AD22"/>
    <mergeCell ref="V21:W21"/>
    <mergeCell ref="X21:X22"/>
    <mergeCell ref="Z21:Z22"/>
    <mergeCell ref="AA21:AA22"/>
    <mergeCell ref="AB21:AB22"/>
    <mergeCell ref="AC21:AC22"/>
    <mergeCell ref="U21:U22"/>
    <mergeCell ref="A1:Q1"/>
    <mergeCell ref="G2:M2"/>
    <mergeCell ref="C21:C22"/>
    <mergeCell ref="D21:D22"/>
    <mergeCell ref="E21:E22"/>
    <mergeCell ref="G21:G22"/>
    <mergeCell ref="H21:H22"/>
    <mergeCell ref="I21:I22"/>
    <mergeCell ref="J21:J22"/>
    <mergeCell ref="K21:K22"/>
    <mergeCell ref="L21:L22"/>
    <mergeCell ref="M21:M22"/>
    <mergeCell ref="Q21:Q22"/>
    <mergeCell ref="S21:S22"/>
    <mergeCell ref="T21:T22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9" tint="-0.249977111117893"/>
    <pageSetUpPr fitToPage="1"/>
  </sheetPr>
  <dimension ref="A1:AB82"/>
  <sheetViews>
    <sheetView view="pageBreakPreview" zoomScale="60" zoomScaleNormal="100" workbookViewId="0">
      <pane xSplit="3" ySplit="3" topLeftCell="D4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40625" defaultRowHeight="12.75"/>
  <cols>
    <col min="1" max="3" width="9.140625" style="1"/>
    <col min="4" max="4" width="13" style="1" bestFit="1" customWidth="1"/>
    <col min="5" max="5" width="12" style="3" bestFit="1" customWidth="1"/>
    <col min="6" max="6" width="3.7109375" style="1" customWidth="1"/>
    <col min="7" max="7" width="12.7109375" style="1" bestFit="1" customWidth="1"/>
    <col min="8" max="8" width="13.7109375" style="1" bestFit="1" customWidth="1"/>
    <col min="9" max="9" width="10.42578125" style="1" bestFit="1" customWidth="1"/>
    <col min="10" max="12" width="9.140625" style="1"/>
    <col min="13" max="13" width="13.42578125" style="1" bestFit="1" customWidth="1"/>
    <col min="14" max="14" width="14.140625" style="3" bestFit="1" customWidth="1"/>
    <col min="15" max="15" width="3.7109375" style="1" customWidth="1"/>
    <col min="16" max="16" width="12.7109375" style="1" bestFit="1" customWidth="1"/>
    <col min="17" max="17" width="13.7109375" style="1" bestFit="1" customWidth="1"/>
    <col min="18" max="18" width="9.140625" style="1" customWidth="1"/>
    <col min="19" max="21" width="9.140625" style="1"/>
    <col min="22" max="22" width="12.28515625" style="1" bestFit="1" customWidth="1"/>
    <col min="23" max="23" width="12" style="1" bestFit="1" customWidth="1"/>
    <col min="24" max="24" width="2.42578125" style="1" customWidth="1"/>
    <col min="25" max="25" width="10.85546875" style="1" bestFit="1" customWidth="1"/>
    <col min="26" max="26" width="13.7109375" style="1" bestFit="1" customWidth="1"/>
    <col min="27" max="27" width="10.42578125" style="1" bestFit="1" customWidth="1"/>
    <col min="28" max="28" width="12.5703125" style="1" bestFit="1" customWidth="1"/>
    <col min="29" max="16384" width="9.140625" style="1"/>
  </cols>
  <sheetData>
    <row r="1" spans="1:26">
      <c r="D1" s="681"/>
      <c r="E1" s="681"/>
      <c r="F1" s="681"/>
      <c r="G1" s="681"/>
      <c r="H1" s="11"/>
      <c r="M1" s="681"/>
      <c r="N1" s="681"/>
      <c r="O1" s="681"/>
      <c r="P1" s="681"/>
      <c r="Q1" s="11"/>
      <c r="V1" s="681"/>
      <c r="W1" s="681"/>
      <c r="X1" s="681"/>
      <c r="Y1" s="681"/>
      <c r="Z1" s="11"/>
    </row>
    <row r="2" spans="1:26" s="49" customFormat="1" ht="63.75">
      <c r="C2" s="10" t="s">
        <v>16</v>
      </c>
      <c r="D2" s="50" t="s">
        <v>61</v>
      </c>
      <c r="E2" s="51" t="s">
        <v>62</v>
      </c>
      <c r="F2" s="52"/>
      <c r="G2" s="52" t="s">
        <v>63</v>
      </c>
      <c r="H2" s="52" t="s">
        <v>64</v>
      </c>
      <c r="L2" s="10" t="s">
        <v>16</v>
      </c>
      <c r="M2" s="50" t="s">
        <v>65</v>
      </c>
      <c r="N2" s="51" t="s">
        <v>62</v>
      </c>
      <c r="O2" s="52"/>
      <c r="P2" s="52" t="s">
        <v>63</v>
      </c>
      <c r="Q2" s="52" t="s">
        <v>64</v>
      </c>
      <c r="U2" s="10" t="s">
        <v>16</v>
      </c>
      <c r="V2" s="50" t="s">
        <v>66</v>
      </c>
      <c r="W2" s="51" t="s">
        <v>62</v>
      </c>
      <c r="X2" s="52"/>
      <c r="Y2" s="52" t="s">
        <v>63</v>
      </c>
      <c r="Z2" s="52" t="s">
        <v>64</v>
      </c>
    </row>
    <row r="3" spans="1:26" ht="15.75">
      <c r="A3" s="1" t="s">
        <v>27</v>
      </c>
      <c r="C3" s="10" t="s">
        <v>28</v>
      </c>
      <c r="D3" s="53" t="s">
        <v>67</v>
      </c>
      <c r="E3" s="54"/>
      <c r="F3" s="12"/>
      <c r="G3" s="12"/>
      <c r="H3" s="9"/>
      <c r="J3" s="1" t="s">
        <v>27</v>
      </c>
      <c r="L3" s="10" t="s">
        <v>28</v>
      </c>
      <c r="M3" s="53" t="s">
        <v>67</v>
      </c>
      <c r="N3" s="54"/>
      <c r="O3" s="12"/>
      <c r="P3" s="12"/>
      <c r="Q3" s="9"/>
      <c r="S3" s="1" t="s">
        <v>27</v>
      </c>
      <c r="U3" s="10" t="s">
        <v>28</v>
      </c>
      <c r="V3" s="53" t="s">
        <v>67</v>
      </c>
      <c r="W3" s="54"/>
      <c r="X3" s="12"/>
      <c r="Y3" s="12"/>
      <c r="Z3" s="9"/>
    </row>
    <row r="4" spans="1:26">
      <c r="A4" s="10"/>
      <c r="B4" s="10"/>
      <c r="C4" s="10"/>
      <c r="D4" s="55"/>
      <c r="E4" s="31"/>
      <c r="F4" s="56"/>
      <c r="G4" s="16"/>
      <c r="H4" s="23"/>
      <c r="J4" s="10"/>
      <c r="K4" s="10"/>
      <c r="L4" s="10"/>
      <c r="M4" s="55"/>
      <c r="N4" s="31"/>
      <c r="O4" s="56"/>
      <c r="P4" s="16"/>
      <c r="Q4" s="23"/>
      <c r="S4" s="10"/>
      <c r="T4" s="10"/>
      <c r="U4" s="10"/>
      <c r="V4" s="55"/>
      <c r="W4" s="31"/>
      <c r="X4" s="56"/>
      <c r="Y4" s="16"/>
      <c r="Z4" s="23"/>
    </row>
    <row r="5" spans="1:26">
      <c r="A5" s="10" t="s">
        <v>46</v>
      </c>
      <c r="B5" s="10">
        <v>2009</v>
      </c>
      <c r="C5" s="10" t="s">
        <v>68</v>
      </c>
      <c r="D5" s="55"/>
      <c r="E5" s="31"/>
      <c r="F5" s="56"/>
      <c r="G5" s="16">
        <f>D5-E5</f>
        <v>0</v>
      </c>
      <c r="H5" s="16">
        <f>SUM(G$5:G5)</f>
        <v>0</v>
      </c>
      <c r="J5" s="10" t="s">
        <v>46</v>
      </c>
      <c r="K5" s="10">
        <v>2009</v>
      </c>
      <c r="L5" s="10" t="s">
        <v>68</v>
      </c>
      <c r="M5" s="55"/>
      <c r="N5" s="31"/>
      <c r="O5" s="56"/>
      <c r="P5" s="16">
        <f t="shared" ref="P5:P68" si="0">M5-N5</f>
        <v>0</v>
      </c>
      <c r="Q5" s="16">
        <f>SUM(P$5:P5)</f>
        <v>0</v>
      </c>
      <c r="S5" s="10" t="s">
        <v>46</v>
      </c>
      <c r="T5" s="10">
        <v>2009</v>
      </c>
      <c r="U5" s="10" t="s">
        <v>68</v>
      </c>
      <c r="V5" s="55"/>
      <c r="W5" s="31"/>
      <c r="X5" s="56"/>
      <c r="Y5" s="16">
        <f t="shared" ref="Y5:Y68" si="1">V5-W5</f>
        <v>0</v>
      </c>
      <c r="Z5" s="16">
        <f>SUM(Y$5:Y5)</f>
        <v>0</v>
      </c>
    </row>
    <row r="6" spans="1:26">
      <c r="A6" s="10" t="s">
        <v>48</v>
      </c>
      <c r="B6" s="10">
        <f>+B5</f>
        <v>2009</v>
      </c>
      <c r="C6" s="10" t="s">
        <v>68</v>
      </c>
      <c r="D6" s="55">
        <v>1200000</v>
      </c>
      <c r="E6" s="31">
        <f>'E3 - Invest Amort deferred tax'!F6</f>
        <v>0</v>
      </c>
      <c r="F6" s="56"/>
      <c r="G6" s="16">
        <f t="shared" ref="G6:G68" si="2">D6-E6</f>
        <v>1200000</v>
      </c>
      <c r="H6" s="16">
        <f>SUM(G$5:G6)</f>
        <v>1200000</v>
      </c>
      <c r="J6" s="10" t="s">
        <v>48</v>
      </c>
      <c r="K6" s="10">
        <f>+K5</f>
        <v>2009</v>
      </c>
      <c r="L6" s="10" t="s">
        <v>68</v>
      </c>
      <c r="M6" s="55">
        <v>0</v>
      </c>
      <c r="N6" s="31">
        <f>'E3 - Invest Amort deferred tax'!O6</f>
        <v>0</v>
      </c>
      <c r="O6" s="56"/>
      <c r="P6" s="16">
        <f t="shared" si="0"/>
        <v>0</v>
      </c>
      <c r="Q6" s="16">
        <f>SUM(P$5:P6)</f>
        <v>0</v>
      </c>
      <c r="S6" s="10" t="s">
        <v>48</v>
      </c>
      <c r="T6" s="10">
        <f>+T5</f>
        <v>2009</v>
      </c>
      <c r="U6" s="10" t="s">
        <v>68</v>
      </c>
      <c r="V6" s="55">
        <v>0</v>
      </c>
      <c r="W6" s="31">
        <f>'E3 - Invest Amort deferred tax'!X6</f>
        <v>0</v>
      </c>
      <c r="X6" s="56"/>
      <c r="Y6" s="16">
        <f t="shared" si="1"/>
        <v>0</v>
      </c>
      <c r="Z6" s="16">
        <f>SUM(Y$5:Y6)</f>
        <v>0</v>
      </c>
    </row>
    <row r="7" spans="1:26">
      <c r="A7" s="10" t="s">
        <v>50</v>
      </c>
      <c r="B7" s="10">
        <f>+B6</f>
        <v>2009</v>
      </c>
      <c r="C7" s="10" t="s">
        <v>68</v>
      </c>
      <c r="D7" s="57">
        <v>0</v>
      </c>
      <c r="E7" s="31">
        <f>'E3 - Invest Amort deferred tax'!F7</f>
        <v>0</v>
      </c>
      <c r="F7" s="56"/>
      <c r="G7" s="16">
        <f t="shared" si="2"/>
        <v>0</v>
      </c>
      <c r="H7" s="16">
        <f>SUM(G$5:G7)</f>
        <v>1200000</v>
      </c>
      <c r="J7" s="10" t="s">
        <v>50</v>
      </c>
      <c r="K7" s="10">
        <f>+K6</f>
        <v>2009</v>
      </c>
      <c r="L7" s="10" t="s">
        <v>68</v>
      </c>
      <c r="M7" s="57">
        <v>0</v>
      </c>
      <c r="N7" s="31">
        <f>'E3 - Invest Amort deferred tax'!O7</f>
        <v>0</v>
      </c>
      <c r="O7" s="56"/>
      <c r="P7" s="16">
        <f t="shared" si="0"/>
        <v>0</v>
      </c>
      <c r="Q7" s="16">
        <f>SUM(P$5:P7)</f>
        <v>0</v>
      </c>
      <c r="S7" s="10" t="s">
        <v>50</v>
      </c>
      <c r="T7" s="10">
        <f>+T6</f>
        <v>2009</v>
      </c>
      <c r="U7" s="10" t="s">
        <v>68</v>
      </c>
      <c r="V7" s="57">
        <v>0</v>
      </c>
      <c r="W7" s="31">
        <f>'E3 - Invest Amort deferred tax'!X7</f>
        <v>0</v>
      </c>
      <c r="X7" s="56"/>
      <c r="Y7" s="16">
        <f t="shared" si="1"/>
        <v>0</v>
      </c>
      <c r="Z7" s="16">
        <f>SUM(Y$5:Y7)</f>
        <v>0</v>
      </c>
    </row>
    <row r="8" spans="1:26">
      <c r="A8" s="10" t="s">
        <v>51</v>
      </c>
      <c r="B8" s="10">
        <f>+B7</f>
        <v>2009</v>
      </c>
      <c r="C8" s="10" t="s">
        <v>68</v>
      </c>
      <c r="D8" s="57"/>
      <c r="E8" s="31">
        <v>0</v>
      </c>
      <c r="F8" s="56"/>
      <c r="G8" s="16">
        <f t="shared" si="2"/>
        <v>0</v>
      </c>
      <c r="H8" s="16">
        <f>SUM(G$5:G8)</f>
        <v>1200000</v>
      </c>
      <c r="J8" s="10" t="s">
        <v>51</v>
      </c>
      <c r="K8" s="10">
        <f>+K7</f>
        <v>2009</v>
      </c>
      <c r="L8" s="10" t="s">
        <v>68</v>
      </c>
      <c r="M8" s="57"/>
      <c r="N8" s="31">
        <v>0</v>
      </c>
      <c r="O8" s="56"/>
      <c r="P8" s="16">
        <f t="shared" si="0"/>
        <v>0</v>
      </c>
      <c r="Q8" s="16">
        <f>SUM(P$5:P8)</f>
        <v>0</v>
      </c>
      <c r="S8" s="10" t="s">
        <v>51</v>
      </c>
      <c r="T8" s="10">
        <f>+T7</f>
        <v>2009</v>
      </c>
      <c r="U8" s="10" t="s">
        <v>68</v>
      </c>
      <c r="V8" s="57"/>
      <c r="W8" s="31">
        <v>0</v>
      </c>
      <c r="X8" s="56"/>
      <c r="Y8" s="16">
        <f t="shared" si="1"/>
        <v>0</v>
      </c>
      <c r="Z8" s="16">
        <f>SUM(Y$5:Y8)</f>
        <v>0</v>
      </c>
    </row>
    <row r="9" spans="1:26">
      <c r="A9" s="10" t="s">
        <v>52</v>
      </c>
      <c r="B9" s="10">
        <f>+B8</f>
        <v>2009</v>
      </c>
      <c r="C9" s="10" t="s">
        <v>68</v>
      </c>
      <c r="D9" s="57"/>
      <c r="E9" s="31">
        <f>'E3 - Invest Amort deferred tax'!F9</f>
        <v>5263.33</v>
      </c>
      <c r="F9" s="56"/>
      <c r="G9" s="16">
        <f t="shared" si="2"/>
        <v>-5263.33</v>
      </c>
      <c r="H9" s="16">
        <f>SUM(G$5:G9)</f>
        <v>1194736.67</v>
      </c>
      <c r="J9" s="10" t="s">
        <v>52</v>
      </c>
      <c r="K9" s="10">
        <f>+K8</f>
        <v>2009</v>
      </c>
      <c r="L9" s="10" t="s">
        <v>68</v>
      </c>
      <c r="M9" s="57"/>
      <c r="N9" s="31">
        <f>'E3 - Invest Amort deferred tax'!O9</f>
        <v>0</v>
      </c>
      <c r="O9" s="56"/>
      <c r="P9" s="16">
        <f t="shared" si="0"/>
        <v>0</v>
      </c>
      <c r="Q9" s="16">
        <f>SUM(P$5:P9)</f>
        <v>0</v>
      </c>
      <c r="S9" s="10" t="s">
        <v>52</v>
      </c>
      <c r="T9" s="10">
        <f>+T8</f>
        <v>2009</v>
      </c>
      <c r="U9" s="10" t="s">
        <v>68</v>
      </c>
      <c r="V9" s="57"/>
      <c r="W9" s="31">
        <f>'E3 - Invest Amort deferred tax'!X9</f>
        <v>0</v>
      </c>
      <c r="X9" s="56"/>
      <c r="Y9" s="16">
        <f t="shared" si="1"/>
        <v>0</v>
      </c>
      <c r="Z9" s="16">
        <f>SUM(Y$5:Y9)</f>
        <v>0</v>
      </c>
    </row>
    <row r="10" spans="1:26">
      <c r="A10" s="10" t="s">
        <v>53</v>
      </c>
      <c r="B10" s="10">
        <f>+B9+1</f>
        <v>2010</v>
      </c>
      <c r="C10" s="10" t="s">
        <v>68</v>
      </c>
      <c r="D10" s="57"/>
      <c r="E10" s="31">
        <f>'E3 - Invest Amort deferred tax'!F10</f>
        <v>8646.86</v>
      </c>
      <c r="F10" s="56"/>
      <c r="G10" s="16">
        <f t="shared" si="2"/>
        <v>-8646.86</v>
      </c>
      <c r="H10" s="16">
        <f>SUM(G$5:G10)</f>
        <v>1186089.8099999998</v>
      </c>
      <c r="J10" s="10" t="s">
        <v>53</v>
      </c>
      <c r="K10" s="10">
        <f>+K9+1</f>
        <v>2010</v>
      </c>
      <c r="L10" s="10" t="s">
        <v>68</v>
      </c>
      <c r="M10" s="57"/>
      <c r="N10" s="31">
        <f>'E3 - Invest Amort deferred tax'!O10</f>
        <v>0</v>
      </c>
      <c r="O10" s="56"/>
      <c r="P10" s="16">
        <f t="shared" si="0"/>
        <v>0</v>
      </c>
      <c r="Q10" s="16">
        <f>SUM(P$5:P10)</f>
        <v>0</v>
      </c>
      <c r="S10" s="10" t="s">
        <v>53</v>
      </c>
      <c r="T10" s="10">
        <f>+T9+1</f>
        <v>2010</v>
      </c>
      <c r="U10" s="10" t="s">
        <v>68</v>
      </c>
      <c r="V10" s="57"/>
      <c r="W10" s="31">
        <f>'E3 - Invest Amort deferred tax'!X10</f>
        <v>0</v>
      </c>
      <c r="X10" s="56"/>
      <c r="Y10" s="16">
        <f t="shared" si="1"/>
        <v>0</v>
      </c>
      <c r="Z10" s="16">
        <f>SUM(Y$5:Y10)</f>
        <v>0</v>
      </c>
    </row>
    <row r="11" spans="1:26">
      <c r="A11" s="10" t="s">
        <v>54</v>
      </c>
      <c r="B11" s="10">
        <f t="shared" ref="B11:B21" si="3">+B10</f>
        <v>2010</v>
      </c>
      <c r="C11" s="10" t="s">
        <v>68</v>
      </c>
      <c r="D11" s="57"/>
      <c r="E11" s="31">
        <f>'E3 - Invest Amort deferred tax'!F11</f>
        <v>59306.05</v>
      </c>
      <c r="F11" s="56"/>
      <c r="G11" s="16">
        <f t="shared" si="2"/>
        <v>-59306.05</v>
      </c>
      <c r="H11" s="16">
        <f>SUM(G$5:G11)</f>
        <v>1126783.7599999998</v>
      </c>
      <c r="J11" s="10" t="s">
        <v>54</v>
      </c>
      <c r="K11" s="10">
        <f t="shared" ref="K11:K21" si="4">+K10</f>
        <v>2010</v>
      </c>
      <c r="L11" s="10" t="s">
        <v>68</v>
      </c>
      <c r="M11" s="57"/>
      <c r="N11" s="31">
        <f>'E3 - Invest Amort deferred tax'!O11</f>
        <v>0</v>
      </c>
      <c r="O11" s="56"/>
      <c r="P11" s="16">
        <f t="shared" si="0"/>
        <v>0</v>
      </c>
      <c r="Q11" s="16">
        <f>SUM(P$5:P11)</f>
        <v>0</v>
      </c>
      <c r="S11" s="10" t="s">
        <v>54</v>
      </c>
      <c r="T11" s="10">
        <f t="shared" ref="T11:T21" si="5">+T10</f>
        <v>2010</v>
      </c>
      <c r="U11" s="10" t="s">
        <v>68</v>
      </c>
      <c r="V11" s="57"/>
      <c r="W11" s="31">
        <f>'E3 - Invest Amort deferred tax'!X11</f>
        <v>0</v>
      </c>
      <c r="X11" s="56"/>
      <c r="Y11" s="16">
        <f t="shared" si="1"/>
        <v>0</v>
      </c>
      <c r="Z11" s="16">
        <f>SUM(Y$5:Y11)</f>
        <v>0</v>
      </c>
    </row>
    <row r="12" spans="1:26">
      <c r="A12" s="10" t="s">
        <v>55</v>
      </c>
      <c r="B12" s="10">
        <f t="shared" si="3"/>
        <v>2010</v>
      </c>
      <c r="C12" s="10" t="s">
        <v>68</v>
      </c>
      <c r="D12" s="57"/>
      <c r="E12" s="31">
        <f>'E3 - Invest Amort deferred tax'!F12</f>
        <v>71691.8</v>
      </c>
      <c r="F12" s="56"/>
      <c r="G12" s="16">
        <f t="shared" si="2"/>
        <v>-71691.8</v>
      </c>
      <c r="H12" s="16">
        <f>SUM(G$5:G12)</f>
        <v>1055091.9599999997</v>
      </c>
      <c r="J12" s="10" t="s">
        <v>55</v>
      </c>
      <c r="K12" s="10">
        <f t="shared" si="4"/>
        <v>2010</v>
      </c>
      <c r="L12" s="10" t="s">
        <v>68</v>
      </c>
      <c r="M12" s="57"/>
      <c r="N12" s="31">
        <f>'E3 - Invest Amort deferred tax'!O12</f>
        <v>0</v>
      </c>
      <c r="O12" s="56"/>
      <c r="P12" s="16">
        <f t="shared" si="0"/>
        <v>0</v>
      </c>
      <c r="Q12" s="16">
        <f>SUM(P$5:P12)</f>
        <v>0</v>
      </c>
      <c r="S12" s="10" t="s">
        <v>55</v>
      </c>
      <c r="T12" s="10">
        <f t="shared" si="5"/>
        <v>2010</v>
      </c>
      <c r="U12" s="10" t="s">
        <v>68</v>
      </c>
      <c r="V12" s="57"/>
      <c r="W12" s="31">
        <f>'E3 - Invest Amort deferred tax'!X12</f>
        <v>0</v>
      </c>
      <c r="X12" s="56"/>
      <c r="Y12" s="16">
        <f t="shared" si="1"/>
        <v>0</v>
      </c>
      <c r="Z12" s="16">
        <f>SUM(Y$5:Y12)</f>
        <v>0</v>
      </c>
    </row>
    <row r="13" spans="1:26">
      <c r="A13" s="10" t="s">
        <v>56</v>
      </c>
      <c r="B13" s="10">
        <f t="shared" si="3"/>
        <v>2010</v>
      </c>
      <c r="C13" s="10" t="s">
        <v>68</v>
      </c>
      <c r="D13" s="57"/>
      <c r="E13" s="31">
        <f>'E3 - Invest Amort deferred tax'!F13</f>
        <v>97560.43</v>
      </c>
      <c r="F13" s="56"/>
      <c r="G13" s="16">
        <f t="shared" si="2"/>
        <v>-97560.43</v>
      </c>
      <c r="H13" s="16">
        <f>SUM(G$5:G13)</f>
        <v>957531.5299999998</v>
      </c>
      <c r="J13" s="10" t="s">
        <v>56</v>
      </c>
      <c r="K13" s="10">
        <f t="shared" si="4"/>
        <v>2010</v>
      </c>
      <c r="L13" s="10" t="s">
        <v>68</v>
      </c>
      <c r="M13" s="57"/>
      <c r="N13" s="31">
        <f>'E3 - Invest Amort deferred tax'!O13</f>
        <v>0</v>
      </c>
      <c r="O13" s="56"/>
      <c r="P13" s="16">
        <f t="shared" si="0"/>
        <v>0</v>
      </c>
      <c r="Q13" s="16">
        <f>SUM(P$5:P13)</f>
        <v>0</v>
      </c>
      <c r="S13" s="10" t="s">
        <v>56</v>
      </c>
      <c r="T13" s="10">
        <f t="shared" si="5"/>
        <v>2010</v>
      </c>
      <c r="U13" s="10" t="s">
        <v>68</v>
      </c>
      <c r="V13" s="57"/>
      <c r="W13" s="31">
        <v>0</v>
      </c>
      <c r="X13" s="56"/>
      <c r="Y13" s="16">
        <f t="shared" si="1"/>
        <v>0</v>
      </c>
      <c r="Z13" s="16">
        <f>SUM(Y$5:Y13)</f>
        <v>0</v>
      </c>
    </row>
    <row r="14" spans="1:26">
      <c r="A14" s="10" t="s">
        <v>57</v>
      </c>
      <c r="B14" s="10">
        <f t="shared" si="3"/>
        <v>2010</v>
      </c>
      <c r="C14" s="10" t="s">
        <v>68</v>
      </c>
      <c r="D14" s="57"/>
      <c r="E14" s="31">
        <f>'E3 - Invest Amort deferred tax'!F14</f>
        <v>77006.350000000006</v>
      </c>
      <c r="F14" s="56"/>
      <c r="G14" s="16">
        <f t="shared" si="2"/>
        <v>-77006.350000000006</v>
      </c>
      <c r="H14" s="16">
        <f>SUM(G$5:G14)</f>
        <v>880525.17999999982</v>
      </c>
      <c r="J14" s="10" t="s">
        <v>57</v>
      </c>
      <c r="K14" s="10">
        <f t="shared" si="4"/>
        <v>2010</v>
      </c>
      <c r="L14" s="10" t="s">
        <v>68</v>
      </c>
      <c r="M14" s="57"/>
      <c r="N14" s="31">
        <f>'E3 - Invest Amort deferred tax'!O14</f>
        <v>0</v>
      </c>
      <c r="O14" s="56"/>
      <c r="P14" s="16">
        <f t="shared" si="0"/>
        <v>0</v>
      </c>
      <c r="Q14" s="16">
        <f>SUM(P$5:P14)</f>
        <v>0</v>
      </c>
      <c r="S14" s="10" t="s">
        <v>57</v>
      </c>
      <c r="T14" s="10">
        <f t="shared" si="5"/>
        <v>2010</v>
      </c>
      <c r="U14" s="10" t="s">
        <v>68</v>
      </c>
      <c r="V14" s="57"/>
      <c r="W14" s="31">
        <v>0</v>
      </c>
      <c r="X14" s="56"/>
      <c r="Y14" s="16">
        <f t="shared" si="1"/>
        <v>0</v>
      </c>
      <c r="Z14" s="16">
        <f>SUM(Y$5:Y14)</f>
        <v>0</v>
      </c>
    </row>
    <row r="15" spans="1:26">
      <c r="A15" s="10" t="s">
        <v>58</v>
      </c>
      <c r="B15" s="10">
        <f t="shared" si="3"/>
        <v>2010</v>
      </c>
      <c r="C15" s="10" t="s">
        <v>68</v>
      </c>
      <c r="D15" s="57"/>
      <c r="E15" s="31">
        <f>'E3 - Invest Amort deferred tax'!F15</f>
        <v>70901.42</v>
      </c>
      <c r="F15" s="56"/>
      <c r="G15" s="16">
        <f>D15-E15</f>
        <v>-70901.42</v>
      </c>
      <c r="H15" s="16">
        <f>SUM(G$5:G15)</f>
        <v>809623.75999999978</v>
      </c>
      <c r="J15" s="10" t="s">
        <v>58</v>
      </c>
      <c r="K15" s="10">
        <f t="shared" si="4"/>
        <v>2010</v>
      </c>
      <c r="L15" s="10" t="s">
        <v>68</v>
      </c>
      <c r="M15" s="57">
        <v>2000000</v>
      </c>
      <c r="N15" s="31">
        <f>'E3 - Invest Amort deferred tax'!O15</f>
        <v>0</v>
      </c>
      <c r="O15" s="56"/>
      <c r="P15" s="16">
        <f t="shared" si="0"/>
        <v>2000000</v>
      </c>
      <c r="Q15" s="16">
        <f>SUM(P$5:P15)</f>
        <v>2000000</v>
      </c>
      <c r="S15" s="10" t="s">
        <v>58</v>
      </c>
      <c r="T15" s="10">
        <f t="shared" si="5"/>
        <v>2010</v>
      </c>
      <c r="U15" s="10" t="s">
        <v>68</v>
      </c>
      <c r="V15" s="57">
        <v>0</v>
      </c>
      <c r="W15" s="31">
        <v>0</v>
      </c>
      <c r="X15" s="56"/>
      <c r="Y15" s="16">
        <f t="shared" si="1"/>
        <v>0</v>
      </c>
      <c r="Z15" s="16">
        <f>SUM(Y$5:Y15)</f>
        <v>0</v>
      </c>
    </row>
    <row r="16" spans="1:26">
      <c r="A16" s="10" t="s">
        <v>59</v>
      </c>
      <c r="B16" s="10">
        <f t="shared" si="3"/>
        <v>2010</v>
      </c>
      <c r="C16" s="10" t="s">
        <v>68</v>
      </c>
      <c r="D16" s="57"/>
      <c r="E16" s="31">
        <f>'E3 - Invest Amort deferred tax'!F16</f>
        <v>99183.1</v>
      </c>
      <c r="F16" s="56"/>
      <c r="G16" s="16">
        <f>D16-E16</f>
        <v>-99183.1</v>
      </c>
      <c r="H16" s="16">
        <f>SUM(G$5:G16)</f>
        <v>710440.6599999998</v>
      </c>
      <c r="J16" s="10" t="s">
        <v>59</v>
      </c>
      <c r="K16" s="10">
        <f t="shared" si="4"/>
        <v>2010</v>
      </c>
      <c r="L16" s="10" t="s">
        <v>68</v>
      </c>
      <c r="M16" s="57"/>
      <c r="N16" s="31">
        <v>0</v>
      </c>
      <c r="O16" s="56"/>
      <c r="P16" s="16">
        <f t="shared" si="0"/>
        <v>0</v>
      </c>
      <c r="Q16" s="16">
        <f>SUM(P$5:P16)</f>
        <v>2000000</v>
      </c>
      <c r="S16" s="10" t="s">
        <v>59</v>
      </c>
      <c r="T16" s="10">
        <f t="shared" si="5"/>
        <v>2010</v>
      </c>
      <c r="U16" s="10" t="s">
        <v>68</v>
      </c>
      <c r="V16" s="57">
        <v>480000</v>
      </c>
      <c r="W16" s="31">
        <v>0</v>
      </c>
      <c r="X16" s="56"/>
      <c r="Y16" s="16">
        <f t="shared" si="1"/>
        <v>480000</v>
      </c>
      <c r="Z16" s="16">
        <f>SUM(Y$5:Y16)</f>
        <v>480000</v>
      </c>
    </row>
    <row r="17" spans="1:28">
      <c r="A17" s="10" t="s">
        <v>46</v>
      </c>
      <c r="B17" s="10">
        <f t="shared" si="3"/>
        <v>2010</v>
      </c>
      <c r="C17" s="10" t="s">
        <v>68</v>
      </c>
      <c r="D17" s="57"/>
      <c r="E17" s="31">
        <f>'E3 - Invest Amort deferred tax'!F17</f>
        <v>81429.02</v>
      </c>
      <c r="F17" s="56"/>
      <c r="G17" s="16">
        <f t="shared" si="2"/>
        <v>-81429.02</v>
      </c>
      <c r="H17" s="16">
        <f>SUM(G$5:G17)</f>
        <v>629011.63999999978</v>
      </c>
      <c r="J17" s="10" t="s">
        <v>46</v>
      </c>
      <c r="K17" s="10">
        <f t="shared" si="4"/>
        <v>2010</v>
      </c>
      <c r="L17" s="10" t="s">
        <v>68</v>
      </c>
      <c r="M17" s="57">
        <v>2000000</v>
      </c>
      <c r="N17" s="31">
        <f>'E3 - Invest Amort deferred tax'!E17</f>
        <v>539485.41</v>
      </c>
      <c r="O17" s="56"/>
      <c r="P17" s="16">
        <f t="shared" si="0"/>
        <v>1460514.5899999999</v>
      </c>
      <c r="Q17" s="16">
        <f>SUM(P$5:P17)</f>
        <v>3460514.59</v>
      </c>
      <c r="S17" s="10" t="s">
        <v>46</v>
      </c>
      <c r="T17" s="10">
        <f t="shared" si="5"/>
        <v>2010</v>
      </c>
      <c r="U17" s="10" t="s">
        <v>68</v>
      </c>
      <c r="V17" s="57"/>
      <c r="W17" s="31">
        <v>0</v>
      </c>
      <c r="X17" s="56"/>
      <c r="Y17" s="16">
        <f t="shared" si="1"/>
        <v>0</v>
      </c>
      <c r="Z17" s="16">
        <f>SUM(Y$5:Y17)</f>
        <v>480000</v>
      </c>
    </row>
    <row r="18" spans="1:28">
      <c r="A18" s="10" t="s">
        <v>48</v>
      </c>
      <c r="B18" s="10">
        <f t="shared" si="3"/>
        <v>2010</v>
      </c>
      <c r="C18" s="10" t="s">
        <v>68</v>
      </c>
      <c r="D18" s="58"/>
      <c r="E18" s="59">
        <f>'E3 - Invest Amort deferred tax'!F18</f>
        <v>80726.210000000006</v>
      </c>
      <c r="F18" s="60"/>
      <c r="G18" s="25">
        <f t="shared" si="2"/>
        <v>-80726.210000000006</v>
      </c>
      <c r="H18" s="25">
        <f>SUM(G$5:G18)</f>
        <v>548285.42999999982</v>
      </c>
      <c r="J18" s="10" t="s">
        <v>48</v>
      </c>
      <c r="K18" s="10">
        <f t="shared" si="4"/>
        <v>2010</v>
      </c>
      <c r="L18" s="10" t="s">
        <v>68</v>
      </c>
      <c r="M18" s="58">
        <v>0</v>
      </c>
      <c r="N18" s="59">
        <f>'E3 - Invest Amort deferred tax'!E18</f>
        <v>1178315.2</v>
      </c>
      <c r="O18" s="60"/>
      <c r="P18" s="25">
        <f t="shared" si="0"/>
        <v>-1178315.2</v>
      </c>
      <c r="Q18" s="25">
        <f>SUM(P$5:P18)</f>
        <v>2282199.3899999997</v>
      </c>
      <c r="S18" s="10" t="s">
        <v>48</v>
      </c>
      <c r="T18" s="10">
        <f t="shared" si="5"/>
        <v>2010</v>
      </c>
      <c r="U18" s="10" t="s">
        <v>68</v>
      </c>
      <c r="V18" s="58"/>
      <c r="W18" s="31">
        <v>0</v>
      </c>
      <c r="X18" s="60"/>
      <c r="Y18" s="25">
        <f t="shared" si="1"/>
        <v>0</v>
      </c>
      <c r="Z18" s="25">
        <f>SUM(Y$5:Y18)</f>
        <v>480000</v>
      </c>
    </row>
    <row r="19" spans="1:28">
      <c r="A19" s="10" t="s">
        <v>50</v>
      </c>
      <c r="B19" s="10">
        <f t="shared" si="3"/>
        <v>2010</v>
      </c>
      <c r="C19" s="10" t="s">
        <v>68</v>
      </c>
      <c r="D19" s="55"/>
      <c r="E19" s="31">
        <f>'E3 - Invest Amort deferred tax'!F19</f>
        <v>170852.13</v>
      </c>
      <c r="F19" s="56"/>
      <c r="G19" s="16">
        <f t="shared" si="2"/>
        <v>-170852.13</v>
      </c>
      <c r="H19" s="16">
        <f>SUM(G$5:G19)</f>
        <v>377433.29999999981</v>
      </c>
      <c r="J19" s="10" t="s">
        <v>50</v>
      </c>
      <c r="K19" s="10">
        <f t="shared" si="4"/>
        <v>2010</v>
      </c>
      <c r="L19" s="10" t="s">
        <v>68</v>
      </c>
      <c r="M19" s="55"/>
      <c r="N19" s="31">
        <v>0</v>
      </c>
      <c r="O19" s="56"/>
      <c r="P19" s="16">
        <f t="shared" si="0"/>
        <v>0</v>
      </c>
      <c r="Q19" s="16">
        <f>SUM(P$5:P19)</f>
        <v>2282199.3899999997</v>
      </c>
      <c r="S19" s="10" t="s">
        <v>50</v>
      </c>
      <c r="T19" s="10">
        <f t="shared" si="5"/>
        <v>2010</v>
      </c>
      <c r="U19" s="10" t="s">
        <v>68</v>
      </c>
      <c r="V19" s="55"/>
      <c r="W19" s="31">
        <v>0</v>
      </c>
      <c r="X19" s="56"/>
      <c r="Y19" s="16">
        <f t="shared" si="1"/>
        <v>0</v>
      </c>
      <c r="Z19" s="16">
        <f>SUM(Y$5:Y19)</f>
        <v>480000</v>
      </c>
    </row>
    <row r="20" spans="1:28">
      <c r="A20" s="10" t="s">
        <v>51</v>
      </c>
      <c r="B20" s="10">
        <f t="shared" si="3"/>
        <v>2010</v>
      </c>
      <c r="C20" s="10" t="s">
        <v>68</v>
      </c>
      <c r="D20" s="55">
        <v>500000</v>
      </c>
      <c r="E20" s="31">
        <f>'E3 - Invest Amort deferred tax'!F20</f>
        <v>144815.87</v>
      </c>
      <c r="F20" s="56"/>
      <c r="G20" s="16">
        <f t="shared" si="2"/>
        <v>355184.13</v>
      </c>
      <c r="H20" s="16">
        <f>SUM(G$5:G20)</f>
        <v>732617.42999999982</v>
      </c>
      <c r="J20" s="10" t="s">
        <v>51</v>
      </c>
      <c r="K20" s="10">
        <f t="shared" si="4"/>
        <v>2010</v>
      </c>
      <c r="L20" s="10" t="s">
        <v>68</v>
      </c>
      <c r="M20" s="55">
        <v>1000000</v>
      </c>
      <c r="N20" s="31">
        <f>111959.2+97549.24+478664.62+245529.35+228994.51</f>
        <v>1162696.92</v>
      </c>
      <c r="O20" s="56"/>
      <c r="P20" s="16">
        <f t="shared" si="0"/>
        <v>-162696.91999999993</v>
      </c>
      <c r="Q20" s="16">
        <f>SUM(P$5:P20)</f>
        <v>2119502.4699999997</v>
      </c>
      <c r="S20" s="10" t="s">
        <v>51</v>
      </c>
      <c r="T20" s="10">
        <f t="shared" si="5"/>
        <v>2010</v>
      </c>
      <c r="U20" s="10" t="s">
        <v>68</v>
      </c>
      <c r="V20" s="55"/>
      <c r="W20" s="31">
        <v>0</v>
      </c>
      <c r="X20" s="56"/>
      <c r="Y20" s="16">
        <f t="shared" si="1"/>
        <v>0</v>
      </c>
      <c r="Z20" s="16">
        <f>SUM(Y$5:Y20)</f>
        <v>480000</v>
      </c>
    </row>
    <row r="21" spans="1:28">
      <c r="A21" s="10" t="s">
        <v>52</v>
      </c>
      <c r="B21" s="10">
        <f t="shared" si="3"/>
        <v>2010</v>
      </c>
      <c r="C21" s="10" t="s">
        <v>68</v>
      </c>
      <c r="D21" s="55"/>
      <c r="E21" s="31">
        <f>'E3 - Invest Amort deferred tax'!F21</f>
        <v>105217.89000000001</v>
      </c>
      <c r="F21" s="56"/>
      <c r="G21" s="16">
        <f t="shared" si="2"/>
        <v>-105217.89000000001</v>
      </c>
      <c r="H21" s="16">
        <f>SUM(G$5:G21)</f>
        <v>627399.5399999998</v>
      </c>
      <c r="J21" s="10" t="s">
        <v>52</v>
      </c>
      <c r="K21" s="10">
        <f t="shared" si="4"/>
        <v>2010</v>
      </c>
      <c r="L21" s="10" t="s">
        <v>68</v>
      </c>
      <c r="M21" s="55">
        <v>1000000</v>
      </c>
      <c r="N21" s="31">
        <f>1030256.85+5296</f>
        <v>1035552.85</v>
      </c>
      <c r="O21" s="56"/>
      <c r="P21" s="16">
        <f t="shared" si="0"/>
        <v>-35552.849999999977</v>
      </c>
      <c r="Q21" s="16">
        <f>SUM(P$5:P21)</f>
        <v>2083949.6199999996</v>
      </c>
      <c r="S21" s="10" t="s">
        <v>52</v>
      </c>
      <c r="T21" s="10">
        <f t="shared" si="5"/>
        <v>2010</v>
      </c>
      <c r="U21" s="10" t="s">
        <v>68</v>
      </c>
      <c r="V21" s="55"/>
      <c r="W21" s="31">
        <v>144627.34</v>
      </c>
      <c r="X21" s="56"/>
      <c r="Y21" s="16">
        <f t="shared" si="1"/>
        <v>-144627.34</v>
      </c>
      <c r="Z21" s="16">
        <f>SUM(Y$5:Y21)</f>
        <v>335372.66000000003</v>
      </c>
      <c r="AA21" s="1">
        <v>347499.41</v>
      </c>
    </row>
    <row r="22" spans="1:28">
      <c r="A22" s="10" t="s">
        <v>53</v>
      </c>
      <c r="B22" s="10">
        <f>+B21+1</f>
        <v>2011</v>
      </c>
      <c r="C22" s="10" t="s">
        <v>68</v>
      </c>
      <c r="D22" s="55"/>
      <c r="E22" s="31">
        <f>'E3 - Invest Amort deferred tax'!F22</f>
        <v>110339.12000000001</v>
      </c>
      <c r="F22" s="56"/>
      <c r="G22" s="16">
        <f t="shared" si="2"/>
        <v>-110339.12000000001</v>
      </c>
      <c r="H22" s="16">
        <f>SUM(G$5:G22)</f>
        <v>517060.41999999981</v>
      </c>
      <c r="J22" s="10" t="s">
        <v>53</v>
      </c>
      <c r="K22" s="10">
        <f>+K21+1</f>
        <v>2011</v>
      </c>
      <c r="L22" s="10" t="s">
        <v>68</v>
      </c>
      <c r="M22" s="55"/>
      <c r="N22" s="30">
        <v>669020.04</v>
      </c>
      <c r="O22" s="56"/>
      <c r="P22" s="16">
        <f t="shared" si="0"/>
        <v>-669020.04</v>
      </c>
      <c r="Q22" s="16">
        <f>SUM(P$5:P22)</f>
        <v>1414929.5799999996</v>
      </c>
      <c r="S22" s="10" t="s">
        <v>53</v>
      </c>
      <c r="T22" s="10">
        <f>+T21+1</f>
        <v>2011</v>
      </c>
      <c r="U22" s="10" t="s">
        <v>68</v>
      </c>
      <c r="V22" s="55"/>
      <c r="W22" s="31">
        <v>0</v>
      </c>
      <c r="X22" s="56"/>
      <c r="Y22" s="16">
        <f t="shared" si="1"/>
        <v>0</v>
      </c>
      <c r="Z22" s="16">
        <f>SUM(Y$5:Y22)</f>
        <v>335372.66000000003</v>
      </c>
      <c r="AB22" s="2">
        <f>+Z20-AA21</f>
        <v>132500.59000000003</v>
      </c>
    </row>
    <row r="23" spans="1:28">
      <c r="A23" s="10" t="s">
        <v>54</v>
      </c>
      <c r="B23" s="10">
        <f t="shared" ref="B23:B33" si="6">+B22</f>
        <v>2011</v>
      </c>
      <c r="C23" s="10" t="s">
        <v>68</v>
      </c>
      <c r="D23" s="55"/>
      <c r="E23" s="31">
        <f>'E3 - Invest Amort deferred tax'!F23</f>
        <v>105774.1</v>
      </c>
      <c r="F23" s="56"/>
      <c r="G23" s="16">
        <f t="shared" si="2"/>
        <v>-105774.1</v>
      </c>
      <c r="H23" s="16">
        <f>SUM(G$5:G23)</f>
        <v>411286.31999999983</v>
      </c>
      <c r="J23" s="10" t="s">
        <v>54</v>
      </c>
      <c r="K23" s="10">
        <f t="shared" ref="K23:K33" si="7">+K22</f>
        <v>2011</v>
      </c>
      <c r="L23" s="10" t="s">
        <v>68</v>
      </c>
      <c r="M23" s="55"/>
      <c r="N23" s="31">
        <f>'E3 - Invest Amort deferred tax'!E23</f>
        <v>338756.47000000003</v>
      </c>
      <c r="O23" s="56"/>
      <c r="P23" s="16">
        <f t="shared" si="0"/>
        <v>-338756.47000000003</v>
      </c>
      <c r="Q23" s="16">
        <f>SUM(P$5:P23)</f>
        <v>1076173.1099999996</v>
      </c>
      <c r="S23" s="10" t="s">
        <v>54</v>
      </c>
      <c r="T23" s="10">
        <f t="shared" ref="T23:T33" si="8">+T22</f>
        <v>2011</v>
      </c>
      <c r="U23" s="10" t="s">
        <v>68</v>
      </c>
      <c r="V23" s="55"/>
      <c r="W23" s="31">
        <v>0</v>
      </c>
      <c r="X23" s="56"/>
      <c r="Y23" s="16">
        <f t="shared" si="1"/>
        <v>0</v>
      </c>
      <c r="Z23" s="16">
        <f>SUM(Y$5:Y23)</f>
        <v>335372.66000000003</v>
      </c>
    </row>
    <row r="24" spans="1:28">
      <c r="A24" s="10" t="s">
        <v>55</v>
      </c>
      <c r="B24" s="10">
        <f t="shared" si="6"/>
        <v>2011</v>
      </c>
      <c r="C24" s="10" t="s">
        <v>68</v>
      </c>
      <c r="D24" s="55"/>
      <c r="E24" s="31">
        <f>'E3 - Invest Amort deferred tax'!F24</f>
        <v>56892.22</v>
      </c>
      <c r="F24" s="56"/>
      <c r="G24" s="16">
        <f t="shared" si="2"/>
        <v>-56892.22</v>
      </c>
      <c r="H24" s="16">
        <f>SUM(G$5:G24)</f>
        <v>354394.09999999986</v>
      </c>
      <c r="J24" s="10" t="s">
        <v>55</v>
      </c>
      <c r="K24" s="10">
        <f t="shared" si="7"/>
        <v>2011</v>
      </c>
      <c r="L24" s="10" t="s">
        <v>68</v>
      </c>
      <c r="M24" s="55"/>
      <c r="N24" s="31">
        <f>'E3 - Invest Amort deferred tax'!E24</f>
        <v>408133.5</v>
      </c>
      <c r="O24" s="56"/>
      <c r="P24" s="16">
        <f t="shared" si="0"/>
        <v>-408133.5</v>
      </c>
      <c r="Q24" s="16">
        <f>SUM(P$5:P24)</f>
        <v>668039.60999999964</v>
      </c>
      <c r="S24" s="10" t="s">
        <v>55</v>
      </c>
      <c r="T24" s="10">
        <f t="shared" si="8"/>
        <v>2011</v>
      </c>
      <c r="U24" s="10" t="s">
        <v>68</v>
      </c>
      <c r="V24" s="55"/>
      <c r="W24" s="31">
        <v>0</v>
      </c>
      <c r="X24" s="56"/>
      <c r="Y24" s="16">
        <f t="shared" si="1"/>
        <v>0</v>
      </c>
      <c r="Z24" s="16">
        <f>SUM(Y$5:Y24)</f>
        <v>335372.66000000003</v>
      </c>
    </row>
    <row r="25" spans="1:28">
      <c r="A25" s="10" t="s">
        <v>56</v>
      </c>
      <c r="B25" s="10">
        <f t="shared" si="6"/>
        <v>2011</v>
      </c>
      <c r="C25" s="10" t="s">
        <v>68</v>
      </c>
      <c r="D25" s="55"/>
      <c r="E25" s="31">
        <f>'E3 - Invest Amort deferred tax'!F25</f>
        <v>55915.17</v>
      </c>
      <c r="F25" s="56"/>
      <c r="G25" s="16">
        <f t="shared" si="2"/>
        <v>-55915.17</v>
      </c>
      <c r="H25" s="16">
        <f>SUM(G$5:G25)</f>
        <v>298478.92999999988</v>
      </c>
      <c r="J25" s="10" t="s">
        <v>56</v>
      </c>
      <c r="K25" s="10">
        <f t="shared" si="7"/>
        <v>2011</v>
      </c>
      <c r="L25" s="10" t="s">
        <v>68</v>
      </c>
      <c r="M25" s="55"/>
      <c r="N25" s="31">
        <f>'E3 - Invest Amort deferred tax'!E25</f>
        <v>244749.88</v>
      </c>
      <c r="O25" s="56"/>
      <c r="P25" s="16">
        <f t="shared" si="0"/>
        <v>-244749.88</v>
      </c>
      <c r="Q25" s="16">
        <f>SUM(P$5:P25)</f>
        <v>423289.72999999963</v>
      </c>
      <c r="S25" s="10" t="s">
        <v>56</v>
      </c>
      <c r="T25" s="10">
        <f t="shared" si="8"/>
        <v>2011</v>
      </c>
      <c r="U25" s="10" t="s">
        <v>68</v>
      </c>
      <c r="V25" s="55"/>
      <c r="W25" s="31">
        <v>0</v>
      </c>
      <c r="X25" s="56"/>
      <c r="Y25" s="16">
        <f t="shared" si="1"/>
        <v>0</v>
      </c>
      <c r="Z25" s="16">
        <f>SUM(Y$5:Y25)</f>
        <v>335372.66000000003</v>
      </c>
    </row>
    <row r="26" spans="1:28">
      <c r="A26" s="10" t="s">
        <v>57</v>
      </c>
      <c r="B26" s="10">
        <f t="shared" si="6"/>
        <v>2011</v>
      </c>
      <c r="C26" s="10" t="s">
        <v>68</v>
      </c>
      <c r="D26" s="55"/>
      <c r="E26" s="31">
        <f>'E3 - Invest Amort deferred tax'!F26</f>
        <v>14898.04</v>
      </c>
      <c r="F26" s="56"/>
      <c r="G26" s="16">
        <f t="shared" si="2"/>
        <v>-14898.04</v>
      </c>
      <c r="H26" s="16">
        <f>SUM(G$5:G26)</f>
        <v>283580.8899999999</v>
      </c>
      <c r="I26" s="21"/>
      <c r="J26" s="10" t="s">
        <v>57</v>
      </c>
      <c r="K26" s="10">
        <f t="shared" si="7"/>
        <v>2011</v>
      </c>
      <c r="L26" s="10" t="s">
        <v>68</v>
      </c>
      <c r="M26" s="55"/>
      <c r="N26" s="31">
        <f>'E3 - Invest Amort deferred tax'!E26</f>
        <v>147720.5</v>
      </c>
      <c r="O26" s="56"/>
      <c r="P26" s="16">
        <f t="shared" si="0"/>
        <v>-147720.5</v>
      </c>
      <c r="Q26" s="16">
        <f>SUM(P$5:P26)</f>
        <v>275569.22999999963</v>
      </c>
      <c r="S26" s="10" t="s">
        <v>57</v>
      </c>
      <c r="T26" s="10">
        <f t="shared" si="8"/>
        <v>2011</v>
      </c>
      <c r="U26" s="10" t="s">
        <v>68</v>
      </c>
      <c r="V26" s="55"/>
      <c r="W26" s="61">
        <v>132283.35999999999</v>
      </c>
      <c r="X26" s="56"/>
      <c r="Y26" s="16">
        <f t="shared" si="1"/>
        <v>-132283.35999999999</v>
      </c>
      <c r="Z26" s="16">
        <f>SUM(Y$5:Y26)</f>
        <v>203089.30000000005</v>
      </c>
      <c r="AA26" s="21">
        <v>454622.79</v>
      </c>
    </row>
    <row r="27" spans="1:28">
      <c r="A27" s="10" t="s">
        <v>58</v>
      </c>
      <c r="B27" s="10">
        <f t="shared" si="6"/>
        <v>2011</v>
      </c>
      <c r="C27" s="10" t="s">
        <v>68</v>
      </c>
      <c r="D27" s="55">
        <v>-266211.57</v>
      </c>
      <c r="E27" s="31">
        <f>'E3 - Invest Amort deferred tax'!F27</f>
        <v>17369.32</v>
      </c>
      <c r="F27" s="56"/>
      <c r="G27" s="16">
        <f t="shared" si="2"/>
        <v>-283580.89</v>
      </c>
      <c r="H27" s="16">
        <f>SUM(G$5:G27)</f>
        <v>0</v>
      </c>
      <c r="J27" s="10" t="s">
        <v>58</v>
      </c>
      <c r="K27" s="10">
        <f t="shared" si="7"/>
        <v>2011</v>
      </c>
      <c r="L27" s="10" t="s">
        <v>68</v>
      </c>
      <c r="M27" s="55"/>
      <c r="N27" s="31">
        <f>'E3 - Invest Amort deferred tax'!E27</f>
        <v>102448.5</v>
      </c>
      <c r="O27" s="56"/>
      <c r="P27" s="16">
        <f t="shared" si="0"/>
        <v>-102448.5</v>
      </c>
      <c r="Q27" s="16">
        <f>SUM(P$5:P27)</f>
        <v>173120.72999999963</v>
      </c>
      <c r="S27" s="10" t="s">
        <v>58</v>
      </c>
      <c r="T27" s="10">
        <f t="shared" si="8"/>
        <v>2011</v>
      </c>
      <c r="U27" s="10" t="s">
        <v>68</v>
      </c>
      <c r="V27" s="55"/>
      <c r="W27" s="61">
        <v>176629.07</v>
      </c>
      <c r="X27" s="56"/>
      <c r="Y27" s="16">
        <f t="shared" si="1"/>
        <v>-176629.07</v>
      </c>
      <c r="Z27" s="16">
        <f>SUM(Y$5:Y27)</f>
        <v>26460.23000000004</v>
      </c>
      <c r="AA27" s="21">
        <f>+V16-AA26</f>
        <v>25377.210000000021</v>
      </c>
    </row>
    <row r="28" spans="1:28">
      <c r="A28" s="10" t="s">
        <v>59</v>
      </c>
      <c r="B28" s="10">
        <f t="shared" si="6"/>
        <v>2011</v>
      </c>
      <c r="C28" s="10" t="s">
        <v>68</v>
      </c>
      <c r="D28" s="55"/>
      <c r="E28" s="31">
        <f>'E3 - Invest Amort deferred tax'!F28</f>
        <v>0</v>
      </c>
      <c r="F28" s="56"/>
      <c r="G28" s="16">
        <f t="shared" si="2"/>
        <v>0</v>
      </c>
      <c r="H28" s="16">
        <f>SUM(G$5:G28)</f>
        <v>-1.1641532182693481E-10</v>
      </c>
      <c r="J28" s="10" t="s">
        <v>59</v>
      </c>
      <c r="K28" s="10">
        <f t="shared" si="7"/>
        <v>2011</v>
      </c>
      <c r="L28" s="10" t="s">
        <v>68</v>
      </c>
      <c r="M28" s="55"/>
      <c r="N28" s="31">
        <f>'E3 - Invest Amort deferred tax'!O28</f>
        <v>0</v>
      </c>
      <c r="O28" s="56"/>
      <c r="P28" s="16">
        <f t="shared" si="0"/>
        <v>0</v>
      </c>
      <c r="Q28" s="16">
        <f>SUM(P$5:P28)</f>
        <v>173120.72999999963</v>
      </c>
      <c r="S28" s="10" t="s">
        <v>59</v>
      </c>
      <c r="T28" s="10">
        <f t="shared" si="8"/>
        <v>2011</v>
      </c>
      <c r="U28" s="10" t="s">
        <v>68</v>
      </c>
      <c r="V28" s="55">
        <f>-Z27</f>
        <v>-26460.23000000004</v>
      </c>
      <c r="W28" s="31">
        <v>0</v>
      </c>
      <c r="X28" s="56"/>
      <c r="Y28" s="16">
        <f t="shared" si="1"/>
        <v>-26460.23000000004</v>
      </c>
      <c r="Z28" s="16">
        <f>SUM(Y$5:Y28)</f>
        <v>0</v>
      </c>
    </row>
    <row r="29" spans="1:28">
      <c r="A29" s="10" t="s">
        <v>46</v>
      </c>
      <c r="B29" s="10">
        <f t="shared" si="6"/>
        <v>2011</v>
      </c>
      <c r="C29" s="10" t="s">
        <v>68</v>
      </c>
      <c r="D29" s="55"/>
      <c r="E29" s="31">
        <f>'E3 - Invest Amort deferred tax'!F29</f>
        <v>0</v>
      </c>
      <c r="F29" s="56"/>
      <c r="G29" s="16">
        <f t="shared" si="2"/>
        <v>0</v>
      </c>
      <c r="H29" s="16">
        <f>SUM(G$5:G29)</f>
        <v>-1.1641532182693481E-10</v>
      </c>
      <c r="J29" s="10" t="s">
        <v>46</v>
      </c>
      <c r="K29" s="10">
        <f t="shared" si="7"/>
        <v>2011</v>
      </c>
      <c r="L29" s="10" t="s">
        <v>68</v>
      </c>
      <c r="M29" s="55">
        <f>-Q28</f>
        <v>-173120.72999999963</v>
      </c>
      <c r="N29" s="31">
        <f>'E3 - Invest Amort deferred tax'!O29</f>
        <v>0</v>
      </c>
      <c r="O29" s="56"/>
      <c r="P29" s="16"/>
      <c r="Q29" s="16">
        <v>173121</v>
      </c>
      <c r="S29" s="10" t="s">
        <v>46</v>
      </c>
      <c r="T29" s="10">
        <f t="shared" si="8"/>
        <v>2011</v>
      </c>
      <c r="U29" s="10" t="s">
        <v>68</v>
      </c>
      <c r="V29" s="55"/>
      <c r="W29" s="31">
        <v>0</v>
      </c>
      <c r="X29" s="56"/>
      <c r="Y29" s="16">
        <f t="shared" si="1"/>
        <v>0</v>
      </c>
      <c r="Z29" s="16">
        <f>SUM(Y$5:Y29)</f>
        <v>0</v>
      </c>
    </row>
    <row r="30" spans="1:28">
      <c r="A30" s="10" t="s">
        <v>48</v>
      </c>
      <c r="B30" s="10">
        <f t="shared" si="6"/>
        <v>2011</v>
      </c>
      <c r="C30" s="10" t="s">
        <v>68</v>
      </c>
      <c r="D30" s="58"/>
      <c r="E30" s="59">
        <f>'E3 - Invest Amort deferred tax'!F30</f>
        <v>0</v>
      </c>
      <c r="F30" s="60"/>
      <c r="G30" s="25">
        <f t="shared" si="2"/>
        <v>0</v>
      </c>
      <c r="H30" s="25">
        <f>SUM(G$5:G30)</f>
        <v>-1.1641532182693481E-10</v>
      </c>
      <c r="J30" s="10" t="s">
        <v>48</v>
      </c>
      <c r="K30" s="10">
        <f t="shared" si="7"/>
        <v>2011</v>
      </c>
      <c r="L30" s="10" t="s">
        <v>68</v>
      </c>
      <c r="M30" s="58"/>
      <c r="N30" s="59">
        <f>'E3 - Invest Amort deferred tax'!O30</f>
        <v>0</v>
      </c>
      <c r="O30" s="60"/>
      <c r="P30" s="25">
        <v>-173121</v>
      </c>
      <c r="Q30" s="25">
        <f>SUM(P$5:P30)</f>
        <v>-0.27000000036787242</v>
      </c>
      <c r="S30" s="10" t="s">
        <v>48</v>
      </c>
      <c r="T30" s="10">
        <f t="shared" si="8"/>
        <v>2011</v>
      </c>
      <c r="U30" s="10" t="s">
        <v>68</v>
      </c>
      <c r="V30" s="58"/>
      <c r="W30" s="31">
        <v>0</v>
      </c>
      <c r="X30" s="60"/>
      <c r="Y30" s="25">
        <f t="shared" si="1"/>
        <v>0</v>
      </c>
      <c r="Z30" s="25">
        <f>SUM(Y$5:Y30)</f>
        <v>0</v>
      </c>
    </row>
    <row r="31" spans="1:28">
      <c r="A31" s="10" t="s">
        <v>50</v>
      </c>
      <c r="B31" s="10">
        <f t="shared" si="6"/>
        <v>2011</v>
      </c>
      <c r="C31" s="10" t="s">
        <v>68</v>
      </c>
      <c r="D31" s="55"/>
      <c r="E31" s="31">
        <f>'E3 - Invest Amort deferred tax'!F31</f>
        <v>0</v>
      </c>
      <c r="F31" s="56"/>
      <c r="G31" s="16">
        <f t="shared" si="2"/>
        <v>0</v>
      </c>
      <c r="H31" s="16">
        <f>SUM(G$5:G31)</f>
        <v>-1.1641532182693481E-10</v>
      </c>
      <c r="J31" s="10" t="s">
        <v>50</v>
      </c>
      <c r="K31" s="10">
        <f t="shared" si="7"/>
        <v>2011</v>
      </c>
      <c r="L31" s="10" t="s">
        <v>68</v>
      </c>
      <c r="M31" s="55"/>
      <c r="N31" s="31">
        <f>'E3 - Invest Amort deferred tax'!O31</f>
        <v>0</v>
      </c>
      <c r="O31" s="56"/>
      <c r="P31" s="16">
        <f t="shared" si="0"/>
        <v>0</v>
      </c>
      <c r="Q31" s="16">
        <f>SUM(P$5:P31)</f>
        <v>-0.27000000036787242</v>
      </c>
      <c r="S31" s="10" t="s">
        <v>50</v>
      </c>
      <c r="T31" s="10">
        <f t="shared" si="8"/>
        <v>2011</v>
      </c>
      <c r="U31" s="10" t="s">
        <v>68</v>
      </c>
      <c r="V31" s="55"/>
      <c r="W31" s="31">
        <v>0</v>
      </c>
      <c r="X31" s="56"/>
      <c r="Y31" s="16">
        <f t="shared" si="1"/>
        <v>0</v>
      </c>
      <c r="Z31" s="16">
        <f>SUM(Y$5:Y31)</f>
        <v>0</v>
      </c>
    </row>
    <row r="32" spans="1:28">
      <c r="A32" s="10" t="s">
        <v>51</v>
      </c>
      <c r="B32" s="10">
        <f t="shared" si="6"/>
        <v>2011</v>
      </c>
      <c r="C32" s="10" t="s">
        <v>68</v>
      </c>
      <c r="D32" s="55"/>
      <c r="E32" s="31">
        <f>'E3 - Invest Amort deferred tax'!F32</f>
        <v>0</v>
      </c>
      <c r="F32" s="56"/>
      <c r="G32" s="16">
        <f t="shared" si="2"/>
        <v>0</v>
      </c>
      <c r="H32" s="16">
        <f>SUM(G$5:G32)</f>
        <v>-1.1641532182693481E-10</v>
      </c>
      <c r="J32" s="10" t="s">
        <v>51</v>
      </c>
      <c r="K32" s="10">
        <f t="shared" si="7"/>
        <v>2011</v>
      </c>
      <c r="L32" s="10" t="s">
        <v>68</v>
      </c>
      <c r="M32" s="55"/>
      <c r="N32" s="31">
        <f>'E3 - Invest Amort deferred tax'!O32</f>
        <v>0</v>
      </c>
      <c r="O32" s="56"/>
      <c r="P32" s="16">
        <f t="shared" si="0"/>
        <v>0</v>
      </c>
      <c r="Q32" s="16">
        <f>SUM(P$5:P32)</f>
        <v>-0.27000000036787242</v>
      </c>
      <c r="S32" s="10" t="s">
        <v>51</v>
      </c>
      <c r="T32" s="10">
        <f t="shared" si="8"/>
        <v>2011</v>
      </c>
      <c r="U32" s="10" t="s">
        <v>68</v>
      </c>
      <c r="V32" s="55"/>
      <c r="W32" s="31">
        <v>0</v>
      </c>
      <c r="X32" s="56"/>
      <c r="Y32" s="16">
        <f t="shared" si="1"/>
        <v>0</v>
      </c>
      <c r="Z32" s="16">
        <f>SUM(Y$5:Y32)</f>
        <v>0</v>
      </c>
    </row>
    <row r="33" spans="1:26">
      <c r="A33" s="10" t="s">
        <v>52</v>
      </c>
      <c r="B33" s="10">
        <f t="shared" si="6"/>
        <v>2011</v>
      </c>
      <c r="C33" s="10" t="s">
        <v>68</v>
      </c>
      <c r="D33" s="55"/>
      <c r="E33" s="31">
        <f>'E3 - Invest Amort deferred tax'!F33</f>
        <v>0</v>
      </c>
      <c r="F33" s="56"/>
      <c r="G33" s="16">
        <f t="shared" si="2"/>
        <v>0</v>
      </c>
      <c r="H33" s="16">
        <f>SUM(G$5:G33)</f>
        <v>-1.1641532182693481E-10</v>
      </c>
      <c r="J33" s="10" t="s">
        <v>52</v>
      </c>
      <c r="K33" s="10">
        <f t="shared" si="7"/>
        <v>2011</v>
      </c>
      <c r="L33" s="10" t="s">
        <v>68</v>
      </c>
      <c r="M33" s="55"/>
      <c r="N33" s="31">
        <f>'E3 - Invest Amort deferred tax'!O33</f>
        <v>0</v>
      </c>
      <c r="O33" s="56"/>
      <c r="P33" s="16">
        <f t="shared" si="0"/>
        <v>0</v>
      </c>
      <c r="Q33" s="16">
        <f>SUM(P$5:P33)</f>
        <v>-0.27000000036787242</v>
      </c>
      <c r="S33" s="10" t="s">
        <v>52</v>
      </c>
      <c r="T33" s="10">
        <f t="shared" si="8"/>
        <v>2011</v>
      </c>
      <c r="U33" s="10" t="s">
        <v>68</v>
      </c>
      <c r="V33" s="55"/>
      <c r="W33" s="31">
        <v>0</v>
      </c>
      <c r="X33" s="56"/>
      <c r="Y33" s="16">
        <f t="shared" si="1"/>
        <v>0</v>
      </c>
      <c r="Z33" s="16">
        <f>SUM(Y$5:Y33)</f>
        <v>0</v>
      </c>
    </row>
    <row r="34" spans="1:26">
      <c r="A34" s="10" t="s">
        <v>53</v>
      </c>
      <c r="B34" s="10">
        <f>+B33+1</f>
        <v>2012</v>
      </c>
      <c r="C34" s="10" t="s">
        <v>68</v>
      </c>
      <c r="D34" s="55"/>
      <c r="E34" s="31">
        <f>'E3 - Invest Amort deferred tax'!F34</f>
        <v>0</v>
      </c>
      <c r="F34" s="56"/>
      <c r="G34" s="16">
        <f t="shared" si="2"/>
        <v>0</v>
      </c>
      <c r="H34" s="16">
        <f>SUM(G$5:G34)</f>
        <v>-1.1641532182693481E-10</v>
      </c>
      <c r="J34" s="10" t="s">
        <v>53</v>
      </c>
      <c r="K34" s="10">
        <f>+K33+1</f>
        <v>2012</v>
      </c>
      <c r="L34" s="10" t="s">
        <v>68</v>
      </c>
      <c r="M34" s="55"/>
      <c r="N34" s="31">
        <f>'E3 - Invest Amort deferred tax'!O34</f>
        <v>0</v>
      </c>
      <c r="O34" s="56"/>
      <c r="P34" s="16">
        <f t="shared" si="0"/>
        <v>0</v>
      </c>
      <c r="Q34" s="16">
        <f>SUM(P$5:P34)</f>
        <v>-0.27000000036787242</v>
      </c>
      <c r="S34" s="10" t="s">
        <v>53</v>
      </c>
      <c r="T34" s="10">
        <f>+T33+1</f>
        <v>2012</v>
      </c>
      <c r="U34" s="10" t="s">
        <v>68</v>
      </c>
      <c r="V34" s="55"/>
      <c r="W34" s="31">
        <v>0</v>
      </c>
      <c r="X34" s="56"/>
      <c r="Y34" s="16">
        <f t="shared" si="1"/>
        <v>0</v>
      </c>
      <c r="Z34" s="16">
        <f>SUM(Y$5:Y34)</f>
        <v>0</v>
      </c>
    </row>
    <row r="35" spans="1:26">
      <c r="A35" s="10" t="s">
        <v>54</v>
      </c>
      <c r="B35" s="10">
        <f t="shared" ref="B35:B45" si="9">+B34</f>
        <v>2012</v>
      </c>
      <c r="C35" s="10" t="s">
        <v>68</v>
      </c>
      <c r="D35" s="55"/>
      <c r="E35" s="31">
        <f>'E3 - Invest Amort deferred tax'!F35</f>
        <v>0</v>
      </c>
      <c r="F35" s="56"/>
      <c r="G35" s="16">
        <f t="shared" si="2"/>
        <v>0</v>
      </c>
      <c r="H35" s="16">
        <f>SUM(G$5:G35)</f>
        <v>-1.1641532182693481E-10</v>
      </c>
      <c r="J35" s="10" t="s">
        <v>54</v>
      </c>
      <c r="K35" s="10">
        <f t="shared" ref="K35:K45" si="10">+K34</f>
        <v>2012</v>
      </c>
      <c r="L35" s="10" t="s">
        <v>68</v>
      </c>
      <c r="M35" s="55"/>
      <c r="N35" s="31">
        <f>'E3 - Invest Amort deferred tax'!O35</f>
        <v>0</v>
      </c>
      <c r="O35" s="56"/>
      <c r="P35" s="16">
        <f t="shared" si="0"/>
        <v>0</v>
      </c>
      <c r="Q35" s="16">
        <f>SUM(P$5:P35)</f>
        <v>-0.27000000036787242</v>
      </c>
      <c r="S35" s="10" t="s">
        <v>54</v>
      </c>
      <c r="T35" s="10">
        <f t="shared" ref="T35:T45" si="11">+T34</f>
        <v>2012</v>
      </c>
      <c r="U35" s="10" t="s">
        <v>68</v>
      </c>
      <c r="V35" s="55"/>
      <c r="W35" s="31">
        <v>0</v>
      </c>
      <c r="X35" s="56"/>
      <c r="Y35" s="16">
        <f t="shared" si="1"/>
        <v>0</v>
      </c>
      <c r="Z35" s="16">
        <f>SUM(Y$5:Y35)</f>
        <v>0</v>
      </c>
    </row>
    <row r="36" spans="1:26">
      <c r="A36" s="10" t="s">
        <v>55</v>
      </c>
      <c r="B36" s="10">
        <f t="shared" si="9"/>
        <v>2012</v>
      </c>
      <c r="C36" s="10" t="s">
        <v>68</v>
      </c>
      <c r="D36" s="55"/>
      <c r="E36" s="31">
        <f>'E3 - Invest Amort deferred tax'!F36</f>
        <v>0</v>
      </c>
      <c r="F36" s="56"/>
      <c r="G36" s="16">
        <f t="shared" si="2"/>
        <v>0</v>
      </c>
      <c r="H36" s="16">
        <f>SUM(G$5:G36)</f>
        <v>-1.1641532182693481E-10</v>
      </c>
      <c r="J36" s="10" t="s">
        <v>55</v>
      </c>
      <c r="K36" s="10">
        <f t="shared" si="10"/>
        <v>2012</v>
      </c>
      <c r="L36" s="10" t="s">
        <v>68</v>
      </c>
      <c r="M36" s="55"/>
      <c r="N36" s="31">
        <f>'E3 - Invest Amort deferred tax'!O36</f>
        <v>0</v>
      </c>
      <c r="O36" s="56"/>
      <c r="P36" s="16">
        <f t="shared" si="0"/>
        <v>0</v>
      </c>
      <c r="Q36" s="16">
        <f>SUM(P$5:P36)</f>
        <v>-0.27000000036787242</v>
      </c>
      <c r="S36" s="10" t="s">
        <v>55</v>
      </c>
      <c r="T36" s="10">
        <f t="shared" si="11"/>
        <v>2012</v>
      </c>
      <c r="U36" s="10" t="s">
        <v>68</v>
      </c>
      <c r="V36" s="55"/>
      <c r="W36" s="31">
        <v>0</v>
      </c>
      <c r="X36" s="56"/>
      <c r="Y36" s="16">
        <f t="shared" si="1"/>
        <v>0</v>
      </c>
      <c r="Z36" s="16">
        <f>SUM(Y$5:Y36)</f>
        <v>0</v>
      </c>
    </row>
    <row r="37" spans="1:26">
      <c r="A37" s="10" t="s">
        <v>56</v>
      </c>
      <c r="B37" s="10">
        <f t="shared" si="9"/>
        <v>2012</v>
      </c>
      <c r="C37" s="10" t="s">
        <v>68</v>
      </c>
      <c r="D37" s="55"/>
      <c r="E37" s="31">
        <f>'E3 - Invest Amort deferred tax'!F37</f>
        <v>0</v>
      </c>
      <c r="F37" s="56"/>
      <c r="G37" s="16">
        <f t="shared" si="2"/>
        <v>0</v>
      </c>
      <c r="H37" s="16">
        <f>SUM(G$5:G37)</f>
        <v>-1.1641532182693481E-10</v>
      </c>
      <c r="J37" s="10" t="s">
        <v>56</v>
      </c>
      <c r="K37" s="10">
        <f t="shared" si="10"/>
        <v>2012</v>
      </c>
      <c r="L37" s="10" t="s">
        <v>68</v>
      </c>
      <c r="M37" s="55"/>
      <c r="N37" s="31">
        <f>'E3 - Invest Amort deferred tax'!O37</f>
        <v>0</v>
      </c>
      <c r="O37" s="56"/>
      <c r="P37" s="16">
        <f t="shared" si="0"/>
        <v>0</v>
      </c>
      <c r="Q37" s="16">
        <f>SUM(P$5:P37)</f>
        <v>-0.27000000036787242</v>
      </c>
      <c r="S37" s="10" t="s">
        <v>56</v>
      </c>
      <c r="T37" s="10">
        <f t="shared" si="11"/>
        <v>2012</v>
      </c>
      <c r="U37" s="10" t="s">
        <v>68</v>
      </c>
      <c r="V37" s="55"/>
      <c r="W37" s="31">
        <v>0</v>
      </c>
      <c r="X37" s="56"/>
      <c r="Y37" s="16">
        <f t="shared" si="1"/>
        <v>0</v>
      </c>
      <c r="Z37" s="16">
        <f>SUM(Y$5:Y37)</f>
        <v>0</v>
      </c>
    </row>
    <row r="38" spans="1:26">
      <c r="A38" s="10" t="s">
        <v>57</v>
      </c>
      <c r="B38" s="10">
        <f t="shared" si="9"/>
        <v>2012</v>
      </c>
      <c r="C38" s="10" t="s">
        <v>68</v>
      </c>
      <c r="D38" s="55"/>
      <c r="E38" s="31">
        <f>'E3 - Invest Amort deferred tax'!F38</f>
        <v>0</v>
      </c>
      <c r="F38" s="56"/>
      <c r="G38" s="16">
        <f t="shared" si="2"/>
        <v>0</v>
      </c>
      <c r="H38" s="16">
        <f>SUM(G$5:G38)</f>
        <v>-1.1641532182693481E-10</v>
      </c>
      <c r="J38" s="10" t="s">
        <v>57</v>
      </c>
      <c r="K38" s="10">
        <f t="shared" si="10"/>
        <v>2012</v>
      </c>
      <c r="L38" s="10" t="s">
        <v>68</v>
      </c>
      <c r="M38" s="55"/>
      <c r="N38" s="31">
        <f>'E3 - Invest Amort deferred tax'!O38</f>
        <v>0</v>
      </c>
      <c r="O38" s="56"/>
      <c r="P38" s="16">
        <f t="shared" si="0"/>
        <v>0</v>
      </c>
      <c r="Q38" s="16">
        <f>SUM(P$5:P38)</f>
        <v>-0.27000000036787242</v>
      </c>
      <c r="S38" s="10" t="s">
        <v>57</v>
      </c>
      <c r="T38" s="10">
        <f t="shared" si="11"/>
        <v>2012</v>
      </c>
      <c r="U38" s="10" t="s">
        <v>68</v>
      </c>
      <c r="V38" s="55"/>
      <c r="W38" s="31">
        <v>0</v>
      </c>
      <c r="X38" s="56"/>
      <c r="Y38" s="16">
        <f t="shared" si="1"/>
        <v>0</v>
      </c>
      <c r="Z38" s="16">
        <f>SUM(Y$5:Y38)</f>
        <v>0</v>
      </c>
    </row>
    <row r="39" spans="1:26">
      <c r="A39" s="10" t="s">
        <v>58</v>
      </c>
      <c r="B39" s="10">
        <f t="shared" si="9"/>
        <v>2012</v>
      </c>
      <c r="C39" s="10" t="s">
        <v>68</v>
      </c>
      <c r="D39" s="55"/>
      <c r="E39" s="31">
        <f>'E3 - Invest Amort deferred tax'!F39</f>
        <v>0</v>
      </c>
      <c r="F39" s="56"/>
      <c r="G39" s="16">
        <f t="shared" si="2"/>
        <v>0</v>
      </c>
      <c r="H39" s="16">
        <f>SUM(G$5:G39)</f>
        <v>-1.1641532182693481E-10</v>
      </c>
      <c r="J39" s="10" t="s">
        <v>58</v>
      </c>
      <c r="K39" s="10">
        <f t="shared" si="10"/>
        <v>2012</v>
      </c>
      <c r="L39" s="10" t="s">
        <v>68</v>
      </c>
      <c r="M39" s="55"/>
      <c r="N39" s="31">
        <f>'E3 - Invest Amort deferred tax'!O39</f>
        <v>0</v>
      </c>
      <c r="O39" s="56"/>
      <c r="P39" s="16">
        <f t="shared" si="0"/>
        <v>0</v>
      </c>
      <c r="Q39" s="16">
        <f>SUM(P$5:P39)</f>
        <v>-0.27000000036787242</v>
      </c>
      <c r="S39" s="10" t="s">
        <v>58</v>
      </c>
      <c r="T39" s="10">
        <f t="shared" si="11"/>
        <v>2012</v>
      </c>
      <c r="U39" s="10" t="s">
        <v>68</v>
      </c>
      <c r="V39" s="55"/>
      <c r="W39" s="31">
        <v>0</v>
      </c>
      <c r="X39" s="56"/>
      <c r="Y39" s="16">
        <f t="shared" si="1"/>
        <v>0</v>
      </c>
      <c r="Z39" s="16">
        <f>SUM(Y$5:Y39)</f>
        <v>0</v>
      </c>
    </row>
    <row r="40" spans="1:26">
      <c r="A40" s="10" t="s">
        <v>59</v>
      </c>
      <c r="B40" s="10">
        <f t="shared" si="9"/>
        <v>2012</v>
      </c>
      <c r="C40" s="10" t="s">
        <v>68</v>
      </c>
      <c r="D40" s="55"/>
      <c r="E40" s="31">
        <f>'E3 - Invest Amort deferred tax'!F40</f>
        <v>0</v>
      </c>
      <c r="F40" s="56"/>
      <c r="G40" s="16">
        <f t="shared" si="2"/>
        <v>0</v>
      </c>
      <c r="H40" s="16">
        <f>SUM(G$5:G40)</f>
        <v>-1.1641532182693481E-10</v>
      </c>
      <c r="J40" s="10" t="s">
        <v>59</v>
      </c>
      <c r="K40" s="10">
        <f t="shared" si="10"/>
        <v>2012</v>
      </c>
      <c r="L40" s="10" t="s">
        <v>68</v>
      </c>
      <c r="M40" s="55"/>
      <c r="N40" s="31">
        <f>'E3 - Invest Amort deferred tax'!O40</f>
        <v>0</v>
      </c>
      <c r="O40" s="56"/>
      <c r="P40" s="16">
        <f t="shared" si="0"/>
        <v>0</v>
      </c>
      <c r="Q40" s="16">
        <f>SUM(P$5:P40)</f>
        <v>-0.27000000036787242</v>
      </c>
      <c r="S40" s="10" t="s">
        <v>59</v>
      </c>
      <c r="T40" s="10">
        <f t="shared" si="11"/>
        <v>2012</v>
      </c>
      <c r="U40" s="10" t="s">
        <v>68</v>
      </c>
      <c r="V40" s="55"/>
      <c r="W40" s="31">
        <v>0</v>
      </c>
      <c r="X40" s="56"/>
      <c r="Y40" s="16">
        <f t="shared" si="1"/>
        <v>0</v>
      </c>
      <c r="Z40" s="16">
        <f>SUM(Y$5:Y40)</f>
        <v>0</v>
      </c>
    </row>
    <row r="41" spans="1:26">
      <c r="A41" s="10" t="s">
        <v>46</v>
      </c>
      <c r="B41" s="10">
        <f t="shared" si="9"/>
        <v>2012</v>
      </c>
      <c r="C41" s="10" t="s">
        <v>68</v>
      </c>
      <c r="D41" s="55"/>
      <c r="E41" s="31">
        <f>'E3 - Invest Amort deferred tax'!F41</f>
        <v>0</v>
      </c>
      <c r="F41" s="56"/>
      <c r="G41" s="16">
        <f t="shared" si="2"/>
        <v>0</v>
      </c>
      <c r="H41" s="16">
        <f>SUM(G$5:G41)</f>
        <v>-1.1641532182693481E-10</v>
      </c>
      <c r="J41" s="10" t="s">
        <v>46</v>
      </c>
      <c r="K41" s="10">
        <f t="shared" si="10"/>
        <v>2012</v>
      </c>
      <c r="L41" s="10" t="s">
        <v>68</v>
      </c>
      <c r="M41" s="55"/>
      <c r="N41" s="31">
        <f>'E3 - Invest Amort deferred tax'!O41</f>
        <v>0</v>
      </c>
      <c r="O41" s="56"/>
      <c r="P41" s="16">
        <f t="shared" si="0"/>
        <v>0</v>
      </c>
      <c r="Q41" s="16">
        <f>SUM(P$5:P41)</f>
        <v>-0.27000000036787242</v>
      </c>
      <c r="S41" s="10" t="s">
        <v>46</v>
      </c>
      <c r="T41" s="10">
        <f t="shared" si="11"/>
        <v>2012</v>
      </c>
      <c r="U41" s="10" t="s">
        <v>68</v>
      </c>
      <c r="V41" s="55"/>
      <c r="W41" s="31">
        <v>0</v>
      </c>
      <c r="X41" s="56"/>
      <c r="Y41" s="16">
        <f t="shared" si="1"/>
        <v>0</v>
      </c>
      <c r="Z41" s="16">
        <f>SUM(Y$5:Y41)</f>
        <v>0</v>
      </c>
    </row>
    <row r="42" spans="1:26">
      <c r="A42" s="10" t="s">
        <v>48</v>
      </c>
      <c r="B42" s="10">
        <f t="shared" si="9"/>
        <v>2012</v>
      </c>
      <c r="C42" s="10" t="s">
        <v>68</v>
      </c>
      <c r="D42" s="58"/>
      <c r="E42" s="59">
        <f>'E3 - Invest Amort deferred tax'!F42</f>
        <v>0</v>
      </c>
      <c r="F42" s="60"/>
      <c r="G42" s="25">
        <f t="shared" si="2"/>
        <v>0</v>
      </c>
      <c r="H42" s="25">
        <f>SUM(G$5:G42)</f>
        <v>-1.1641532182693481E-10</v>
      </c>
      <c r="J42" s="10" t="s">
        <v>48</v>
      </c>
      <c r="K42" s="10">
        <f t="shared" si="10"/>
        <v>2012</v>
      </c>
      <c r="L42" s="10" t="s">
        <v>68</v>
      </c>
      <c r="M42" s="58"/>
      <c r="N42" s="59">
        <f>'E3 - Invest Amort deferred tax'!O42</f>
        <v>0</v>
      </c>
      <c r="O42" s="60"/>
      <c r="P42" s="25">
        <f t="shared" si="0"/>
        <v>0</v>
      </c>
      <c r="Q42" s="25">
        <f>SUM(P$5:P42)</f>
        <v>-0.27000000036787242</v>
      </c>
      <c r="S42" s="10" t="s">
        <v>48</v>
      </c>
      <c r="T42" s="10">
        <f t="shared" si="11"/>
        <v>2012</v>
      </c>
      <c r="U42" s="10" t="s">
        <v>68</v>
      </c>
      <c r="V42" s="58"/>
      <c r="W42" s="31">
        <v>0</v>
      </c>
      <c r="X42" s="60"/>
      <c r="Y42" s="25">
        <f t="shared" si="1"/>
        <v>0</v>
      </c>
      <c r="Z42" s="25">
        <f>SUM(Y$5:Y42)</f>
        <v>0</v>
      </c>
    </row>
    <row r="43" spans="1:26">
      <c r="A43" s="10" t="s">
        <v>50</v>
      </c>
      <c r="B43" s="10">
        <f t="shared" si="9"/>
        <v>2012</v>
      </c>
      <c r="C43" s="10" t="s">
        <v>68</v>
      </c>
      <c r="D43" s="55"/>
      <c r="E43" s="31">
        <f>'E3 - Invest Amort deferred tax'!F43</f>
        <v>0</v>
      </c>
      <c r="F43" s="56"/>
      <c r="G43" s="16">
        <f t="shared" si="2"/>
        <v>0</v>
      </c>
      <c r="H43" s="16">
        <f>SUM(G$5:G43)</f>
        <v>-1.1641532182693481E-10</v>
      </c>
      <c r="J43" s="10" t="s">
        <v>50</v>
      </c>
      <c r="K43" s="10">
        <f t="shared" si="10"/>
        <v>2012</v>
      </c>
      <c r="L43" s="10" t="s">
        <v>68</v>
      </c>
      <c r="M43" s="55"/>
      <c r="N43" s="31">
        <f>'E3 - Invest Amort deferred tax'!O43</f>
        <v>0</v>
      </c>
      <c r="O43" s="56"/>
      <c r="P43" s="16">
        <f t="shared" si="0"/>
        <v>0</v>
      </c>
      <c r="Q43" s="16">
        <f>SUM(P$5:P43)</f>
        <v>-0.27000000036787242</v>
      </c>
      <c r="S43" s="10" t="s">
        <v>50</v>
      </c>
      <c r="T43" s="10">
        <f t="shared" si="11"/>
        <v>2012</v>
      </c>
      <c r="U43" s="10" t="s">
        <v>68</v>
      </c>
      <c r="V43" s="55"/>
      <c r="W43" s="31">
        <v>0</v>
      </c>
      <c r="X43" s="56"/>
      <c r="Y43" s="16">
        <f t="shared" si="1"/>
        <v>0</v>
      </c>
      <c r="Z43" s="16">
        <f>SUM(Y$5:Y43)</f>
        <v>0</v>
      </c>
    </row>
    <row r="44" spans="1:26">
      <c r="A44" s="10" t="s">
        <v>51</v>
      </c>
      <c r="B44" s="10">
        <f t="shared" si="9"/>
        <v>2012</v>
      </c>
      <c r="C44" s="10" t="s">
        <v>68</v>
      </c>
      <c r="D44" s="55"/>
      <c r="E44" s="31">
        <f>'E3 - Invest Amort deferred tax'!F44</f>
        <v>0</v>
      </c>
      <c r="F44" s="56"/>
      <c r="G44" s="16">
        <f t="shared" si="2"/>
        <v>0</v>
      </c>
      <c r="H44" s="16">
        <f>SUM(G$5:G44)</f>
        <v>-1.1641532182693481E-10</v>
      </c>
      <c r="J44" s="10" t="s">
        <v>51</v>
      </c>
      <c r="K44" s="10">
        <f t="shared" si="10"/>
        <v>2012</v>
      </c>
      <c r="L44" s="10" t="s">
        <v>68</v>
      </c>
      <c r="M44" s="55"/>
      <c r="N44" s="31">
        <f>'E3 - Invest Amort deferred tax'!O44</f>
        <v>0</v>
      </c>
      <c r="O44" s="56"/>
      <c r="P44" s="16">
        <f t="shared" si="0"/>
        <v>0</v>
      </c>
      <c r="Q44" s="16">
        <f>SUM(P$5:P44)</f>
        <v>-0.27000000036787242</v>
      </c>
      <c r="S44" s="10" t="s">
        <v>51</v>
      </c>
      <c r="T44" s="10">
        <f t="shared" si="11"/>
        <v>2012</v>
      </c>
      <c r="U44" s="10" t="s">
        <v>68</v>
      </c>
      <c r="V44" s="55"/>
      <c r="W44" s="31">
        <v>0</v>
      </c>
      <c r="X44" s="56"/>
      <c r="Y44" s="16">
        <f t="shared" si="1"/>
        <v>0</v>
      </c>
      <c r="Z44" s="16">
        <f>SUM(Y$5:Y44)</f>
        <v>0</v>
      </c>
    </row>
    <row r="45" spans="1:26">
      <c r="A45" s="10" t="s">
        <v>52</v>
      </c>
      <c r="B45" s="10">
        <f t="shared" si="9"/>
        <v>2012</v>
      </c>
      <c r="C45" s="10" t="s">
        <v>68</v>
      </c>
      <c r="D45" s="55"/>
      <c r="E45" s="31">
        <f>'E3 - Invest Amort deferred tax'!F45</f>
        <v>0</v>
      </c>
      <c r="F45" s="56"/>
      <c r="G45" s="16">
        <f t="shared" si="2"/>
        <v>0</v>
      </c>
      <c r="H45" s="16">
        <f>SUM(G$5:G45)</f>
        <v>-1.1641532182693481E-10</v>
      </c>
      <c r="J45" s="10" t="s">
        <v>52</v>
      </c>
      <c r="K45" s="10">
        <f t="shared" si="10"/>
        <v>2012</v>
      </c>
      <c r="L45" s="10" t="s">
        <v>68</v>
      </c>
      <c r="M45" s="55"/>
      <c r="N45" s="31">
        <f>'E3 - Invest Amort deferred tax'!O45</f>
        <v>0</v>
      </c>
      <c r="O45" s="56"/>
      <c r="P45" s="16">
        <f t="shared" si="0"/>
        <v>0</v>
      </c>
      <c r="Q45" s="16">
        <f>SUM(P$5:P45)</f>
        <v>-0.27000000036787242</v>
      </c>
      <c r="S45" s="10" t="s">
        <v>52</v>
      </c>
      <c r="T45" s="10">
        <f t="shared" si="11"/>
        <v>2012</v>
      </c>
      <c r="U45" s="10" t="s">
        <v>68</v>
      </c>
      <c r="V45" s="55"/>
      <c r="W45" s="31">
        <v>0</v>
      </c>
      <c r="X45" s="56"/>
      <c r="Y45" s="16">
        <f t="shared" si="1"/>
        <v>0</v>
      </c>
      <c r="Z45" s="16">
        <f>SUM(Y$5:Y45)</f>
        <v>0</v>
      </c>
    </row>
    <row r="46" spans="1:26">
      <c r="A46" s="10" t="s">
        <v>53</v>
      </c>
      <c r="B46" s="10">
        <f>+B45+1</f>
        <v>2013</v>
      </c>
      <c r="C46" s="10" t="s">
        <v>68</v>
      </c>
      <c r="D46" s="55"/>
      <c r="E46" s="31">
        <f>'E3 - Invest Amort deferred tax'!F46</f>
        <v>0</v>
      </c>
      <c r="F46" s="56"/>
      <c r="G46" s="16">
        <f t="shared" si="2"/>
        <v>0</v>
      </c>
      <c r="H46" s="16">
        <f>SUM(G$5:G46)</f>
        <v>-1.1641532182693481E-10</v>
      </c>
      <c r="J46" s="10" t="s">
        <v>53</v>
      </c>
      <c r="K46" s="10">
        <f>+K45+1</f>
        <v>2013</v>
      </c>
      <c r="L46" s="10" t="s">
        <v>68</v>
      </c>
      <c r="M46" s="55"/>
      <c r="N46" s="31">
        <f>'E3 - Invest Amort deferred tax'!O46</f>
        <v>0</v>
      </c>
      <c r="O46" s="56"/>
      <c r="P46" s="16">
        <f t="shared" si="0"/>
        <v>0</v>
      </c>
      <c r="Q46" s="16">
        <f>SUM(P$5:P46)</f>
        <v>-0.27000000036787242</v>
      </c>
      <c r="S46" s="10" t="s">
        <v>53</v>
      </c>
      <c r="T46" s="10">
        <f>+T45+1</f>
        <v>2013</v>
      </c>
      <c r="U46" s="10" t="s">
        <v>68</v>
      </c>
      <c r="V46" s="55"/>
      <c r="W46" s="31">
        <v>0</v>
      </c>
      <c r="X46" s="56"/>
      <c r="Y46" s="16">
        <f t="shared" si="1"/>
        <v>0</v>
      </c>
      <c r="Z46" s="16">
        <f>SUM(Y$5:Y46)</f>
        <v>0</v>
      </c>
    </row>
    <row r="47" spans="1:26">
      <c r="A47" s="10" t="s">
        <v>54</v>
      </c>
      <c r="B47" s="10">
        <f t="shared" ref="B47:B57" si="12">+B46</f>
        <v>2013</v>
      </c>
      <c r="C47" s="10" t="s">
        <v>68</v>
      </c>
      <c r="D47" s="55"/>
      <c r="E47" s="31">
        <f>'E3 - Invest Amort deferred tax'!F47</f>
        <v>0</v>
      </c>
      <c r="F47" s="56"/>
      <c r="G47" s="16">
        <f t="shared" si="2"/>
        <v>0</v>
      </c>
      <c r="H47" s="16">
        <f>SUM(G$5:G47)</f>
        <v>-1.1641532182693481E-10</v>
      </c>
      <c r="J47" s="10" t="s">
        <v>54</v>
      </c>
      <c r="K47" s="10">
        <f t="shared" ref="K47:K57" si="13">+K46</f>
        <v>2013</v>
      </c>
      <c r="L47" s="10" t="s">
        <v>68</v>
      </c>
      <c r="M47" s="55"/>
      <c r="N47" s="31">
        <f>'E3 - Invest Amort deferred tax'!O47</f>
        <v>0</v>
      </c>
      <c r="O47" s="56"/>
      <c r="P47" s="16">
        <f t="shared" si="0"/>
        <v>0</v>
      </c>
      <c r="Q47" s="16">
        <f>SUM(P$5:P47)</f>
        <v>-0.27000000036787242</v>
      </c>
      <c r="S47" s="10" t="s">
        <v>54</v>
      </c>
      <c r="T47" s="10">
        <f t="shared" ref="T47:T57" si="14">+T46</f>
        <v>2013</v>
      </c>
      <c r="U47" s="10" t="s">
        <v>68</v>
      </c>
      <c r="V47" s="55"/>
      <c r="W47" s="31">
        <v>0</v>
      </c>
      <c r="X47" s="56"/>
      <c r="Y47" s="16">
        <f t="shared" si="1"/>
        <v>0</v>
      </c>
      <c r="Z47" s="16">
        <f>SUM(Y$5:Y47)</f>
        <v>0</v>
      </c>
    </row>
    <row r="48" spans="1:26">
      <c r="A48" s="10" t="s">
        <v>55</v>
      </c>
      <c r="B48" s="10">
        <f t="shared" si="12"/>
        <v>2013</v>
      </c>
      <c r="C48" s="10" t="s">
        <v>68</v>
      </c>
      <c r="D48" s="55"/>
      <c r="E48" s="31">
        <f>'E3 - Invest Amort deferred tax'!F48</f>
        <v>0</v>
      </c>
      <c r="F48" s="56"/>
      <c r="G48" s="16">
        <f t="shared" si="2"/>
        <v>0</v>
      </c>
      <c r="H48" s="16">
        <f>SUM(G$5:G48)</f>
        <v>-1.1641532182693481E-10</v>
      </c>
      <c r="J48" s="10" t="s">
        <v>55</v>
      </c>
      <c r="K48" s="10">
        <f t="shared" si="13"/>
        <v>2013</v>
      </c>
      <c r="L48" s="10" t="s">
        <v>68</v>
      </c>
      <c r="M48" s="55"/>
      <c r="N48" s="31">
        <f>'E3 - Invest Amort deferred tax'!O48</f>
        <v>0</v>
      </c>
      <c r="O48" s="56"/>
      <c r="P48" s="16">
        <f t="shared" si="0"/>
        <v>0</v>
      </c>
      <c r="Q48" s="16">
        <f>SUM(P$5:P48)</f>
        <v>-0.27000000036787242</v>
      </c>
      <c r="S48" s="10" t="s">
        <v>55</v>
      </c>
      <c r="T48" s="10">
        <f t="shared" si="14"/>
        <v>2013</v>
      </c>
      <c r="U48" s="10" t="s">
        <v>68</v>
      </c>
      <c r="V48" s="55"/>
      <c r="W48" s="31">
        <v>0</v>
      </c>
      <c r="X48" s="56"/>
      <c r="Y48" s="16">
        <f t="shared" si="1"/>
        <v>0</v>
      </c>
      <c r="Z48" s="16">
        <f>SUM(Y$5:Y48)</f>
        <v>0</v>
      </c>
    </row>
    <row r="49" spans="1:26">
      <c r="A49" s="10" t="s">
        <v>56</v>
      </c>
      <c r="B49" s="10">
        <f t="shared" si="12"/>
        <v>2013</v>
      </c>
      <c r="C49" s="10" t="s">
        <v>68</v>
      </c>
      <c r="D49" s="55"/>
      <c r="E49" s="31">
        <f>'E3 - Invest Amort deferred tax'!F49</f>
        <v>0</v>
      </c>
      <c r="F49" s="56"/>
      <c r="G49" s="16">
        <f t="shared" si="2"/>
        <v>0</v>
      </c>
      <c r="H49" s="16">
        <f>SUM(G$5:G49)</f>
        <v>-1.1641532182693481E-10</v>
      </c>
      <c r="J49" s="10" t="s">
        <v>56</v>
      </c>
      <c r="K49" s="10">
        <f t="shared" si="13"/>
        <v>2013</v>
      </c>
      <c r="L49" s="10" t="s">
        <v>68</v>
      </c>
      <c r="M49" s="55"/>
      <c r="N49" s="31">
        <f>'E3 - Invest Amort deferred tax'!O49</f>
        <v>0</v>
      </c>
      <c r="O49" s="56"/>
      <c r="P49" s="16">
        <f t="shared" si="0"/>
        <v>0</v>
      </c>
      <c r="Q49" s="16">
        <f>SUM(P$5:P49)</f>
        <v>-0.27000000036787242</v>
      </c>
      <c r="S49" s="10" t="s">
        <v>56</v>
      </c>
      <c r="T49" s="10">
        <f t="shared" si="14"/>
        <v>2013</v>
      </c>
      <c r="U49" s="10" t="s">
        <v>68</v>
      </c>
      <c r="V49" s="55"/>
      <c r="W49" s="31">
        <v>0</v>
      </c>
      <c r="X49" s="56"/>
      <c r="Y49" s="16">
        <f t="shared" si="1"/>
        <v>0</v>
      </c>
      <c r="Z49" s="16">
        <f>SUM(Y$5:Y49)</f>
        <v>0</v>
      </c>
    </row>
    <row r="50" spans="1:26">
      <c r="A50" s="10" t="s">
        <v>57</v>
      </c>
      <c r="B50" s="10">
        <f t="shared" si="12"/>
        <v>2013</v>
      </c>
      <c r="C50" s="10" t="s">
        <v>68</v>
      </c>
      <c r="D50" s="55"/>
      <c r="E50" s="31">
        <f>'E3 - Invest Amort deferred tax'!F50</f>
        <v>0</v>
      </c>
      <c r="F50" s="56"/>
      <c r="G50" s="16">
        <f t="shared" si="2"/>
        <v>0</v>
      </c>
      <c r="H50" s="16">
        <f>SUM(G$5:G50)</f>
        <v>-1.1641532182693481E-10</v>
      </c>
      <c r="J50" s="10" t="s">
        <v>57</v>
      </c>
      <c r="K50" s="10">
        <f t="shared" si="13"/>
        <v>2013</v>
      </c>
      <c r="L50" s="10" t="s">
        <v>68</v>
      </c>
      <c r="M50" s="55"/>
      <c r="N50" s="31">
        <f>'E3 - Invest Amort deferred tax'!O50</f>
        <v>0</v>
      </c>
      <c r="O50" s="56"/>
      <c r="P50" s="16">
        <f t="shared" si="0"/>
        <v>0</v>
      </c>
      <c r="Q50" s="16">
        <f>SUM(P$5:P50)</f>
        <v>-0.27000000036787242</v>
      </c>
      <c r="S50" s="10" t="s">
        <v>57</v>
      </c>
      <c r="T50" s="10">
        <f t="shared" si="14"/>
        <v>2013</v>
      </c>
      <c r="U50" s="10" t="s">
        <v>68</v>
      </c>
      <c r="V50" s="55"/>
      <c r="W50" s="31">
        <v>0</v>
      </c>
      <c r="X50" s="56"/>
      <c r="Y50" s="16">
        <f t="shared" si="1"/>
        <v>0</v>
      </c>
      <c r="Z50" s="16">
        <f>SUM(Y$5:Y50)</f>
        <v>0</v>
      </c>
    </row>
    <row r="51" spans="1:26">
      <c r="A51" s="10" t="s">
        <v>58</v>
      </c>
      <c r="B51" s="10">
        <f t="shared" si="12"/>
        <v>2013</v>
      </c>
      <c r="C51" s="10" t="s">
        <v>68</v>
      </c>
      <c r="D51" s="55"/>
      <c r="E51" s="31">
        <f>'E3 - Invest Amort deferred tax'!F51</f>
        <v>0</v>
      </c>
      <c r="F51" s="56"/>
      <c r="G51" s="16">
        <f t="shared" si="2"/>
        <v>0</v>
      </c>
      <c r="H51" s="16">
        <f>SUM(G$5:G51)</f>
        <v>-1.1641532182693481E-10</v>
      </c>
      <c r="J51" s="10" t="s">
        <v>58</v>
      </c>
      <c r="K51" s="10">
        <f t="shared" si="13"/>
        <v>2013</v>
      </c>
      <c r="L51" s="10" t="s">
        <v>68</v>
      </c>
      <c r="M51" s="55"/>
      <c r="N51" s="31">
        <f>'E3 - Invest Amort deferred tax'!O51</f>
        <v>0</v>
      </c>
      <c r="O51" s="56"/>
      <c r="P51" s="16">
        <f t="shared" si="0"/>
        <v>0</v>
      </c>
      <c r="Q51" s="16">
        <f>SUM(P$5:P51)</f>
        <v>-0.27000000036787242</v>
      </c>
      <c r="S51" s="10" t="s">
        <v>58</v>
      </c>
      <c r="T51" s="10">
        <f t="shared" si="14"/>
        <v>2013</v>
      </c>
      <c r="U51" s="10" t="s">
        <v>68</v>
      </c>
      <c r="V51" s="55"/>
      <c r="W51" s="31">
        <v>0</v>
      </c>
      <c r="X51" s="56"/>
      <c r="Y51" s="16">
        <f t="shared" si="1"/>
        <v>0</v>
      </c>
      <c r="Z51" s="16">
        <f>SUM(Y$5:Y51)</f>
        <v>0</v>
      </c>
    </row>
    <row r="52" spans="1:26">
      <c r="A52" s="10" t="s">
        <v>59</v>
      </c>
      <c r="B52" s="10">
        <f t="shared" si="12"/>
        <v>2013</v>
      </c>
      <c r="C52" s="10" t="s">
        <v>68</v>
      </c>
      <c r="D52" s="55"/>
      <c r="E52" s="31">
        <f>'E3 - Invest Amort deferred tax'!F52</f>
        <v>0</v>
      </c>
      <c r="F52" s="56"/>
      <c r="G52" s="16">
        <f t="shared" si="2"/>
        <v>0</v>
      </c>
      <c r="H52" s="16">
        <f>SUM(G$5:G52)</f>
        <v>-1.1641532182693481E-10</v>
      </c>
      <c r="J52" s="10" t="s">
        <v>59</v>
      </c>
      <c r="K52" s="10">
        <f t="shared" si="13"/>
        <v>2013</v>
      </c>
      <c r="L52" s="10" t="s">
        <v>68</v>
      </c>
      <c r="M52" s="55"/>
      <c r="N52" s="31">
        <f>'E3 - Invest Amort deferred tax'!O52</f>
        <v>0</v>
      </c>
      <c r="O52" s="56"/>
      <c r="P52" s="16">
        <f t="shared" si="0"/>
        <v>0</v>
      </c>
      <c r="Q52" s="16">
        <f>SUM(P$5:P52)</f>
        <v>-0.27000000036787242</v>
      </c>
      <c r="S52" s="10" t="s">
        <v>59</v>
      </c>
      <c r="T52" s="10">
        <f t="shared" si="14"/>
        <v>2013</v>
      </c>
      <c r="U52" s="10" t="s">
        <v>68</v>
      </c>
      <c r="V52" s="55"/>
      <c r="W52" s="31">
        <v>0</v>
      </c>
      <c r="X52" s="56"/>
      <c r="Y52" s="16">
        <f t="shared" si="1"/>
        <v>0</v>
      </c>
      <c r="Z52" s="16">
        <f>SUM(Y$5:Y52)</f>
        <v>0</v>
      </c>
    </row>
    <row r="53" spans="1:26">
      <c r="A53" s="10" t="s">
        <v>46</v>
      </c>
      <c r="B53" s="10">
        <f t="shared" si="12"/>
        <v>2013</v>
      </c>
      <c r="C53" s="10" t="s">
        <v>68</v>
      </c>
      <c r="D53" s="55"/>
      <c r="E53" s="31">
        <f>'E3 - Invest Amort deferred tax'!F53</f>
        <v>0</v>
      </c>
      <c r="F53" s="56"/>
      <c r="G53" s="16">
        <f t="shared" si="2"/>
        <v>0</v>
      </c>
      <c r="H53" s="16">
        <f>SUM(G$5:G53)</f>
        <v>-1.1641532182693481E-10</v>
      </c>
      <c r="J53" s="10" t="s">
        <v>46</v>
      </c>
      <c r="K53" s="10">
        <f t="shared" si="13"/>
        <v>2013</v>
      </c>
      <c r="L53" s="10" t="s">
        <v>68</v>
      </c>
      <c r="M53" s="55"/>
      <c r="N53" s="31">
        <f>'E3 - Invest Amort deferred tax'!O53</f>
        <v>0</v>
      </c>
      <c r="O53" s="56"/>
      <c r="P53" s="16">
        <f t="shared" si="0"/>
        <v>0</v>
      </c>
      <c r="Q53" s="16">
        <f>SUM(P$5:P53)</f>
        <v>-0.27000000036787242</v>
      </c>
      <c r="S53" s="10" t="s">
        <v>46</v>
      </c>
      <c r="T53" s="10">
        <f t="shared" si="14"/>
        <v>2013</v>
      </c>
      <c r="U53" s="10" t="s">
        <v>68</v>
      </c>
      <c r="V53" s="55"/>
      <c r="W53" s="31">
        <v>0</v>
      </c>
      <c r="X53" s="56"/>
      <c r="Y53" s="16">
        <f t="shared" si="1"/>
        <v>0</v>
      </c>
      <c r="Z53" s="16">
        <f>SUM(Y$5:Y53)</f>
        <v>0</v>
      </c>
    </row>
    <row r="54" spans="1:26">
      <c r="A54" s="10" t="s">
        <v>48</v>
      </c>
      <c r="B54" s="10">
        <f t="shared" si="12"/>
        <v>2013</v>
      </c>
      <c r="C54" s="10" t="s">
        <v>68</v>
      </c>
      <c r="D54" s="55"/>
      <c r="E54" s="31">
        <f>'E3 - Invest Amort deferred tax'!F54</f>
        <v>0</v>
      </c>
      <c r="F54" s="56"/>
      <c r="G54" s="16">
        <f t="shared" si="2"/>
        <v>0</v>
      </c>
      <c r="H54" s="16">
        <f>SUM(G$5:G54)</f>
        <v>-1.1641532182693481E-10</v>
      </c>
      <c r="J54" s="10" t="s">
        <v>48</v>
      </c>
      <c r="K54" s="10">
        <f t="shared" si="13"/>
        <v>2013</v>
      </c>
      <c r="L54" s="10" t="s">
        <v>68</v>
      </c>
      <c r="M54" s="55"/>
      <c r="N54" s="31">
        <f>'E3 - Invest Amort deferred tax'!O54</f>
        <v>0</v>
      </c>
      <c r="O54" s="56"/>
      <c r="P54" s="16">
        <f t="shared" si="0"/>
        <v>0</v>
      </c>
      <c r="Q54" s="16">
        <f>SUM(P$5:P54)</f>
        <v>-0.27000000036787242</v>
      </c>
      <c r="S54" s="10" t="s">
        <v>48</v>
      </c>
      <c r="T54" s="10">
        <f t="shared" si="14"/>
        <v>2013</v>
      </c>
      <c r="U54" s="10" t="s">
        <v>68</v>
      </c>
      <c r="V54" s="55"/>
      <c r="W54" s="31">
        <v>0</v>
      </c>
      <c r="X54" s="56"/>
      <c r="Y54" s="16">
        <f t="shared" si="1"/>
        <v>0</v>
      </c>
      <c r="Z54" s="16">
        <f>SUM(Y$5:Y54)</f>
        <v>0</v>
      </c>
    </row>
    <row r="55" spans="1:26">
      <c r="A55" s="10" t="s">
        <v>50</v>
      </c>
      <c r="B55" s="10">
        <f t="shared" si="12"/>
        <v>2013</v>
      </c>
      <c r="C55" s="10" t="s">
        <v>68</v>
      </c>
      <c r="D55" s="55"/>
      <c r="E55" s="31">
        <f>'E3 - Invest Amort deferred tax'!F55</f>
        <v>0</v>
      </c>
      <c r="F55" s="56"/>
      <c r="G55" s="16">
        <f t="shared" si="2"/>
        <v>0</v>
      </c>
      <c r="H55" s="16">
        <f>SUM(G$5:G55)</f>
        <v>-1.1641532182693481E-10</v>
      </c>
      <c r="J55" s="10" t="s">
        <v>50</v>
      </c>
      <c r="K55" s="10">
        <f t="shared" si="13"/>
        <v>2013</v>
      </c>
      <c r="L55" s="10" t="s">
        <v>68</v>
      </c>
      <c r="M55" s="55"/>
      <c r="N55" s="31">
        <f>'E3 - Invest Amort deferred tax'!O55</f>
        <v>0</v>
      </c>
      <c r="O55" s="56"/>
      <c r="P55" s="16">
        <f t="shared" si="0"/>
        <v>0</v>
      </c>
      <c r="Q55" s="16">
        <f>SUM(P$5:P55)</f>
        <v>-0.27000000036787242</v>
      </c>
      <c r="S55" s="10" t="s">
        <v>50</v>
      </c>
      <c r="T55" s="10">
        <f t="shared" si="14"/>
        <v>2013</v>
      </c>
      <c r="U55" s="10" t="s">
        <v>68</v>
      </c>
      <c r="V55" s="55"/>
      <c r="W55" s="31">
        <v>0</v>
      </c>
      <c r="X55" s="56"/>
      <c r="Y55" s="16">
        <f t="shared" si="1"/>
        <v>0</v>
      </c>
      <c r="Z55" s="16">
        <f>SUM(Y$5:Y55)</f>
        <v>0</v>
      </c>
    </row>
    <row r="56" spans="1:26">
      <c r="A56" s="10" t="s">
        <v>51</v>
      </c>
      <c r="B56" s="10">
        <f t="shared" si="12"/>
        <v>2013</v>
      </c>
      <c r="C56" s="10" t="s">
        <v>68</v>
      </c>
      <c r="D56" s="55"/>
      <c r="E56" s="31">
        <f>'E3 - Invest Amort deferred tax'!F56</f>
        <v>0</v>
      </c>
      <c r="F56" s="56"/>
      <c r="G56" s="16">
        <f t="shared" si="2"/>
        <v>0</v>
      </c>
      <c r="H56" s="16">
        <f>SUM(G$5:G56)</f>
        <v>-1.1641532182693481E-10</v>
      </c>
      <c r="J56" s="10" t="s">
        <v>51</v>
      </c>
      <c r="K56" s="10">
        <f t="shared" si="13"/>
        <v>2013</v>
      </c>
      <c r="L56" s="10" t="s">
        <v>68</v>
      </c>
      <c r="M56" s="55"/>
      <c r="N56" s="31">
        <f>'E3 - Invest Amort deferred tax'!O56</f>
        <v>0</v>
      </c>
      <c r="O56" s="56"/>
      <c r="P56" s="16">
        <f t="shared" si="0"/>
        <v>0</v>
      </c>
      <c r="Q56" s="16">
        <f>SUM(P$5:P56)</f>
        <v>-0.27000000036787242</v>
      </c>
      <c r="S56" s="10" t="s">
        <v>51</v>
      </c>
      <c r="T56" s="10">
        <f t="shared" si="14"/>
        <v>2013</v>
      </c>
      <c r="U56" s="10" t="s">
        <v>68</v>
      </c>
      <c r="V56" s="55"/>
      <c r="W56" s="31">
        <v>0</v>
      </c>
      <c r="X56" s="56"/>
      <c r="Y56" s="16">
        <f t="shared" si="1"/>
        <v>0</v>
      </c>
      <c r="Z56" s="16">
        <f>SUM(Y$5:Y56)</f>
        <v>0</v>
      </c>
    </row>
    <row r="57" spans="1:26">
      <c r="A57" s="10" t="s">
        <v>52</v>
      </c>
      <c r="B57" s="10">
        <f t="shared" si="12"/>
        <v>2013</v>
      </c>
      <c r="C57" s="10" t="s">
        <v>68</v>
      </c>
      <c r="D57" s="55"/>
      <c r="E57" s="31">
        <f>'E3 - Invest Amort deferred tax'!F57</f>
        <v>0</v>
      </c>
      <c r="F57" s="56"/>
      <c r="G57" s="16">
        <f t="shared" si="2"/>
        <v>0</v>
      </c>
      <c r="H57" s="16">
        <f>SUM(G$5:G57)</f>
        <v>-1.1641532182693481E-10</v>
      </c>
      <c r="J57" s="10" t="s">
        <v>52</v>
      </c>
      <c r="K57" s="10">
        <f t="shared" si="13"/>
        <v>2013</v>
      </c>
      <c r="L57" s="10" t="s">
        <v>68</v>
      </c>
      <c r="M57" s="55"/>
      <c r="N57" s="31">
        <f>'E3 - Invest Amort deferred tax'!O57</f>
        <v>0</v>
      </c>
      <c r="O57" s="56"/>
      <c r="P57" s="16">
        <f t="shared" si="0"/>
        <v>0</v>
      </c>
      <c r="Q57" s="16">
        <f>SUM(P$5:P57)</f>
        <v>-0.27000000036787242</v>
      </c>
      <c r="S57" s="10" t="s">
        <v>52</v>
      </c>
      <c r="T57" s="10">
        <f t="shared" si="14"/>
        <v>2013</v>
      </c>
      <c r="U57" s="10" t="s">
        <v>68</v>
      </c>
      <c r="V57" s="55"/>
      <c r="W57" s="31">
        <v>0</v>
      </c>
      <c r="X57" s="56"/>
      <c r="Y57" s="16">
        <f t="shared" si="1"/>
        <v>0</v>
      </c>
      <c r="Z57" s="16">
        <f>SUM(Y$5:Y57)</f>
        <v>0</v>
      </c>
    </row>
    <row r="58" spans="1:26">
      <c r="A58" s="10" t="s">
        <v>53</v>
      </c>
      <c r="B58" s="10">
        <f>+B57+1</f>
        <v>2014</v>
      </c>
      <c r="C58" s="10" t="s">
        <v>68</v>
      </c>
      <c r="D58" s="55"/>
      <c r="E58" s="31">
        <f>'E3 - Invest Amort deferred tax'!F58</f>
        <v>0</v>
      </c>
      <c r="F58" s="56"/>
      <c r="G58" s="16">
        <f t="shared" si="2"/>
        <v>0</v>
      </c>
      <c r="H58" s="16">
        <f>SUM(G$5:G58)</f>
        <v>-1.1641532182693481E-10</v>
      </c>
      <c r="J58" s="10" t="s">
        <v>53</v>
      </c>
      <c r="K58" s="10">
        <f>+K57+1</f>
        <v>2014</v>
      </c>
      <c r="L58" s="10" t="s">
        <v>68</v>
      </c>
      <c r="M58" s="55"/>
      <c r="N58" s="31">
        <f>'E3 - Invest Amort deferred tax'!O58</f>
        <v>0</v>
      </c>
      <c r="O58" s="56"/>
      <c r="P58" s="16">
        <f t="shared" si="0"/>
        <v>0</v>
      </c>
      <c r="Q58" s="16">
        <f>SUM(P$5:P58)</f>
        <v>-0.27000000036787242</v>
      </c>
      <c r="S58" s="10" t="s">
        <v>53</v>
      </c>
      <c r="T58" s="10">
        <f>+T57+1</f>
        <v>2014</v>
      </c>
      <c r="U58" s="10" t="s">
        <v>68</v>
      </c>
      <c r="V58" s="55"/>
      <c r="W58" s="31">
        <v>0</v>
      </c>
      <c r="X58" s="56"/>
      <c r="Y58" s="16">
        <f t="shared" si="1"/>
        <v>0</v>
      </c>
      <c r="Z58" s="16">
        <f>SUM(Y$5:Y58)</f>
        <v>0</v>
      </c>
    </row>
    <row r="59" spans="1:26">
      <c r="A59" s="10" t="s">
        <v>54</v>
      </c>
      <c r="B59" s="10">
        <f t="shared" ref="B59:B68" si="15">+B58</f>
        <v>2014</v>
      </c>
      <c r="C59" s="10" t="s">
        <v>68</v>
      </c>
      <c r="D59" s="55"/>
      <c r="E59" s="31">
        <f>'E3 - Invest Amort deferred tax'!F59</f>
        <v>0</v>
      </c>
      <c r="F59" s="56"/>
      <c r="G59" s="16">
        <f t="shared" si="2"/>
        <v>0</v>
      </c>
      <c r="H59" s="16">
        <f>SUM(G$5:G59)</f>
        <v>-1.1641532182693481E-10</v>
      </c>
      <c r="J59" s="10" t="s">
        <v>54</v>
      </c>
      <c r="K59" s="10">
        <f t="shared" ref="K59:K68" si="16">+K58</f>
        <v>2014</v>
      </c>
      <c r="L59" s="10" t="s">
        <v>68</v>
      </c>
      <c r="M59" s="55"/>
      <c r="N59" s="31">
        <f>'E3 - Invest Amort deferred tax'!O59</f>
        <v>0</v>
      </c>
      <c r="O59" s="56"/>
      <c r="P59" s="16">
        <f t="shared" si="0"/>
        <v>0</v>
      </c>
      <c r="Q59" s="16">
        <f>SUM(P$5:P59)</f>
        <v>-0.27000000036787242</v>
      </c>
      <c r="S59" s="10" t="s">
        <v>54</v>
      </c>
      <c r="T59" s="10">
        <f t="shared" ref="T59:T68" si="17">+T58</f>
        <v>2014</v>
      </c>
      <c r="U59" s="10" t="s">
        <v>68</v>
      </c>
      <c r="V59" s="55"/>
      <c r="W59" s="31">
        <v>0</v>
      </c>
      <c r="X59" s="56"/>
      <c r="Y59" s="16">
        <f t="shared" si="1"/>
        <v>0</v>
      </c>
      <c r="Z59" s="16">
        <f>SUM(Y$5:Y59)</f>
        <v>0</v>
      </c>
    </row>
    <row r="60" spans="1:26">
      <c r="A60" s="10" t="s">
        <v>55</v>
      </c>
      <c r="B60" s="10">
        <f t="shared" si="15"/>
        <v>2014</v>
      </c>
      <c r="C60" s="10" t="s">
        <v>68</v>
      </c>
      <c r="D60" s="55"/>
      <c r="E60" s="31">
        <f>'E3 - Invest Amort deferred tax'!F60</f>
        <v>0</v>
      </c>
      <c r="F60" s="56"/>
      <c r="G60" s="16">
        <f t="shared" si="2"/>
        <v>0</v>
      </c>
      <c r="H60" s="16">
        <f>SUM(G$5:G60)</f>
        <v>-1.1641532182693481E-10</v>
      </c>
      <c r="J60" s="10" t="s">
        <v>55</v>
      </c>
      <c r="K60" s="10">
        <f t="shared" si="16"/>
        <v>2014</v>
      </c>
      <c r="L60" s="10" t="s">
        <v>68</v>
      </c>
      <c r="M60" s="55"/>
      <c r="N60" s="31">
        <f>'E3 - Invest Amort deferred tax'!O60</f>
        <v>0</v>
      </c>
      <c r="O60" s="56"/>
      <c r="P60" s="16">
        <f t="shared" si="0"/>
        <v>0</v>
      </c>
      <c r="Q60" s="16">
        <f>SUM(P$5:P60)</f>
        <v>-0.27000000036787242</v>
      </c>
      <c r="S60" s="10" t="s">
        <v>55</v>
      </c>
      <c r="T60" s="10">
        <f t="shared" si="17"/>
        <v>2014</v>
      </c>
      <c r="U60" s="10" t="s">
        <v>68</v>
      </c>
      <c r="V60" s="55"/>
      <c r="W60" s="31">
        <v>0</v>
      </c>
      <c r="X60" s="56"/>
      <c r="Y60" s="16">
        <f t="shared" si="1"/>
        <v>0</v>
      </c>
      <c r="Z60" s="16">
        <f>SUM(Y$5:Y60)</f>
        <v>0</v>
      </c>
    </row>
    <row r="61" spans="1:26">
      <c r="A61" s="10" t="s">
        <v>56</v>
      </c>
      <c r="B61" s="10">
        <f t="shared" si="15"/>
        <v>2014</v>
      </c>
      <c r="C61" s="10" t="s">
        <v>68</v>
      </c>
      <c r="D61" s="55"/>
      <c r="E61" s="31">
        <f>'E3 - Invest Amort deferred tax'!F61</f>
        <v>0</v>
      </c>
      <c r="F61" s="56"/>
      <c r="G61" s="16">
        <f t="shared" si="2"/>
        <v>0</v>
      </c>
      <c r="H61" s="16">
        <f>SUM(G$5:G61)</f>
        <v>-1.1641532182693481E-10</v>
      </c>
      <c r="J61" s="10" t="s">
        <v>56</v>
      </c>
      <c r="K61" s="10">
        <f t="shared" si="16"/>
        <v>2014</v>
      </c>
      <c r="L61" s="10" t="s">
        <v>68</v>
      </c>
      <c r="M61" s="55"/>
      <c r="N61" s="31">
        <f>'E3 - Invest Amort deferred tax'!O61</f>
        <v>0</v>
      </c>
      <c r="O61" s="56"/>
      <c r="P61" s="16">
        <f t="shared" si="0"/>
        <v>0</v>
      </c>
      <c r="Q61" s="16">
        <f>SUM(P$5:P61)</f>
        <v>-0.27000000036787242</v>
      </c>
      <c r="S61" s="10" t="s">
        <v>56</v>
      </c>
      <c r="T61" s="10">
        <f t="shared" si="17"/>
        <v>2014</v>
      </c>
      <c r="U61" s="10" t="s">
        <v>68</v>
      </c>
      <c r="V61" s="55"/>
      <c r="W61" s="31">
        <v>0</v>
      </c>
      <c r="X61" s="56"/>
      <c r="Y61" s="16">
        <f t="shared" si="1"/>
        <v>0</v>
      </c>
      <c r="Z61" s="16">
        <f>SUM(Y$5:Y61)</f>
        <v>0</v>
      </c>
    </row>
    <row r="62" spans="1:26">
      <c r="A62" s="10" t="s">
        <v>57</v>
      </c>
      <c r="B62" s="10">
        <f t="shared" si="15"/>
        <v>2014</v>
      </c>
      <c r="C62" s="10" t="s">
        <v>68</v>
      </c>
      <c r="D62" s="55"/>
      <c r="E62" s="31">
        <f>'E3 - Invest Amort deferred tax'!F62</f>
        <v>0</v>
      </c>
      <c r="F62" s="56"/>
      <c r="G62" s="16">
        <f t="shared" si="2"/>
        <v>0</v>
      </c>
      <c r="H62" s="16">
        <f>SUM(G$5:G62)</f>
        <v>-1.1641532182693481E-10</v>
      </c>
      <c r="J62" s="10" t="s">
        <v>57</v>
      </c>
      <c r="K62" s="10">
        <f t="shared" si="16"/>
        <v>2014</v>
      </c>
      <c r="L62" s="10" t="s">
        <v>68</v>
      </c>
      <c r="M62" s="55"/>
      <c r="N62" s="31">
        <f>'E3 - Invest Amort deferred tax'!O62</f>
        <v>0</v>
      </c>
      <c r="O62" s="56"/>
      <c r="P62" s="16">
        <f t="shared" si="0"/>
        <v>0</v>
      </c>
      <c r="Q62" s="16">
        <f>SUM(P$5:P62)</f>
        <v>-0.27000000036787242</v>
      </c>
      <c r="S62" s="10" t="s">
        <v>57</v>
      </c>
      <c r="T62" s="10">
        <f t="shared" si="17"/>
        <v>2014</v>
      </c>
      <c r="U62" s="10" t="s">
        <v>68</v>
      </c>
      <c r="V62" s="55"/>
      <c r="W62" s="31">
        <v>0</v>
      </c>
      <c r="X62" s="56"/>
      <c r="Y62" s="16">
        <f t="shared" si="1"/>
        <v>0</v>
      </c>
      <c r="Z62" s="16">
        <f>SUM(Y$5:Y62)</f>
        <v>0</v>
      </c>
    </row>
    <row r="63" spans="1:26">
      <c r="A63" s="10" t="s">
        <v>58</v>
      </c>
      <c r="B63" s="10">
        <f t="shared" si="15"/>
        <v>2014</v>
      </c>
      <c r="C63" s="10" t="s">
        <v>68</v>
      </c>
      <c r="D63" s="55"/>
      <c r="E63" s="31">
        <f>'E3 - Invest Amort deferred tax'!F63</f>
        <v>0</v>
      </c>
      <c r="F63" s="56"/>
      <c r="G63" s="16">
        <f t="shared" si="2"/>
        <v>0</v>
      </c>
      <c r="H63" s="16">
        <f>SUM(G$5:G63)</f>
        <v>-1.1641532182693481E-10</v>
      </c>
      <c r="J63" s="10" t="s">
        <v>58</v>
      </c>
      <c r="K63" s="10">
        <f t="shared" si="16"/>
        <v>2014</v>
      </c>
      <c r="L63" s="10" t="s">
        <v>68</v>
      </c>
      <c r="M63" s="55"/>
      <c r="N63" s="31">
        <f>'E3 - Invest Amort deferred tax'!O63</f>
        <v>0</v>
      </c>
      <c r="O63" s="56"/>
      <c r="P63" s="16">
        <f t="shared" si="0"/>
        <v>0</v>
      </c>
      <c r="Q63" s="16">
        <f>SUM(P$5:P63)</f>
        <v>-0.27000000036787242</v>
      </c>
      <c r="S63" s="10" t="s">
        <v>58</v>
      </c>
      <c r="T63" s="10">
        <f t="shared" si="17"/>
        <v>2014</v>
      </c>
      <c r="U63" s="10" t="s">
        <v>68</v>
      </c>
      <c r="V63" s="55"/>
      <c r="W63" s="31">
        <v>0</v>
      </c>
      <c r="X63" s="56"/>
      <c r="Y63" s="16">
        <f t="shared" si="1"/>
        <v>0</v>
      </c>
      <c r="Z63" s="16">
        <f>SUM(Y$5:Y63)</f>
        <v>0</v>
      </c>
    </row>
    <row r="64" spans="1:26">
      <c r="A64" s="10" t="s">
        <v>59</v>
      </c>
      <c r="B64" s="10">
        <f t="shared" si="15"/>
        <v>2014</v>
      </c>
      <c r="C64" s="10" t="s">
        <v>68</v>
      </c>
      <c r="D64" s="55"/>
      <c r="E64" s="31">
        <f>'E3 - Invest Amort deferred tax'!F64</f>
        <v>0</v>
      </c>
      <c r="F64" s="56"/>
      <c r="G64" s="16">
        <f t="shared" si="2"/>
        <v>0</v>
      </c>
      <c r="H64" s="16">
        <f>SUM(G$5:G64)</f>
        <v>-1.1641532182693481E-10</v>
      </c>
      <c r="J64" s="10" t="s">
        <v>59</v>
      </c>
      <c r="K64" s="10">
        <f t="shared" si="16"/>
        <v>2014</v>
      </c>
      <c r="L64" s="10" t="s">
        <v>68</v>
      </c>
      <c r="M64" s="55"/>
      <c r="N64" s="31">
        <f>'E3 - Invest Amort deferred tax'!O64</f>
        <v>0</v>
      </c>
      <c r="O64" s="56"/>
      <c r="P64" s="16">
        <f t="shared" si="0"/>
        <v>0</v>
      </c>
      <c r="Q64" s="16">
        <f>SUM(P$5:P64)</f>
        <v>-0.27000000036787242</v>
      </c>
      <c r="S64" s="10" t="s">
        <v>59</v>
      </c>
      <c r="T64" s="10">
        <f t="shared" si="17"/>
        <v>2014</v>
      </c>
      <c r="U64" s="10" t="s">
        <v>68</v>
      </c>
      <c r="V64" s="55"/>
      <c r="W64" s="31">
        <v>0</v>
      </c>
      <c r="X64" s="56"/>
      <c r="Y64" s="16">
        <f t="shared" si="1"/>
        <v>0</v>
      </c>
      <c r="Z64" s="16">
        <f>SUM(Y$5:Y64)</f>
        <v>0</v>
      </c>
    </row>
    <row r="65" spans="1:26">
      <c r="A65" s="10" t="s">
        <v>46</v>
      </c>
      <c r="B65" s="10">
        <f t="shared" si="15"/>
        <v>2014</v>
      </c>
      <c r="C65" s="10" t="s">
        <v>68</v>
      </c>
      <c r="D65" s="55"/>
      <c r="E65" s="31">
        <f>'E3 - Invest Amort deferred tax'!F65</f>
        <v>0</v>
      </c>
      <c r="F65" s="56"/>
      <c r="G65" s="16">
        <f t="shared" si="2"/>
        <v>0</v>
      </c>
      <c r="H65" s="16">
        <f>SUM(G$5:G65)</f>
        <v>-1.1641532182693481E-10</v>
      </c>
      <c r="J65" s="10" t="s">
        <v>46</v>
      </c>
      <c r="K65" s="10">
        <f t="shared" si="16"/>
        <v>2014</v>
      </c>
      <c r="L65" s="10" t="s">
        <v>68</v>
      </c>
      <c r="M65" s="55"/>
      <c r="N65" s="31">
        <f>'E3 - Invest Amort deferred tax'!O65</f>
        <v>0</v>
      </c>
      <c r="O65" s="56"/>
      <c r="P65" s="16">
        <f t="shared" si="0"/>
        <v>0</v>
      </c>
      <c r="Q65" s="16">
        <f>SUM(P$5:P65)</f>
        <v>-0.27000000036787242</v>
      </c>
      <c r="S65" s="10" t="s">
        <v>46</v>
      </c>
      <c r="T65" s="10">
        <f t="shared" si="17"/>
        <v>2014</v>
      </c>
      <c r="U65" s="10" t="s">
        <v>68</v>
      </c>
      <c r="V65" s="55"/>
      <c r="W65" s="31">
        <v>0</v>
      </c>
      <c r="X65" s="56"/>
      <c r="Y65" s="16">
        <f t="shared" si="1"/>
        <v>0</v>
      </c>
      <c r="Z65" s="16">
        <f>SUM(Y$5:Y65)</f>
        <v>0</v>
      </c>
    </row>
    <row r="66" spans="1:26">
      <c r="A66" s="10" t="s">
        <v>48</v>
      </c>
      <c r="B66" s="10">
        <f t="shared" si="15"/>
        <v>2014</v>
      </c>
      <c r="C66" s="10" t="s">
        <v>68</v>
      </c>
      <c r="D66" s="55"/>
      <c r="E66" s="31">
        <f>'E3 - Invest Amort deferred tax'!F66</f>
        <v>0</v>
      </c>
      <c r="F66" s="56"/>
      <c r="G66" s="16">
        <f t="shared" si="2"/>
        <v>0</v>
      </c>
      <c r="H66" s="16">
        <f>SUM(G$5:G66)</f>
        <v>-1.1641532182693481E-10</v>
      </c>
      <c r="J66" s="10" t="s">
        <v>48</v>
      </c>
      <c r="K66" s="10">
        <f t="shared" si="16"/>
        <v>2014</v>
      </c>
      <c r="L66" s="10" t="s">
        <v>68</v>
      </c>
      <c r="M66" s="55"/>
      <c r="N66" s="31">
        <f>'E3 - Invest Amort deferred tax'!O66</f>
        <v>0</v>
      </c>
      <c r="O66" s="56"/>
      <c r="P66" s="16">
        <f t="shared" si="0"/>
        <v>0</v>
      </c>
      <c r="Q66" s="16">
        <f>SUM(P$5:P66)</f>
        <v>-0.27000000036787242</v>
      </c>
      <c r="S66" s="10" t="s">
        <v>48</v>
      </c>
      <c r="T66" s="10">
        <f t="shared" si="17"/>
        <v>2014</v>
      </c>
      <c r="U66" s="10" t="s">
        <v>68</v>
      </c>
      <c r="V66" s="55"/>
      <c r="W66" s="31">
        <v>0</v>
      </c>
      <c r="X66" s="56"/>
      <c r="Y66" s="16">
        <f t="shared" si="1"/>
        <v>0</v>
      </c>
      <c r="Z66" s="16">
        <f>SUM(Y$5:Y66)</f>
        <v>0</v>
      </c>
    </row>
    <row r="67" spans="1:26">
      <c r="A67" s="10" t="s">
        <v>50</v>
      </c>
      <c r="B67" s="10">
        <f t="shared" si="15"/>
        <v>2014</v>
      </c>
      <c r="C67" s="10" t="s">
        <v>68</v>
      </c>
      <c r="D67" s="55"/>
      <c r="E67" s="31">
        <f>'E3 - Invest Amort deferred tax'!F67</f>
        <v>0</v>
      </c>
      <c r="F67" s="56"/>
      <c r="G67" s="16">
        <f t="shared" si="2"/>
        <v>0</v>
      </c>
      <c r="H67" s="16">
        <f>SUM(G$5:G67)</f>
        <v>-1.1641532182693481E-10</v>
      </c>
      <c r="J67" s="10" t="s">
        <v>50</v>
      </c>
      <c r="K67" s="10">
        <f t="shared" si="16"/>
        <v>2014</v>
      </c>
      <c r="L67" s="10" t="s">
        <v>68</v>
      </c>
      <c r="M67" s="55"/>
      <c r="N67" s="31">
        <f>'E3 - Invest Amort deferred tax'!O67</f>
        <v>0</v>
      </c>
      <c r="O67" s="56"/>
      <c r="P67" s="16">
        <f t="shared" si="0"/>
        <v>0</v>
      </c>
      <c r="Q67" s="16">
        <f>SUM(P$5:P67)</f>
        <v>-0.27000000036787242</v>
      </c>
      <c r="S67" s="10" t="s">
        <v>50</v>
      </c>
      <c r="T67" s="10">
        <f t="shared" si="17"/>
        <v>2014</v>
      </c>
      <c r="U67" s="10" t="s">
        <v>68</v>
      </c>
      <c r="V67" s="55"/>
      <c r="W67" s="31">
        <v>0</v>
      </c>
      <c r="X67" s="56"/>
      <c r="Y67" s="16">
        <f t="shared" si="1"/>
        <v>0</v>
      </c>
      <c r="Z67" s="16">
        <f>SUM(Y$5:Y67)</f>
        <v>0</v>
      </c>
    </row>
    <row r="68" spans="1:26">
      <c r="A68" s="10" t="s">
        <v>51</v>
      </c>
      <c r="B68" s="10">
        <f t="shared" si="15"/>
        <v>2014</v>
      </c>
      <c r="C68" s="10" t="s">
        <v>68</v>
      </c>
      <c r="D68" s="55"/>
      <c r="E68" s="31">
        <f>'E3 - Invest Amort deferred tax'!F68</f>
        <v>0</v>
      </c>
      <c r="F68" s="56"/>
      <c r="G68" s="16">
        <f t="shared" si="2"/>
        <v>0</v>
      </c>
      <c r="H68" s="16">
        <f>SUM(G$5:G68)</f>
        <v>-1.1641532182693481E-10</v>
      </c>
      <c r="J68" s="10" t="s">
        <v>51</v>
      </c>
      <c r="K68" s="10">
        <f t="shared" si="16"/>
        <v>2014</v>
      </c>
      <c r="L68" s="10" t="s">
        <v>68</v>
      </c>
      <c r="M68" s="55"/>
      <c r="N68" s="31">
        <f>'E3 - Invest Amort deferred tax'!O68</f>
        <v>0</v>
      </c>
      <c r="O68" s="56"/>
      <c r="P68" s="16">
        <f t="shared" si="0"/>
        <v>0</v>
      </c>
      <c r="Q68" s="16">
        <f>SUM(P$5:P68)</f>
        <v>-0.27000000036787242</v>
      </c>
      <c r="S68" s="10" t="s">
        <v>51</v>
      </c>
      <c r="T68" s="10">
        <f t="shared" si="17"/>
        <v>2014</v>
      </c>
      <c r="U68" s="10" t="s">
        <v>68</v>
      </c>
      <c r="V68" s="55"/>
      <c r="W68" s="31">
        <v>0</v>
      </c>
      <c r="X68" s="56"/>
      <c r="Y68" s="16">
        <f t="shared" si="1"/>
        <v>0</v>
      </c>
      <c r="Z68" s="16">
        <f>SUM(Y$5:Y68)</f>
        <v>0</v>
      </c>
    </row>
    <row r="69" spans="1:26">
      <c r="A69" s="10"/>
      <c r="B69" s="10"/>
      <c r="C69" s="10"/>
      <c r="D69" s="16"/>
      <c r="E69" s="31"/>
      <c r="F69" s="56"/>
      <c r="G69" s="16"/>
      <c r="H69" s="16"/>
      <c r="J69" s="10"/>
      <c r="K69" s="10"/>
      <c r="L69" s="10"/>
      <c r="M69" s="16"/>
      <c r="N69" s="31"/>
      <c r="O69" s="56"/>
      <c r="P69" s="16"/>
      <c r="Q69" s="16"/>
    </row>
    <row r="70" spans="1:26">
      <c r="D70" s="16"/>
      <c r="E70" s="30"/>
      <c r="F70" s="16"/>
      <c r="G70" s="16"/>
      <c r="H70" s="16"/>
      <c r="M70" s="16"/>
      <c r="N70" s="30"/>
      <c r="O70" s="16"/>
      <c r="P70" s="16"/>
      <c r="Q70" s="16"/>
    </row>
    <row r="71" spans="1:26">
      <c r="A71" s="1" t="s">
        <v>69</v>
      </c>
      <c r="D71" s="21">
        <f>SUM(D5:D70)</f>
        <v>1433788.43</v>
      </c>
      <c r="E71" s="22">
        <f>SUM(E5:E70)</f>
        <v>1433788.4300000002</v>
      </c>
      <c r="F71" s="21"/>
      <c r="G71" s="21">
        <f>SUM(G5:G70)</f>
        <v>-1.1641532182693481E-10</v>
      </c>
      <c r="H71" s="21"/>
      <c r="I71" s="21"/>
      <c r="J71" s="1" t="s">
        <v>69</v>
      </c>
      <c r="M71" s="21">
        <f>SUM(M5:M70)</f>
        <v>5826879.2700000005</v>
      </c>
      <c r="N71" s="22">
        <f>SUM(N5:N70)</f>
        <v>5826879.2699999996</v>
      </c>
      <c r="O71" s="21"/>
      <c r="P71" s="21">
        <f>SUM(P5:P70)</f>
        <v>-0.27000000036787242</v>
      </c>
      <c r="Q71" s="21"/>
      <c r="W71" s="22">
        <f>SUM(W5:W70)</f>
        <v>453539.76999999996</v>
      </c>
    </row>
    <row r="76" spans="1:26">
      <c r="B76" s="1" t="s">
        <v>70</v>
      </c>
      <c r="D76" s="21">
        <f>SUM(D5:D6)</f>
        <v>1200000</v>
      </c>
      <c r="E76" s="22">
        <f>SUM(E5:E6)</f>
        <v>0</v>
      </c>
      <c r="F76" s="21"/>
      <c r="G76" s="21">
        <f>SUM(G5:G6)</f>
        <v>1200000</v>
      </c>
      <c r="K76" s="1" t="s">
        <v>70</v>
      </c>
      <c r="M76" s="21">
        <f>SUM(M5:M6)</f>
        <v>0</v>
      </c>
      <c r="N76" s="22">
        <f>SUM(N5:N6)</f>
        <v>0</v>
      </c>
      <c r="O76" s="21"/>
      <c r="P76" s="21">
        <f>SUM(P5:P6)</f>
        <v>0</v>
      </c>
    </row>
    <row r="77" spans="1:26">
      <c r="B77" s="1" t="s">
        <v>71</v>
      </c>
      <c r="D77" s="21">
        <f>SUM(D7:D18)</f>
        <v>0</v>
      </c>
      <c r="E77" s="22">
        <f>SUM(E7:E18)</f>
        <v>651714.56999999995</v>
      </c>
      <c r="F77" s="21"/>
      <c r="G77" s="21">
        <f>SUM(G7:G18)</f>
        <v>-651714.56999999995</v>
      </c>
      <c r="K77" s="1" t="s">
        <v>71</v>
      </c>
      <c r="M77" s="21">
        <f>SUM(M7:M18)</f>
        <v>4000000</v>
      </c>
      <c r="N77" s="22">
        <f>SUM(N7:N18)</f>
        <v>1717800.6099999999</v>
      </c>
      <c r="O77" s="21"/>
      <c r="P77" s="21">
        <f>SUM(P7:P18)</f>
        <v>2282199.3899999997</v>
      </c>
    </row>
    <row r="78" spans="1:26">
      <c r="B78" s="1" t="s">
        <v>72</v>
      </c>
      <c r="D78" s="21">
        <f>SUM(D19:D30)</f>
        <v>233788.43</v>
      </c>
      <c r="E78" s="22">
        <f>SUM(E19:E30)</f>
        <v>782073.86</v>
      </c>
      <c r="F78" s="21"/>
      <c r="G78" s="21">
        <f>SUM(G19:G30)</f>
        <v>-548285.43000000005</v>
      </c>
      <c r="K78" s="1" t="s">
        <v>72</v>
      </c>
      <c r="M78" s="21">
        <f>SUM(M19:M30)</f>
        <v>1826879.2700000005</v>
      </c>
      <c r="N78" s="22">
        <f>SUM(N19:N30)</f>
        <v>4109078.66</v>
      </c>
      <c r="O78" s="21"/>
      <c r="P78" s="21">
        <f>SUM(P19:P30)</f>
        <v>-2282199.66</v>
      </c>
    </row>
    <row r="79" spans="1:26">
      <c r="B79" s="1" t="s">
        <v>73</v>
      </c>
      <c r="D79" s="21">
        <f>SUM(D31:D42)</f>
        <v>0</v>
      </c>
      <c r="E79" s="22">
        <f>SUM(E31:E42)</f>
        <v>0</v>
      </c>
      <c r="F79" s="21"/>
      <c r="G79" s="21">
        <f>SUM(G31:G42)</f>
        <v>0</v>
      </c>
      <c r="K79" s="1" t="s">
        <v>73</v>
      </c>
      <c r="M79" s="21">
        <f>SUM(M31:M42)</f>
        <v>0</v>
      </c>
      <c r="N79" s="22">
        <f>SUM(N31:N42)</f>
        <v>0</v>
      </c>
      <c r="O79" s="21"/>
      <c r="P79" s="21">
        <f>SUM(P31:P42)</f>
        <v>0</v>
      </c>
    </row>
    <row r="80" spans="1:26">
      <c r="B80" s="1" t="s">
        <v>74</v>
      </c>
      <c r="D80" s="21">
        <f>SUM(D43:D54)</f>
        <v>0</v>
      </c>
      <c r="E80" s="22">
        <f>SUM(E43:E54)</f>
        <v>0</v>
      </c>
      <c r="F80" s="21"/>
      <c r="G80" s="21">
        <f>SUM(G43:G54)</f>
        <v>0</v>
      </c>
      <c r="K80" s="1" t="s">
        <v>74</v>
      </c>
      <c r="M80" s="21">
        <f>SUM(M43:M54)</f>
        <v>0</v>
      </c>
      <c r="N80" s="22">
        <f>SUM(N43:N54)</f>
        <v>0</v>
      </c>
      <c r="O80" s="21"/>
      <c r="P80" s="21">
        <f>SUM(P43:P54)</f>
        <v>0</v>
      </c>
    </row>
    <row r="81" spans="2:16">
      <c r="B81" s="1" t="s">
        <v>75</v>
      </c>
      <c r="D81" s="21">
        <f>SUM(D55:D66)</f>
        <v>0</v>
      </c>
      <c r="E81" s="22">
        <f>SUM(E55:E66)</f>
        <v>0</v>
      </c>
      <c r="F81" s="21"/>
      <c r="G81" s="21">
        <f>SUM(G55:G66)</f>
        <v>0</v>
      </c>
      <c r="K81" s="1" t="s">
        <v>75</v>
      </c>
      <c r="M81" s="21">
        <f>SUM(M55:M66)</f>
        <v>0</v>
      </c>
      <c r="N81" s="22">
        <f>SUM(N55:N66)</f>
        <v>0</v>
      </c>
      <c r="O81" s="21"/>
      <c r="P81" s="21">
        <f>SUM(P55:P66)</f>
        <v>0</v>
      </c>
    </row>
    <row r="82" spans="2:16">
      <c r="B82" s="1" t="s">
        <v>76</v>
      </c>
      <c r="D82" s="21">
        <f>SUM(D67:D68)</f>
        <v>0</v>
      </c>
      <c r="E82" s="22">
        <f>SUM(E67:E68)</f>
        <v>0</v>
      </c>
      <c r="F82" s="21"/>
      <c r="G82" s="21">
        <f>SUM(G67:G68)</f>
        <v>0</v>
      </c>
      <c r="K82" s="1" t="s">
        <v>76</v>
      </c>
      <c r="M82" s="21">
        <f>SUM(M67:M68)</f>
        <v>0</v>
      </c>
      <c r="N82" s="22">
        <f>SUM(N67:N68)</f>
        <v>0</v>
      </c>
      <c r="O82" s="21"/>
      <c r="P82" s="21">
        <f>SUM(P67:P68)</f>
        <v>0</v>
      </c>
    </row>
  </sheetData>
  <mergeCells count="3">
    <mergeCell ref="D1:G1"/>
    <mergeCell ref="M1:P1"/>
    <mergeCell ref="V1:Y1"/>
  </mergeCells>
  <printOptions horizontalCentered="1" gridLines="1"/>
  <pageMargins left="0" right="0" top="0" bottom="0" header="0.5" footer="0.5"/>
  <pageSetup scale="5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9" tint="-0.249977111117893"/>
    <pageSetUpPr fitToPage="1"/>
  </sheetPr>
  <dimension ref="A1:BT87"/>
  <sheetViews>
    <sheetView view="pageBreakPreview" zoomScale="60" zoomScaleNormal="100" workbookViewId="0">
      <pane xSplit="3" ySplit="3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9.140625" defaultRowHeight="12.75"/>
  <cols>
    <col min="1" max="3" width="9.140625" style="1"/>
    <col min="4" max="4" width="12.28515625" style="1" bestFit="1" customWidth="1"/>
    <col min="5" max="5" width="17.28515625" style="1" customWidth="1"/>
    <col min="6" max="6" width="12" style="1" bestFit="1" customWidth="1"/>
    <col min="7" max="7" width="12.28515625" style="1" bestFit="1" customWidth="1"/>
    <col min="8" max="8" width="3.5703125" style="1" customWidth="1"/>
    <col min="9" max="9" width="11.85546875" style="1" bestFit="1" customWidth="1"/>
    <col min="10" max="10" width="10.5703125" style="1" bestFit="1" customWidth="1"/>
    <col min="11" max="11" width="3.7109375" style="1" customWidth="1"/>
    <col min="12" max="12" width="12.7109375" style="1" bestFit="1" customWidth="1"/>
    <col min="13" max="13" width="13.7109375" style="1" bestFit="1" customWidth="1"/>
    <col min="14" max="14" width="12.5703125" style="1" bestFit="1" customWidth="1"/>
    <col min="15" max="16" width="11.42578125" style="1" hidden="1" customWidth="1"/>
    <col min="17" max="17" width="0" style="1" hidden="1" customWidth="1"/>
    <col min="18" max="18" width="9.85546875" style="1" hidden="1" customWidth="1"/>
    <col min="19" max="20" width="9.7109375" style="1" hidden="1" customWidth="1"/>
    <col min="21" max="21" width="10.5703125" style="1" hidden="1" customWidth="1"/>
    <col min="22" max="23" width="10.140625" style="1" hidden="1" customWidth="1"/>
    <col min="24" max="24" width="10.42578125" style="1" hidden="1" customWidth="1"/>
    <col min="25" max="25" width="0" style="1" hidden="1" customWidth="1"/>
    <col min="26" max="27" width="10.5703125" style="1" hidden="1" customWidth="1"/>
    <col min="28" max="28" width="10.85546875" style="1" hidden="1" customWidth="1"/>
    <col min="29" max="29" width="9.85546875" style="1" hidden="1" customWidth="1"/>
    <col min="30" max="30" width="11.140625" style="1" hidden="1" customWidth="1"/>
    <col min="31" max="37" width="11.85546875" style="1" hidden="1" customWidth="1"/>
    <col min="38" max="38" width="14.42578125" style="1" bestFit="1" customWidth="1"/>
    <col min="39" max="39" width="13" style="1" bestFit="1" customWidth="1"/>
    <col min="40" max="40" width="14.140625" style="1" bestFit="1" customWidth="1"/>
    <col min="41" max="41" width="16.85546875" style="1" bestFit="1" customWidth="1"/>
    <col min="42" max="42" width="9.140625" style="1"/>
    <col min="43" max="44" width="11.28515625" style="1" bestFit="1" customWidth="1"/>
    <col min="45" max="55" width="11.140625" style="1" bestFit="1" customWidth="1"/>
    <col min="56" max="57" width="9.140625" style="1"/>
    <col min="58" max="58" width="11.140625" style="1" bestFit="1" customWidth="1"/>
    <col min="59" max="59" width="9.140625" style="1"/>
    <col min="60" max="60" width="10.140625" style="1" customWidth="1"/>
    <col min="61" max="65" width="9.140625" style="1"/>
    <col min="66" max="66" width="12.28515625" style="1" bestFit="1" customWidth="1"/>
    <col min="67" max="67" width="9.140625" style="1"/>
    <col min="68" max="68" width="11.28515625" style="1" bestFit="1" customWidth="1"/>
    <col min="69" max="69" width="10.5703125" style="1" bestFit="1" customWidth="1"/>
    <col min="70" max="70" width="11.28515625" style="1" bestFit="1" customWidth="1"/>
    <col min="71" max="71" width="13.28515625" style="1" bestFit="1" customWidth="1"/>
    <col min="72" max="72" width="13" style="1" bestFit="1" customWidth="1"/>
    <col min="73" max="16384" width="9.140625" style="1"/>
  </cols>
  <sheetData>
    <row r="1" spans="1:72">
      <c r="D1" s="681" t="s">
        <v>77</v>
      </c>
      <c r="E1" s="681"/>
      <c r="F1" s="681"/>
      <c r="G1" s="681"/>
      <c r="H1" s="681"/>
      <c r="I1" s="681"/>
      <c r="J1" s="681"/>
      <c r="K1" s="681"/>
      <c r="L1" s="681"/>
      <c r="M1" s="11"/>
      <c r="O1" s="681" t="s">
        <v>78</v>
      </c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681"/>
      <c r="AI1" s="681"/>
      <c r="AJ1" s="681"/>
      <c r="AK1" s="681"/>
      <c r="AL1" s="681"/>
      <c r="AM1" s="11"/>
      <c r="AN1" s="11"/>
      <c r="AO1" s="11"/>
      <c r="AQ1" s="681" t="s">
        <v>79</v>
      </c>
      <c r="AR1" s="681"/>
      <c r="AS1" s="681"/>
      <c r="AT1" s="681"/>
      <c r="AU1" s="681"/>
      <c r="AV1" s="681"/>
      <c r="AW1" s="681"/>
      <c r="AX1" s="681"/>
      <c r="AY1" s="681"/>
      <c r="AZ1" s="681"/>
      <c r="BA1" s="681"/>
      <c r="BB1" s="681"/>
      <c r="BC1" s="681"/>
      <c r="BD1" s="681"/>
      <c r="BE1" s="681"/>
      <c r="BF1" s="681"/>
      <c r="BG1" s="681"/>
      <c r="BH1" s="681"/>
      <c r="BI1" s="681"/>
      <c r="BJ1" s="681"/>
      <c r="BK1" s="681"/>
      <c r="BL1" s="681"/>
      <c r="BM1" s="681"/>
      <c r="BN1" s="681"/>
    </row>
    <row r="2" spans="1:72" s="49" customFormat="1" ht="76.5">
      <c r="C2" s="10" t="s">
        <v>16</v>
      </c>
      <c r="D2" s="50" t="s">
        <v>80</v>
      </c>
      <c r="E2" s="50" t="s">
        <v>81</v>
      </c>
      <c r="F2" s="50" t="s">
        <v>82</v>
      </c>
      <c r="G2" s="52" t="s">
        <v>83</v>
      </c>
      <c r="H2" s="51"/>
      <c r="I2" s="62" t="s">
        <v>84</v>
      </c>
      <c r="J2" s="62" t="s">
        <v>85</v>
      </c>
      <c r="K2" s="52"/>
      <c r="L2" s="52" t="s">
        <v>69</v>
      </c>
      <c r="M2" s="52" t="s">
        <v>86</v>
      </c>
      <c r="O2" s="63">
        <v>40026</v>
      </c>
      <c r="P2" s="63">
        <f t="shared" ref="P2:AK2" si="0">+O2+31</f>
        <v>40057</v>
      </c>
      <c r="Q2" s="63">
        <f t="shared" si="0"/>
        <v>40088</v>
      </c>
      <c r="R2" s="63">
        <f t="shared" si="0"/>
        <v>40119</v>
      </c>
      <c r="S2" s="63">
        <f t="shared" si="0"/>
        <v>40150</v>
      </c>
      <c r="T2" s="63">
        <f t="shared" si="0"/>
        <v>40181</v>
      </c>
      <c r="U2" s="63">
        <f t="shared" si="0"/>
        <v>40212</v>
      </c>
      <c r="V2" s="63">
        <f t="shared" si="0"/>
        <v>40243</v>
      </c>
      <c r="W2" s="63">
        <f t="shared" si="0"/>
        <v>40274</v>
      </c>
      <c r="X2" s="63">
        <f t="shared" si="0"/>
        <v>40305</v>
      </c>
      <c r="Y2" s="63">
        <f t="shared" si="0"/>
        <v>40336</v>
      </c>
      <c r="Z2" s="63">
        <f t="shared" si="0"/>
        <v>40367</v>
      </c>
      <c r="AA2" s="63">
        <f t="shared" si="0"/>
        <v>40398</v>
      </c>
      <c r="AB2" s="63">
        <f t="shared" si="0"/>
        <v>40429</v>
      </c>
      <c r="AC2" s="63">
        <f t="shared" si="0"/>
        <v>40460</v>
      </c>
      <c r="AD2" s="63">
        <f t="shared" si="0"/>
        <v>40491</v>
      </c>
      <c r="AE2" s="63">
        <f t="shared" si="0"/>
        <v>40522</v>
      </c>
      <c r="AF2" s="63">
        <f t="shared" si="0"/>
        <v>40553</v>
      </c>
      <c r="AG2" s="63">
        <f t="shared" si="0"/>
        <v>40584</v>
      </c>
      <c r="AH2" s="63">
        <f t="shared" si="0"/>
        <v>40615</v>
      </c>
      <c r="AI2" s="63">
        <f t="shared" si="0"/>
        <v>40646</v>
      </c>
      <c r="AJ2" s="63">
        <f t="shared" si="0"/>
        <v>40677</v>
      </c>
      <c r="AK2" s="63">
        <f t="shared" si="0"/>
        <v>40708</v>
      </c>
      <c r="AL2" s="49" t="s">
        <v>69</v>
      </c>
      <c r="AM2" s="49" t="s">
        <v>87</v>
      </c>
      <c r="AN2" s="49" t="s">
        <v>32</v>
      </c>
      <c r="AO2" s="49" t="s">
        <v>88</v>
      </c>
      <c r="AQ2" s="63">
        <v>40026</v>
      </c>
      <c r="AR2" s="63">
        <f t="shared" ref="AR2:BM2" si="1">+AQ2+31</f>
        <v>40057</v>
      </c>
      <c r="AS2" s="63">
        <f t="shared" si="1"/>
        <v>40088</v>
      </c>
      <c r="AT2" s="63">
        <f t="shared" si="1"/>
        <v>40119</v>
      </c>
      <c r="AU2" s="63">
        <f t="shared" si="1"/>
        <v>40150</v>
      </c>
      <c r="AV2" s="63">
        <f t="shared" si="1"/>
        <v>40181</v>
      </c>
      <c r="AW2" s="63">
        <f t="shared" si="1"/>
        <v>40212</v>
      </c>
      <c r="AX2" s="63">
        <f t="shared" si="1"/>
        <v>40243</v>
      </c>
      <c r="AY2" s="63">
        <f t="shared" si="1"/>
        <v>40274</v>
      </c>
      <c r="AZ2" s="63">
        <f t="shared" si="1"/>
        <v>40305</v>
      </c>
      <c r="BA2" s="63">
        <f t="shared" si="1"/>
        <v>40336</v>
      </c>
      <c r="BB2" s="63">
        <f t="shared" si="1"/>
        <v>40367</v>
      </c>
      <c r="BC2" s="63">
        <f t="shared" si="1"/>
        <v>40398</v>
      </c>
      <c r="BD2" s="63">
        <f t="shared" si="1"/>
        <v>40429</v>
      </c>
      <c r="BE2" s="63">
        <f t="shared" si="1"/>
        <v>40460</v>
      </c>
      <c r="BF2" s="63">
        <f t="shared" si="1"/>
        <v>40491</v>
      </c>
      <c r="BG2" s="63">
        <f t="shared" si="1"/>
        <v>40522</v>
      </c>
      <c r="BH2" s="63">
        <f t="shared" si="1"/>
        <v>40553</v>
      </c>
      <c r="BI2" s="63">
        <f t="shared" si="1"/>
        <v>40584</v>
      </c>
      <c r="BJ2" s="63">
        <f t="shared" si="1"/>
        <v>40615</v>
      </c>
      <c r="BK2" s="63">
        <f t="shared" si="1"/>
        <v>40646</v>
      </c>
      <c r="BL2" s="63">
        <f t="shared" si="1"/>
        <v>40677</v>
      </c>
      <c r="BM2" s="63">
        <f t="shared" si="1"/>
        <v>40708</v>
      </c>
      <c r="BN2" s="49" t="s">
        <v>69</v>
      </c>
      <c r="BP2" s="64" t="s">
        <v>89</v>
      </c>
      <c r="BQ2" s="64" t="s">
        <v>90</v>
      </c>
      <c r="BR2" s="64" t="s">
        <v>91</v>
      </c>
      <c r="BS2" s="64" t="s">
        <v>92</v>
      </c>
      <c r="BT2" s="64" t="s">
        <v>12</v>
      </c>
    </row>
    <row r="3" spans="1:72" ht="15.75">
      <c r="A3" s="1" t="s">
        <v>27</v>
      </c>
      <c r="C3" s="10" t="s">
        <v>28</v>
      </c>
      <c r="D3" s="53" t="s">
        <v>67</v>
      </c>
      <c r="E3" s="53" t="s">
        <v>67</v>
      </c>
      <c r="F3" s="53" t="s">
        <v>67</v>
      </c>
      <c r="G3" s="12"/>
      <c r="H3" s="12"/>
      <c r="I3" s="53" t="s">
        <v>67</v>
      </c>
      <c r="J3" s="53" t="s">
        <v>67</v>
      </c>
      <c r="K3" s="12"/>
      <c r="L3" s="12"/>
      <c r="M3" s="9"/>
    </row>
    <row r="4" spans="1:72">
      <c r="A4" s="10"/>
      <c r="B4" s="10"/>
      <c r="C4" s="10"/>
      <c r="D4" s="57"/>
      <c r="E4" s="55"/>
      <c r="F4" s="65"/>
      <c r="G4" s="56"/>
      <c r="H4" s="56"/>
      <c r="I4" s="57"/>
      <c r="J4" s="57"/>
      <c r="K4" s="56"/>
      <c r="L4" s="16"/>
      <c r="M4" s="23"/>
    </row>
    <row r="5" spans="1:72">
      <c r="A5" s="10" t="s">
        <v>46</v>
      </c>
      <c r="B5" s="10">
        <v>2009</v>
      </c>
      <c r="C5" s="10" t="s">
        <v>93</v>
      </c>
      <c r="D5" s="57"/>
      <c r="E5" s="55"/>
      <c r="F5" s="65"/>
      <c r="G5" s="56">
        <f t="shared" ref="G5:G66" si="2">SUM(D5:F5)</f>
        <v>0</v>
      </c>
      <c r="H5" s="56"/>
      <c r="I5" s="57"/>
      <c r="J5" s="57"/>
      <c r="K5" s="56"/>
      <c r="L5" s="16">
        <f t="shared" ref="L5:L66" si="3">SUM(G5:J5)</f>
        <v>0</v>
      </c>
      <c r="M5" s="16">
        <f>SUM(L$5:L5)</f>
        <v>0</v>
      </c>
      <c r="O5" s="16">
        <f>+$L5/48</f>
        <v>0</v>
      </c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>
        <f>SUM(O5:AH5)</f>
        <v>0</v>
      </c>
      <c r="AM5" s="16">
        <f>SUM(AL$5:AL5)</f>
        <v>0</v>
      </c>
      <c r="AN5" s="16">
        <f t="shared" ref="AN5:AN68" si="4">+M5-AM5</f>
        <v>0</v>
      </c>
      <c r="AO5" s="16"/>
      <c r="AQ5" s="16">
        <f>+$L5/12</f>
        <v>0</v>
      </c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>
        <f>SUM(AQ5:BJ5)</f>
        <v>0</v>
      </c>
      <c r="BP5" s="21">
        <f t="shared" ref="BP5:BP66" si="5">+BN5</f>
        <v>0</v>
      </c>
      <c r="BQ5" s="21">
        <f t="shared" ref="BQ5:BQ68" si="6">+AL5</f>
        <v>0</v>
      </c>
      <c r="BR5" s="16">
        <f t="shared" ref="BR5:BR68" si="7">+BQ5-BP5</f>
        <v>0</v>
      </c>
      <c r="BS5" s="16">
        <v>0</v>
      </c>
      <c r="BT5" s="16">
        <f>SUM(BS5:BS$5)</f>
        <v>0</v>
      </c>
    </row>
    <row r="6" spans="1:72">
      <c r="A6" s="10" t="s">
        <v>48</v>
      </c>
      <c r="B6" s="10">
        <f>+B5</f>
        <v>2009</v>
      </c>
      <c r="C6" s="10" t="s">
        <v>93</v>
      </c>
      <c r="D6" s="57"/>
      <c r="E6" s="55"/>
      <c r="F6" s="65"/>
      <c r="G6" s="56">
        <f>SUM(D6:F6)</f>
        <v>0</v>
      </c>
      <c r="H6" s="56"/>
      <c r="I6" s="57"/>
      <c r="J6" s="57"/>
      <c r="K6" s="56"/>
      <c r="L6" s="16">
        <f>SUM(G6:J6)</f>
        <v>0</v>
      </c>
      <c r="M6" s="16">
        <f>SUM(L$5:L6)</f>
        <v>0</v>
      </c>
      <c r="O6" s="16">
        <f t="shared" ref="O6:AD21" si="8">+O5</f>
        <v>0</v>
      </c>
      <c r="P6" s="16">
        <f>+$L6/48</f>
        <v>0</v>
      </c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>
        <f t="shared" ref="AL6:AL24" si="9">SUM(O6:AH6)</f>
        <v>0</v>
      </c>
      <c r="AM6" s="16">
        <f>SUM(AL$5:AL6)</f>
        <v>0</v>
      </c>
      <c r="AN6" s="16">
        <f t="shared" si="4"/>
        <v>0</v>
      </c>
      <c r="AO6" s="16">
        <f>+M6</f>
        <v>0</v>
      </c>
      <c r="AQ6" s="16">
        <f t="shared" ref="AQ6:AQ16" si="10">+AQ5</f>
        <v>0</v>
      </c>
      <c r="AR6" s="16">
        <f>+$L6/12</f>
        <v>0</v>
      </c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>
        <f t="shared" ref="BN6:BN24" si="11">SUM(AQ6:BJ6)</f>
        <v>0</v>
      </c>
      <c r="BP6" s="21">
        <f t="shared" si="5"/>
        <v>0</v>
      </c>
      <c r="BQ6" s="21">
        <f t="shared" si="6"/>
        <v>0</v>
      </c>
      <c r="BR6" s="16">
        <f t="shared" si="7"/>
        <v>0</v>
      </c>
      <c r="BS6" s="16">
        <v>0</v>
      </c>
      <c r="BT6" s="16">
        <f>SUM(BS$5:BS6)</f>
        <v>0</v>
      </c>
    </row>
    <row r="7" spans="1:72">
      <c r="A7" s="10" t="s">
        <v>50</v>
      </c>
      <c r="B7" s="10">
        <f>+B6</f>
        <v>2009</v>
      </c>
      <c r="C7" s="10" t="s">
        <v>93</v>
      </c>
      <c r="D7" s="57"/>
      <c r="E7" s="57"/>
      <c r="F7" s="57"/>
      <c r="G7" s="56">
        <f t="shared" si="2"/>
        <v>0</v>
      </c>
      <c r="H7" s="56"/>
      <c r="I7" s="57">
        <v>59400</v>
      </c>
      <c r="J7" s="57"/>
      <c r="K7" s="56"/>
      <c r="L7" s="16">
        <f t="shared" si="3"/>
        <v>59400</v>
      </c>
      <c r="M7" s="16">
        <f>SUM(L$5:L7)</f>
        <v>59400</v>
      </c>
      <c r="O7" s="16">
        <f t="shared" si="8"/>
        <v>0</v>
      </c>
      <c r="P7" s="16">
        <f t="shared" si="8"/>
        <v>0</v>
      </c>
      <c r="Q7" s="16">
        <f>+$L7/48</f>
        <v>1237.5</v>
      </c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>
        <f t="shared" si="9"/>
        <v>1237.5</v>
      </c>
      <c r="AM7" s="16">
        <f>SUM(AL$5:AL7)</f>
        <v>1237.5</v>
      </c>
      <c r="AN7" s="16">
        <f t="shared" si="4"/>
        <v>58162.5</v>
      </c>
      <c r="AO7" s="16">
        <f>+M7-AM6</f>
        <v>59400</v>
      </c>
      <c r="AQ7" s="16">
        <f t="shared" si="10"/>
        <v>0</v>
      </c>
      <c r="AR7" s="16">
        <f t="shared" ref="AR7:AR17" si="12">+AR6</f>
        <v>0</v>
      </c>
      <c r="AS7" s="16">
        <f>+$L7/12</f>
        <v>4950</v>
      </c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>
        <f t="shared" si="11"/>
        <v>4950</v>
      </c>
      <c r="BP7" s="21">
        <f t="shared" si="5"/>
        <v>4950</v>
      </c>
      <c r="BQ7" s="21">
        <f t="shared" si="6"/>
        <v>1237.5</v>
      </c>
      <c r="BR7" s="16">
        <f t="shared" si="7"/>
        <v>-3712.5</v>
      </c>
      <c r="BS7" s="16">
        <f>+BR7*'Capital Structure '!$E$30</f>
        <v>-1516.5562499999999</v>
      </c>
      <c r="BT7" s="16">
        <f>SUM(BS$5:BS7)</f>
        <v>-1516.5562499999999</v>
      </c>
    </row>
    <row r="8" spans="1:72">
      <c r="A8" s="10" t="s">
        <v>51</v>
      </c>
      <c r="B8" s="10">
        <f>+B7</f>
        <v>2009</v>
      </c>
      <c r="C8" s="10" t="s">
        <v>93</v>
      </c>
      <c r="D8" s="57"/>
      <c r="E8" s="57"/>
      <c r="F8" s="57"/>
      <c r="G8" s="56">
        <f t="shared" si="2"/>
        <v>0</v>
      </c>
      <c r="H8" s="56"/>
      <c r="I8" s="57">
        <v>176400</v>
      </c>
      <c r="J8" s="57"/>
      <c r="K8" s="56"/>
      <c r="L8" s="16">
        <f t="shared" si="3"/>
        <v>176400</v>
      </c>
      <c r="M8" s="16">
        <f>SUM(L$5:L8)</f>
        <v>235800</v>
      </c>
      <c r="O8" s="16">
        <f t="shared" si="8"/>
        <v>0</v>
      </c>
      <c r="P8" s="16">
        <f t="shared" si="8"/>
        <v>0</v>
      </c>
      <c r="Q8" s="16">
        <f t="shared" si="8"/>
        <v>1237.5</v>
      </c>
      <c r="R8" s="16">
        <f>+$L8/48</f>
        <v>3675</v>
      </c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>
        <f t="shared" si="9"/>
        <v>4912.5</v>
      </c>
      <c r="AM8" s="16">
        <f>SUM(AL$5:AL8)</f>
        <v>6150</v>
      </c>
      <c r="AN8" s="16">
        <f t="shared" si="4"/>
        <v>229650</v>
      </c>
      <c r="AO8" s="16">
        <f t="shared" ref="AO8:AO71" si="13">+M8-AM7</f>
        <v>234562.5</v>
      </c>
      <c r="AQ8" s="16">
        <f t="shared" si="10"/>
        <v>0</v>
      </c>
      <c r="AR8" s="16">
        <f t="shared" si="12"/>
        <v>0</v>
      </c>
      <c r="AS8" s="16">
        <f t="shared" ref="AS8:AS18" si="14">+AS7</f>
        <v>4950</v>
      </c>
      <c r="AT8" s="16">
        <f>+$L8/12</f>
        <v>14700</v>
      </c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>
        <f t="shared" si="11"/>
        <v>19650</v>
      </c>
      <c r="BP8" s="21">
        <f t="shared" si="5"/>
        <v>19650</v>
      </c>
      <c r="BQ8" s="21">
        <f t="shared" si="6"/>
        <v>4912.5</v>
      </c>
      <c r="BR8" s="16">
        <f>+BQ8-BP8</f>
        <v>-14737.5</v>
      </c>
      <c r="BS8" s="16">
        <f>+BR8*'Capital Structure '!$E$30</f>
        <v>-6020.2687499999993</v>
      </c>
      <c r="BT8" s="16">
        <f>SUM(BS$5:BS8)</f>
        <v>-7536.8249999999989</v>
      </c>
    </row>
    <row r="9" spans="1:72">
      <c r="A9" s="10" t="s">
        <v>52</v>
      </c>
      <c r="B9" s="10">
        <f>+B8</f>
        <v>2009</v>
      </c>
      <c r="C9" s="10" t="s">
        <v>93</v>
      </c>
      <c r="D9" s="57"/>
      <c r="E9" s="57"/>
      <c r="F9" s="57">
        <v>5263.33</v>
      </c>
      <c r="G9" s="56">
        <f t="shared" si="2"/>
        <v>5263.33</v>
      </c>
      <c r="H9" s="56"/>
      <c r="I9" s="57">
        <v>225900</v>
      </c>
      <c r="J9" s="57"/>
      <c r="K9" s="56"/>
      <c r="L9" s="16">
        <f t="shared" si="3"/>
        <v>231163.33</v>
      </c>
      <c r="M9" s="16">
        <f>SUM(L$5:L9)</f>
        <v>466963.32999999996</v>
      </c>
      <c r="O9" s="16">
        <f t="shared" si="8"/>
        <v>0</v>
      </c>
      <c r="P9" s="16">
        <f t="shared" si="8"/>
        <v>0</v>
      </c>
      <c r="Q9" s="16">
        <f t="shared" si="8"/>
        <v>1237.5</v>
      </c>
      <c r="R9" s="16">
        <f t="shared" si="8"/>
        <v>3675</v>
      </c>
      <c r="S9" s="16">
        <f>+$L9/48</f>
        <v>4815.9027083333331</v>
      </c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>
        <f t="shared" si="9"/>
        <v>9728.4027083333331</v>
      </c>
      <c r="AM9" s="16">
        <f>SUM(AL$5:AL9)</f>
        <v>15878.402708333333</v>
      </c>
      <c r="AN9" s="16">
        <f t="shared" si="4"/>
        <v>451084.92729166662</v>
      </c>
      <c r="AO9" s="16">
        <f t="shared" si="13"/>
        <v>460813.32999999996</v>
      </c>
      <c r="AQ9" s="16">
        <f t="shared" si="10"/>
        <v>0</v>
      </c>
      <c r="AR9" s="16">
        <f t="shared" si="12"/>
        <v>0</v>
      </c>
      <c r="AS9" s="16">
        <f t="shared" si="14"/>
        <v>4950</v>
      </c>
      <c r="AT9" s="16">
        <f t="shared" ref="AT9:AT19" si="15">+AT8</f>
        <v>14700</v>
      </c>
      <c r="AU9" s="16">
        <f>+$L9/12</f>
        <v>19263.610833333332</v>
      </c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>
        <f t="shared" si="11"/>
        <v>38913.610833333332</v>
      </c>
      <c r="BP9" s="21">
        <f t="shared" si="5"/>
        <v>38913.610833333332</v>
      </c>
      <c r="BQ9" s="21">
        <f t="shared" si="6"/>
        <v>9728.4027083333331</v>
      </c>
      <c r="BR9" s="16">
        <f t="shared" si="7"/>
        <v>-29185.208124999997</v>
      </c>
      <c r="BS9" s="16">
        <f>+BR9*'Capital Structure '!$E$30</f>
        <v>-11922.157519062499</v>
      </c>
      <c r="BT9" s="16">
        <f>SUM(BS$5:BS9)</f>
        <v>-19458.982519062498</v>
      </c>
    </row>
    <row r="10" spans="1:72">
      <c r="A10" s="10" t="s">
        <v>53</v>
      </c>
      <c r="B10" s="10">
        <f>+B9+1</f>
        <v>2010</v>
      </c>
      <c r="C10" s="10" t="s">
        <v>93</v>
      </c>
      <c r="D10" s="57"/>
      <c r="E10" s="57"/>
      <c r="F10" s="57">
        <v>8646.86</v>
      </c>
      <c r="G10" s="56">
        <f t="shared" si="2"/>
        <v>8646.86</v>
      </c>
      <c r="H10" s="56"/>
      <c r="I10" s="57">
        <v>262800</v>
      </c>
      <c r="J10" s="57"/>
      <c r="K10" s="56"/>
      <c r="L10" s="16">
        <f t="shared" si="3"/>
        <v>271446.86</v>
      </c>
      <c r="M10" s="16">
        <f>SUM(L$5:L10)</f>
        <v>738410.19</v>
      </c>
      <c r="O10" s="16">
        <f t="shared" si="8"/>
        <v>0</v>
      </c>
      <c r="P10" s="16">
        <f t="shared" si="8"/>
        <v>0</v>
      </c>
      <c r="Q10" s="16">
        <f t="shared" si="8"/>
        <v>1237.5</v>
      </c>
      <c r="R10" s="16">
        <f t="shared" si="8"/>
        <v>3675</v>
      </c>
      <c r="S10" s="16">
        <f t="shared" si="8"/>
        <v>4815.9027083333331</v>
      </c>
      <c r="T10" s="16">
        <f>+$L10/48</f>
        <v>5655.1429166666667</v>
      </c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>
        <f t="shared" si="9"/>
        <v>15383.545624999999</v>
      </c>
      <c r="AM10" s="16">
        <f>SUM(AL$5:AL10)</f>
        <v>31261.948333333334</v>
      </c>
      <c r="AN10" s="16">
        <f t="shared" si="4"/>
        <v>707148.24166666658</v>
      </c>
      <c r="AO10" s="16">
        <f t="shared" si="13"/>
        <v>722531.78729166661</v>
      </c>
      <c r="AQ10" s="16">
        <f t="shared" si="10"/>
        <v>0</v>
      </c>
      <c r="AR10" s="16">
        <f t="shared" si="12"/>
        <v>0</v>
      </c>
      <c r="AS10" s="16">
        <f t="shared" si="14"/>
        <v>4950</v>
      </c>
      <c r="AT10" s="16">
        <f t="shared" si="15"/>
        <v>14700</v>
      </c>
      <c r="AU10" s="16">
        <f t="shared" ref="AU10:AU20" si="16">+AU9</f>
        <v>19263.610833333332</v>
      </c>
      <c r="AV10" s="16">
        <f>+$L10/12</f>
        <v>22620.571666666667</v>
      </c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>
        <f t="shared" si="11"/>
        <v>61534.182499999995</v>
      </c>
      <c r="BP10" s="21">
        <f t="shared" si="5"/>
        <v>61534.182499999995</v>
      </c>
      <c r="BQ10" s="21">
        <f t="shared" si="6"/>
        <v>15383.545624999999</v>
      </c>
      <c r="BR10" s="16">
        <f t="shared" si="7"/>
        <v>-46150.636874999997</v>
      </c>
      <c r="BS10" s="16">
        <f>+BR10*'Capital Structure '!$E$30</f>
        <v>-18852.535163437497</v>
      </c>
      <c r="BT10" s="16">
        <f>SUM(BS$5:BS10)</f>
        <v>-38311.517682499994</v>
      </c>
    </row>
    <row r="11" spans="1:72">
      <c r="A11" s="10" t="s">
        <v>54</v>
      </c>
      <c r="B11" s="10">
        <f t="shared" ref="B11:B21" si="17">+B10</f>
        <v>2010</v>
      </c>
      <c r="C11" s="10" t="s">
        <v>93</v>
      </c>
      <c r="D11" s="57"/>
      <c r="E11" s="57"/>
      <c r="F11" s="57">
        <v>59306.05</v>
      </c>
      <c r="G11" s="56">
        <f t="shared" si="2"/>
        <v>59306.05</v>
      </c>
      <c r="H11" s="56"/>
      <c r="I11" s="57">
        <v>264600</v>
      </c>
      <c r="J11" s="57"/>
      <c r="K11" s="56"/>
      <c r="L11" s="16">
        <f t="shared" si="3"/>
        <v>323906.05</v>
      </c>
      <c r="M11" s="16">
        <f>SUM(L$5:L11)</f>
        <v>1062316.24</v>
      </c>
      <c r="O11" s="16">
        <f t="shared" si="8"/>
        <v>0</v>
      </c>
      <c r="P11" s="16">
        <f t="shared" si="8"/>
        <v>0</v>
      </c>
      <c r="Q11" s="16">
        <f t="shared" si="8"/>
        <v>1237.5</v>
      </c>
      <c r="R11" s="16">
        <f t="shared" si="8"/>
        <v>3675</v>
      </c>
      <c r="S11" s="16">
        <f t="shared" si="8"/>
        <v>4815.9027083333331</v>
      </c>
      <c r="T11" s="16">
        <f t="shared" si="8"/>
        <v>5655.1429166666667</v>
      </c>
      <c r="U11" s="16">
        <f>+$L11/48</f>
        <v>6748.0427083333334</v>
      </c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>
        <f t="shared" si="9"/>
        <v>22131.588333333333</v>
      </c>
      <c r="AM11" s="16">
        <f>SUM(AL$5:AL11)</f>
        <v>53393.536666666667</v>
      </c>
      <c r="AN11" s="16">
        <f t="shared" si="4"/>
        <v>1008922.7033333334</v>
      </c>
      <c r="AO11" s="16">
        <f t="shared" si="13"/>
        <v>1031054.2916666666</v>
      </c>
      <c r="AQ11" s="16">
        <f t="shared" si="10"/>
        <v>0</v>
      </c>
      <c r="AR11" s="16">
        <f t="shared" si="12"/>
        <v>0</v>
      </c>
      <c r="AS11" s="16">
        <f t="shared" si="14"/>
        <v>4950</v>
      </c>
      <c r="AT11" s="16">
        <f t="shared" si="15"/>
        <v>14700</v>
      </c>
      <c r="AU11" s="16">
        <f t="shared" si="16"/>
        <v>19263.610833333332</v>
      </c>
      <c r="AV11" s="16">
        <f t="shared" ref="AV11:AV21" si="18">+AV10</f>
        <v>22620.571666666667</v>
      </c>
      <c r="AW11" s="16">
        <f>+$L11/12</f>
        <v>26992.170833333334</v>
      </c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>
        <f t="shared" si="11"/>
        <v>88526.353333333333</v>
      </c>
      <c r="BP11" s="21">
        <f>+BN11</f>
        <v>88526.353333333333</v>
      </c>
      <c r="BQ11" s="21">
        <f t="shared" si="6"/>
        <v>22131.588333333333</v>
      </c>
      <c r="BR11" s="16">
        <f t="shared" si="7"/>
        <v>-66394.764999999999</v>
      </c>
      <c r="BS11" s="16">
        <f>+BR11*'Capital Structure '!$E$30</f>
        <v>-27122.261502499998</v>
      </c>
      <c r="BT11" s="16">
        <f>SUM(BS$5:BS11)</f>
        <v>-65433.779184999992</v>
      </c>
    </row>
    <row r="12" spans="1:72">
      <c r="A12" s="10" t="s">
        <v>55</v>
      </c>
      <c r="B12" s="10">
        <f t="shared" si="17"/>
        <v>2010</v>
      </c>
      <c r="C12" s="10" t="s">
        <v>93</v>
      </c>
      <c r="D12" s="57"/>
      <c r="E12" s="57"/>
      <c r="F12" s="57">
        <f>47490.1+15223.86+8977.84</f>
        <v>71691.8</v>
      </c>
      <c r="G12" s="56">
        <f t="shared" si="2"/>
        <v>71691.8</v>
      </c>
      <c r="H12" s="56"/>
      <c r="I12" s="57">
        <v>378900</v>
      </c>
      <c r="J12" s="57"/>
      <c r="K12" s="56"/>
      <c r="L12" s="16">
        <f>SUM(G12:J12)</f>
        <v>450591.8</v>
      </c>
      <c r="M12" s="16">
        <f>SUM(L$5:L12)</f>
        <v>1512908.04</v>
      </c>
      <c r="O12" s="16">
        <f t="shared" si="8"/>
        <v>0</v>
      </c>
      <c r="P12" s="16">
        <f t="shared" si="8"/>
        <v>0</v>
      </c>
      <c r="Q12" s="16">
        <f t="shared" si="8"/>
        <v>1237.5</v>
      </c>
      <c r="R12" s="16">
        <f t="shared" si="8"/>
        <v>3675</v>
      </c>
      <c r="S12" s="16">
        <f t="shared" si="8"/>
        <v>4815.9027083333331</v>
      </c>
      <c r="T12" s="16">
        <f t="shared" si="8"/>
        <v>5655.1429166666667</v>
      </c>
      <c r="U12" s="16">
        <f t="shared" si="8"/>
        <v>6748.0427083333334</v>
      </c>
      <c r="V12" s="16">
        <f>+$L12/48</f>
        <v>9387.3291666666664</v>
      </c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>
        <f t="shared" si="9"/>
        <v>31518.9175</v>
      </c>
      <c r="AM12" s="16">
        <f>SUM(AL$5:AL12)</f>
        <v>84912.454166666663</v>
      </c>
      <c r="AN12" s="16">
        <f t="shared" si="4"/>
        <v>1427995.5858333334</v>
      </c>
      <c r="AO12" s="16">
        <f t="shared" si="13"/>
        <v>1459514.5033333334</v>
      </c>
      <c r="AQ12" s="16">
        <f t="shared" si="10"/>
        <v>0</v>
      </c>
      <c r="AR12" s="16">
        <f t="shared" si="12"/>
        <v>0</v>
      </c>
      <c r="AS12" s="16">
        <f t="shared" si="14"/>
        <v>4950</v>
      </c>
      <c r="AT12" s="16">
        <f t="shared" si="15"/>
        <v>14700</v>
      </c>
      <c r="AU12" s="16">
        <f t="shared" si="16"/>
        <v>19263.610833333332</v>
      </c>
      <c r="AV12" s="16">
        <f t="shared" si="18"/>
        <v>22620.571666666667</v>
      </c>
      <c r="AW12" s="16">
        <f t="shared" ref="AW12:AW21" si="19">+AW11</f>
        <v>26992.170833333334</v>
      </c>
      <c r="AX12" s="16">
        <f>+$L12/12</f>
        <v>37549.316666666666</v>
      </c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>
        <f t="shared" si="11"/>
        <v>126075.67</v>
      </c>
      <c r="BP12" s="21">
        <f t="shared" si="5"/>
        <v>126075.67</v>
      </c>
      <c r="BQ12" s="21">
        <f t="shared" si="6"/>
        <v>31518.9175</v>
      </c>
      <c r="BR12" s="16">
        <f t="shared" si="7"/>
        <v>-94556.752500000002</v>
      </c>
      <c r="BS12" s="16">
        <f>+BR12*'Capital Structure '!$E$30</f>
        <v>-38626.433396249995</v>
      </c>
      <c r="BT12" s="16">
        <f>SUM(BS$5:BS12)</f>
        <v>-104060.21258124999</v>
      </c>
    </row>
    <row r="13" spans="1:72">
      <c r="A13" s="10" t="s">
        <v>56</v>
      </c>
      <c r="B13" s="10">
        <f t="shared" si="17"/>
        <v>2010</v>
      </c>
      <c r="C13" s="10" t="s">
        <v>93</v>
      </c>
      <c r="D13" s="57"/>
      <c r="E13" s="57"/>
      <c r="F13" s="57">
        <f>57013.5+9566.36+30980.57</f>
        <v>97560.43</v>
      </c>
      <c r="G13" s="56">
        <f t="shared" si="2"/>
        <v>97560.43</v>
      </c>
      <c r="H13" s="56"/>
      <c r="I13" s="57">
        <v>300600</v>
      </c>
      <c r="J13" s="57"/>
      <c r="K13" s="56"/>
      <c r="L13" s="16">
        <f t="shared" si="3"/>
        <v>398160.43</v>
      </c>
      <c r="M13" s="16">
        <f>SUM(L$5:L13)</f>
        <v>1911068.47</v>
      </c>
      <c r="O13" s="16">
        <f t="shared" si="8"/>
        <v>0</v>
      </c>
      <c r="P13" s="16">
        <f t="shared" si="8"/>
        <v>0</v>
      </c>
      <c r="Q13" s="16">
        <f>+Q12</f>
        <v>1237.5</v>
      </c>
      <c r="R13" s="16">
        <f t="shared" si="8"/>
        <v>3675</v>
      </c>
      <c r="S13" s="16">
        <f t="shared" si="8"/>
        <v>4815.9027083333331</v>
      </c>
      <c r="T13" s="16">
        <f t="shared" si="8"/>
        <v>5655.1429166666667</v>
      </c>
      <c r="U13" s="16">
        <f t="shared" si="8"/>
        <v>6748.0427083333334</v>
      </c>
      <c r="V13" s="16">
        <f t="shared" si="8"/>
        <v>9387.3291666666664</v>
      </c>
      <c r="W13" s="16">
        <f>+$L13/48</f>
        <v>8295.0089583333338</v>
      </c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>
        <f t="shared" si="9"/>
        <v>39813.926458333335</v>
      </c>
      <c r="AM13" s="16">
        <f>SUM(AL$5:AL13)</f>
        <v>124726.38062499999</v>
      </c>
      <c r="AN13" s="16">
        <f t="shared" si="4"/>
        <v>1786342.089375</v>
      </c>
      <c r="AO13" s="16">
        <f t="shared" si="13"/>
        <v>1826156.0158333334</v>
      </c>
      <c r="AQ13" s="16">
        <f t="shared" si="10"/>
        <v>0</v>
      </c>
      <c r="AR13" s="16">
        <f t="shared" si="12"/>
        <v>0</v>
      </c>
      <c r="AS13" s="16">
        <f t="shared" si="14"/>
        <v>4950</v>
      </c>
      <c r="AT13" s="16">
        <f t="shared" si="15"/>
        <v>14700</v>
      </c>
      <c r="AU13" s="16">
        <f t="shared" si="16"/>
        <v>19263.610833333332</v>
      </c>
      <c r="AV13" s="16">
        <f t="shared" si="18"/>
        <v>22620.571666666667</v>
      </c>
      <c r="AW13" s="16">
        <f t="shared" si="19"/>
        <v>26992.170833333334</v>
      </c>
      <c r="AX13" s="16">
        <f t="shared" ref="AX13:AX21" si="20">+AX12</f>
        <v>37549.316666666666</v>
      </c>
      <c r="AY13" s="16">
        <f>+$L13/12</f>
        <v>33180.035833333335</v>
      </c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>
        <f t="shared" si="11"/>
        <v>159255.70583333334</v>
      </c>
      <c r="BP13" s="21">
        <f>+BN13</f>
        <v>159255.70583333334</v>
      </c>
      <c r="BQ13" s="21">
        <f t="shared" si="6"/>
        <v>39813.926458333335</v>
      </c>
      <c r="BR13" s="16">
        <f>+BQ13-BP13</f>
        <v>-119441.77937500001</v>
      </c>
      <c r="BS13" s="16">
        <f>+BR13*'Capital Structure '!$E$30</f>
        <v>-48791.966874687503</v>
      </c>
      <c r="BT13" s="16">
        <f>SUM(BS$5:BS13)</f>
        <v>-152852.1794559375</v>
      </c>
    </row>
    <row r="14" spans="1:72">
      <c r="A14" s="10" t="s">
        <v>57</v>
      </c>
      <c r="B14" s="10">
        <f t="shared" si="17"/>
        <v>2010</v>
      </c>
      <c r="C14" s="10" t="s">
        <v>93</v>
      </c>
      <c r="D14" s="57"/>
      <c r="E14" s="57"/>
      <c r="F14" s="66">
        <f>24718.9+9612.28+20761.38+21913.79</f>
        <v>77006.350000000006</v>
      </c>
      <c r="G14" s="56">
        <f t="shared" si="2"/>
        <v>77006.350000000006</v>
      </c>
      <c r="H14" s="56"/>
      <c r="I14" s="57">
        <v>288900</v>
      </c>
      <c r="J14" s="57"/>
      <c r="K14" s="56"/>
      <c r="L14" s="16">
        <f t="shared" si="3"/>
        <v>365906.35</v>
      </c>
      <c r="M14" s="16">
        <f>SUM(L$5:L14)</f>
        <v>2276974.8199999998</v>
      </c>
      <c r="O14" s="16">
        <f t="shared" si="8"/>
        <v>0</v>
      </c>
      <c r="P14" s="16">
        <f t="shared" si="8"/>
        <v>0</v>
      </c>
      <c r="Q14" s="16">
        <f t="shared" si="8"/>
        <v>1237.5</v>
      </c>
      <c r="R14" s="16">
        <f t="shared" si="8"/>
        <v>3675</v>
      </c>
      <c r="S14" s="16">
        <f t="shared" si="8"/>
        <v>4815.9027083333331</v>
      </c>
      <c r="T14" s="16">
        <f t="shared" si="8"/>
        <v>5655.1429166666667</v>
      </c>
      <c r="U14" s="16">
        <f t="shared" si="8"/>
        <v>6748.0427083333334</v>
      </c>
      <c r="V14" s="16">
        <f t="shared" si="8"/>
        <v>9387.3291666666664</v>
      </c>
      <c r="W14" s="16">
        <f>+W13</f>
        <v>8295.0089583333338</v>
      </c>
      <c r="X14" s="16">
        <f>+$L14/48</f>
        <v>7623.0489583333328</v>
      </c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>
        <f t="shared" si="9"/>
        <v>47436.975416666668</v>
      </c>
      <c r="AM14" s="16">
        <f>SUM(AL$5:AL14)</f>
        <v>172163.35604166664</v>
      </c>
      <c r="AN14" s="16">
        <f t="shared" si="4"/>
        <v>2104811.4639583332</v>
      </c>
      <c r="AO14" s="16">
        <f t="shared" si="13"/>
        <v>2152248.4393750001</v>
      </c>
      <c r="AQ14" s="16">
        <f t="shared" si="10"/>
        <v>0</v>
      </c>
      <c r="AR14" s="16">
        <f t="shared" si="12"/>
        <v>0</v>
      </c>
      <c r="AS14" s="16">
        <f t="shared" si="14"/>
        <v>4950</v>
      </c>
      <c r="AT14" s="16">
        <f t="shared" si="15"/>
        <v>14700</v>
      </c>
      <c r="AU14" s="16">
        <f t="shared" si="16"/>
        <v>19263.610833333332</v>
      </c>
      <c r="AV14" s="16">
        <f t="shared" si="18"/>
        <v>22620.571666666667</v>
      </c>
      <c r="AW14" s="16">
        <f t="shared" si="19"/>
        <v>26992.170833333334</v>
      </c>
      <c r="AX14" s="16">
        <f t="shared" si="20"/>
        <v>37549.316666666666</v>
      </c>
      <c r="AY14" s="16">
        <f t="shared" ref="AY14:AY21" si="21">+AY13</f>
        <v>33180.035833333335</v>
      </c>
      <c r="AZ14" s="16">
        <f>+$L14/12</f>
        <v>30492.195833333331</v>
      </c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>
        <f t="shared" si="11"/>
        <v>189747.90166666667</v>
      </c>
      <c r="BP14" s="21">
        <f>+BN14</f>
        <v>189747.90166666667</v>
      </c>
      <c r="BQ14" s="21">
        <f t="shared" si="6"/>
        <v>47436.975416666668</v>
      </c>
      <c r="BR14" s="16">
        <f>+BQ14-BP14</f>
        <v>-142310.92625000002</v>
      </c>
      <c r="BS14" s="16">
        <f>+BR14*'Capital Structure '!$E$30</f>
        <v>-58134.013373125003</v>
      </c>
      <c r="BT14" s="16">
        <f>SUM(BS$5:BS14)</f>
        <v>-210986.19282906249</v>
      </c>
    </row>
    <row r="15" spans="1:72">
      <c r="A15" s="10" t="s">
        <v>58</v>
      </c>
      <c r="B15" s="10">
        <f t="shared" si="17"/>
        <v>2010</v>
      </c>
      <c r="C15" s="10" t="s">
        <v>93</v>
      </c>
      <c r="D15" s="57"/>
      <c r="E15" s="57">
        <v>0</v>
      </c>
      <c r="F15" s="66">
        <f>21261.35+9648.19+28619.08+11372.8</f>
        <v>70901.42</v>
      </c>
      <c r="G15" s="56">
        <f>SUM(D15:F15)</f>
        <v>70901.42</v>
      </c>
      <c r="H15" s="56"/>
      <c r="I15" s="57">
        <v>370800</v>
      </c>
      <c r="J15" s="57">
        <v>0</v>
      </c>
      <c r="K15" s="56"/>
      <c r="L15" s="16">
        <f>SUM(G15:J15)</f>
        <v>441701.42</v>
      </c>
      <c r="M15" s="16">
        <f>SUM(L$5:L15)</f>
        <v>2718676.2399999998</v>
      </c>
      <c r="O15" s="16">
        <f t="shared" si="8"/>
        <v>0</v>
      </c>
      <c r="P15" s="16">
        <f t="shared" si="8"/>
        <v>0</v>
      </c>
      <c r="Q15" s="16">
        <f t="shared" si="8"/>
        <v>1237.5</v>
      </c>
      <c r="R15" s="16">
        <f t="shared" si="8"/>
        <v>3675</v>
      </c>
      <c r="S15" s="16">
        <f t="shared" si="8"/>
        <v>4815.9027083333331</v>
      </c>
      <c r="T15" s="16">
        <f t="shared" si="8"/>
        <v>5655.1429166666667</v>
      </c>
      <c r="U15" s="16">
        <f t="shared" si="8"/>
        <v>6748.0427083333334</v>
      </c>
      <c r="V15" s="16">
        <f t="shared" si="8"/>
        <v>9387.3291666666664</v>
      </c>
      <c r="W15" s="16">
        <f t="shared" si="8"/>
        <v>8295.0089583333338</v>
      </c>
      <c r="X15" s="16">
        <f t="shared" si="8"/>
        <v>7623.0489583333328</v>
      </c>
      <c r="Y15" s="16">
        <f>+$L15/48</f>
        <v>9202.1129166666669</v>
      </c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>
        <f t="shared" si="9"/>
        <v>56639.088333333333</v>
      </c>
      <c r="AM15" s="16">
        <f>SUM(AL$5:AL15)</f>
        <v>228802.44437499996</v>
      </c>
      <c r="AN15" s="16">
        <f t="shared" si="4"/>
        <v>2489873.7956249998</v>
      </c>
      <c r="AO15" s="16">
        <f t="shared" si="13"/>
        <v>2546512.8839583332</v>
      </c>
      <c r="AQ15" s="16">
        <f t="shared" si="10"/>
        <v>0</v>
      </c>
      <c r="AR15" s="16">
        <f t="shared" si="12"/>
        <v>0</v>
      </c>
      <c r="AS15" s="16">
        <f t="shared" si="14"/>
        <v>4950</v>
      </c>
      <c r="AT15" s="16">
        <f t="shared" si="15"/>
        <v>14700</v>
      </c>
      <c r="AU15" s="16">
        <f t="shared" si="16"/>
        <v>19263.610833333332</v>
      </c>
      <c r="AV15" s="16">
        <f t="shared" si="18"/>
        <v>22620.571666666667</v>
      </c>
      <c r="AW15" s="16">
        <f t="shared" si="19"/>
        <v>26992.170833333334</v>
      </c>
      <c r="AX15" s="16">
        <f t="shared" si="20"/>
        <v>37549.316666666666</v>
      </c>
      <c r="AY15" s="16">
        <f t="shared" si="21"/>
        <v>33180.035833333335</v>
      </c>
      <c r="AZ15" s="16">
        <f t="shared" ref="AZ15:AZ21" si="22">+AZ14</f>
        <v>30492.195833333331</v>
      </c>
      <c r="BA15" s="16">
        <f>+$L15/12</f>
        <v>36808.451666666668</v>
      </c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>
        <f t="shared" si="11"/>
        <v>226556.35333333333</v>
      </c>
      <c r="BP15" s="21">
        <f t="shared" si="5"/>
        <v>226556.35333333333</v>
      </c>
      <c r="BQ15" s="21">
        <f t="shared" si="6"/>
        <v>56639.088333333333</v>
      </c>
      <c r="BR15" s="16">
        <f t="shared" si="7"/>
        <v>-169917.26500000001</v>
      </c>
      <c r="BS15" s="16">
        <f>+BR15*'Capital Structure '!$E$30</f>
        <v>-69411.202752500001</v>
      </c>
      <c r="BT15" s="16">
        <f>SUM(BS$5:BS15)</f>
        <v>-280397.39558156248</v>
      </c>
    </row>
    <row r="16" spans="1:72">
      <c r="A16" s="10" t="s">
        <v>59</v>
      </c>
      <c r="B16" s="10">
        <f t="shared" si="17"/>
        <v>2010</v>
      </c>
      <c r="C16" s="10" t="s">
        <v>93</v>
      </c>
      <c r="D16" s="57"/>
      <c r="E16" s="57">
        <v>0</v>
      </c>
      <c r="F16" s="57">
        <f>20759.94+15069.31+26300.42+37053.43</f>
        <v>99183.1</v>
      </c>
      <c r="G16" s="56">
        <f t="shared" si="2"/>
        <v>99183.1</v>
      </c>
      <c r="H16" s="56"/>
      <c r="I16" s="57">
        <v>370800</v>
      </c>
      <c r="J16" s="57">
        <v>0</v>
      </c>
      <c r="K16" s="56"/>
      <c r="L16" s="16">
        <f>SUM(G16:J16)</f>
        <v>469983.1</v>
      </c>
      <c r="M16" s="16">
        <f>SUM(L$5:L16)</f>
        <v>3188659.34</v>
      </c>
      <c r="O16" s="16">
        <f t="shared" si="8"/>
        <v>0</v>
      </c>
      <c r="P16" s="16">
        <f t="shared" si="8"/>
        <v>0</v>
      </c>
      <c r="Q16" s="16">
        <f t="shared" si="8"/>
        <v>1237.5</v>
      </c>
      <c r="R16" s="16">
        <f t="shared" si="8"/>
        <v>3675</v>
      </c>
      <c r="S16" s="16">
        <f t="shared" si="8"/>
        <v>4815.9027083333331</v>
      </c>
      <c r="T16" s="16">
        <f t="shared" si="8"/>
        <v>5655.1429166666667</v>
      </c>
      <c r="U16" s="16">
        <f t="shared" si="8"/>
        <v>6748.0427083333334</v>
      </c>
      <c r="V16" s="16">
        <f t="shared" si="8"/>
        <v>9387.3291666666664</v>
      </c>
      <c r="W16" s="16">
        <f t="shared" si="8"/>
        <v>8295.0089583333338</v>
      </c>
      <c r="X16" s="16">
        <f t="shared" si="8"/>
        <v>7623.0489583333328</v>
      </c>
      <c r="Y16" s="16">
        <f t="shared" si="8"/>
        <v>9202.1129166666669</v>
      </c>
      <c r="Z16" s="16">
        <f>+$L16/48</f>
        <v>9791.3145833333328</v>
      </c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>
        <f t="shared" si="9"/>
        <v>66430.402916666673</v>
      </c>
      <c r="AM16" s="16">
        <f>SUM(AL$5:AL16)</f>
        <v>295232.84729166667</v>
      </c>
      <c r="AN16" s="16">
        <f>+M16-AM16</f>
        <v>2893426.4927083333</v>
      </c>
      <c r="AO16" s="16">
        <f t="shared" si="13"/>
        <v>2959856.8956249999</v>
      </c>
      <c r="AQ16" s="16">
        <f t="shared" si="10"/>
        <v>0</v>
      </c>
      <c r="AR16" s="16">
        <f t="shared" si="12"/>
        <v>0</v>
      </c>
      <c r="AS16" s="16">
        <f t="shared" si="14"/>
        <v>4950</v>
      </c>
      <c r="AT16" s="16">
        <f t="shared" si="15"/>
        <v>14700</v>
      </c>
      <c r="AU16" s="16">
        <f t="shared" si="16"/>
        <v>19263.610833333332</v>
      </c>
      <c r="AV16" s="16">
        <f t="shared" si="18"/>
        <v>22620.571666666667</v>
      </c>
      <c r="AW16" s="16">
        <f t="shared" si="19"/>
        <v>26992.170833333334</v>
      </c>
      <c r="AX16" s="16">
        <f t="shared" si="20"/>
        <v>37549.316666666666</v>
      </c>
      <c r="AY16" s="16">
        <f t="shared" si="21"/>
        <v>33180.035833333335</v>
      </c>
      <c r="AZ16" s="16">
        <f t="shared" si="22"/>
        <v>30492.195833333331</v>
      </c>
      <c r="BA16" s="16">
        <f t="shared" ref="BA16:BA21" si="23">+BA15</f>
        <v>36808.451666666668</v>
      </c>
      <c r="BB16" s="16">
        <f>+$L16/12</f>
        <v>39165.258333333331</v>
      </c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>
        <f t="shared" si="11"/>
        <v>265721.61166666669</v>
      </c>
      <c r="BP16" s="21">
        <f>+BN16</f>
        <v>265721.61166666669</v>
      </c>
      <c r="BQ16" s="21">
        <f t="shared" si="6"/>
        <v>66430.402916666673</v>
      </c>
      <c r="BR16" s="16">
        <f t="shared" si="7"/>
        <v>-199291.20875000002</v>
      </c>
      <c r="BS16" s="16">
        <f>+BR16*'Capital Structure '!$E$30</f>
        <v>-81410.458774375002</v>
      </c>
      <c r="BT16" s="16">
        <f>SUM(BS$5:BS16)</f>
        <v>-361807.85435593745</v>
      </c>
    </row>
    <row r="17" spans="1:72">
      <c r="A17" s="10" t="s">
        <v>46</v>
      </c>
      <c r="B17" s="10">
        <f t="shared" si="17"/>
        <v>2010</v>
      </c>
      <c r="C17" s="10" t="s">
        <v>93</v>
      </c>
      <c r="D17" s="57"/>
      <c r="E17" s="67">
        <v>539485.41</v>
      </c>
      <c r="F17" s="57">
        <f>10503.65+12997.82+36307.96+7546.4+14073.19</f>
        <v>81429.02</v>
      </c>
      <c r="G17" s="56">
        <f t="shared" si="2"/>
        <v>620914.43000000005</v>
      </c>
      <c r="H17" s="56"/>
      <c r="I17" s="57">
        <v>487800</v>
      </c>
      <c r="J17" s="57"/>
      <c r="K17" s="56"/>
      <c r="L17" s="16">
        <f t="shared" si="3"/>
        <v>1108714.4300000002</v>
      </c>
      <c r="M17" s="16">
        <f>SUM(L$5:L17)</f>
        <v>4297373.7699999996</v>
      </c>
      <c r="O17" s="16">
        <f t="shared" si="8"/>
        <v>0</v>
      </c>
      <c r="P17" s="16">
        <f t="shared" si="8"/>
        <v>0</v>
      </c>
      <c r="Q17" s="16">
        <f t="shared" si="8"/>
        <v>1237.5</v>
      </c>
      <c r="R17" s="16">
        <f t="shared" si="8"/>
        <v>3675</v>
      </c>
      <c r="S17" s="16">
        <f t="shared" si="8"/>
        <v>4815.9027083333331</v>
      </c>
      <c r="T17" s="16">
        <f t="shared" si="8"/>
        <v>5655.1429166666667</v>
      </c>
      <c r="U17" s="16">
        <f t="shared" si="8"/>
        <v>6748.0427083333334</v>
      </c>
      <c r="V17" s="16">
        <f t="shared" si="8"/>
        <v>9387.3291666666664</v>
      </c>
      <c r="W17" s="16">
        <f t="shared" si="8"/>
        <v>8295.0089583333338</v>
      </c>
      <c r="X17" s="16">
        <f t="shared" si="8"/>
        <v>7623.0489583333328</v>
      </c>
      <c r="Y17" s="16">
        <f t="shared" si="8"/>
        <v>9202.1129166666669</v>
      </c>
      <c r="Z17" s="16">
        <f t="shared" si="8"/>
        <v>9791.3145833333328</v>
      </c>
      <c r="AA17" s="16">
        <f>+$L17/48</f>
        <v>23098.217291666671</v>
      </c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>
        <f t="shared" si="9"/>
        <v>89528.620208333348</v>
      </c>
      <c r="AM17" s="16">
        <f>SUM(AL$5:AL17)</f>
        <v>384761.46750000003</v>
      </c>
      <c r="AN17" s="16">
        <f t="shared" si="4"/>
        <v>3912612.3024999993</v>
      </c>
      <c r="AO17" s="16">
        <f t="shared" si="13"/>
        <v>4002140.922708333</v>
      </c>
      <c r="AQ17" s="16"/>
      <c r="AR17" s="16">
        <f t="shared" si="12"/>
        <v>0</v>
      </c>
      <c r="AS17" s="16">
        <f t="shared" si="14"/>
        <v>4950</v>
      </c>
      <c r="AT17" s="16">
        <f t="shared" si="15"/>
        <v>14700</v>
      </c>
      <c r="AU17" s="16">
        <f t="shared" si="16"/>
        <v>19263.610833333332</v>
      </c>
      <c r="AV17" s="16">
        <f t="shared" si="18"/>
        <v>22620.571666666667</v>
      </c>
      <c r="AW17" s="16">
        <f t="shared" si="19"/>
        <v>26992.170833333334</v>
      </c>
      <c r="AX17" s="16">
        <f t="shared" si="20"/>
        <v>37549.316666666666</v>
      </c>
      <c r="AY17" s="16">
        <f t="shared" si="21"/>
        <v>33180.035833333335</v>
      </c>
      <c r="AZ17" s="16">
        <f t="shared" si="22"/>
        <v>30492.195833333331</v>
      </c>
      <c r="BA17" s="16">
        <f t="shared" si="23"/>
        <v>36808.451666666668</v>
      </c>
      <c r="BB17" s="16">
        <f>+BB16</f>
        <v>39165.258333333331</v>
      </c>
      <c r="BC17" s="16">
        <f>+$L17/12</f>
        <v>92392.869166666685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>
        <f t="shared" si="11"/>
        <v>358114.48083333339</v>
      </c>
      <c r="BP17" s="21">
        <f t="shared" si="5"/>
        <v>358114.48083333339</v>
      </c>
      <c r="BQ17" s="21">
        <f t="shared" si="6"/>
        <v>89528.620208333348</v>
      </c>
      <c r="BR17" s="16">
        <f t="shared" si="7"/>
        <v>-268585.86062500003</v>
      </c>
      <c r="BS17" s="16">
        <f>+BR17*'Capital Structure '!$E$30</f>
        <v>-109717.32406531251</v>
      </c>
      <c r="BT17" s="16">
        <f>SUM(BS$5:BS17)</f>
        <v>-471525.17842124996</v>
      </c>
    </row>
    <row r="18" spans="1:72">
      <c r="A18" s="10" t="s">
        <v>48</v>
      </c>
      <c r="B18" s="10">
        <f t="shared" si="17"/>
        <v>2010</v>
      </c>
      <c r="C18" s="10" t="s">
        <v>93</v>
      </c>
      <c r="D18" s="68"/>
      <c r="E18" s="69">
        <f>1176315.2+2000</f>
        <v>1178315.2</v>
      </c>
      <c r="F18" s="58">
        <f>20000.45+28035.21+14078.65+18611.9</f>
        <v>80726.210000000006</v>
      </c>
      <c r="G18" s="60">
        <f t="shared" si="2"/>
        <v>1259041.4099999999</v>
      </c>
      <c r="H18" s="60"/>
      <c r="I18" s="68">
        <v>490500</v>
      </c>
      <c r="J18" s="68"/>
      <c r="K18" s="60"/>
      <c r="L18" s="25">
        <f t="shared" si="3"/>
        <v>1749541.41</v>
      </c>
      <c r="M18" s="16">
        <f>SUM(L$5:L18)</f>
        <v>6046915.1799999997</v>
      </c>
      <c r="O18" s="16">
        <f t="shared" si="8"/>
        <v>0</v>
      </c>
      <c r="P18" s="16">
        <f t="shared" si="8"/>
        <v>0</v>
      </c>
      <c r="Q18" s="16">
        <f t="shared" si="8"/>
        <v>1237.5</v>
      </c>
      <c r="R18" s="16">
        <f t="shared" si="8"/>
        <v>3675</v>
      </c>
      <c r="S18" s="16">
        <f t="shared" si="8"/>
        <v>4815.9027083333331</v>
      </c>
      <c r="T18" s="16">
        <f t="shared" si="8"/>
        <v>5655.1429166666667</v>
      </c>
      <c r="U18" s="16">
        <f t="shared" si="8"/>
        <v>6748.0427083333334</v>
      </c>
      <c r="V18" s="16">
        <f t="shared" si="8"/>
        <v>9387.3291666666664</v>
      </c>
      <c r="W18" s="16">
        <f t="shared" si="8"/>
        <v>8295.0089583333338</v>
      </c>
      <c r="X18" s="16">
        <f t="shared" si="8"/>
        <v>7623.0489583333328</v>
      </c>
      <c r="Y18" s="16">
        <f t="shared" si="8"/>
        <v>9202.1129166666669</v>
      </c>
      <c r="Z18" s="16">
        <f t="shared" si="8"/>
        <v>9791.3145833333328</v>
      </c>
      <c r="AA18" s="16">
        <f t="shared" si="8"/>
        <v>23098.217291666671</v>
      </c>
      <c r="AB18" s="16">
        <f>+$L18/48</f>
        <v>36448.779374999998</v>
      </c>
      <c r="AC18" s="16"/>
      <c r="AD18" s="16"/>
      <c r="AE18" s="16"/>
      <c r="AF18" s="16"/>
      <c r="AG18" s="16"/>
      <c r="AH18" s="16"/>
      <c r="AI18" s="16"/>
      <c r="AJ18" s="16"/>
      <c r="AK18" s="16"/>
      <c r="AL18" s="16">
        <f t="shared" si="9"/>
        <v>125977.39958333335</v>
      </c>
      <c r="AM18" s="70">
        <f>SUM(AL$5:AL18)</f>
        <v>510738.86708333337</v>
      </c>
      <c r="AN18" s="16">
        <f>+M18-AM18</f>
        <v>5536176.3129166663</v>
      </c>
      <c r="AO18" s="16">
        <f t="shared" si="13"/>
        <v>5662153.7124999994</v>
      </c>
      <c r="AQ18" s="16"/>
      <c r="AR18" s="16"/>
      <c r="AS18" s="16">
        <f t="shared" si="14"/>
        <v>4950</v>
      </c>
      <c r="AT18" s="16">
        <f t="shared" si="15"/>
        <v>14700</v>
      </c>
      <c r="AU18" s="16">
        <f t="shared" si="16"/>
        <v>19263.610833333332</v>
      </c>
      <c r="AV18" s="16">
        <f t="shared" si="18"/>
        <v>22620.571666666667</v>
      </c>
      <c r="AW18" s="16">
        <f t="shared" si="19"/>
        <v>26992.170833333334</v>
      </c>
      <c r="AX18" s="16">
        <f t="shared" si="20"/>
        <v>37549.316666666666</v>
      </c>
      <c r="AY18" s="16">
        <f t="shared" si="21"/>
        <v>33180.035833333335</v>
      </c>
      <c r="AZ18" s="16">
        <f t="shared" si="22"/>
        <v>30492.195833333331</v>
      </c>
      <c r="BA18" s="16">
        <f t="shared" si="23"/>
        <v>36808.451666666668</v>
      </c>
      <c r="BB18" s="16">
        <f>+BB17</f>
        <v>39165.258333333331</v>
      </c>
      <c r="BC18" s="16">
        <f>+BC17</f>
        <v>92392.869166666685</v>
      </c>
      <c r="BD18" s="16">
        <f>+$L18/12</f>
        <v>145795.11749999999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>
        <f t="shared" si="11"/>
        <v>503909.59833333339</v>
      </c>
      <c r="BP18" s="21">
        <f t="shared" si="5"/>
        <v>503909.59833333339</v>
      </c>
      <c r="BQ18" s="21">
        <f t="shared" si="6"/>
        <v>125977.39958333335</v>
      </c>
      <c r="BR18" s="16">
        <f t="shared" si="7"/>
        <v>-377932.19875000004</v>
      </c>
      <c r="BS18" s="16">
        <f>+BR18*'Capital Structure '!$E$30</f>
        <v>-154385.303189375</v>
      </c>
      <c r="BT18" s="16">
        <f>SUM(BS$5:BS18)</f>
        <v>-625910.48161062493</v>
      </c>
    </row>
    <row r="19" spans="1:72">
      <c r="A19" s="10" t="s">
        <v>50</v>
      </c>
      <c r="B19" s="10">
        <f t="shared" si="17"/>
        <v>2010</v>
      </c>
      <c r="C19" s="10" t="s">
        <v>93</v>
      </c>
      <c r="D19" s="57"/>
      <c r="E19" s="57"/>
      <c r="F19" s="65">
        <f>11007.99+27380.2+32325.81+67500.44+32637.69</f>
        <v>170852.13</v>
      </c>
      <c r="G19" s="56">
        <f t="shared" si="2"/>
        <v>170852.13</v>
      </c>
      <c r="H19" s="56"/>
      <c r="I19" s="57">
        <v>376200</v>
      </c>
      <c r="J19" s="57"/>
      <c r="K19" s="56"/>
      <c r="L19" s="16">
        <f>SUM(G19:J19)</f>
        <v>547052.13</v>
      </c>
      <c r="M19" s="16">
        <f>SUM(L$5:L19)</f>
        <v>6593967.3099999996</v>
      </c>
      <c r="O19" s="16">
        <f t="shared" si="8"/>
        <v>0</v>
      </c>
      <c r="P19" s="16">
        <f t="shared" si="8"/>
        <v>0</v>
      </c>
      <c r="Q19" s="16">
        <f t="shared" si="8"/>
        <v>1237.5</v>
      </c>
      <c r="R19" s="16">
        <f t="shared" si="8"/>
        <v>3675</v>
      </c>
      <c r="S19" s="16">
        <f t="shared" si="8"/>
        <v>4815.9027083333331</v>
      </c>
      <c r="T19" s="16">
        <f t="shared" si="8"/>
        <v>5655.1429166666667</v>
      </c>
      <c r="U19" s="16">
        <f t="shared" si="8"/>
        <v>6748.0427083333334</v>
      </c>
      <c r="V19" s="16">
        <f t="shared" si="8"/>
        <v>9387.3291666666664</v>
      </c>
      <c r="W19" s="16">
        <f t="shared" si="8"/>
        <v>8295.0089583333338</v>
      </c>
      <c r="X19" s="16">
        <f t="shared" si="8"/>
        <v>7623.0489583333328</v>
      </c>
      <c r="Y19" s="16">
        <f t="shared" si="8"/>
        <v>9202.1129166666669</v>
      </c>
      <c r="Z19" s="16">
        <f t="shared" si="8"/>
        <v>9791.3145833333328</v>
      </c>
      <c r="AA19" s="16">
        <f t="shared" si="8"/>
        <v>23098.217291666671</v>
      </c>
      <c r="AB19" s="16">
        <f t="shared" si="8"/>
        <v>36448.779374999998</v>
      </c>
      <c r="AC19" s="16">
        <f>+$L19/48</f>
        <v>11396.919374999999</v>
      </c>
      <c r="AD19" s="16"/>
      <c r="AE19" s="16"/>
      <c r="AF19" s="16"/>
      <c r="AG19" s="16"/>
      <c r="AH19" s="16"/>
      <c r="AI19" s="16"/>
      <c r="AJ19" s="16"/>
      <c r="AK19" s="16"/>
      <c r="AL19" s="16">
        <f t="shared" si="9"/>
        <v>137374.31895833334</v>
      </c>
      <c r="AM19" s="16">
        <f>SUM(AL$5:AL19)</f>
        <v>648113.18604166666</v>
      </c>
      <c r="AN19" s="16">
        <f>+M19-AM19</f>
        <v>5945854.1239583325</v>
      </c>
      <c r="AO19" s="16">
        <f t="shared" si="13"/>
        <v>6083228.4429166662</v>
      </c>
      <c r="AQ19" s="16"/>
      <c r="AR19" s="16"/>
      <c r="AS19" s="16"/>
      <c r="AT19" s="16">
        <f t="shared" si="15"/>
        <v>14700</v>
      </c>
      <c r="AU19" s="16">
        <f t="shared" si="16"/>
        <v>19263.610833333332</v>
      </c>
      <c r="AV19" s="16">
        <f t="shared" si="18"/>
        <v>22620.571666666667</v>
      </c>
      <c r="AW19" s="16">
        <f t="shared" si="19"/>
        <v>26992.170833333334</v>
      </c>
      <c r="AX19" s="16">
        <f t="shared" si="20"/>
        <v>37549.316666666666</v>
      </c>
      <c r="AY19" s="16">
        <f t="shared" si="21"/>
        <v>33180.035833333335</v>
      </c>
      <c r="AZ19" s="16">
        <f t="shared" si="22"/>
        <v>30492.195833333331</v>
      </c>
      <c r="BA19" s="16">
        <f t="shared" si="23"/>
        <v>36808.451666666668</v>
      </c>
      <c r="BB19" s="16">
        <f>+BB18</f>
        <v>39165.258333333331</v>
      </c>
      <c r="BC19" s="16">
        <f>+BC18</f>
        <v>92392.869166666685</v>
      </c>
      <c r="BD19" s="16">
        <f>+BD18</f>
        <v>145795.11749999999</v>
      </c>
      <c r="BE19" s="16">
        <f>+$L19/12</f>
        <v>45587.677499999998</v>
      </c>
      <c r="BF19" s="16"/>
      <c r="BG19" s="16"/>
      <c r="BH19" s="16"/>
      <c r="BI19" s="16"/>
      <c r="BJ19" s="16"/>
      <c r="BK19" s="16"/>
      <c r="BL19" s="16"/>
      <c r="BM19" s="16"/>
      <c r="BN19" s="16">
        <f t="shared" si="11"/>
        <v>544547.27583333338</v>
      </c>
      <c r="BP19" s="21">
        <f t="shared" si="5"/>
        <v>544547.27583333338</v>
      </c>
      <c r="BQ19" s="21">
        <f t="shared" si="6"/>
        <v>137374.31895833334</v>
      </c>
      <c r="BR19" s="16">
        <f>+BQ19-BP19</f>
        <v>-407172.95687500003</v>
      </c>
      <c r="BS19" s="16">
        <f>+BR19*'Capital Structure '!$E$30</f>
        <v>-166330.15288343749</v>
      </c>
      <c r="BT19" s="16">
        <f>SUM(BS$5:BS19)</f>
        <v>-792240.6344940624</v>
      </c>
    </row>
    <row r="20" spans="1:72">
      <c r="A20" s="10" t="s">
        <v>51</v>
      </c>
      <c r="B20" s="10">
        <f t="shared" si="17"/>
        <v>2010</v>
      </c>
      <c r="C20" s="10" t="s">
        <v>93</v>
      </c>
      <c r="D20" s="57"/>
      <c r="E20" s="65">
        <f>111959.2+97549.24+478664.62+245529.35+228994.51</f>
        <v>1162696.92</v>
      </c>
      <c r="F20" s="65">
        <f>41563.01+50017.54+37791.43+15443.89</f>
        <v>144815.87</v>
      </c>
      <c r="G20" s="56">
        <f t="shared" si="2"/>
        <v>1307512.79</v>
      </c>
      <c r="H20" s="56"/>
      <c r="I20" s="57">
        <v>418500</v>
      </c>
      <c r="J20" s="57"/>
      <c r="K20" s="56"/>
      <c r="L20" s="16">
        <f>SUM(G20:J20)</f>
        <v>1726012.79</v>
      </c>
      <c r="M20" s="16">
        <f>SUM(L$5:L20)</f>
        <v>8319980.0999999996</v>
      </c>
      <c r="O20" s="16">
        <f t="shared" si="8"/>
        <v>0</v>
      </c>
      <c r="P20" s="16">
        <f t="shared" si="8"/>
        <v>0</v>
      </c>
      <c r="Q20" s="16">
        <f t="shared" si="8"/>
        <v>1237.5</v>
      </c>
      <c r="R20" s="16">
        <f t="shared" si="8"/>
        <v>3675</v>
      </c>
      <c r="S20" s="16">
        <f t="shared" si="8"/>
        <v>4815.9027083333331</v>
      </c>
      <c r="T20" s="16">
        <f t="shared" si="8"/>
        <v>5655.1429166666667</v>
      </c>
      <c r="U20" s="16">
        <f t="shared" si="8"/>
        <v>6748.0427083333334</v>
      </c>
      <c r="V20" s="16">
        <f t="shared" si="8"/>
        <v>9387.3291666666664</v>
      </c>
      <c r="W20" s="16">
        <f t="shared" si="8"/>
        <v>8295.0089583333338</v>
      </c>
      <c r="X20" s="16">
        <f t="shared" si="8"/>
        <v>7623.0489583333328</v>
      </c>
      <c r="Y20" s="16">
        <f t="shared" si="8"/>
        <v>9202.1129166666669</v>
      </c>
      <c r="Z20" s="16">
        <f t="shared" si="8"/>
        <v>9791.3145833333328</v>
      </c>
      <c r="AA20" s="16">
        <f t="shared" si="8"/>
        <v>23098.217291666671</v>
      </c>
      <c r="AB20" s="16">
        <f t="shared" si="8"/>
        <v>36448.779374999998</v>
      </c>
      <c r="AC20" s="16">
        <f t="shared" si="8"/>
        <v>11396.919374999999</v>
      </c>
      <c r="AD20" s="16">
        <f>+$L20/48</f>
        <v>35958.599791666667</v>
      </c>
      <c r="AE20" s="16"/>
      <c r="AF20" s="16"/>
      <c r="AG20" s="16"/>
      <c r="AH20" s="16"/>
      <c r="AI20" s="16"/>
      <c r="AJ20" s="16"/>
      <c r="AK20" s="16"/>
      <c r="AL20" s="16">
        <f t="shared" si="9"/>
        <v>173332.91875000001</v>
      </c>
      <c r="AM20" s="16">
        <f>SUM(AL$5:AL20)</f>
        <v>821446.10479166661</v>
      </c>
      <c r="AN20" s="16">
        <f t="shared" si="4"/>
        <v>7498533.9952083332</v>
      </c>
      <c r="AO20" s="16">
        <f t="shared" si="13"/>
        <v>7671866.9139583334</v>
      </c>
      <c r="AQ20" s="16"/>
      <c r="AR20" s="16"/>
      <c r="AS20" s="16"/>
      <c r="AT20" s="16"/>
      <c r="AU20" s="16">
        <f t="shared" si="16"/>
        <v>19263.610833333332</v>
      </c>
      <c r="AV20" s="16">
        <f t="shared" si="18"/>
        <v>22620.571666666667</v>
      </c>
      <c r="AW20" s="16">
        <f t="shared" si="19"/>
        <v>26992.170833333334</v>
      </c>
      <c r="AX20" s="16">
        <f t="shared" si="20"/>
        <v>37549.316666666666</v>
      </c>
      <c r="AY20" s="16">
        <f t="shared" si="21"/>
        <v>33180.035833333335</v>
      </c>
      <c r="AZ20" s="16">
        <f t="shared" si="22"/>
        <v>30492.195833333331</v>
      </c>
      <c r="BA20" s="16">
        <f t="shared" si="23"/>
        <v>36808.451666666668</v>
      </c>
      <c r="BB20" s="16">
        <f>+BB19</f>
        <v>39165.258333333331</v>
      </c>
      <c r="BC20" s="16">
        <f>+BC19</f>
        <v>92392.869166666685</v>
      </c>
      <c r="BD20" s="16">
        <f>+BD19</f>
        <v>145795.11749999999</v>
      </c>
      <c r="BE20" s="16">
        <f>+BE19</f>
        <v>45587.677499999998</v>
      </c>
      <c r="BF20" s="16">
        <f>+$L20/12</f>
        <v>143834.39916666667</v>
      </c>
      <c r="BG20" s="16"/>
      <c r="BH20" s="16"/>
      <c r="BI20" s="16"/>
      <c r="BJ20" s="16"/>
      <c r="BK20" s="16"/>
      <c r="BL20" s="16"/>
      <c r="BM20" s="16"/>
      <c r="BN20" s="16">
        <f t="shared" si="11"/>
        <v>673681.67500000005</v>
      </c>
      <c r="BP20" s="21">
        <f>+BN20</f>
        <v>673681.67500000005</v>
      </c>
      <c r="BQ20" s="21">
        <f t="shared" si="6"/>
        <v>173332.91875000001</v>
      </c>
      <c r="BR20" s="16">
        <f t="shared" si="7"/>
        <v>-500348.75625000003</v>
      </c>
      <c r="BS20" s="16">
        <f>+BR20*'Capital Structure '!$E$30</f>
        <v>-204392.46692812501</v>
      </c>
      <c r="BT20" s="16">
        <f>SUM(BS$5:BS20)</f>
        <v>-996633.10142218741</v>
      </c>
    </row>
    <row r="21" spans="1:72">
      <c r="A21" s="10" t="s">
        <v>52</v>
      </c>
      <c r="B21" s="10">
        <f t="shared" si="17"/>
        <v>2010</v>
      </c>
      <c r="C21" s="10" t="s">
        <v>93</v>
      </c>
      <c r="D21" s="57"/>
      <c r="E21" s="65">
        <f>223126.72+343419.19+196066.22+58445.26+209199.46+5296</f>
        <v>1035552.85</v>
      </c>
      <c r="F21" s="65">
        <f>15939.12+18651.28+61736.14+8891.35</f>
        <v>105217.89000000001</v>
      </c>
      <c r="G21" s="56">
        <f t="shared" si="2"/>
        <v>1140770.74</v>
      </c>
      <c r="H21" s="56"/>
      <c r="I21" s="57">
        <v>381600</v>
      </c>
      <c r="J21" s="57">
        <v>144627.34</v>
      </c>
      <c r="K21" s="56"/>
      <c r="L21" s="16">
        <f>SUM(G21:J21)</f>
        <v>1666998.08</v>
      </c>
      <c r="M21" s="16">
        <f>SUM(L$5:L21)</f>
        <v>9986978.1799999997</v>
      </c>
      <c r="O21" s="16">
        <f t="shared" si="8"/>
        <v>0</v>
      </c>
      <c r="P21" s="16">
        <f t="shared" si="8"/>
        <v>0</v>
      </c>
      <c r="Q21" s="16">
        <f t="shared" si="8"/>
        <v>1237.5</v>
      </c>
      <c r="R21" s="16">
        <f t="shared" si="8"/>
        <v>3675</v>
      </c>
      <c r="S21" s="16">
        <f t="shared" si="8"/>
        <v>4815.9027083333331</v>
      </c>
      <c r="T21" s="16">
        <f t="shared" si="8"/>
        <v>5655.1429166666667</v>
      </c>
      <c r="U21" s="16">
        <f t="shared" si="8"/>
        <v>6748.0427083333334</v>
      </c>
      <c r="V21" s="16">
        <f t="shared" si="8"/>
        <v>9387.3291666666664</v>
      </c>
      <c r="W21" s="16">
        <f t="shared" si="8"/>
        <v>8295.0089583333338</v>
      </c>
      <c r="X21" s="16">
        <f t="shared" si="8"/>
        <v>7623.0489583333328</v>
      </c>
      <c r="Y21" s="16">
        <f t="shared" si="8"/>
        <v>9202.1129166666669</v>
      </c>
      <c r="Z21" s="16">
        <f t="shared" si="8"/>
        <v>9791.3145833333328</v>
      </c>
      <c r="AA21" s="16">
        <f t="shared" si="8"/>
        <v>23098.217291666671</v>
      </c>
      <c r="AB21" s="16">
        <f t="shared" si="8"/>
        <v>36448.779374999998</v>
      </c>
      <c r="AC21" s="16">
        <f t="shared" si="8"/>
        <v>11396.919374999999</v>
      </c>
      <c r="AD21" s="16">
        <f t="shared" si="8"/>
        <v>35958.599791666667</v>
      </c>
      <c r="AE21" s="16">
        <f>+$L21/48</f>
        <v>34729.126666666671</v>
      </c>
      <c r="AF21" s="16"/>
      <c r="AG21" s="16"/>
      <c r="AH21" s="16"/>
      <c r="AI21" s="16"/>
      <c r="AJ21" s="16"/>
      <c r="AK21" s="16"/>
      <c r="AL21" s="16">
        <f t="shared" si="9"/>
        <v>208062.04541666669</v>
      </c>
      <c r="AM21" s="16">
        <f>SUM(AL$5:AL21)</f>
        <v>1029508.1502083333</v>
      </c>
      <c r="AN21" s="16">
        <f>+M21-AM21</f>
        <v>8957470.0297916662</v>
      </c>
      <c r="AO21" s="16">
        <f>+M21-AM20</f>
        <v>9165532.0752083324</v>
      </c>
      <c r="AQ21" s="16"/>
      <c r="AR21" s="16"/>
      <c r="AS21" s="16"/>
      <c r="AT21" s="16"/>
      <c r="AU21" s="16"/>
      <c r="AV21" s="16">
        <f t="shared" si="18"/>
        <v>22620.571666666667</v>
      </c>
      <c r="AW21" s="16">
        <f t="shared" si="19"/>
        <v>26992.170833333334</v>
      </c>
      <c r="AX21" s="16">
        <f t="shared" si="20"/>
        <v>37549.316666666666</v>
      </c>
      <c r="AY21" s="16">
        <f t="shared" si="21"/>
        <v>33180.035833333335</v>
      </c>
      <c r="AZ21" s="16">
        <f t="shared" si="22"/>
        <v>30492.195833333331</v>
      </c>
      <c r="BA21" s="16">
        <f t="shared" si="23"/>
        <v>36808.451666666668</v>
      </c>
      <c r="BB21" s="16">
        <f>+BB20</f>
        <v>39165.258333333331</v>
      </c>
      <c r="BC21" s="16">
        <f>+BC20</f>
        <v>92392.869166666685</v>
      </c>
      <c r="BD21" s="16">
        <f>+BD20</f>
        <v>145795.11749999999</v>
      </c>
      <c r="BE21" s="16">
        <f>+BE20</f>
        <v>45587.677499999998</v>
      </c>
      <c r="BF21" s="16">
        <f>+BF20</f>
        <v>143834.39916666667</v>
      </c>
      <c r="BG21" s="16">
        <f>+$L21/12</f>
        <v>138916.50666666668</v>
      </c>
      <c r="BH21" s="16"/>
      <c r="BI21" s="16"/>
      <c r="BJ21" s="16"/>
      <c r="BK21" s="16"/>
      <c r="BL21" s="16"/>
      <c r="BM21" s="16"/>
      <c r="BN21" s="16">
        <f t="shared" si="11"/>
        <v>793334.57083333342</v>
      </c>
      <c r="BP21" s="21">
        <f>+BN21</f>
        <v>793334.57083333342</v>
      </c>
      <c r="BQ21" s="21">
        <f>+AL21</f>
        <v>208062.04541666669</v>
      </c>
      <c r="BR21" s="16">
        <f>+BQ21-BP21</f>
        <v>-585272.52541666676</v>
      </c>
      <c r="BS21" s="16">
        <f>+BR21*'Capital Structure '!$E$30</f>
        <v>-239083.82663270837</v>
      </c>
      <c r="BT21" s="16">
        <f>SUM(BS$5:BS21)</f>
        <v>-1235716.9280548957</v>
      </c>
    </row>
    <row r="22" spans="1:72">
      <c r="A22" s="10" t="s">
        <v>53</v>
      </c>
      <c r="B22" s="10">
        <f>+B21+1</f>
        <v>2011</v>
      </c>
      <c r="C22" s="10" t="s">
        <v>93</v>
      </c>
      <c r="D22" s="57"/>
      <c r="E22" s="65">
        <v>669020.04</v>
      </c>
      <c r="F22" s="65">
        <v>110339.12000000001</v>
      </c>
      <c r="G22" s="56">
        <f t="shared" si="2"/>
        <v>779359.16</v>
      </c>
      <c r="H22" s="56"/>
      <c r="I22" s="57">
        <v>663300</v>
      </c>
      <c r="J22" s="57"/>
      <c r="K22" s="56"/>
      <c r="L22" s="16">
        <f>SUM(G22:J22)</f>
        <v>1442659.1600000001</v>
      </c>
      <c r="M22" s="16">
        <f>SUM(L$5:L22)</f>
        <v>11429637.34</v>
      </c>
      <c r="N22" s="21"/>
      <c r="O22" s="16">
        <f t="shared" ref="O22:AE36" si="24">+O21</f>
        <v>0</v>
      </c>
      <c r="P22" s="16">
        <f t="shared" si="24"/>
        <v>0</v>
      </c>
      <c r="Q22" s="16">
        <f t="shared" si="24"/>
        <v>1237.5</v>
      </c>
      <c r="R22" s="16">
        <f t="shared" si="24"/>
        <v>3675</v>
      </c>
      <c r="S22" s="16">
        <f t="shared" si="24"/>
        <v>4815.9027083333331</v>
      </c>
      <c r="T22" s="16">
        <f t="shared" si="24"/>
        <v>5655.1429166666667</v>
      </c>
      <c r="U22" s="16">
        <f t="shared" si="24"/>
        <v>6748.0427083333334</v>
      </c>
      <c r="V22" s="16">
        <f t="shared" si="24"/>
        <v>9387.3291666666664</v>
      </c>
      <c r="W22" s="16">
        <f t="shared" si="24"/>
        <v>8295.0089583333338</v>
      </c>
      <c r="X22" s="16">
        <f t="shared" si="24"/>
        <v>7623.0489583333328</v>
      </c>
      <c r="Y22" s="16">
        <f t="shared" si="24"/>
        <v>9202.1129166666669</v>
      </c>
      <c r="Z22" s="16">
        <f t="shared" si="24"/>
        <v>9791.3145833333328</v>
      </c>
      <c r="AA22" s="16">
        <f t="shared" si="24"/>
        <v>23098.217291666671</v>
      </c>
      <c r="AB22" s="16">
        <f t="shared" si="24"/>
        <v>36448.779374999998</v>
      </c>
      <c r="AC22" s="16">
        <f t="shared" si="24"/>
        <v>11396.919374999999</v>
      </c>
      <c r="AD22" s="16">
        <f t="shared" si="24"/>
        <v>35958.599791666667</v>
      </c>
      <c r="AE22" s="16">
        <f t="shared" si="24"/>
        <v>34729.126666666671</v>
      </c>
      <c r="AF22" s="16">
        <f>+$L22/48</f>
        <v>30055.39916666667</v>
      </c>
      <c r="AG22" s="16"/>
      <c r="AH22" s="16"/>
      <c r="AI22" s="16"/>
      <c r="AJ22" s="16"/>
      <c r="AK22" s="16"/>
      <c r="AL22" s="16">
        <f>SUM(O22:AH22)</f>
        <v>238117.44458333336</v>
      </c>
      <c r="AM22" s="16">
        <f>SUM(AL$5:AL22)</f>
        <v>1267625.5947916666</v>
      </c>
      <c r="AN22" s="16">
        <f t="shared" si="4"/>
        <v>10162011.745208334</v>
      </c>
      <c r="AO22" s="16">
        <f>+M22-AM21</f>
        <v>10400129.189791666</v>
      </c>
      <c r="AQ22" s="16"/>
      <c r="AR22" s="16"/>
      <c r="AS22" s="16"/>
      <c r="AT22" s="16"/>
      <c r="AU22" s="16"/>
      <c r="AV22" s="16"/>
      <c r="AW22" s="16">
        <f t="shared" ref="AW22:BJ34" si="25">+AW21</f>
        <v>26992.170833333334</v>
      </c>
      <c r="AX22" s="16">
        <f t="shared" si="25"/>
        <v>37549.316666666666</v>
      </c>
      <c r="AY22" s="16">
        <f t="shared" si="25"/>
        <v>33180.035833333335</v>
      </c>
      <c r="AZ22" s="16">
        <f t="shared" si="25"/>
        <v>30492.195833333331</v>
      </c>
      <c r="BA22" s="16">
        <f t="shared" si="25"/>
        <v>36808.451666666668</v>
      </c>
      <c r="BB22" s="16">
        <f t="shared" si="25"/>
        <v>39165.258333333331</v>
      </c>
      <c r="BC22" s="16">
        <f t="shared" si="25"/>
        <v>92392.869166666685</v>
      </c>
      <c r="BD22" s="16">
        <f t="shared" si="25"/>
        <v>145795.11749999999</v>
      </c>
      <c r="BE22" s="16">
        <f t="shared" si="25"/>
        <v>45587.677499999998</v>
      </c>
      <c r="BF22" s="16">
        <f t="shared" si="25"/>
        <v>143834.39916666667</v>
      </c>
      <c r="BG22" s="16">
        <f t="shared" si="25"/>
        <v>138916.50666666668</v>
      </c>
      <c r="BH22" s="16">
        <f>+$L22/12</f>
        <v>120221.59666666668</v>
      </c>
      <c r="BI22" s="16"/>
      <c r="BJ22" s="16"/>
      <c r="BK22" s="16"/>
      <c r="BL22" s="16"/>
      <c r="BM22" s="16"/>
      <c r="BN22" s="16">
        <f t="shared" si="11"/>
        <v>890935.59583333333</v>
      </c>
      <c r="BP22" s="21">
        <f>+BN22</f>
        <v>890935.59583333333</v>
      </c>
      <c r="BQ22" s="21">
        <f>+AL22</f>
        <v>238117.44458333336</v>
      </c>
      <c r="BR22" s="16">
        <f t="shared" si="7"/>
        <v>-652818.15125</v>
      </c>
      <c r="BS22" s="16">
        <f>+BR22*'Capital Structure '!$E$30</f>
        <v>-266676.21478562499</v>
      </c>
      <c r="BT22" s="16">
        <f>SUM(BS$5:BS22)</f>
        <v>-1502393.1428405207</v>
      </c>
    </row>
    <row r="23" spans="1:72">
      <c r="A23" s="10" t="s">
        <v>54</v>
      </c>
      <c r="B23" s="10">
        <f t="shared" ref="B23:B33" si="26">+B22</f>
        <v>2011</v>
      </c>
      <c r="C23" s="10" t="s">
        <v>93</v>
      </c>
      <c r="D23" s="57"/>
      <c r="E23" s="57">
        <f>252870.47+78109.49+7776.51</f>
        <v>338756.47000000003</v>
      </c>
      <c r="F23" s="57">
        <f>41424.93+35273.4+8050.7+21025.07</f>
        <v>105774.1</v>
      </c>
      <c r="G23" s="56">
        <f t="shared" si="2"/>
        <v>444530.57000000007</v>
      </c>
      <c r="H23" s="56"/>
      <c r="I23" s="57">
        <f>637200-25200</f>
        <v>612000</v>
      </c>
      <c r="J23" s="57"/>
      <c r="K23" s="56"/>
      <c r="L23" s="16">
        <f>SUM(G23:J23)</f>
        <v>1056530.57</v>
      </c>
      <c r="M23" s="16">
        <f>SUM(L$5:L23)</f>
        <v>12486167.91</v>
      </c>
      <c r="N23" s="21"/>
      <c r="O23" s="16">
        <f t="shared" si="24"/>
        <v>0</v>
      </c>
      <c r="P23" s="16">
        <f t="shared" si="24"/>
        <v>0</v>
      </c>
      <c r="Q23" s="16">
        <f t="shared" si="24"/>
        <v>1237.5</v>
      </c>
      <c r="R23" s="16">
        <f t="shared" si="24"/>
        <v>3675</v>
      </c>
      <c r="S23" s="16">
        <f t="shared" si="24"/>
        <v>4815.9027083333331</v>
      </c>
      <c r="T23" s="16">
        <f t="shared" si="24"/>
        <v>5655.1429166666667</v>
      </c>
      <c r="U23" s="16">
        <f t="shared" si="24"/>
        <v>6748.0427083333334</v>
      </c>
      <c r="V23" s="16">
        <f t="shared" si="24"/>
        <v>9387.3291666666664</v>
      </c>
      <c r="W23" s="16">
        <f t="shared" si="24"/>
        <v>8295.0089583333338</v>
      </c>
      <c r="X23" s="16">
        <f t="shared" si="24"/>
        <v>7623.0489583333328</v>
      </c>
      <c r="Y23" s="16">
        <f t="shared" si="24"/>
        <v>9202.1129166666669</v>
      </c>
      <c r="Z23" s="16">
        <f t="shared" si="24"/>
        <v>9791.3145833333328</v>
      </c>
      <c r="AA23" s="16">
        <f t="shared" si="24"/>
        <v>23098.217291666671</v>
      </c>
      <c r="AB23" s="16">
        <f t="shared" si="24"/>
        <v>36448.779374999998</v>
      </c>
      <c r="AC23" s="16">
        <f t="shared" si="24"/>
        <v>11396.919374999999</v>
      </c>
      <c r="AD23" s="16">
        <f t="shared" si="24"/>
        <v>35958.599791666667</v>
      </c>
      <c r="AE23" s="16">
        <f t="shared" si="24"/>
        <v>34729.126666666671</v>
      </c>
      <c r="AF23" s="16">
        <f>+AF22</f>
        <v>30055.39916666667</v>
      </c>
      <c r="AG23" s="16">
        <f>+$L23/48</f>
        <v>22011.053541666668</v>
      </c>
      <c r="AH23" s="16"/>
      <c r="AI23" s="16"/>
      <c r="AJ23" s="16"/>
      <c r="AK23" s="16"/>
      <c r="AL23" s="16">
        <f>SUM(O23:AH23)</f>
        <v>260128.49812500004</v>
      </c>
      <c r="AM23" s="16">
        <f>SUM(AL$5:AL23)</f>
        <v>1527754.0929166665</v>
      </c>
      <c r="AN23" s="16">
        <f>+M23-AM23</f>
        <v>10958413.817083333</v>
      </c>
      <c r="AO23" s="16">
        <f t="shared" si="13"/>
        <v>11218542.315208334</v>
      </c>
      <c r="AQ23" s="16"/>
      <c r="AR23" s="16"/>
      <c r="AS23" s="16"/>
      <c r="AT23" s="16"/>
      <c r="AU23" s="16"/>
      <c r="AV23" s="16"/>
      <c r="AW23" s="16"/>
      <c r="AX23" s="16">
        <f t="shared" si="25"/>
        <v>37549.316666666666</v>
      </c>
      <c r="AY23" s="16">
        <f t="shared" si="25"/>
        <v>33180.035833333335</v>
      </c>
      <c r="AZ23" s="16">
        <f t="shared" si="25"/>
        <v>30492.195833333331</v>
      </c>
      <c r="BA23" s="16">
        <f t="shared" si="25"/>
        <v>36808.451666666668</v>
      </c>
      <c r="BB23" s="16">
        <f t="shared" si="25"/>
        <v>39165.258333333331</v>
      </c>
      <c r="BC23" s="16">
        <f t="shared" si="25"/>
        <v>92392.869166666685</v>
      </c>
      <c r="BD23" s="16">
        <f t="shared" si="25"/>
        <v>145795.11749999999</v>
      </c>
      <c r="BE23" s="16">
        <f t="shared" si="25"/>
        <v>45587.677499999998</v>
      </c>
      <c r="BF23" s="16">
        <f t="shared" si="25"/>
        <v>143834.39916666667</v>
      </c>
      <c r="BG23" s="16">
        <f t="shared" si="25"/>
        <v>138916.50666666668</v>
      </c>
      <c r="BH23" s="16">
        <f>+BH22</f>
        <v>120221.59666666668</v>
      </c>
      <c r="BI23" s="16">
        <f>+$L23/12</f>
        <v>88044.214166666672</v>
      </c>
      <c r="BJ23" s="16"/>
      <c r="BK23" s="16"/>
      <c r="BL23" s="16"/>
      <c r="BM23" s="16"/>
      <c r="BN23" s="16">
        <f>SUM(AQ23:BJ23)</f>
        <v>951987.63916666666</v>
      </c>
      <c r="BP23" s="21">
        <f>+BN23</f>
        <v>951987.63916666666</v>
      </c>
      <c r="BQ23" s="21">
        <f>+AL23</f>
        <v>260128.49812500004</v>
      </c>
      <c r="BR23" s="16">
        <f>+BQ23-BP23</f>
        <v>-691859.14104166662</v>
      </c>
      <c r="BS23" s="16">
        <f>+BR23*'Capital Structure '!$E$30</f>
        <v>-282624.45911552082</v>
      </c>
      <c r="BT23" s="16">
        <f>SUM(BS$5:BS23)</f>
        <v>-1785017.6019560415</v>
      </c>
    </row>
    <row r="24" spans="1:72">
      <c r="A24" s="10" t="s">
        <v>55</v>
      </c>
      <c r="B24" s="10">
        <f t="shared" si="26"/>
        <v>2011</v>
      </c>
      <c r="C24" s="10" t="s">
        <v>93</v>
      </c>
      <c r="D24" s="57"/>
      <c r="E24" s="57">
        <f>67394.95+202240.75+6778.16+131719.64</f>
        <v>408133.5</v>
      </c>
      <c r="F24" s="57">
        <f>24588.27+17414.25+3594.28+11295.42</f>
        <v>56892.22</v>
      </c>
      <c r="G24" s="56">
        <f t="shared" si="2"/>
        <v>465025.72</v>
      </c>
      <c r="H24" s="56"/>
      <c r="I24" s="57">
        <f>591300-374400</f>
        <v>216900</v>
      </c>
      <c r="J24" s="57"/>
      <c r="K24" s="56"/>
      <c r="L24" s="16">
        <f t="shared" si="3"/>
        <v>681925.72</v>
      </c>
      <c r="M24" s="16">
        <f>SUM(L$5:L24)</f>
        <v>13168093.630000001</v>
      </c>
      <c r="N24" s="21"/>
      <c r="O24" s="16">
        <f t="shared" si="24"/>
        <v>0</v>
      </c>
      <c r="P24" s="16">
        <f t="shared" si="24"/>
        <v>0</v>
      </c>
      <c r="Q24" s="16">
        <f t="shared" si="24"/>
        <v>1237.5</v>
      </c>
      <c r="R24" s="16">
        <f t="shared" si="24"/>
        <v>3675</v>
      </c>
      <c r="S24" s="16">
        <f t="shared" si="24"/>
        <v>4815.9027083333331</v>
      </c>
      <c r="T24" s="16">
        <f t="shared" si="24"/>
        <v>5655.1429166666667</v>
      </c>
      <c r="U24" s="16">
        <f t="shared" si="24"/>
        <v>6748.0427083333334</v>
      </c>
      <c r="V24" s="16">
        <f t="shared" si="24"/>
        <v>9387.3291666666664</v>
      </c>
      <c r="W24" s="16">
        <f t="shared" si="24"/>
        <v>8295.0089583333338</v>
      </c>
      <c r="X24" s="16">
        <f t="shared" si="24"/>
        <v>7623.0489583333328</v>
      </c>
      <c r="Y24" s="16">
        <f t="shared" si="24"/>
        <v>9202.1129166666669</v>
      </c>
      <c r="Z24" s="16">
        <f t="shared" si="24"/>
        <v>9791.3145833333328</v>
      </c>
      <c r="AA24" s="16">
        <f t="shared" si="24"/>
        <v>23098.217291666671</v>
      </c>
      <c r="AB24" s="16">
        <f t="shared" si="24"/>
        <v>36448.779374999998</v>
      </c>
      <c r="AC24" s="16">
        <f t="shared" si="24"/>
        <v>11396.919374999999</v>
      </c>
      <c r="AD24" s="16">
        <f t="shared" si="24"/>
        <v>35958.599791666667</v>
      </c>
      <c r="AE24" s="16">
        <f t="shared" si="24"/>
        <v>34729.126666666671</v>
      </c>
      <c r="AF24" s="16">
        <f>+AF23</f>
        <v>30055.39916666667</v>
      </c>
      <c r="AG24" s="16">
        <f>+AG23</f>
        <v>22011.053541666668</v>
      </c>
      <c r="AH24" s="16">
        <f>+$L24/48</f>
        <v>14206.785833333333</v>
      </c>
      <c r="AI24" s="16"/>
      <c r="AJ24" s="16"/>
      <c r="AK24" s="16"/>
      <c r="AL24" s="16">
        <f t="shared" si="9"/>
        <v>274335.28395833337</v>
      </c>
      <c r="AM24" s="16">
        <f>SUM(AL$5:AL24)</f>
        <v>1802089.3768749998</v>
      </c>
      <c r="AN24" s="16">
        <f t="shared" si="4"/>
        <v>11366004.253125001</v>
      </c>
      <c r="AO24" s="16">
        <f>+M24-AM23</f>
        <v>11640339.537083335</v>
      </c>
      <c r="AQ24" s="16"/>
      <c r="AR24" s="16"/>
      <c r="AS24" s="16"/>
      <c r="AT24" s="16"/>
      <c r="AU24" s="16"/>
      <c r="AV24" s="16"/>
      <c r="AW24" s="16"/>
      <c r="AX24" s="16"/>
      <c r="AY24" s="16">
        <f t="shared" si="25"/>
        <v>33180.035833333335</v>
      </c>
      <c r="AZ24" s="16">
        <f>+AZ23</f>
        <v>30492.195833333331</v>
      </c>
      <c r="BA24" s="16">
        <f t="shared" si="25"/>
        <v>36808.451666666668</v>
      </c>
      <c r="BB24" s="16">
        <f t="shared" si="25"/>
        <v>39165.258333333331</v>
      </c>
      <c r="BC24" s="16">
        <f t="shared" si="25"/>
        <v>92392.869166666685</v>
      </c>
      <c r="BD24" s="16">
        <f t="shared" si="25"/>
        <v>145795.11749999999</v>
      </c>
      <c r="BE24" s="16">
        <f t="shared" si="25"/>
        <v>45587.677499999998</v>
      </c>
      <c r="BF24" s="16">
        <f t="shared" si="25"/>
        <v>143834.39916666667</v>
      </c>
      <c r="BG24" s="16">
        <f t="shared" si="25"/>
        <v>138916.50666666668</v>
      </c>
      <c r="BH24" s="16">
        <f t="shared" si="25"/>
        <v>120221.59666666668</v>
      </c>
      <c r="BI24" s="16">
        <f>+BI23</f>
        <v>88044.214166666672</v>
      </c>
      <c r="BJ24" s="16">
        <f>+$L24/12</f>
        <v>56827.143333333333</v>
      </c>
      <c r="BK24" s="16"/>
      <c r="BL24" s="16"/>
      <c r="BM24" s="16"/>
      <c r="BN24" s="16">
        <f t="shared" si="11"/>
        <v>971265.46583333332</v>
      </c>
      <c r="BP24" s="21">
        <f t="shared" si="5"/>
        <v>971265.46583333332</v>
      </c>
      <c r="BQ24" s="21">
        <f t="shared" si="6"/>
        <v>274335.28395833337</v>
      </c>
      <c r="BR24" s="16">
        <f t="shared" si="7"/>
        <v>-696930.18187500001</v>
      </c>
      <c r="BS24" s="16">
        <f>+BR24*'Capital Structure '!$E$30</f>
        <v>-284695.97929593746</v>
      </c>
      <c r="BT24" s="16">
        <f>SUM(BS$5:BS24)</f>
        <v>-2069713.5812519789</v>
      </c>
    </row>
    <row r="25" spans="1:72">
      <c r="A25" s="10" t="s">
        <v>56</v>
      </c>
      <c r="B25" s="10">
        <f t="shared" si="26"/>
        <v>2011</v>
      </c>
      <c r="C25" s="10" t="s">
        <v>93</v>
      </c>
      <c r="D25" s="57"/>
      <c r="E25" s="57">
        <v>244749.88</v>
      </c>
      <c r="F25" s="57">
        <f>29913.85+7421.84+18579.48</f>
        <v>55915.17</v>
      </c>
      <c r="G25" s="56">
        <f t="shared" si="2"/>
        <v>300665.05</v>
      </c>
      <c r="H25" s="56"/>
      <c r="I25" s="57"/>
      <c r="J25" s="57"/>
      <c r="K25" s="56"/>
      <c r="L25" s="16">
        <f t="shared" si="3"/>
        <v>300665.05</v>
      </c>
      <c r="M25" s="16">
        <f>SUM(L$5:L25)</f>
        <v>13468758.680000002</v>
      </c>
      <c r="N25" s="21"/>
      <c r="O25" s="16">
        <f t="shared" si="24"/>
        <v>0</v>
      </c>
      <c r="P25" s="16">
        <f t="shared" si="24"/>
        <v>0</v>
      </c>
      <c r="Q25" s="16">
        <f t="shared" si="24"/>
        <v>1237.5</v>
      </c>
      <c r="R25" s="16">
        <f t="shared" si="24"/>
        <v>3675</v>
      </c>
      <c r="S25" s="16">
        <f t="shared" si="24"/>
        <v>4815.9027083333331</v>
      </c>
      <c r="T25" s="16">
        <f t="shared" si="24"/>
        <v>5655.1429166666667</v>
      </c>
      <c r="U25" s="16">
        <f t="shared" si="24"/>
        <v>6748.0427083333334</v>
      </c>
      <c r="V25" s="16">
        <f t="shared" si="24"/>
        <v>9387.3291666666664</v>
      </c>
      <c r="W25" s="16">
        <f t="shared" si="24"/>
        <v>8295.0089583333338</v>
      </c>
      <c r="X25" s="16">
        <f t="shared" si="24"/>
        <v>7623.0489583333328</v>
      </c>
      <c r="Y25" s="16">
        <f t="shared" si="24"/>
        <v>9202.1129166666669</v>
      </c>
      <c r="Z25" s="16">
        <f t="shared" si="24"/>
        <v>9791.3145833333328</v>
      </c>
      <c r="AA25" s="16">
        <f t="shared" si="24"/>
        <v>23098.217291666671</v>
      </c>
      <c r="AB25" s="16">
        <f t="shared" si="24"/>
        <v>36448.779374999998</v>
      </c>
      <c r="AC25" s="16">
        <f t="shared" si="24"/>
        <v>11396.919374999999</v>
      </c>
      <c r="AD25" s="16">
        <f t="shared" si="24"/>
        <v>35958.599791666667</v>
      </c>
      <c r="AE25" s="16">
        <f t="shared" si="24"/>
        <v>34729.126666666671</v>
      </c>
      <c r="AF25" s="16">
        <f t="shared" ref="AF25:AH40" si="27">+AF24</f>
        <v>30055.39916666667</v>
      </c>
      <c r="AG25" s="16">
        <f>+AG24</f>
        <v>22011.053541666668</v>
      </c>
      <c r="AH25" s="16">
        <f>+AH24</f>
        <v>14206.785833333333</v>
      </c>
      <c r="AI25" s="16">
        <f>+$L25/48</f>
        <v>6263.8552083333334</v>
      </c>
      <c r="AJ25" s="16"/>
      <c r="AK25" s="16"/>
      <c r="AL25" s="16">
        <f>SUM(O25:AI25)</f>
        <v>280599.13916666672</v>
      </c>
      <c r="AM25" s="16">
        <f>SUM(AL$5:AL25)</f>
        <v>2082688.5160416665</v>
      </c>
      <c r="AN25" s="16">
        <f>+M25-AM25</f>
        <v>11386070.163958335</v>
      </c>
      <c r="AO25" s="16">
        <f t="shared" si="13"/>
        <v>11666669.303125001</v>
      </c>
      <c r="AQ25" s="16"/>
      <c r="AR25" s="16"/>
      <c r="AS25" s="16"/>
      <c r="AT25" s="16"/>
      <c r="AU25" s="16"/>
      <c r="AV25" s="16"/>
      <c r="AW25" s="16"/>
      <c r="AX25" s="16"/>
      <c r="AY25" s="16"/>
      <c r="AZ25" s="16">
        <f t="shared" si="25"/>
        <v>30492.195833333331</v>
      </c>
      <c r="BA25" s="16">
        <f t="shared" si="25"/>
        <v>36808.451666666668</v>
      </c>
      <c r="BB25" s="16">
        <f t="shared" si="25"/>
        <v>39165.258333333331</v>
      </c>
      <c r="BC25" s="16">
        <f t="shared" si="25"/>
        <v>92392.869166666685</v>
      </c>
      <c r="BD25" s="16">
        <f t="shared" si="25"/>
        <v>145795.11749999999</v>
      </c>
      <c r="BE25" s="16">
        <f t="shared" si="25"/>
        <v>45587.677499999998</v>
      </c>
      <c r="BF25" s="16">
        <f t="shared" si="25"/>
        <v>143834.39916666667</v>
      </c>
      <c r="BG25" s="16">
        <f t="shared" si="25"/>
        <v>138916.50666666668</v>
      </c>
      <c r="BH25" s="16">
        <f t="shared" si="25"/>
        <v>120221.59666666668</v>
      </c>
      <c r="BI25" s="16">
        <f t="shared" si="25"/>
        <v>88044.214166666672</v>
      </c>
      <c r="BJ25" s="16">
        <f t="shared" si="25"/>
        <v>56827.143333333333</v>
      </c>
      <c r="BK25" s="16">
        <f>+$L25/12</f>
        <v>25055.420833333334</v>
      </c>
      <c r="BL25" s="16"/>
      <c r="BM25" s="16"/>
      <c r="BN25" s="16">
        <f>SUM(AQ25:BK25)</f>
        <v>963140.85083333345</v>
      </c>
      <c r="BP25" s="21">
        <f>+BN25</f>
        <v>963140.85083333345</v>
      </c>
      <c r="BQ25" s="21">
        <f>+AL25</f>
        <v>280599.13916666672</v>
      </c>
      <c r="BR25" s="16">
        <f>+BQ25-BP25</f>
        <v>-682541.71166666667</v>
      </c>
      <c r="BS25" s="16">
        <f>+BR25*'Capital Structure '!$E$30</f>
        <v>-278818.2892158333</v>
      </c>
      <c r="BT25" s="16">
        <f>SUM(BS$5:BS25)</f>
        <v>-2348531.8704678123</v>
      </c>
    </row>
    <row r="26" spans="1:72">
      <c r="A26" s="10" t="s">
        <v>57</v>
      </c>
      <c r="B26" s="10">
        <f t="shared" si="26"/>
        <v>2011</v>
      </c>
      <c r="C26" s="10" t="s">
        <v>93</v>
      </c>
      <c r="D26" s="57"/>
      <c r="E26" s="57">
        <f>73739+73981.5</f>
        <v>147720.5</v>
      </c>
      <c r="F26" s="57">
        <f>10217.44+4680.6</f>
        <v>14898.04</v>
      </c>
      <c r="G26" s="56">
        <f t="shared" si="2"/>
        <v>162618.54</v>
      </c>
      <c r="H26" s="56"/>
      <c r="I26" s="57"/>
      <c r="J26" s="57">
        <f>144410.11-12126.75</f>
        <v>132283.35999999999</v>
      </c>
      <c r="K26" s="56"/>
      <c r="L26" s="16">
        <f t="shared" si="3"/>
        <v>294901.90000000002</v>
      </c>
      <c r="M26" s="16">
        <f>SUM(L$5:L26)</f>
        <v>13763660.580000002</v>
      </c>
      <c r="N26" s="21"/>
      <c r="O26" s="16">
        <f t="shared" si="24"/>
        <v>0</v>
      </c>
      <c r="P26" s="16">
        <f t="shared" si="24"/>
        <v>0</v>
      </c>
      <c r="Q26" s="16">
        <f t="shared" si="24"/>
        <v>1237.5</v>
      </c>
      <c r="R26" s="16">
        <f t="shared" si="24"/>
        <v>3675</v>
      </c>
      <c r="S26" s="16">
        <f t="shared" si="24"/>
        <v>4815.9027083333331</v>
      </c>
      <c r="T26" s="16">
        <f t="shared" si="24"/>
        <v>5655.1429166666667</v>
      </c>
      <c r="U26" s="16">
        <f t="shared" si="24"/>
        <v>6748.0427083333334</v>
      </c>
      <c r="V26" s="16">
        <f t="shared" si="24"/>
        <v>9387.3291666666664</v>
      </c>
      <c r="W26" s="16">
        <f t="shared" si="24"/>
        <v>8295.0089583333338</v>
      </c>
      <c r="X26" s="16">
        <f t="shared" si="24"/>
        <v>7623.0489583333328</v>
      </c>
      <c r="Y26" s="16">
        <f t="shared" si="24"/>
        <v>9202.1129166666669</v>
      </c>
      <c r="Z26" s="16">
        <f t="shared" si="24"/>
        <v>9791.3145833333328</v>
      </c>
      <c r="AA26" s="16">
        <f t="shared" si="24"/>
        <v>23098.217291666671</v>
      </c>
      <c r="AB26" s="16">
        <f t="shared" si="24"/>
        <v>36448.779374999998</v>
      </c>
      <c r="AC26" s="16">
        <f t="shared" si="24"/>
        <v>11396.919374999999</v>
      </c>
      <c r="AD26" s="16">
        <f t="shared" si="24"/>
        <v>35958.599791666667</v>
      </c>
      <c r="AE26" s="16">
        <f t="shared" si="24"/>
        <v>34729.126666666671</v>
      </c>
      <c r="AF26" s="16">
        <f t="shared" si="27"/>
        <v>30055.39916666667</v>
      </c>
      <c r="AG26" s="16">
        <f t="shared" si="27"/>
        <v>22011.053541666668</v>
      </c>
      <c r="AH26" s="16">
        <f t="shared" si="27"/>
        <v>14206.785833333333</v>
      </c>
      <c r="AI26" s="16">
        <f>AI25</f>
        <v>6263.8552083333334</v>
      </c>
      <c r="AJ26" s="16">
        <f>+$L26/48</f>
        <v>6143.7895833333341</v>
      </c>
      <c r="AK26" s="16"/>
      <c r="AL26" s="16">
        <f>SUM(O26:AK26)</f>
        <v>286742.92875000008</v>
      </c>
      <c r="AM26" s="16">
        <f>SUM(AL$5:AL26)</f>
        <v>2369431.4447916667</v>
      </c>
      <c r="AN26" s="16">
        <f>+M26-AM26</f>
        <v>11394229.135208335</v>
      </c>
      <c r="AO26" s="16">
        <f>+M26-AM25</f>
        <v>11680972.063958336</v>
      </c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>
        <f t="shared" si="25"/>
        <v>36808.451666666668</v>
      </c>
      <c r="BB26" s="16">
        <f t="shared" si="25"/>
        <v>39165.258333333331</v>
      </c>
      <c r="BC26" s="16">
        <f t="shared" si="25"/>
        <v>92392.869166666685</v>
      </c>
      <c r="BD26" s="16">
        <f t="shared" si="25"/>
        <v>145795.11749999999</v>
      </c>
      <c r="BE26" s="16">
        <f t="shared" si="25"/>
        <v>45587.677499999998</v>
      </c>
      <c r="BF26" s="16">
        <f t="shared" si="25"/>
        <v>143834.39916666667</v>
      </c>
      <c r="BG26" s="16">
        <f t="shared" si="25"/>
        <v>138916.50666666668</v>
      </c>
      <c r="BH26" s="16">
        <f t="shared" si="25"/>
        <v>120221.59666666668</v>
      </c>
      <c r="BI26" s="16">
        <f t="shared" si="25"/>
        <v>88044.214166666672</v>
      </c>
      <c r="BJ26" s="16">
        <f t="shared" si="25"/>
        <v>56827.143333333333</v>
      </c>
      <c r="BK26" s="16">
        <f>BK25</f>
        <v>25055.420833333334</v>
      </c>
      <c r="BL26" s="16">
        <f>+$L26/12</f>
        <v>24575.158333333336</v>
      </c>
      <c r="BM26" s="16"/>
      <c r="BN26" s="16">
        <f>SUM(AQ26:BM26)</f>
        <v>957223.81333333324</v>
      </c>
      <c r="BP26" s="21">
        <f t="shared" si="5"/>
        <v>957223.81333333324</v>
      </c>
      <c r="BQ26" s="21">
        <f>+AL26</f>
        <v>286742.92875000008</v>
      </c>
      <c r="BR26" s="16">
        <f t="shared" si="7"/>
        <v>-670480.88458333316</v>
      </c>
      <c r="BS26" s="16">
        <f>+BR26*'Capital Structure '!$E$30</f>
        <v>-273891.44135229156</v>
      </c>
      <c r="BT26" s="16">
        <f>SUM(BS$5:BS26)</f>
        <v>-2622423.3118201038</v>
      </c>
    </row>
    <row r="27" spans="1:72">
      <c r="A27" s="10" t="s">
        <v>58</v>
      </c>
      <c r="B27" s="10">
        <f t="shared" si="26"/>
        <v>2011</v>
      </c>
      <c r="C27" s="10" t="s">
        <v>93</v>
      </c>
      <c r="D27" s="57"/>
      <c r="E27" s="71">
        <f>111544.5-7296-1800</f>
        <v>102448.5</v>
      </c>
      <c r="F27" s="72">
        <f>12688.72+4680.6</f>
        <v>17369.32</v>
      </c>
      <c r="G27" s="56">
        <f t="shared" si="2"/>
        <v>119817.82</v>
      </c>
      <c r="H27" s="56"/>
      <c r="I27" s="57"/>
      <c r="J27" s="57">
        <f>175629.07+1000</f>
        <v>176629.07</v>
      </c>
      <c r="K27" s="56"/>
      <c r="L27" s="16">
        <f>SUM(G27:J27)</f>
        <v>296446.89</v>
      </c>
      <c r="M27" s="16">
        <f>SUM(L$5:L27)</f>
        <v>14060107.470000003</v>
      </c>
      <c r="O27" s="16">
        <f t="shared" si="24"/>
        <v>0</v>
      </c>
      <c r="P27" s="16">
        <f t="shared" si="24"/>
        <v>0</v>
      </c>
      <c r="Q27" s="16">
        <f t="shared" si="24"/>
        <v>1237.5</v>
      </c>
      <c r="R27" s="16">
        <f t="shared" si="24"/>
        <v>3675</v>
      </c>
      <c r="S27" s="16">
        <f t="shared" si="24"/>
        <v>4815.9027083333331</v>
      </c>
      <c r="T27" s="16">
        <f t="shared" si="24"/>
        <v>5655.1429166666667</v>
      </c>
      <c r="U27" s="16">
        <f t="shared" si="24"/>
        <v>6748.0427083333334</v>
      </c>
      <c r="V27" s="16">
        <f t="shared" si="24"/>
        <v>9387.3291666666664</v>
      </c>
      <c r="W27" s="16">
        <f t="shared" si="24"/>
        <v>8295.0089583333338</v>
      </c>
      <c r="X27" s="16">
        <f t="shared" si="24"/>
        <v>7623.0489583333328</v>
      </c>
      <c r="Y27" s="16">
        <f t="shared" si="24"/>
        <v>9202.1129166666669</v>
      </c>
      <c r="Z27" s="16">
        <f t="shared" si="24"/>
        <v>9791.3145833333328</v>
      </c>
      <c r="AA27" s="16">
        <f t="shared" si="24"/>
        <v>23098.217291666671</v>
      </c>
      <c r="AB27" s="16">
        <f t="shared" si="24"/>
        <v>36448.779374999998</v>
      </c>
      <c r="AC27" s="16">
        <f t="shared" si="24"/>
        <v>11396.919374999999</v>
      </c>
      <c r="AD27" s="16">
        <f t="shared" si="24"/>
        <v>35958.599791666667</v>
      </c>
      <c r="AE27" s="16">
        <f t="shared" si="24"/>
        <v>34729.126666666671</v>
      </c>
      <c r="AF27" s="16">
        <f t="shared" si="27"/>
        <v>30055.39916666667</v>
      </c>
      <c r="AG27" s="16">
        <f t="shared" si="27"/>
        <v>22011.053541666668</v>
      </c>
      <c r="AH27" s="16">
        <f t="shared" si="27"/>
        <v>14206.785833333333</v>
      </c>
      <c r="AI27" s="16">
        <f t="shared" ref="AI27:AK42" si="28">AI26</f>
        <v>6263.8552083333334</v>
      </c>
      <c r="AJ27" s="16">
        <f t="shared" si="28"/>
        <v>6143.7895833333341</v>
      </c>
      <c r="AK27" s="16">
        <f>+$L27/48</f>
        <v>6175.9768750000003</v>
      </c>
      <c r="AL27" s="16">
        <f>SUM(O27:AK27)</f>
        <v>292918.90562500007</v>
      </c>
      <c r="AM27" s="16">
        <f>SUM(AL$5:AL27)</f>
        <v>2662350.3504166668</v>
      </c>
      <c r="AN27" s="16">
        <f t="shared" si="4"/>
        <v>11397757.119583335</v>
      </c>
      <c r="AO27" s="16">
        <f>+M27-AM26</f>
        <v>11690676.025208335</v>
      </c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>
        <f t="shared" si="25"/>
        <v>39165.258333333331</v>
      </c>
      <c r="BC27" s="16">
        <f t="shared" si="25"/>
        <v>92392.869166666685</v>
      </c>
      <c r="BD27" s="16">
        <f t="shared" si="25"/>
        <v>145795.11749999999</v>
      </c>
      <c r="BE27" s="16">
        <f t="shared" si="25"/>
        <v>45587.677499999998</v>
      </c>
      <c r="BF27" s="16">
        <f t="shared" si="25"/>
        <v>143834.39916666667</v>
      </c>
      <c r="BG27" s="16">
        <f t="shared" si="25"/>
        <v>138916.50666666668</v>
      </c>
      <c r="BH27" s="16">
        <f t="shared" si="25"/>
        <v>120221.59666666668</v>
      </c>
      <c r="BI27" s="16">
        <f t="shared" si="25"/>
        <v>88044.214166666672</v>
      </c>
      <c r="BJ27" s="16">
        <f t="shared" si="25"/>
        <v>56827.143333333333</v>
      </c>
      <c r="BK27" s="16">
        <f t="shared" ref="BK27:BM37" si="29">BK26</f>
        <v>25055.420833333334</v>
      </c>
      <c r="BL27" s="16">
        <f t="shared" si="29"/>
        <v>24575.158333333336</v>
      </c>
      <c r="BM27" s="16">
        <f>+$L27/12</f>
        <v>24703.907500000001</v>
      </c>
      <c r="BN27" s="16">
        <f t="shared" ref="BN27:BN71" si="30">SUM(AQ27:BM27)</f>
        <v>945119.26916666655</v>
      </c>
      <c r="BP27" s="21">
        <f t="shared" si="5"/>
        <v>945119.26916666655</v>
      </c>
      <c r="BQ27" s="21">
        <f t="shared" si="6"/>
        <v>292918.90562500007</v>
      </c>
      <c r="BR27" s="16">
        <f t="shared" si="7"/>
        <v>-652200.36354166642</v>
      </c>
      <c r="BS27" s="16">
        <f>+BR27*'Capital Structure '!$E$30</f>
        <v>-266423.84850677074</v>
      </c>
      <c r="BT27" s="16">
        <f>SUM(BS$5:BS27)</f>
        <v>-2888847.1603268743</v>
      </c>
    </row>
    <row r="28" spans="1:72">
      <c r="A28" s="10" t="s">
        <v>59</v>
      </c>
      <c r="B28" s="10">
        <f t="shared" si="26"/>
        <v>2011</v>
      </c>
      <c r="C28" s="10" t="s">
        <v>93</v>
      </c>
      <c r="D28" s="57"/>
      <c r="E28" s="55"/>
      <c r="F28" s="65"/>
      <c r="G28" s="56">
        <f t="shared" si="2"/>
        <v>0</v>
      </c>
      <c r="H28" s="56"/>
      <c r="I28" s="57"/>
      <c r="J28" s="57"/>
      <c r="K28" s="56"/>
      <c r="L28" s="16">
        <f t="shared" si="3"/>
        <v>0</v>
      </c>
      <c r="M28" s="16">
        <f>SUM(L$5:L28)</f>
        <v>14060107.470000003</v>
      </c>
      <c r="O28" s="16">
        <f t="shared" si="24"/>
        <v>0</v>
      </c>
      <c r="P28" s="16">
        <f t="shared" si="24"/>
        <v>0</v>
      </c>
      <c r="Q28" s="16">
        <f t="shared" si="24"/>
        <v>1237.5</v>
      </c>
      <c r="R28" s="16">
        <f t="shared" si="24"/>
        <v>3675</v>
      </c>
      <c r="S28" s="16">
        <f t="shared" si="24"/>
        <v>4815.9027083333331</v>
      </c>
      <c r="T28" s="16">
        <f t="shared" si="24"/>
        <v>5655.1429166666667</v>
      </c>
      <c r="U28" s="16">
        <f t="shared" si="24"/>
        <v>6748.0427083333334</v>
      </c>
      <c r="V28" s="16">
        <f t="shared" si="24"/>
        <v>9387.3291666666664</v>
      </c>
      <c r="W28" s="16">
        <f t="shared" si="24"/>
        <v>8295.0089583333338</v>
      </c>
      <c r="X28" s="16">
        <f t="shared" si="24"/>
        <v>7623.0489583333328</v>
      </c>
      <c r="Y28" s="16">
        <f t="shared" si="24"/>
        <v>9202.1129166666669</v>
      </c>
      <c r="Z28" s="16">
        <f t="shared" si="24"/>
        <v>9791.3145833333328</v>
      </c>
      <c r="AA28" s="16">
        <f t="shared" si="24"/>
        <v>23098.217291666671</v>
      </c>
      <c r="AB28" s="16">
        <f t="shared" si="24"/>
        <v>36448.779374999998</v>
      </c>
      <c r="AC28" s="16">
        <f t="shared" si="24"/>
        <v>11396.919374999999</v>
      </c>
      <c r="AD28" s="16">
        <f t="shared" si="24"/>
        <v>35958.599791666667</v>
      </c>
      <c r="AE28" s="16">
        <f t="shared" si="24"/>
        <v>34729.126666666671</v>
      </c>
      <c r="AF28" s="16">
        <f t="shared" si="27"/>
        <v>30055.39916666667</v>
      </c>
      <c r="AG28" s="16">
        <f t="shared" si="27"/>
        <v>22011.053541666668</v>
      </c>
      <c r="AH28" s="16">
        <f t="shared" si="27"/>
        <v>14206.785833333333</v>
      </c>
      <c r="AI28" s="16">
        <f t="shared" si="28"/>
        <v>6263.8552083333334</v>
      </c>
      <c r="AJ28" s="16">
        <f t="shared" si="28"/>
        <v>6143.7895833333341</v>
      </c>
      <c r="AK28" s="16">
        <f t="shared" si="28"/>
        <v>6175.9768750000003</v>
      </c>
      <c r="AL28" s="16">
        <f t="shared" ref="AL28:AL74" si="31">SUM(O28:AK28)</f>
        <v>292918.90562500007</v>
      </c>
      <c r="AM28" s="16">
        <f>SUM(AL$5:AL28)</f>
        <v>2955269.256041667</v>
      </c>
      <c r="AN28" s="16">
        <f>+M28-AM28</f>
        <v>11104838.213958336</v>
      </c>
      <c r="AO28" s="16">
        <f t="shared" si="13"/>
        <v>11397757.119583335</v>
      </c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>
        <f t="shared" si="25"/>
        <v>92392.869166666685</v>
      </c>
      <c r="BD28" s="16">
        <f t="shared" si="25"/>
        <v>145795.11749999999</v>
      </c>
      <c r="BE28" s="16">
        <f t="shared" si="25"/>
        <v>45587.677499999998</v>
      </c>
      <c r="BF28" s="16">
        <f t="shared" si="25"/>
        <v>143834.39916666667</v>
      </c>
      <c r="BG28" s="16">
        <f t="shared" si="25"/>
        <v>138916.50666666668</v>
      </c>
      <c r="BH28" s="16">
        <f t="shared" si="25"/>
        <v>120221.59666666668</v>
      </c>
      <c r="BI28" s="16">
        <f t="shared" si="25"/>
        <v>88044.214166666672</v>
      </c>
      <c r="BJ28" s="16">
        <f t="shared" si="25"/>
        <v>56827.143333333333</v>
      </c>
      <c r="BK28" s="16">
        <f t="shared" si="29"/>
        <v>25055.420833333334</v>
      </c>
      <c r="BL28" s="16">
        <f t="shared" si="29"/>
        <v>24575.158333333336</v>
      </c>
      <c r="BM28" s="16">
        <f t="shared" si="29"/>
        <v>24703.907500000001</v>
      </c>
      <c r="BN28" s="16">
        <f t="shared" si="30"/>
        <v>905954.01083333325</v>
      </c>
      <c r="BP28" s="21">
        <f t="shared" si="5"/>
        <v>905954.01083333325</v>
      </c>
      <c r="BQ28" s="21">
        <f t="shared" si="6"/>
        <v>292918.90562500007</v>
      </c>
      <c r="BR28" s="16">
        <f t="shared" si="7"/>
        <v>-613035.10520833312</v>
      </c>
      <c r="BS28" s="16">
        <f>+BR28*'Capital Structure '!$E$30</f>
        <v>-250424.84047760407</v>
      </c>
      <c r="BT28" s="16">
        <f>SUM(BS$5:BS28)</f>
        <v>-3139272.0008044783</v>
      </c>
    </row>
    <row r="29" spans="1:72">
      <c r="A29" s="10" t="s">
        <v>46</v>
      </c>
      <c r="B29" s="10">
        <f t="shared" si="26"/>
        <v>2011</v>
      </c>
      <c r="C29" s="10" t="s">
        <v>93</v>
      </c>
      <c r="D29" s="57"/>
      <c r="E29" s="55"/>
      <c r="F29" s="65"/>
      <c r="G29" s="56">
        <f t="shared" si="2"/>
        <v>0</v>
      </c>
      <c r="H29" s="56"/>
      <c r="I29" s="57"/>
      <c r="J29" s="57"/>
      <c r="K29" s="56"/>
      <c r="L29" s="16">
        <f t="shared" si="3"/>
        <v>0</v>
      </c>
      <c r="M29" s="16">
        <f>SUM(L$5:L29)</f>
        <v>14060107.470000003</v>
      </c>
      <c r="O29" s="16">
        <f t="shared" si="24"/>
        <v>0</v>
      </c>
      <c r="P29" s="16">
        <f t="shared" si="24"/>
        <v>0</v>
      </c>
      <c r="Q29" s="16">
        <f t="shared" si="24"/>
        <v>1237.5</v>
      </c>
      <c r="R29" s="16">
        <f t="shared" si="24"/>
        <v>3675</v>
      </c>
      <c r="S29" s="16">
        <f t="shared" si="24"/>
        <v>4815.9027083333331</v>
      </c>
      <c r="T29" s="16">
        <f t="shared" si="24"/>
        <v>5655.1429166666667</v>
      </c>
      <c r="U29" s="16">
        <f t="shared" si="24"/>
        <v>6748.0427083333334</v>
      </c>
      <c r="V29" s="16">
        <f t="shared" si="24"/>
        <v>9387.3291666666664</v>
      </c>
      <c r="W29" s="16">
        <f t="shared" si="24"/>
        <v>8295.0089583333338</v>
      </c>
      <c r="X29" s="16">
        <f t="shared" si="24"/>
        <v>7623.0489583333328</v>
      </c>
      <c r="Y29" s="16">
        <f t="shared" si="24"/>
        <v>9202.1129166666669</v>
      </c>
      <c r="Z29" s="16">
        <f t="shared" si="24"/>
        <v>9791.3145833333328</v>
      </c>
      <c r="AA29" s="16">
        <f t="shared" si="24"/>
        <v>23098.217291666671</v>
      </c>
      <c r="AB29" s="16">
        <f t="shared" si="24"/>
        <v>36448.779374999998</v>
      </c>
      <c r="AC29" s="16">
        <f t="shared" si="24"/>
        <v>11396.919374999999</v>
      </c>
      <c r="AD29" s="16">
        <f t="shared" si="24"/>
        <v>35958.599791666667</v>
      </c>
      <c r="AE29" s="16">
        <f t="shared" si="24"/>
        <v>34729.126666666671</v>
      </c>
      <c r="AF29" s="16">
        <f t="shared" si="27"/>
        <v>30055.39916666667</v>
      </c>
      <c r="AG29" s="16">
        <f t="shared" si="27"/>
        <v>22011.053541666668</v>
      </c>
      <c r="AH29" s="16">
        <f t="shared" si="27"/>
        <v>14206.785833333333</v>
      </c>
      <c r="AI29" s="16">
        <f t="shared" si="28"/>
        <v>6263.8552083333334</v>
      </c>
      <c r="AJ29" s="16">
        <f t="shared" si="28"/>
        <v>6143.7895833333341</v>
      </c>
      <c r="AK29" s="16">
        <f t="shared" si="28"/>
        <v>6175.9768750000003</v>
      </c>
      <c r="AL29" s="16">
        <f t="shared" si="31"/>
        <v>292918.90562500007</v>
      </c>
      <c r="AM29" s="16">
        <f>SUM(AL$5:AL29)</f>
        <v>3248188.1616666671</v>
      </c>
      <c r="AN29" s="16">
        <f t="shared" si="4"/>
        <v>10811919.308333335</v>
      </c>
      <c r="AO29" s="16">
        <f t="shared" si="13"/>
        <v>11104838.213958336</v>
      </c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>
        <f t="shared" si="25"/>
        <v>145795.11749999999</v>
      </c>
      <c r="BE29" s="16">
        <f t="shared" si="25"/>
        <v>45587.677499999998</v>
      </c>
      <c r="BF29" s="16">
        <f t="shared" si="25"/>
        <v>143834.39916666667</v>
      </c>
      <c r="BG29" s="16">
        <f t="shared" si="25"/>
        <v>138916.50666666668</v>
      </c>
      <c r="BH29" s="16">
        <f t="shared" si="25"/>
        <v>120221.59666666668</v>
      </c>
      <c r="BI29" s="16">
        <f t="shared" si="25"/>
        <v>88044.214166666672</v>
      </c>
      <c r="BJ29" s="16">
        <f t="shared" si="25"/>
        <v>56827.143333333333</v>
      </c>
      <c r="BK29" s="16">
        <f t="shared" si="29"/>
        <v>25055.420833333334</v>
      </c>
      <c r="BL29" s="16">
        <f t="shared" si="29"/>
        <v>24575.158333333336</v>
      </c>
      <c r="BM29" s="16">
        <f t="shared" si="29"/>
        <v>24703.907500000001</v>
      </c>
      <c r="BN29" s="16">
        <f t="shared" si="30"/>
        <v>813561.1416666666</v>
      </c>
      <c r="BP29" s="21">
        <f t="shared" si="5"/>
        <v>813561.1416666666</v>
      </c>
      <c r="BQ29" s="21">
        <f t="shared" si="6"/>
        <v>292918.90562500007</v>
      </c>
      <c r="BR29" s="16">
        <f t="shared" si="7"/>
        <v>-520642.23604166653</v>
      </c>
      <c r="BS29" s="16">
        <f>+BR29*'Capital Structure '!$E$30</f>
        <v>-212682.35342302077</v>
      </c>
      <c r="BT29" s="16">
        <f>SUM(BS$5:BS29)</f>
        <v>-3351954.3542274991</v>
      </c>
    </row>
    <row r="30" spans="1:72">
      <c r="A30" s="10" t="s">
        <v>48</v>
      </c>
      <c r="B30" s="10">
        <f t="shared" si="26"/>
        <v>2011</v>
      </c>
      <c r="C30" s="10" t="s">
        <v>93</v>
      </c>
      <c r="D30" s="68"/>
      <c r="E30" s="58"/>
      <c r="F30" s="58"/>
      <c r="G30" s="60">
        <f t="shared" si="2"/>
        <v>0</v>
      </c>
      <c r="H30" s="60"/>
      <c r="I30" s="68"/>
      <c r="J30" s="68"/>
      <c r="K30" s="60"/>
      <c r="L30" s="25">
        <f t="shared" si="3"/>
        <v>0</v>
      </c>
      <c r="M30" s="16">
        <f>SUM(L$5:L30)</f>
        <v>14060107.470000003</v>
      </c>
      <c r="O30" s="16">
        <f t="shared" si="24"/>
        <v>0</v>
      </c>
      <c r="P30" s="16">
        <f t="shared" si="24"/>
        <v>0</v>
      </c>
      <c r="Q30" s="16">
        <f t="shared" si="24"/>
        <v>1237.5</v>
      </c>
      <c r="R30" s="16">
        <f t="shared" si="24"/>
        <v>3675</v>
      </c>
      <c r="S30" s="16">
        <f t="shared" si="24"/>
        <v>4815.9027083333331</v>
      </c>
      <c r="T30" s="16">
        <f t="shared" si="24"/>
        <v>5655.1429166666667</v>
      </c>
      <c r="U30" s="16">
        <f t="shared" si="24"/>
        <v>6748.0427083333334</v>
      </c>
      <c r="V30" s="16">
        <f t="shared" si="24"/>
        <v>9387.3291666666664</v>
      </c>
      <c r="W30" s="16">
        <f t="shared" si="24"/>
        <v>8295.0089583333338</v>
      </c>
      <c r="X30" s="16">
        <f t="shared" si="24"/>
        <v>7623.0489583333328</v>
      </c>
      <c r="Y30" s="16">
        <f t="shared" si="24"/>
        <v>9202.1129166666669</v>
      </c>
      <c r="Z30" s="16">
        <f t="shared" si="24"/>
        <v>9791.3145833333328</v>
      </c>
      <c r="AA30" s="16">
        <f t="shared" si="24"/>
        <v>23098.217291666671</v>
      </c>
      <c r="AB30" s="16">
        <f t="shared" si="24"/>
        <v>36448.779374999998</v>
      </c>
      <c r="AC30" s="16">
        <f t="shared" si="24"/>
        <v>11396.919374999999</v>
      </c>
      <c r="AD30" s="16">
        <f t="shared" si="24"/>
        <v>35958.599791666667</v>
      </c>
      <c r="AE30" s="16">
        <f t="shared" si="24"/>
        <v>34729.126666666671</v>
      </c>
      <c r="AF30" s="16">
        <f t="shared" si="27"/>
        <v>30055.39916666667</v>
      </c>
      <c r="AG30" s="16">
        <f t="shared" si="27"/>
        <v>22011.053541666668</v>
      </c>
      <c r="AH30" s="16">
        <f t="shared" si="27"/>
        <v>14206.785833333333</v>
      </c>
      <c r="AI30" s="16">
        <f t="shared" si="28"/>
        <v>6263.8552083333334</v>
      </c>
      <c r="AJ30" s="16">
        <f t="shared" si="28"/>
        <v>6143.7895833333341</v>
      </c>
      <c r="AK30" s="16">
        <f t="shared" si="28"/>
        <v>6175.9768750000003</v>
      </c>
      <c r="AL30" s="16">
        <f t="shared" si="31"/>
        <v>292918.90562500007</v>
      </c>
      <c r="AM30" s="16">
        <f>SUM(AL$5:AL30)</f>
        <v>3541107.0672916672</v>
      </c>
      <c r="AN30" s="16">
        <f t="shared" si="4"/>
        <v>10519000.402708335</v>
      </c>
      <c r="AO30" s="16">
        <f t="shared" si="13"/>
        <v>10811919.308333335</v>
      </c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>
        <f t="shared" si="25"/>
        <v>45587.677499999998</v>
      </c>
      <c r="BF30" s="16">
        <f t="shared" si="25"/>
        <v>143834.39916666667</v>
      </c>
      <c r="BG30" s="16">
        <f t="shared" si="25"/>
        <v>138916.50666666668</v>
      </c>
      <c r="BH30" s="16">
        <f t="shared" si="25"/>
        <v>120221.59666666668</v>
      </c>
      <c r="BI30" s="16">
        <f t="shared" si="25"/>
        <v>88044.214166666672</v>
      </c>
      <c r="BJ30" s="16">
        <f t="shared" si="25"/>
        <v>56827.143333333333</v>
      </c>
      <c r="BK30" s="16">
        <f t="shared" si="29"/>
        <v>25055.420833333334</v>
      </c>
      <c r="BL30" s="16">
        <f t="shared" si="29"/>
        <v>24575.158333333336</v>
      </c>
      <c r="BM30" s="16">
        <f t="shared" si="29"/>
        <v>24703.907500000001</v>
      </c>
      <c r="BN30" s="16">
        <f t="shared" si="30"/>
        <v>667766.02416666667</v>
      </c>
      <c r="BP30" s="21">
        <f t="shared" si="5"/>
        <v>667766.02416666667</v>
      </c>
      <c r="BQ30" s="21">
        <f t="shared" si="6"/>
        <v>292918.90562500007</v>
      </c>
      <c r="BR30" s="16">
        <f t="shared" si="7"/>
        <v>-374847.1185416666</v>
      </c>
      <c r="BS30" s="16">
        <f>+BR30*'Capital Structure '!$E$30</f>
        <v>-153125.0479242708</v>
      </c>
      <c r="BT30" s="16">
        <f>SUM(BS$5:BS30)</f>
        <v>-3505079.40215177</v>
      </c>
    </row>
    <row r="31" spans="1:72">
      <c r="A31" s="10" t="s">
        <v>50</v>
      </c>
      <c r="B31" s="10">
        <f t="shared" si="26"/>
        <v>2011</v>
      </c>
      <c r="C31" s="10" t="s">
        <v>93</v>
      </c>
      <c r="D31" s="57"/>
      <c r="E31" s="55"/>
      <c r="F31" s="65"/>
      <c r="G31" s="56">
        <f t="shared" si="2"/>
        <v>0</v>
      </c>
      <c r="H31" s="56"/>
      <c r="I31" s="57"/>
      <c r="J31" s="57"/>
      <c r="K31" s="56"/>
      <c r="L31" s="16">
        <f t="shared" si="3"/>
        <v>0</v>
      </c>
      <c r="M31" s="16">
        <f>SUM(L$5:L31)</f>
        <v>14060107.470000003</v>
      </c>
      <c r="O31" s="16">
        <f t="shared" si="24"/>
        <v>0</v>
      </c>
      <c r="P31" s="16">
        <f t="shared" si="24"/>
        <v>0</v>
      </c>
      <c r="Q31" s="16">
        <f t="shared" si="24"/>
        <v>1237.5</v>
      </c>
      <c r="R31" s="16">
        <f t="shared" si="24"/>
        <v>3675</v>
      </c>
      <c r="S31" s="16">
        <f t="shared" si="24"/>
        <v>4815.9027083333331</v>
      </c>
      <c r="T31" s="16">
        <f t="shared" si="24"/>
        <v>5655.1429166666667</v>
      </c>
      <c r="U31" s="16">
        <f t="shared" si="24"/>
        <v>6748.0427083333334</v>
      </c>
      <c r="V31" s="16">
        <f t="shared" si="24"/>
        <v>9387.3291666666664</v>
      </c>
      <c r="W31" s="16">
        <f t="shared" si="24"/>
        <v>8295.0089583333338</v>
      </c>
      <c r="X31" s="16">
        <f t="shared" si="24"/>
        <v>7623.0489583333328</v>
      </c>
      <c r="Y31" s="16">
        <f t="shared" si="24"/>
        <v>9202.1129166666669</v>
      </c>
      <c r="Z31" s="16">
        <f t="shared" si="24"/>
        <v>9791.3145833333328</v>
      </c>
      <c r="AA31" s="16">
        <f t="shared" si="24"/>
        <v>23098.217291666671</v>
      </c>
      <c r="AB31" s="16">
        <f t="shared" si="24"/>
        <v>36448.779374999998</v>
      </c>
      <c r="AC31" s="16">
        <f t="shared" si="24"/>
        <v>11396.919374999999</v>
      </c>
      <c r="AD31" s="16">
        <f t="shared" si="24"/>
        <v>35958.599791666667</v>
      </c>
      <c r="AE31" s="16">
        <f t="shared" si="24"/>
        <v>34729.126666666671</v>
      </c>
      <c r="AF31" s="16">
        <f t="shared" si="27"/>
        <v>30055.39916666667</v>
      </c>
      <c r="AG31" s="16">
        <f t="shared" si="27"/>
        <v>22011.053541666668</v>
      </c>
      <c r="AH31" s="16">
        <f t="shared" si="27"/>
        <v>14206.785833333333</v>
      </c>
      <c r="AI31" s="16">
        <f t="shared" si="28"/>
        <v>6263.8552083333334</v>
      </c>
      <c r="AJ31" s="16">
        <f t="shared" si="28"/>
        <v>6143.7895833333341</v>
      </c>
      <c r="AK31" s="16">
        <f t="shared" si="28"/>
        <v>6175.9768750000003</v>
      </c>
      <c r="AL31" s="16">
        <f t="shared" si="31"/>
        <v>292918.90562500007</v>
      </c>
      <c r="AM31" s="16">
        <f>SUM(AL$5:AL31)</f>
        <v>3834025.9729166673</v>
      </c>
      <c r="AN31" s="16">
        <f t="shared" si="4"/>
        <v>10226081.497083336</v>
      </c>
      <c r="AO31" s="16">
        <f t="shared" si="13"/>
        <v>10519000.402708335</v>
      </c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>
        <f t="shared" si="25"/>
        <v>143834.39916666667</v>
      </c>
      <c r="BG31" s="16">
        <f t="shared" si="25"/>
        <v>138916.50666666668</v>
      </c>
      <c r="BH31" s="16">
        <f t="shared" si="25"/>
        <v>120221.59666666668</v>
      </c>
      <c r="BI31" s="16">
        <f t="shared" si="25"/>
        <v>88044.214166666672</v>
      </c>
      <c r="BJ31" s="16">
        <f t="shared" si="25"/>
        <v>56827.143333333333</v>
      </c>
      <c r="BK31" s="16">
        <f t="shared" si="29"/>
        <v>25055.420833333334</v>
      </c>
      <c r="BL31" s="16">
        <f t="shared" si="29"/>
        <v>24575.158333333336</v>
      </c>
      <c r="BM31" s="16">
        <f t="shared" si="29"/>
        <v>24703.907500000001</v>
      </c>
      <c r="BN31" s="16">
        <f t="shared" si="30"/>
        <v>622178.34666666668</v>
      </c>
      <c r="BP31" s="21">
        <f t="shared" si="5"/>
        <v>622178.34666666668</v>
      </c>
      <c r="BQ31" s="21">
        <f t="shared" si="6"/>
        <v>292918.90562500007</v>
      </c>
      <c r="BR31" s="16">
        <f t="shared" si="7"/>
        <v>-329259.44104166661</v>
      </c>
      <c r="BS31" s="16">
        <f>+BR31*'Capital Structure '!$E$30</f>
        <v>-134502.48166552081</v>
      </c>
      <c r="BT31" s="16">
        <f>SUM(BS$5:BS31)</f>
        <v>-3639581.8838172909</v>
      </c>
    </row>
    <row r="32" spans="1:72">
      <c r="A32" s="10" t="s">
        <v>51</v>
      </c>
      <c r="B32" s="10">
        <f t="shared" si="26"/>
        <v>2011</v>
      </c>
      <c r="C32" s="10" t="s">
        <v>93</v>
      </c>
      <c r="D32" s="57"/>
      <c r="E32" s="55"/>
      <c r="F32" s="65"/>
      <c r="G32" s="56">
        <f t="shared" si="2"/>
        <v>0</v>
      </c>
      <c r="H32" s="56"/>
      <c r="I32" s="57"/>
      <c r="J32" s="57"/>
      <c r="K32" s="56"/>
      <c r="L32" s="16">
        <f t="shared" si="3"/>
        <v>0</v>
      </c>
      <c r="M32" s="16">
        <f>SUM(L$5:L32)</f>
        <v>14060107.470000003</v>
      </c>
      <c r="O32" s="16">
        <f t="shared" si="24"/>
        <v>0</v>
      </c>
      <c r="P32" s="16">
        <f t="shared" si="24"/>
        <v>0</v>
      </c>
      <c r="Q32" s="16">
        <f t="shared" si="24"/>
        <v>1237.5</v>
      </c>
      <c r="R32" s="16">
        <f t="shared" si="24"/>
        <v>3675</v>
      </c>
      <c r="S32" s="16">
        <f t="shared" si="24"/>
        <v>4815.9027083333331</v>
      </c>
      <c r="T32" s="16">
        <f t="shared" si="24"/>
        <v>5655.1429166666667</v>
      </c>
      <c r="U32" s="16">
        <f t="shared" si="24"/>
        <v>6748.0427083333334</v>
      </c>
      <c r="V32" s="16">
        <f t="shared" si="24"/>
        <v>9387.3291666666664</v>
      </c>
      <c r="W32" s="16">
        <f t="shared" si="24"/>
        <v>8295.0089583333338</v>
      </c>
      <c r="X32" s="16">
        <f t="shared" si="24"/>
        <v>7623.0489583333328</v>
      </c>
      <c r="Y32" s="16">
        <f t="shared" si="24"/>
        <v>9202.1129166666669</v>
      </c>
      <c r="Z32" s="16">
        <f t="shared" si="24"/>
        <v>9791.3145833333328</v>
      </c>
      <c r="AA32" s="16">
        <f t="shared" si="24"/>
        <v>23098.217291666671</v>
      </c>
      <c r="AB32" s="16">
        <f t="shared" si="24"/>
        <v>36448.779374999998</v>
      </c>
      <c r="AC32" s="16">
        <f t="shared" si="24"/>
        <v>11396.919374999999</v>
      </c>
      <c r="AD32" s="16">
        <f t="shared" si="24"/>
        <v>35958.599791666667</v>
      </c>
      <c r="AE32" s="16">
        <f t="shared" si="24"/>
        <v>34729.126666666671</v>
      </c>
      <c r="AF32" s="16">
        <f t="shared" si="27"/>
        <v>30055.39916666667</v>
      </c>
      <c r="AG32" s="16">
        <f t="shared" si="27"/>
        <v>22011.053541666668</v>
      </c>
      <c r="AH32" s="16">
        <f t="shared" si="27"/>
        <v>14206.785833333333</v>
      </c>
      <c r="AI32" s="16">
        <f t="shared" si="28"/>
        <v>6263.8552083333334</v>
      </c>
      <c r="AJ32" s="16">
        <f t="shared" si="28"/>
        <v>6143.7895833333341</v>
      </c>
      <c r="AK32" s="16">
        <f t="shared" si="28"/>
        <v>6175.9768750000003</v>
      </c>
      <c r="AL32" s="16">
        <f t="shared" si="31"/>
        <v>292918.90562500007</v>
      </c>
      <c r="AM32" s="16">
        <f>SUM(AL$5:AL32)</f>
        <v>4126944.8785416675</v>
      </c>
      <c r="AN32" s="16">
        <f t="shared" si="4"/>
        <v>9933162.5914583355</v>
      </c>
      <c r="AO32" s="16">
        <f t="shared" si="13"/>
        <v>10226081.497083336</v>
      </c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>
        <f t="shared" si="25"/>
        <v>138916.50666666668</v>
      </c>
      <c r="BH32" s="16">
        <f t="shared" si="25"/>
        <v>120221.59666666668</v>
      </c>
      <c r="BI32" s="16">
        <f t="shared" si="25"/>
        <v>88044.214166666672</v>
      </c>
      <c r="BJ32" s="16">
        <f t="shared" si="25"/>
        <v>56827.143333333333</v>
      </c>
      <c r="BK32" s="16">
        <f t="shared" si="29"/>
        <v>25055.420833333334</v>
      </c>
      <c r="BL32" s="16">
        <f t="shared" si="29"/>
        <v>24575.158333333336</v>
      </c>
      <c r="BM32" s="16">
        <f t="shared" si="29"/>
        <v>24703.907500000001</v>
      </c>
      <c r="BN32" s="16">
        <f t="shared" si="30"/>
        <v>478343.94750000001</v>
      </c>
      <c r="BP32" s="21">
        <f t="shared" si="5"/>
        <v>478343.94750000001</v>
      </c>
      <c r="BQ32" s="21">
        <f t="shared" si="6"/>
        <v>292918.90562500007</v>
      </c>
      <c r="BR32" s="16">
        <f t="shared" si="7"/>
        <v>-185425.04187499994</v>
      </c>
      <c r="BS32" s="16">
        <f>+BR32*'Capital Structure '!$E$30</f>
        <v>-75746.129605937473</v>
      </c>
      <c r="BT32" s="16">
        <f>SUM(BS$5:BS32)</f>
        <v>-3715328.0134232282</v>
      </c>
    </row>
    <row r="33" spans="1:72">
      <c r="A33" s="10" t="s">
        <v>52</v>
      </c>
      <c r="B33" s="10">
        <f t="shared" si="26"/>
        <v>2011</v>
      </c>
      <c r="C33" s="10" t="s">
        <v>93</v>
      </c>
      <c r="D33" s="57"/>
      <c r="E33" s="55"/>
      <c r="F33" s="65"/>
      <c r="G33" s="56">
        <f t="shared" si="2"/>
        <v>0</v>
      </c>
      <c r="H33" s="56"/>
      <c r="I33" s="57"/>
      <c r="J33" s="57"/>
      <c r="K33" s="56"/>
      <c r="L33" s="16">
        <f t="shared" si="3"/>
        <v>0</v>
      </c>
      <c r="M33" s="16">
        <f>SUM(L$5:L33)</f>
        <v>14060107.470000003</v>
      </c>
      <c r="O33" s="16">
        <f t="shared" si="24"/>
        <v>0</v>
      </c>
      <c r="P33" s="16">
        <f t="shared" si="24"/>
        <v>0</v>
      </c>
      <c r="Q33" s="16">
        <f t="shared" si="24"/>
        <v>1237.5</v>
      </c>
      <c r="R33" s="16">
        <f t="shared" si="24"/>
        <v>3675</v>
      </c>
      <c r="S33" s="16">
        <f t="shared" si="24"/>
        <v>4815.9027083333331</v>
      </c>
      <c r="T33" s="16">
        <f t="shared" si="24"/>
        <v>5655.1429166666667</v>
      </c>
      <c r="U33" s="16">
        <f t="shared" si="24"/>
        <v>6748.0427083333334</v>
      </c>
      <c r="V33" s="16">
        <f t="shared" si="24"/>
        <v>9387.3291666666664</v>
      </c>
      <c r="W33" s="16">
        <f t="shared" si="24"/>
        <v>8295.0089583333338</v>
      </c>
      <c r="X33" s="16">
        <f t="shared" si="24"/>
        <v>7623.0489583333328</v>
      </c>
      <c r="Y33" s="16">
        <f t="shared" si="24"/>
        <v>9202.1129166666669</v>
      </c>
      <c r="Z33" s="16">
        <f t="shared" si="24"/>
        <v>9791.3145833333328</v>
      </c>
      <c r="AA33" s="16">
        <f t="shared" si="24"/>
        <v>23098.217291666671</v>
      </c>
      <c r="AB33" s="16">
        <f t="shared" si="24"/>
        <v>36448.779374999998</v>
      </c>
      <c r="AC33" s="16">
        <f t="shared" si="24"/>
        <v>11396.919374999999</v>
      </c>
      <c r="AD33" s="16">
        <f t="shared" si="24"/>
        <v>35958.599791666667</v>
      </c>
      <c r="AE33" s="16">
        <f t="shared" si="24"/>
        <v>34729.126666666671</v>
      </c>
      <c r="AF33" s="16">
        <f t="shared" si="27"/>
        <v>30055.39916666667</v>
      </c>
      <c r="AG33" s="16">
        <f t="shared" si="27"/>
        <v>22011.053541666668</v>
      </c>
      <c r="AH33" s="16">
        <f t="shared" si="27"/>
        <v>14206.785833333333</v>
      </c>
      <c r="AI33" s="16">
        <f t="shared" si="28"/>
        <v>6263.8552083333334</v>
      </c>
      <c r="AJ33" s="16">
        <f t="shared" si="28"/>
        <v>6143.7895833333341</v>
      </c>
      <c r="AK33" s="16">
        <f t="shared" si="28"/>
        <v>6175.9768750000003</v>
      </c>
      <c r="AL33" s="16">
        <f t="shared" si="31"/>
        <v>292918.90562500007</v>
      </c>
      <c r="AM33" s="16">
        <f>SUM(AL$5:AL33)</f>
        <v>4419863.7841666676</v>
      </c>
      <c r="AN33" s="16">
        <f t="shared" si="4"/>
        <v>9640243.6858333349</v>
      </c>
      <c r="AO33" s="16">
        <f t="shared" si="13"/>
        <v>9933162.5914583355</v>
      </c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>
        <f t="shared" si="25"/>
        <v>120221.59666666668</v>
      </c>
      <c r="BI33" s="16">
        <f t="shared" si="25"/>
        <v>88044.214166666672</v>
      </c>
      <c r="BJ33" s="16">
        <f t="shared" si="25"/>
        <v>56827.143333333333</v>
      </c>
      <c r="BK33" s="16">
        <f t="shared" si="29"/>
        <v>25055.420833333334</v>
      </c>
      <c r="BL33" s="16">
        <f t="shared" si="29"/>
        <v>24575.158333333336</v>
      </c>
      <c r="BM33" s="16">
        <f t="shared" si="29"/>
        <v>24703.907500000001</v>
      </c>
      <c r="BN33" s="16">
        <f t="shared" si="30"/>
        <v>339427.4408333333</v>
      </c>
      <c r="BP33" s="21">
        <f t="shared" si="5"/>
        <v>339427.4408333333</v>
      </c>
      <c r="BQ33" s="21">
        <f t="shared" si="6"/>
        <v>292918.90562500007</v>
      </c>
      <c r="BR33" s="16">
        <f t="shared" si="7"/>
        <v>-46508.535208333225</v>
      </c>
      <c r="BS33" s="16">
        <f>+BR33*'Capital Structure '!$E$30</f>
        <v>-18998.736632604123</v>
      </c>
      <c r="BT33" s="16">
        <f>SUM(BS$5:BS33)</f>
        <v>-3734326.7500558323</v>
      </c>
    </row>
    <row r="34" spans="1:72">
      <c r="A34" s="10" t="s">
        <v>53</v>
      </c>
      <c r="B34" s="10">
        <f>+B33+1</f>
        <v>2012</v>
      </c>
      <c r="C34" s="10" t="s">
        <v>93</v>
      </c>
      <c r="D34" s="57"/>
      <c r="E34" s="55"/>
      <c r="F34" s="65"/>
      <c r="G34" s="56">
        <f t="shared" si="2"/>
        <v>0</v>
      </c>
      <c r="H34" s="56"/>
      <c r="I34" s="57"/>
      <c r="J34" s="57"/>
      <c r="K34" s="56"/>
      <c r="L34" s="16">
        <f t="shared" si="3"/>
        <v>0</v>
      </c>
      <c r="M34" s="16">
        <f>SUM(L$5:L34)</f>
        <v>14060107.470000003</v>
      </c>
      <c r="O34" s="16">
        <f t="shared" si="24"/>
        <v>0</v>
      </c>
      <c r="P34" s="16">
        <f t="shared" si="24"/>
        <v>0</v>
      </c>
      <c r="Q34" s="16">
        <f t="shared" si="24"/>
        <v>1237.5</v>
      </c>
      <c r="R34" s="16">
        <f t="shared" si="24"/>
        <v>3675</v>
      </c>
      <c r="S34" s="16">
        <f t="shared" si="24"/>
        <v>4815.9027083333331</v>
      </c>
      <c r="T34" s="16">
        <f t="shared" si="24"/>
        <v>5655.1429166666667</v>
      </c>
      <c r="U34" s="16">
        <f t="shared" si="24"/>
        <v>6748.0427083333334</v>
      </c>
      <c r="V34" s="16">
        <f t="shared" si="24"/>
        <v>9387.3291666666664</v>
      </c>
      <c r="W34" s="16">
        <f t="shared" si="24"/>
        <v>8295.0089583333338</v>
      </c>
      <c r="X34" s="16">
        <f t="shared" si="24"/>
        <v>7623.0489583333328</v>
      </c>
      <c r="Y34" s="16">
        <f t="shared" si="24"/>
        <v>9202.1129166666669</v>
      </c>
      <c r="Z34" s="16">
        <f t="shared" si="24"/>
        <v>9791.3145833333328</v>
      </c>
      <c r="AA34" s="16">
        <f t="shared" si="24"/>
        <v>23098.217291666671</v>
      </c>
      <c r="AB34" s="16">
        <f t="shared" si="24"/>
        <v>36448.779374999998</v>
      </c>
      <c r="AC34" s="16">
        <f t="shared" si="24"/>
        <v>11396.919374999999</v>
      </c>
      <c r="AD34" s="16">
        <f t="shared" si="24"/>
        <v>35958.599791666667</v>
      </c>
      <c r="AE34" s="16">
        <f t="shared" si="24"/>
        <v>34729.126666666671</v>
      </c>
      <c r="AF34" s="16">
        <f t="shared" si="27"/>
        <v>30055.39916666667</v>
      </c>
      <c r="AG34" s="16">
        <f t="shared" si="27"/>
        <v>22011.053541666668</v>
      </c>
      <c r="AH34" s="16">
        <f t="shared" si="27"/>
        <v>14206.785833333333</v>
      </c>
      <c r="AI34" s="16">
        <f t="shared" si="28"/>
        <v>6263.8552083333334</v>
      </c>
      <c r="AJ34" s="16">
        <f t="shared" si="28"/>
        <v>6143.7895833333341</v>
      </c>
      <c r="AK34" s="16">
        <f t="shared" si="28"/>
        <v>6175.9768750000003</v>
      </c>
      <c r="AL34" s="16">
        <f t="shared" si="31"/>
        <v>292918.90562500007</v>
      </c>
      <c r="AM34" s="16">
        <f>SUM(AL$5:AL34)</f>
        <v>4712782.6897916673</v>
      </c>
      <c r="AN34" s="16">
        <f t="shared" si="4"/>
        <v>9347324.7802083343</v>
      </c>
      <c r="AO34" s="16">
        <f t="shared" si="13"/>
        <v>9640243.6858333349</v>
      </c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>
        <f t="shared" si="25"/>
        <v>88044.214166666672</v>
      </c>
      <c r="BJ34" s="16">
        <f t="shared" si="25"/>
        <v>56827.143333333333</v>
      </c>
      <c r="BK34" s="16">
        <f t="shared" si="29"/>
        <v>25055.420833333334</v>
      </c>
      <c r="BL34" s="16">
        <f t="shared" si="29"/>
        <v>24575.158333333336</v>
      </c>
      <c r="BM34" s="16">
        <f t="shared" si="29"/>
        <v>24703.907500000001</v>
      </c>
      <c r="BN34" s="16">
        <f t="shared" si="30"/>
        <v>219205.84416666668</v>
      </c>
      <c r="BP34" s="21">
        <f t="shared" si="5"/>
        <v>219205.84416666668</v>
      </c>
      <c r="BQ34" s="21">
        <f t="shared" si="6"/>
        <v>292918.90562500007</v>
      </c>
      <c r="BR34" s="16">
        <f t="shared" si="7"/>
        <v>73713.061458333395</v>
      </c>
      <c r="BS34" s="16">
        <f>+BR34*'Capital Structure '!$E$30</f>
        <v>30111.78560572919</v>
      </c>
      <c r="BT34" s="16">
        <f>SUM(BS$5:BS34)</f>
        <v>-3704214.9644501032</v>
      </c>
    </row>
    <row r="35" spans="1:72">
      <c r="A35" s="10" t="s">
        <v>54</v>
      </c>
      <c r="B35" s="10">
        <f t="shared" ref="B35:B45" si="32">+B34</f>
        <v>2012</v>
      </c>
      <c r="C35" s="10" t="s">
        <v>93</v>
      </c>
      <c r="D35" s="57"/>
      <c r="E35" s="55"/>
      <c r="F35" s="65"/>
      <c r="G35" s="56">
        <f t="shared" si="2"/>
        <v>0</v>
      </c>
      <c r="H35" s="56"/>
      <c r="I35" s="57"/>
      <c r="J35" s="57"/>
      <c r="K35" s="56"/>
      <c r="L35" s="16">
        <f t="shared" si="3"/>
        <v>0</v>
      </c>
      <c r="M35" s="16">
        <f>SUM(L$5:L35)</f>
        <v>14060107.470000003</v>
      </c>
      <c r="O35" s="16">
        <f t="shared" si="24"/>
        <v>0</v>
      </c>
      <c r="P35" s="16">
        <f t="shared" si="24"/>
        <v>0</v>
      </c>
      <c r="Q35" s="16">
        <f t="shared" si="24"/>
        <v>1237.5</v>
      </c>
      <c r="R35" s="16">
        <f t="shared" si="24"/>
        <v>3675</v>
      </c>
      <c r="S35" s="16">
        <f t="shared" si="24"/>
        <v>4815.9027083333331</v>
      </c>
      <c r="T35" s="16">
        <f t="shared" si="24"/>
        <v>5655.1429166666667</v>
      </c>
      <c r="U35" s="16">
        <f t="shared" si="24"/>
        <v>6748.0427083333334</v>
      </c>
      <c r="V35" s="16">
        <f t="shared" si="24"/>
        <v>9387.3291666666664</v>
      </c>
      <c r="W35" s="16">
        <f t="shared" si="24"/>
        <v>8295.0089583333338</v>
      </c>
      <c r="X35" s="16">
        <f t="shared" si="24"/>
        <v>7623.0489583333328</v>
      </c>
      <c r="Y35" s="16">
        <f t="shared" si="24"/>
        <v>9202.1129166666669</v>
      </c>
      <c r="Z35" s="16">
        <f t="shared" si="24"/>
        <v>9791.3145833333328</v>
      </c>
      <c r="AA35" s="16">
        <f t="shared" si="24"/>
        <v>23098.217291666671</v>
      </c>
      <c r="AB35" s="16">
        <f t="shared" si="24"/>
        <v>36448.779374999998</v>
      </c>
      <c r="AC35" s="16">
        <f t="shared" si="24"/>
        <v>11396.919374999999</v>
      </c>
      <c r="AD35" s="16">
        <f t="shared" si="24"/>
        <v>35958.599791666667</v>
      </c>
      <c r="AE35" s="16">
        <f t="shared" si="24"/>
        <v>34729.126666666671</v>
      </c>
      <c r="AF35" s="16">
        <f t="shared" si="27"/>
        <v>30055.39916666667</v>
      </c>
      <c r="AG35" s="16">
        <f t="shared" si="27"/>
        <v>22011.053541666668</v>
      </c>
      <c r="AH35" s="16">
        <f t="shared" si="27"/>
        <v>14206.785833333333</v>
      </c>
      <c r="AI35" s="16">
        <f t="shared" si="28"/>
        <v>6263.8552083333334</v>
      </c>
      <c r="AJ35" s="16">
        <f t="shared" si="28"/>
        <v>6143.7895833333341</v>
      </c>
      <c r="AK35" s="16">
        <f t="shared" si="28"/>
        <v>6175.9768750000003</v>
      </c>
      <c r="AL35" s="16">
        <f t="shared" si="31"/>
        <v>292918.90562500007</v>
      </c>
      <c r="AM35" s="16">
        <f>SUM(AL$5:AL35)</f>
        <v>5005701.5954166669</v>
      </c>
      <c r="AN35" s="16">
        <f t="shared" si="4"/>
        <v>9054405.8745833356</v>
      </c>
      <c r="AO35" s="16">
        <f t="shared" si="13"/>
        <v>9347324.7802083343</v>
      </c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>
        <f>+BJ34</f>
        <v>56827.143333333333</v>
      </c>
      <c r="BK35" s="16">
        <f t="shared" si="29"/>
        <v>25055.420833333334</v>
      </c>
      <c r="BL35" s="16">
        <f t="shared" si="29"/>
        <v>24575.158333333336</v>
      </c>
      <c r="BM35" s="16">
        <f t="shared" si="29"/>
        <v>24703.907500000001</v>
      </c>
      <c r="BN35" s="16">
        <f t="shared" si="30"/>
        <v>131161.63</v>
      </c>
      <c r="BP35" s="21">
        <f t="shared" si="5"/>
        <v>131161.63</v>
      </c>
      <c r="BQ35" s="21">
        <f t="shared" si="6"/>
        <v>292918.90562500007</v>
      </c>
      <c r="BR35" s="16">
        <f t="shared" si="7"/>
        <v>161757.27562500007</v>
      </c>
      <c r="BS35" s="16">
        <f>+BR35*'Capital Structure '!$E$30</f>
        <v>66077.847092812517</v>
      </c>
      <c r="BT35" s="16">
        <f>SUM(BS$5:BS35)</f>
        <v>-3638137.1173572908</v>
      </c>
    </row>
    <row r="36" spans="1:72">
      <c r="A36" s="10" t="s">
        <v>55</v>
      </c>
      <c r="B36" s="10">
        <f t="shared" si="32"/>
        <v>2012</v>
      </c>
      <c r="C36" s="10" t="s">
        <v>93</v>
      </c>
      <c r="D36" s="57"/>
      <c r="E36" s="55"/>
      <c r="F36" s="65"/>
      <c r="G36" s="56">
        <f t="shared" si="2"/>
        <v>0</v>
      </c>
      <c r="H36" s="56"/>
      <c r="I36" s="57"/>
      <c r="J36" s="57"/>
      <c r="K36" s="56"/>
      <c r="L36" s="16">
        <f t="shared" si="3"/>
        <v>0</v>
      </c>
      <c r="M36" s="16">
        <f>SUM(L$5:L36)</f>
        <v>14060107.470000003</v>
      </c>
      <c r="O36" s="16">
        <f t="shared" si="24"/>
        <v>0</v>
      </c>
      <c r="P36" s="16">
        <f t="shared" si="24"/>
        <v>0</v>
      </c>
      <c r="Q36" s="16">
        <f t="shared" si="24"/>
        <v>1237.5</v>
      </c>
      <c r="R36" s="16">
        <f t="shared" si="24"/>
        <v>3675</v>
      </c>
      <c r="S36" s="16">
        <f t="shared" si="24"/>
        <v>4815.9027083333331</v>
      </c>
      <c r="T36" s="16">
        <f t="shared" si="24"/>
        <v>5655.1429166666667</v>
      </c>
      <c r="U36" s="16">
        <f t="shared" si="24"/>
        <v>6748.0427083333334</v>
      </c>
      <c r="V36" s="16">
        <f t="shared" si="24"/>
        <v>9387.3291666666664</v>
      </c>
      <c r="W36" s="16">
        <f t="shared" si="24"/>
        <v>8295.0089583333338</v>
      </c>
      <c r="X36" s="16">
        <f t="shared" si="24"/>
        <v>7623.0489583333328</v>
      </c>
      <c r="Y36" s="16">
        <f t="shared" si="24"/>
        <v>9202.1129166666669</v>
      </c>
      <c r="Z36" s="16">
        <f t="shared" si="24"/>
        <v>9791.3145833333328</v>
      </c>
      <c r="AA36" s="16">
        <f t="shared" si="24"/>
        <v>23098.217291666671</v>
      </c>
      <c r="AB36" s="16">
        <f t="shared" si="24"/>
        <v>36448.779374999998</v>
      </c>
      <c r="AC36" s="16">
        <f t="shared" si="24"/>
        <v>11396.919374999999</v>
      </c>
      <c r="AD36" s="16">
        <f t="shared" si="24"/>
        <v>35958.599791666667</v>
      </c>
      <c r="AE36" s="16">
        <f t="shared" si="24"/>
        <v>34729.126666666671</v>
      </c>
      <c r="AF36" s="16">
        <f t="shared" si="27"/>
        <v>30055.39916666667</v>
      </c>
      <c r="AG36" s="16">
        <f t="shared" si="27"/>
        <v>22011.053541666668</v>
      </c>
      <c r="AH36" s="16">
        <f t="shared" si="27"/>
        <v>14206.785833333333</v>
      </c>
      <c r="AI36" s="16">
        <f t="shared" si="28"/>
        <v>6263.8552083333334</v>
      </c>
      <c r="AJ36" s="16">
        <f t="shared" si="28"/>
        <v>6143.7895833333341</v>
      </c>
      <c r="AK36" s="16">
        <f t="shared" si="28"/>
        <v>6175.9768750000003</v>
      </c>
      <c r="AL36" s="16">
        <f t="shared" si="31"/>
        <v>292918.90562500007</v>
      </c>
      <c r="AM36" s="16">
        <f>SUM(AL$5:AL36)</f>
        <v>5298620.5010416666</v>
      </c>
      <c r="AN36" s="16">
        <f t="shared" si="4"/>
        <v>8761486.9689583369</v>
      </c>
      <c r="AO36" s="16">
        <f t="shared" si="13"/>
        <v>9054405.8745833356</v>
      </c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>
        <f t="shared" si="29"/>
        <v>25055.420833333334</v>
      </c>
      <c r="BL36" s="16">
        <f t="shared" si="29"/>
        <v>24575.158333333336</v>
      </c>
      <c r="BM36" s="16">
        <f t="shared" si="29"/>
        <v>24703.907500000001</v>
      </c>
      <c r="BN36" s="16">
        <f t="shared" si="30"/>
        <v>74334.486666666664</v>
      </c>
      <c r="BP36" s="21">
        <f t="shared" si="5"/>
        <v>74334.486666666664</v>
      </c>
      <c r="BQ36" s="21">
        <f t="shared" si="6"/>
        <v>292918.90562500007</v>
      </c>
      <c r="BR36" s="16">
        <f t="shared" si="7"/>
        <v>218584.41895833341</v>
      </c>
      <c r="BS36" s="16">
        <f>+BR36*'Capital Structure '!$E$30</f>
        <v>89291.735144479186</v>
      </c>
      <c r="BT36" s="16">
        <f>SUM(BS$5:BS36)</f>
        <v>-3548845.3822128116</v>
      </c>
    </row>
    <row r="37" spans="1:72">
      <c r="A37" s="10" t="s">
        <v>56</v>
      </c>
      <c r="B37" s="10">
        <f t="shared" si="32"/>
        <v>2012</v>
      </c>
      <c r="C37" s="10" t="s">
        <v>93</v>
      </c>
      <c r="D37" s="57"/>
      <c r="E37" s="55"/>
      <c r="F37" s="65"/>
      <c r="G37" s="56">
        <f t="shared" si="2"/>
        <v>0</v>
      </c>
      <c r="H37" s="56"/>
      <c r="I37" s="57"/>
      <c r="J37" s="57"/>
      <c r="K37" s="56"/>
      <c r="L37" s="16">
        <f t="shared" si="3"/>
        <v>0</v>
      </c>
      <c r="M37" s="16">
        <f>SUM(L$5:L37)</f>
        <v>14060107.470000003</v>
      </c>
      <c r="O37" s="16">
        <f t="shared" ref="O37:AE51" si="33">+O36</f>
        <v>0</v>
      </c>
      <c r="P37" s="16">
        <f t="shared" si="33"/>
        <v>0</v>
      </c>
      <c r="Q37" s="16">
        <f t="shared" si="33"/>
        <v>1237.5</v>
      </c>
      <c r="R37" s="16">
        <f t="shared" si="33"/>
        <v>3675</v>
      </c>
      <c r="S37" s="16">
        <f t="shared" si="33"/>
        <v>4815.9027083333331</v>
      </c>
      <c r="T37" s="16">
        <f t="shared" si="33"/>
        <v>5655.1429166666667</v>
      </c>
      <c r="U37" s="16">
        <f t="shared" si="33"/>
        <v>6748.0427083333334</v>
      </c>
      <c r="V37" s="16">
        <f t="shared" si="33"/>
        <v>9387.3291666666664</v>
      </c>
      <c r="W37" s="16">
        <f t="shared" si="33"/>
        <v>8295.0089583333338</v>
      </c>
      <c r="X37" s="16">
        <f t="shared" si="33"/>
        <v>7623.0489583333328</v>
      </c>
      <c r="Y37" s="16">
        <f t="shared" si="33"/>
        <v>9202.1129166666669</v>
      </c>
      <c r="Z37" s="16">
        <f t="shared" si="33"/>
        <v>9791.3145833333328</v>
      </c>
      <c r="AA37" s="16">
        <f t="shared" si="33"/>
        <v>23098.217291666671</v>
      </c>
      <c r="AB37" s="16">
        <f t="shared" si="33"/>
        <v>36448.779374999998</v>
      </c>
      <c r="AC37" s="16">
        <f t="shared" si="33"/>
        <v>11396.919374999999</v>
      </c>
      <c r="AD37" s="16">
        <f t="shared" si="33"/>
        <v>35958.599791666667</v>
      </c>
      <c r="AE37" s="16">
        <f t="shared" si="33"/>
        <v>34729.126666666671</v>
      </c>
      <c r="AF37" s="16">
        <f t="shared" si="27"/>
        <v>30055.39916666667</v>
      </c>
      <c r="AG37" s="16">
        <f t="shared" si="27"/>
        <v>22011.053541666668</v>
      </c>
      <c r="AH37" s="16">
        <f t="shared" si="27"/>
        <v>14206.785833333333</v>
      </c>
      <c r="AI37" s="16">
        <f t="shared" si="28"/>
        <v>6263.8552083333334</v>
      </c>
      <c r="AJ37" s="16">
        <f t="shared" si="28"/>
        <v>6143.7895833333341</v>
      </c>
      <c r="AK37" s="16">
        <f t="shared" si="28"/>
        <v>6175.9768750000003</v>
      </c>
      <c r="AL37" s="16">
        <f t="shared" si="31"/>
        <v>292918.90562500007</v>
      </c>
      <c r="AM37" s="16">
        <f>SUM(AL$5:AL37)</f>
        <v>5591539.4066666663</v>
      </c>
      <c r="AN37" s="16">
        <f t="shared" si="4"/>
        <v>8468568.0633333363</v>
      </c>
      <c r="AO37" s="16">
        <f t="shared" si="13"/>
        <v>8761486.9689583369</v>
      </c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>
        <f t="shared" si="29"/>
        <v>24575.158333333336</v>
      </c>
      <c r="BM37" s="16">
        <f>BM36</f>
        <v>24703.907500000001</v>
      </c>
      <c r="BN37" s="16">
        <f t="shared" si="30"/>
        <v>49279.065833333341</v>
      </c>
      <c r="BP37" s="21">
        <f t="shared" si="5"/>
        <v>49279.065833333341</v>
      </c>
      <c r="BQ37" s="21">
        <f t="shared" si="6"/>
        <v>292918.90562500007</v>
      </c>
      <c r="BR37" s="16">
        <f t="shared" si="7"/>
        <v>243639.83979166672</v>
      </c>
      <c r="BS37" s="16">
        <f>+BR37*'Capital Structure '!$E$30</f>
        <v>99526.874554895854</v>
      </c>
      <c r="BT37" s="16">
        <f>SUM(BS$5:BS37)</f>
        <v>-3449318.5076579158</v>
      </c>
    </row>
    <row r="38" spans="1:72" s="3" customFormat="1">
      <c r="A38" s="7" t="s">
        <v>57</v>
      </c>
      <c r="B38" s="7">
        <f t="shared" si="32"/>
        <v>2012</v>
      </c>
      <c r="C38" s="7" t="s">
        <v>93</v>
      </c>
      <c r="D38" s="57"/>
      <c r="E38" s="55"/>
      <c r="F38" s="65"/>
      <c r="G38" s="56">
        <f t="shared" si="2"/>
        <v>0</v>
      </c>
      <c r="H38" s="56"/>
      <c r="I38" s="57"/>
      <c r="J38" s="57"/>
      <c r="K38" s="56"/>
      <c r="L38" s="30">
        <f t="shared" si="3"/>
        <v>0</v>
      </c>
      <c r="M38" s="30">
        <f>SUM(L$5:L38)</f>
        <v>14060107.470000003</v>
      </c>
      <c r="O38" s="30">
        <f t="shared" si="33"/>
        <v>0</v>
      </c>
      <c r="P38" s="30">
        <f t="shared" si="33"/>
        <v>0</v>
      </c>
      <c r="Q38" s="30">
        <f t="shared" si="33"/>
        <v>1237.5</v>
      </c>
      <c r="R38" s="30">
        <f t="shared" si="33"/>
        <v>3675</v>
      </c>
      <c r="S38" s="30">
        <f t="shared" si="33"/>
        <v>4815.9027083333331</v>
      </c>
      <c r="T38" s="30">
        <f t="shared" si="33"/>
        <v>5655.1429166666667</v>
      </c>
      <c r="U38" s="30">
        <f t="shared" si="33"/>
        <v>6748.0427083333334</v>
      </c>
      <c r="V38" s="30">
        <f t="shared" si="33"/>
        <v>9387.3291666666664</v>
      </c>
      <c r="W38" s="30">
        <f t="shared" si="33"/>
        <v>8295.0089583333338</v>
      </c>
      <c r="X38" s="30">
        <f t="shared" si="33"/>
        <v>7623.0489583333328</v>
      </c>
      <c r="Y38" s="30">
        <f t="shared" si="33"/>
        <v>9202.1129166666669</v>
      </c>
      <c r="Z38" s="30">
        <f t="shared" si="33"/>
        <v>9791.3145833333328</v>
      </c>
      <c r="AA38" s="30">
        <f t="shared" si="33"/>
        <v>23098.217291666671</v>
      </c>
      <c r="AB38" s="30">
        <f t="shared" si="33"/>
        <v>36448.779374999998</v>
      </c>
      <c r="AC38" s="30">
        <f t="shared" si="33"/>
        <v>11396.919374999999</v>
      </c>
      <c r="AD38" s="30">
        <f t="shared" si="33"/>
        <v>35958.599791666667</v>
      </c>
      <c r="AE38" s="30">
        <f t="shared" si="33"/>
        <v>34729.126666666671</v>
      </c>
      <c r="AF38" s="30">
        <f t="shared" si="27"/>
        <v>30055.39916666667</v>
      </c>
      <c r="AG38" s="30">
        <f t="shared" si="27"/>
        <v>22011.053541666668</v>
      </c>
      <c r="AH38" s="30">
        <f t="shared" si="27"/>
        <v>14206.785833333333</v>
      </c>
      <c r="AI38" s="30">
        <f t="shared" si="28"/>
        <v>6263.8552083333334</v>
      </c>
      <c r="AJ38" s="30">
        <f t="shared" si="28"/>
        <v>6143.7895833333341</v>
      </c>
      <c r="AK38" s="30">
        <f t="shared" si="28"/>
        <v>6175.9768750000003</v>
      </c>
      <c r="AL38" s="30">
        <f t="shared" si="31"/>
        <v>292918.90562500007</v>
      </c>
      <c r="AM38" s="30">
        <f>SUM(AL$5:AL38)</f>
        <v>5884458.3122916659</v>
      </c>
      <c r="AN38" s="30">
        <f t="shared" si="4"/>
        <v>8175649.1577083366</v>
      </c>
      <c r="AO38" s="30">
        <f t="shared" si="13"/>
        <v>8468568.0633333363</v>
      </c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>
        <f>BM37</f>
        <v>24703.907500000001</v>
      </c>
      <c r="BN38" s="30">
        <f t="shared" si="30"/>
        <v>24703.907500000001</v>
      </c>
      <c r="BP38" s="22">
        <f>+BN38</f>
        <v>24703.907500000001</v>
      </c>
      <c r="BQ38" s="22">
        <f t="shared" si="6"/>
        <v>292918.90562500007</v>
      </c>
      <c r="BR38" s="30">
        <f t="shared" si="7"/>
        <v>268214.99812500004</v>
      </c>
      <c r="BS38" s="30">
        <f>+BR38*'Capital Structure '!$E$30</f>
        <v>109565.82673406252</v>
      </c>
      <c r="BT38" s="30">
        <f>SUM(BS$5:BS38)</f>
        <v>-3339752.6809238531</v>
      </c>
    </row>
    <row r="39" spans="1:72">
      <c r="A39" s="10" t="s">
        <v>58</v>
      </c>
      <c r="B39" s="10">
        <f t="shared" si="32"/>
        <v>2012</v>
      </c>
      <c r="C39" s="10" t="s">
        <v>93</v>
      </c>
      <c r="D39" s="57"/>
      <c r="E39" s="55"/>
      <c r="F39" s="65"/>
      <c r="G39" s="56">
        <f t="shared" si="2"/>
        <v>0</v>
      </c>
      <c r="H39" s="56"/>
      <c r="I39" s="57"/>
      <c r="J39" s="57"/>
      <c r="K39" s="56"/>
      <c r="L39" s="16">
        <f t="shared" si="3"/>
        <v>0</v>
      </c>
      <c r="M39" s="16">
        <f>SUM(L$5:L39)</f>
        <v>14060107.470000003</v>
      </c>
      <c r="O39" s="16">
        <f t="shared" si="33"/>
        <v>0</v>
      </c>
      <c r="P39" s="16">
        <f t="shared" si="33"/>
        <v>0</v>
      </c>
      <c r="Q39" s="16">
        <f t="shared" si="33"/>
        <v>1237.5</v>
      </c>
      <c r="R39" s="16">
        <f t="shared" si="33"/>
        <v>3675</v>
      </c>
      <c r="S39" s="16">
        <f t="shared" si="33"/>
        <v>4815.9027083333331</v>
      </c>
      <c r="T39" s="16">
        <f t="shared" si="33"/>
        <v>5655.1429166666667</v>
      </c>
      <c r="U39" s="16">
        <f t="shared" si="33"/>
        <v>6748.0427083333334</v>
      </c>
      <c r="V39" s="16">
        <f t="shared" si="33"/>
        <v>9387.3291666666664</v>
      </c>
      <c r="W39" s="16">
        <f t="shared" si="33"/>
        <v>8295.0089583333338</v>
      </c>
      <c r="X39" s="16">
        <f t="shared" si="33"/>
        <v>7623.0489583333328</v>
      </c>
      <c r="Y39" s="16">
        <f t="shared" si="33"/>
        <v>9202.1129166666669</v>
      </c>
      <c r="Z39" s="16">
        <f t="shared" si="33"/>
        <v>9791.3145833333328</v>
      </c>
      <c r="AA39" s="16">
        <f t="shared" si="33"/>
        <v>23098.217291666671</v>
      </c>
      <c r="AB39" s="16">
        <f t="shared" si="33"/>
        <v>36448.779374999998</v>
      </c>
      <c r="AC39" s="16">
        <f t="shared" si="33"/>
        <v>11396.919374999999</v>
      </c>
      <c r="AD39" s="16">
        <f t="shared" si="33"/>
        <v>35958.599791666667</v>
      </c>
      <c r="AE39" s="16">
        <f t="shared" si="33"/>
        <v>34729.126666666671</v>
      </c>
      <c r="AF39" s="16">
        <f t="shared" si="27"/>
        <v>30055.39916666667</v>
      </c>
      <c r="AG39" s="16">
        <f t="shared" si="27"/>
        <v>22011.053541666668</v>
      </c>
      <c r="AH39" s="16">
        <f t="shared" si="27"/>
        <v>14206.785833333333</v>
      </c>
      <c r="AI39" s="16">
        <f t="shared" si="28"/>
        <v>6263.8552083333334</v>
      </c>
      <c r="AJ39" s="16">
        <f t="shared" si="28"/>
        <v>6143.7895833333341</v>
      </c>
      <c r="AK39" s="16">
        <f t="shared" si="28"/>
        <v>6175.9768750000003</v>
      </c>
      <c r="AL39" s="16">
        <f t="shared" si="31"/>
        <v>292918.90562500007</v>
      </c>
      <c r="AM39" s="16">
        <f>SUM(AL$5:AL39)</f>
        <v>6177377.2179166656</v>
      </c>
      <c r="AN39" s="16">
        <f t="shared" si="4"/>
        <v>7882730.2520833369</v>
      </c>
      <c r="AO39" s="16">
        <f t="shared" si="13"/>
        <v>8175649.1577083366</v>
      </c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>
        <f t="shared" si="30"/>
        <v>0</v>
      </c>
      <c r="BP39" s="21">
        <f t="shared" si="5"/>
        <v>0</v>
      </c>
      <c r="BQ39" s="21">
        <f t="shared" si="6"/>
        <v>292918.90562500007</v>
      </c>
      <c r="BR39" s="16">
        <f t="shared" si="7"/>
        <v>292918.90562500007</v>
      </c>
      <c r="BS39" s="16">
        <f>+BR39*'Capital Structure '!$E$30</f>
        <v>119657.37294781252</v>
      </c>
      <c r="BT39" s="16">
        <f>SUM(BS$5:BS39)</f>
        <v>-3220095.3079760405</v>
      </c>
    </row>
    <row r="40" spans="1:72">
      <c r="A40" s="10" t="s">
        <v>59</v>
      </c>
      <c r="B40" s="10">
        <f t="shared" si="32"/>
        <v>2012</v>
      </c>
      <c r="C40" s="10" t="s">
        <v>93</v>
      </c>
      <c r="D40" s="57"/>
      <c r="E40" s="55"/>
      <c r="F40" s="65"/>
      <c r="G40" s="56">
        <f t="shared" si="2"/>
        <v>0</v>
      </c>
      <c r="H40" s="56"/>
      <c r="I40" s="57"/>
      <c r="J40" s="57"/>
      <c r="K40" s="56"/>
      <c r="L40" s="16">
        <f t="shared" si="3"/>
        <v>0</v>
      </c>
      <c r="M40" s="16">
        <f>SUM(L$5:L40)</f>
        <v>14060107.470000003</v>
      </c>
      <c r="O40" s="16">
        <f t="shared" si="33"/>
        <v>0</v>
      </c>
      <c r="P40" s="16">
        <f t="shared" si="33"/>
        <v>0</v>
      </c>
      <c r="Q40" s="16">
        <f t="shared" si="33"/>
        <v>1237.5</v>
      </c>
      <c r="R40" s="16">
        <f t="shared" si="33"/>
        <v>3675</v>
      </c>
      <c r="S40" s="16">
        <f t="shared" si="33"/>
        <v>4815.9027083333331</v>
      </c>
      <c r="T40" s="16">
        <f t="shared" si="33"/>
        <v>5655.1429166666667</v>
      </c>
      <c r="U40" s="16">
        <f t="shared" si="33"/>
        <v>6748.0427083333334</v>
      </c>
      <c r="V40" s="16">
        <f t="shared" si="33"/>
        <v>9387.3291666666664</v>
      </c>
      <c r="W40" s="16">
        <f t="shared" si="33"/>
        <v>8295.0089583333338</v>
      </c>
      <c r="X40" s="16">
        <f t="shared" si="33"/>
        <v>7623.0489583333328</v>
      </c>
      <c r="Y40" s="16">
        <f t="shared" si="33"/>
        <v>9202.1129166666669</v>
      </c>
      <c r="Z40" s="16">
        <f t="shared" si="33"/>
        <v>9791.3145833333328</v>
      </c>
      <c r="AA40" s="16">
        <f t="shared" si="33"/>
        <v>23098.217291666671</v>
      </c>
      <c r="AB40" s="16">
        <f t="shared" si="33"/>
        <v>36448.779374999998</v>
      </c>
      <c r="AC40" s="16">
        <f t="shared" si="33"/>
        <v>11396.919374999999</v>
      </c>
      <c r="AD40" s="16">
        <f t="shared" si="33"/>
        <v>35958.599791666667</v>
      </c>
      <c r="AE40" s="16">
        <f t="shared" si="33"/>
        <v>34729.126666666671</v>
      </c>
      <c r="AF40" s="16">
        <f t="shared" si="27"/>
        <v>30055.39916666667</v>
      </c>
      <c r="AG40" s="16">
        <f t="shared" si="27"/>
        <v>22011.053541666668</v>
      </c>
      <c r="AH40" s="16">
        <f t="shared" si="27"/>
        <v>14206.785833333333</v>
      </c>
      <c r="AI40" s="16">
        <f t="shared" si="28"/>
        <v>6263.8552083333334</v>
      </c>
      <c r="AJ40" s="16">
        <f t="shared" si="28"/>
        <v>6143.7895833333341</v>
      </c>
      <c r="AK40" s="16">
        <f t="shared" si="28"/>
        <v>6175.9768750000003</v>
      </c>
      <c r="AL40" s="16">
        <f t="shared" si="31"/>
        <v>292918.90562500007</v>
      </c>
      <c r="AM40" s="16">
        <f>SUM(AL$5:AL40)</f>
        <v>6470296.1235416653</v>
      </c>
      <c r="AN40" s="16">
        <f t="shared" si="4"/>
        <v>7589811.3464583373</v>
      </c>
      <c r="AO40" s="16">
        <f t="shared" si="13"/>
        <v>7882730.2520833369</v>
      </c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>
        <f t="shared" si="30"/>
        <v>0</v>
      </c>
      <c r="BP40" s="21">
        <f t="shared" si="5"/>
        <v>0</v>
      </c>
      <c r="BQ40" s="21">
        <f t="shared" si="6"/>
        <v>292918.90562500007</v>
      </c>
      <c r="BR40" s="16">
        <f t="shared" si="7"/>
        <v>292918.90562500007</v>
      </c>
      <c r="BS40" s="16">
        <f>+BR40*'Capital Structure '!$E$30</f>
        <v>119657.37294781252</v>
      </c>
      <c r="BT40" s="16">
        <f>SUM(BS$5:BS40)</f>
        <v>-3100437.935028228</v>
      </c>
    </row>
    <row r="41" spans="1:72">
      <c r="A41" s="10" t="s">
        <v>46</v>
      </c>
      <c r="B41" s="10">
        <f t="shared" si="32"/>
        <v>2012</v>
      </c>
      <c r="C41" s="10" t="s">
        <v>93</v>
      </c>
      <c r="D41" s="57"/>
      <c r="E41" s="55"/>
      <c r="F41" s="65"/>
      <c r="G41" s="56">
        <f t="shared" si="2"/>
        <v>0</v>
      </c>
      <c r="H41" s="56"/>
      <c r="I41" s="57"/>
      <c r="J41" s="57"/>
      <c r="K41" s="56"/>
      <c r="L41" s="16">
        <f t="shared" si="3"/>
        <v>0</v>
      </c>
      <c r="M41" s="16">
        <f>SUM(L$5:L41)</f>
        <v>14060107.470000003</v>
      </c>
      <c r="O41" s="16">
        <f t="shared" si="33"/>
        <v>0</v>
      </c>
      <c r="P41" s="16">
        <f t="shared" si="33"/>
        <v>0</v>
      </c>
      <c r="Q41" s="16">
        <f t="shared" si="33"/>
        <v>1237.5</v>
      </c>
      <c r="R41" s="16">
        <f t="shared" si="33"/>
        <v>3675</v>
      </c>
      <c r="S41" s="16">
        <f t="shared" si="33"/>
        <v>4815.9027083333331</v>
      </c>
      <c r="T41" s="16">
        <f t="shared" si="33"/>
        <v>5655.1429166666667</v>
      </c>
      <c r="U41" s="16">
        <f t="shared" si="33"/>
        <v>6748.0427083333334</v>
      </c>
      <c r="V41" s="16">
        <f t="shared" si="33"/>
        <v>9387.3291666666664</v>
      </c>
      <c r="W41" s="16">
        <f t="shared" si="33"/>
        <v>8295.0089583333338</v>
      </c>
      <c r="X41" s="16">
        <f t="shared" si="33"/>
        <v>7623.0489583333328</v>
      </c>
      <c r="Y41" s="16">
        <f t="shared" si="33"/>
        <v>9202.1129166666669</v>
      </c>
      <c r="Z41" s="16">
        <f t="shared" si="33"/>
        <v>9791.3145833333328</v>
      </c>
      <c r="AA41" s="16">
        <f t="shared" si="33"/>
        <v>23098.217291666671</v>
      </c>
      <c r="AB41" s="16">
        <f t="shared" si="33"/>
        <v>36448.779374999998</v>
      </c>
      <c r="AC41" s="16">
        <f t="shared" si="33"/>
        <v>11396.919374999999</v>
      </c>
      <c r="AD41" s="16">
        <f t="shared" si="33"/>
        <v>35958.599791666667</v>
      </c>
      <c r="AE41" s="16">
        <f t="shared" si="33"/>
        <v>34729.126666666671</v>
      </c>
      <c r="AF41" s="16">
        <f t="shared" ref="AF41:AH56" si="34">+AF40</f>
        <v>30055.39916666667</v>
      </c>
      <c r="AG41" s="16">
        <f t="shared" si="34"/>
        <v>22011.053541666668</v>
      </c>
      <c r="AH41" s="16">
        <f t="shared" si="34"/>
        <v>14206.785833333333</v>
      </c>
      <c r="AI41" s="16">
        <f t="shared" si="28"/>
        <v>6263.8552083333334</v>
      </c>
      <c r="AJ41" s="16">
        <f t="shared" si="28"/>
        <v>6143.7895833333341</v>
      </c>
      <c r="AK41" s="16">
        <f t="shared" si="28"/>
        <v>6175.9768750000003</v>
      </c>
      <c r="AL41" s="16">
        <f t="shared" si="31"/>
        <v>292918.90562500007</v>
      </c>
      <c r="AM41" s="16">
        <f>SUM(AL$5:AL41)</f>
        <v>6763215.0291666649</v>
      </c>
      <c r="AN41" s="16">
        <f t="shared" si="4"/>
        <v>7296892.4408333376</v>
      </c>
      <c r="AO41" s="16">
        <f t="shared" si="13"/>
        <v>7589811.3464583373</v>
      </c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>
        <f t="shared" si="30"/>
        <v>0</v>
      </c>
      <c r="BP41" s="21">
        <f t="shared" si="5"/>
        <v>0</v>
      </c>
      <c r="BQ41" s="21">
        <f t="shared" si="6"/>
        <v>292918.90562500007</v>
      </c>
      <c r="BR41" s="16">
        <f t="shared" si="7"/>
        <v>292918.90562500007</v>
      </c>
      <c r="BS41" s="16">
        <f>+BR41*'Capital Structure '!$E$30</f>
        <v>119657.37294781252</v>
      </c>
      <c r="BT41" s="16">
        <f>SUM(BS$5:BS41)</f>
        <v>-2980780.5620804154</v>
      </c>
    </row>
    <row r="42" spans="1:72">
      <c r="A42" s="10" t="s">
        <v>48</v>
      </c>
      <c r="B42" s="10">
        <f t="shared" si="32"/>
        <v>2012</v>
      </c>
      <c r="C42" s="10" t="s">
        <v>93</v>
      </c>
      <c r="D42" s="57"/>
      <c r="E42" s="55"/>
      <c r="F42" s="65"/>
      <c r="G42" s="60">
        <f t="shared" si="2"/>
        <v>0</v>
      </c>
      <c r="H42" s="60"/>
      <c r="I42" s="57"/>
      <c r="J42" s="57"/>
      <c r="K42" s="60"/>
      <c r="L42" s="25">
        <f t="shared" si="3"/>
        <v>0</v>
      </c>
      <c r="M42" s="16">
        <f>SUM(L$5:L42)</f>
        <v>14060107.470000003</v>
      </c>
      <c r="O42" s="16">
        <f t="shared" si="33"/>
        <v>0</v>
      </c>
      <c r="P42" s="16">
        <f t="shared" si="33"/>
        <v>0</v>
      </c>
      <c r="Q42" s="16">
        <f t="shared" si="33"/>
        <v>1237.5</v>
      </c>
      <c r="R42" s="16">
        <f t="shared" si="33"/>
        <v>3675</v>
      </c>
      <c r="S42" s="16">
        <f t="shared" si="33"/>
        <v>4815.9027083333331</v>
      </c>
      <c r="T42" s="16">
        <f t="shared" si="33"/>
        <v>5655.1429166666667</v>
      </c>
      <c r="U42" s="16">
        <f t="shared" si="33"/>
        <v>6748.0427083333334</v>
      </c>
      <c r="V42" s="16">
        <f t="shared" si="33"/>
        <v>9387.3291666666664</v>
      </c>
      <c r="W42" s="16">
        <f t="shared" si="33"/>
        <v>8295.0089583333338</v>
      </c>
      <c r="X42" s="16">
        <f t="shared" si="33"/>
        <v>7623.0489583333328</v>
      </c>
      <c r="Y42" s="16">
        <f t="shared" si="33"/>
        <v>9202.1129166666669</v>
      </c>
      <c r="Z42" s="16">
        <f t="shared" si="33"/>
        <v>9791.3145833333328</v>
      </c>
      <c r="AA42" s="16">
        <f t="shared" si="33"/>
        <v>23098.217291666671</v>
      </c>
      <c r="AB42" s="16">
        <f t="shared" si="33"/>
        <v>36448.779374999998</v>
      </c>
      <c r="AC42" s="16">
        <f t="shared" si="33"/>
        <v>11396.919374999999</v>
      </c>
      <c r="AD42" s="16">
        <f t="shared" si="33"/>
        <v>35958.599791666667</v>
      </c>
      <c r="AE42" s="16">
        <f t="shared" si="33"/>
        <v>34729.126666666671</v>
      </c>
      <c r="AF42" s="16">
        <f t="shared" si="34"/>
        <v>30055.39916666667</v>
      </c>
      <c r="AG42" s="16">
        <f t="shared" si="34"/>
        <v>22011.053541666668</v>
      </c>
      <c r="AH42" s="16">
        <f t="shared" si="34"/>
        <v>14206.785833333333</v>
      </c>
      <c r="AI42" s="16">
        <f t="shared" si="28"/>
        <v>6263.8552083333334</v>
      </c>
      <c r="AJ42" s="16">
        <f t="shared" si="28"/>
        <v>6143.7895833333341</v>
      </c>
      <c r="AK42" s="16">
        <f t="shared" si="28"/>
        <v>6175.9768750000003</v>
      </c>
      <c r="AL42" s="16">
        <f t="shared" si="31"/>
        <v>292918.90562500007</v>
      </c>
      <c r="AM42" s="16">
        <f>SUM(AL$5:AL42)</f>
        <v>7056133.9347916646</v>
      </c>
      <c r="AN42" s="16">
        <f t="shared" si="4"/>
        <v>7003973.5352083379</v>
      </c>
      <c r="AO42" s="16">
        <f t="shared" si="13"/>
        <v>7296892.4408333376</v>
      </c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>
        <f t="shared" si="30"/>
        <v>0</v>
      </c>
      <c r="BP42" s="21">
        <f t="shared" si="5"/>
        <v>0</v>
      </c>
      <c r="BQ42" s="21">
        <f t="shared" si="6"/>
        <v>292918.90562500007</v>
      </c>
      <c r="BR42" s="16">
        <f t="shared" si="7"/>
        <v>292918.90562500007</v>
      </c>
      <c r="BS42" s="16">
        <f>+BR42*'Capital Structure '!$E$30</f>
        <v>119657.37294781252</v>
      </c>
      <c r="BT42" s="16">
        <f>SUM(BS$5:BS42)</f>
        <v>-2861123.1891326029</v>
      </c>
    </row>
    <row r="43" spans="1:72">
      <c r="A43" s="10" t="s">
        <v>50</v>
      </c>
      <c r="B43" s="10">
        <f t="shared" si="32"/>
        <v>2012</v>
      </c>
      <c r="C43" s="10" t="s">
        <v>93</v>
      </c>
      <c r="D43" s="57"/>
      <c r="E43" s="55"/>
      <c r="F43" s="65"/>
      <c r="G43" s="56">
        <f t="shared" si="2"/>
        <v>0</v>
      </c>
      <c r="H43" s="56"/>
      <c r="I43" s="57"/>
      <c r="J43" s="57"/>
      <c r="K43" s="56"/>
      <c r="L43" s="16">
        <f t="shared" si="3"/>
        <v>0</v>
      </c>
      <c r="M43" s="16">
        <f>SUM(L$5:L43)</f>
        <v>14060107.470000003</v>
      </c>
      <c r="O43" s="16">
        <f t="shared" si="33"/>
        <v>0</v>
      </c>
      <c r="P43" s="16">
        <f t="shared" si="33"/>
        <v>0</v>
      </c>
      <c r="Q43" s="16">
        <f t="shared" si="33"/>
        <v>1237.5</v>
      </c>
      <c r="R43" s="16">
        <f t="shared" si="33"/>
        <v>3675</v>
      </c>
      <c r="S43" s="16">
        <f t="shared" si="33"/>
        <v>4815.9027083333331</v>
      </c>
      <c r="T43" s="16">
        <f t="shared" si="33"/>
        <v>5655.1429166666667</v>
      </c>
      <c r="U43" s="16">
        <f t="shared" si="33"/>
        <v>6748.0427083333334</v>
      </c>
      <c r="V43" s="16">
        <f t="shared" si="33"/>
        <v>9387.3291666666664</v>
      </c>
      <c r="W43" s="16">
        <f t="shared" si="33"/>
        <v>8295.0089583333338</v>
      </c>
      <c r="X43" s="16">
        <f t="shared" si="33"/>
        <v>7623.0489583333328</v>
      </c>
      <c r="Y43" s="16">
        <f t="shared" si="33"/>
        <v>9202.1129166666669</v>
      </c>
      <c r="Z43" s="16">
        <f t="shared" si="33"/>
        <v>9791.3145833333328</v>
      </c>
      <c r="AA43" s="16">
        <f t="shared" si="33"/>
        <v>23098.217291666671</v>
      </c>
      <c r="AB43" s="16">
        <f t="shared" si="33"/>
        <v>36448.779374999998</v>
      </c>
      <c r="AC43" s="16">
        <f t="shared" si="33"/>
        <v>11396.919374999999</v>
      </c>
      <c r="AD43" s="16">
        <f t="shared" si="33"/>
        <v>35958.599791666667</v>
      </c>
      <c r="AE43" s="16">
        <f t="shared" si="33"/>
        <v>34729.126666666671</v>
      </c>
      <c r="AF43" s="16">
        <f t="shared" si="34"/>
        <v>30055.39916666667</v>
      </c>
      <c r="AG43" s="16">
        <f t="shared" si="34"/>
        <v>22011.053541666668</v>
      </c>
      <c r="AH43" s="16">
        <f t="shared" si="34"/>
        <v>14206.785833333333</v>
      </c>
      <c r="AI43" s="16">
        <f t="shared" ref="AI43:AK58" si="35">AI42</f>
        <v>6263.8552083333334</v>
      </c>
      <c r="AJ43" s="16">
        <f t="shared" si="35"/>
        <v>6143.7895833333341</v>
      </c>
      <c r="AK43" s="16">
        <f t="shared" si="35"/>
        <v>6175.9768750000003</v>
      </c>
      <c r="AL43" s="16">
        <f t="shared" si="31"/>
        <v>292918.90562500007</v>
      </c>
      <c r="AM43" s="16">
        <f>SUM(AL$5:AL43)</f>
        <v>7349052.8404166643</v>
      </c>
      <c r="AN43" s="16">
        <f t="shared" si="4"/>
        <v>6711054.6295833383</v>
      </c>
      <c r="AO43" s="16">
        <f t="shared" si="13"/>
        <v>7003973.5352083379</v>
      </c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>
        <f t="shared" si="30"/>
        <v>0</v>
      </c>
      <c r="BP43" s="21">
        <f t="shared" si="5"/>
        <v>0</v>
      </c>
      <c r="BQ43" s="21">
        <f t="shared" si="6"/>
        <v>292918.90562500007</v>
      </c>
      <c r="BR43" s="16">
        <f t="shared" si="7"/>
        <v>292918.90562500007</v>
      </c>
      <c r="BS43" s="16">
        <f>+BR43*'Capital Structure '!$E$30</f>
        <v>119657.37294781252</v>
      </c>
      <c r="BT43" s="16">
        <f>SUM(BS$5:BS43)</f>
        <v>-2741465.8161847903</v>
      </c>
    </row>
    <row r="44" spans="1:72">
      <c r="A44" s="10" t="s">
        <v>51</v>
      </c>
      <c r="B44" s="10">
        <f t="shared" si="32"/>
        <v>2012</v>
      </c>
      <c r="C44" s="10" t="s">
        <v>93</v>
      </c>
      <c r="D44" s="57"/>
      <c r="E44" s="55"/>
      <c r="F44" s="65"/>
      <c r="G44" s="56">
        <f t="shared" si="2"/>
        <v>0</v>
      </c>
      <c r="H44" s="56"/>
      <c r="I44" s="57"/>
      <c r="J44" s="57"/>
      <c r="K44" s="56"/>
      <c r="L44" s="16">
        <f t="shared" si="3"/>
        <v>0</v>
      </c>
      <c r="M44" s="16">
        <f>SUM(L$5:L44)</f>
        <v>14060107.470000003</v>
      </c>
      <c r="O44" s="16">
        <f t="shared" si="33"/>
        <v>0</v>
      </c>
      <c r="P44" s="16">
        <f t="shared" si="33"/>
        <v>0</v>
      </c>
      <c r="Q44" s="16">
        <f t="shared" si="33"/>
        <v>1237.5</v>
      </c>
      <c r="R44" s="16">
        <f t="shared" si="33"/>
        <v>3675</v>
      </c>
      <c r="S44" s="16">
        <f t="shared" si="33"/>
        <v>4815.9027083333331</v>
      </c>
      <c r="T44" s="16">
        <f t="shared" si="33"/>
        <v>5655.1429166666667</v>
      </c>
      <c r="U44" s="16">
        <f t="shared" si="33"/>
        <v>6748.0427083333334</v>
      </c>
      <c r="V44" s="16">
        <f t="shared" si="33"/>
        <v>9387.3291666666664</v>
      </c>
      <c r="W44" s="16">
        <f t="shared" si="33"/>
        <v>8295.0089583333338</v>
      </c>
      <c r="X44" s="16">
        <f t="shared" si="33"/>
        <v>7623.0489583333328</v>
      </c>
      <c r="Y44" s="16">
        <f t="shared" si="33"/>
        <v>9202.1129166666669</v>
      </c>
      <c r="Z44" s="16">
        <f t="shared" si="33"/>
        <v>9791.3145833333328</v>
      </c>
      <c r="AA44" s="16">
        <f t="shared" si="33"/>
        <v>23098.217291666671</v>
      </c>
      <c r="AB44" s="16">
        <f t="shared" si="33"/>
        <v>36448.779374999998</v>
      </c>
      <c r="AC44" s="16">
        <f t="shared" si="33"/>
        <v>11396.919374999999</v>
      </c>
      <c r="AD44" s="16">
        <f t="shared" si="33"/>
        <v>35958.599791666667</v>
      </c>
      <c r="AE44" s="16">
        <f t="shared" si="33"/>
        <v>34729.126666666671</v>
      </c>
      <c r="AF44" s="16">
        <f t="shared" si="34"/>
        <v>30055.39916666667</v>
      </c>
      <c r="AG44" s="16">
        <f t="shared" si="34"/>
        <v>22011.053541666668</v>
      </c>
      <c r="AH44" s="16">
        <f t="shared" si="34"/>
        <v>14206.785833333333</v>
      </c>
      <c r="AI44" s="16">
        <f t="shared" si="35"/>
        <v>6263.8552083333334</v>
      </c>
      <c r="AJ44" s="16">
        <f t="shared" si="35"/>
        <v>6143.7895833333341</v>
      </c>
      <c r="AK44" s="16">
        <f t="shared" si="35"/>
        <v>6175.9768750000003</v>
      </c>
      <c r="AL44" s="16">
        <f t="shared" si="31"/>
        <v>292918.90562500007</v>
      </c>
      <c r="AM44" s="16">
        <f>SUM(AL$5:AL44)</f>
        <v>7641971.7460416639</v>
      </c>
      <c r="AN44" s="16">
        <f t="shared" si="4"/>
        <v>6418135.7239583386</v>
      </c>
      <c r="AO44" s="16">
        <f t="shared" si="13"/>
        <v>6711054.6295833383</v>
      </c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>
        <f t="shared" si="30"/>
        <v>0</v>
      </c>
      <c r="BP44" s="21">
        <f t="shared" si="5"/>
        <v>0</v>
      </c>
      <c r="BQ44" s="21">
        <f t="shared" si="6"/>
        <v>292918.90562500007</v>
      </c>
      <c r="BR44" s="16">
        <f t="shared" si="7"/>
        <v>292918.90562500007</v>
      </c>
      <c r="BS44" s="16">
        <f>+BR44*'Capital Structure '!$E$30</f>
        <v>119657.37294781252</v>
      </c>
      <c r="BT44" s="16">
        <f>SUM(BS$5:BS44)</f>
        <v>-2621808.4432369778</v>
      </c>
    </row>
    <row r="45" spans="1:72">
      <c r="A45" s="10" t="s">
        <v>52</v>
      </c>
      <c r="B45" s="10">
        <f t="shared" si="32"/>
        <v>2012</v>
      </c>
      <c r="C45" s="10" t="s">
        <v>93</v>
      </c>
      <c r="D45" s="57"/>
      <c r="E45" s="55"/>
      <c r="F45" s="65"/>
      <c r="G45" s="56">
        <f t="shared" si="2"/>
        <v>0</v>
      </c>
      <c r="H45" s="56"/>
      <c r="I45" s="57"/>
      <c r="J45" s="57"/>
      <c r="K45" s="56"/>
      <c r="L45" s="16">
        <f t="shared" si="3"/>
        <v>0</v>
      </c>
      <c r="M45" s="16">
        <f>SUM(L$5:L45)</f>
        <v>14060107.470000003</v>
      </c>
      <c r="O45" s="16">
        <f t="shared" si="33"/>
        <v>0</v>
      </c>
      <c r="P45" s="16">
        <f t="shared" si="33"/>
        <v>0</v>
      </c>
      <c r="Q45" s="16">
        <f t="shared" si="33"/>
        <v>1237.5</v>
      </c>
      <c r="R45" s="16">
        <f t="shared" si="33"/>
        <v>3675</v>
      </c>
      <c r="S45" s="16">
        <f t="shared" si="33"/>
        <v>4815.9027083333331</v>
      </c>
      <c r="T45" s="16">
        <f t="shared" si="33"/>
        <v>5655.1429166666667</v>
      </c>
      <c r="U45" s="16">
        <f t="shared" si="33"/>
        <v>6748.0427083333334</v>
      </c>
      <c r="V45" s="16">
        <f t="shared" si="33"/>
        <v>9387.3291666666664</v>
      </c>
      <c r="W45" s="16">
        <f t="shared" si="33"/>
        <v>8295.0089583333338</v>
      </c>
      <c r="X45" s="16">
        <f t="shared" si="33"/>
        <v>7623.0489583333328</v>
      </c>
      <c r="Y45" s="16">
        <f t="shared" si="33"/>
        <v>9202.1129166666669</v>
      </c>
      <c r="Z45" s="16">
        <f t="shared" si="33"/>
        <v>9791.3145833333328</v>
      </c>
      <c r="AA45" s="16">
        <f t="shared" si="33"/>
        <v>23098.217291666671</v>
      </c>
      <c r="AB45" s="16">
        <f t="shared" si="33"/>
        <v>36448.779374999998</v>
      </c>
      <c r="AC45" s="16">
        <f t="shared" si="33"/>
        <v>11396.919374999999</v>
      </c>
      <c r="AD45" s="16">
        <f t="shared" si="33"/>
        <v>35958.599791666667</v>
      </c>
      <c r="AE45" s="16">
        <f t="shared" si="33"/>
        <v>34729.126666666671</v>
      </c>
      <c r="AF45" s="16">
        <f t="shared" si="34"/>
        <v>30055.39916666667</v>
      </c>
      <c r="AG45" s="16">
        <f t="shared" si="34"/>
        <v>22011.053541666668</v>
      </c>
      <c r="AH45" s="16">
        <f t="shared" si="34"/>
        <v>14206.785833333333</v>
      </c>
      <c r="AI45" s="16">
        <f t="shared" si="35"/>
        <v>6263.8552083333334</v>
      </c>
      <c r="AJ45" s="16">
        <f t="shared" si="35"/>
        <v>6143.7895833333341</v>
      </c>
      <c r="AK45" s="16">
        <f t="shared" si="35"/>
        <v>6175.9768750000003</v>
      </c>
      <c r="AL45" s="16">
        <f t="shared" si="31"/>
        <v>292918.90562500007</v>
      </c>
      <c r="AM45" s="16">
        <f>SUM(AL$5:AL45)</f>
        <v>7934890.6516666636</v>
      </c>
      <c r="AN45" s="16">
        <f t="shared" si="4"/>
        <v>6125216.8183333389</v>
      </c>
      <c r="AO45" s="16">
        <f t="shared" si="13"/>
        <v>6418135.7239583386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>
        <f t="shared" si="30"/>
        <v>0</v>
      </c>
      <c r="BP45" s="21">
        <f t="shared" si="5"/>
        <v>0</v>
      </c>
      <c r="BQ45" s="21">
        <f t="shared" si="6"/>
        <v>292918.90562500007</v>
      </c>
      <c r="BR45" s="16">
        <f t="shared" si="7"/>
        <v>292918.90562500007</v>
      </c>
      <c r="BS45" s="16">
        <f>+BR45*'Capital Structure '!$E$30</f>
        <v>119657.37294781252</v>
      </c>
      <c r="BT45" s="16">
        <f>SUM(BS$5:BS45)</f>
        <v>-2502151.0702891652</v>
      </c>
    </row>
    <row r="46" spans="1:72" s="3" customFormat="1">
      <c r="A46" s="7" t="s">
        <v>53</v>
      </c>
      <c r="B46" s="7">
        <f>+B45+1</f>
        <v>2013</v>
      </c>
      <c r="C46" s="7" t="s">
        <v>93</v>
      </c>
      <c r="D46" s="57"/>
      <c r="E46" s="55"/>
      <c r="F46" s="65"/>
      <c r="G46" s="56">
        <f t="shared" si="2"/>
        <v>0</v>
      </c>
      <c r="H46" s="56"/>
      <c r="I46" s="57"/>
      <c r="J46" s="57"/>
      <c r="K46" s="56"/>
      <c r="L46" s="30">
        <f t="shared" si="3"/>
        <v>0</v>
      </c>
      <c r="M46" s="30">
        <f>SUM(L$5:L46)</f>
        <v>14060107.470000003</v>
      </c>
      <c r="O46" s="30">
        <f t="shared" si="33"/>
        <v>0</v>
      </c>
      <c r="P46" s="30">
        <f t="shared" si="33"/>
        <v>0</v>
      </c>
      <c r="Q46" s="30">
        <f t="shared" si="33"/>
        <v>1237.5</v>
      </c>
      <c r="R46" s="30">
        <f t="shared" si="33"/>
        <v>3675</v>
      </c>
      <c r="S46" s="30">
        <f t="shared" si="33"/>
        <v>4815.9027083333331</v>
      </c>
      <c r="T46" s="30">
        <f t="shared" si="33"/>
        <v>5655.1429166666667</v>
      </c>
      <c r="U46" s="30">
        <f t="shared" si="33"/>
        <v>6748.0427083333334</v>
      </c>
      <c r="V46" s="30">
        <f t="shared" si="33"/>
        <v>9387.3291666666664</v>
      </c>
      <c r="W46" s="30">
        <f t="shared" si="33"/>
        <v>8295.0089583333338</v>
      </c>
      <c r="X46" s="30">
        <f t="shared" si="33"/>
        <v>7623.0489583333328</v>
      </c>
      <c r="Y46" s="30">
        <f t="shared" si="33"/>
        <v>9202.1129166666669</v>
      </c>
      <c r="Z46" s="30">
        <f t="shared" si="33"/>
        <v>9791.3145833333328</v>
      </c>
      <c r="AA46" s="30">
        <f t="shared" si="33"/>
        <v>23098.217291666671</v>
      </c>
      <c r="AB46" s="30">
        <f t="shared" si="33"/>
        <v>36448.779374999998</v>
      </c>
      <c r="AC46" s="30">
        <f t="shared" si="33"/>
        <v>11396.919374999999</v>
      </c>
      <c r="AD46" s="30">
        <f t="shared" si="33"/>
        <v>35958.599791666667</v>
      </c>
      <c r="AE46" s="30">
        <f t="shared" si="33"/>
        <v>34729.126666666671</v>
      </c>
      <c r="AF46" s="30">
        <f t="shared" si="34"/>
        <v>30055.39916666667</v>
      </c>
      <c r="AG46" s="30">
        <f t="shared" si="34"/>
        <v>22011.053541666668</v>
      </c>
      <c r="AH46" s="30">
        <f t="shared" si="34"/>
        <v>14206.785833333333</v>
      </c>
      <c r="AI46" s="30">
        <f t="shared" si="35"/>
        <v>6263.8552083333334</v>
      </c>
      <c r="AJ46" s="30">
        <f t="shared" si="35"/>
        <v>6143.7895833333341</v>
      </c>
      <c r="AK46" s="30">
        <f t="shared" si="35"/>
        <v>6175.9768750000003</v>
      </c>
      <c r="AL46" s="30">
        <f t="shared" si="31"/>
        <v>292918.90562500007</v>
      </c>
      <c r="AM46" s="30">
        <f>SUM(AL$5:AL46)</f>
        <v>8227809.5572916633</v>
      </c>
      <c r="AN46" s="30">
        <f t="shared" si="4"/>
        <v>5832297.9127083393</v>
      </c>
      <c r="AO46" s="30">
        <f t="shared" si="13"/>
        <v>6125216.8183333389</v>
      </c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>
        <f t="shared" si="30"/>
        <v>0</v>
      </c>
      <c r="BP46" s="22">
        <f t="shared" si="5"/>
        <v>0</v>
      </c>
      <c r="BQ46" s="22">
        <f t="shared" si="6"/>
        <v>292918.90562500007</v>
      </c>
      <c r="BR46" s="30">
        <f t="shared" si="7"/>
        <v>292918.90562500007</v>
      </c>
      <c r="BS46" s="30">
        <f>+BR46*'Capital Structure '!$E$30</f>
        <v>119657.37294781252</v>
      </c>
      <c r="BT46" s="30">
        <f>SUM(BS$5:BS46)</f>
        <v>-2382493.6973413527</v>
      </c>
    </row>
    <row r="47" spans="1:72">
      <c r="A47" s="10" t="s">
        <v>54</v>
      </c>
      <c r="B47" s="10">
        <f t="shared" ref="B47:B74" si="36">+B46</f>
        <v>2013</v>
      </c>
      <c r="C47" s="7" t="s">
        <v>93</v>
      </c>
      <c r="D47" s="57"/>
      <c r="E47" s="55"/>
      <c r="F47" s="65"/>
      <c r="G47" s="56">
        <f t="shared" si="2"/>
        <v>0</v>
      </c>
      <c r="H47" s="56"/>
      <c r="I47" s="57"/>
      <c r="J47" s="57"/>
      <c r="K47" s="56"/>
      <c r="L47" s="16">
        <f t="shared" si="3"/>
        <v>0</v>
      </c>
      <c r="M47" s="16">
        <f>SUM(L$5:L47)</f>
        <v>14060107.470000003</v>
      </c>
      <c r="O47" s="16">
        <f t="shared" si="33"/>
        <v>0</v>
      </c>
      <c r="P47" s="16">
        <f t="shared" si="33"/>
        <v>0</v>
      </c>
      <c r="Q47" s="16">
        <f t="shared" si="33"/>
        <v>1237.5</v>
      </c>
      <c r="R47" s="16">
        <f t="shared" si="33"/>
        <v>3675</v>
      </c>
      <c r="S47" s="16">
        <f t="shared" si="33"/>
        <v>4815.9027083333331</v>
      </c>
      <c r="T47" s="16">
        <f t="shared" si="33"/>
        <v>5655.1429166666667</v>
      </c>
      <c r="U47" s="16">
        <f t="shared" si="33"/>
        <v>6748.0427083333334</v>
      </c>
      <c r="V47" s="16">
        <f t="shared" si="33"/>
        <v>9387.3291666666664</v>
      </c>
      <c r="W47" s="16">
        <f t="shared" si="33"/>
        <v>8295.0089583333338</v>
      </c>
      <c r="X47" s="16">
        <f t="shared" si="33"/>
        <v>7623.0489583333328</v>
      </c>
      <c r="Y47" s="16">
        <f t="shared" si="33"/>
        <v>9202.1129166666669</v>
      </c>
      <c r="Z47" s="16">
        <f t="shared" si="33"/>
        <v>9791.3145833333328</v>
      </c>
      <c r="AA47" s="16">
        <f t="shared" si="33"/>
        <v>23098.217291666671</v>
      </c>
      <c r="AB47" s="16">
        <f t="shared" si="33"/>
        <v>36448.779374999998</v>
      </c>
      <c r="AC47" s="16">
        <f t="shared" si="33"/>
        <v>11396.919374999999</v>
      </c>
      <c r="AD47" s="16">
        <f t="shared" si="33"/>
        <v>35958.599791666667</v>
      </c>
      <c r="AE47" s="16">
        <f t="shared" si="33"/>
        <v>34729.126666666671</v>
      </c>
      <c r="AF47" s="16">
        <f t="shared" si="34"/>
        <v>30055.39916666667</v>
      </c>
      <c r="AG47" s="16">
        <f t="shared" si="34"/>
        <v>22011.053541666668</v>
      </c>
      <c r="AH47" s="16">
        <f t="shared" si="34"/>
        <v>14206.785833333333</v>
      </c>
      <c r="AI47" s="16">
        <f t="shared" si="35"/>
        <v>6263.8552083333334</v>
      </c>
      <c r="AJ47" s="16">
        <f t="shared" si="35"/>
        <v>6143.7895833333341</v>
      </c>
      <c r="AK47" s="16">
        <f t="shared" si="35"/>
        <v>6175.9768750000003</v>
      </c>
      <c r="AL47" s="16">
        <f t="shared" si="31"/>
        <v>292918.90562500007</v>
      </c>
      <c r="AM47" s="16">
        <f>SUM(AL$5:AL47)</f>
        <v>8520728.4629166629</v>
      </c>
      <c r="AN47" s="16">
        <f t="shared" si="4"/>
        <v>5539379.0070833396</v>
      </c>
      <c r="AO47" s="16">
        <f t="shared" si="13"/>
        <v>5832297.9127083393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>
        <f t="shared" si="30"/>
        <v>0</v>
      </c>
      <c r="BP47" s="21">
        <f t="shared" si="5"/>
        <v>0</v>
      </c>
      <c r="BQ47" s="21">
        <f t="shared" si="6"/>
        <v>292918.90562500007</v>
      </c>
      <c r="BR47" s="16">
        <f t="shared" si="7"/>
        <v>292918.90562500007</v>
      </c>
      <c r="BS47" s="16">
        <f>+BR47*'Capital Structure '!$E$30</f>
        <v>119657.37294781252</v>
      </c>
      <c r="BT47" s="16">
        <f>SUM(BS$5:BS47)</f>
        <v>-2262836.3243935402</v>
      </c>
    </row>
    <row r="48" spans="1:72" s="3" customFormat="1">
      <c r="A48" s="7" t="s">
        <v>55</v>
      </c>
      <c r="B48" s="7">
        <f t="shared" si="36"/>
        <v>2013</v>
      </c>
      <c r="C48" s="7" t="s">
        <v>93</v>
      </c>
      <c r="D48" s="57"/>
      <c r="E48" s="55"/>
      <c r="F48" s="65"/>
      <c r="G48" s="56">
        <f t="shared" si="2"/>
        <v>0</v>
      </c>
      <c r="H48" s="56"/>
      <c r="I48" s="57"/>
      <c r="J48" s="57"/>
      <c r="K48" s="56"/>
      <c r="L48" s="30">
        <f t="shared" si="3"/>
        <v>0</v>
      </c>
      <c r="M48" s="30">
        <f>SUM(L$5:L48)</f>
        <v>14060107.470000003</v>
      </c>
      <c r="O48" s="30">
        <f t="shared" si="33"/>
        <v>0</v>
      </c>
      <c r="P48" s="30">
        <f t="shared" si="33"/>
        <v>0</v>
      </c>
      <c r="Q48" s="30">
        <f t="shared" si="33"/>
        <v>1237.5</v>
      </c>
      <c r="R48" s="30">
        <f t="shared" si="33"/>
        <v>3675</v>
      </c>
      <c r="S48" s="30">
        <f t="shared" si="33"/>
        <v>4815.9027083333331</v>
      </c>
      <c r="T48" s="30">
        <f t="shared" si="33"/>
        <v>5655.1429166666667</v>
      </c>
      <c r="U48" s="30">
        <f t="shared" si="33"/>
        <v>6748.0427083333334</v>
      </c>
      <c r="V48" s="30">
        <f t="shared" si="33"/>
        <v>9387.3291666666664</v>
      </c>
      <c r="W48" s="30">
        <f t="shared" si="33"/>
        <v>8295.0089583333338</v>
      </c>
      <c r="X48" s="30">
        <f t="shared" si="33"/>
        <v>7623.0489583333328</v>
      </c>
      <c r="Y48" s="30">
        <f t="shared" si="33"/>
        <v>9202.1129166666669</v>
      </c>
      <c r="Z48" s="30">
        <f t="shared" si="33"/>
        <v>9791.3145833333328</v>
      </c>
      <c r="AA48" s="30">
        <f t="shared" si="33"/>
        <v>23098.217291666671</v>
      </c>
      <c r="AB48" s="30">
        <f t="shared" si="33"/>
        <v>36448.779374999998</v>
      </c>
      <c r="AC48" s="30">
        <f t="shared" si="33"/>
        <v>11396.919374999999</v>
      </c>
      <c r="AD48" s="30">
        <f t="shared" si="33"/>
        <v>35958.599791666667</v>
      </c>
      <c r="AE48" s="30">
        <f t="shared" si="33"/>
        <v>34729.126666666671</v>
      </c>
      <c r="AF48" s="30">
        <f t="shared" si="34"/>
        <v>30055.39916666667</v>
      </c>
      <c r="AG48" s="30">
        <f t="shared" si="34"/>
        <v>22011.053541666668</v>
      </c>
      <c r="AH48" s="30">
        <f t="shared" si="34"/>
        <v>14206.785833333333</v>
      </c>
      <c r="AI48" s="30">
        <f t="shared" si="35"/>
        <v>6263.8552083333334</v>
      </c>
      <c r="AJ48" s="30">
        <f t="shared" si="35"/>
        <v>6143.7895833333341</v>
      </c>
      <c r="AK48" s="30">
        <f t="shared" si="35"/>
        <v>6175.9768750000003</v>
      </c>
      <c r="AL48" s="30">
        <f t="shared" si="31"/>
        <v>292918.90562500007</v>
      </c>
      <c r="AM48" s="30">
        <f>SUM(AL$5:AL48)</f>
        <v>8813647.3685416635</v>
      </c>
      <c r="AN48" s="30">
        <f t="shared" si="4"/>
        <v>5246460.101458339</v>
      </c>
      <c r="AO48" s="30">
        <f t="shared" si="13"/>
        <v>5539379.0070833396</v>
      </c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>
        <f t="shared" si="30"/>
        <v>0</v>
      </c>
      <c r="BP48" s="22">
        <f t="shared" si="5"/>
        <v>0</v>
      </c>
      <c r="BQ48" s="22">
        <f t="shared" si="6"/>
        <v>292918.90562500007</v>
      </c>
      <c r="BR48" s="30">
        <f>+BQ48-BP48</f>
        <v>292918.90562500007</v>
      </c>
      <c r="BS48" s="30">
        <f>+BR48*'Capital Structure '!$E$30</f>
        <v>119657.37294781252</v>
      </c>
      <c r="BT48" s="30">
        <f>SUM(BS$5:BS48)</f>
        <v>-2143178.9514457276</v>
      </c>
    </row>
    <row r="49" spans="1:72">
      <c r="A49" s="10" t="s">
        <v>56</v>
      </c>
      <c r="B49" s="10">
        <f t="shared" si="36"/>
        <v>2013</v>
      </c>
      <c r="C49" s="7" t="s">
        <v>93</v>
      </c>
      <c r="D49" s="57"/>
      <c r="E49" s="55"/>
      <c r="F49" s="65"/>
      <c r="G49" s="56">
        <f t="shared" si="2"/>
        <v>0</v>
      </c>
      <c r="H49" s="56"/>
      <c r="I49" s="57"/>
      <c r="J49" s="57"/>
      <c r="K49" s="56"/>
      <c r="L49" s="16">
        <f t="shared" si="3"/>
        <v>0</v>
      </c>
      <c r="M49" s="16">
        <f>SUM(L$5:L49)</f>
        <v>14060107.470000003</v>
      </c>
      <c r="O49" s="16">
        <f t="shared" si="33"/>
        <v>0</v>
      </c>
      <c r="P49" s="16">
        <f t="shared" si="33"/>
        <v>0</v>
      </c>
      <c r="Q49" s="16">
        <f t="shared" si="33"/>
        <v>1237.5</v>
      </c>
      <c r="R49" s="16">
        <f t="shared" si="33"/>
        <v>3675</v>
      </c>
      <c r="S49" s="16">
        <f t="shared" si="33"/>
        <v>4815.9027083333331</v>
      </c>
      <c r="T49" s="16">
        <f t="shared" si="33"/>
        <v>5655.1429166666667</v>
      </c>
      <c r="U49" s="16">
        <f t="shared" si="33"/>
        <v>6748.0427083333334</v>
      </c>
      <c r="V49" s="16">
        <f t="shared" si="33"/>
        <v>9387.3291666666664</v>
      </c>
      <c r="W49" s="16">
        <f t="shared" si="33"/>
        <v>8295.0089583333338</v>
      </c>
      <c r="X49" s="16">
        <f t="shared" si="33"/>
        <v>7623.0489583333328</v>
      </c>
      <c r="Y49" s="16">
        <f t="shared" si="33"/>
        <v>9202.1129166666669</v>
      </c>
      <c r="Z49" s="16">
        <f t="shared" si="33"/>
        <v>9791.3145833333328</v>
      </c>
      <c r="AA49" s="16">
        <f t="shared" si="33"/>
        <v>23098.217291666671</v>
      </c>
      <c r="AB49" s="16">
        <f t="shared" si="33"/>
        <v>36448.779374999998</v>
      </c>
      <c r="AC49" s="16">
        <f t="shared" si="33"/>
        <v>11396.919374999999</v>
      </c>
      <c r="AD49" s="16">
        <f t="shared" si="33"/>
        <v>35958.599791666667</v>
      </c>
      <c r="AE49" s="16">
        <f t="shared" si="33"/>
        <v>34729.126666666671</v>
      </c>
      <c r="AF49" s="16">
        <f t="shared" si="34"/>
        <v>30055.39916666667</v>
      </c>
      <c r="AG49" s="16">
        <f t="shared" si="34"/>
        <v>22011.053541666668</v>
      </c>
      <c r="AH49" s="16">
        <f t="shared" si="34"/>
        <v>14206.785833333333</v>
      </c>
      <c r="AI49" s="16">
        <f t="shared" si="35"/>
        <v>6263.8552083333334</v>
      </c>
      <c r="AJ49" s="16">
        <f t="shared" si="35"/>
        <v>6143.7895833333341</v>
      </c>
      <c r="AK49" s="16">
        <f t="shared" si="35"/>
        <v>6175.9768750000003</v>
      </c>
      <c r="AL49" s="16">
        <f t="shared" si="31"/>
        <v>292918.90562500007</v>
      </c>
      <c r="AM49" s="16">
        <f>SUM(AL$5:AL49)</f>
        <v>9106566.2741666641</v>
      </c>
      <c r="AN49" s="16">
        <f t="shared" si="4"/>
        <v>4953541.1958333384</v>
      </c>
      <c r="AO49" s="16">
        <f t="shared" si="13"/>
        <v>5246460.101458339</v>
      </c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>
        <f t="shared" si="30"/>
        <v>0</v>
      </c>
      <c r="BP49" s="21">
        <f t="shared" si="5"/>
        <v>0</v>
      </c>
      <c r="BQ49" s="21">
        <f t="shared" si="6"/>
        <v>292918.90562500007</v>
      </c>
      <c r="BR49" s="16">
        <f t="shared" si="7"/>
        <v>292918.90562500007</v>
      </c>
      <c r="BS49" s="16">
        <f>+BR49*'Capital Structure '!$E$30</f>
        <v>119657.37294781252</v>
      </c>
      <c r="BT49" s="16">
        <f>SUM(BS$5:BS49)</f>
        <v>-2023521.5784979151</v>
      </c>
    </row>
    <row r="50" spans="1:72" s="3" customFormat="1">
      <c r="A50" s="7" t="s">
        <v>57</v>
      </c>
      <c r="B50" s="7">
        <f t="shared" si="36"/>
        <v>2013</v>
      </c>
      <c r="C50" s="7" t="s">
        <v>93</v>
      </c>
      <c r="D50" s="57"/>
      <c r="E50" s="55"/>
      <c r="F50" s="65"/>
      <c r="G50" s="56">
        <f t="shared" si="2"/>
        <v>0</v>
      </c>
      <c r="H50" s="56"/>
      <c r="I50" s="57"/>
      <c r="J50" s="57"/>
      <c r="K50" s="56"/>
      <c r="L50" s="30">
        <f t="shared" si="3"/>
        <v>0</v>
      </c>
      <c r="M50" s="30">
        <f>SUM(L$5:L50)</f>
        <v>14060107.470000003</v>
      </c>
      <c r="O50" s="30">
        <f t="shared" si="33"/>
        <v>0</v>
      </c>
      <c r="P50" s="30">
        <f t="shared" si="33"/>
        <v>0</v>
      </c>
      <c r="Q50" s="30">
        <f t="shared" si="33"/>
        <v>1237.5</v>
      </c>
      <c r="R50" s="30">
        <f t="shared" si="33"/>
        <v>3675</v>
      </c>
      <c r="S50" s="30">
        <f t="shared" si="33"/>
        <v>4815.9027083333331</v>
      </c>
      <c r="T50" s="30">
        <f t="shared" si="33"/>
        <v>5655.1429166666667</v>
      </c>
      <c r="U50" s="30">
        <f t="shared" si="33"/>
        <v>6748.0427083333334</v>
      </c>
      <c r="V50" s="30">
        <f t="shared" si="33"/>
        <v>9387.3291666666664</v>
      </c>
      <c r="W50" s="30">
        <f t="shared" si="33"/>
        <v>8295.0089583333338</v>
      </c>
      <c r="X50" s="30">
        <f t="shared" si="33"/>
        <v>7623.0489583333328</v>
      </c>
      <c r="Y50" s="30">
        <f t="shared" si="33"/>
        <v>9202.1129166666669</v>
      </c>
      <c r="Z50" s="30">
        <f t="shared" si="33"/>
        <v>9791.3145833333328</v>
      </c>
      <c r="AA50" s="30">
        <f t="shared" si="33"/>
        <v>23098.217291666671</v>
      </c>
      <c r="AB50" s="30">
        <f t="shared" si="33"/>
        <v>36448.779374999998</v>
      </c>
      <c r="AC50" s="30">
        <f t="shared" si="33"/>
        <v>11396.919374999999</v>
      </c>
      <c r="AD50" s="30">
        <f t="shared" si="33"/>
        <v>35958.599791666667</v>
      </c>
      <c r="AE50" s="30">
        <f t="shared" si="33"/>
        <v>34729.126666666671</v>
      </c>
      <c r="AF50" s="30">
        <f t="shared" si="34"/>
        <v>30055.39916666667</v>
      </c>
      <c r="AG50" s="30">
        <f t="shared" si="34"/>
        <v>22011.053541666668</v>
      </c>
      <c r="AH50" s="30">
        <f t="shared" si="34"/>
        <v>14206.785833333333</v>
      </c>
      <c r="AI50" s="30">
        <f t="shared" si="35"/>
        <v>6263.8552083333334</v>
      </c>
      <c r="AJ50" s="30">
        <f t="shared" si="35"/>
        <v>6143.7895833333341</v>
      </c>
      <c r="AK50" s="30">
        <f t="shared" si="35"/>
        <v>6175.9768750000003</v>
      </c>
      <c r="AL50" s="30">
        <f t="shared" si="31"/>
        <v>292918.90562500007</v>
      </c>
      <c r="AM50" s="30">
        <f>SUM(AL$5:AL50)</f>
        <v>9399485.1797916647</v>
      </c>
      <c r="AN50" s="30">
        <f t="shared" si="4"/>
        <v>4660622.2902083378</v>
      </c>
      <c r="AO50" s="30">
        <f t="shared" si="13"/>
        <v>4953541.1958333384</v>
      </c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>
        <f t="shared" si="30"/>
        <v>0</v>
      </c>
      <c r="BP50" s="22">
        <f t="shared" si="5"/>
        <v>0</v>
      </c>
      <c r="BQ50" s="22">
        <f t="shared" si="6"/>
        <v>292918.90562500007</v>
      </c>
      <c r="BR50" s="30">
        <f t="shared" si="7"/>
        <v>292918.90562500007</v>
      </c>
      <c r="BS50" s="30">
        <f>+BR50*'Capital Structure '!$E$30</f>
        <v>119657.37294781252</v>
      </c>
      <c r="BT50" s="30">
        <f>SUM(BS$5:BS50)</f>
        <v>-1903864.2055501025</v>
      </c>
    </row>
    <row r="51" spans="1:72">
      <c r="A51" s="10" t="s">
        <v>58</v>
      </c>
      <c r="B51" s="10">
        <f t="shared" si="36"/>
        <v>2013</v>
      </c>
      <c r="C51" s="7" t="s">
        <v>93</v>
      </c>
      <c r="D51" s="57"/>
      <c r="E51" s="55"/>
      <c r="F51" s="65"/>
      <c r="G51" s="56">
        <f t="shared" si="2"/>
        <v>0</v>
      </c>
      <c r="H51" s="56"/>
      <c r="I51" s="57"/>
      <c r="J51" s="57"/>
      <c r="K51" s="56"/>
      <c r="L51" s="16">
        <f t="shared" si="3"/>
        <v>0</v>
      </c>
      <c r="M51" s="16">
        <f>SUM(L$5:L51)</f>
        <v>14060107.470000003</v>
      </c>
      <c r="O51" s="16">
        <f t="shared" si="33"/>
        <v>0</v>
      </c>
      <c r="P51" s="16">
        <f t="shared" si="33"/>
        <v>0</v>
      </c>
      <c r="Q51" s="16">
        <f t="shared" si="33"/>
        <v>1237.5</v>
      </c>
      <c r="R51" s="16">
        <f t="shared" si="33"/>
        <v>3675</v>
      </c>
      <c r="S51" s="16">
        <f t="shared" si="33"/>
        <v>4815.9027083333331</v>
      </c>
      <c r="T51" s="16">
        <f t="shared" si="33"/>
        <v>5655.1429166666667</v>
      </c>
      <c r="U51" s="16">
        <f t="shared" si="33"/>
        <v>6748.0427083333334</v>
      </c>
      <c r="V51" s="16">
        <f t="shared" si="33"/>
        <v>9387.3291666666664</v>
      </c>
      <c r="W51" s="16">
        <f t="shared" si="33"/>
        <v>8295.0089583333338</v>
      </c>
      <c r="X51" s="16">
        <f t="shared" si="33"/>
        <v>7623.0489583333328</v>
      </c>
      <c r="Y51" s="16">
        <f t="shared" si="33"/>
        <v>9202.1129166666669</v>
      </c>
      <c r="Z51" s="16">
        <f t="shared" si="33"/>
        <v>9791.3145833333328</v>
      </c>
      <c r="AA51" s="16">
        <f t="shared" si="33"/>
        <v>23098.217291666671</v>
      </c>
      <c r="AB51" s="16">
        <f t="shared" si="33"/>
        <v>36448.779374999998</v>
      </c>
      <c r="AC51" s="16">
        <f t="shared" si="33"/>
        <v>11396.919374999999</v>
      </c>
      <c r="AD51" s="16">
        <f t="shared" si="33"/>
        <v>35958.599791666667</v>
      </c>
      <c r="AE51" s="16">
        <f t="shared" si="33"/>
        <v>34729.126666666671</v>
      </c>
      <c r="AF51" s="16">
        <f t="shared" si="34"/>
        <v>30055.39916666667</v>
      </c>
      <c r="AG51" s="16">
        <f t="shared" si="34"/>
        <v>22011.053541666668</v>
      </c>
      <c r="AH51" s="16">
        <f t="shared" si="34"/>
        <v>14206.785833333333</v>
      </c>
      <c r="AI51" s="16">
        <f t="shared" si="35"/>
        <v>6263.8552083333334</v>
      </c>
      <c r="AJ51" s="16">
        <f t="shared" si="35"/>
        <v>6143.7895833333341</v>
      </c>
      <c r="AK51" s="16">
        <f t="shared" si="35"/>
        <v>6175.9768750000003</v>
      </c>
      <c r="AL51" s="16">
        <f t="shared" si="31"/>
        <v>292918.90562500007</v>
      </c>
      <c r="AM51" s="16">
        <f>SUM(AL$5:AL51)</f>
        <v>9692404.0854166653</v>
      </c>
      <c r="AN51" s="16">
        <f t="shared" si="4"/>
        <v>4367703.3845833372</v>
      </c>
      <c r="AO51" s="16">
        <f t="shared" si="13"/>
        <v>4660622.2902083378</v>
      </c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>
        <f t="shared" si="30"/>
        <v>0</v>
      </c>
      <c r="BP51" s="21">
        <f t="shared" si="5"/>
        <v>0</v>
      </c>
      <c r="BQ51" s="21">
        <f t="shared" si="6"/>
        <v>292918.90562500007</v>
      </c>
      <c r="BR51" s="16">
        <f t="shared" si="7"/>
        <v>292918.90562500007</v>
      </c>
      <c r="BS51" s="16">
        <f>+BR51*'Capital Structure '!$E$30</f>
        <v>119657.37294781252</v>
      </c>
      <c r="BT51" s="16">
        <f>SUM(BS$5:BS51)</f>
        <v>-1784206.83260229</v>
      </c>
    </row>
    <row r="52" spans="1:72">
      <c r="A52" s="10" t="s">
        <v>59</v>
      </c>
      <c r="B52" s="10">
        <f t="shared" si="36"/>
        <v>2013</v>
      </c>
      <c r="C52" s="7" t="s">
        <v>93</v>
      </c>
      <c r="D52" s="57"/>
      <c r="E52" s="55"/>
      <c r="F52" s="65"/>
      <c r="G52" s="56">
        <f t="shared" si="2"/>
        <v>0</v>
      </c>
      <c r="H52" s="56"/>
      <c r="I52" s="57"/>
      <c r="J52" s="57"/>
      <c r="K52" s="56"/>
      <c r="L52" s="16">
        <f t="shared" si="3"/>
        <v>0</v>
      </c>
      <c r="M52" s="16">
        <f>SUM(L$5:L52)</f>
        <v>14060107.470000003</v>
      </c>
      <c r="O52" s="16">
        <f t="shared" ref="O52:AE67" si="37">+O51</f>
        <v>0</v>
      </c>
      <c r="P52" s="16">
        <f t="shared" si="37"/>
        <v>0</v>
      </c>
      <c r="Q52" s="16">
        <f t="shared" si="37"/>
        <v>1237.5</v>
      </c>
      <c r="R52" s="16">
        <f t="shared" si="37"/>
        <v>3675</v>
      </c>
      <c r="S52" s="16">
        <f t="shared" si="37"/>
        <v>4815.9027083333331</v>
      </c>
      <c r="T52" s="16">
        <f t="shared" si="37"/>
        <v>5655.1429166666667</v>
      </c>
      <c r="U52" s="16">
        <f t="shared" si="37"/>
        <v>6748.0427083333334</v>
      </c>
      <c r="V52" s="16">
        <f t="shared" si="37"/>
        <v>9387.3291666666664</v>
      </c>
      <c r="W52" s="16">
        <f t="shared" si="37"/>
        <v>8295.0089583333338</v>
      </c>
      <c r="X52" s="16">
        <f t="shared" si="37"/>
        <v>7623.0489583333328</v>
      </c>
      <c r="Y52" s="16">
        <f t="shared" si="37"/>
        <v>9202.1129166666669</v>
      </c>
      <c r="Z52" s="16">
        <f t="shared" si="37"/>
        <v>9791.3145833333328</v>
      </c>
      <c r="AA52" s="16">
        <f t="shared" si="37"/>
        <v>23098.217291666671</v>
      </c>
      <c r="AB52" s="16">
        <f t="shared" si="37"/>
        <v>36448.779374999998</v>
      </c>
      <c r="AC52" s="16">
        <f t="shared" si="37"/>
        <v>11396.919374999999</v>
      </c>
      <c r="AD52" s="16">
        <f t="shared" si="37"/>
        <v>35958.599791666667</v>
      </c>
      <c r="AE52" s="16">
        <f t="shared" si="37"/>
        <v>34729.126666666671</v>
      </c>
      <c r="AF52" s="16">
        <f t="shared" si="34"/>
        <v>30055.39916666667</v>
      </c>
      <c r="AG52" s="16">
        <f t="shared" si="34"/>
        <v>22011.053541666668</v>
      </c>
      <c r="AH52" s="16">
        <f t="shared" si="34"/>
        <v>14206.785833333333</v>
      </c>
      <c r="AI52" s="16">
        <f t="shared" si="35"/>
        <v>6263.8552083333334</v>
      </c>
      <c r="AJ52" s="16">
        <f t="shared" si="35"/>
        <v>6143.7895833333341</v>
      </c>
      <c r="AK52" s="16">
        <f t="shared" si="35"/>
        <v>6175.9768750000003</v>
      </c>
      <c r="AL52" s="16">
        <f t="shared" si="31"/>
        <v>292918.90562500007</v>
      </c>
      <c r="AM52" s="16">
        <f>SUM(AL$5:AL52)</f>
        <v>9985322.9910416659</v>
      </c>
      <c r="AN52" s="16">
        <f t="shared" si="4"/>
        <v>4074784.4789583366</v>
      </c>
      <c r="AO52" s="16">
        <f t="shared" si="13"/>
        <v>4367703.3845833372</v>
      </c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>
        <f t="shared" si="30"/>
        <v>0</v>
      </c>
      <c r="BP52" s="21">
        <f t="shared" si="5"/>
        <v>0</v>
      </c>
      <c r="BQ52" s="21">
        <f t="shared" si="6"/>
        <v>292918.90562500007</v>
      </c>
      <c r="BR52" s="16">
        <f t="shared" si="7"/>
        <v>292918.90562500007</v>
      </c>
      <c r="BS52" s="16">
        <f>+BR52*'Capital Structure '!$E$30</f>
        <v>119657.37294781252</v>
      </c>
      <c r="BT52" s="16">
        <f>SUM(BS$5:BS52)</f>
        <v>-1664549.4596544774</v>
      </c>
    </row>
    <row r="53" spans="1:72">
      <c r="A53" s="10" t="s">
        <v>46</v>
      </c>
      <c r="B53" s="10">
        <f t="shared" si="36"/>
        <v>2013</v>
      </c>
      <c r="C53" s="7" t="s">
        <v>93</v>
      </c>
      <c r="D53" s="57"/>
      <c r="E53" s="55"/>
      <c r="F53" s="65"/>
      <c r="G53" s="56">
        <f t="shared" si="2"/>
        <v>0</v>
      </c>
      <c r="H53" s="56"/>
      <c r="I53" s="57"/>
      <c r="J53" s="57"/>
      <c r="K53" s="56"/>
      <c r="L53" s="16">
        <f t="shared" si="3"/>
        <v>0</v>
      </c>
      <c r="M53" s="16">
        <f>SUM(L$5:L53)</f>
        <v>14060107.470000003</v>
      </c>
      <c r="O53" s="16"/>
      <c r="P53" s="16">
        <f t="shared" si="37"/>
        <v>0</v>
      </c>
      <c r="Q53" s="16">
        <f t="shared" si="37"/>
        <v>1237.5</v>
      </c>
      <c r="R53" s="16">
        <f t="shared" si="37"/>
        <v>3675</v>
      </c>
      <c r="S53" s="16">
        <f t="shared" si="37"/>
        <v>4815.9027083333331</v>
      </c>
      <c r="T53" s="16">
        <f t="shared" si="37"/>
        <v>5655.1429166666667</v>
      </c>
      <c r="U53" s="16">
        <f t="shared" si="37"/>
        <v>6748.0427083333334</v>
      </c>
      <c r="V53" s="16">
        <f t="shared" si="37"/>
        <v>9387.3291666666664</v>
      </c>
      <c r="W53" s="16">
        <f t="shared" si="37"/>
        <v>8295.0089583333338</v>
      </c>
      <c r="X53" s="16">
        <f t="shared" si="37"/>
        <v>7623.0489583333328</v>
      </c>
      <c r="Y53" s="16">
        <f t="shared" si="37"/>
        <v>9202.1129166666669</v>
      </c>
      <c r="Z53" s="16">
        <f t="shared" si="37"/>
        <v>9791.3145833333328</v>
      </c>
      <c r="AA53" s="16">
        <f t="shared" si="37"/>
        <v>23098.217291666671</v>
      </c>
      <c r="AB53" s="16">
        <f t="shared" si="37"/>
        <v>36448.779374999998</v>
      </c>
      <c r="AC53" s="16">
        <f t="shared" si="37"/>
        <v>11396.919374999999</v>
      </c>
      <c r="AD53" s="16">
        <f t="shared" si="37"/>
        <v>35958.599791666667</v>
      </c>
      <c r="AE53" s="16">
        <f t="shared" si="37"/>
        <v>34729.126666666671</v>
      </c>
      <c r="AF53" s="16">
        <f t="shared" si="34"/>
        <v>30055.39916666667</v>
      </c>
      <c r="AG53" s="16">
        <f t="shared" si="34"/>
        <v>22011.053541666668</v>
      </c>
      <c r="AH53" s="16">
        <f t="shared" si="34"/>
        <v>14206.785833333333</v>
      </c>
      <c r="AI53" s="16">
        <f t="shared" si="35"/>
        <v>6263.8552083333334</v>
      </c>
      <c r="AJ53" s="16">
        <f t="shared" si="35"/>
        <v>6143.7895833333341</v>
      </c>
      <c r="AK53" s="16">
        <f t="shared" si="35"/>
        <v>6175.9768750000003</v>
      </c>
      <c r="AL53" s="16">
        <f t="shared" si="31"/>
        <v>292918.90562500007</v>
      </c>
      <c r="AM53" s="16">
        <f>SUM(AL$5:AL53)</f>
        <v>10278241.896666666</v>
      </c>
      <c r="AN53" s="16">
        <f t="shared" si="4"/>
        <v>3781865.573333336</v>
      </c>
      <c r="AO53" s="16">
        <f t="shared" si="13"/>
        <v>4074784.4789583366</v>
      </c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>
        <f t="shared" si="30"/>
        <v>0</v>
      </c>
      <c r="BP53" s="21">
        <f t="shared" si="5"/>
        <v>0</v>
      </c>
      <c r="BQ53" s="21">
        <f t="shared" si="6"/>
        <v>292918.90562500007</v>
      </c>
      <c r="BR53" s="16">
        <f t="shared" si="7"/>
        <v>292918.90562500007</v>
      </c>
      <c r="BS53" s="16">
        <f>+BR53*'Capital Structure '!$E$30</f>
        <v>119657.37294781252</v>
      </c>
      <c r="BT53" s="16">
        <f>SUM(BS$5:BS53)</f>
        <v>-1544892.0867066649</v>
      </c>
    </row>
    <row r="54" spans="1:72">
      <c r="A54" s="10" t="s">
        <v>48</v>
      </c>
      <c r="B54" s="10">
        <f t="shared" si="36"/>
        <v>2013</v>
      </c>
      <c r="C54" s="7" t="s">
        <v>93</v>
      </c>
      <c r="D54" s="57"/>
      <c r="E54" s="55"/>
      <c r="F54" s="65"/>
      <c r="G54" s="56">
        <f t="shared" si="2"/>
        <v>0</v>
      </c>
      <c r="H54" s="56"/>
      <c r="I54" s="57"/>
      <c r="J54" s="57"/>
      <c r="K54" s="56"/>
      <c r="L54" s="16">
        <f t="shared" si="3"/>
        <v>0</v>
      </c>
      <c r="M54" s="16">
        <f>SUM(L$5:L54)</f>
        <v>14060107.470000003</v>
      </c>
      <c r="O54" s="16"/>
      <c r="P54" s="16"/>
      <c r="Q54" s="16">
        <f>+Q53</f>
        <v>1237.5</v>
      </c>
      <c r="R54" s="16">
        <f>+R53</f>
        <v>3675</v>
      </c>
      <c r="S54" s="16">
        <f>+S53</f>
        <v>4815.9027083333331</v>
      </c>
      <c r="T54" s="16">
        <f>+T53</f>
        <v>5655.1429166666667</v>
      </c>
      <c r="U54" s="16">
        <f>+U53</f>
        <v>6748.0427083333334</v>
      </c>
      <c r="V54" s="16">
        <f t="shared" si="37"/>
        <v>9387.3291666666664</v>
      </c>
      <c r="W54" s="16">
        <f t="shared" si="37"/>
        <v>8295.0089583333338</v>
      </c>
      <c r="X54" s="16">
        <f t="shared" si="37"/>
        <v>7623.0489583333328</v>
      </c>
      <c r="Y54" s="16">
        <f t="shared" si="37"/>
        <v>9202.1129166666669</v>
      </c>
      <c r="Z54" s="16">
        <f t="shared" si="37"/>
        <v>9791.3145833333328</v>
      </c>
      <c r="AA54" s="16">
        <f t="shared" si="37"/>
        <v>23098.217291666671</v>
      </c>
      <c r="AB54" s="16">
        <f t="shared" si="37"/>
        <v>36448.779374999998</v>
      </c>
      <c r="AC54" s="16">
        <f t="shared" si="37"/>
        <v>11396.919374999999</v>
      </c>
      <c r="AD54" s="16">
        <f t="shared" si="37"/>
        <v>35958.599791666667</v>
      </c>
      <c r="AE54" s="16">
        <f t="shared" si="37"/>
        <v>34729.126666666671</v>
      </c>
      <c r="AF54" s="16">
        <f t="shared" si="34"/>
        <v>30055.39916666667</v>
      </c>
      <c r="AG54" s="16">
        <f t="shared" si="34"/>
        <v>22011.053541666668</v>
      </c>
      <c r="AH54" s="16">
        <f t="shared" si="34"/>
        <v>14206.785833333333</v>
      </c>
      <c r="AI54" s="16">
        <f t="shared" si="35"/>
        <v>6263.8552083333334</v>
      </c>
      <c r="AJ54" s="16">
        <f t="shared" si="35"/>
        <v>6143.7895833333341</v>
      </c>
      <c r="AK54" s="16">
        <f t="shared" si="35"/>
        <v>6175.9768750000003</v>
      </c>
      <c r="AL54" s="16">
        <f t="shared" si="31"/>
        <v>292918.90562500007</v>
      </c>
      <c r="AM54" s="16">
        <f>SUM(AL$5:AL54)</f>
        <v>10571160.802291667</v>
      </c>
      <c r="AN54" s="16">
        <f t="shared" si="4"/>
        <v>3488946.6677083354</v>
      </c>
      <c r="AO54" s="16">
        <f t="shared" si="13"/>
        <v>3781865.573333336</v>
      </c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>
        <f t="shared" si="30"/>
        <v>0</v>
      </c>
      <c r="BP54" s="21">
        <f t="shared" si="5"/>
        <v>0</v>
      </c>
      <c r="BQ54" s="21">
        <f t="shared" si="6"/>
        <v>292918.90562500007</v>
      </c>
      <c r="BR54" s="16">
        <f t="shared" si="7"/>
        <v>292918.90562500007</v>
      </c>
      <c r="BS54" s="16">
        <f>+BR54*'Capital Structure '!$E$30</f>
        <v>119657.37294781252</v>
      </c>
      <c r="BT54" s="16">
        <f>SUM(BS$5:BS54)</f>
        <v>-1425234.7137588523</v>
      </c>
    </row>
    <row r="55" spans="1:72">
      <c r="A55" s="10" t="s">
        <v>50</v>
      </c>
      <c r="B55" s="10">
        <f t="shared" si="36"/>
        <v>2013</v>
      </c>
      <c r="C55" s="7" t="s">
        <v>93</v>
      </c>
      <c r="D55" s="57"/>
      <c r="E55" s="55"/>
      <c r="F55" s="65"/>
      <c r="G55" s="56">
        <f t="shared" si="2"/>
        <v>0</v>
      </c>
      <c r="H55" s="56"/>
      <c r="I55" s="57"/>
      <c r="J55" s="57"/>
      <c r="K55" s="56"/>
      <c r="L55" s="16">
        <f t="shared" si="3"/>
        <v>0</v>
      </c>
      <c r="M55" s="16">
        <f>SUM(L$5:L55)</f>
        <v>14060107.470000003</v>
      </c>
      <c r="O55" s="16"/>
      <c r="P55" s="16"/>
      <c r="Q55" s="16"/>
      <c r="R55" s="16">
        <f>+R54</f>
        <v>3675</v>
      </c>
      <c r="S55" s="16">
        <f>+S54</f>
        <v>4815.9027083333331</v>
      </c>
      <c r="T55" s="16">
        <f>+T54</f>
        <v>5655.1429166666667</v>
      </c>
      <c r="U55" s="16">
        <f>+U54</f>
        <v>6748.0427083333334</v>
      </c>
      <c r="V55" s="16">
        <f t="shared" si="37"/>
        <v>9387.3291666666664</v>
      </c>
      <c r="W55" s="16">
        <f t="shared" si="37"/>
        <v>8295.0089583333338</v>
      </c>
      <c r="X55" s="16">
        <f t="shared" si="37"/>
        <v>7623.0489583333328</v>
      </c>
      <c r="Y55" s="16">
        <f t="shared" si="37"/>
        <v>9202.1129166666669</v>
      </c>
      <c r="Z55" s="16">
        <f t="shared" si="37"/>
        <v>9791.3145833333328</v>
      </c>
      <c r="AA55" s="16">
        <f t="shared" si="37"/>
        <v>23098.217291666671</v>
      </c>
      <c r="AB55" s="16">
        <f t="shared" si="37"/>
        <v>36448.779374999998</v>
      </c>
      <c r="AC55" s="16">
        <f t="shared" si="37"/>
        <v>11396.919374999999</v>
      </c>
      <c r="AD55" s="16">
        <f t="shared" si="37"/>
        <v>35958.599791666667</v>
      </c>
      <c r="AE55" s="16">
        <f t="shared" si="37"/>
        <v>34729.126666666671</v>
      </c>
      <c r="AF55" s="16">
        <f t="shared" si="34"/>
        <v>30055.39916666667</v>
      </c>
      <c r="AG55" s="16">
        <f t="shared" si="34"/>
        <v>22011.053541666668</v>
      </c>
      <c r="AH55" s="16">
        <f t="shared" si="34"/>
        <v>14206.785833333333</v>
      </c>
      <c r="AI55" s="16">
        <f t="shared" si="35"/>
        <v>6263.8552083333334</v>
      </c>
      <c r="AJ55" s="16">
        <f t="shared" si="35"/>
        <v>6143.7895833333341</v>
      </c>
      <c r="AK55" s="16">
        <f t="shared" si="35"/>
        <v>6175.9768750000003</v>
      </c>
      <c r="AL55" s="16">
        <f t="shared" si="31"/>
        <v>291681.40562500007</v>
      </c>
      <c r="AM55" s="16">
        <f>SUM(AL$5:AL55)</f>
        <v>10862842.207916668</v>
      </c>
      <c r="AN55" s="16">
        <f t="shared" si="4"/>
        <v>3197265.2620833348</v>
      </c>
      <c r="AO55" s="16">
        <f t="shared" si="13"/>
        <v>3488946.6677083354</v>
      </c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>
        <f t="shared" si="30"/>
        <v>0</v>
      </c>
      <c r="BP55" s="21">
        <f t="shared" si="5"/>
        <v>0</v>
      </c>
      <c r="BQ55" s="21">
        <f t="shared" si="6"/>
        <v>291681.40562500007</v>
      </c>
      <c r="BR55" s="16">
        <f t="shared" si="7"/>
        <v>291681.40562500007</v>
      </c>
      <c r="BS55" s="16">
        <f>+BR55*'Capital Structure '!$E$30</f>
        <v>119151.85419781253</v>
      </c>
      <c r="BT55" s="16">
        <f>SUM(BS$5:BS55)</f>
        <v>-1306082.8595610398</v>
      </c>
    </row>
    <row r="56" spans="1:72" s="3" customFormat="1">
      <c r="A56" s="7" t="s">
        <v>51</v>
      </c>
      <c r="B56" s="7">
        <f t="shared" si="36"/>
        <v>2013</v>
      </c>
      <c r="C56" s="7" t="s">
        <v>93</v>
      </c>
      <c r="D56" s="56"/>
      <c r="E56" s="30"/>
      <c r="F56" s="31"/>
      <c r="G56" s="56">
        <f t="shared" si="2"/>
        <v>0</v>
      </c>
      <c r="H56" s="56"/>
      <c r="I56" s="56"/>
      <c r="J56" s="56"/>
      <c r="K56" s="56"/>
      <c r="L56" s="30">
        <f t="shared" si="3"/>
        <v>0</v>
      </c>
      <c r="M56" s="30">
        <f>SUM(L$5:L56)</f>
        <v>14060107.470000003</v>
      </c>
      <c r="O56" s="30"/>
      <c r="P56" s="30"/>
      <c r="Q56" s="30"/>
      <c r="R56" s="30"/>
      <c r="S56" s="30">
        <f>+S55</f>
        <v>4815.9027083333331</v>
      </c>
      <c r="T56" s="30">
        <f>+T55</f>
        <v>5655.1429166666667</v>
      </c>
      <c r="U56" s="30">
        <f>+U55</f>
        <v>6748.0427083333334</v>
      </c>
      <c r="V56" s="30">
        <f t="shared" si="37"/>
        <v>9387.3291666666664</v>
      </c>
      <c r="W56" s="30">
        <f t="shared" si="37"/>
        <v>8295.0089583333338</v>
      </c>
      <c r="X56" s="30">
        <f t="shared" si="37"/>
        <v>7623.0489583333328</v>
      </c>
      <c r="Y56" s="30">
        <f t="shared" si="37"/>
        <v>9202.1129166666669</v>
      </c>
      <c r="Z56" s="30">
        <f t="shared" si="37"/>
        <v>9791.3145833333328</v>
      </c>
      <c r="AA56" s="30">
        <f t="shared" si="37"/>
        <v>23098.217291666671</v>
      </c>
      <c r="AB56" s="30">
        <f t="shared" si="37"/>
        <v>36448.779374999998</v>
      </c>
      <c r="AC56" s="30">
        <f t="shared" si="37"/>
        <v>11396.919374999999</v>
      </c>
      <c r="AD56" s="30">
        <f t="shared" si="37"/>
        <v>35958.599791666667</v>
      </c>
      <c r="AE56" s="30">
        <f t="shared" si="37"/>
        <v>34729.126666666671</v>
      </c>
      <c r="AF56" s="30">
        <f t="shared" si="34"/>
        <v>30055.39916666667</v>
      </c>
      <c r="AG56" s="30">
        <f t="shared" si="34"/>
        <v>22011.053541666668</v>
      </c>
      <c r="AH56" s="30">
        <f t="shared" si="34"/>
        <v>14206.785833333333</v>
      </c>
      <c r="AI56" s="30">
        <f t="shared" si="35"/>
        <v>6263.8552083333334</v>
      </c>
      <c r="AJ56" s="30">
        <f t="shared" si="35"/>
        <v>6143.7895833333341</v>
      </c>
      <c r="AK56" s="30">
        <f t="shared" si="35"/>
        <v>6175.9768750000003</v>
      </c>
      <c r="AL56" s="30">
        <f t="shared" si="31"/>
        <v>288006.40562500007</v>
      </c>
      <c r="AM56" s="30">
        <f>SUM(AL$5:AL56)</f>
        <v>11150848.613541668</v>
      </c>
      <c r="AN56" s="30">
        <f t="shared" si="4"/>
        <v>2909258.8564583343</v>
      </c>
      <c r="AO56" s="30">
        <f t="shared" si="13"/>
        <v>3197265.2620833348</v>
      </c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>
        <f t="shared" si="30"/>
        <v>0</v>
      </c>
      <c r="BP56" s="22">
        <f t="shared" si="5"/>
        <v>0</v>
      </c>
      <c r="BQ56" s="22">
        <f t="shared" si="6"/>
        <v>288006.40562500007</v>
      </c>
      <c r="BR56" s="30">
        <f t="shared" si="7"/>
        <v>288006.40562500007</v>
      </c>
      <c r="BS56" s="30">
        <f>+BR56*'Capital Structure '!$E$30</f>
        <v>117650.61669781253</v>
      </c>
      <c r="BT56" s="30">
        <f>SUM(BS$5:BS56)</f>
        <v>-1188432.2428632274</v>
      </c>
    </row>
    <row r="57" spans="1:72">
      <c r="A57" s="10" t="s">
        <v>52</v>
      </c>
      <c r="B57" s="10">
        <f t="shared" si="36"/>
        <v>2013</v>
      </c>
      <c r="C57" s="7" t="s">
        <v>93</v>
      </c>
      <c r="D57" s="57"/>
      <c r="E57" s="55"/>
      <c r="F57" s="65"/>
      <c r="G57" s="56">
        <f t="shared" si="2"/>
        <v>0</v>
      </c>
      <c r="H57" s="56"/>
      <c r="I57" s="57"/>
      <c r="J57" s="57"/>
      <c r="K57" s="56"/>
      <c r="L57" s="16">
        <f t="shared" si="3"/>
        <v>0</v>
      </c>
      <c r="M57" s="16">
        <f>SUM(L$5:L57)</f>
        <v>14060107.470000003</v>
      </c>
      <c r="O57" s="16"/>
      <c r="P57" s="16"/>
      <c r="Q57" s="16"/>
      <c r="R57" s="16"/>
      <c r="S57" s="16"/>
      <c r="T57" s="16">
        <f>+T56</f>
        <v>5655.1429166666667</v>
      </c>
      <c r="U57" s="16">
        <f>+U56</f>
        <v>6748.0427083333334</v>
      </c>
      <c r="V57" s="16">
        <f t="shared" si="37"/>
        <v>9387.3291666666664</v>
      </c>
      <c r="W57" s="16">
        <f t="shared" si="37"/>
        <v>8295.0089583333338</v>
      </c>
      <c r="X57" s="16">
        <f t="shared" si="37"/>
        <v>7623.0489583333328</v>
      </c>
      <c r="Y57" s="16">
        <f t="shared" si="37"/>
        <v>9202.1129166666669</v>
      </c>
      <c r="Z57" s="16">
        <f t="shared" si="37"/>
        <v>9791.3145833333328</v>
      </c>
      <c r="AA57" s="16">
        <f t="shared" si="37"/>
        <v>23098.217291666671</v>
      </c>
      <c r="AB57" s="16">
        <f t="shared" si="37"/>
        <v>36448.779374999998</v>
      </c>
      <c r="AC57" s="16">
        <f t="shared" si="37"/>
        <v>11396.919374999999</v>
      </c>
      <c r="AD57" s="16">
        <f t="shared" si="37"/>
        <v>35958.599791666667</v>
      </c>
      <c r="AE57" s="16">
        <f t="shared" si="37"/>
        <v>34729.126666666671</v>
      </c>
      <c r="AF57" s="16">
        <f t="shared" ref="AF57:AH71" si="38">+AF56</f>
        <v>30055.39916666667</v>
      </c>
      <c r="AG57" s="16">
        <f t="shared" si="38"/>
        <v>22011.053541666668</v>
      </c>
      <c r="AH57" s="16">
        <f t="shared" si="38"/>
        <v>14206.785833333333</v>
      </c>
      <c r="AI57" s="16">
        <f t="shared" si="35"/>
        <v>6263.8552083333334</v>
      </c>
      <c r="AJ57" s="16">
        <f t="shared" si="35"/>
        <v>6143.7895833333341</v>
      </c>
      <c r="AK57" s="16">
        <f t="shared" si="35"/>
        <v>6175.9768750000003</v>
      </c>
      <c r="AL57" s="16">
        <f t="shared" si="31"/>
        <v>283190.50291666674</v>
      </c>
      <c r="AM57" s="16">
        <f>SUM(AL$5:AL57)</f>
        <v>11434039.116458336</v>
      </c>
      <c r="AN57" s="16">
        <f t="shared" si="4"/>
        <v>2626068.3535416666</v>
      </c>
      <c r="AO57" s="16">
        <f t="shared" si="13"/>
        <v>2909258.8564583343</v>
      </c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>
        <f t="shared" si="30"/>
        <v>0</v>
      </c>
      <c r="BP57" s="21">
        <f t="shared" si="5"/>
        <v>0</v>
      </c>
      <c r="BQ57" s="21">
        <f t="shared" si="6"/>
        <v>283190.50291666674</v>
      </c>
      <c r="BR57" s="16">
        <f t="shared" si="7"/>
        <v>283190.50291666674</v>
      </c>
      <c r="BS57" s="16">
        <f>+BR57*'Capital Structure '!$E$30</f>
        <v>115683.32044145836</v>
      </c>
      <c r="BT57" s="16">
        <f>SUM(BS$5:BS57)</f>
        <v>-1072748.922421769</v>
      </c>
    </row>
    <row r="58" spans="1:72" ht="14.25" customHeight="1">
      <c r="A58" s="10" t="s">
        <v>53</v>
      </c>
      <c r="B58" s="10">
        <f>+B57+1</f>
        <v>2014</v>
      </c>
      <c r="C58" s="7" t="s">
        <v>93</v>
      </c>
      <c r="D58" s="57"/>
      <c r="E58" s="55"/>
      <c r="F58" s="65"/>
      <c r="G58" s="56">
        <f t="shared" si="2"/>
        <v>0</v>
      </c>
      <c r="H58" s="56"/>
      <c r="I58" s="57"/>
      <c r="J58" s="57"/>
      <c r="K58" s="56"/>
      <c r="L58" s="16">
        <f t="shared" si="3"/>
        <v>0</v>
      </c>
      <c r="M58" s="16">
        <f>SUM(L$5:L58)</f>
        <v>14060107.470000003</v>
      </c>
      <c r="O58" s="16"/>
      <c r="P58" s="16"/>
      <c r="Q58" s="16"/>
      <c r="R58" s="16"/>
      <c r="S58" s="16"/>
      <c r="T58" s="16"/>
      <c r="U58" s="16">
        <f>+U57</f>
        <v>6748.0427083333334</v>
      </c>
      <c r="V58" s="16">
        <f t="shared" si="37"/>
        <v>9387.3291666666664</v>
      </c>
      <c r="W58" s="16">
        <f t="shared" si="37"/>
        <v>8295.0089583333338</v>
      </c>
      <c r="X58" s="16">
        <f t="shared" si="37"/>
        <v>7623.0489583333328</v>
      </c>
      <c r="Y58" s="16">
        <f t="shared" si="37"/>
        <v>9202.1129166666669</v>
      </c>
      <c r="Z58" s="16">
        <f t="shared" si="37"/>
        <v>9791.3145833333328</v>
      </c>
      <c r="AA58" s="16">
        <f t="shared" si="37"/>
        <v>23098.217291666671</v>
      </c>
      <c r="AB58" s="16">
        <f t="shared" si="37"/>
        <v>36448.779374999998</v>
      </c>
      <c r="AC58" s="16">
        <f t="shared" si="37"/>
        <v>11396.919374999999</v>
      </c>
      <c r="AD58" s="16">
        <f t="shared" si="37"/>
        <v>35958.599791666667</v>
      </c>
      <c r="AE58" s="16">
        <f t="shared" si="37"/>
        <v>34729.126666666671</v>
      </c>
      <c r="AF58" s="16">
        <f t="shared" si="38"/>
        <v>30055.39916666667</v>
      </c>
      <c r="AG58" s="16">
        <f t="shared" si="38"/>
        <v>22011.053541666668</v>
      </c>
      <c r="AH58" s="16">
        <f t="shared" si="38"/>
        <v>14206.785833333333</v>
      </c>
      <c r="AI58" s="16">
        <f t="shared" si="35"/>
        <v>6263.8552083333334</v>
      </c>
      <c r="AJ58" s="16">
        <f t="shared" si="35"/>
        <v>6143.7895833333341</v>
      </c>
      <c r="AK58" s="16">
        <f t="shared" si="35"/>
        <v>6175.9768750000003</v>
      </c>
      <c r="AL58" s="16">
        <f t="shared" si="31"/>
        <v>277535.36000000004</v>
      </c>
      <c r="AM58" s="16">
        <f>SUM(AL$5:AL58)</f>
        <v>11711574.476458335</v>
      </c>
      <c r="AN58" s="16">
        <f t="shared" si="4"/>
        <v>2348532.9935416672</v>
      </c>
      <c r="AO58" s="16">
        <f t="shared" si="13"/>
        <v>2626068.3535416666</v>
      </c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>
        <f t="shared" si="30"/>
        <v>0</v>
      </c>
      <c r="BP58" s="21">
        <f t="shared" si="5"/>
        <v>0</v>
      </c>
      <c r="BQ58" s="21">
        <f t="shared" si="6"/>
        <v>277535.36000000004</v>
      </c>
      <c r="BR58" s="16">
        <f t="shared" si="7"/>
        <v>277535.36000000004</v>
      </c>
      <c r="BS58" s="16">
        <f>+BR58*'Capital Structure '!$E$30</f>
        <v>113373.19456000002</v>
      </c>
      <c r="BT58" s="16">
        <f>SUM(BS$5:BS58)</f>
        <v>-959375.72786176903</v>
      </c>
    </row>
    <row r="59" spans="1:72" s="3" customFormat="1">
      <c r="A59" s="7" t="s">
        <v>54</v>
      </c>
      <c r="B59" s="7">
        <f t="shared" si="36"/>
        <v>2014</v>
      </c>
      <c r="C59" s="7" t="s">
        <v>93</v>
      </c>
      <c r="D59" s="56"/>
      <c r="E59" s="30"/>
      <c r="F59" s="31"/>
      <c r="G59" s="56">
        <f t="shared" si="2"/>
        <v>0</v>
      </c>
      <c r="H59" s="56"/>
      <c r="I59" s="56"/>
      <c r="J59" s="56"/>
      <c r="K59" s="56"/>
      <c r="L59" s="30">
        <f t="shared" si="3"/>
        <v>0</v>
      </c>
      <c r="M59" s="30">
        <f>SUM(L$5:L59)</f>
        <v>14060107.470000003</v>
      </c>
      <c r="O59" s="30"/>
      <c r="P59" s="30"/>
      <c r="Q59" s="30"/>
      <c r="R59" s="30"/>
      <c r="S59" s="30"/>
      <c r="T59" s="30"/>
      <c r="U59" s="30"/>
      <c r="V59" s="30">
        <f t="shared" si="37"/>
        <v>9387.3291666666664</v>
      </c>
      <c r="W59" s="30">
        <f t="shared" si="37"/>
        <v>8295.0089583333338</v>
      </c>
      <c r="X59" s="30">
        <f t="shared" si="37"/>
        <v>7623.0489583333328</v>
      </c>
      <c r="Y59" s="30">
        <f t="shared" si="37"/>
        <v>9202.1129166666669</v>
      </c>
      <c r="Z59" s="30">
        <f t="shared" si="37"/>
        <v>9791.3145833333328</v>
      </c>
      <c r="AA59" s="30">
        <f t="shared" si="37"/>
        <v>23098.217291666671</v>
      </c>
      <c r="AB59" s="30">
        <f t="shared" si="37"/>
        <v>36448.779374999998</v>
      </c>
      <c r="AC59" s="30">
        <f t="shared" si="37"/>
        <v>11396.919374999999</v>
      </c>
      <c r="AD59" s="30">
        <f t="shared" si="37"/>
        <v>35958.599791666667</v>
      </c>
      <c r="AE59" s="30">
        <f t="shared" si="37"/>
        <v>34729.126666666671</v>
      </c>
      <c r="AF59" s="30">
        <f t="shared" si="38"/>
        <v>30055.39916666667</v>
      </c>
      <c r="AG59" s="30">
        <f t="shared" si="38"/>
        <v>22011.053541666668</v>
      </c>
      <c r="AH59" s="30">
        <f t="shared" si="38"/>
        <v>14206.785833333333</v>
      </c>
      <c r="AI59" s="30">
        <f t="shared" ref="AI59:AK73" si="39">AI58</f>
        <v>6263.8552083333334</v>
      </c>
      <c r="AJ59" s="30">
        <f t="shared" si="39"/>
        <v>6143.7895833333341</v>
      </c>
      <c r="AK59" s="30">
        <f t="shared" si="39"/>
        <v>6175.9768750000003</v>
      </c>
      <c r="AL59" s="30">
        <f t="shared" si="31"/>
        <v>270787.31729166664</v>
      </c>
      <c r="AM59" s="30">
        <f>SUM(AL$5:AL59)</f>
        <v>11982361.793750001</v>
      </c>
      <c r="AN59" s="30">
        <f t="shared" si="4"/>
        <v>2077745.6762500014</v>
      </c>
      <c r="AO59" s="30">
        <f t="shared" si="13"/>
        <v>2348532.9935416672</v>
      </c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>
        <f t="shared" si="30"/>
        <v>0</v>
      </c>
      <c r="BP59" s="22">
        <f t="shared" si="5"/>
        <v>0</v>
      </c>
      <c r="BQ59" s="22">
        <f t="shared" si="6"/>
        <v>270787.31729166664</v>
      </c>
      <c r="BR59" s="30">
        <f t="shared" si="7"/>
        <v>270787.31729166664</v>
      </c>
      <c r="BS59" s="30">
        <f>+BR59*'Capital Structure '!$E$30</f>
        <v>110616.61911364581</v>
      </c>
      <c r="BT59" s="30">
        <f>SUM(BS$5:BS59)</f>
        <v>-848759.10874812328</v>
      </c>
    </row>
    <row r="60" spans="1:72" s="3" customFormat="1">
      <c r="A60" s="7" t="s">
        <v>55</v>
      </c>
      <c r="B60" s="7">
        <f t="shared" si="36"/>
        <v>2014</v>
      </c>
      <c r="C60" s="7" t="s">
        <v>93</v>
      </c>
      <c r="D60" s="56"/>
      <c r="E60" s="30"/>
      <c r="F60" s="31"/>
      <c r="G60" s="56">
        <f t="shared" si="2"/>
        <v>0</v>
      </c>
      <c r="H60" s="56"/>
      <c r="I60" s="56"/>
      <c r="J60" s="56"/>
      <c r="K60" s="56"/>
      <c r="L60" s="30">
        <f t="shared" si="3"/>
        <v>0</v>
      </c>
      <c r="M60" s="30">
        <f>SUM(L$5:L60)</f>
        <v>14060107.470000003</v>
      </c>
      <c r="O60" s="30"/>
      <c r="P60" s="30"/>
      <c r="Q60" s="30"/>
      <c r="R60" s="30"/>
      <c r="S60" s="30"/>
      <c r="T60" s="30"/>
      <c r="U60" s="30"/>
      <c r="V60" s="30"/>
      <c r="W60" s="30">
        <f t="shared" si="37"/>
        <v>8295.0089583333338</v>
      </c>
      <c r="X60" s="30">
        <f t="shared" si="37"/>
        <v>7623.0489583333328</v>
      </c>
      <c r="Y60" s="30">
        <f t="shared" si="37"/>
        <v>9202.1129166666669</v>
      </c>
      <c r="Z60" s="30">
        <f t="shared" si="37"/>
        <v>9791.3145833333328</v>
      </c>
      <c r="AA60" s="30">
        <f t="shared" si="37"/>
        <v>23098.217291666671</v>
      </c>
      <c r="AB60" s="30">
        <f t="shared" si="37"/>
        <v>36448.779374999998</v>
      </c>
      <c r="AC60" s="30">
        <f t="shared" si="37"/>
        <v>11396.919374999999</v>
      </c>
      <c r="AD60" s="30">
        <f t="shared" si="37"/>
        <v>35958.599791666667</v>
      </c>
      <c r="AE60" s="30">
        <f t="shared" si="37"/>
        <v>34729.126666666671</v>
      </c>
      <c r="AF60" s="30">
        <f t="shared" si="38"/>
        <v>30055.39916666667</v>
      </c>
      <c r="AG60" s="30">
        <f t="shared" si="38"/>
        <v>22011.053541666668</v>
      </c>
      <c r="AH60" s="30">
        <f t="shared" si="38"/>
        <v>14206.785833333333</v>
      </c>
      <c r="AI60" s="30">
        <f t="shared" si="39"/>
        <v>6263.8552083333334</v>
      </c>
      <c r="AJ60" s="30">
        <f t="shared" si="39"/>
        <v>6143.7895833333341</v>
      </c>
      <c r="AK60" s="30">
        <f t="shared" si="39"/>
        <v>6175.9768750000003</v>
      </c>
      <c r="AL60" s="30">
        <f t="shared" si="31"/>
        <v>261399.98812499997</v>
      </c>
      <c r="AM60" s="30">
        <f>SUM(AL$5:AL60)</f>
        <v>12243761.781875001</v>
      </c>
      <c r="AN60" s="30">
        <f t="shared" si="4"/>
        <v>1816345.6881250013</v>
      </c>
      <c r="AO60" s="30">
        <f t="shared" si="13"/>
        <v>2077745.6762500014</v>
      </c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>
        <f t="shared" si="30"/>
        <v>0</v>
      </c>
      <c r="BP60" s="22">
        <f t="shared" si="5"/>
        <v>0</v>
      </c>
      <c r="BQ60" s="22">
        <f t="shared" si="6"/>
        <v>261399.98812499997</v>
      </c>
      <c r="BR60" s="30">
        <f t="shared" si="7"/>
        <v>261399.98812499997</v>
      </c>
      <c r="BS60" s="30">
        <f>+BR60*'Capital Structure '!$E$30</f>
        <v>106781.89514906249</v>
      </c>
      <c r="BT60" s="30">
        <f>SUM(BS$5:BS60)</f>
        <v>-741977.21359906078</v>
      </c>
    </row>
    <row r="61" spans="1:72" s="3" customFormat="1">
      <c r="A61" s="7" t="s">
        <v>56</v>
      </c>
      <c r="B61" s="7">
        <f t="shared" si="36"/>
        <v>2014</v>
      </c>
      <c r="C61" s="7" t="s">
        <v>93</v>
      </c>
      <c r="D61" s="56"/>
      <c r="E61" s="30"/>
      <c r="F61" s="31"/>
      <c r="G61" s="56">
        <f t="shared" si="2"/>
        <v>0</v>
      </c>
      <c r="H61" s="56"/>
      <c r="I61" s="56"/>
      <c r="J61" s="56"/>
      <c r="K61" s="56"/>
      <c r="L61" s="30">
        <f t="shared" si="3"/>
        <v>0</v>
      </c>
      <c r="M61" s="30">
        <f>SUM(L$5:L61)</f>
        <v>14060107.470000003</v>
      </c>
      <c r="O61" s="30"/>
      <c r="P61" s="30"/>
      <c r="Q61" s="30"/>
      <c r="R61" s="30"/>
      <c r="S61" s="30"/>
      <c r="T61" s="30"/>
      <c r="U61" s="30"/>
      <c r="V61" s="30"/>
      <c r="W61" s="30"/>
      <c r="X61" s="30">
        <f t="shared" si="37"/>
        <v>7623.0489583333328</v>
      </c>
      <c r="Y61" s="30">
        <f t="shared" si="37"/>
        <v>9202.1129166666669</v>
      </c>
      <c r="Z61" s="30">
        <f t="shared" si="37"/>
        <v>9791.3145833333328</v>
      </c>
      <c r="AA61" s="30">
        <f t="shared" si="37"/>
        <v>23098.217291666671</v>
      </c>
      <c r="AB61" s="30">
        <f t="shared" si="37"/>
        <v>36448.779374999998</v>
      </c>
      <c r="AC61" s="30">
        <f t="shared" si="37"/>
        <v>11396.919374999999</v>
      </c>
      <c r="AD61" s="30">
        <f t="shared" si="37"/>
        <v>35958.599791666667</v>
      </c>
      <c r="AE61" s="30">
        <f t="shared" si="37"/>
        <v>34729.126666666671</v>
      </c>
      <c r="AF61" s="30">
        <f t="shared" si="38"/>
        <v>30055.39916666667</v>
      </c>
      <c r="AG61" s="30">
        <f t="shared" si="38"/>
        <v>22011.053541666668</v>
      </c>
      <c r="AH61" s="30">
        <f t="shared" si="38"/>
        <v>14206.785833333333</v>
      </c>
      <c r="AI61" s="30">
        <f t="shared" si="39"/>
        <v>6263.8552083333334</v>
      </c>
      <c r="AJ61" s="30">
        <f t="shared" si="39"/>
        <v>6143.7895833333341</v>
      </c>
      <c r="AK61" s="30">
        <f t="shared" si="39"/>
        <v>6175.9768750000003</v>
      </c>
      <c r="AL61" s="30">
        <f t="shared" si="31"/>
        <v>253104.97916666669</v>
      </c>
      <c r="AM61" s="30">
        <f>SUM(AL$5:AL61)</f>
        <v>12496866.761041667</v>
      </c>
      <c r="AN61" s="30">
        <f t="shared" si="4"/>
        <v>1563240.7089583352</v>
      </c>
      <c r="AO61" s="30">
        <f t="shared" si="13"/>
        <v>1816345.6881250013</v>
      </c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>
        <f t="shared" si="30"/>
        <v>0</v>
      </c>
      <c r="BP61" s="22">
        <f t="shared" si="5"/>
        <v>0</v>
      </c>
      <c r="BQ61" s="22">
        <f t="shared" si="6"/>
        <v>253104.97916666669</v>
      </c>
      <c r="BR61" s="30">
        <f t="shared" si="7"/>
        <v>253104.97916666669</v>
      </c>
      <c r="BS61" s="30">
        <f>+BR61*'Capital Structure '!$E$30</f>
        <v>103393.38398958334</v>
      </c>
      <c r="BT61" s="30">
        <f>SUM(BS$5:BS61)</f>
        <v>-638583.82960947743</v>
      </c>
    </row>
    <row r="62" spans="1:72" s="3" customFormat="1">
      <c r="A62" s="7" t="s">
        <v>57</v>
      </c>
      <c r="B62" s="7">
        <f t="shared" si="36"/>
        <v>2014</v>
      </c>
      <c r="C62" s="7" t="s">
        <v>93</v>
      </c>
      <c r="D62" s="56"/>
      <c r="E62" s="30"/>
      <c r="F62" s="31"/>
      <c r="G62" s="56">
        <f t="shared" si="2"/>
        <v>0</v>
      </c>
      <c r="H62" s="56"/>
      <c r="I62" s="56"/>
      <c r="J62" s="56"/>
      <c r="K62" s="56"/>
      <c r="L62" s="30">
        <f t="shared" si="3"/>
        <v>0</v>
      </c>
      <c r="M62" s="30">
        <f>SUM(L$5:L62)</f>
        <v>14060107.470000003</v>
      </c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>
        <f t="shared" si="37"/>
        <v>9202.1129166666669</v>
      </c>
      <c r="Z62" s="30">
        <f t="shared" si="37"/>
        <v>9791.3145833333328</v>
      </c>
      <c r="AA62" s="30">
        <f t="shared" si="37"/>
        <v>23098.217291666671</v>
      </c>
      <c r="AB62" s="30">
        <f t="shared" si="37"/>
        <v>36448.779374999998</v>
      </c>
      <c r="AC62" s="30">
        <f t="shared" si="37"/>
        <v>11396.919374999999</v>
      </c>
      <c r="AD62" s="30">
        <f t="shared" si="37"/>
        <v>35958.599791666667</v>
      </c>
      <c r="AE62" s="30">
        <f t="shared" si="37"/>
        <v>34729.126666666671</v>
      </c>
      <c r="AF62" s="30">
        <f t="shared" si="38"/>
        <v>30055.39916666667</v>
      </c>
      <c r="AG62" s="30">
        <f t="shared" si="38"/>
        <v>22011.053541666668</v>
      </c>
      <c r="AH62" s="30">
        <f t="shared" si="38"/>
        <v>14206.785833333333</v>
      </c>
      <c r="AI62" s="30">
        <f t="shared" si="39"/>
        <v>6263.8552083333334</v>
      </c>
      <c r="AJ62" s="30">
        <f t="shared" si="39"/>
        <v>6143.7895833333341</v>
      </c>
      <c r="AK62" s="30">
        <f t="shared" si="39"/>
        <v>6175.9768750000003</v>
      </c>
      <c r="AL62" s="30">
        <f t="shared" si="31"/>
        <v>245481.9302083333</v>
      </c>
      <c r="AM62" s="30">
        <f>SUM(AL$5:AL62)</f>
        <v>12742348.69125</v>
      </c>
      <c r="AN62" s="30">
        <f t="shared" si="4"/>
        <v>1317758.7787500024</v>
      </c>
      <c r="AO62" s="30">
        <f t="shared" si="13"/>
        <v>1563240.7089583352</v>
      </c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>
        <f t="shared" si="30"/>
        <v>0</v>
      </c>
      <c r="BP62" s="22">
        <f t="shared" si="5"/>
        <v>0</v>
      </c>
      <c r="BQ62" s="22">
        <f t="shared" si="6"/>
        <v>245481.9302083333</v>
      </c>
      <c r="BR62" s="30">
        <f t="shared" si="7"/>
        <v>245481.9302083333</v>
      </c>
      <c r="BS62" s="30">
        <f>+BR62*'Capital Structure '!$E$30</f>
        <v>100279.36849010414</v>
      </c>
      <c r="BT62" s="30">
        <f>SUM(BS$5:BS62)</f>
        <v>-538304.46111937333</v>
      </c>
    </row>
    <row r="63" spans="1:72" s="3" customFormat="1">
      <c r="A63" s="7" t="s">
        <v>58</v>
      </c>
      <c r="B63" s="7">
        <f t="shared" si="36"/>
        <v>2014</v>
      </c>
      <c r="C63" s="7" t="s">
        <v>93</v>
      </c>
      <c r="D63" s="56"/>
      <c r="E63" s="30"/>
      <c r="F63" s="31"/>
      <c r="G63" s="56">
        <f t="shared" si="2"/>
        <v>0</v>
      </c>
      <c r="H63" s="56"/>
      <c r="I63" s="56"/>
      <c r="J63" s="56"/>
      <c r="K63" s="56"/>
      <c r="L63" s="30">
        <f t="shared" si="3"/>
        <v>0</v>
      </c>
      <c r="M63" s="30">
        <f>SUM(L$5:L63)</f>
        <v>14060107.470000003</v>
      </c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>
        <f t="shared" si="37"/>
        <v>9791.3145833333328</v>
      </c>
      <c r="AA63" s="30">
        <f t="shared" si="37"/>
        <v>23098.217291666671</v>
      </c>
      <c r="AB63" s="30">
        <f t="shared" si="37"/>
        <v>36448.779374999998</v>
      </c>
      <c r="AC63" s="30">
        <f t="shared" si="37"/>
        <v>11396.919374999999</v>
      </c>
      <c r="AD63" s="30">
        <f t="shared" si="37"/>
        <v>35958.599791666667</v>
      </c>
      <c r="AE63" s="30">
        <f t="shared" si="37"/>
        <v>34729.126666666671</v>
      </c>
      <c r="AF63" s="30">
        <f t="shared" si="38"/>
        <v>30055.39916666667</v>
      </c>
      <c r="AG63" s="30">
        <f t="shared" si="38"/>
        <v>22011.053541666668</v>
      </c>
      <c r="AH63" s="30">
        <f t="shared" si="38"/>
        <v>14206.785833333333</v>
      </c>
      <c r="AI63" s="30">
        <f t="shared" si="39"/>
        <v>6263.8552083333334</v>
      </c>
      <c r="AJ63" s="30">
        <f t="shared" si="39"/>
        <v>6143.7895833333341</v>
      </c>
      <c r="AK63" s="30">
        <f t="shared" si="39"/>
        <v>6175.9768750000003</v>
      </c>
      <c r="AL63" s="30">
        <f t="shared" si="31"/>
        <v>236279.81729166664</v>
      </c>
      <c r="AM63" s="30">
        <f>SUM(AL$5:AL63)</f>
        <v>12978628.508541666</v>
      </c>
      <c r="AN63" s="30">
        <f t="shared" si="4"/>
        <v>1081478.9614583366</v>
      </c>
      <c r="AO63" s="30">
        <f t="shared" si="13"/>
        <v>1317758.7787500024</v>
      </c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>
        <f t="shared" si="30"/>
        <v>0</v>
      </c>
      <c r="BP63" s="22">
        <f t="shared" si="5"/>
        <v>0</v>
      </c>
      <c r="BQ63" s="22">
        <f t="shared" si="6"/>
        <v>236279.81729166664</v>
      </c>
      <c r="BR63" s="30">
        <f t="shared" si="7"/>
        <v>236279.81729166664</v>
      </c>
      <c r="BS63" s="30">
        <f>+BR63*'Capital Structure '!$E$30</f>
        <v>96520.305363645821</v>
      </c>
      <c r="BT63" s="30">
        <f>SUM(BS$5:BS63)</f>
        <v>-441784.15575572749</v>
      </c>
    </row>
    <row r="64" spans="1:72" s="3" customFormat="1">
      <c r="A64" s="7" t="s">
        <v>59</v>
      </c>
      <c r="B64" s="7">
        <f t="shared" si="36"/>
        <v>2014</v>
      </c>
      <c r="C64" s="7" t="s">
        <v>93</v>
      </c>
      <c r="D64" s="56"/>
      <c r="E64" s="30"/>
      <c r="F64" s="31"/>
      <c r="G64" s="56">
        <f t="shared" si="2"/>
        <v>0</v>
      </c>
      <c r="H64" s="56"/>
      <c r="I64" s="56"/>
      <c r="J64" s="56"/>
      <c r="K64" s="56"/>
      <c r="L64" s="30">
        <f t="shared" si="3"/>
        <v>0</v>
      </c>
      <c r="M64" s="30">
        <f>SUM(L$5:L64)</f>
        <v>14060107.470000003</v>
      </c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>
        <f t="shared" si="37"/>
        <v>23098.217291666671</v>
      </c>
      <c r="AB64" s="30">
        <f t="shared" si="37"/>
        <v>36448.779374999998</v>
      </c>
      <c r="AC64" s="30">
        <f t="shared" si="37"/>
        <v>11396.919374999999</v>
      </c>
      <c r="AD64" s="30">
        <f t="shared" si="37"/>
        <v>35958.599791666667</v>
      </c>
      <c r="AE64" s="30">
        <f t="shared" si="37"/>
        <v>34729.126666666671</v>
      </c>
      <c r="AF64" s="30">
        <f t="shared" si="38"/>
        <v>30055.39916666667</v>
      </c>
      <c r="AG64" s="30">
        <f t="shared" si="38"/>
        <v>22011.053541666668</v>
      </c>
      <c r="AH64" s="30">
        <f t="shared" si="38"/>
        <v>14206.785833333333</v>
      </c>
      <c r="AI64" s="30">
        <f t="shared" si="39"/>
        <v>6263.8552083333334</v>
      </c>
      <c r="AJ64" s="30">
        <f t="shared" si="39"/>
        <v>6143.7895833333341</v>
      </c>
      <c r="AK64" s="30">
        <f t="shared" si="39"/>
        <v>6175.9768750000003</v>
      </c>
      <c r="AL64" s="30">
        <f t="shared" si="31"/>
        <v>226488.50270833331</v>
      </c>
      <c r="AM64" s="30">
        <f>SUM(AL$5:AL64)</f>
        <v>13205117.011249999</v>
      </c>
      <c r="AN64" s="30">
        <f t="shared" si="4"/>
        <v>854990.45875000395</v>
      </c>
      <c r="AO64" s="30">
        <f t="shared" si="13"/>
        <v>1081478.9614583366</v>
      </c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>
        <f t="shared" si="30"/>
        <v>0</v>
      </c>
      <c r="BP64" s="22">
        <f t="shared" si="5"/>
        <v>0</v>
      </c>
      <c r="BQ64" s="22">
        <f t="shared" si="6"/>
        <v>226488.50270833331</v>
      </c>
      <c r="BR64" s="30">
        <f t="shared" si="7"/>
        <v>226488.50270833331</v>
      </c>
      <c r="BS64" s="30">
        <f>+BR64*'Capital Structure '!$E$30</f>
        <v>92520.553356354154</v>
      </c>
      <c r="BT64" s="30">
        <f>SUM(BS$5:BS64)</f>
        <v>-349263.60239937331</v>
      </c>
    </row>
    <row r="65" spans="1:72" s="3" customFormat="1" ht="11.25" customHeight="1">
      <c r="A65" s="7" t="s">
        <v>46</v>
      </c>
      <c r="B65" s="7">
        <f t="shared" si="36"/>
        <v>2014</v>
      </c>
      <c r="C65" s="7" t="s">
        <v>93</v>
      </c>
      <c r="D65" s="56"/>
      <c r="E65" s="30"/>
      <c r="F65" s="31"/>
      <c r="G65" s="56">
        <f t="shared" si="2"/>
        <v>0</v>
      </c>
      <c r="H65" s="56"/>
      <c r="I65" s="56"/>
      <c r="J65" s="56"/>
      <c r="K65" s="56"/>
      <c r="L65" s="30">
        <f t="shared" si="3"/>
        <v>0</v>
      </c>
      <c r="M65" s="30">
        <f>SUM(L$5:L65)</f>
        <v>14060107.470000003</v>
      </c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>
        <f t="shared" si="37"/>
        <v>36448.779374999998</v>
      </c>
      <c r="AC65" s="30">
        <f t="shared" si="37"/>
        <v>11396.919374999999</v>
      </c>
      <c r="AD65" s="30">
        <f t="shared" si="37"/>
        <v>35958.599791666667</v>
      </c>
      <c r="AE65" s="30">
        <f t="shared" si="37"/>
        <v>34729.126666666671</v>
      </c>
      <c r="AF65" s="30">
        <f t="shared" si="38"/>
        <v>30055.39916666667</v>
      </c>
      <c r="AG65" s="30">
        <f t="shared" si="38"/>
        <v>22011.053541666668</v>
      </c>
      <c r="AH65" s="30">
        <f t="shared" si="38"/>
        <v>14206.785833333333</v>
      </c>
      <c r="AI65" s="30">
        <f t="shared" si="39"/>
        <v>6263.8552083333334</v>
      </c>
      <c r="AJ65" s="30">
        <f t="shared" si="39"/>
        <v>6143.7895833333341</v>
      </c>
      <c r="AK65" s="30">
        <f t="shared" si="39"/>
        <v>6175.9768750000003</v>
      </c>
      <c r="AL65" s="30">
        <f t="shared" si="31"/>
        <v>203390.28541666665</v>
      </c>
      <c r="AM65" s="30">
        <f>SUM(AL$5:AL65)</f>
        <v>13408507.296666665</v>
      </c>
      <c r="AN65" s="30">
        <f t="shared" si="4"/>
        <v>651600.17333333753</v>
      </c>
      <c r="AO65" s="30">
        <f t="shared" si="13"/>
        <v>854990.45875000395</v>
      </c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>
        <f t="shared" si="30"/>
        <v>0</v>
      </c>
      <c r="BP65" s="22">
        <f t="shared" si="5"/>
        <v>0</v>
      </c>
      <c r="BQ65" s="22">
        <f t="shared" si="6"/>
        <v>203390.28541666665</v>
      </c>
      <c r="BR65" s="30">
        <f t="shared" si="7"/>
        <v>203390.28541666665</v>
      </c>
      <c r="BS65" s="30">
        <f>+BR65*'Capital Structure '!$E$30</f>
        <v>83084.931592708323</v>
      </c>
      <c r="BT65" s="30">
        <f>SUM(BS$5:BS65)</f>
        <v>-266178.67080666497</v>
      </c>
    </row>
    <row r="66" spans="1:72" s="3" customFormat="1">
      <c r="A66" s="7" t="s">
        <v>48</v>
      </c>
      <c r="B66" s="7">
        <f t="shared" si="36"/>
        <v>2014</v>
      </c>
      <c r="C66" s="73" t="s">
        <v>93</v>
      </c>
      <c r="D66" s="56"/>
      <c r="E66" s="30"/>
      <c r="F66" s="31"/>
      <c r="G66" s="56">
        <f t="shared" si="2"/>
        <v>0</v>
      </c>
      <c r="H66" s="56"/>
      <c r="I66" s="56"/>
      <c r="J66" s="56"/>
      <c r="K66" s="56"/>
      <c r="L66" s="30">
        <f t="shared" si="3"/>
        <v>0</v>
      </c>
      <c r="M66" s="30">
        <f>SUM(L$5:L66)</f>
        <v>14060107.470000003</v>
      </c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>
        <f t="shared" si="37"/>
        <v>11396.919374999999</v>
      </c>
      <c r="AD66" s="30">
        <f t="shared" si="37"/>
        <v>35958.599791666667</v>
      </c>
      <c r="AE66" s="30">
        <f t="shared" si="37"/>
        <v>34729.126666666671</v>
      </c>
      <c r="AF66" s="30">
        <f t="shared" si="38"/>
        <v>30055.39916666667</v>
      </c>
      <c r="AG66" s="30">
        <f t="shared" si="38"/>
        <v>22011.053541666668</v>
      </c>
      <c r="AH66" s="30">
        <f t="shared" si="38"/>
        <v>14206.785833333333</v>
      </c>
      <c r="AI66" s="30">
        <f t="shared" si="39"/>
        <v>6263.8552083333334</v>
      </c>
      <c r="AJ66" s="30">
        <f t="shared" si="39"/>
        <v>6143.7895833333341</v>
      </c>
      <c r="AK66" s="30">
        <f t="shared" si="39"/>
        <v>6175.9768750000003</v>
      </c>
      <c r="AL66" s="30">
        <f t="shared" si="31"/>
        <v>166941.50604166667</v>
      </c>
      <c r="AM66" s="30">
        <f>SUM(AL$5:AL66)</f>
        <v>13575448.802708331</v>
      </c>
      <c r="AN66" s="30">
        <f t="shared" si="4"/>
        <v>484658.66729167104</v>
      </c>
      <c r="AO66" s="30">
        <f t="shared" si="13"/>
        <v>651600.17333333753</v>
      </c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>
        <f t="shared" si="30"/>
        <v>0</v>
      </c>
      <c r="BP66" s="22">
        <f t="shared" si="5"/>
        <v>0</v>
      </c>
      <c r="BQ66" s="22">
        <f t="shared" si="6"/>
        <v>166941.50604166667</v>
      </c>
      <c r="BR66" s="30">
        <f t="shared" si="7"/>
        <v>166941.50604166667</v>
      </c>
      <c r="BS66" s="30">
        <f>+BR66*'Capital Structure '!$E$30</f>
        <v>68195.605218020835</v>
      </c>
      <c r="BT66" s="30">
        <f>SUM(BS$5:BS66)</f>
        <v>-197983.06558864412</v>
      </c>
    </row>
    <row r="67" spans="1:72" s="3" customFormat="1">
      <c r="A67" s="7" t="s">
        <v>50</v>
      </c>
      <c r="B67" s="7">
        <f t="shared" si="36"/>
        <v>2014</v>
      </c>
      <c r="C67" s="73" t="s">
        <v>93</v>
      </c>
      <c r="D67" s="56"/>
      <c r="E67" s="30"/>
      <c r="F67" s="31"/>
      <c r="G67" s="56">
        <f>SUM(D67:F67)</f>
        <v>0</v>
      </c>
      <c r="H67" s="56"/>
      <c r="I67" s="56"/>
      <c r="J67" s="56"/>
      <c r="K67" s="56"/>
      <c r="L67" s="30">
        <f>SUM(G67:J67)</f>
        <v>0</v>
      </c>
      <c r="M67" s="30">
        <f>SUM(L$5:L67)</f>
        <v>14060107.470000003</v>
      </c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>
        <f>+AD66</f>
        <v>35958.599791666667</v>
      </c>
      <c r="AE67" s="30">
        <f t="shared" si="37"/>
        <v>34729.126666666671</v>
      </c>
      <c r="AF67" s="30">
        <f t="shared" si="38"/>
        <v>30055.39916666667</v>
      </c>
      <c r="AG67" s="30">
        <f t="shared" si="38"/>
        <v>22011.053541666668</v>
      </c>
      <c r="AH67" s="30">
        <f t="shared" si="38"/>
        <v>14206.785833333333</v>
      </c>
      <c r="AI67" s="30">
        <f t="shared" si="39"/>
        <v>6263.8552083333334</v>
      </c>
      <c r="AJ67" s="30">
        <f t="shared" si="39"/>
        <v>6143.7895833333341</v>
      </c>
      <c r="AK67" s="30">
        <f t="shared" si="39"/>
        <v>6175.9768750000003</v>
      </c>
      <c r="AL67" s="30">
        <f t="shared" si="31"/>
        <v>155544.58666666667</v>
      </c>
      <c r="AM67" s="30">
        <f>SUM(AL$5:AL67)</f>
        <v>13730993.389374997</v>
      </c>
      <c r="AN67" s="30">
        <f t="shared" si="4"/>
        <v>329114.08062500507</v>
      </c>
      <c r="AO67" s="30">
        <f t="shared" si="13"/>
        <v>484658.66729167104</v>
      </c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>
        <f t="shared" si="30"/>
        <v>0</v>
      </c>
      <c r="BP67" s="22">
        <f>+BN67</f>
        <v>0</v>
      </c>
      <c r="BQ67" s="22">
        <f t="shared" si="6"/>
        <v>155544.58666666667</v>
      </c>
      <c r="BR67" s="30">
        <f t="shared" si="7"/>
        <v>155544.58666666667</v>
      </c>
      <c r="BS67" s="30">
        <f>+BR67*'Capital Structure '!$E$30</f>
        <v>63539.963653333332</v>
      </c>
      <c r="BT67" s="30">
        <f>SUM(BS$5:BS67)</f>
        <v>-134443.10193531078</v>
      </c>
    </row>
    <row r="68" spans="1:72" s="3" customFormat="1">
      <c r="A68" s="7" t="s">
        <v>51</v>
      </c>
      <c r="B68" s="7">
        <f t="shared" si="36"/>
        <v>2014</v>
      </c>
      <c r="C68" s="7" t="s">
        <v>93</v>
      </c>
      <c r="D68" s="56"/>
      <c r="E68" s="30"/>
      <c r="F68" s="31"/>
      <c r="G68" s="56">
        <f>SUM(D68:F68)</f>
        <v>0</v>
      </c>
      <c r="H68" s="56"/>
      <c r="I68" s="56"/>
      <c r="J68" s="56"/>
      <c r="K68" s="56"/>
      <c r="L68" s="30">
        <f>SUM(G68:J68)</f>
        <v>0</v>
      </c>
      <c r="M68" s="30">
        <f>SUM(L$5:L68)</f>
        <v>14060107.470000003</v>
      </c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>
        <f>+AE67</f>
        <v>34729.126666666671</v>
      </c>
      <c r="AF68" s="30">
        <f t="shared" si="38"/>
        <v>30055.39916666667</v>
      </c>
      <c r="AG68" s="30">
        <f t="shared" si="38"/>
        <v>22011.053541666668</v>
      </c>
      <c r="AH68" s="30">
        <f t="shared" si="38"/>
        <v>14206.785833333333</v>
      </c>
      <c r="AI68" s="30">
        <f t="shared" si="39"/>
        <v>6263.8552083333334</v>
      </c>
      <c r="AJ68" s="30">
        <f t="shared" si="39"/>
        <v>6143.7895833333341</v>
      </c>
      <c r="AK68" s="30">
        <f t="shared" si="39"/>
        <v>6175.9768750000003</v>
      </c>
      <c r="AL68" s="30">
        <f t="shared" si="31"/>
        <v>119585.986875</v>
      </c>
      <c r="AM68" s="30">
        <f>SUM(AL$5:AL68)</f>
        <v>13850579.376249997</v>
      </c>
      <c r="AN68" s="30">
        <f t="shared" si="4"/>
        <v>209528.09375000559</v>
      </c>
      <c r="AO68" s="30">
        <f t="shared" si="13"/>
        <v>329114.08062500507</v>
      </c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>
        <f t="shared" si="30"/>
        <v>0</v>
      </c>
      <c r="BP68" s="22">
        <f>+BN68</f>
        <v>0</v>
      </c>
      <c r="BQ68" s="22">
        <f t="shared" si="6"/>
        <v>119585.986875</v>
      </c>
      <c r="BR68" s="30">
        <f t="shared" si="7"/>
        <v>119585.986875</v>
      </c>
      <c r="BS68" s="30">
        <f>+BR68*'Capital Structure '!$E$30</f>
        <v>48850.875638437501</v>
      </c>
      <c r="BT68" s="30">
        <f>SUM(BS$5:BS68)</f>
        <v>-85592.226296873283</v>
      </c>
    </row>
    <row r="69" spans="1:72" s="3" customFormat="1">
      <c r="A69" s="7" t="s">
        <v>52</v>
      </c>
      <c r="B69" s="7">
        <f t="shared" si="36"/>
        <v>2014</v>
      </c>
      <c r="C69" s="7" t="s">
        <v>93</v>
      </c>
      <c r="D69" s="56"/>
      <c r="E69" s="30"/>
      <c r="F69" s="31"/>
      <c r="G69" s="56">
        <f>SUM(D69:F69)</f>
        <v>0</v>
      </c>
      <c r="H69" s="56"/>
      <c r="I69" s="56"/>
      <c r="J69" s="56"/>
      <c r="K69" s="56"/>
      <c r="L69" s="30">
        <f>SUM(G69:J69)</f>
        <v>0</v>
      </c>
      <c r="M69" s="30">
        <f>SUM(L$5:L69)</f>
        <v>14060107.470000003</v>
      </c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>
        <f t="shared" si="38"/>
        <v>30055.39916666667</v>
      </c>
      <c r="AG69" s="30">
        <f t="shared" si="38"/>
        <v>22011.053541666668</v>
      </c>
      <c r="AH69" s="30">
        <f t="shared" si="38"/>
        <v>14206.785833333333</v>
      </c>
      <c r="AI69" s="30">
        <f t="shared" si="39"/>
        <v>6263.8552083333334</v>
      </c>
      <c r="AJ69" s="30">
        <f t="shared" si="39"/>
        <v>6143.7895833333341</v>
      </c>
      <c r="AK69" s="30">
        <f t="shared" si="39"/>
        <v>6175.9768750000003</v>
      </c>
      <c r="AL69" s="30">
        <f t="shared" si="31"/>
        <v>84856.860208333324</v>
      </c>
      <c r="AM69" s="30">
        <f>SUM(AL$5:AL69)</f>
        <v>13935436.236458329</v>
      </c>
      <c r="AN69" s="30">
        <f t="shared" ref="AN69:AN74" si="40">+M69-AM69</f>
        <v>124671.23354167305</v>
      </c>
      <c r="AO69" s="30">
        <f t="shared" si="13"/>
        <v>209528.09375000559</v>
      </c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>
        <f t="shared" si="30"/>
        <v>0</v>
      </c>
      <c r="BP69" s="22">
        <f>+BN69</f>
        <v>0</v>
      </c>
      <c r="BQ69" s="22">
        <f t="shared" ref="BQ69:BQ74" si="41">+AL69</f>
        <v>84856.860208333324</v>
      </c>
      <c r="BR69" s="30">
        <f t="shared" ref="BR69:BR74" si="42">+BQ69-BP69</f>
        <v>84856.860208333324</v>
      </c>
      <c r="BS69" s="30">
        <f>+BR69*'Capital Structure '!$E$30</f>
        <v>34664.02739510416</v>
      </c>
      <c r="BT69" s="30">
        <f>SUM(BS$5:BS69)</f>
        <v>-50928.198901769123</v>
      </c>
    </row>
    <row r="70" spans="1:72" s="3" customFormat="1">
      <c r="A70" s="7" t="s">
        <v>53</v>
      </c>
      <c r="B70" s="7">
        <f>+B69+1</f>
        <v>2015</v>
      </c>
      <c r="C70" s="7" t="s">
        <v>93</v>
      </c>
      <c r="D70" s="56"/>
      <c r="E70" s="30"/>
      <c r="F70" s="31"/>
      <c r="G70" s="56">
        <f>SUM(D70:F70)</f>
        <v>0</v>
      </c>
      <c r="H70" s="56"/>
      <c r="I70" s="56"/>
      <c r="J70" s="56"/>
      <c r="K70" s="56"/>
      <c r="L70" s="30">
        <f>SUM(G70:J70)</f>
        <v>0</v>
      </c>
      <c r="M70" s="30">
        <f>SUM(L$5:L70)</f>
        <v>14060107.470000003</v>
      </c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>
        <f t="shared" si="38"/>
        <v>22011.053541666668</v>
      </c>
      <c r="AH70" s="30">
        <f t="shared" si="38"/>
        <v>14206.785833333333</v>
      </c>
      <c r="AI70" s="30">
        <f t="shared" si="39"/>
        <v>6263.8552083333334</v>
      </c>
      <c r="AJ70" s="30">
        <f t="shared" si="39"/>
        <v>6143.7895833333341</v>
      </c>
      <c r="AK70" s="30">
        <f t="shared" si="39"/>
        <v>6175.9768750000003</v>
      </c>
      <c r="AL70" s="30">
        <f t="shared" si="31"/>
        <v>54801.461041666669</v>
      </c>
      <c r="AM70" s="30">
        <f>SUM(AL$5:AL70)</f>
        <v>13990237.697499996</v>
      </c>
      <c r="AN70" s="30">
        <f t="shared" si="40"/>
        <v>69869.772500006482</v>
      </c>
      <c r="AO70" s="30">
        <f t="shared" si="13"/>
        <v>124671.23354167305</v>
      </c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>
        <f t="shared" si="30"/>
        <v>0</v>
      </c>
      <c r="BP70" s="22">
        <f>+BN70</f>
        <v>0</v>
      </c>
      <c r="BQ70" s="22">
        <f t="shared" si="41"/>
        <v>54801.461041666669</v>
      </c>
      <c r="BR70" s="30">
        <f t="shared" si="42"/>
        <v>54801.461041666669</v>
      </c>
      <c r="BS70" s="30">
        <f>+BR70*'Capital Structure '!$E$30</f>
        <v>22386.396835520834</v>
      </c>
      <c r="BT70" s="30">
        <f>SUM(BS$5:BS70)</f>
        <v>-28541.802066248289</v>
      </c>
    </row>
    <row r="71" spans="1:72" s="3" customFormat="1">
      <c r="A71" s="7" t="s">
        <v>54</v>
      </c>
      <c r="B71" s="7">
        <f t="shared" si="36"/>
        <v>2015</v>
      </c>
      <c r="C71" s="7" t="s">
        <v>93</v>
      </c>
      <c r="D71" s="56"/>
      <c r="E71" s="30"/>
      <c r="F71" s="31"/>
      <c r="G71" s="56">
        <f>SUM(D71:F71)</f>
        <v>0</v>
      </c>
      <c r="H71" s="56"/>
      <c r="I71" s="56"/>
      <c r="J71" s="56"/>
      <c r="K71" s="56"/>
      <c r="L71" s="30">
        <f>SUM(G71:J71)</f>
        <v>0</v>
      </c>
      <c r="M71" s="30">
        <f>SUM(L$5:L71)</f>
        <v>14060107.470000003</v>
      </c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>
        <f t="shared" si="38"/>
        <v>14206.785833333333</v>
      </c>
      <c r="AI71" s="30">
        <f t="shared" si="39"/>
        <v>6263.8552083333334</v>
      </c>
      <c r="AJ71" s="30">
        <f t="shared" si="39"/>
        <v>6143.7895833333341</v>
      </c>
      <c r="AK71" s="30">
        <f t="shared" si="39"/>
        <v>6175.9768750000003</v>
      </c>
      <c r="AL71" s="30">
        <f t="shared" si="31"/>
        <v>32790.407500000001</v>
      </c>
      <c r="AM71" s="30">
        <f>SUM(AL$5:AL71)</f>
        <v>14023028.104999997</v>
      </c>
      <c r="AN71" s="30">
        <f t="shared" si="40"/>
        <v>37079.365000005811</v>
      </c>
      <c r="AO71" s="30">
        <f t="shared" si="13"/>
        <v>69869.772500006482</v>
      </c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>
        <f t="shared" si="30"/>
        <v>0</v>
      </c>
      <c r="BP71" s="22">
        <f>+BN71</f>
        <v>0</v>
      </c>
      <c r="BQ71" s="22">
        <f t="shared" si="41"/>
        <v>32790.407500000001</v>
      </c>
      <c r="BR71" s="30">
        <f t="shared" si="42"/>
        <v>32790.407500000001</v>
      </c>
      <c r="BS71" s="30">
        <f>+BR71*'Capital Structure '!$E$30</f>
        <v>13394.88146375</v>
      </c>
      <c r="BT71" s="30">
        <f>SUM(BS$5:BS71)</f>
        <v>-15146.920602498289</v>
      </c>
    </row>
    <row r="72" spans="1:72" s="3" customFormat="1">
      <c r="A72" s="7" t="s">
        <v>55</v>
      </c>
      <c r="B72" s="7">
        <f t="shared" si="36"/>
        <v>2015</v>
      </c>
      <c r="C72" s="7" t="s">
        <v>93</v>
      </c>
      <c r="D72" s="56"/>
      <c r="E72" s="30"/>
      <c r="F72" s="31"/>
      <c r="G72" s="56"/>
      <c r="H72" s="56"/>
      <c r="I72" s="56"/>
      <c r="J72" s="56"/>
      <c r="K72" s="56"/>
      <c r="L72" s="30"/>
      <c r="M72" s="30">
        <f>SUM(L$5:L72)</f>
        <v>14060107.470000003</v>
      </c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>
        <f t="shared" si="39"/>
        <v>6263.8552083333334</v>
      </c>
      <c r="AJ72" s="30">
        <f t="shared" si="39"/>
        <v>6143.7895833333341</v>
      </c>
      <c r="AK72" s="30">
        <f t="shared" si="39"/>
        <v>6175.9768750000003</v>
      </c>
      <c r="AL72" s="30">
        <f t="shared" si="31"/>
        <v>18583.621666666666</v>
      </c>
      <c r="AM72" s="30">
        <f>SUM(AL$5:AL72)</f>
        <v>14041611.726666663</v>
      </c>
      <c r="AN72" s="30">
        <f t="shared" si="40"/>
        <v>18495.743333339691</v>
      </c>
      <c r="AO72" s="30">
        <f>+M72-AM71</f>
        <v>37079.365000005811</v>
      </c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P72" s="22"/>
      <c r="BQ72" s="22">
        <f t="shared" si="41"/>
        <v>18583.621666666666</v>
      </c>
      <c r="BR72" s="30">
        <f t="shared" si="42"/>
        <v>18583.621666666666</v>
      </c>
      <c r="BS72" s="30">
        <f>+BR72*'Capital Structure '!$E$30</f>
        <v>7591.4094508333328</v>
      </c>
      <c r="BT72" s="30">
        <f>SUM(BS$5:BS72)</f>
        <v>-7555.5111516649558</v>
      </c>
    </row>
    <row r="73" spans="1:72" s="3" customFormat="1">
      <c r="A73" s="7" t="s">
        <v>56</v>
      </c>
      <c r="B73" s="7">
        <f t="shared" si="36"/>
        <v>2015</v>
      </c>
      <c r="C73" s="7" t="s">
        <v>93</v>
      </c>
      <c r="D73" s="56"/>
      <c r="E73" s="30"/>
      <c r="F73" s="31"/>
      <c r="G73" s="56"/>
      <c r="H73" s="56"/>
      <c r="I73" s="56"/>
      <c r="J73" s="56"/>
      <c r="K73" s="56"/>
      <c r="L73" s="30"/>
      <c r="M73" s="30">
        <f>SUM(L$5:L73)</f>
        <v>14060107.470000003</v>
      </c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>
        <f t="shared" si="39"/>
        <v>6143.7895833333341</v>
      </c>
      <c r="AK73" s="30">
        <f>AK72</f>
        <v>6175.9768750000003</v>
      </c>
      <c r="AL73" s="30">
        <f t="shared" si="31"/>
        <v>12319.766458333335</v>
      </c>
      <c r="AM73" s="30">
        <f>SUM(AL$5:AL73)</f>
        <v>14053931.493124995</v>
      </c>
      <c r="AN73" s="30">
        <f t="shared" si="40"/>
        <v>6175.9768750071526</v>
      </c>
      <c r="AO73" s="30">
        <f>+M73-AM72</f>
        <v>18495.743333339691</v>
      </c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P73" s="22"/>
      <c r="BQ73" s="22">
        <f t="shared" si="41"/>
        <v>12319.766458333335</v>
      </c>
      <c r="BR73" s="30">
        <f t="shared" si="42"/>
        <v>12319.766458333335</v>
      </c>
      <c r="BS73" s="30">
        <f>+BR73*'Capital Structure '!$E$30</f>
        <v>5032.6245982291675</v>
      </c>
      <c r="BT73" s="30">
        <f>SUM(BS$5:BS73)</f>
        <v>-2522.8865534357883</v>
      </c>
    </row>
    <row r="74" spans="1:72" s="46" customFormat="1">
      <c r="A74" s="74" t="s">
        <v>57</v>
      </c>
      <c r="B74" s="74">
        <f t="shared" si="36"/>
        <v>2015</v>
      </c>
      <c r="C74" s="74" t="s">
        <v>93</v>
      </c>
      <c r="D74" s="75"/>
      <c r="E74" s="76"/>
      <c r="F74" s="77"/>
      <c r="G74" s="75"/>
      <c r="H74" s="75"/>
      <c r="I74" s="75"/>
      <c r="J74" s="75"/>
      <c r="K74" s="75"/>
      <c r="L74" s="76"/>
      <c r="M74" s="76">
        <f>SUM(L$5:L74)</f>
        <v>14060107.470000003</v>
      </c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>
        <f>AK73</f>
        <v>6175.9768750000003</v>
      </c>
      <c r="AL74" s="76">
        <f t="shared" si="31"/>
        <v>6175.9768750000003</v>
      </c>
      <c r="AM74" s="76">
        <f>SUM(AL$5:AL74)</f>
        <v>14060107.469999995</v>
      </c>
      <c r="AN74" s="76">
        <f t="shared" si="40"/>
        <v>0</v>
      </c>
      <c r="AO74" s="76">
        <f>+M74-AM73</f>
        <v>6175.9768750071526</v>
      </c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P74" s="78"/>
      <c r="BQ74" s="78">
        <f t="shared" si="41"/>
        <v>6175.9768750000003</v>
      </c>
      <c r="BR74" s="76">
        <f t="shared" si="42"/>
        <v>6175.9768750000003</v>
      </c>
      <c r="BS74" s="76">
        <f>+BR74*'Capital Structure '!$E$30</f>
        <v>2522.8865534375</v>
      </c>
      <c r="BT74" s="76">
        <f>SUM(BS$5:BS74)</f>
        <v>1.7116690287366509E-9</v>
      </c>
    </row>
    <row r="75" spans="1:72">
      <c r="D75" s="16"/>
      <c r="E75" s="16"/>
      <c r="F75" s="16"/>
      <c r="G75" s="16"/>
      <c r="H75" s="16"/>
      <c r="I75" s="16"/>
      <c r="J75" s="16"/>
      <c r="K75" s="16"/>
      <c r="L75" s="16"/>
      <c r="M75" s="16"/>
    </row>
    <row r="76" spans="1:72">
      <c r="A76" s="1" t="s">
        <v>69</v>
      </c>
      <c r="D76" s="21">
        <f>SUM(D5:D75)</f>
        <v>0</v>
      </c>
      <c r="E76" s="21">
        <f>SUM(E5:E75)</f>
        <v>5826879.2699999996</v>
      </c>
      <c r="F76" s="21">
        <f>SUM(F5:F75)</f>
        <v>1433788.4300000002</v>
      </c>
      <c r="G76" s="21">
        <f>SUM(G5:G75)</f>
        <v>7260667.7000000002</v>
      </c>
      <c r="H76" s="21"/>
      <c r="I76" s="21">
        <f>SUM(I5:I75)</f>
        <v>6345900</v>
      </c>
      <c r="J76" s="21">
        <f>SUM(J5:J75)</f>
        <v>453539.76999999996</v>
      </c>
      <c r="K76" s="21"/>
      <c r="L76" s="21">
        <f>SUM(L5:L75)</f>
        <v>14060107.470000003</v>
      </c>
      <c r="M76" s="21"/>
      <c r="N76" s="21"/>
      <c r="O76" s="21">
        <f t="shared" ref="O76:AL76" si="43">SUM(O5:O75)</f>
        <v>0</v>
      </c>
      <c r="P76" s="21">
        <f t="shared" si="43"/>
        <v>0</v>
      </c>
      <c r="Q76" s="21">
        <f t="shared" si="43"/>
        <v>59400</v>
      </c>
      <c r="R76" s="21">
        <f t="shared" si="43"/>
        <v>176400</v>
      </c>
      <c r="S76" s="21">
        <f t="shared" si="43"/>
        <v>231163.33000000005</v>
      </c>
      <c r="T76" s="21">
        <f t="shared" si="43"/>
        <v>271446.85999999993</v>
      </c>
      <c r="U76" s="21">
        <f t="shared" si="43"/>
        <v>323906.04999999987</v>
      </c>
      <c r="V76" s="21">
        <f t="shared" si="43"/>
        <v>450591.79999999987</v>
      </c>
      <c r="W76" s="21">
        <f t="shared" si="43"/>
        <v>398160.4300000004</v>
      </c>
      <c r="X76" s="21">
        <f t="shared" si="43"/>
        <v>365906.34999999969</v>
      </c>
      <c r="Y76" s="21">
        <f t="shared" si="43"/>
        <v>441701.42</v>
      </c>
      <c r="Z76" s="21">
        <f t="shared" si="43"/>
        <v>469983.09999999969</v>
      </c>
      <c r="AA76" s="21">
        <f t="shared" si="43"/>
        <v>1108714.43</v>
      </c>
      <c r="AB76" s="21">
        <f t="shared" si="43"/>
        <v>1749541.409999999</v>
      </c>
      <c r="AC76" s="21">
        <f t="shared" si="43"/>
        <v>547052.13</v>
      </c>
      <c r="AD76" s="21">
        <f t="shared" si="43"/>
        <v>1726012.7900000019</v>
      </c>
      <c r="AE76" s="21">
        <f t="shared" si="43"/>
        <v>1666998.0800000012</v>
      </c>
      <c r="AF76" s="21">
        <f t="shared" si="43"/>
        <v>1442659.1600000001</v>
      </c>
      <c r="AG76" s="21">
        <f t="shared" si="43"/>
        <v>1056530.5700000008</v>
      </c>
      <c r="AH76" s="21">
        <f t="shared" si="43"/>
        <v>681925.72000000044</v>
      </c>
      <c r="AI76" s="21">
        <f t="shared" si="43"/>
        <v>300665.04999999981</v>
      </c>
      <c r="AJ76" s="21">
        <f t="shared" si="43"/>
        <v>294901.90000000008</v>
      </c>
      <c r="AK76" s="21">
        <f t="shared" si="43"/>
        <v>296446.88999999978</v>
      </c>
      <c r="AL76" s="21">
        <f t="shared" si="43"/>
        <v>14060107.469999995</v>
      </c>
      <c r="AM76" s="21"/>
      <c r="AN76" s="21"/>
      <c r="AO76" s="21"/>
      <c r="AP76" s="21"/>
      <c r="AQ76" s="21">
        <f t="shared" ref="AQ76:BN76" si="44">SUM(AQ5:AQ75)</f>
        <v>0</v>
      </c>
      <c r="AR76" s="21">
        <f t="shared" si="44"/>
        <v>0</v>
      </c>
      <c r="AS76" s="21">
        <f t="shared" si="44"/>
        <v>59400</v>
      </c>
      <c r="AT76" s="21">
        <f t="shared" si="44"/>
        <v>176400</v>
      </c>
      <c r="AU76" s="21">
        <f t="shared" si="44"/>
        <v>231163.33000000005</v>
      </c>
      <c r="AV76" s="21">
        <f t="shared" si="44"/>
        <v>271446.85999999993</v>
      </c>
      <c r="AW76" s="21">
        <f t="shared" si="44"/>
        <v>323906.05</v>
      </c>
      <c r="AX76" s="21">
        <f t="shared" si="44"/>
        <v>450591.79999999987</v>
      </c>
      <c r="AY76" s="21">
        <f t="shared" si="44"/>
        <v>398160.43</v>
      </c>
      <c r="AZ76" s="21">
        <f t="shared" si="44"/>
        <v>365906.34999999986</v>
      </c>
      <c r="BA76" s="21">
        <f t="shared" si="44"/>
        <v>441701.42</v>
      </c>
      <c r="BB76" s="21">
        <f t="shared" si="44"/>
        <v>469983.09999999986</v>
      </c>
      <c r="BC76" s="21">
        <f t="shared" si="44"/>
        <v>1108714.43</v>
      </c>
      <c r="BD76" s="21">
        <f t="shared" si="44"/>
        <v>1749541.4099999995</v>
      </c>
      <c r="BE76" s="21">
        <f t="shared" si="44"/>
        <v>547052.13</v>
      </c>
      <c r="BF76" s="21">
        <f t="shared" si="44"/>
        <v>1726012.79</v>
      </c>
      <c r="BG76" s="21">
        <f t="shared" si="44"/>
        <v>1666998.0799999998</v>
      </c>
      <c r="BH76" s="21">
        <f>SUM(BH5:BH75)</f>
        <v>1442659.1600000001</v>
      </c>
      <c r="BI76" s="21">
        <f>SUM(BI5:BI75)</f>
        <v>1056530.5699999998</v>
      </c>
      <c r="BJ76" s="21">
        <f>SUM(BJ5:BJ75)</f>
        <v>681925.71999999986</v>
      </c>
      <c r="BK76" s="21"/>
      <c r="BL76" s="21"/>
      <c r="BM76" s="21"/>
      <c r="BN76" s="21">
        <f t="shared" si="44"/>
        <v>14060107.469999999</v>
      </c>
    </row>
    <row r="81" spans="2:12">
      <c r="B81" s="1" t="s">
        <v>70</v>
      </c>
      <c r="D81" s="21">
        <f>SUM(D5:D6)</f>
        <v>0</v>
      </c>
      <c r="E81" s="21">
        <f t="shared" ref="E81:L81" si="45">SUM(E5:E6)</f>
        <v>0</v>
      </c>
      <c r="F81" s="21">
        <f t="shared" si="45"/>
        <v>0</v>
      </c>
      <c r="G81" s="21">
        <f t="shared" si="45"/>
        <v>0</v>
      </c>
      <c r="H81" s="21"/>
      <c r="I81" s="21">
        <f t="shared" si="45"/>
        <v>0</v>
      </c>
      <c r="J81" s="21">
        <f t="shared" si="45"/>
        <v>0</v>
      </c>
      <c r="K81" s="21"/>
      <c r="L81" s="21">
        <f t="shared" si="45"/>
        <v>0</v>
      </c>
    </row>
    <row r="82" spans="2:12">
      <c r="B82" s="1" t="s">
        <v>71</v>
      </c>
      <c r="D82" s="21">
        <f>SUM(D7:D18)</f>
        <v>0</v>
      </c>
      <c r="E82" s="21">
        <f t="shared" ref="E82:L82" si="46">SUM(E7:E18)</f>
        <v>1717800.6099999999</v>
      </c>
      <c r="F82" s="21">
        <f t="shared" si="46"/>
        <v>651714.56999999995</v>
      </c>
      <c r="G82" s="21">
        <f t="shared" si="46"/>
        <v>2369515.1799999997</v>
      </c>
      <c r="H82" s="21"/>
      <c r="I82" s="21">
        <f t="shared" si="46"/>
        <v>3677400</v>
      </c>
      <c r="J82" s="21">
        <f t="shared" si="46"/>
        <v>0</v>
      </c>
      <c r="K82" s="21"/>
      <c r="L82" s="21">
        <f t="shared" si="46"/>
        <v>6046915.1799999997</v>
      </c>
    </row>
    <row r="83" spans="2:12">
      <c r="B83" s="1" t="s">
        <v>72</v>
      </c>
      <c r="D83" s="21">
        <f>SUM(D19:D30)</f>
        <v>0</v>
      </c>
      <c r="E83" s="21">
        <f t="shared" ref="E83:L83" si="47">SUM(E19:E30)</f>
        <v>4109078.66</v>
      </c>
      <c r="F83" s="21">
        <f t="shared" si="47"/>
        <v>782073.86</v>
      </c>
      <c r="G83" s="21">
        <f t="shared" si="47"/>
        <v>4891152.5200000005</v>
      </c>
      <c r="H83" s="21"/>
      <c r="I83" s="21">
        <f t="shared" si="47"/>
        <v>2668500</v>
      </c>
      <c r="J83" s="21">
        <f t="shared" si="47"/>
        <v>453539.76999999996</v>
      </c>
      <c r="K83" s="21"/>
      <c r="L83" s="21">
        <f t="shared" si="47"/>
        <v>8013192.29</v>
      </c>
    </row>
    <row r="84" spans="2:12">
      <c r="B84" s="1" t="s">
        <v>73</v>
      </c>
      <c r="D84" s="21">
        <f>SUM(D31:D42)</f>
        <v>0</v>
      </c>
      <c r="E84" s="21">
        <f t="shared" ref="E84:L84" si="48">SUM(E31:E42)</f>
        <v>0</v>
      </c>
      <c r="F84" s="21">
        <f t="shared" si="48"/>
        <v>0</v>
      </c>
      <c r="G84" s="21">
        <f t="shared" si="48"/>
        <v>0</v>
      </c>
      <c r="H84" s="21"/>
      <c r="I84" s="21">
        <f t="shared" si="48"/>
        <v>0</v>
      </c>
      <c r="J84" s="21">
        <f t="shared" si="48"/>
        <v>0</v>
      </c>
      <c r="K84" s="21"/>
      <c r="L84" s="21">
        <f t="shared" si="48"/>
        <v>0</v>
      </c>
    </row>
    <row r="85" spans="2:12">
      <c r="B85" s="1" t="s">
        <v>74</v>
      </c>
      <c r="D85" s="21">
        <f>SUM(D43:D54)</f>
        <v>0</v>
      </c>
      <c r="E85" s="21">
        <f t="shared" ref="E85:L85" si="49">SUM(E43:E54)</f>
        <v>0</v>
      </c>
      <c r="F85" s="21">
        <f t="shared" si="49"/>
        <v>0</v>
      </c>
      <c r="G85" s="21">
        <f t="shared" si="49"/>
        <v>0</v>
      </c>
      <c r="H85" s="21"/>
      <c r="I85" s="21">
        <f t="shared" si="49"/>
        <v>0</v>
      </c>
      <c r="J85" s="21">
        <f t="shared" si="49"/>
        <v>0</v>
      </c>
      <c r="K85" s="21"/>
      <c r="L85" s="21">
        <f t="shared" si="49"/>
        <v>0</v>
      </c>
    </row>
    <row r="86" spans="2:12">
      <c r="B86" s="1" t="s">
        <v>75</v>
      </c>
      <c r="D86" s="21">
        <f>SUM(D55:D66)</f>
        <v>0</v>
      </c>
      <c r="E86" s="21">
        <f t="shared" ref="E86:L86" si="50">SUM(E55:E66)</f>
        <v>0</v>
      </c>
      <c r="F86" s="21">
        <f t="shared" si="50"/>
        <v>0</v>
      </c>
      <c r="G86" s="21">
        <f t="shared" si="50"/>
        <v>0</v>
      </c>
      <c r="H86" s="21"/>
      <c r="I86" s="21">
        <f t="shared" si="50"/>
        <v>0</v>
      </c>
      <c r="J86" s="21">
        <f t="shared" si="50"/>
        <v>0</v>
      </c>
      <c r="K86" s="21"/>
      <c r="L86" s="21">
        <f t="shared" si="50"/>
        <v>0</v>
      </c>
    </row>
    <row r="87" spans="2:12">
      <c r="B87" s="1" t="s">
        <v>76</v>
      </c>
      <c r="D87" s="21">
        <f>SUM(D67:D68)</f>
        <v>0</v>
      </c>
      <c r="E87" s="21">
        <f t="shared" ref="E87:L87" si="51">SUM(E67:E68)</f>
        <v>0</v>
      </c>
      <c r="F87" s="21">
        <f t="shared" si="51"/>
        <v>0</v>
      </c>
      <c r="G87" s="21">
        <f t="shared" si="51"/>
        <v>0</v>
      </c>
      <c r="H87" s="21"/>
      <c r="I87" s="21">
        <f t="shared" si="51"/>
        <v>0</v>
      </c>
      <c r="J87" s="21">
        <f t="shared" si="51"/>
        <v>0</v>
      </c>
      <c r="K87" s="21"/>
      <c r="L87" s="21">
        <f t="shared" si="51"/>
        <v>0</v>
      </c>
    </row>
  </sheetData>
  <mergeCells count="3">
    <mergeCell ref="D1:L1"/>
    <mergeCell ref="O1:AL1"/>
    <mergeCell ref="AQ1:BN1"/>
  </mergeCells>
  <printOptions horizontalCentered="1" gridLines="1"/>
  <pageMargins left="0" right="0" top="0" bottom="0" header="0.5" footer="0.5"/>
  <pageSetup scale="25" orientation="landscape" r:id="rId1"/>
  <headerFooter alignWithMargins="0"/>
  <colBreaks count="3" manualBreakCount="3">
    <brk id="14" max="1048575" man="1"/>
    <brk id="41" max="1048575" man="1"/>
    <brk id="6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118"/>
  <sheetViews>
    <sheetView topLeftCell="A4" zoomScaleNormal="100" workbookViewId="0">
      <selection activeCell="A15" sqref="A15:XFD75"/>
    </sheetView>
  </sheetViews>
  <sheetFormatPr defaultRowHeight="12.75" outlineLevelRow="1"/>
  <cols>
    <col min="4" max="4" width="15.28515625" style="15" customWidth="1"/>
    <col min="5" max="5" width="11.7109375" style="15" customWidth="1"/>
    <col min="6" max="6" width="15" style="1" bestFit="1" customWidth="1"/>
  </cols>
  <sheetData>
    <row r="1" spans="1:6" ht="15.75">
      <c r="E1" s="656" t="s">
        <v>251</v>
      </c>
      <c r="F1" s="656"/>
    </row>
    <row r="2" spans="1:6" ht="15.75">
      <c r="E2" s="656" t="s">
        <v>252</v>
      </c>
      <c r="F2" s="656"/>
    </row>
    <row r="4" spans="1:6">
      <c r="A4" s="5"/>
      <c r="B4" s="5"/>
      <c r="C4" s="5" t="s">
        <v>16</v>
      </c>
      <c r="D4" s="5"/>
      <c r="E4" s="5" t="s">
        <v>20</v>
      </c>
      <c r="F4" s="8"/>
    </row>
    <row r="5" spans="1:6">
      <c r="A5" s="229" t="s">
        <v>27</v>
      </c>
      <c r="B5" s="229"/>
      <c r="C5" s="229" t="s">
        <v>28</v>
      </c>
      <c r="D5" s="229" t="s">
        <v>33</v>
      </c>
      <c r="E5" s="229" t="s">
        <v>34</v>
      </c>
      <c r="F5" s="12" t="s">
        <v>35</v>
      </c>
    </row>
    <row r="6" spans="1:6" hidden="1" outlineLevel="1">
      <c r="A6" s="43" t="s">
        <v>50</v>
      </c>
      <c r="B6" s="43">
        <v>2016</v>
      </c>
      <c r="C6" s="207" t="s">
        <v>47</v>
      </c>
      <c r="D6" s="504">
        <f>'Schedule NJNG-2 - Pages 3-9'!Z119</f>
        <v>30123568.039999984</v>
      </c>
      <c r="E6" s="179">
        <v>3.0599999999999999E-2</v>
      </c>
      <c r="F6" s="230">
        <f>+D6*E6</f>
        <v>921781.18202399951</v>
      </c>
    </row>
    <row r="7" spans="1:6" hidden="1" outlineLevel="1">
      <c r="A7" s="43" t="s">
        <v>51</v>
      </c>
      <c r="B7" s="43">
        <v>2016</v>
      </c>
      <c r="C7" s="207" t="s">
        <v>47</v>
      </c>
      <c r="D7" s="504">
        <f>'Schedule NJNG-2 - Pages 3-9'!Z120</f>
        <v>61266808.130000003</v>
      </c>
      <c r="E7" s="179">
        <v>3.0599999999999999E-2</v>
      </c>
      <c r="F7" s="230">
        <f t="shared" ref="F7:F13" si="0">+D7*E7</f>
        <v>1874764.3287780001</v>
      </c>
    </row>
    <row r="8" spans="1:6" hidden="1" outlineLevel="1">
      <c r="A8" s="43" t="s">
        <v>52</v>
      </c>
      <c r="B8" s="43">
        <v>2016</v>
      </c>
      <c r="C8" s="207" t="s">
        <v>47</v>
      </c>
      <c r="D8" s="504">
        <f>'Schedule NJNG-2 - Pages 3-9'!Z121</f>
        <v>107530183.33</v>
      </c>
      <c r="E8" s="179">
        <v>3.0599999999999999E-2</v>
      </c>
      <c r="F8" s="230">
        <f t="shared" si="0"/>
        <v>3290423.609898</v>
      </c>
    </row>
    <row r="9" spans="1:6" hidden="1" outlineLevel="1">
      <c r="A9" s="43" t="s">
        <v>53</v>
      </c>
      <c r="B9" s="43">
        <v>2017</v>
      </c>
      <c r="C9" s="207" t="s">
        <v>47</v>
      </c>
      <c r="D9" s="504">
        <f>'Schedule NJNG-2 - Pages 3-9'!Z122</f>
        <v>111963805.23999995</v>
      </c>
      <c r="E9" s="179">
        <v>3.0599999999999999E-2</v>
      </c>
      <c r="F9" s="230">
        <f t="shared" si="0"/>
        <v>3426092.4403439984</v>
      </c>
    </row>
    <row r="10" spans="1:6" hidden="1" outlineLevel="1">
      <c r="A10" s="43" t="s">
        <v>54</v>
      </c>
      <c r="B10" s="43">
        <v>2017</v>
      </c>
      <c r="C10" s="207" t="s">
        <v>47</v>
      </c>
      <c r="D10" s="504">
        <f>'Schedule NJNG-2 - Pages 3-9'!Z123</f>
        <v>88661747.549999982</v>
      </c>
      <c r="E10" s="179">
        <v>3.0599999999999999E-2</v>
      </c>
      <c r="F10" s="230">
        <f t="shared" si="0"/>
        <v>2713049.4750299994</v>
      </c>
    </row>
    <row r="11" spans="1:6" hidden="1" outlineLevel="1">
      <c r="A11" s="43" t="s">
        <v>55</v>
      </c>
      <c r="B11" s="43">
        <v>2017</v>
      </c>
      <c r="C11" s="207" t="s">
        <v>47</v>
      </c>
      <c r="D11" s="504">
        <f>'Schedule NJNG-2 - Pages 3-9'!Z124</f>
        <v>99819071.390000015</v>
      </c>
      <c r="E11" s="179">
        <v>3.0599999999999999E-2</v>
      </c>
      <c r="F11" s="230">
        <f t="shared" si="0"/>
        <v>3054463.5845340001</v>
      </c>
    </row>
    <row r="12" spans="1:6" hidden="1" outlineLevel="1">
      <c r="A12" s="43" t="s">
        <v>56</v>
      </c>
      <c r="B12" s="43">
        <v>2017</v>
      </c>
      <c r="C12" s="207" t="s">
        <v>47</v>
      </c>
      <c r="D12" s="504">
        <f>'Schedule NJNG-2 - Pages 3-9'!Z125</f>
        <v>39998489.070000008</v>
      </c>
      <c r="E12" s="179">
        <v>3.0599999999999999E-2</v>
      </c>
      <c r="F12" s="230">
        <f t="shared" si="0"/>
        <v>1223953.7655420003</v>
      </c>
    </row>
    <row r="13" spans="1:6" hidden="1" outlineLevel="1">
      <c r="A13" s="43" t="s">
        <v>57</v>
      </c>
      <c r="B13" s="43">
        <v>2017</v>
      </c>
      <c r="C13" s="207" t="s">
        <v>47</v>
      </c>
      <c r="D13" s="504">
        <f>'Schedule NJNG-2 - Pages 3-9'!Z126</f>
        <v>33068764.560000002</v>
      </c>
      <c r="E13" s="179">
        <v>3.0599999999999999E-2</v>
      </c>
      <c r="F13" s="230">
        <f t="shared" si="0"/>
        <v>1011904.1955360001</v>
      </c>
    </row>
    <row r="14" spans="1:6" hidden="1" outlineLevel="1">
      <c r="A14" s="178" t="s">
        <v>58</v>
      </c>
      <c r="B14" s="43">
        <v>2017</v>
      </c>
      <c r="C14" s="207" t="s">
        <v>47</v>
      </c>
      <c r="D14" s="504">
        <f>'Schedule NJNG-2 - Pages 3-9'!Z127</f>
        <v>22453883.75</v>
      </c>
      <c r="E14" s="179">
        <v>3.0599999999999999E-2</v>
      </c>
      <c r="F14" s="230">
        <f>+D14*E14</f>
        <v>687088.84274999995</v>
      </c>
    </row>
    <row r="15" spans="1:6" hidden="1" collapsed="1">
      <c r="A15" s="43" t="s">
        <v>59</v>
      </c>
      <c r="B15" s="43">
        <v>2017</v>
      </c>
      <c r="C15" s="207" t="s">
        <v>47</v>
      </c>
      <c r="D15" s="504">
        <f>'Schedule NJNG-2 - Pages 3-9'!Z128</f>
        <v>19215349.039999999</v>
      </c>
      <c r="E15" s="574">
        <v>3.0599999999999999E-2</v>
      </c>
      <c r="F15" s="230">
        <f>+D15*E15</f>
        <v>587989.68062399991</v>
      </c>
    </row>
    <row r="16" spans="1:6" hidden="1">
      <c r="A16" s="43" t="s">
        <v>46</v>
      </c>
      <c r="B16" s="43">
        <v>2017</v>
      </c>
      <c r="C16" s="207" t="s">
        <v>47</v>
      </c>
      <c r="D16" s="504">
        <f>'Schedule NJNG-2 - Pages 3-9'!Z129</f>
        <v>19108216.23</v>
      </c>
      <c r="E16" s="575">
        <v>3.0599999999999999E-2</v>
      </c>
      <c r="F16" s="230">
        <f>+D16*E16</f>
        <v>584711.41663799994</v>
      </c>
    </row>
    <row r="17" spans="1:6" hidden="1">
      <c r="A17" s="43" t="s">
        <v>48</v>
      </c>
      <c r="B17" s="43">
        <v>2017</v>
      </c>
      <c r="C17" s="207" t="s">
        <v>47</v>
      </c>
      <c r="D17" s="576">
        <f>'Schedule NJNG-2 - Pages 3-9'!Z130</f>
        <v>19289465.859999999</v>
      </c>
      <c r="E17" s="577">
        <v>3.0599999999999999E-2</v>
      </c>
      <c r="F17" s="231">
        <f>+D17*E17</f>
        <v>590257.65531599999</v>
      </c>
    </row>
    <row r="18" spans="1:6" hidden="1">
      <c r="D18" s="504">
        <f>SUM(D6:D17)</f>
        <v>652499352.18999994</v>
      </c>
      <c r="E18" s="578"/>
      <c r="F18" s="45">
        <f>SUM(F6:F17)</f>
        <v>19966480.177013997</v>
      </c>
    </row>
    <row r="19" spans="1:6" hidden="1">
      <c r="A19" s="1"/>
      <c r="B19" s="1"/>
      <c r="C19" s="1"/>
      <c r="D19" s="250"/>
      <c r="E19" s="250"/>
      <c r="F19" s="3"/>
    </row>
    <row r="20" spans="1:6" hidden="1">
      <c r="A20" s="1"/>
      <c r="B20" s="1"/>
      <c r="C20" s="1"/>
      <c r="D20" s="250"/>
      <c r="E20" s="250"/>
      <c r="F20" s="3"/>
    </row>
    <row r="21" spans="1:6" hidden="1">
      <c r="A21" s="43" t="s">
        <v>50</v>
      </c>
      <c r="B21" s="43">
        <v>2017</v>
      </c>
      <c r="C21" s="207" t="s">
        <v>47</v>
      </c>
      <c r="D21" s="504">
        <f t="array" ref="D21:D26">TRANSPOSE('Schedule NJNG-3 - Page 3'!C28:H28)</f>
        <v>24779509.010000002</v>
      </c>
      <c r="E21" s="179">
        <f>'Schedule NJNG-2 - Pages 3-9'!AA134</f>
        <v>3.0599999999999999E-2</v>
      </c>
      <c r="F21" s="230">
        <f>+D21*E21</f>
        <v>758252.975706</v>
      </c>
    </row>
    <row r="22" spans="1:6" hidden="1">
      <c r="A22" s="43" t="s">
        <v>51</v>
      </c>
      <c r="B22" s="43">
        <v>2017</v>
      </c>
      <c r="C22" s="207" t="s">
        <v>47</v>
      </c>
      <c r="D22" s="504">
        <v>67692585.429999992</v>
      </c>
      <c r="E22" s="179">
        <f>'Schedule NJNG-2 - Pages 3-9'!AA135</f>
        <v>2.4899999999999999E-2</v>
      </c>
      <c r="F22" s="230">
        <f t="shared" ref="F22:F28" si="1">+D22*E22</f>
        <v>1685545.3772069998</v>
      </c>
    </row>
    <row r="23" spans="1:6" hidden="1">
      <c r="A23" s="43" t="s">
        <v>52</v>
      </c>
      <c r="B23" s="43">
        <v>2017</v>
      </c>
      <c r="C23" s="207" t="s">
        <v>47</v>
      </c>
      <c r="D23" s="504">
        <v>119292949.16000001</v>
      </c>
      <c r="E23" s="179">
        <f>'Schedule NJNG-2 - Pages 3-9'!AA136</f>
        <v>2.4899999999999999E-2</v>
      </c>
      <c r="F23" s="230">
        <f t="shared" si="1"/>
        <v>2970394.4340840001</v>
      </c>
    </row>
    <row r="24" spans="1:6" hidden="1">
      <c r="A24" s="43" t="s">
        <v>53</v>
      </c>
      <c r="B24" s="218">
        <v>2018</v>
      </c>
      <c r="C24" s="207" t="s">
        <v>47</v>
      </c>
      <c r="D24" s="504">
        <v>140248225.676</v>
      </c>
      <c r="E24" s="179">
        <f>'Schedule NJNG-2 - Pages 3-9'!AA137</f>
        <v>2.4899999999999999E-2</v>
      </c>
      <c r="F24" s="230">
        <f t="shared" si="1"/>
        <v>3492180.8193323999</v>
      </c>
    </row>
    <row r="25" spans="1:6" hidden="1">
      <c r="A25" s="43" t="s">
        <v>54</v>
      </c>
      <c r="B25" s="218">
        <v>2018</v>
      </c>
      <c r="C25" s="207" t="s">
        <v>47</v>
      </c>
      <c r="D25" s="504">
        <v>89983764.620000005</v>
      </c>
      <c r="E25" s="179">
        <f>'Schedule NJNG-2 - Pages 3-9'!AA138</f>
        <v>2.4899999999999999E-2</v>
      </c>
      <c r="F25" s="230">
        <f t="shared" si="1"/>
        <v>2240595.7390379999</v>
      </c>
    </row>
    <row r="26" spans="1:6" hidden="1">
      <c r="A26" s="43" t="s">
        <v>55</v>
      </c>
      <c r="B26" s="218">
        <v>2018</v>
      </c>
      <c r="C26" s="207" t="s">
        <v>47</v>
      </c>
      <c r="D26" s="504">
        <v>106014206.13</v>
      </c>
      <c r="E26" s="179">
        <f>'Schedule NJNG-2 - Pages 3-9'!AA139</f>
        <v>2.4899999999999999E-2</v>
      </c>
      <c r="F26" s="230">
        <f t="shared" si="1"/>
        <v>2639753.7326369998</v>
      </c>
    </row>
    <row r="27" spans="1:6" hidden="1">
      <c r="A27" s="43" t="s">
        <v>56</v>
      </c>
      <c r="B27" s="218">
        <v>2018</v>
      </c>
      <c r="C27" s="207" t="s">
        <v>47</v>
      </c>
      <c r="D27" s="504">
        <f>'Schedule NJNG-2 - Pages 3-9'!Z140</f>
        <v>63455548.480000004</v>
      </c>
      <c r="E27" s="179">
        <f>'Schedule NJNG-2 - Pages 3-9'!AA140</f>
        <v>2.4899999999999999E-2</v>
      </c>
      <c r="F27" s="230">
        <f t="shared" si="1"/>
        <v>1580043.1571520001</v>
      </c>
    </row>
    <row r="28" spans="1:6" hidden="1">
      <c r="A28" s="43" t="s">
        <v>57</v>
      </c>
      <c r="B28" s="218">
        <v>2018</v>
      </c>
      <c r="C28" s="207" t="s">
        <v>47</v>
      </c>
      <c r="D28" s="504">
        <f t="array" ref="D28:D32">TRANSPOSE('Schedule NJNG-3 - Page 3'!J28:N28)</f>
        <v>25481630.199999999</v>
      </c>
      <c r="E28" s="179">
        <f>'Schedule NJNG-2 - Pages 3-9'!AA141</f>
        <v>2.4899999999999999E-2</v>
      </c>
      <c r="F28" s="230">
        <f t="shared" si="1"/>
        <v>634492.59197999991</v>
      </c>
    </row>
    <row r="29" spans="1:6" hidden="1">
      <c r="A29" s="178" t="s">
        <v>58</v>
      </c>
      <c r="B29" s="218">
        <v>2018</v>
      </c>
      <c r="C29" s="207" t="s">
        <v>47</v>
      </c>
      <c r="D29" s="504">
        <v>21709412.289999999</v>
      </c>
      <c r="E29" s="179">
        <f>'Schedule NJNG-2 - Pages 3-9'!AA142</f>
        <v>2.4899999999999999E-2</v>
      </c>
      <c r="F29" s="230">
        <f>+D29*E29</f>
        <v>540564.36602099997</v>
      </c>
    </row>
    <row r="30" spans="1:6" hidden="1">
      <c r="A30" s="43" t="s">
        <v>59</v>
      </c>
      <c r="B30" s="218">
        <v>2018</v>
      </c>
      <c r="C30" s="207" t="s">
        <v>47</v>
      </c>
      <c r="D30" s="579">
        <v>19001380.640000001</v>
      </c>
      <c r="E30" s="179">
        <f>'Schedule NJNG-2 - Pages 3-9'!AA143</f>
        <v>2.4899999999999999E-2</v>
      </c>
      <c r="F30" s="230">
        <f>+D30*E30</f>
        <v>473134.377936</v>
      </c>
    </row>
    <row r="31" spans="1:6" hidden="1">
      <c r="A31" s="43" t="s">
        <v>46</v>
      </c>
      <c r="B31" s="218">
        <v>2018</v>
      </c>
      <c r="C31" s="207" t="s">
        <v>47</v>
      </c>
      <c r="D31" s="580">
        <v>17990821.544999998</v>
      </c>
      <c r="E31" s="179">
        <f>'Schedule NJNG-2 - Pages 3-9'!AA144</f>
        <v>2.4899999999999999E-2</v>
      </c>
      <c r="F31" s="230">
        <f>+D31*E31</f>
        <v>447971.45647049992</v>
      </c>
    </row>
    <row r="32" spans="1:6" hidden="1">
      <c r="A32" s="43" t="s">
        <v>48</v>
      </c>
      <c r="B32" s="218">
        <v>2018</v>
      </c>
      <c r="C32" s="207" t="s">
        <v>47</v>
      </c>
      <c r="D32" s="581">
        <v>17190014.129999999</v>
      </c>
      <c r="E32" s="179">
        <f>'Schedule NJNG-2 - Pages 3-9'!AA145</f>
        <v>2.4899999999999999E-2</v>
      </c>
      <c r="F32" s="231">
        <f>+D32*E32</f>
        <v>428031.35183699994</v>
      </c>
    </row>
    <row r="33" spans="1:6" hidden="1">
      <c r="D33" s="22">
        <f>SUM(D21:D32)</f>
        <v>712840047.31099999</v>
      </c>
      <c r="E33" s="22"/>
      <c r="F33" s="582">
        <f>SUM(F21:F32)</f>
        <v>17890960.379400901</v>
      </c>
    </row>
    <row r="34" spans="1:6" hidden="1">
      <c r="D34" s="250"/>
      <c r="E34" s="250"/>
      <c r="F34" s="3"/>
    </row>
    <row r="35" spans="1:6" hidden="1">
      <c r="D35" s="250"/>
      <c r="E35" s="250"/>
      <c r="F35" s="3"/>
    </row>
    <row r="36" spans="1:6" hidden="1">
      <c r="A36" s="43" t="s">
        <v>50</v>
      </c>
      <c r="B36" s="43">
        <v>2018</v>
      </c>
      <c r="C36" s="207" t="s">
        <v>47</v>
      </c>
      <c r="D36" s="504">
        <f t="array" ref="D36:D47">TRANSPOSE('Schedule NJNG-3 - Page 3'!C55:N55)</f>
        <v>36245332.330000006</v>
      </c>
      <c r="E36" s="179">
        <f>'Schedule NJNG-2 - Pages 3-9'!AA149</f>
        <v>2.4899999999999999E-2</v>
      </c>
      <c r="F36" s="230">
        <f>+D36*E36</f>
        <v>902508.77501700004</v>
      </c>
    </row>
    <row r="37" spans="1:6" hidden="1">
      <c r="A37" s="43" t="s">
        <v>51</v>
      </c>
      <c r="B37" s="43">
        <v>2018</v>
      </c>
      <c r="C37" s="207" t="s">
        <v>47</v>
      </c>
      <c r="D37" s="504">
        <v>79204889.569999993</v>
      </c>
      <c r="E37" s="179">
        <f>'Schedule NJNG-2 - Pages 3-9'!AA150</f>
        <v>2.4899999999999999E-2</v>
      </c>
      <c r="F37" s="230">
        <f t="shared" ref="F37:F43" si="2">+D37*E37</f>
        <v>1972201.7502929997</v>
      </c>
    </row>
    <row r="38" spans="1:6" hidden="1">
      <c r="A38" s="43" t="s">
        <v>52</v>
      </c>
      <c r="B38" s="43">
        <v>2018</v>
      </c>
      <c r="C38" s="207" t="s">
        <v>47</v>
      </c>
      <c r="D38" s="504">
        <v>106360202.47999999</v>
      </c>
      <c r="E38" s="179">
        <f>'Schedule NJNG-2 - Pages 3-9'!AA151</f>
        <v>2.4899999999999999E-2</v>
      </c>
      <c r="F38" s="230">
        <f t="shared" si="2"/>
        <v>2648369.0417519994</v>
      </c>
    </row>
    <row r="39" spans="1:6" hidden="1">
      <c r="A39" s="43" t="s">
        <v>53</v>
      </c>
      <c r="B39" s="218">
        <v>2019</v>
      </c>
      <c r="C39" s="207" t="s">
        <v>47</v>
      </c>
      <c r="D39" s="504">
        <v>133854471.44</v>
      </c>
      <c r="E39" s="179">
        <v>1.2500000000000001E-2</v>
      </c>
      <c r="F39" s="230">
        <f t="shared" si="2"/>
        <v>1673180.8930000002</v>
      </c>
    </row>
    <row r="40" spans="1:6" hidden="1">
      <c r="A40" s="43" t="s">
        <v>54</v>
      </c>
      <c r="B40" s="218">
        <v>2019</v>
      </c>
      <c r="C40" s="207" t="s">
        <v>47</v>
      </c>
      <c r="D40" s="504">
        <v>108210106.86000001</v>
      </c>
      <c r="E40" s="179">
        <v>1.2500000000000001E-2</v>
      </c>
      <c r="F40" s="230">
        <f t="shared" si="2"/>
        <v>1352626.3357500003</v>
      </c>
    </row>
    <row r="41" spans="1:6" hidden="1">
      <c r="A41" s="43" t="s">
        <v>55</v>
      </c>
      <c r="B41" s="218">
        <v>2019</v>
      </c>
      <c r="C41" s="207" t="s">
        <v>47</v>
      </c>
      <c r="D41" s="504">
        <v>89372212.689999983</v>
      </c>
      <c r="E41" s="179">
        <f>'Schedule NJNG-2 - Pages 3-9'!AA154</f>
        <v>1.2500000000000001E-2</v>
      </c>
      <c r="F41" s="230">
        <f t="shared" si="2"/>
        <v>1117152.6586249999</v>
      </c>
    </row>
    <row r="42" spans="1:6" hidden="1">
      <c r="A42" s="43" t="s">
        <v>56</v>
      </c>
      <c r="B42" s="218">
        <v>2019</v>
      </c>
      <c r="C42" s="207" t="s">
        <v>47</v>
      </c>
      <c r="D42" s="504">
        <v>47369639</v>
      </c>
      <c r="E42" s="179">
        <f>'Schedule NJNG-2 - Pages 3-9'!AA155</f>
        <v>1.2500000000000001E-2</v>
      </c>
      <c r="F42" s="230">
        <f t="shared" si="2"/>
        <v>592120.48750000005</v>
      </c>
    </row>
    <row r="43" spans="1:6" hidden="1">
      <c r="A43" s="43" t="s">
        <v>57</v>
      </c>
      <c r="B43" s="218">
        <v>2019</v>
      </c>
      <c r="C43" s="207" t="s">
        <v>47</v>
      </c>
      <c r="D43" s="504">
        <v>30013522.739999998</v>
      </c>
      <c r="E43" s="179">
        <f>'Schedule NJNG-2 - Pages 3-9'!AA156</f>
        <v>1.2500000000000001E-2</v>
      </c>
      <c r="F43" s="230">
        <f t="shared" si="2"/>
        <v>375169.03425000003</v>
      </c>
    </row>
    <row r="44" spans="1:6" hidden="1">
      <c r="A44" s="178" t="s">
        <v>58</v>
      </c>
      <c r="B44" s="218">
        <v>2019</v>
      </c>
      <c r="C44" s="207" t="s">
        <v>47</v>
      </c>
      <c r="D44" s="504">
        <v>22183946.630000003</v>
      </c>
      <c r="E44" s="179">
        <f>'Schedule NJNG-2 - Pages 3-9'!AA157</f>
        <v>1.2500000000000001E-2</v>
      </c>
      <c r="F44" s="230">
        <f>+D44*E44</f>
        <v>277299.33287500002</v>
      </c>
    </row>
    <row r="45" spans="1:6" hidden="1">
      <c r="A45" s="43" t="s">
        <v>59</v>
      </c>
      <c r="B45" s="218">
        <v>2019</v>
      </c>
      <c r="C45" s="207" t="s">
        <v>47</v>
      </c>
      <c r="D45" s="579">
        <v>20031738.289999999</v>
      </c>
      <c r="E45" s="179">
        <f>'Schedule NJNG-2 - Pages 3-9'!AA158</f>
        <v>1.2500000000000001E-2</v>
      </c>
      <c r="F45" s="230">
        <f>+D45*E45</f>
        <v>250396.72862499999</v>
      </c>
    </row>
    <row r="46" spans="1:6" hidden="1">
      <c r="A46" s="43" t="s">
        <v>46</v>
      </c>
      <c r="B46" s="218">
        <v>2019</v>
      </c>
      <c r="C46" s="207" t="s">
        <v>47</v>
      </c>
      <c r="D46" s="580">
        <v>18398386.52</v>
      </c>
      <c r="E46" s="179">
        <f>'Schedule NJNG-2 - Pages 3-9'!AA159</f>
        <v>1.2500000000000001E-2</v>
      </c>
      <c r="F46" s="230">
        <f>+D46*E46</f>
        <v>229979.8315</v>
      </c>
    </row>
    <row r="47" spans="1:6" hidden="1">
      <c r="A47" s="43" t="s">
        <v>48</v>
      </c>
      <c r="B47" s="218">
        <v>2019</v>
      </c>
      <c r="C47" s="207" t="s">
        <v>47</v>
      </c>
      <c r="D47" s="581">
        <v>17965816.859999999</v>
      </c>
      <c r="E47" s="179">
        <f>'Schedule NJNG-2 - Pages 3-9'!AA160</f>
        <v>1.2500000000000001E-2</v>
      </c>
      <c r="F47" s="231">
        <f>+D47*E47</f>
        <v>224572.71075</v>
      </c>
    </row>
    <row r="48" spans="1:6" hidden="1">
      <c r="D48" s="22">
        <f>SUM(D36:D47)</f>
        <v>709210265.40999997</v>
      </c>
      <c r="E48" s="22"/>
      <c r="F48" s="582">
        <f>SUM(F36:F47)</f>
        <v>11615577.579937</v>
      </c>
    </row>
    <row r="49" spans="1:6" hidden="1">
      <c r="D49" s="250"/>
      <c r="E49" s="250"/>
      <c r="F49" s="3"/>
    </row>
    <row r="50" spans="1:6" hidden="1">
      <c r="A50" s="43" t="s">
        <v>50</v>
      </c>
      <c r="B50" s="43">
        <v>2019</v>
      </c>
      <c r="C50" s="207" t="s">
        <v>47</v>
      </c>
      <c r="D50" s="504">
        <f t="array" ref="D50:D61">TRANSPOSE('Schedule NJNG-3 - Page 3'!C81:N81)</f>
        <v>28517804.439999998</v>
      </c>
      <c r="E50" s="179">
        <f>'Schedule NJNG-2 - Pages 3-9'!AA164</f>
        <v>1.2500000000000001E-2</v>
      </c>
      <c r="F50" s="230">
        <f>D50*E50</f>
        <v>356472.55550000002</v>
      </c>
    </row>
    <row r="51" spans="1:6" hidden="1">
      <c r="A51" s="43" t="s">
        <v>51</v>
      </c>
      <c r="B51" s="43">
        <v>2019</v>
      </c>
      <c r="C51" s="207" t="s">
        <v>47</v>
      </c>
      <c r="D51" s="504">
        <v>79315477.359999999</v>
      </c>
      <c r="E51" s="179">
        <f>'Schedule NJNG-2 - Pages 3-9'!AA165</f>
        <v>1.6E-2</v>
      </c>
      <c r="F51" s="230">
        <f t="shared" ref="F51:F61" si="3">D51*E51</f>
        <v>1269047.6377600001</v>
      </c>
    </row>
    <row r="52" spans="1:6" hidden="1">
      <c r="A52" s="43" t="s">
        <v>52</v>
      </c>
      <c r="B52" s="43">
        <v>2019</v>
      </c>
      <c r="C52" s="207" t="s">
        <v>47</v>
      </c>
      <c r="D52" s="504">
        <v>113275852.20999998</v>
      </c>
      <c r="E52" s="179">
        <f>'Schedule NJNG-2 - Pages 3-9'!AA166</f>
        <v>1.6E-2</v>
      </c>
      <c r="F52" s="230">
        <f t="shared" si="3"/>
        <v>1812413.6353599997</v>
      </c>
    </row>
    <row r="53" spans="1:6" hidden="1" outlineLevel="1">
      <c r="A53" s="43" t="s">
        <v>53</v>
      </c>
      <c r="B53" s="218">
        <v>2020</v>
      </c>
      <c r="C53" s="207" t="s">
        <v>47</v>
      </c>
      <c r="D53" s="504">
        <v>111862290.14999998</v>
      </c>
      <c r="E53" s="179">
        <f>'Schedule NJNG-2 - Pages 3-9'!AA167</f>
        <v>1.6E-2</v>
      </c>
      <c r="F53" s="230">
        <f t="shared" si="3"/>
        <v>1789796.6423999995</v>
      </c>
    </row>
    <row r="54" spans="1:6" hidden="1" outlineLevel="1">
      <c r="A54" s="43" t="s">
        <v>54</v>
      </c>
      <c r="B54" s="218">
        <v>2020</v>
      </c>
      <c r="C54" s="207" t="s">
        <v>47</v>
      </c>
      <c r="D54" s="504">
        <v>94707107.010000005</v>
      </c>
      <c r="E54" s="179">
        <f>'Schedule NJNG-2 - Pages 3-9'!AA168</f>
        <v>1.6E-2</v>
      </c>
      <c r="F54" s="230">
        <f t="shared" si="3"/>
        <v>1515313.7121600001</v>
      </c>
    </row>
    <row r="55" spans="1:6" hidden="1" outlineLevel="1">
      <c r="A55" s="43" t="s">
        <v>55</v>
      </c>
      <c r="B55" s="218">
        <v>2020</v>
      </c>
      <c r="C55" s="207" t="s">
        <v>47</v>
      </c>
      <c r="D55" s="504">
        <v>72845010.840000004</v>
      </c>
      <c r="E55" s="179">
        <f>'Schedule NJNG-2 - Pages 3-9'!AA169</f>
        <v>1.6E-2</v>
      </c>
      <c r="F55" s="230">
        <f t="shared" si="3"/>
        <v>1165520.17344</v>
      </c>
    </row>
    <row r="56" spans="1:6" hidden="1" outlineLevel="1">
      <c r="A56" s="43" t="s">
        <v>56</v>
      </c>
      <c r="B56" s="218">
        <v>2020</v>
      </c>
      <c r="C56" s="207" t="s">
        <v>47</v>
      </c>
      <c r="D56" s="504">
        <v>58740200.610000007</v>
      </c>
      <c r="E56" s="179">
        <f>'Schedule NJNG-2 - Pages 3-9'!AA170</f>
        <v>1.6E-2</v>
      </c>
      <c r="F56" s="230">
        <f t="shared" si="3"/>
        <v>939843.20976000011</v>
      </c>
    </row>
    <row r="57" spans="1:6" hidden="1" outlineLevel="1">
      <c r="A57" s="43" t="s">
        <v>57</v>
      </c>
      <c r="B57" s="218">
        <v>2020</v>
      </c>
      <c r="C57" s="207" t="s">
        <v>47</v>
      </c>
      <c r="D57" s="504">
        <v>32158508.440000001</v>
      </c>
      <c r="E57" s="179">
        <f>'Schedule NJNG-2 - Pages 3-9'!AA171</f>
        <v>1.6E-2</v>
      </c>
      <c r="F57" s="230">
        <f t="shared" si="3"/>
        <v>514536.13504000002</v>
      </c>
    </row>
    <row r="58" spans="1:6" hidden="1" outlineLevel="1">
      <c r="A58" s="178" t="s">
        <v>58</v>
      </c>
      <c r="B58" s="218">
        <v>2020</v>
      </c>
      <c r="C58" s="207" t="s">
        <v>47</v>
      </c>
      <c r="D58" s="504">
        <v>24661901.699999996</v>
      </c>
      <c r="E58" s="179">
        <f>'Schedule NJNG-2 - Pages 3-9'!AA172</f>
        <v>1.6E-2</v>
      </c>
      <c r="F58" s="230">
        <f t="shared" si="3"/>
        <v>394590.42719999992</v>
      </c>
    </row>
    <row r="59" spans="1:6" hidden="1" outlineLevel="1">
      <c r="A59" s="43" t="s">
        <v>59</v>
      </c>
      <c r="B59" s="218">
        <v>2020</v>
      </c>
      <c r="C59" s="207" t="s">
        <v>47</v>
      </c>
      <c r="D59" s="579">
        <v>20409668.52</v>
      </c>
      <c r="E59" s="179">
        <f>'Schedule NJNG-2 - Pages 3-9'!AA173</f>
        <v>1.6E-2</v>
      </c>
      <c r="F59" s="230">
        <f t="shared" si="3"/>
        <v>326554.69631999999</v>
      </c>
    </row>
    <row r="60" spans="1:6" hidden="1" outlineLevel="1">
      <c r="A60" s="43" t="s">
        <v>46</v>
      </c>
      <c r="B60" s="218">
        <v>2020</v>
      </c>
      <c r="C60" s="207" t="s">
        <v>47</v>
      </c>
      <c r="D60" s="580">
        <v>18808644.010000002</v>
      </c>
      <c r="E60" s="179">
        <f>'Schedule NJNG-2 - Pages 3-9'!AA174</f>
        <v>1.6E-2</v>
      </c>
      <c r="F60" s="230">
        <f t="shared" si="3"/>
        <v>300938.30416000006</v>
      </c>
    </row>
    <row r="61" spans="1:6" hidden="1" outlineLevel="1">
      <c r="A61" s="43" t="s">
        <v>48</v>
      </c>
      <c r="B61" s="218">
        <v>2020</v>
      </c>
      <c r="C61" s="207" t="s">
        <v>47</v>
      </c>
      <c r="D61" s="581">
        <v>19961673.420000006</v>
      </c>
      <c r="E61" s="179">
        <f>'Schedule NJNG-2 - Pages 3-9'!AA175</f>
        <v>1.6E-2</v>
      </c>
      <c r="F61" s="231">
        <f t="shared" si="3"/>
        <v>319386.7747200001</v>
      </c>
    </row>
    <row r="62" spans="1:6" hidden="1" outlineLevel="1">
      <c r="D62" s="35">
        <f>SUM(D50:D61)</f>
        <v>675264138.71000004</v>
      </c>
      <c r="E62" s="250"/>
      <c r="F62" s="257">
        <f>SUM(F50:F61)</f>
        <v>10704413.903820001</v>
      </c>
    </row>
    <row r="63" spans="1:6" hidden="1" collapsed="1">
      <c r="D63" s="250"/>
      <c r="E63" s="250"/>
      <c r="F63" s="3"/>
    </row>
    <row r="64" spans="1:6" hidden="1">
      <c r="A64" s="43" t="s">
        <v>50</v>
      </c>
      <c r="B64" s="43">
        <v>2020</v>
      </c>
      <c r="C64" s="207" t="s">
        <v>47</v>
      </c>
      <c r="D64" s="459">
        <f>'Schedule NJNG-3 - Page 3'!C$107</f>
        <v>31653505.439999998</v>
      </c>
      <c r="E64" s="179">
        <v>1.6E-2</v>
      </c>
      <c r="F64" s="230">
        <f>D64*E64</f>
        <v>506456.08703999995</v>
      </c>
    </row>
    <row r="65" spans="1:6" hidden="1">
      <c r="A65" s="43" t="s">
        <v>51</v>
      </c>
      <c r="B65" s="43">
        <v>2020</v>
      </c>
      <c r="C65" s="207" t="s">
        <v>47</v>
      </c>
      <c r="D65" s="459">
        <f>'Schedule NJNG-3 - Page 3'!D$107</f>
        <v>58677780.069999993</v>
      </c>
      <c r="E65" s="179">
        <v>1.6E-2</v>
      </c>
      <c r="F65" s="230">
        <f t="shared" ref="F65:F75" si="4">D65*E65</f>
        <v>938844.48111999989</v>
      </c>
    </row>
    <row r="66" spans="1:6" hidden="1">
      <c r="A66" s="43" t="s">
        <v>52</v>
      </c>
      <c r="B66" s="43">
        <v>2020</v>
      </c>
      <c r="C66" s="207" t="s">
        <v>47</v>
      </c>
      <c r="D66" s="459">
        <f>'Schedule NJNG-3 - Page 3'!E$107</f>
        <v>112973976.72000001</v>
      </c>
      <c r="E66" s="179">
        <v>1.6E-2</v>
      </c>
      <c r="F66" s="230">
        <f t="shared" si="4"/>
        <v>1807583.6275200003</v>
      </c>
    </row>
    <row r="67" spans="1:6" hidden="1">
      <c r="A67" s="43" t="s">
        <v>53</v>
      </c>
      <c r="B67" s="218">
        <v>2021</v>
      </c>
      <c r="C67" s="207" t="s">
        <v>47</v>
      </c>
      <c r="D67" s="459">
        <f>'Schedule NJNG-3 - Page 3'!F107</f>
        <v>128204280.28</v>
      </c>
      <c r="E67" s="179">
        <v>1.6E-2</v>
      </c>
      <c r="F67" s="230">
        <f t="shared" si="4"/>
        <v>2051268.4844800001</v>
      </c>
    </row>
    <row r="68" spans="1:6" hidden="1">
      <c r="A68" s="43" t="s">
        <v>54</v>
      </c>
      <c r="B68" s="218">
        <v>2021</v>
      </c>
      <c r="C68" s="207" t="s">
        <v>47</v>
      </c>
      <c r="D68" s="459">
        <f>'Schedule NJNG-3 - Page 3'!G$107</f>
        <v>119877778.04000001</v>
      </c>
      <c r="E68" s="179">
        <v>1.6E-2</v>
      </c>
      <c r="F68" s="230">
        <f t="shared" si="4"/>
        <v>1918044.4486400001</v>
      </c>
    </row>
    <row r="69" spans="1:6" hidden="1">
      <c r="A69" s="43" t="s">
        <v>55</v>
      </c>
      <c r="B69" s="218">
        <v>2021</v>
      </c>
      <c r="C69" s="207" t="s">
        <v>47</v>
      </c>
      <c r="D69" s="459">
        <f>'Schedule NJNG-3 - Page 3'!H$107</f>
        <v>82702361.929999992</v>
      </c>
      <c r="E69" s="179">
        <v>1.6E-2</v>
      </c>
      <c r="F69" s="230">
        <f t="shared" si="4"/>
        <v>1323237.79088</v>
      </c>
    </row>
    <row r="70" spans="1:6" hidden="1">
      <c r="A70" s="43" t="s">
        <v>56</v>
      </c>
      <c r="B70" s="218">
        <v>2021</v>
      </c>
      <c r="C70" s="207" t="s">
        <v>47</v>
      </c>
      <c r="D70" s="459">
        <f>'Schedule NJNG-3 - Page 3'!I$107</f>
        <v>51710203.750000007</v>
      </c>
      <c r="E70" s="179">
        <v>1.6E-2</v>
      </c>
      <c r="F70" s="230">
        <f t="shared" si="4"/>
        <v>827363.26000000013</v>
      </c>
    </row>
    <row r="71" spans="1:6" hidden="1">
      <c r="A71" s="43" t="s">
        <v>57</v>
      </c>
      <c r="B71" s="218">
        <v>2021</v>
      </c>
      <c r="C71" s="207" t="s">
        <v>47</v>
      </c>
      <c r="D71" s="459">
        <f>'Schedule NJNG-3 - Page 3'!J$107</f>
        <v>31376416.390000004</v>
      </c>
      <c r="E71" s="179">
        <v>1.6E-2</v>
      </c>
      <c r="F71" s="230">
        <f t="shared" si="4"/>
        <v>502022.66224000009</v>
      </c>
    </row>
    <row r="72" spans="1:6" hidden="1">
      <c r="A72" s="178" t="s">
        <v>58</v>
      </c>
      <c r="B72" s="218">
        <v>2021</v>
      </c>
      <c r="C72" s="207" t="s">
        <v>47</v>
      </c>
      <c r="D72" s="459">
        <f>'Schedule NJNG-3 - Page 3'!K$107</f>
        <v>22973888.490000002</v>
      </c>
      <c r="E72" s="179">
        <v>1.6E-2</v>
      </c>
      <c r="F72" s="230">
        <f t="shared" si="4"/>
        <v>367582.21584000002</v>
      </c>
    </row>
    <row r="73" spans="1:6" hidden="1">
      <c r="A73" s="43" t="s">
        <v>59</v>
      </c>
      <c r="B73" s="218">
        <v>2021</v>
      </c>
      <c r="C73" s="207" t="s">
        <v>47</v>
      </c>
      <c r="D73" s="459">
        <f>'Schedule NJNG-3 - Page 3'!L$107</f>
        <v>20879463.34</v>
      </c>
      <c r="E73" s="179">
        <v>1.6E-2</v>
      </c>
      <c r="F73" s="230">
        <f t="shared" si="4"/>
        <v>334071.41344000003</v>
      </c>
    </row>
    <row r="74" spans="1:6" hidden="1">
      <c r="A74" s="43" t="s">
        <v>46</v>
      </c>
      <c r="B74" s="218">
        <v>2021</v>
      </c>
      <c r="C74" s="207" t="s">
        <v>47</v>
      </c>
      <c r="D74" s="459">
        <f>'Schedule NJNG-3 - Page 3'!M$107</f>
        <v>19700493.300000001</v>
      </c>
      <c r="E74" s="179">
        <v>1.6E-2</v>
      </c>
      <c r="F74" s="230">
        <f t="shared" si="4"/>
        <v>315207.89280000003</v>
      </c>
    </row>
    <row r="75" spans="1:6" hidden="1">
      <c r="A75" s="43" t="s">
        <v>48</v>
      </c>
      <c r="B75" s="218">
        <v>2021</v>
      </c>
      <c r="C75" s="207" t="s">
        <v>47</v>
      </c>
      <c r="D75" s="459">
        <f>'Schedule NJNG-3 - Page 3'!N$107</f>
        <v>19255310.630000003</v>
      </c>
      <c r="E75" s="179">
        <v>1.6E-2</v>
      </c>
      <c r="F75" s="231">
        <f t="shared" si="4"/>
        <v>308084.97008000006</v>
      </c>
    </row>
    <row r="76" spans="1:6">
      <c r="D76" s="35">
        <f>SUM(D64:D75)</f>
        <v>699985458.38</v>
      </c>
      <c r="E76" s="250"/>
      <c r="F76" s="257">
        <f>SUM(F64:F75)</f>
        <v>11199767.334079999</v>
      </c>
    </row>
    <row r="77" spans="1:6">
      <c r="D77" s="250"/>
      <c r="E77" s="250"/>
      <c r="F77" s="3"/>
    </row>
    <row r="78" spans="1:6">
      <c r="A78" s="43" t="s">
        <v>50</v>
      </c>
      <c r="B78" s="43">
        <v>2021</v>
      </c>
      <c r="C78" s="207" t="s">
        <v>47</v>
      </c>
      <c r="D78" s="459">
        <f>'Schedule NJNG-3 - Page 3'!C$133</f>
        <v>24609888.789999999</v>
      </c>
      <c r="E78" s="179">
        <v>1.6E-2</v>
      </c>
      <c r="F78" s="230">
        <f>D78*E78</f>
        <v>393758.22064000001</v>
      </c>
    </row>
    <row r="79" spans="1:6">
      <c r="A79" s="43" t="s">
        <v>51</v>
      </c>
      <c r="B79" s="43">
        <v>2021</v>
      </c>
      <c r="C79" s="207" t="s">
        <v>47</v>
      </c>
      <c r="D79" s="459">
        <f>'Schedule NJNG-3 - Page 3'!D$133</f>
        <v>71068270.569999993</v>
      </c>
      <c r="E79" s="179">
        <v>1.6E-2</v>
      </c>
      <c r="F79" s="230">
        <f t="shared" ref="F79:F89" si="5">D79*E79</f>
        <v>1137092.3291199999</v>
      </c>
    </row>
    <row r="80" spans="1:6">
      <c r="A80" s="43" t="s">
        <v>52</v>
      </c>
      <c r="B80" s="43">
        <v>2021</v>
      </c>
      <c r="C80" s="207" t="s">
        <v>47</v>
      </c>
      <c r="D80" s="459">
        <f>'Schedule NJNG-3 - Page 3'!E$133</f>
        <v>93649322.75999999</v>
      </c>
      <c r="E80" s="179">
        <v>1.6E-2</v>
      </c>
      <c r="F80" s="230">
        <f t="shared" si="5"/>
        <v>1498389.1641599999</v>
      </c>
    </row>
    <row r="81" spans="1:6">
      <c r="A81" s="43" t="s">
        <v>53</v>
      </c>
      <c r="B81" s="218">
        <v>2022</v>
      </c>
      <c r="C81" s="207" t="s">
        <v>47</v>
      </c>
      <c r="D81" s="459">
        <f>'Schedule NJNG-3 - Page 3'!F133</f>
        <v>147123031.81999999</v>
      </c>
      <c r="E81" s="179">
        <v>1.6E-2</v>
      </c>
      <c r="F81" s="230">
        <f t="shared" si="5"/>
        <v>2353968.5091200001</v>
      </c>
    </row>
    <row r="82" spans="1:6">
      <c r="A82" s="43" t="s">
        <v>54</v>
      </c>
      <c r="B82" s="218">
        <v>2022</v>
      </c>
      <c r="C82" s="207" t="s">
        <v>47</v>
      </c>
      <c r="D82" s="459">
        <f>'Schedule NJNG-3 - Page 3'!G$133</f>
        <v>100868551.86</v>
      </c>
      <c r="E82" s="179">
        <v>1.9099999999999999E-2</v>
      </c>
      <c r="F82" s="230">
        <f t="shared" si="5"/>
        <v>1926589.3405259999</v>
      </c>
    </row>
    <row r="83" spans="1:6">
      <c r="A83" s="43" t="s">
        <v>55</v>
      </c>
      <c r="B83" s="218">
        <v>2022</v>
      </c>
      <c r="C83" s="207" t="s">
        <v>47</v>
      </c>
      <c r="D83" s="459">
        <f>'Schedule NJNG-3 - Page 3'!H$133</f>
        <v>83216099.770000011</v>
      </c>
      <c r="E83" s="179">
        <v>1.9099999999999999E-2</v>
      </c>
      <c r="F83" s="230">
        <f t="shared" si="5"/>
        <v>1589427.5056070001</v>
      </c>
    </row>
    <row r="84" spans="1:6">
      <c r="A84" s="43" t="s">
        <v>56</v>
      </c>
      <c r="B84" s="218">
        <v>2022</v>
      </c>
      <c r="C84" s="207" t="s">
        <v>47</v>
      </c>
      <c r="D84" s="459">
        <f>'Schedule NJNG-3 - Page 3'!I$133</f>
        <v>53000850.400000006</v>
      </c>
      <c r="E84" s="179">
        <v>1.9099999999999999E-2</v>
      </c>
      <c r="F84" s="230">
        <f t="shared" si="5"/>
        <v>1012316.2426400001</v>
      </c>
    </row>
    <row r="85" spans="1:6">
      <c r="A85" s="43" t="s">
        <v>57</v>
      </c>
      <c r="B85" s="218">
        <v>2022</v>
      </c>
      <c r="C85" s="207" t="s">
        <v>47</v>
      </c>
      <c r="D85" s="459">
        <f>'Schedule NJNG-3 - Page 3'!J$133</f>
        <v>30749004.600000001</v>
      </c>
      <c r="E85" s="179">
        <v>1.9099999999999999E-2</v>
      </c>
      <c r="F85" s="230">
        <f t="shared" si="5"/>
        <v>587305.98785999999</v>
      </c>
    </row>
    <row r="86" spans="1:6">
      <c r="A86" s="178" t="s">
        <v>58</v>
      </c>
      <c r="B86" s="218">
        <v>2022</v>
      </c>
      <c r="C86" s="44" t="s">
        <v>47</v>
      </c>
      <c r="D86" s="459">
        <f>'Schedule NJNG-3 - Page 3'!K$133</f>
        <v>23701026.149999999</v>
      </c>
      <c r="E86" s="179">
        <v>1.9099999999999999E-2</v>
      </c>
      <c r="F86" s="230">
        <f t="shared" si="5"/>
        <v>452689.59946499992</v>
      </c>
    </row>
    <row r="87" spans="1:6">
      <c r="A87" s="43" t="s">
        <v>59</v>
      </c>
      <c r="B87" s="218">
        <v>2022</v>
      </c>
      <c r="C87" s="44" t="s">
        <v>47</v>
      </c>
      <c r="D87" s="459">
        <f>'Schedule NJNG-3 - Page 3'!L$133</f>
        <v>21264612.650000002</v>
      </c>
      <c r="E87" s="179">
        <v>1.9099999999999999E-2</v>
      </c>
      <c r="F87" s="230">
        <f t="shared" si="5"/>
        <v>406154.10161499999</v>
      </c>
    </row>
    <row r="88" spans="1:6">
      <c r="A88" s="43" t="s">
        <v>46</v>
      </c>
      <c r="B88" s="218">
        <v>2022</v>
      </c>
      <c r="C88" s="207" t="s">
        <v>47</v>
      </c>
      <c r="D88" s="459">
        <f>'Schedule NJNG-3 - Page 3'!M$133</f>
        <v>18493796.460000001</v>
      </c>
      <c r="E88" s="179">
        <v>1.9099999999999999E-2</v>
      </c>
      <c r="F88" s="230">
        <f t="shared" si="5"/>
        <v>353231.51238600002</v>
      </c>
    </row>
    <row r="89" spans="1:6">
      <c r="A89" s="43" t="s">
        <v>48</v>
      </c>
      <c r="B89" s="218">
        <v>2022</v>
      </c>
      <c r="C89" s="44" t="s">
        <v>47</v>
      </c>
      <c r="D89" s="581">
        <f>'Schedule NJNG-3 - Page 3'!N$133</f>
        <v>19234270.239999998</v>
      </c>
      <c r="E89" s="179">
        <v>1.9099999999999999E-2</v>
      </c>
      <c r="F89" s="231">
        <f t="shared" si="5"/>
        <v>367374.56158399995</v>
      </c>
    </row>
    <row r="90" spans="1:6">
      <c r="D90" s="34">
        <f>SUM(D78:D89)</f>
        <v>686978726.06999993</v>
      </c>
      <c r="F90" s="257">
        <f>SUM(F78:F89)</f>
        <v>12078297.074722998</v>
      </c>
    </row>
    <row r="92" spans="1:6">
      <c r="A92" s="43" t="s">
        <v>50</v>
      </c>
      <c r="B92" s="309">
        <v>2022</v>
      </c>
      <c r="C92" s="207" t="s">
        <v>47</v>
      </c>
      <c r="D92" s="459">
        <f>'Schedule NJNG-3 - Page 3'!C$159</f>
        <v>36639189.810000002</v>
      </c>
      <c r="E92" s="179">
        <f>'Schedule NJNG-2 - Page 2'!$H$40</f>
        <v>2.2700000000000001E-2</v>
      </c>
      <c r="F92" s="230">
        <f t="shared" ref="F92:F103" si="6">D92*E92</f>
        <v>831709.60868700012</v>
      </c>
    </row>
    <row r="93" spans="1:6">
      <c r="A93" s="43" t="s">
        <v>51</v>
      </c>
      <c r="B93" s="309">
        <v>2022</v>
      </c>
      <c r="C93" s="207" t="s">
        <v>47</v>
      </c>
      <c r="D93" s="459">
        <f>'Schedule NJNG-3 - Page 3'!D$159</f>
        <v>64702291.769999996</v>
      </c>
      <c r="E93" s="179">
        <f>'Schedule NJNG-2 - Page 2'!$H$40</f>
        <v>2.2700000000000001E-2</v>
      </c>
      <c r="F93" s="230">
        <f t="shared" si="6"/>
        <v>1468742.023179</v>
      </c>
    </row>
    <row r="94" spans="1:6">
      <c r="A94" s="43" t="s">
        <v>52</v>
      </c>
      <c r="B94" s="309">
        <v>2022</v>
      </c>
      <c r="C94" s="44" t="s">
        <v>47</v>
      </c>
      <c r="D94" s="459">
        <f>'Schedule NJNG-3 - Page 3'!E$159</f>
        <v>117237547.95</v>
      </c>
      <c r="E94" s="179">
        <f>'Schedule NJNG-2 - Page 2'!$H$40</f>
        <v>2.2700000000000001E-2</v>
      </c>
      <c r="F94" s="230">
        <f t="shared" si="6"/>
        <v>2661292.338465</v>
      </c>
    </row>
    <row r="95" spans="1:6">
      <c r="A95" s="43" t="s">
        <v>53</v>
      </c>
      <c r="B95" s="309">
        <v>2023</v>
      </c>
      <c r="C95" s="207" t="s">
        <v>47</v>
      </c>
      <c r="D95" s="459">
        <f>'Schedule NJNG-3 - Page 3'!F$159</f>
        <v>97910790.849999994</v>
      </c>
      <c r="E95" s="179">
        <f>'Schedule NJNG-2 - Page 2'!$H$40</f>
        <v>2.2700000000000001E-2</v>
      </c>
      <c r="F95" s="230">
        <f t="shared" si="6"/>
        <v>2222574.9522950002</v>
      </c>
    </row>
    <row r="96" spans="1:6">
      <c r="A96" s="43" t="s">
        <v>54</v>
      </c>
      <c r="B96" s="309">
        <v>2023</v>
      </c>
      <c r="C96" s="207" t="s">
        <v>47</v>
      </c>
      <c r="D96" s="459">
        <f>'Schedule NJNG-3 - Page 3'!G$159</f>
        <v>93301486.239999995</v>
      </c>
      <c r="E96" s="179">
        <f>'Schedule NJNG-2 - Page 2'!$H$40</f>
        <v>2.2700000000000001E-2</v>
      </c>
      <c r="F96" s="230">
        <f t="shared" si="6"/>
        <v>2117943.737648</v>
      </c>
    </row>
    <row r="97" spans="1:6">
      <c r="A97" s="43" t="s">
        <v>55</v>
      </c>
      <c r="B97" s="309">
        <v>2023</v>
      </c>
      <c r="C97" s="44" t="s">
        <v>47</v>
      </c>
      <c r="D97" s="459">
        <f>'Schedule NJNG-3 - Page 3'!H$159</f>
        <v>90294440.979999989</v>
      </c>
      <c r="E97" s="179">
        <f>'Schedule NJNG-2 - Page 2'!$H$40</f>
        <v>2.2700000000000001E-2</v>
      </c>
      <c r="F97" s="230">
        <f t="shared" si="6"/>
        <v>2049683.8102459998</v>
      </c>
    </row>
    <row r="98" spans="1:6">
      <c r="A98" s="43" t="s">
        <v>56</v>
      </c>
      <c r="B98" s="309">
        <v>2023</v>
      </c>
      <c r="C98" s="44" t="s">
        <v>60</v>
      </c>
      <c r="D98" s="459">
        <f>'Schedule NJNG-3 - Page 3'!I$159</f>
        <v>52757923.475015663</v>
      </c>
      <c r="E98" s="179">
        <f>'Schedule NJNG-2 - Page 2'!$H$40</f>
        <v>2.2700000000000001E-2</v>
      </c>
      <c r="F98" s="230">
        <f t="shared" si="6"/>
        <v>1197604.8628828556</v>
      </c>
    </row>
    <row r="99" spans="1:6">
      <c r="A99" s="43" t="s">
        <v>57</v>
      </c>
      <c r="B99" s="309">
        <v>2023</v>
      </c>
      <c r="C99" s="44" t="s">
        <v>60</v>
      </c>
      <c r="D99" s="459">
        <f>'Schedule NJNG-3 - Page 3'!J$159</f>
        <v>30009735.949472312</v>
      </c>
      <c r="E99" s="179">
        <f>'Schedule NJNG-2 - Page 2'!$H$40</f>
        <v>2.2700000000000001E-2</v>
      </c>
      <c r="F99" s="230">
        <f t="shared" si="6"/>
        <v>681221.00605302153</v>
      </c>
    </row>
    <row r="100" spans="1:6">
      <c r="A100" s="178" t="s">
        <v>58</v>
      </c>
      <c r="B100" s="309">
        <v>2023</v>
      </c>
      <c r="C100" s="44" t="s">
        <v>60</v>
      </c>
      <c r="D100" s="459">
        <f>'Schedule NJNG-3 - Page 3'!K$159</f>
        <v>20587990.577781532</v>
      </c>
      <c r="E100" s="179">
        <f>'Schedule NJNG-2 - Page 2'!$H$40</f>
        <v>2.2700000000000001E-2</v>
      </c>
      <c r="F100" s="230">
        <f t="shared" si="6"/>
        <v>467347.38611564081</v>
      </c>
    </row>
    <row r="101" spans="1:6">
      <c r="A101" s="43" t="s">
        <v>59</v>
      </c>
      <c r="B101" s="309">
        <v>2023</v>
      </c>
      <c r="C101" s="44" t="s">
        <v>60</v>
      </c>
      <c r="D101" s="459">
        <f>'Schedule NJNG-3 - Page 3'!L$159</f>
        <v>20308808.844235044</v>
      </c>
      <c r="E101" s="179">
        <f>'Schedule NJNG-2 - Page 2'!$H$40</f>
        <v>2.2700000000000001E-2</v>
      </c>
      <c r="F101" s="230">
        <f t="shared" si="6"/>
        <v>461009.96076413553</v>
      </c>
    </row>
    <row r="102" spans="1:6">
      <c r="A102" s="43" t="s">
        <v>46</v>
      </c>
      <c r="B102" s="309">
        <v>2023</v>
      </c>
      <c r="C102" s="44" t="s">
        <v>60</v>
      </c>
      <c r="D102" s="459">
        <f>'Schedule NJNG-3 - Page 3'!M$159</f>
        <v>19674749.269770946</v>
      </c>
      <c r="E102" s="179">
        <f>'Schedule NJNG-2 - Page 2'!$H$40</f>
        <v>2.2700000000000001E-2</v>
      </c>
      <c r="F102" s="230">
        <f t="shared" si="6"/>
        <v>446616.80842380051</v>
      </c>
    </row>
    <row r="103" spans="1:6">
      <c r="A103" s="43" t="s">
        <v>48</v>
      </c>
      <c r="B103" s="309">
        <v>2023</v>
      </c>
      <c r="C103" s="44" t="s">
        <v>60</v>
      </c>
      <c r="D103" s="581">
        <f>'Schedule NJNG-3 - Page 3'!N$159</f>
        <v>19789446.18331366</v>
      </c>
      <c r="E103" s="179">
        <f>'Schedule NJNG-2 - Page 2'!$H$40</f>
        <v>2.2700000000000001E-2</v>
      </c>
      <c r="F103" s="231">
        <f t="shared" si="6"/>
        <v>449220.42836122011</v>
      </c>
    </row>
    <row r="104" spans="1:6">
      <c r="D104" s="35">
        <f>SUM(D92:D103)</f>
        <v>663214401.89958918</v>
      </c>
      <c r="F104" s="28">
        <f>SUM(F92:F103)</f>
        <v>15054966.923120674</v>
      </c>
    </row>
    <row r="105" spans="1:6">
      <c r="D105" s="250"/>
    </row>
    <row r="106" spans="1:6">
      <c r="A106" s="43" t="s">
        <v>50</v>
      </c>
      <c r="B106" s="309">
        <v>2023</v>
      </c>
      <c r="C106" s="44" t="s">
        <v>60</v>
      </c>
      <c r="D106" s="459">
        <f>'Schedule NJNG-3 - Page 3'!C$185</f>
        <v>36677934.328970909</v>
      </c>
      <c r="E106" s="179">
        <f>'Schedule NJNG-2 - Page 2'!$H$37</f>
        <v>2.3300000000000001E-2</v>
      </c>
      <c r="F106" s="230">
        <f t="shared" ref="F106:F117" si="7">D106*E106</f>
        <v>854595.86986502225</v>
      </c>
    </row>
    <row r="107" spans="1:6">
      <c r="A107" s="43" t="s">
        <v>51</v>
      </c>
      <c r="B107" s="309">
        <v>2023</v>
      </c>
      <c r="C107" s="44" t="s">
        <v>60</v>
      </c>
      <c r="D107" s="459">
        <f>'Schedule NJNG-3 - Page 3'!D$185</f>
        <v>72233308.458887279</v>
      </c>
      <c r="E107" s="179">
        <f>'Schedule NJNG-2 - Page 2'!$H$37</f>
        <v>2.3300000000000001E-2</v>
      </c>
      <c r="F107" s="230">
        <f t="shared" si="7"/>
        <v>1683036.0870920736</v>
      </c>
    </row>
    <row r="108" spans="1:6">
      <c r="A108" s="43" t="s">
        <v>52</v>
      </c>
      <c r="B108" s="309">
        <v>2023</v>
      </c>
      <c r="C108" s="44" t="s">
        <v>60</v>
      </c>
      <c r="D108" s="459">
        <f>'Schedule NJNG-3 - Page 3'!E$185</f>
        <v>113635830.1174086</v>
      </c>
      <c r="E108" s="179">
        <f>'Schedule NJNG-2 - Page 2'!$H$37</f>
        <v>2.3300000000000001E-2</v>
      </c>
      <c r="F108" s="230">
        <f t="shared" si="7"/>
        <v>2647714.8417356205</v>
      </c>
    </row>
    <row r="109" spans="1:6">
      <c r="A109" s="43" t="s">
        <v>53</v>
      </c>
      <c r="B109" s="309">
        <v>2024</v>
      </c>
      <c r="C109" s="44" t="s">
        <v>60</v>
      </c>
      <c r="D109" s="459">
        <f>'Schedule NJNG-3 - Page 3'!F$185</f>
        <v>137753094.0985454</v>
      </c>
      <c r="E109" s="179">
        <f>'Schedule NJNG-2 - Page 2'!$H$37</f>
        <v>2.3300000000000001E-2</v>
      </c>
      <c r="F109" s="230">
        <f t="shared" si="7"/>
        <v>3209647.0924961083</v>
      </c>
    </row>
    <row r="110" spans="1:6">
      <c r="A110" s="43" t="s">
        <v>54</v>
      </c>
      <c r="B110" s="309">
        <v>2024</v>
      </c>
      <c r="C110" s="44" t="s">
        <v>60</v>
      </c>
      <c r="D110" s="459">
        <f>'Schedule NJNG-3 - Page 3'!G$185</f>
        <v>119194658.66519555</v>
      </c>
      <c r="E110" s="179">
        <f>'Schedule NJNG-2 - Page 2'!$H$37</f>
        <v>2.3300000000000001E-2</v>
      </c>
      <c r="F110" s="230">
        <f t="shared" si="7"/>
        <v>2777235.5468990565</v>
      </c>
    </row>
    <row r="111" spans="1:6">
      <c r="A111" s="43" t="s">
        <v>55</v>
      </c>
      <c r="B111" s="309">
        <v>2024</v>
      </c>
      <c r="C111" s="44" t="s">
        <v>60</v>
      </c>
      <c r="D111" s="459">
        <f>'Schedule NJNG-3 - Page 3'!H$185</f>
        <v>95397643.718969241</v>
      </c>
      <c r="E111" s="179">
        <f>'Schedule NJNG-2 - Page 2'!$H$37</f>
        <v>2.3300000000000001E-2</v>
      </c>
      <c r="F111" s="230">
        <f t="shared" si="7"/>
        <v>2222765.0986519833</v>
      </c>
    </row>
    <row r="112" spans="1:6">
      <c r="A112" s="43" t="s">
        <v>56</v>
      </c>
      <c r="B112" s="309">
        <v>2024</v>
      </c>
      <c r="C112" s="44" t="s">
        <v>60</v>
      </c>
      <c r="D112" s="459">
        <f>'Schedule NJNG-3 - Page 3'!I$185</f>
        <v>53352080.993645065</v>
      </c>
      <c r="E112" s="179">
        <f>'Schedule NJNG-2 - Page 2'!$H$37</f>
        <v>2.3300000000000001E-2</v>
      </c>
      <c r="F112" s="230">
        <f t="shared" si="7"/>
        <v>1243103.4871519301</v>
      </c>
    </row>
    <row r="113" spans="1:6">
      <c r="A113" s="43" t="s">
        <v>57</v>
      </c>
      <c r="B113" s="309">
        <v>2024</v>
      </c>
      <c r="C113" s="44" t="s">
        <v>60</v>
      </c>
      <c r="D113" s="459">
        <f>'Schedule NJNG-3 - Page 3'!J$185</f>
        <v>29953344.407687768</v>
      </c>
      <c r="E113" s="179">
        <f>'Schedule NJNG-2 - Page 2'!$H$37</f>
        <v>2.3300000000000001E-2</v>
      </c>
      <c r="F113" s="230">
        <f t="shared" si="7"/>
        <v>697912.924699125</v>
      </c>
    </row>
    <row r="114" spans="1:6">
      <c r="A114" s="178" t="s">
        <v>58</v>
      </c>
      <c r="B114" s="309">
        <v>2024</v>
      </c>
      <c r="C114" s="44" t="s">
        <v>60</v>
      </c>
      <c r="D114" s="459">
        <f>'Schedule NJNG-3 - Page 3'!K$185</f>
        <v>20760803.046001889</v>
      </c>
      <c r="E114" s="179">
        <f>'Schedule NJNG-2 - Page 2'!$H$37</f>
        <v>2.3300000000000001E-2</v>
      </c>
      <c r="F114" s="230">
        <f t="shared" si="7"/>
        <v>483726.71097184403</v>
      </c>
    </row>
    <row r="115" spans="1:6">
      <c r="A115" s="43" t="s">
        <v>59</v>
      </c>
      <c r="B115" s="309">
        <v>2024</v>
      </c>
      <c r="C115" s="44" t="s">
        <v>60</v>
      </c>
      <c r="D115" s="459">
        <f>'Schedule NJNG-3 - Page 3'!L$185</f>
        <v>20484261.900279835</v>
      </c>
      <c r="E115" s="179">
        <f>'Schedule NJNG-2 - Page 2'!$H$37</f>
        <v>2.3300000000000001E-2</v>
      </c>
      <c r="F115" s="230">
        <f t="shared" si="7"/>
        <v>477283.30227652017</v>
      </c>
    </row>
    <row r="116" spans="1:6">
      <c r="A116" s="43" t="s">
        <v>46</v>
      </c>
      <c r="B116" s="309">
        <v>2024</v>
      </c>
      <c r="C116" s="44" t="s">
        <v>60</v>
      </c>
      <c r="D116" s="459">
        <f>'Schedule NJNG-3 - Page 3'!M$185</f>
        <v>19847471.801727988</v>
      </c>
      <c r="E116" s="179">
        <f>'Schedule NJNG-2 - Page 2'!$H$37</f>
        <v>2.3300000000000001E-2</v>
      </c>
      <c r="F116" s="230">
        <f t="shared" si="7"/>
        <v>462446.09298026212</v>
      </c>
    </row>
    <row r="117" spans="1:6">
      <c r="A117" s="43" t="s">
        <v>48</v>
      </c>
      <c r="B117" s="309">
        <v>2024</v>
      </c>
      <c r="C117" s="44" t="s">
        <v>60</v>
      </c>
      <c r="D117" s="581">
        <f>'Schedule NJNG-3 - Page 3'!N$185</f>
        <v>19963288.081320465</v>
      </c>
      <c r="E117" s="179">
        <f>'Schedule NJNG-2 - Page 2'!$H$37</f>
        <v>2.3300000000000001E-2</v>
      </c>
      <c r="F117" s="231">
        <f t="shared" si="7"/>
        <v>465144.61229476688</v>
      </c>
    </row>
    <row r="118" spans="1:6">
      <c r="D118" s="34">
        <f>SUM(D106:D117)</f>
        <v>739253719.61864018</v>
      </c>
      <c r="F118" s="28">
        <f>SUM(F106:F117)</f>
        <v>17224611.66711431</v>
      </c>
    </row>
  </sheetData>
  <mergeCells count="2">
    <mergeCell ref="E1:F1"/>
    <mergeCell ref="E2:F2"/>
  </mergeCells>
  <pageMargins left="0.45" right="0.2" top="0.5" bottom="0.2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86"/>
  <sheetViews>
    <sheetView workbookViewId="0">
      <selection activeCell="A3" sqref="A3:XFD108"/>
    </sheetView>
  </sheetViews>
  <sheetFormatPr defaultRowHeight="12.75"/>
  <cols>
    <col min="1" max="1" width="25" customWidth="1"/>
    <col min="2" max="2" width="6" customWidth="1"/>
    <col min="3" max="14" width="12.7109375" customWidth="1"/>
    <col min="15" max="15" width="16.7109375" bestFit="1" customWidth="1"/>
    <col min="16" max="16" width="14" bestFit="1" customWidth="1"/>
  </cols>
  <sheetData>
    <row r="1" spans="1:17" ht="15.75">
      <c r="N1" s="656" t="s">
        <v>251</v>
      </c>
      <c r="O1" s="656"/>
    </row>
    <row r="2" spans="1:17" ht="15.75">
      <c r="N2" s="656" t="s">
        <v>230</v>
      </c>
      <c r="O2" s="656"/>
    </row>
    <row r="3" spans="1:17" ht="13.5" hidden="1" thickBot="1"/>
    <row r="4" spans="1:17" ht="15.75" hidden="1" customHeight="1">
      <c r="A4" s="233"/>
      <c r="C4" s="688" t="s">
        <v>231</v>
      </c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90"/>
      <c r="O4" s="686" t="s">
        <v>253</v>
      </c>
      <c r="P4" s="263"/>
      <c r="Q4" s="263"/>
    </row>
    <row r="5" spans="1:17" ht="13.5" hidden="1" customHeight="1" thickBot="1">
      <c r="C5" s="234">
        <v>43009</v>
      </c>
      <c r="D5" s="234">
        <v>43040</v>
      </c>
      <c r="E5" s="234">
        <v>43070</v>
      </c>
      <c r="F5" s="234">
        <v>43101</v>
      </c>
      <c r="G5" s="234">
        <v>43132</v>
      </c>
      <c r="H5" s="234">
        <v>43160</v>
      </c>
      <c r="I5" s="234">
        <v>43191</v>
      </c>
      <c r="J5" s="234">
        <v>43221</v>
      </c>
      <c r="K5" s="234">
        <v>43252</v>
      </c>
      <c r="L5" s="234">
        <v>43282</v>
      </c>
      <c r="M5" s="234">
        <v>43313</v>
      </c>
      <c r="N5" s="234">
        <v>43344</v>
      </c>
      <c r="O5" s="687"/>
    </row>
    <row r="6" spans="1:17" hidden="1">
      <c r="A6" t="s">
        <v>233</v>
      </c>
      <c r="C6" s="235">
        <v>175764.77</v>
      </c>
      <c r="D6" s="235">
        <v>173455.26</v>
      </c>
      <c r="E6" s="235">
        <v>242989.55</v>
      </c>
      <c r="F6" s="235">
        <v>299384.59999999998</v>
      </c>
      <c r="G6" s="235">
        <v>210177.32000000004</v>
      </c>
      <c r="H6" s="235">
        <v>229360.1</v>
      </c>
      <c r="I6" s="241">
        <v>157116.19000000003</v>
      </c>
      <c r="J6" s="235">
        <v>131174</v>
      </c>
      <c r="K6" s="235">
        <v>233277</v>
      </c>
      <c r="L6" s="235">
        <v>215302.78000000003</v>
      </c>
      <c r="M6" s="264">
        <v>181087.95</v>
      </c>
      <c r="N6" s="235">
        <v>182480.16</v>
      </c>
      <c r="O6" s="235">
        <f>SUM(C6:N6)</f>
        <v>2431569.6800000002</v>
      </c>
      <c r="P6" s="243"/>
    </row>
    <row r="7" spans="1:17" hidden="1">
      <c r="A7" t="s">
        <v>234</v>
      </c>
      <c r="C7" s="235">
        <v>13151759.390000001</v>
      </c>
      <c r="D7" s="235">
        <v>42794724.61999999</v>
      </c>
      <c r="E7" s="235">
        <v>79524176.38000001</v>
      </c>
      <c r="F7" s="235">
        <v>94634330.469999999</v>
      </c>
      <c r="G7" s="235">
        <v>59141879.090000011</v>
      </c>
      <c r="H7" s="235">
        <v>70313723.589999989</v>
      </c>
      <c r="I7" s="241">
        <v>40386895.670000002</v>
      </c>
      <c r="J7" s="235">
        <v>13466222</v>
      </c>
      <c r="K7" s="235">
        <v>11633921</v>
      </c>
      <c r="L7" s="235">
        <v>10001330.630000001</v>
      </c>
      <c r="M7" s="264">
        <v>8862873.5500000007</v>
      </c>
      <c r="N7" s="235">
        <v>8617784.4499999993</v>
      </c>
      <c r="O7" s="235">
        <f t="shared" ref="O7:O13" si="0">SUM(C7:N7)</f>
        <v>452529620.83999997</v>
      </c>
      <c r="P7" s="243"/>
    </row>
    <row r="8" spans="1:17" hidden="1">
      <c r="A8" t="s">
        <v>235</v>
      </c>
      <c r="C8" s="235">
        <v>635348.11</v>
      </c>
      <c r="D8" s="235">
        <v>2471037.7100000004</v>
      </c>
      <c r="E8" s="235">
        <v>4944000.6099999994</v>
      </c>
      <c r="F8" s="235">
        <v>6685911.1799999997</v>
      </c>
      <c r="G8" s="235">
        <v>4113355.1699999995</v>
      </c>
      <c r="H8" s="235">
        <v>4837031.66</v>
      </c>
      <c r="I8" s="241">
        <v>2433038.1200000006</v>
      </c>
      <c r="J8" s="235">
        <v>465586</v>
      </c>
      <c r="K8" s="235">
        <v>486137</v>
      </c>
      <c r="L8" s="235">
        <v>508885.09</v>
      </c>
      <c r="M8" s="264">
        <v>433710.51</v>
      </c>
      <c r="N8" s="235">
        <v>441400.67999999993</v>
      </c>
      <c r="O8" s="235">
        <f t="shared" si="0"/>
        <v>28455441.84</v>
      </c>
      <c r="P8" s="243"/>
    </row>
    <row r="9" spans="1:17" hidden="1">
      <c r="A9" t="s">
        <v>236</v>
      </c>
      <c r="C9" s="235">
        <v>2219759</v>
      </c>
      <c r="D9" s="235">
        <v>5508587.9299999988</v>
      </c>
      <c r="E9" s="235">
        <v>9312091.4000000004</v>
      </c>
      <c r="F9" s="235">
        <v>10715552.420000002</v>
      </c>
      <c r="G9" s="235">
        <v>7120499.7500000009</v>
      </c>
      <c r="H9" s="235">
        <v>8331843.79</v>
      </c>
      <c r="I9" s="241">
        <v>5275457.43</v>
      </c>
      <c r="J9" s="235">
        <v>2358580</v>
      </c>
      <c r="K9" s="235">
        <v>1964007</v>
      </c>
      <c r="L9" s="235">
        <v>1849997.61</v>
      </c>
      <c r="M9" s="264">
        <v>1821509.7899999998</v>
      </c>
      <c r="N9" s="235">
        <v>1580969.5099999998</v>
      </c>
      <c r="O9" s="235">
        <f t="shared" si="0"/>
        <v>58058855.629999995</v>
      </c>
      <c r="P9" s="243"/>
    </row>
    <row r="10" spans="1:17" hidden="1">
      <c r="A10" t="s">
        <v>237</v>
      </c>
      <c r="C10" s="235">
        <v>0</v>
      </c>
      <c r="D10" s="235">
        <v>0</v>
      </c>
      <c r="E10" s="235">
        <v>0</v>
      </c>
      <c r="F10" s="235">
        <v>0</v>
      </c>
      <c r="G10" s="235">
        <v>5918.38</v>
      </c>
      <c r="H10" s="235">
        <v>0</v>
      </c>
      <c r="I10" s="241">
        <v>0</v>
      </c>
      <c r="J10" s="235">
        <v>0</v>
      </c>
      <c r="K10" s="235">
        <v>0</v>
      </c>
      <c r="L10" s="235">
        <v>0</v>
      </c>
      <c r="M10" s="264">
        <v>0</v>
      </c>
      <c r="N10" s="235">
        <v>0</v>
      </c>
      <c r="O10" s="235">
        <f t="shared" si="0"/>
        <v>5918.38</v>
      </c>
      <c r="P10" s="243"/>
    </row>
    <row r="11" spans="1:17" hidden="1">
      <c r="A11" t="s">
        <v>258</v>
      </c>
      <c r="C11" s="235"/>
      <c r="D11" s="235"/>
      <c r="E11" s="235"/>
      <c r="F11" s="235"/>
      <c r="G11" s="235"/>
      <c r="H11" s="235"/>
      <c r="I11" s="241"/>
      <c r="J11" s="235">
        <v>6841</v>
      </c>
      <c r="K11" s="235">
        <v>3108</v>
      </c>
      <c r="L11" s="235">
        <v>-4251.1499999999996</v>
      </c>
      <c r="M11" s="264">
        <v>0</v>
      </c>
      <c r="N11" s="235">
        <v>0</v>
      </c>
      <c r="O11" s="235">
        <f t="shared" si="0"/>
        <v>5697.85</v>
      </c>
      <c r="P11" s="243"/>
    </row>
    <row r="12" spans="1:17" ht="14.25" hidden="1">
      <c r="A12" s="237" t="s">
        <v>238</v>
      </c>
      <c r="C12" s="235">
        <v>134463.96</v>
      </c>
      <c r="D12" s="235">
        <v>196617.55</v>
      </c>
      <c r="E12" s="235">
        <v>218133.00999999998</v>
      </c>
      <c r="F12" s="235">
        <v>188509.8</v>
      </c>
      <c r="G12" s="235">
        <v>99911.020000000019</v>
      </c>
      <c r="H12" s="235">
        <v>91878.289999999979</v>
      </c>
      <c r="I12" s="241">
        <v>151426.35999999999</v>
      </c>
      <c r="J12" s="235">
        <v>149749</v>
      </c>
      <c r="K12" s="235">
        <v>125982</v>
      </c>
      <c r="L12" s="235">
        <v>137418.27999999997</v>
      </c>
      <c r="M12" s="264">
        <v>137515.69</v>
      </c>
      <c r="N12" s="235">
        <v>69724.970000000016</v>
      </c>
      <c r="O12" s="235">
        <f t="shared" si="0"/>
        <v>1701329.9300000002</v>
      </c>
      <c r="P12" s="243"/>
    </row>
    <row r="13" spans="1:17" ht="14.25" hidden="1">
      <c r="A13" s="237" t="s">
        <v>257</v>
      </c>
      <c r="C13" s="238">
        <v>67296.070000000007</v>
      </c>
      <c r="D13" s="238">
        <v>61554.14</v>
      </c>
      <c r="E13" s="238">
        <v>67688.89</v>
      </c>
      <c r="F13" s="238">
        <v>60528.200000000004</v>
      </c>
      <c r="G13" s="238">
        <v>44296.14</v>
      </c>
      <c r="H13" s="238">
        <v>48406.45</v>
      </c>
      <c r="I13" s="259">
        <v>53213.71</v>
      </c>
      <c r="J13" s="238">
        <v>120</v>
      </c>
      <c r="K13" s="238">
        <v>60496</v>
      </c>
      <c r="L13" s="238">
        <v>56545.960000000006</v>
      </c>
      <c r="M13" s="265">
        <v>58849.194999999985</v>
      </c>
      <c r="N13" s="238">
        <v>64304.770000000004</v>
      </c>
      <c r="O13" s="238">
        <f t="shared" si="0"/>
        <v>643299.52500000002</v>
      </c>
      <c r="P13" s="243"/>
    </row>
    <row r="14" spans="1:17" ht="15" hidden="1">
      <c r="A14" s="682" t="s">
        <v>239</v>
      </c>
      <c r="B14" s="682"/>
      <c r="C14" s="235">
        <f t="shared" ref="C14:O14" si="1">SUM(C6:C13)</f>
        <v>16384391.300000001</v>
      </c>
      <c r="D14" s="235">
        <f t="shared" si="1"/>
        <v>51205977.209999986</v>
      </c>
      <c r="E14" s="235">
        <f t="shared" si="1"/>
        <v>94309079.840000018</v>
      </c>
      <c r="F14" s="235">
        <f t="shared" si="1"/>
        <v>112584216.67</v>
      </c>
      <c r="G14" s="235">
        <f t="shared" si="1"/>
        <v>70736036.870000005</v>
      </c>
      <c r="H14" s="235">
        <f t="shared" si="1"/>
        <v>83852243.879999995</v>
      </c>
      <c r="I14" s="241">
        <f t="shared" si="1"/>
        <v>48457147.479999997</v>
      </c>
      <c r="J14" s="235">
        <f t="shared" si="1"/>
        <v>16578272</v>
      </c>
      <c r="K14" s="235">
        <f t="shared" si="1"/>
        <v>14506928</v>
      </c>
      <c r="L14" s="235">
        <f t="shared" si="1"/>
        <v>12765229.199999999</v>
      </c>
      <c r="M14" s="235">
        <f t="shared" si="1"/>
        <v>11495546.684999999</v>
      </c>
      <c r="N14" s="235">
        <f t="shared" si="1"/>
        <v>10956664.539999999</v>
      </c>
      <c r="O14" s="235">
        <f t="shared" si="1"/>
        <v>543831733.67499995</v>
      </c>
      <c r="P14" s="244"/>
    </row>
    <row r="15" spans="1:17" hidden="1">
      <c r="I15" s="48"/>
      <c r="P15" s="243"/>
    </row>
    <row r="16" spans="1:17" hidden="1">
      <c r="A16" t="s">
        <v>240</v>
      </c>
      <c r="C16" s="235">
        <v>1016305.8300000001</v>
      </c>
      <c r="D16" s="235">
        <v>3195753.45</v>
      </c>
      <c r="E16" s="235">
        <v>5853827.0999999996</v>
      </c>
      <c r="F16" s="235">
        <v>6787103.2299999995</v>
      </c>
      <c r="G16" s="235">
        <v>4170980.2700000005</v>
      </c>
      <c r="H16" s="235">
        <v>4924091.129999999</v>
      </c>
      <c r="I16" s="241">
        <v>2778011.7300000004</v>
      </c>
      <c r="J16" s="235">
        <v>933957.60000000021</v>
      </c>
      <c r="K16" s="235">
        <v>672065.76000000013</v>
      </c>
      <c r="L16" s="235">
        <v>616151.79</v>
      </c>
      <c r="M16" s="264">
        <v>523268.96</v>
      </c>
      <c r="N16" s="235">
        <v>501693.73000000004</v>
      </c>
      <c r="O16" s="235">
        <f t="shared" ref="O16:O23" si="2">SUM(C16:N16)</f>
        <v>31973210.580000002</v>
      </c>
      <c r="P16" s="243"/>
    </row>
    <row r="17" spans="1:16" hidden="1">
      <c r="A17" t="s">
        <v>241</v>
      </c>
      <c r="C17" s="235">
        <v>11874.459999999997</v>
      </c>
      <c r="D17" s="235">
        <v>16263.57</v>
      </c>
      <c r="E17" s="235">
        <v>23662.46</v>
      </c>
      <c r="F17" s="235">
        <v>25263.38</v>
      </c>
      <c r="G17" s="235">
        <v>18646.649999999998</v>
      </c>
      <c r="H17" s="235">
        <v>21713.73</v>
      </c>
      <c r="I17" s="241">
        <v>15455.549999999997</v>
      </c>
      <c r="J17" s="235">
        <v>12017.460000000001</v>
      </c>
      <c r="K17" s="235">
        <v>19379.96</v>
      </c>
      <c r="L17" s="235">
        <v>-311.96000000000015</v>
      </c>
      <c r="M17" s="264">
        <v>8550.9399999999987</v>
      </c>
      <c r="N17" s="235">
        <v>8199.9600000000009</v>
      </c>
      <c r="O17" s="235">
        <f t="shared" si="2"/>
        <v>180716.15999999997</v>
      </c>
      <c r="P17" s="243"/>
    </row>
    <row r="18" spans="1:16" hidden="1">
      <c r="A18" t="s">
        <v>242</v>
      </c>
      <c r="C18" s="235">
        <v>195854</v>
      </c>
      <c r="D18" s="235">
        <v>525037</v>
      </c>
      <c r="E18" s="235">
        <v>732845</v>
      </c>
      <c r="F18" s="235">
        <v>822112</v>
      </c>
      <c r="G18" s="235">
        <v>605632</v>
      </c>
      <c r="H18" s="235">
        <v>682941</v>
      </c>
      <c r="I18" s="241">
        <v>522040</v>
      </c>
      <c r="J18" s="235">
        <v>148324</v>
      </c>
      <c r="K18" s="235">
        <v>114010</v>
      </c>
      <c r="L18" s="235">
        <v>104663</v>
      </c>
      <c r="M18" s="264">
        <v>109082</v>
      </c>
      <c r="N18" s="235">
        <v>120974</v>
      </c>
      <c r="O18" s="235">
        <f t="shared" si="2"/>
        <v>4683514</v>
      </c>
      <c r="P18" s="243"/>
    </row>
    <row r="19" spans="1:16" hidden="1">
      <c r="A19" t="s">
        <v>243</v>
      </c>
      <c r="C19" s="235">
        <v>1776703</v>
      </c>
      <c r="D19" s="235">
        <v>1997546</v>
      </c>
      <c r="E19" s="235">
        <v>1678661</v>
      </c>
      <c r="F19" s="235">
        <v>2019530</v>
      </c>
      <c r="G19" s="235">
        <v>1923172</v>
      </c>
      <c r="H19" s="235">
        <v>1777431</v>
      </c>
      <c r="I19" s="241">
        <v>1805550</v>
      </c>
      <c r="J19" s="235">
        <v>2211833</v>
      </c>
      <c r="K19" s="235">
        <v>1658065</v>
      </c>
      <c r="L19" s="235">
        <v>1388212</v>
      </c>
      <c r="M19" s="264">
        <v>1622952</v>
      </c>
      <c r="N19" s="235">
        <v>1559313</v>
      </c>
      <c r="O19" s="235">
        <f t="shared" si="2"/>
        <v>21418968</v>
      </c>
      <c r="P19" s="243"/>
    </row>
    <row r="20" spans="1:16" hidden="1">
      <c r="A20" t="s">
        <v>244</v>
      </c>
      <c r="C20" s="235">
        <v>3456196.8800000004</v>
      </c>
      <c r="D20" s="235">
        <v>8071232.9400000004</v>
      </c>
      <c r="E20" s="235">
        <v>13388400.17</v>
      </c>
      <c r="F20" s="235">
        <v>14511040.92</v>
      </c>
      <c r="G20" s="235">
        <v>9843442.9900000002</v>
      </c>
      <c r="H20" s="235">
        <v>11577858.039999999</v>
      </c>
      <c r="I20" s="241">
        <v>7455217.3600000003</v>
      </c>
      <c r="J20" s="235">
        <v>3759500.6900000004</v>
      </c>
      <c r="K20" s="235">
        <v>3023471.3099999996</v>
      </c>
      <c r="L20" s="235">
        <v>2533563.34</v>
      </c>
      <c r="M20" s="264">
        <v>2550964.42</v>
      </c>
      <c r="N20" s="235">
        <v>2387601.3599999994</v>
      </c>
      <c r="O20" s="235">
        <f t="shared" si="2"/>
        <v>82558490.420000017</v>
      </c>
      <c r="P20" s="243"/>
    </row>
    <row r="21" spans="1:16" hidden="1">
      <c r="A21" t="s">
        <v>245</v>
      </c>
      <c r="C21" s="235">
        <v>239763.4</v>
      </c>
      <c r="D21" s="235">
        <v>838198.15000000014</v>
      </c>
      <c r="E21" s="235">
        <v>1671216.6300000001</v>
      </c>
      <c r="F21" s="235">
        <v>2154959.02</v>
      </c>
      <c r="G21" s="235">
        <v>1330785.6900000002</v>
      </c>
      <c r="H21" s="235">
        <v>1603586.05</v>
      </c>
      <c r="I21" s="241">
        <v>824707.65</v>
      </c>
      <c r="J21" s="235">
        <v>205620.37</v>
      </c>
      <c r="K21" s="235">
        <v>166951.12000000002</v>
      </c>
      <c r="L21" s="235">
        <v>160592.96000000002</v>
      </c>
      <c r="M21" s="264">
        <v>157844.78999999995</v>
      </c>
      <c r="N21" s="235">
        <v>151339.85999999999</v>
      </c>
      <c r="O21" s="235">
        <f t="shared" si="2"/>
        <v>9505565.6899999976</v>
      </c>
      <c r="P21" s="243"/>
    </row>
    <row r="22" spans="1:16" ht="14.25" hidden="1">
      <c r="A22" s="237" t="s">
        <v>246</v>
      </c>
      <c r="C22" s="235">
        <v>280542.26</v>
      </c>
      <c r="D22" s="235">
        <v>431531.22</v>
      </c>
      <c r="E22" s="235">
        <v>445147.49</v>
      </c>
      <c r="F22" s="235">
        <v>377297.81</v>
      </c>
      <c r="G22" s="235">
        <v>309781.25</v>
      </c>
      <c r="H22" s="235">
        <v>381573.25</v>
      </c>
      <c r="I22" s="241">
        <v>267059.56</v>
      </c>
      <c r="J22" s="235">
        <v>287822.69</v>
      </c>
      <c r="K22" s="235">
        <v>305990.45</v>
      </c>
      <c r="L22" s="235">
        <v>278327.52</v>
      </c>
      <c r="M22" s="264">
        <v>307033.75</v>
      </c>
      <c r="N22" s="235">
        <v>292928.32</v>
      </c>
      <c r="O22" s="235">
        <f t="shared" si="2"/>
        <v>3965035.5700000003</v>
      </c>
      <c r="P22" s="243"/>
    </row>
    <row r="23" spans="1:16" ht="14.25" hidden="1">
      <c r="A23" s="256" t="s">
        <v>256</v>
      </c>
      <c r="C23" s="238">
        <v>47377.880000000005</v>
      </c>
      <c r="D23" s="238">
        <v>64627.89</v>
      </c>
      <c r="E23" s="238">
        <v>51493.47</v>
      </c>
      <c r="F23" s="238">
        <v>48427.709999999992</v>
      </c>
      <c r="G23" s="238">
        <v>47293.9</v>
      </c>
      <c r="H23" s="238">
        <v>60618.05</v>
      </c>
      <c r="I23" s="259">
        <v>36360.149999999994</v>
      </c>
      <c r="J23" s="238">
        <v>41815.39</v>
      </c>
      <c r="K23" s="238">
        <v>50788.69</v>
      </c>
      <c r="L23" s="238">
        <v>53897.789999999994</v>
      </c>
      <c r="M23" s="265">
        <v>55606.999999999993</v>
      </c>
      <c r="N23" s="238">
        <v>50429.360000000008</v>
      </c>
      <c r="O23" s="238">
        <f t="shared" si="2"/>
        <v>608737.27999999991</v>
      </c>
      <c r="P23" s="243"/>
    </row>
    <row r="24" spans="1:16" ht="15" hidden="1">
      <c r="A24" s="682" t="s">
        <v>247</v>
      </c>
      <c r="B24" s="682"/>
      <c r="C24" s="235">
        <f>SUM(C16:C23)</f>
        <v>7024617.71</v>
      </c>
      <c r="D24" s="235">
        <f t="shared" ref="D24:N24" si="3">SUM(D16:D23)</f>
        <v>15140190.220000003</v>
      </c>
      <c r="E24" s="235">
        <f t="shared" si="3"/>
        <v>23845253.319999997</v>
      </c>
      <c r="F24" s="235">
        <f t="shared" si="3"/>
        <v>26745734.07</v>
      </c>
      <c r="G24" s="235">
        <f t="shared" si="3"/>
        <v>18249734.75</v>
      </c>
      <c r="H24" s="235">
        <f t="shared" si="3"/>
        <v>21029812.25</v>
      </c>
      <c r="I24" s="241">
        <f t="shared" si="3"/>
        <v>13704402.000000002</v>
      </c>
      <c r="J24" s="235">
        <f t="shared" si="3"/>
        <v>7600891.2000000002</v>
      </c>
      <c r="K24" s="235">
        <f t="shared" si="3"/>
        <v>6010722.29</v>
      </c>
      <c r="L24" s="235">
        <f t="shared" si="3"/>
        <v>5135096.4400000004</v>
      </c>
      <c r="M24" s="235">
        <f t="shared" si="3"/>
        <v>5335303.8600000003</v>
      </c>
      <c r="N24" s="235">
        <f t="shared" si="3"/>
        <v>5072479.59</v>
      </c>
      <c r="O24" s="241">
        <f>SUM(O16:O23)</f>
        <v>154894237.70000002</v>
      </c>
      <c r="P24" s="244"/>
    </row>
    <row r="25" spans="1:16" hidden="1">
      <c r="C25" s="239"/>
      <c r="D25" s="239"/>
      <c r="E25" s="239"/>
      <c r="F25" s="239"/>
      <c r="G25" s="239"/>
      <c r="H25" s="239"/>
      <c r="I25" s="258"/>
      <c r="J25" s="239"/>
      <c r="K25" s="239"/>
      <c r="L25" s="239"/>
      <c r="M25" s="239"/>
      <c r="N25" s="239"/>
      <c r="P25" s="245"/>
    </row>
    <row r="26" spans="1:16" hidden="1">
      <c r="A26" t="s">
        <v>248</v>
      </c>
      <c r="C26" s="235">
        <v>1370500</v>
      </c>
      <c r="D26" s="235">
        <v>1346418</v>
      </c>
      <c r="E26" s="235">
        <v>1138616</v>
      </c>
      <c r="F26" s="235">
        <v>918274.93599999999</v>
      </c>
      <c r="G26" s="235">
        <v>997993</v>
      </c>
      <c r="H26" s="235">
        <v>1132150</v>
      </c>
      <c r="I26" s="241">
        <v>1293999</v>
      </c>
      <c r="J26" s="235">
        <v>1302467</v>
      </c>
      <c r="K26" s="235">
        <v>1191762</v>
      </c>
      <c r="L26" s="235">
        <v>1101055</v>
      </c>
      <c r="M26" s="266">
        <v>1159971</v>
      </c>
      <c r="N26" s="235">
        <v>1160870</v>
      </c>
      <c r="O26" s="235">
        <f>SUM(C26:N26)</f>
        <v>14114075.936000001</v>
      </c>
      <c r="P26" s="243"/>
    </row>
    <row r="27" spans="1:16" hidden="1">
      <c r="I27" s="48"/>
      <c r="P27" s="245"/>
    </row>
    <row r="28" spans="1:16" ht="15.75" hidden="1" thickBot="1">
      <c r="A28" s="682" t="s">
        <v>249</v>
      </c>
      <c r="B28" s="682"/>
      <c r="C28" s="240">
        <f t="shared" ref="C28:O28" si="4">C14+C24+C26</f>
        <v>24779509.010000002</v>
      </c>
      <c r="D28" s="240">
        <f t="shared" si="4"/>
        <v>67692585.429999992</v>
      </c>
      <c r="E28" s="240">
        <f t="shared" si="4"/>
        <v>119292949.16000001</v>
      </c>
      <c r="F28" s="240">
        <f t="shared" si="4"/>
        <v>140248225.676</v>
      </c>
      <c r="G28" s="240">
        <f t="shared" si="4"/>
        <v>89983764.620000005</v>
      </c>
      <c r="H28" s="240">
        <f t="shared" si="4"/>
        <v>106014206.13</v>
      </c>
      <c r="I28" s="242">
        <f t="shared" si="4"/>
        <v>63455548.479999997</v>
      </c>
      <c r="J28" s="242">
        <f t="shared" si="4"/>
        <v>25481630.199999999</v>
      </c>
      <c r="K28" s="242">
        <f t="shared" si="4"/>
        <v>21709412.289999999</v>
      </c>
      <c r="L28" s="242">
        <f t="shared" si="4"/>
        <v>19001380.640000001</v>
      </c>
      <c r="M28" s="242">
        <f t="shared" si="4"/>
        <v>17990821.544999998</v>
      </c>
      <c r="N28" s="242">
        <f t="shared" si="4"/>
        <v>17190014.129999999</v>
      </c>
      <c r="O28" s="242">
        <f t="shared" si="4"/>
        <v>712840047.31099999</v>
      </c>
      <c r="P28" s="244"/>
    </row>
    <row r="29" spans="1:16" ht="13.5" hidden="1" thickTop="1">
      <c r="O29" s="235"/>
      <c r="P29" s="245"/>
    </row>
    <row r="30" spans="1:16" ht="13.5" hidden="1" thickBot="1">
      <c r="O30" s="235"/>
      <c r="P30" s="245"/>
    </row>
    <row r="31" spans="1:16" ht="15.75" hidden="1" thickBot="1">
      <c r="C31" s="691" t="s">
        <v>231</v>
      </c>
      <c r="D31" s="692"/>
      <c r="E31" s="692"/>
      <c r="F31" s="692"/>
      <c r="G31" s="692"/>
      <c r="H31" s="692"/>
      <c r="I31" s="692"/>
      <c r="J31" s="692"/>
      <c r="K31" s="692"/>
      <c r="L31" s="692"/>
      <c r="M31" s="692"/>
      <c r="N31" s="693"/>
      <c r="O31" s="686" t="s">
        <v>254</v>
      </c>
      <c r="P31" s="245"/>
    </row>
    <row r="32" spans="1:16" ht="13.5" hidden="1" thickBot="1">
      <c r="C32" s="234">
        <v>43374</v>
      </c>
      <c r="D32" s="234">
        <v>43405</v>
      </c>
      <c r="E32" s="234">
        <v>43435</v>
      </c>
      <c r="F32" s="234">
        <v>43466</v>
      </c>
      <c r="G32" s="234">
        <v>43497</v>
      </c>
      <c r="H32" s="234">
        <v>43525</v>
      </c>
      <c r="I32" s="234">
        <v>43556</v>
      </c>
      <c r="J32" s="234">
        <v>43586</v>
      </c>
      <c r="K32" s="234">
        <v>43617</v>
      </c>
      <c r="L32" s="234">
        <v>43647</v>
      </c>
      <c r="M32" s="234">
        <v>43678</v>
      </c>
      <c r="N32" s="234">
        <v>43709</v>
      </c>
      <c r="O32" s="687"/>
    </row>
    <row r="33" spans="1:16" hidden="1">
      <c r="A33" t="s">
        <v>233</v>
      </c>
      <c r="C33" s="235">
        <v>175363.32</v>
      </c>
      <c r="D33" s="235">
        <v>146304.31</v>
      </c>
      <c r="E33" s="235">
        <v>187237.33000000002</v>
      </c>
      <c r="F33" s="264">
        <v>218579.57</v>
      </c>
      <c r="G33" s="264">
        <v>197572.43000000002</v>
      </c>
      <c r="H33" s="264">
        <v>177232.94</v>
      </c>
      <c r="I33" s="264">
        <v>139584.80000000002</v>
      </c>
      <c r="J33" s="264">
        <v>125532.46999999999</v>
      </c>
      <c r="K33" s="264">
        <v>230514.11000000004</v>
      </c>
      <c r="L33" s="264">
        <v>226904.77</v>
      </c>
      <c r="M33" s="264">
        <v>163987.91</v>
      </c>
      <c r="N33" s="264">
        <v>222367.98</v>
      </c>
      <c r="O33" s="235">
        <f t="shared" ref="O33:O55" si="5">SUM(C33:N33)</f>
        <v>2211181.9400000004</v>
      </c>
    </row>
    <row r="34" spans="1:16" hidden="1">
      <c r="A34" t="s">
        <v>234</v>
      </c>
      <c r="C34" s="235">
        <v>21186791.480000004</v>
      </c>
      <c r="D34" s="235">
        <v>51912544.659999996</v>
      </c>
      <c r="E34" s="235">
        <v>71813233.489999995</v>
      </c>
      <c r="F34" s="264">
        <v>91122699.680000007</v>
      </c>
      <c r="G34" s="264">
        <v>73539612.849999994</v>
      </c>
      <c r="H34" s="264">
        <v>60391142.090000004</v>
      </c>
      <c r="I34" s="264">
        <v>28888464.760000002</v>
      </c>
      <c r="J34" s="264">
        <v>17335538.859999999</v>
      </c>
      <c r="K34" s="264">
        <v>12171636.350000001</v>
      </c>
      <c r="L34" s="264">
        <v>10607361.16</v>
      </c>
      <c r="M34" s="264">
        <v>9270053.6699999999</v>
      </c>
      <c r="N34" s="264">
        <v>9105778.8599999994</v>
      </c>
      <c r="O34" s="235">
        <f t="shared" si="5"/>
        <v>457344857.91000009</v>
      </c>
    </row>
    <row r="35" spans="1:16" hidden="1">
      <c r="A35" t="s">
        <v>235</v>
      </c>
      <c r="C35" s="235">
        <v>1199172.8900000004</v>
      </c>
      <c r="D35" s="235">
        <v>3355981.9699999993</v>
      </c>
      <c r="E35" s="235">
        <v>4761715.8</v>
      </c>
      <c r="F35" s="264">
        <v>6460547.3000000007</v>
      </c>
      <c r="G35" s="264">
        <v>5398471.9499999983</v>
      </c>
      <c r="H35" s="264">
        <v>4258653.41</v>
      </c>
      <c r="I35" s="264">
        <v>1760312.3299999998</v>
      </c>
      <c r="J35" s="264">
        <v>784416.21</v>
      </c>
      <c r="K35" s="264">
        <v>530627.24</v>
      </c>
      <c r="L35" s="264">
        <v>592176.41</v>
      </c>
      <c r="M35" s="264">
        <v>469485.05</v>
      </c>
      <c r="N35" s="264">
        <v>443860.72</v>
      </c>
      <c r="O35" s="235">
        <f t="shared" si="5"/>
        <v>30015421.279999997</v>
      </c>
    </row>
    <row r="36" spans="1:16" hidden="1">
      <c r="A36" t="s">
        <v>236</v>
      </c>
      <c r="C36" s="235">
        <v>3030277.8800000004</v>
      </c>
      <c r="D36" s="235">
        <v>6566508.6799999997</v>
      </c>
      <c r="E36" s="235">
        <v>8761780.4499999993</v>
      </c>
      <c r="F36" s="264">
        <v>13905086.050000001</v>
      </c>
      <c r="G36" s="264">
        <v>10817403.84</v>
      </c>
      <c r="H36" s="264">
        <v>8908791.1900000013</v>
      </c>
      <c r="I36" s="264">
        <v>3557664.9499999997</v>
      </c>
      <c r="J36" s="264">
        <v>2848175.18</v>
      </c>
      <c r="K36" s="264">
        <v>2051728.0799999998</v>
      </c>
      <c r="L36" s="264">
        <v>2041475.77</v>
      </c>
      <c r="M36" s="264">
        <v>1776708.28</v>
      </c>
      <c r="N36" s="264">
        <v>1635161.91</v>
      </c>
      <c r="O36" s="235">
        <f t="shared" si="5"/>
        <v>65900762.260000005</v>
      </c>
    </row>
    <row r="37" spans="1:16" hidden="1">
      <c r="A37" t="s">
        <v>237</v>
      </c>
      <c r="C37" s="235">
        <v>0</v>
      </c>
      <c r="D37" s="235">
        <v>0</v>
      </c>
      <c r="E37" s="235">
        <v>0</v>
      </c>
      <c r="F37" s="264">
        <v>0</v>
      </c>
      <c r="G37" s="264">
        <v>0</v>
      </c>
      <c r="H37" s="235">
        <v>0</v>
      </c>
      <c r="I37" s="235">
        <v>0</v>
      </c>
      <c r="J37" s="264">
        <v>0</v>
      </c>
      <c r="K37" s="264">
        <v>0</v>
      </c>
      <c r="L37" s="264">
        <v>0</v>
      </c>
      <c r="M37" s="264">
        <v>0</v>
      </c>
      <c r="N37" s="264">
        <v>0</v>
      </c>
      <c r="O37" s="236">
        <f t="shared" si="5"/>
        <v>0</v>
      </c>
    </row>
    <row r="38" spans="1:16" hidden="1">
      <c r="A38" t="s">
        <v>258</v>
      </c>
      <c r="C38" s="235">
        <v>0</v>
      </c>
      <c r="D38" s="235">
        <v>0</v>
      </c>
      <c r="E38" s="235">
        <v>0</v>
      </c>
      <c r="F38" s="264">
        <v>0</v>
      </c>
      <c r="G38" s="264">
        <v>0</v>
      </c>
      <c r="H38" s="235">
        <v>0</v>
      </c>
      <c r="I38" s="235">
        <v>0</v>
      </c>
      <c r="J38" s="264">
        <v>0</v>
      </c>
      <c r="K38" s="264">
        <v>0</v>
      </c>
      <c r="L38" s="264">
        <v>0</v>
      </c>
      <c r="M38" s="264">
        <v>0</v>
      </c>
      <c r="N38" s="264">
        <v>0</v>
      </c>
      <c r="O38" s="235">
        <v>0</v>
      </c>
    </row>
    <row r="39" spans="1:16" ht="14.25" hidden="1">
      <c r="A39" s="237" t="s">
        <v>238</v>
      </c>
      <c r="C39" s="235">
        <v>151275.79999999999</v>
      </c>
      <c r="D39" s="235">
        <v>-42187.450000000004</v>
      </c>
      <c r="E39" s="235">
        <v>7653.83</v>
      </c>
      <c r="F39" s="264">
        <v>21128.75</v>
      </c>
      <c r="G39" s="264">
        <v>11342.630000000001</v>
      </c>
      <c r="H39" s="264">
        <v>32622.969999999998</v>
      </c>
      <c r="I39" s="264">
        <v>-4009.8799999999974</v>
      </c>
      <c r="J39" s="264">
        <v>16423.39</v>
      </c>
      <c r="K39" s="264">
        <v>24287.870000000003</v>
      </c>
      <c r="L39" s="264">
        <v>49406.49</v>
      </c>
      <c r="M39" s="264">
        <v>59646.3</v>
      </c>
      <c r="N39" s="264">
        <v>-33.630000000000003</v>
      </c>
      <c r="O39" s="236">
        <f t="shared" si="5"/>
        <v>327557.06999999995</v>
      </c>
    </row>
    <row r="40" spans="1:16" ht="14.25" hidden="1">
      <c r="A40" s="237" t="s">
        <v>257</v>
      </c>
      <c r="C40" s="238">
        <v>52151</v>
      </c>
      <c r="D40" s="238">
        <v>56560</v>
      </c>
      <c r="E40" s="238">
        <v>57174.920000000006</v>
      </c>
      <c r="F40" s="265">
        <v>52379.88</v>
      </c>
      <c r="G40" s="265">
        <v>52057.93</v>
      </c>
      <c r="H40" s="265">
        <v>49249.1</v>
      </c>
      <c r="I40" s="265">
        <v>55406.32</v>
      </c>
      <c r="J40" s="265">
        <v>55738.15</v>
      </c>
      <c r="K40" s="265">
        <v>60046.65</v>
      </c>
      <c r="L40" s="265">
        <v>56381.69</v>
      </c>
      <c r="M40" s="265">
        <v>62734.44</v>
      </c>
      <c r="N40" s="265">
        <v>65566.47</v>
      </c>
      <c r="O40" s="238">
        <f t="shared" si="5"/>
        <v>675446.55</v>
      </c>
    </row>
    <row r="41" spans="1:16" ht="15" hidden="1">
      <c r="A41" s="682" t="s">
        <v>239</v>
      </c>
      <c r="B41" s="682"/>
      <c r="C41" s="235">
        <f t="shared" ref="C41:N41" si="6">SUM(C33:C40)</f>
        <v>25795032.370000005</v>
      </c>
      <c r="D41" s="235">
        <f t="shared" si="6"/>
        <v>61995712.169999994</v>
      </c>
      <c r="E41" s="235">
        <f t="shared" si="6"/>
        <v>85588795.819999993</v>
      </c>
      <c r="F41" s="235">
        <f t="shared" si="6"/>
        <v>111780421.22999999</v>
      </c>
      <c r="G41" s="235">
        <f t="shared" si="6"/>
        <v>90016461.63000001</v>
      </c>
      <c r="H41" s="235">
        <f t="shared" si="6"/>
        <v>73817691.699999988</v>
      </c>
      <c r="I41" s="235">
        <f t="shared" si="6"/>
        <v>34397423.280000001</v>
      </c>
      <c r="J41" s="235">
        <f t="shared" si="6"/>
        <v>21165824.259999998</v>
      </c>
      <c r="K41" s="235">
        <f t="shared" si="6"/>
        <v>15068840.300000001</v>
      </c>
      <c r="L41" s="235">
        <f t="shared" si="6"/>
        <v>13573706.289999999</v>
      </c>
      <c r="M41" s="235">
        <f t="shared" si="6"/>
        <v>11802615.65</v>
      </c>
      <c r="N41" s="235">
        <f t="shared" si="6"/>
        <v>11472702.310000001</v>
      </c>
      <c r="O41" s="235">
        <f t="shared" si="5"/>
        <v>556475227.00999987</v>
      </c>
      <c r="P41" s="249"/>
    </row>
    <row r="42" spans="1:16" hidden="1">
      <c r="I42" s="48"/>
    </row>
    <row r="43" spans="1:16" hidden="1">
      <c r="A43" t="s">
        <v>240</v>
      </c>
      <c r="C43" s="235">
        <v>1230872.6900000002</v>
      </c>
      <c r="D43" s="235">
        <v>2963778.56</v>
      </c>
      <c r="E43" s="235">
        <v>4032306.58</v>
      </c>
      <c r="F43" s="264">
        <v>4952115.8000000007</v>
      </c>
      <c r="G43" s="264">
        <v>3928107.5900000003</v>
      </c>
      <c r="H43" s="264">
        <v>3172577.69</v>
      </c>
      <c r="I43" s="264">
        <v>1521661.09</v>
      </c>
      <c r="J43" s="264">
        <v>901713.48</v>
      </c>
      <c r="K43" s="264">
        <v>615112.29999999993</v>
      </c>
      <c r="L43" s="264">
        <v>528615.68999999994</v>
      </c>
      <c r="M43" s="264">
        <v>455814.76</v>
      </c>
      <c r="N43" s="264">
        <v>436611.34</v>
      </c>
      <c r="O43" s="235">
        <f t="shared" si="5"/>
        <v>24739287.570000008</v>
      </c>
    </row>
    <row r="44" spans="1:16" hidden="1">
      <c r="A44" t="s">
        <v>241</v>
      </c>
      <c r="C44" s="235">
        <v>8450.9200000000019</v>
      </c>
      <c r="D44" s="235">
        <v>11722.189999999999</v>
      </c>
      <c r="E44" s="235">
        <v>14049.16</v>
      </c>
      <c r="F44" s="264">
        <v>15141.440000000002</v>
      </c>
      <c r="G44" s="264">
        <v>12987.32</v>
      </c>
      <c r="H44" s="264">
        <v>12133.319999999998</v>
      </c>
      <c r="I44" s="264">
        <v>9249.7800000000007</v>
      </c>
      <c r="J44" s="264">
        <v>9400.2899999999991</v>
      </c>
      <c r="K44" s="264">
        <v>9800.9000000000015</v>
      </c>
      <c r="L44" s="264">
        <v>7761.2</v>
      </c>
      <c r="M44" s="264">
        <v>7249.85</v>
      </c>
      <c r="N44" s="264">
        <v>7124.28</v>
      </c>
      <c r="O44" s="235">
        <f t="shared" si="5"/>
        <v>125070.65000000001</v>
      </c>
    </row>
    <row r="45" spans="1:16" hidden="1">
      <c r="A45" t="s">
        <v>242</v>
      </c>
      <c r="C45" s="235">
        <v>296796</v>
      </c>
      <c r="D45" s="235">
        <v>548960</v>
      </c>
      <c r="E45" s="235">
        <v>628544</v>
      </c>
      <c r="F45" s="264">
        <v>803999</v>
      </c>
      <c r="G45" s="264">
        <v>673161</v>
      </c>
      <c r="H45" s="264">
        <v>644437</v>
      </c>
      <c r="I45" s="264">
        <v>647100</v>
      </c>
      <c r="J45" s="264">
        <v>-78350</v>
      </c>
      <c r="K45" s="264">
        <v>112367</v>
      </c>
      <c r="L45" s="264">
        <v>81544</v>
      </c>
      <c r="M45" s="264">
        <v>129875</v>
      </c>
      <c r="N45" s="264">
        <v>105459</v>
      </c>
      <c r="O45" s="235">
        <f t="shared" si="5"/>
        <v>4593892</v>
      </c>
    </row>
    <row r="46" spans="1:16" hidden="1">
      <c r="A46" t="s">
        <v>243</v>
      </c>
      <c r="C46" s="235">
        <v>1781103</v>
      </c>
      <c r="D46" s="235">
        <v>1727295</v>
      </c>
      <c r="E46" s="235">
        <v>1377846</v>
      </c>
      <c r="F46" s="264">
        <v>1888832</v>
      </c>
      <c r="G46" s="264">
        <v>1628738</v>
      </c>
      <c r="H46" s="264">
        <v>1817861</v>
      </c>
      <c r="I46" s="264">
        <v>1826970</v>
      </c>
      <c r="J46" s="264">
        <v>1742310</v>
      </c>
      <c r="K46" s="264">
        <v>1595669</v>
      </c>
      <c r="L46" s="264">
        <v>1506761</v>
      </c>
      <c r="M46" s="264">
        <v>1629203</v>
      </c>
      <c r="N46" s="264">
        <v>1688883</v>
      </c>
      <c r="O46" s="235">
        <f t="shared" si="5"/>
        <v>20211471</v>
      </c>
    </row>
    <row r="47" spans="1:16" hidden="1">
      <c r="A47" t="s">
        <v>244</v>
      </c>
      <c r="C47" s="235">
        <v>4454327.9400000004</v>
      </c>
      <c r="D47" s="235">
        <v>9005617.3300000001</v>
      </c>
      <c r="E47" s="235">
        <v>11490008.550000003</v>
      </c>
      <c r="F47" s="264">
        <v>11084012.289999999</v>
      </c>
      <c r="G47" s="264">
        <v>9072983.6599999983</v>
      </c>
      <c r="H47" s="264">
        <v>7184404.9300000006</v>
      </c>
      <c r="I47" s="264">
        <v>6557577.2800000012</v>
      </c>
      <c r="J47" s="264">
        <v>4180519.3000000003</v>
      </c>
      <c r="K47" s="264">
        <v>2896002.11</v>
      </c>
      <c r="L47" s="264">
        <v>2491876.2400000002</v>
      </c>
      <c r="M47" s="264">
        <v>2452103.11</v>
      </c>
      <c r="N47" s="264">
        <v>2338367.1500000004</v>
      </c>
      <c r="O47" s="235">
        <f t="shared" si="5"/>
        <v>73207799.890000001</v>
      </c>
    </row>
    <row r="48" spans="1:16" hidden="1">
      <c r="A48" t="s">
        <v>245</v>
      </c>
      <c r="C48" s="235">
        <v>383750.80999999994</v>
      </c>
      <c r="D48" s="235">
        <v>940777.94000000006</v>
      </c>
      <c r="E48" s="235">
        <v>1368927.07</v>
      </c>
      <c r="F48" s="264">
        <v>1713538.9</v>
      </c>
      <c r="G48" s="264">
        <v>1422151.0400000003</v>
      </c>
      <c r="H48" s="264">
        <v>1145569.58</v>
      </c>
      <c r="I48" s="264">
        <v>520223.39</v>
      </c>
      <c r="J48" s="264">
        <v>258869.22999999998</v>
      </c>
      <c r="K48" s="264">
        <v>176805.13</v>
      </c>
      <c r="L48" s="264">
        <v>140523.51</v>
      </c>
      <c r="M48" s="264">
        <v>153921.23000000001</v>
      </c>
      <c r="N48" s="264">
        <v>123656.67</v>
      </c>
      <c r="O48" s="235">
        <f t="shared" si="5"/>
        <v>8348714.5000000009</v>
      </c>
    </row>
    <row r="49" spans="1:18" ht="14.25" hidden="1">
      <c r="A49" s="237" t="s">
        <v>246</v>
      </c>
      <c r="C49" s="235">
        <v>455272.42</v>
      </c>
      <c r="D49" s="235">
        <v>404523.48</v>
      </c>
      <c r="E49" s="235">
        <v>358307.65</v>
      </c>
      <c r="F49" s="264">
        <v>498499.05</v>
      </c>
      <c r="G49" s="264">
        <v>400860.06</v>
      </c>
      <c r="H49" s="264">
        <v>417050.45</v>
      </c>
      <c r="I49" s="264">
        <v>407426.41</v>
      </c>
      <c r="J49" s="264">
        <v>380710.51</v>
      </c>
      <c r="K49" s="264">
        <v>321544.76</v>
      </c>
      <c r="L49" s="264">
        <v>445878.67</v>
      </c>
      <c r="M49" s="264">
        <v>462013.39</v>
      </c>
      <c r="N49" s="264">
        <v>473783.93</v>
      </c>
      <c r="O49" s="236">
        <f t="shared" si="5"/>
        <v>5025870.7799999993</v>
      </c>
    </row>
    <row r="50" spans="1:18" ht="14.25" hidden="1">
      <c r="A50" s="256" t="s">
        <v>256</v>
      </c>
      <c r="C50" s="238">
        <v>56340.18</v>
      </c>
      <c r="D50" s="238">
        <v>67775.899999999994</v>
      </c>
      <c r="E50" s="238">
        <v>65329.649999999987</v>
      </c>
      <c r="F50" s="265">
        <v>62014.73</v>
      </c>
      <c r="G50" s="265">
        <v>49807.56</v>
      </c>
      <c r="H50" s="265">
        <v>47266.020000000004</v>
      </c>
      <c r="I50" s="265">
        <v>34759.770000000004</v>
      </c>
      <c r="J50" s="265">
        <v>53955.670000000006</v>
      </c>
      <c r="K50" s="265">
        <v>56215.12999999999</v>
      </c>
      <c r="L50" s="265">
        <v>54184.69</v>
      </c>
      <c r="M50" s="265">
        <v>60443.53</v>
      </c>
      <c r="N50" s="265">
        <v>56416.18</v>
      </c>
      <c r="O50" s="238">
        <f t="shared" si="5"/>
        <v>664509.01000000013</v>
      </c>
    </row>
    <row r="51" spans="1:18" ht="15" hidden="1">
      <c r="A51" s="682" t="s">
        <v>247</v>
      </c>
      <c r="B51" s="682"/>
      <c r="C51" s="235">
        <f>SUM(C43:C50)</f>
        <v>8666913.9600000009</v>
      </c>
      <c r="D51" s="235">
        <f t="shared" ref="D51:N51" si="7">SUM(D43:D50)</f>
        <v>15670450.4</v>
      </c>
      <c r="E51" s="235">
        <f t="shared" si="7"/>
        <v>19335318.66</v>
      </c>
      <c r="F51" s="235">
        <f t="shared" si="7"/>
        <v>21018153.210000001</v>
      </c>
      <c r="G51" s="235">
        <f t="shared" si="7"/>
        <v>17188796.229999997</v>
      </c>
      <c r="H51" s="235">
        <f t="shared" si="7"/>
        <v>14441299.99</v>
      </c>
      <c r="I51" s="235">
        <f t="shared" si="7"/>
        <v>11524967.720000003</v>
      </c>
      <c r="J51" s="235">
        <f t="shared" si="7"/>
        <v>7449128.4800000004</v>
      </c>
      <c r="K51" s="235">
        <f t="shared" si="7"/>
        <v>5783516.3300000001</v>
      </c>
      <c r="L51" s="235">
        <f t="shared" si="7"/>
        <v>5257145</v>
      </c>
      <c r="M51" s="235">
        <f t="shared" si="7"/>
        <v>5350623.87</v>
      </c>
      <c r="N51" s="235">
        <f t="shared" si="7"/>
        <v>5230301.55</v>
      </c>
      <c r="O51" s="235">
        <f t="shared" si="5"/>
        <v>136916615.40000001</v>
      </c>
    </row>
    <row r="52" spans="1:18" hidden="1">
      <c r="I52" s="48"/>
    </row>
    <row r="53" spans="1:18" hidden="1">
      <c r="A53" t="s">
        <v>248</v>
      </c>
      <c r="C53" s="235">
        <v>1783386</v>
      </c>
      <c r="D53" s="235">
        <v>1538727</v>
      </c>
      <c r="E53" s="235">
        <v>1436088</v>
      </c>
      <c r="F53" s="266">
        <v>1055897</v>
      </c>
      <c r="G53" s="266">
        <v>1004849</v>
      </c>
      <c r="H53" s="235">
        <v>1113221</v>
      </c>
      <c r="I53" s="266">
        <v>1447248</v>
      </c>
      <c r="J53" s="235">
        <v>1398570</v>
      </c>
      <c r="K53" s="235">
        <v>1331590</v>
      </c>
      <c r="L53" s="266">
        <v>1200887</v>
      </c>
      <c r="M53" s="235">
        <v>1245147</v>
      </c>
      <c r="N53" s="235">
        <v>1262813</v>
      </c>
      <c r="O53" s="235">
        <f t="shared" si="5"/>
        <v>15818423</v>
      </c>
    </row>
    <row r="54" spans="1:18" hidden="1">
      <c r="I54" s="48"/>
    </row>
    <row r="55" spans="1:18" ht="15.75" hidden="1" thickBot="1">
      <c r="A55" s="682" t="s">
        <v>249</v>
      </c>
      <c r="B55" s="682"/>
      <c r="C55" s="240">
        <f t="shared" ref="C55:N55" si="8">C41+C51+C53</f>
        <v>36245332.330000006</v>
      </c>
      <c r="D55" s="316">
        <f t="shared" si="8"/>
        <v>79204889.569999993</v>
      </c>
      <c r="E55" s="240">
        <f t="shared" si="8"/>
        <v>106360202.47999999</v>
      </c>
      <c r="F55" s="240">
        <f t="shared" si="8"/>
        <v>133854471.44</v>
      </c>
      <c r="G55" s="240">
        <f t="shared" si="8"/>
        <v>108210106.86000001</v>
      </c>
      <c r="H55" s="240">
        <f t="shared" si="8"/>
        <v>89372212.689999983</v>
      </c>
      <c r="I55" s="242">
        <f t="shared" si="8"/>
        <v>47369639</v>
      </c>
      <c r="J55" s="240">
        <f t="shared" si="8"/>
        <v>30013522.739999998</v>
      </c>
      <c r="K55" s="240">
        <f t="shared" si="8"/>
        <v>22183946.630000003</v>
      </c>
      <c r="L55" s="240">
        <f t="shared" si="8"/>
        <v>20031738.289999999</v>
      </c>
      <c r="M55" s="240">
        <f t="shared" si="8"/>
        <v>18398386.52</v>
      </c>
      <c r="N55" s="240">
        <f t="shared" si="8"/>
        <v>17965816.859999999</v>
      </c>
      <c r="O55" s="240">
        <f t="shared" si="5"/>
        <v>709210265.40999997</v>
      </c>
    </row>
    <row r="56" spans="1:18" ht="13.5" hidden="1" thickTop="1"/>
    <row r="57" spans="1:18" ht="13.5" hidden="1" thickBot="1"/>
    <row r="58" spans="1:18" ht="15" hidden="1">
      <c r="C58" s="688" t="s">
        <v>231</v>
      </c>
      <c r="D58" s="689"/>
      <c r="E58" s="689"/>
      <c r="F58" s="689"/>
      <c r="G58" s="689"/>
      <c r="H58" s="689"/>
      <c r="I58" s="689"/>
      <c r="J58" s="689"/>
      <c r="K58" s="689"/>
      <c r="L58" s="689"/>
      <c r="M58" s="689"/>
      <c r="N58" s="690"/>
      <c r="O58" s="686" t="s">
        <v>311</v>
      </c>
      <c r="P58" s="245"/>
    </row>
    <row r="59" spans="1:18" ht="12.75" hidden="1" customHeight="1" thickBot="1">
      <c r="C59" s="234">
        <v>43739</v>
      </c>
      <c r="D59" s="234">
        <v>43770</v>
      </c>
      <c r="E59" s="261">
        <v>43800</v>
      </c>
      <c r="F59" s="261">
        <v>43831</v>
      </c>
      <c r="G59" s="261">
        <v>43862</v>
      </c>
      <c r="H59" s="261">
        <v>43891</v>
      </c>
      <c r="I59" s="261">
        <v>43922</v>
      </c>
      <c r="J59" s="261">
        <v>43952</v>
      </c>
      <c r="K59" s="261">
        <v>43983</v>
      </c>
      <c r="L59" s="261">
        <v>44013</v>
      </c>
      <c r="M59" s="261">
        <v>44044</v>
      </c>
      <c r="N59" s="261">
        <v>44075</v>
      </c>
      <c r="O59" s="687"/>
    </row>
    <row r="60" spans="1:18" hidden="1">
      <c r="A60" t="s">
        <v>233</v>
      </c>
      <c r="C60" s="264">
        <v>179099.25</v>
      </c>
      <c r="D60" s="264">
        <v>168194.42</v>
      </c>
      <c r="E60" s="264">
        <v>219345.71</v>
      </c>
      <c r="F60" s="305">
        <v>395519.51</v>
      </c>
      <c r="G60" s="264">
        <v>191142.11</v>
      </c>
      <c r="H60" s="264">
        <v>24602.74</v>
      </c>
      <c r="I60" s="264">
        <v>169192.35</v>
      </c>
      <c r="J60" s="264">
        <v>181501.92</v>
      </c>
      <c r="K60" s="264">
        <v>298546.36</v>
      </c>
      <c r="L60" s="264">
        <v>253945.03</v>
      </c>
      <c r="M60" s="264">
        <v>184301.42</v>
      </c>
      <c r="N60" s="264">
        <v>251308.73</v>
      </c>
      <c r="O60" s="244">
        <f>SUM(C60:N60)</f>
        <v>2516699.5500000003</v>
      </c>
    </row>
    <row r="61" spans="1:18" hidden="1">
      <c r="A61" t="s">
        <v>234</v>
      </c>
      <c r="C61" s="264">
        <v>15977773.630000001</v>
      </c>
      <c r="D61" s="264">
        <v>52619304.32</v>
      </c>
      <c r="E61" s="264">
        <v>77278152.769999996</v>
      </c>
      <c r="F61" s="305">
        <v>75811424.739999995</v>
      </c>
      <c r="G61" s="264">
        <v>64075711.259999998</v>
      </c>
      <c r="H61" s="264">
        <v>48274978.770000003</v>
      </c>
      <c r="I61" s="264">
        <v>39305366.840000004</v>
      </c>
      <c r="J61" s="264">
        <v>21298699.93</v>
      </c>
      <c r="K61" s="264">
        <v>15084422.85</v>
      </c>
      <c r="L61" s="264">
        <v>11873696.17</v>
      </c>
      <c r="M61" s="264">
        <v>10323569.9</v>
      </c>
      <c r="N61" s="264">
        <v>11068300.560000001</v>
      </c>
      <c r="O61" s="244">
        <f t="shared" ref="O61:O66" si="9">SUM(C61:N61)</f>
        <v>442991401.73999995</v>
      </c>
    </row>
    <row r="62" spans="1:18" hidden="1">
      <c r="A62" t="s">
        <v>235</v>
      </c>
      <c r="C62" s="264">
        <v>823020.66999999993</v>
      </c>
      <c r="D62" s="264">
        <v>3374542.4800000004</v>
      </c>
      <c r="E62" s="264">
        <v>5317465.71</v>
      </c>
      <c r="F62" s="305">
        <v>5446809.5399999991</v>
      </c>
      <c r="G62" s="264">
        <v>4550198.04</v>
      </c>
      <c r="H62" s="264">
        <v>3173116.73</v>
      </c>
      <c r="I62" s="264">
        <v>2198188.1800000002</v>
      </c>
      <c r="J62" s="264">
        <v>764962.51</v>
      </c>
      <c r="K62" s="264">
        <v>375219.18</v>
      </c>
      <c r="L62" s="264">
        <v>466980.38999999996</v>
      </c>
      <c r="M62" s="264">
        <v>489747.74</v>
      </c>
      <c r="N62" s="264">
        <v>453589.80000000005</v>
      </c>
      <c r="O62" s="244">
        <f t="shared" si="9"/>
        <v>27433840.969999999</v>
      </c>
    </row>
    <row r="63" spans="1:18" hidden="1">
      <c r="A63" t="s">
        <v>236</v>
      </c>
      <c r="C63" s="264">
        <v>2766101</v>
      </c>
      <c r="D63" s="264">
        <v>6393024.3399999999</v>
      </c>
      <c r="E63" s="264">
        <v>8880034.9299999997</v>
      </c>
      <c r="F63" s="305">
        <v>8928636.1899999995</v>
      </c>
      <c r="G63" s="264">
        <v>7659853.9600000009</v>
      </c>
      <c r="H63" s="264">
        <v>5885869.0299999993</v>
      </c>
      <c r="I63" s="264">
        <v>4391950.6400000006</v>
      </c>
      <c r="J63" s="264">
        <v>2176349.8399999994</v>
      </c>
      <c r="K63" s="264">
        <v>1629751.4000000001</v>
      </c>
      <c r="L63" s="264">
        <v>1504239.95</v>
      </c>
      <c r="M63" s="264">
        <v>1579722.5900000003</v>
      </c>
      <c r="N63" s="264">
        <v>1628223.1500000001</v>
      </c>
      <c r="O63" s="244">
        <f t="shared" si="9"/>
        <v>53423757.020000003</v>
      </c>
    </row>
    <row r="64" spans="1:18" hidden="1">
      <c r="A64" t="s">
        <v>312</v>
      </c>
      <c r="C64" s="235">
        <v>0</v>
      </c>
      <c r="D64" s="235">
        <v>0</v>
      </c>
      <c r="E64" s="235"/>
      <c r="F64" s="244">
        <v>0</v>
      </c>
      <c r="G64" s="244"/>
      <c r="H64" s="244"/>
      <c r="I64" s="244">
        <v>0</v>
      </c>
      <c r="J64" s="244"/>
      <c r="K64" s="244"/>
      <c r="L64" s="244"/>
      <c r="M64" s="244"/>
      <c r="N64" s="244"/>
      <c r="O64" s="244">
        <f t="shared" si="9"/>
        <v>0</v>
      </c>
      <c r="P64" s="244"/>
      <c r="Q64" s="244"/>
      <c r="R64" s="244"/>
    </row>
    <row r="65" spans="1:16" ht="14.25" hidden="1">
      <c r="A65" s="237" t="s">
        <v>238</v>
      </c>
      <c r="C65" s="264">
        <v>17552.900000000001</v>
      </c>
      <c r="D65" s="264">
        <v>-2219.15</v>
      </c>
      <c r="E65" s="264">
        <v>18656.759999999998</v>
      </c>
      <c r="F65" s="306">
        <v>69704.94</v>
      </c>
      <c r="G65" s="306">
        <v>72395.25</v>
      </c>
      <c r="H65" s="306">
        <v>64629.07</v>
      </c>
      <c r="I65" s="306">
        <v>59962.77</v>
      </c>
      <c r="J65" s="306">
        <v>64301.16</v>
      </c>
      <c r="K65" s="306">
        <v>69237.53</v>
      </c>
      <c r="L65" s="306">
        <v>23792.69</v>
      </c>
      <c r="M65" s="306">
        <v>15249.1</v>
      </c>
      <c r="N65" s="306">
        <v>9788.24</v>
      </c>
      <c r="O65" s="244">
        <f t="shared" si="9"/>
        <v>483051.26000000007</v>
      </c>
    </row>
    <row r="66" spans="1:16" ht="14.25" hidden="1">
      <c r="A66" s="237" t="s">
        <v>257</v>
      </c>
      <c r="C66" s="265">
        <v>66481.52</v>
      </c>
      <c r="D66" s="265">
        <v>53735.63</v>
      </c>
      <c r="E66" s="265">
        <v>53666.54</v>
      </c>
      <c r="F66" s="307">
        <v>63953.86</v>
      </c>
      <c r="G66" s="265">
        <v>63745.840000000004</v>
      </c>
      <c r="H66" s="265">
        <v>61088.69</v>
      </c>
      <c r="I66" s="265">
        <v>74472.739999999991</v>
      </c>
      <c r="J66" s="265">
        <v>52794.31</v>
      </c>
      <c r="K66" s="265">
        <v>53444.33</v>
      </c>
      <c r="L66" s="265">
        <v>65843.240000000005</v>
      </c>
      <c r="M66" s="265">
        <v>67147.23</v>
      </c>
      <c r="N66" s="265">
        <v>62398.71</v>
      </c>
      <c r="O66" s="259">
        <f t="shared" si="9"/>
        <v>738772.6399999999</v>
      </c>
    </row>
    <row r="67" spans="1:16" ht="15" hidden="1">
      <c r="A67" s="682" t="s">
        <v>239</v>
      </c>
      <c r="B67" s="682"/>
      <c r="C67" s="235">
        <f t="shared" ref="C67:N67" si="10">SUM(C60:C66)</f>
        <v>19830028.969999999</v>
      </c>
      <c r="D67" s="235">
        <f t="shared" si="10"/>
        <v>62606582.040000007</v>
      </c>
      <c r="E67" s="235">
        <f t="shared" si="10"/>
        <v>91767322.419999987</v>
      </c>
      <c r="F67" s="241">
        <f t="shared" si="10"/>
        <v>90716048.779999986</v>
      </c>
      <c r="G67" s="235">
        <f t="shared" si="10"/>
        <v>76613046.460000008</v>
      </c>
      <c r="H67" s="235">
        <f t="shared" si="10"/>
        <v>57484285.030000001</v>
      </c>
      <c r="I67" s="235">
        <f t="shared" si="10"/>
        <v>46199133.520000011</v>
      </c>
      <c r="J67" s="235">
        <f t="shared" si="10"/>
        <v>24538609.670000002</v>
      </c>
      <c r="K67" s="235">
        <f t="shared" si="10"/>
        <v>17510621.649999999</v>
      </c>
      <c r="L67" s="235">
        <f t="shared" si="10"/>
        <v>14188497.469999999</v>
      </c>
      <c r="M67" s="235">
        <f t="shared" si="10"/>
        <v>12659737.98</v>
      </c>
      <c r="N67" s="235">
        <f t="shared" si="10"/>
        <v>13473609.190000003</v>
      </c>
      <c r="O67" s="244">
        <f>SUM(O60:O66)</f>
        <v>527587523.17999995</v>
      </c>
      <c r="P67" s="249"/>
    </row>
    <row r="68" spans="1:16" hidden="1">
      <c r="F68" s="262"/>
      <c r="G68" s="262"/>
      <c r="H68" s="262"/>
      <c r="I68" s="262"/>
      <c r="J68" s="262"/>
      <c r="K68" s="262"/>
      <c r="L68" s="262"/>
      <c r="M68" s="262"/>
      <c r="N68" s="262"/>
      <c r="O68" s="262"/>
    </row>
    <row r="69" spans="1:16" hidden="1">
      <c r="A69" t="s">
        <v>240</v>
      </c>
      <c r="C69" s="264">
        <v>787279.88</v>
      </c>
      <c r="D69" s="264">
        <v>2582583.3199999998</v>
      </c>
      <c r="E69" s="264">
        <v>3767120.43</v>
      </c>
      <c r="F69" s="306">
        <v>3686105.21</v>
      </c>
      <c r="G69" s="306">
        <v>3105254.21</v>
      </c>
      <c r="H69" s="306">
        <v>2313414.6</v>
      </c>
      <c r="I69" s="306">
        <v>1870418.98</v>
      </c>
      <c r="J69" s="306">
        <v>1019615.33</v>
      </c>
      <c r="K69" s="306">
        <v>708944.75</v>
      </c>
      <c r="L69" s="306">
        <v>545174.55000000005</v>
      </c>
      <c r="M69" s="306">
        <v>480364.83</v>
      </c>
      <c r="N69" s="306">
        <v>491794.49</v>
      </c>
      <c r="O69" s="244">
        <f t="shared" ref="O69:O76" si="11">SUM(C69:N69)</f>
        <v>21358070.579999994</v>
      </c>
    </row>
    <row r="70" spans="1:16" hidden="1">
      <c r="A70" t="s">
        <v>241</v>
      </c>
      <c r="C70" s="264">
        <v>7135.62</v>
      </c>
      <c r="D70" s="264">
        <v>10340.76</v>
      </c>
      <c r="E70" s="264">
        <v>12438.58</v>
      </c>
      <c r="F70" s="306">
        <v>12893.88</v>
      </c>
      <c r="G70" s="306">
        <v>11810.67</v>
      </c>
      <c r="H70" s="306">
        <v>10312.51</v>
      </c>
      <c r="I70" s="306">
        <v>9430.26</v>
      </c>
      <c r="J70" s="306">
        <v>8673.9699999999993</v>
      </c>
      <c r="K70" s="306">
        <v>9278.17</v>
      </c>
      <c r="L70" s="306">
        <v>8622.01</v>
      </c>
      <c r="M70" s="306">
        <v>7091.25</v>
      </c>
      <c r="N70" s="306">
        <v>7325.82</v>
      </c>
      <c r="O70" s="244">
        <f t="shared" si="11"/>
        <v>115353.5</v>
      </c>
    </row>
    <row r="71" spans="1:16" hidden="1">
      <c r="A71" t="s">
        <v>242</v>
      </c>
      <c r="C71" s="264">
        <v>211925</v>
      </c>
      <c r="D71" s="264">
        <v>591454</v>
      </c>
      <c r="E71" s="264">
        <v>663893</v>
      </c>
      <c r="F71" s="306">
        <v>691897</v>
      </c>
      <c r="G71" s="306">
        <v>603757</v>
      </c>
      <c r="H71" s="306">
        <v>492047</v>
      </c>
      <c r="I71" s="306">
        <v>390490.44</v>
      </c>
      <c r="J71" s="306">
        <v>224087.56</v>
      </c>
      <c r="K71" s="306">
        <v>98660.02</v>
      </c>
      <c r="L71" s="306">
        <v>88573</v>
      </c>
      <c r="M71" s="306">
        <v>92212.7</v>
      </c>
      <c r="N71" s="306">
        <v>110325.55</v>
      </c>
      <c r="O71" s="244">
        <f t="shared" si="11"/>
        <v>4259322.2700000005</v>
      </c>
    </row>
    <row r="72" spans="1:16" hidden="1">
      <c r="A72" t="s">
        <v>243</v>
      </c>
      <c r="C72" s="264">
        <v>1843369</v>
      </c>
      <c r="D72" s="264">
        <v>1946290</v>
      </c>
      <c r="E72" s="264">
        <v>1863182</v>
      </c>
      <c r="F72" s="306">
        <v>1942448</v>
      </c>
      <c r="G72" s="306">
        <v>1776016</v>
      </c>
      <c r="H72" s="306">
        <v>2053051</v>
      </c>
      <c r="I72" s="306">
        <v>1580482.95</v>
      </c>
      <c r="J72" s="306">
        <v>981473.42</v>
      </c>
      <c r="K72" s="306">
        <v>2091517.31</v>
      </c>
      <c r="L72" s="306">
        <v>1501792</v>
      </c>
      <c r="M72" s="306">
        <v>1673440.57</v>
      </c>
      <c r="N72" s="306">
        <v>1733204.01</v>
      </c>
      <c r="O72" s="244">
        <f t="shared" si="11"/>
        <v>20986266.260000002</v>
      </c>
    </row>
    <row r="73" spans="1:16" hidden="1">
      <c r="A73" t="s">
        <v>244</v>
      </c>
      <c r="C73" s="264">
        <v>3614097.9000000004</v>
      </c>
      <c r="D73" s="264">
        <v>8687477.629999999</v>
      </c>
      <c r="E73" s="264">
        <v>11962322.51</v>
      </c>
      <c r="F73" s="306">
        <v>11622740.99</v>
      </c>
      <c r="G73" s="306">
        <v>9836755.5800000001</v>
      </c>
      <c r="H73" s="306">
        <v>8050465.8799999999</v>
      </c>
      <c r="I73" s="319">
        <v>6385740.71</v>
      </c>
      <c r="J73" s="319">
        <v>3334330.42</v>
      </c>
      <c r="K73" s="319">
        <v>2386765.27</v>
      </c>
      <c r="L73" s="319">
        <v>2192480.0699999998</v>
      </c>
      <c r="M73" s="319">
        <v>2055589.4800000002</v>
      </c>
      <c r="N73" s="319">
        <v>2238536.37</v>
      </c>
      <c r="O73" s="244">
        <f t="shared" si="11"/>
        <v>72367302.810000017</v>
      </c>
    </row>
    <row r="74" spans="1:16" hidden="1">
      <c r="A74" t="s">
        <v>245</v>
      </c>
      <c r="C74" s="264">
        <v>241491.66999999998</v>
      </c>
      <c r="D74" s="264">
        <v>926431.03999999992</v>
      </c>
      <c r="E74" s="264">
        <v>1421002.22</v>
      </c>
      <c r="F74" s="306">
        <v>1439221.88</v>
      </c>
      <c r="G74" s="306">
        <v>1219969.47</v>
      </c>
      <c r="H74" s="306">
        <v>877375.47</v>
      </c>
      <c r="I74" s="319">
        <v>635498.03</v>
      </c>
      <c r="J74" s="319">
        <v>259193.90999999997</v>
      </c>
      <c r="K74" s="319">
        <v>133460.06</v>
      </c>
      <c r="L74" s="319">
        <v>129763.92</v>
      </c>
      <c r="M74" s="319">
        <v>148573.35999999999</v>
      </c>
      <c r="N74" s="319">
        <v>131599.66999999998</v>
      </c>
      <c r="O74" s="244">
        <f t="shared" si="11"/>
        <v>7563580.6999999993</v>
      </c>
    </row>
    <row r="75" spans="1:16" ht="14.25" hidden="1">
      <c r="A75" s="237" t="s">
        <v>246</v>
      </c>
      <c r="C75" s="264">
        <v>509953.21</v>
      </c>
      <c r="D75" s="264">
        <v>458644.15</v>
      </c>
      <c r="E75" s="264">
        <v>376585.88</v>
      </c>
      <c r="F75" s="306">
        <v>539460.86</v>
      </c>
      <c r="G75" s="306">
        <v>443928.53</v>
      </c>
      <c r="H75" s="306">
        <v>408934.61</v>
      </c>
      <c r="I75" s="319">
        <v>444426.26</v>
      </c>
      <c r="J75" s="319">
        <v>411718.18</v>
      </c>
      <c r="K75" s="319">
        <v>347684.43</v>
      </c>
      <c r="L75" s="319">
        <v>487164.57</v>
      </c>
      <c r="M75" s="319">
        <v>470638.43999999994</v>
      </c>
      <c r="N75" s="319">
        <v>567331.52</v>
      </c>
      <c r="O75" s="244">
        <f t="shared" si="11"/>
        <v>5466470.6400000006</v>
      </c>
    </row>
    <row r="76" spans="1:16" ht="14.25" hidden="1">
      <c r="A76" s="256" t="s">
        <v>256</v>
      </c>
      <c r="C76" s="265">
        <v>56899.19</v>
      </c>
      <c r="D76" s="265">
        <v>77534.42</v>
      </c>
      <c r="E76" s="265">
        <v>65325.17</v>
      </c>
      <c r="F76" s="307">
        <v>57981.55</v>
      </c>
      <c r="G76" s="307">
        <v>50331.09</v>
      </c>
      <c r="H76" s="307">
        <v>41199.74</v>
      </c>
      <c r="I76" s="320">
        <v>48166.77</v>
      </c>
      <c r="J76" s="320">
        <v>50279.23</v>
      </c>
      <c r="K76" s="320">
        <v>52341.98</v>
      </c>
      <c r="L76" s="320">
        <v>61923.93</v>
      </c>
      <c r="M76" s="320">
        <v>61980.44</v>
      </c>
      <c r="N76" s="320">
        <v>56420.2</v>
      </c>
      <c r="O76" s="259">
        <f t="shared" si="11"/>
        <v>680383.71</v>
      </c>
    </row>
    <row r="77" spans="1:16" ht="15" hidden="1">
      <c r="A77" s="682" t="s">
        <v>247</v>
      </c>
      <c r="B77" s="682"/>
      <c r="C77" s="235">
        <f>SUM(C69:C76)</f>
        <v>7272151.4700000007</v>
      </c>
      <c r="D77" s="235">
        <f>SUM(D69:D76)</f>
        <v>15280755.319999998</v>
      </c>
      <c r="E77" s="235">
        <f t="shared" ref="E77:N77" si="12">SUM(E69:E76)</f>
        <v>20131869.789999999</v>
      </c>
      <c r="F77" s="241">
        <f t="shared" si="12"/>
        <v>19992749.369999997</v>
      </c>
      <c r="G77" s="235">
        <f t="shared" si="12"/>
        <v>17047822.550000001</v>
      </c>
      <c r="H77" s="235">
        <f t="shared" si="12"/>
        <v>14246800.809999999</v>
      </c>
      <c r="I77" s="235">
        <f t="shared" si="12"/>
        <v>11364654.399999999</v>
      </c>
      <c r="J77" s="235">
        <f t="shared" si="12"/>
        <v>6289372.0199999996</v>
      </c>
      <c r="K77" s="235">
        <f t="shared" si="12"/>
        <v>5828651.9899999993</v>
      </c>
      <c r="L77" s="235">
        <f t="shared" si="12"/>
        <v>5015494.05</v>
      </c>
      <c r="M77" s="235">
        <f t="shared" si="12"/>
        <v>4989891.0700000012</v>
      </c>
      <c r="N77" s="235">
        <f t="shared" si="12"/>
        <v>5336537.63</v>
      </c>
      <c r="O77" s="244">
        <f>SUM(O69:O76)</f>
        <v>132796750.47000001</v>
      </c>
    </row>
    <row r="78" spans="1:16" hidden="1">
      <c r="F78" s="262"/>
      <c r="G78" s="262"/>
      <c r="H78" s="309"/>
      <c r="I78" s="262"/>
      <c r="J78" s="262"/>
      <c r="K78" s="262"/>
      <c r="L78" s="262"/>
      <c r="M78" s="262"/>
      <c r="N78" s="262"/>
      <c r="O78" s="262"/>
    </row>
    <row r="79" spans="1:16" hidden="1">
      <c r="A79" t="s">
        <v>248</v>
      </c>
      <c r="C79" s="235">
        <v>1415624</v>
      </c>
      <c r="D79" s="266">
        <v>1428140</v>
      </c>
      <c r="E79" s="235">
        <v>1376660</v>
      </c>
      <c r="F79" s="244">
        <v>1153492</v>
      </c>
      <c r="G79" s="244">
        <v>1046238</v>
      </c>
      <c r="H79" s="310">
        <v>1113925</v>
      </c>
      <c r="I79" s="321">
        <v>1176412.69</v>
      </c>
      <c r="J79" s="321">
        <v>1330526.75</v>
      </c>
      <c r="K79" s="321">
        <v>1322628.06</v>
      </c>
      <c r="L79" s="321">
        <v>1205677</v>
      </c>
      <c r="M79" s="321">
        <v>1159014.96</v>
      </c>
      <c r="N79" s="321">
        <v>1151526.6000000001</v>
      </c>
      <c r="O79" s="244">
        <f>SUM(C79:N79)</f>
        <v>14879865.060000001</v>
      </c>
    </row>
    <row r="80" spans="1:16" hidden="1">
      <c r="F80" s="262"/>
      <c r="G80" s="262"/>
      <c r="H80" s="262"/>
      <c r="I80" s="262"/>
      <c r="J80" s="262"/>
      <c r="K80" s="262"/>
      <c r="L80" s="262"/>
      <c r="M80" s="262"/>
      <c r="N80" s="262"/>
      <c r="O80" s="262"/>
    </row>
    <row r="81" spans="1:26" ht="15.75" hidden="1" thickBot="1">
      <c r="A81" s="682" t="s">
        <v>249</v>
      </c>
      <c r="B81" s="682"/>
      <c r="C81" s="240">
        <f t="shared" ref="C81:G81" si="13">C67+C77+C79</f>
        <v>28517804.439999998</v>
      </c>
      <c r="D81" s="240">
        <f t="shared" si="13"/>
        <v>79315477.359999999</v>
      </c>
      <c r="E81" s="240">
        <f t="shared" si="13"/>
        <v>113275852.20999998</v>
      </c>
      <c r="F81" s="240">
        <f t="shared" si="13"/>
        <v>111862290.14999998</v>
      </c>
      <c r="G81" s="240">
        <f t="shared" si="13"/>
        <v>94707107.010000005</v>
      </c>
      <c r="H81" s="240">
        <f>H67+H77+H79</f>
        <v>72845010.840000004</v>
      </c>
      <c r="I81" s="240">
        <f>I67+I77+I79</f>
        <v>58740200.610000007</v>
      </c>
      <c r="J81" s="240">
        <f t="shared" ref="J81:O81" si="14">J67+J77+J79</f>
        <v>32158508.440000001</v>
      </c>
      <c r="K81" s="240">
        <f t="shared" si="14"/>
        <v>24661901.699999996</v>
      </c>
      <c r="L81" s="240">
        <f t="shared" si="14"/>
        <v>20409668.52</v>
      </c>
      <c r="M81" s="240">
        <f t="shared" si="14"/>
        <v>18808644.010000002</v>
      </c>
      <c r="N81" s="240">
        <f t="shared" si="14"/>
        <v>19961673.420000006</v>
      </c>
      <c r="O81" s="240">
        <f t="shared" si="14"/>
        <v>675264138.70999992</v>
      </c>
    </row>
    <row r="82" spans="1:26" ht="13.5" hidden="1" thickTop="1">
      <c r="F82" s="262"/>
      <c r="G82" s="262"/>
      <c r="H82" s="262"/>
      <c r="I82" s="262"/>
      <c r="J82" s="262"/>
      <c r="K82" s="262"/>
      <c r="L82" s="262"/>
      <c r="M82" s="262"/>
      <c r="N82" s="262"/>
      <c r="O82" s="262"/>
    </row>
    <row r="83" spans="1:26" ht="15" hidden="1">
      <c r="C83" s="685" t="s">
        <v>231</v>
      </c>
      <c r="D83" s="685"/>
      <c r="E83" s="685"/>
      <c r="F83" s="685"/>
      <c r="G83" s="685"/>
      <c r="H83" s="685"/>
      <c r="I83" s="685"/>
      <c r="J83" s="685"/>
      <c r="K83" s="685"/>
      <c r="L83" s="685"/>
      <c r="M83" s="685"/>
      <c r="N83" s="685"/>
      <c r="O83" s="684" t="s">
        <v>322</v>
      </c>
    </row>
    <row r="84" spans="1:26" ht="18" hidden="1" customHeight="1">
      <c r="C84" s="317">
        <v>44105</v>
      </c>
      <c r="D84" s="317">
        <v>44136</v>
      </c>
      <c r="E84" s="317">
        <v>44166</v>
      </c>
      <c r="F84" s="317">
        <v>44197</v>
      </c>
      <c r="G84" s="317">
        <v>44228</v>
      </c>
      <c r="H84" s="317">
        <v>44256</v>
      </c>
      <c r="I84" s="317">
        <v>44287</v>
      </c>
      <c r="J84" s="317">
        <v>44317</v>
      </c>
      <c r="K84" s="317">
        <v>44348</v>
      </c>
      <c r="L84" s="317">
        <v>44378</v>
      </c>
      <c r="M84" s="317">
        <v>44409</v>
      </c>
      <c r="N84" s="317">
        <v>44440</v>
      </c>
      <c r="O84" s="684"/>
    </row>
    <row r="85" spans="1:26" hidden="1">
      <c r="A85" s="318" t="s">
        <v>233</v>
      </c>
      <c r="C85" s="264">
        <v>239031.53</v>
      </c>
      <c r="D85" s="306">
        <v>173102.23</v>
      </c>
      <c r="E85" s="306">
        <v>229811.39</v>
      </c>
      <c r="F85" s="306">
        <v>263046.06</v>
      </c>
      <c r="G85" s="306">
        <v>254680.16</v>
      </c>
      <c r="H85" s="306">
        <v>254143.15</v>
      </c>
      <c r="I85" s="306">
        <v>144493</v>
      </c>
      <c r="J85" s="306">
        <v>150416.23000000001</v>
      </c>
      <c r="K85" s="306">
        <v>254630.16</v>
      </c>
      <c r="L85" s="306">
        <v>247049.51</v>
      </c>
      <c r="M85" s="306">
        <v>231987.3</v>
      </c>
      <c r="N85" s="264">
        <v>225815.05</v>
      </c>
      <c r="O85" s="47">
        <f>SUM(C85:N85)</f>
        <v>2668205.7699999996</v>
      </c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</row>
    <row r="86" spans="1:26" hidden="1">
      <c r="A86" s="318" t="s">
        <v>234</v>
      </c>
      <c r="C86" s="264">
        <v>19032234.809999999</v>
      </c>
      <c r="D86" s="264">
        <v>38242296.780000001</v>
      </c>
      <c r="E86" s="264">
        <v>77747636.290000007</v>
      </c>
      <c r="F86" s="264">
        <v>88242959.790000007</v>
      </c>
      <c r="G86" s="264">
        <v>82955821.799999997</v>
      </c>
      <c r="H86" s="264">
        <v>55777850.18</v>
      </c>
      <c r="I86" s="264">
        <v>33064518.32</v>
      </c>
      <c r="J86" s="264">
        <v>18713391.469999999</v>
      </c>
      <c r="K86" s="264">
        <v>13271030.1</v>
      </c>
      <c r="L86" s="264">
        <v>11603792.619999999</v>
      </c>
      <c r="M86" s="264">
        <v>10413453.449999999</v>
      </c>
      <c r="N86" s="264">
        <v>10364345.4</v>
      </c>
      <c r="O86" s="47">
        <f t="shared" ref="O86:O92" si="15">SUM(C86:N86)</f>
        <v>459429331.01000005</v>
      </c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</row>
    <row r="87" spans="1:26" hidden="1">
      <c r="A87" s="318" t="s">
        <v>235</v>
      </c>
      <c r="C87" s="264">
        <v>955088.00000000012</v>
      </c>
      <c r="D87" s="264">
        <v>2348459.7300000004</v>
      </c>
      <c r="E87" s="264">
        <v>5229803.3</v>
      </c>
      <c r="F87" s="264">
        <v>6552791.5899999999</v>
      </c>
      <c r="G87" s="264">
        <v>6223718.2199999997</v>
      </c>
      <c r="H87" s="264">
        <v>4029233.16</v>
      </c>
      <c r="I87" s="264">
        <v>1998420.99</v>
      </c>
      <c r="J87" s="264">
        <v>845922.35</v>
      </c>
      <c r="K87" s="264">
        <v>475468.13999999996</v>
      </c>
      <c r="L87" s="264">
        <v>602269.32999999996</v>
      </c>
      <c r="M87" s="264">
        <v>506883.22</v>
      </c>
      <c r="N87" s="264">
        <v>516638.06999999995</v>
      </c>
      <c r="O87" s="47">
        <f t="shared" si="15"/>
        <v>30284696.099999998</v>
      </c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</row>
    <row r="88" spans="1:26" hidden="1">
      <c r="A88" s="318" t="s">
        <v>236</v>
      </c>
      <c r="C88" s="264">
        <v>2670387.98</v>
      </c>
      <c r="D88" s="264">
        <v>4657065.1399999997</v>
      </c>
      <c r="E88" s="264">
        <v>8248389.9800000004</v>
      </c>
      <c r="F88" s="264">
        <v>9753527.1199999992</v>
      </c>
      <c r="G88" s="264">
        <v>8864405.2799999993</v>
      </c>
      <c r="H88" s="264">
        <v>6170820.8000000007</v>
      </c>
      <c r="I88" s="264">
        <v>4110150.77</v>
      </c>
      <c r="J88" s="264">
        <v>2638967.5099999998</v>
      </c>
      <c r="K88" s="264">
        <v>1843824.8399999996</v>
      </c>
      <c r="L88" s="264">
        <v>1900621.9800000002</v>
      </c>
      <c r="M88" s="264">
        <v>1789253.44</v>
      </c>
      <c r="N88" s="264">
        <v>1756456.4000000001</v>
      </c>
      <c r="O88" s="47">
        <f t="shared" si="15"/>
        <v>54403871.239999987</v>
      </c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</row>
    <row r="89" spans="1:26" hidden="1">
      <c r="A89" s="318" t="s">
        <v>324</v>
      </c>
      <c r="C89" s="264">
        <v>0</v>
      </c>
      <c r="D89" s="47">
        <v>0</v>
      </c>
      <c r="E89" s="47"/>
      <c r="F89" s="47"/>
      <c r="G89" s="47"/>
      <c r="H89" s="47"/>
      <c r="I89" s="47"/>
      <c r="J89" s="47"/>
      <c r="K89" s="47"/>
      <c r="L89" s="47"/>
      <c r="M89" s="264">
        <v>0</v>
      </c>
      <c r="N89" s="47"/>
      <c r="O89" s="47">
        <f t="shared" si="15"/>
        <v>0</v>
      </c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</row>
    <row r="90" spans="1:26" hidden="1">
      <c r="A90" s="318" t="s">
        <v>325</v>
      </c>
      <c r="C90" s="264">
        <v>0</v>
      </c>
      <c r="D90" s="47">
        <v>0</v>
      </c>
      <c r="E90" s="47"/>
      <c r="F90" s="47"/>
      <c r="G90" s="264">
        <v>360445.33</v>
      </c>
      <c r="H90" s="264">
        <v>31493.75</v>
      </c>
      <c r="I90" s="264">
        <v>127864.2</v>
      </c>
      <c r="J90" s="264">
        <v>-45336.38</v>
      </c>
      <c r="K90" s="264">
        <v>0</v>
      </c>
      <c r="L90" s="47"/>
      <c r="M90" s="264">
        <v>0</v>
      </c>
      <c r="N90" s="47"/>
      <c r="O90" s="47">
        <f t="shared" si="15"/>
        <v>474466.9</v>
      </c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</row>
    <row r="91" spans="1:26" hidden="1">
      <c r="A91" s="318" t="s">
        <v>326</v>
      </c>
      <c r="C91" s="264">
        <v>12940.72</v>
      </c>
      <c r="D91" s="264">
        <v>36814.089999999997</v>
      </c>
      <c r="E91" s="264">
        <v>18955.830000000002</v>
      </c>
      <c r="F91" s="264">
        <v>11994.03</v>
      </c>
      <c r="G91" s="264">
        <v>9846.92</v>
      </c>
      <c r="H91" s="264">
        <v>-10140.73</v>
      </c>
      <c r="I91" s="264">
        <v>15698.32</v>
      </c>
      <c r="J91" s="264">
        <v>17179.66</v>
      </c>
      <c r="K91" s="264">
        <v>8914.14</v>
      </c>
      <c r="L91" s="264">
        <v>9233.0400000000009</v>
      </c>
      <c r="M91" s="264">
        <v>10951.85</v>
      </c>
      <c r="N91" s="264">
        <v>14389.87</v>
      </c>
      <c r="O91" s="47">
        <f t="shared" si="15"/>
        <v>156777.74</v>
      </c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</row>
    <row r="92" spans="1:26" hidden="1">
      <c r="A92" s="318" t="s">
        <v>257</v>
      </c>
      <c r="C92" s="264">
        <v>50676.54</v>
      </c>
      <c r="D92" s="264">
        <v>68381.94</v>
      </c>
      <c r="E92" s="264">
        <v>57211.040000000001</v>
      </c>
      <c r="F92" s="264">
        <v>61526.46</v>
      </c>
      <c r="G92" s="264">
        <v>58508.29</v>
      </c>
      <c r="H92" s="264">
        <v>56394.81</v>
      </c>
      <c r="I92" s="264">
        <v>72951.28</v>
      </c>
      <c r="J92" s="264">
        <v>72177.2</v>
      </c>
      <c r="K92" s="264">
        <v>75771.350000000006</v>
      </c>
      <c r="L92" s="264">
        <v>91704.819999999992</v>
      </c>
      <c r="M92" s="264">
        <v>97576.05</v>
      </c>
      <c r="N92" s="264">
        <v>101167.77</v>
      </c>
      <c r="O92" s="47">
        <f t="shared" si="15"/>
        <v>864047.55</v>
      </c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</row>
    <row r="93" spans="1:26" ht="15" hidden="1">
      <c r="A93" s="682" t="s">
        <v>239</v>
      </c>
      <c r="B93" s="682"/>
      <c r="C93" s="47">
        <f t="shared" ref="C93:O93" si="16">SUM(C85:C92)</f>
        <v>22960359.579999998</v>
      </c>
      <c r="D93" s="47">
        <f t="shared" si="16"/>
        <v>45526119.909999996</v>
      </c>
      <c r="E93" s="47">
        <f t="shared" si="16"/>
        <v>91531807.830000013</v>
      </c>
      <c r="F93" s="47">
        <f t="shared" si="16"/>
        <v>104885845.05000001</v>
      </c>
      <c r="G93" s="47">
        <f t="shared" si="16"/>
        <v>98727426</v>
      </c>
      <c r="H93" s="47">
        <f t="shared" si="16"/>
        <v>66309795.119999997</v>
      </c>
      <c r="I93" s="47">
        <f t="shared" si="16"/>
        <v>39534096.88000001</v>
      </c>
      <c r="J93" s="47">
        <f t="shared" si="16"/>
        <v>22392718.040000003</v>
      </c>
      <c r="K93" s="47">
        <f t="shared" si="16"/>
        <v>15929638.73</v>
      </c>
      <c r="L93" s="47">
        <f t="shared" si="16"/>
        <v>14454671.299999999</v>
      </c>
      <c r="M93" s="47">
        <f t="shared" si="16"/>
        <v>13050105.310000001</v>
      </c>
      <c r="N93" s="47">
        <f t="shared" si="16"/>
        <v>12978812.560000001</v>
      </c>
      <c r="O93" s="47">
        <f t="shared" si="16"/>
        <v>548281396.30999994</v>
      </c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</row>
    <row r="94" spans="1:26" hidden="1">
      <c r="A94" s="318"/>
    </row>
    <row r="95" spans="1:26" hidden="1">
      <c r="A95" s="318" t="s">
        <v>240</v>
      </c>
      <c r="C95" s="264">
        <v>866175.41</v>
      </c>
      <c r="D95" s="264">
        <v>1754875.82</v>
      </c>
      <c r="E95" s="264">
        <v>3543627.13</v>
      </c>
      <c r="F95" s="264">
        <v>4057253.73</v>
      </c>
      <c r="G95" s="264">
        <v>3741630.88</v>
      </c>
      <c r="H95" s="264">
        <v>2600961.67</v>
      </c>
      <c r="I95" s="264">
        <v>1496512.79</v>
      </c>
      <c r="J95" s="264">
        <v>835470.87</v>
      </c>
      <c r="K95" s="264">
        <v>553591.76</v>
      </c>
      <c r="L95" s="264">
        <v>486403.26</v>
      </c>
      <c r="M95" s="264">
        <v>424149.03</v>
      </c>
      <c r="N95" s="264">
        <v>424297.09</v>
      </c>
      <c r="O95" s="47">
        <f>SUM(C95:N95)</f>
        <v>20784949.440000005</v>
      </c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</row>
    <row r="96" spans="1:26" hidden="1">
      <c r="A96" s="318" t="s">
        <v>241</v>
      </c>
      <c r="C96" s="264">
        <v>7633.87</v>
      </c>
      <c r="D96" s="264">
        <v>8395.98</v>
      </c>
      <c r="E96" s="264">
        <v>12650.98</v>
      </c>
      <c r="F96" s="264">
        <v>13796.27</v>
      </c>
      <c r="G96" s="264">
        <v>12927.74</v>
      </c>
      <c r="H96" s="264">
        <v>12786.76</v>
      </c>
      <c r="I96" s="264">
        <v>8500.5</v>
      </c>
      <c r="J96" s="264">
        <v>8177.23</v>
      </c>
      <c r="K96" s="264">
        <v>8924.0400000000009</v>
      </c>
      <c r="L96" s="264">
        <v>8178.17</v>
      </c>
      <c r="M96" s="264">
        <v>7599.35</v>
      </c>
      <c r="N96" s="264">
        <v>7826.18</v>
      </c>
      <c r="O96" s="47">
        <f t="shared" ref="O96:O102" si="17">SUM(C96:N96)</f>
        <v>117397.07</v>
      </c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</row>
    <row r="97" spans="1:26" hidden="1">
      <c r="A97" t="s">
        <v>242</v>
      </c>
      <c r="C97" s="264">
        <v>233153.3</v>
      </c>
      <c r="D97" s="264">
        <v>425092.45</v>
      </c>
      <c r="E97" s="264">
        <v>643347.73</v>
      </c>
      <c r="F97" s="264">
        <v>725246.2</v>
      </c>
      <c r="G97" s="264">
        <v>730530.16</v>
      </c>
      <c r="H97" s="264">
        <v>577827.41</v>
      </c>
      <c r="I97" s="264">
        <v>372811.18</v>
      </c>
      <c r="J97" s="264">
        <v>207859.95</v>
      </c>
      <c r="K97" s="264">
        <v>116421.91</v>
      </c>
      <c r="L97" s="264">
        <v>89688.24</v>
      </c>
      <c r="M97" s="264">
        <v>98177.24</v>
      </c>
      <c r="N97" s="264">
        <v>95233.33</v>
      </c>
      <c r="O97" s="47">
        <f t="shared" si="17"/>
        <v>4315389.1000000006</v>
      </c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</row>
    <row r="98" spans="1:26" hidden="1">
      <c r="A98" t="s">
        <v>243</v>
      </c>
      <c r="C98" s="264">
        <v>1556977.27</v>
      </c>
      <c r="D98" s="264">
        <v>1714278.3</v>
      </c>
      <c r="E98" s="264">
        <v>1578630.87</v>
      </c>
      <c r="F98" s="264">
        <v>1797153.39</v>
      </c>
      <c r="G98" s="264">
        <v>1565863.34</v>
      </c>
      <c r="H98" s="264">
        <v>1718995.18</v>
      </c>
      <c r="I98" s="264">
        <v>1850166.75</v>
      </c>
      <c r="J98" s="264">
        <v>1638432.18</v>
      </c>
      <c r="K98" s="264">
        <v>1641939.17</v>
      </c>
      <c r="L98" s="264">
        <v>1376300.28</v>
      </c>
      <c r="M98" s="264">
        <v>1676344.16</v>
      </c>
      <c r="N98" s="264">
        <v>1527172.7</v>
      </c>
      <c r="O98" s="47">
        <f t="shared" si="17"/>
        <v>19642253.589999996</v>
      </c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</row>
    <row r="99" spans="1:26" hidden="1">
      <c r="A99" s="318" t="s">
        <v>244</v>
      </c>
      <c r="C99" s="264">
        <v>3764010.85</v>
      </c>
      <c r="D99" s="264">
        <v>6667139.7699999996</v>
      </c>
      <c r="E99" s="264">
        <v>12119899.460000001</v>
      </c>
      <c r="F99" s="264">
        <v>13210059.450000001</v>
      </c>
      <c r="G99" s="264">
        <v>11935326.860000001</v>
      </c>
      <c r="H99" s="264">
        <v>8686295.2899999991</v>
      </c>
      <c r="I99" s="264">
        <v>6065975.6199999992</v>
      </c>
      <c r="J99" s="264">
        <v>4115897.64</v>
      </c>
      <c r="K99" s="264">
        <v>2755161.52</v>
      </c>
      <c r="L99" s="264">
        <v>2524270.0299999998</v>
      </c>
      <c r="M99" s="264">
        <v>2486125.63</v>
      </c>
      <c r="N99" s="264">
        <v>2425818.59</v>
      </c>
      <c r="O99" s="47">
        <f t="shared" si="17"/>
        <v>76755980.709999993</v>
      </c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</row>
    <row r="100" spans="1:26" hidden="1">
      <c r="A100" s="318" t="s">
        <v>245</v>
      </c>
      <c r="C100" s="264">
        <v>301766.52</v>
      </c>
      <c r="D100" s="264">
        <v>627979.37</v>
      </c>
      <c r="E100" s="264">
        <v>1355426.21</v>
      </c>
      <c r="F100" s="264">
        <v>1637948.53</v>
      </c>
      <c r="G100" s="264">
        <v>1523369.65</v>
      </c>
      <c r="H100" s="264">
        <v>1013316.17</v>
      </c>
      <c r="I100" s="264">
        <v>541626.30000000005</v>
      </c>
      <c r="J100" s="264">
        <v>238958.09999999998</v>
      </c>
      <c r="K100" s="264">
        <v>125743.98999999999</v>
      </c>
      <c r="L100" s="264">
        <v>150058.56</v>
      </c>
      <c r="M100" s="264">
        <v>126544.29</v>
      </c>
      <c r="N100" s="264">
        <v>129925.73</v>
      </c>
      <c r="O100" s="47">
        <f t="shared" si="17"/>
        <v>7772663.419999999</v>
      </c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</row>
    <row r="101" spans="1:26" hidden="1">
      <c r="A101" s="318" t="s">
        <v>246</v>
      </c>
      <c r="C101" s="264">
        <v>542116.69999999995</v>
      </c>
      <c r="D101" s="264">
        <v>477809.66</v>
      </c>
      <c r="E101" s="264">
        <v>610193.49</v>
      </c>
      <c r="F101" s="264">
        <v>507967.15</v>
      </c>
      <c r="G101" s="264">
        <v>466168.17</v>
      </c>
      <c r="H101" s="264">
        <v>653969.66</v>
      </c>
      <c r="I101" s="264">
        <v>517972.7</v>
      </c>
      <c r="J101" s="264">
        <v>560844.27</v>
      </c>
      <c r="K101" s="264">
        <v>523383.32</v>
      </c>
      <c r="L101" s="264">
        <v>599934.47</v>
      </c>
      <c r="M101" s="264">
        <v>592669.67999999993</v>
      </c>
      <c r="N101" s="264">
        <v>514542.05</v>
      </c>
      <c r="O101" s="47">
        <f t="shared" si="17"/>
        <v>6567571.3200000003</v>
      </c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</row>
    <row r="102" spans="1:26" hidden="1">
      <c r="A102" s="318" t="s">
        <v>256</v>
      </c>
      <c r="C102" s="265">
        <v>63059.01</v>
      </c>
      <c r="D102" s="265">
        <v>65756.070000000007</v>
      </c>
      <c r="E102" s="265">
        <v>74055.38</v>
      </c>
      <c r="F102" s="265">
        <v>66903.77</v>
      </c>
      <c r="G102" s="265">
        <v>47507.21</v>
      </c>
      <c r="H102" s="265">
        <v>30453.040000000001</v>
      </c>
      <c r="I102" s="265">
        <v>47172.28</v>
      </c>
      <c r="J102" s="265">
        <v>52262.65</v>
      </c>
      <c r="K102" s="265">
        <v>50956.37</v>
      </c>
      <c r="L102" s="265">
        <v>61408.71</v>
      </c>
      <c r="M102" s="265">
        <v>56867.64</v>
      </c>
      <c r="N102" s="265">
        <v>55250.25</v>
      </c>
      <c r="O102" s="315">
        <f t="shared" si="17"/>
        <v>671652.38</v>
      </c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</row>
    <row r="103" spans="1:26" ht="15" hidden="1">
      <c r="A103" s="682" t="s">
        <v>247</v>
      </c>
      <c r="B103" s="682"/>
      <c r="C103" s="47">
        <f>SUM(C95:C102)</f>
        <v>7334892.9300000006</v>
      </c>
      <c r="D103" s="47">
        <f t="shared" ref="D103:N103" si="18">SUM(D95:D102)</f>
        <v>11741327.42</v>
      </c>
      <c r="E103" s="47">
        <f t="shared" si="18"/>
        <v>19937831.25</v>
      </c>
      <c r="F103" s="47">
        <f t="shared" si="18"/>
        <v>22016328.489999998</v>
      </c>
      <c r="G103" s="47">
        <f t="shared" si="18"/>
        <v>20023324.010000002</v>
      </c>
      <c r="H103" s="47">
        <f t="shared" si="18"/>
        <v>15294605.179999998</v>
      </c>
      <c r="I103" s="47">
        <f t="shared" si="18"/>
        <v>10900738.119999999</v>
      </c>
      <c r="J103" s="47">
        <f t="shared" si="18"/>
        <v>7657902.8900000006</v>
      </c>
      <c r="K103" s="47">
        <f t="shared" si="18"/>
        <v>5776122.080000001</v>
      </c>
      <c r="L103" s="47">
        <f t="shared" si="18"/>
        <v>5296241.72</v>
      </c>
      <c r="M103" s="47">
        <f t="shared" si="18"/>
        <v>5468477.0199999996</v>
      </c>
      <c r="N103" s="47">
        <f t="shared" si="18"/>
        <v>5180065.92</v>
      </c>
      <c r="O103" s="47">
        <f>SUM(O95:O102)</f>
        <v>136627857.03</v>
      </c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</row>
    <row r="104" spans="1:26" hidden="1">
      <c r="A104" s="318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</row>
    <row r="105" spans="1:26" hidden="1">
      <c r="A105" s="318" t="s">
        <v>321</v>
      </c>
      <c r="C105" s="266">
        <v>1358252.93</v>
      </c>
      <c r="D105" s="266">
        <v>1410332.74</v>
      </c>
      <c r="E105" s="266">
        <v>1504337.64</v>
      </c>
      <c r="F105" s="266">
        <v>1302106.74</v>
      </c>
      <c r="G105" s="266">
        <v>1127028.03</v>
      </c>
      <c r="H105" s="266">
        <v>1097961.6299999999</v>
      </c>
      <c r="I105" s="266">
        <v>1275368.75</v>
      </c>
      <c r="J105" s="266">
        <v>1325795.46</v>
      </c>
      <c r="K105" s="266">
        <v>1268127.68</v>
      </c>
      <c r="L105" s="266">
        <v>1128550.32</v>
      </c>
      <c r="M105" s="266">
        <v>1181910.97</v>
      </c>
      <c r="N105" s="266">
        <v>1096432.1499999999</v>
      </c>
      <c r="O105" s="47">
        <f>SUM(C105:N105)</f>
        <v>15076205.040000003</v>
      </c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</row>
    <row r="106" spans="1:26" hidden="1">
      <c r="A106" s="318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</row>
    <row r="107" spans="1:26" ht="15.75" hidden="1" thickBot="1">
      <c r="A107" s="682" t="s">
        <v>249</v>
      </c>
      <c r="B107" s="682"/>
      <c r="C107" s="313">
        <f>C105+C103+C93</f>
        <v>31653505.439999998</v>
      </c>
      <c r="D107" s="313">
        <f t="shared" ref="D107:N107" si="19">D105+D103+D93</f>
        <v>58677780.069999993</v>
      </c>
      <c r="E107" s="313">
        <f t="shared" si="19"/>
        <v>112973976.72000001</v>
      </c>
      <c r="F107" s="313">
        <f t="shared" si="19"/>
        <v>128204280.28</v>
      </c>
      <c r="G107" s="313">
        <f t="shared" si="19"/>
        <v>119877778.04000001</v>
      </c>
      <c r="H107" s="313">
        <f t="shared" si="19"/>
        <v>82702361.929999992</v>
      </c>
      <c r="I107" s="313">
        <f t="shared" si="19"/>
        <v>51710203.750000007</v>
      </c>
      <c r="J107" s="313">
        <f t="shared" si="19"/>
        <v>31376416.390000004</v>
      </c>
      <c r="K107" s="313">
        <f t="shared" si="19"/>
        <v>22973888.490000002</v>
      </c>
      <c r="L107" s="313">
        <f t="shared" si="19"/>
        <v>20879463.34</v>
      </c>
      <c r="M107" s="313">
        <f t="shared" si="19"/>
        <v>19700493.300000001</v>
      </c>
      <c r="N107" s="313">
        <f t="shared" si="19"/>
        <v>19255310.630000003</v>
      </c>
      <c r="O107" s="313">
        <f>O93+O103+O105</f>
        <v>699985458.37999988</v>
      </c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</row>
    <row r="108" spans="1:26" ht="13.5" hidden="1" thickTop="1"/>
    <row r="109" spans="1:26" ht="15">
      <c r="C109" s="685" t="s">
        <v>231</v>
      </c>
      <c r="D109" s="685"/>
      <c r="E109" s="685"/>
      <c r="F109" s="685"/>
      <c r="G109" s="685"/>
      <c r="H109" s="685"/>
      <c r="I109" s="685"/>
      <c r="J109" s="685"/>
      <c r="K109" s="685"/>
      <c r="L109" s="685"/>
      <c r="M109" s="685"/>
      <c r="N109" s="685"/>
      <c r="O109" s="684" t="s">
        <v>327</v>
      </c>
    </row>
    <row r="110" spans="1:26">
      <c r="C110" s="317">
        <v>44470</v>
      </c>
      <c r="D110" s="317">
        <v>44501</v>
      </c>
      <c r="E110" s="317">
        <v>44531</v>
      </c>
      <c r="F110" s="317">
        <v>44562</v>
      </c>
      <c r="G110" s="317">
        <v>44593</v>
      </c>
      <c r="H110" s="317">
        <v>44621</v>
      </c>
      <c r="I110" s="317">
        <v>44652</v>
      </c>
      <c r="J110" s="317">
        <v>44682</v>
      </c>
      <c r="K110" s="317">
        <v>44713</v>
      </c>
      <c r="L110" s="317">
        <v>44743</v>
      </c>
      <c r="M110" s="317">
        <v>44774</v>
      </c>
      <c r="N110" s="317">
        <v>44805</v>
      </c>
      <c r="O110" s="684"/>
    </row>
    <row r="111" spans="1:26">
      <c r="A111" s="318" t="s">
        <v>233</v>
      </c>
      <c r="C111" s="264">
        <v>223477.96</v>
      </c>
      <c r="D111" s="306">
        <v>205754.27</v>
      </c>
      <c r="E111" s="306">
        <v>229050.98</v>
      </c>
      <c r="F111" s="306">
        <v>296713.40999999997</v>
      </c>
      <c r="G111" s="306">
        <v>232065.08</v>
      </c>
      <c r="H111" s="306">
        <v>202091.76</v>
      </c>
      <c r="I111" s="264">
        <v>146686.87999999998</v>
      </c>
      <c r="J111" s="314">
        <v>134864.04999999999</v>
      </c>
      <c r="K111" s="314">
        <v>227759.14</v>
      </c>
      <c r="L111" s="314">
        <v>253489.96</v>
      </c>
      <c r="M111" s="314">
        <v>178852.68</v>
      </c>
      <c r="N111" s="47">
        <v>219130.09</v>
      </c>
      <c r="O111" s="47">
        <f>SUM(C111:N111)</f>
        <v>2549936.2599999998</v>
      </c>
    </row>
    <row r="112" spans="1:26">
      <c r="A112" s="318" t="s">
        <v>234</v>
      </c>
      <c r="C112" s="264">
        <v>13816088.470000001</v>
      </c>
      <c r="D112" s="264">
        <v>47183510.759999998</v>
      </c>
      <c r="E112" s="264">
        <v>64322581.369999997</v>
      </c>
      <c r="F112" s="264">
        <v>102794697.27</v>
      </c>
      <c r="G112" s="264">
        <v>70291834.590000004</v>
      </c>
      <c r="H112" s="264">
        <v>56021779.390000001</v>
      </c>
      <c r="I112" s="264">
        <v>34347724.25</v>
      </c>
      <c r="J112" s="47">
        <v>18088984.140000001</v>
      </c>
      <c r="K112" s="47">
        <v>13773390.210000001</v>
      </c>
      <c r="L112" s="47">
        <v>11948547.970000001</v>
      </c>
      <c r="M112" s="47">
        <v>9915344.3100000005</v>
      </c>
      <c r="N112" s="47">
        <v>10378546.560000001</v>
      </c>
      <c r="O112" s="47">
        <f t="shared" ref="O112:O118" si="20">SUM(C112:N112)</f>
        <v>452883029.29000002</v>
      </c>
    </row>
    <row r="113" spans="1:15">
      <c r="A113" s="318" t="s">
        <v>235</v>
      </c>
      <c r="C113" s="264">
        <v>764067.75</v>
      </c>
      <c r="D113" s="264">
        <v>3127126.86</v>
      </c>
      <c r="E113" s="264">
        <v>4319826.17</v>
      </c>
      <c r="F113" s="264">
        <v>7695202.3199999994</v>
      </c>
      <c r="G113" s="264">
        <v>5451090.8300000001</v>
      </c>
      <c r="H113" s="264">
        <v>4269601.99</v>
      </c>
      <c r="I113" s="264">
        <v>2262888.0300000003</v>
      </c>
      <c r="J113" s="47">
        <v>927212.62</v>
      </c>
      <c r="K113" s="47">
        <v>601126.75</v>
      </c>
      <c r="L113" s="47">
        <v>656559.68999999994</v>
      </c>
      <c r="M113" s="47">
        <v>580434.56999999995</v>
      </c>
      <c r="N113" s="47">
        <v>600422.28999999992</v>
      </c>
      <c r="O113" s="47">
        <f t="shared" si="20"/>
        <v>31255559.870000005</v>
      </c>
    </row>
    <row r="114" spans="1:15">
      <c r="A114" s="318" t="s">
        <v>236</v>
      </c>
      <c r="C114" s="264">
        <v>2012365.1199999999</v>
      </c>
      <c r="D114" s="264">
        <v>5573595.75</v>
      </c>
      <c r="E114" s="264">
        <v>7089840.0800000001</v>
      </c>
      <c r="F114" s="264">
        <v>11222005.5</v>
      </c>
      <c r="G114" s="264">
        <v>7153186.1099999994</v>
      </c>
      <c r="H114" s="264">
        <v>6537043.6799999997</v>
      </c>
      <c r="I114" s="264">
        <v>4295992.8400000008</v>
      </c>
      <c r="J114" s="47">
        <v>2732396.91</v>
      </c>
      <c r="K114" s="47">
        <v>2029194.6199999999</v>
      </c>
      <c r="L114" s="47">
        <v>1924796.32</v>
      </c>
      <c r="M114" s="47">
        <v>1805469.9199999997</v>
      </c>
      <c r="N114" s="47">
        <v>1733592.4999999998</v>
      </c>
      <c r="O114" s="47">
        <f t="shared" si="20"/>
        <v>54109479.349999994</v>
      </c>
    </row>
    <row r="115" spans="1:15">
      <c r="A115" s="318" t="s">
        <v>324</v>
      </c>
      <c r="C115" s="264"/>
      <c r="D115" s="264">
        <v>0</v>
      </c>
      <c r="E115" s="264">
        <v>0</v>
      </c>
      <c r="F115" s="47">
        <v>0</v>
      </c>
      <c r="G115" s="264">
        <v>0</v>
      </c>
      <c r="H115" s="264">
        <v>0</v>
      </c>
      <c r="I115" s="264"/>
      <c r="J115" s="47"/>
      <c r="K115" s="47"/>
      <c r="L115" s="47"/>
      <c r="M115" s="47"/>
      <c r="N115" s="47"/>
      <c r="O115" s="47">
        <f t="shared" si="20"/>
        <v>0</v>
      </c>
    </row>
    <row r="116" spans="1:15">
      <c r="A116" s="318" t="s">
        <v>325</v>
      </c>
      <c r="C116" s="264"/>
      <c r="D116" s="264">
        <v>0</v>
      </c>
      <c r="E116" s="264">
        <v>0</v>
      </c>
      <c r="F116" s="47">
        <v>0</v>
      </c>
      <c r="G116" s="264">
        <v>0</v>
      </c>
      <c r="H116" s="264">
        <v>0</v>
      </c>
      <c r="I116" s="264"/>
      <c r="J116" s="47"/>
      <c r="K116" s="47"/>
      <c r="L116" s="47"/>
      <c r="M116" s="47"/>
      <c r="N116" s="47"/>
      <c r="O116" s="47">
        <f t="shared" si="20"/>
        <v>0</v>
      </c>
    </row>
    <row r="117" spans="1:15">
      <c r="A117" s="318" t="s">
        <v>326</v>
      </c>
      <c r="C117" s="264">
        <v>14810.72</v>
      </c>
      <c r="D117" s="264">
        <v>16567.79</v>
      </c>
      <c r="E117" s="264">
        <v>12810</v>
      </c>
      <c r="F117" s="264">
        <v>19866.900000000001</v>
      </c>
      <c r="G117" s="264">
        <v>124428.42</v>
      </c>
      <c r="H117" s="264">
        <v>61748.28</v>
      </c>
      <c r="I117" s="264">
        <v>57766.23</v>
      </c>
      <c r="J117" s="47">
        <v>-22891.86</v>
      </c>
      <c r="K117" s="47">
        <v>19404.79</v>
      </c>
      <c r="L117" s="47">
        <v>8182</v>
      </c>
      <c r="M117" s="47">
        <v>8937.77</v>
      </c>
      <c r="N117" s="47">
        <v>-3034.65</v>
      </c>
      <c r="O117" s="47">
        <f t="shared" si="20"/>
        <v>318596.39</v>
      </c>
    </row>
    <row r="118" spans="1:15" ht="13.5" thickBot="1">
      <c r="A118" s="318" t="s">
        <v>257</v>
      </c>
      <c r="C118" s="473">
        <v>104986.16</v>
      </c>
      <c r="D118" s="473">
        <v>76749.87</v>
      </c>
      <c r="E118" s="473">
        <v>75448.55</v>
      </c>
      <c r="F118" s="473">
        <v>80583.91</v>
      </c>
      <c r="G118" s="473">
        <v>73558.47</v>
      </c>
      <c r="H118" s="473">
        <v>69253.740000000005</v>
      </c>
      <c r="I118" s="265">
        <v>90558.75</v>
      </c>
      <c r="J118" s="460">
        <v>82023.070000000007</v>
      </c>
      <c r="K118" s="460">
        <v>88685.84</v>
      </c>
      <c r="L118" s="460">
        <v>87666.559999999998</v>
      </c>
      <c r="M118" s="460">
        <v>88837.94</v>
      </c>
      <c r="N118" s="460">
        <v>91376.069999999992</v>
      </c>
      <c r="O118" s="460">
        <f t="shared" si="20"/>
        <v>1009728.9299999998</v>
      </c>
    </row>
    <row r="119" spans="1:15" ht="15">
      <c r="A119" s="682" t="s">
        <v>239</v>
      </c>
      <c r="B119" s="682"/>
      <c r="C119" s="47">
        <f t="shared" ref="C119:O119" si="21">SUM(C111:C118)</f>
        <v>16935796.18</v>
      </c>
      <c r="D119" s="47">
        <f t="shared" si="21"/>
        <v>56183305.299999997</v>
      </c>
      <c r="E119" s="47">
        <f t="shared" si="21"/>
        <v>76049557.149999991</v>
      </c>
      <c r="F119" s="47">
        <f t="shared" si="21"/>
        <v>122109069.30999999</v>
      </c>
      <c r="G119" s="47">
        <f t="shared" si="21"/>
        <v>83326163.5</v>
      </c>
      <c r="H119" s="47">
        <f t="shared" si="21"/>
        <v>67161518.840000004</v>
      </c>
      <c r="I119" s="47">
        <f t="shared" si="21"/>
        <v>41201616.980000004</v>
      </c>
      <c r="J119" s="47">
        <f t="shared" si="21"/>
        <v>21942588.930000003</v>
      </c>
      <c r="K119" s="47">
        <f t="shared" si="21"/>
        <v>16739561.35</v>
      </c>
      <c r="L119" s="47">
        <f t="shared" si="21"/>
        <v>14879242.500000002</v>
      </c>
      <c r="M119" s="47">
        <f t="shared" si="21"/>
        <v>12577877.189999999</v>
      </c>
      <c r="N119" s="47">
        <f t="shared" si="21"/>
        <v>13020032.859999999</v>
      </c>
      <c r="O119" s="47">
        <f t="shared" si="21"/>
        <v>542126330.08999991</v>
      </c>
    </row>
    <row r="120" spans="1:15">
      <c r="A120" s="318"/>
    </row>
    <row r="121" spans="1:15">
      <c r="A121" s="318" t="s">
        <v>240</v>
      </c>
      <c r="C121" s="264">
        <v>491699.61</v>
      </c>
      <c r="D121" s="264">
        <v>1767903.82</v>
      </c>
      <c r="E121" s="264">
        <v>2348019.96</v>
      </c>
      <c r="F121" s="264">
        <v>3691330.17</v>
      </c>
      <c r="G121" s="264">
        <v>2484525.31</v>
      </c>
      <c r="H121" s="264">
        <v>1959534.52</v>
      </c>
      <c r="I121" s="264">
        <v>1224197.75</v>
      </c>
      <c r="J121" s="47">
        <v>607819.12</v>
      </c>
      <c r="K121" s="47">
        <v>424546.74</v>
      </c>
      <c r="L121" s="47">
        <v>374568.26</v>
      </c>
      <c r="M121" s="47">
        <v>294589.27</v>
      </c>
      <c r="N121" s="47">
        <v>5403.29</v>
      </c>
      <c r="O121" s="47">
        <f t="shared" ref="O121:O128" si="22">SUM(C121:N121)</f>
        <v>15674137.819999998</v>
      </c>
    </row>
    <row r="122" spans="1:15">
      <c r="A122" s="318" t="s">
        <v>241</v>
      </c>
      <c r="C122" s="264">
        <v>6505.7</v>
      </c>
      <c r="D122" s="264">
        <v>9495.61</v>
      </c>
      <c r="E122" s="264">
        <v>11574.15</v>
      </c>
      <c r="F122" s="264">
        <v>15801.12</v>
      </c>
      <c r="G122" s="264">
        <v>11350.31</v>
      </c>
      <c r="H122" s="264">
        <v>10458.42</v>
      </c>
      <c r="I122" s="264">
        <v>7844.66</v>
      </c>
      <c r="J122" s="47">
        <v>6953.27</v>
      </c>
      <c r="K122" s="47">
        <v>6708.49</v>
      </c>
      <c r="L122" s="47">
        <v>6534.25</v>
      </c>
      <c r="M122" s="47">
        <v>5591</v>
      </c>
      <c r="N122" s="47">
        <v>316719.7</v>
      </c>
      <c r="O122" s="47">
        <f t="shared" si="22"/>
        <v>415536.68000000005</v>
      </c>
    </row>
    <row r="123" spans="1:15">
      <c r="A123" t="s">
        <v>242</v>
      </c>
      <c r="C123" s="264">
        <v>184027.29</v>
      </c>
      <c r="D123" s="264">
        <v>544712.94999999995</v>
      </c>
      <c r="E123" s="264">
        <v>667530.68000000005</v>
      </c>
      <c r="F123" s="264">
        <v>930678.28</v>
      </c>
      <c r="G123" s="264">
        <v>769652.18</v>
      </c>
      <c r="H123" s="264">
        <v>691774.18</v>
      </c>
      <c r="I123" s="264">
        <v>499925.93</v>
      </c>
      <c r="J123" s="47">
        <v>251788.31</v>
      </c>
      <c r="K123" s="47">
        <v>123371.24</v>
      </c>
      <c r="L123" s="47">
        <v>111693.83</v>
      </c>
      <c r="M123" s="47">
        <v>102493.86</v>
      </c>
      <c r="N123" s="47">
        <v>240483.75</v>
      </c>
      <c r="O123" s="47">
        <f t="shared" si="22"/>
        <v>5118132.4800000004</v>
      </c>
    </row>
    <row r="124" spans="1:15">
      <c r="A124" t="s">
        <v>243</v>
      </c>
      <c r="C124" s="264">
        <v>1744877.71</v>
      </c>
      <c r="D124" s="264">
        <v>1948971.93</v>
      </c>
      <c r="E124" s="264">
        <v>1639502.73</v>
      </c>
      <c r="F124" s="264">
        <v>1876438.74</v>
      </c>
      <c r="G124" s="264">
        <v>1702443.55</v>
      </c>
      <c r="H124" s="264">
        <v>1819528.77</v>
      </c>
      <c r="I124" s="264">
        <v>1570120.75</v>
      </c>
      <c r="J124" s="47">
        <v>1580443.85</v>
      </c>
      <c r="K124" s="47">
        <v>1517796.86</v>
      </c>
      <c r="L124" s="47">
        <v>1380033.88</v>
      </c>
      <c r="M124" s="47">
        <v>1325773.8400000001</v>
      </c>
      <c r="N124" s="47">
        <v>2499828.91</v>
      </c>
      <c r="O124" s="47">
        <f t="shared" si="22"/>
        <v>20605761.52</v>
      </c>
    </row>
    <row r="125" spans="1:15">
      <c r="A125" s="318" t="s">
        <v>244</v>
      </c>
      <c r="C125" s="264">
        <v>3341124.6500000004</v>
      </c>
      <c r="D125" s="264">
        <v>7927630.1699999999</v>
      </c>
      <c r="E125" s="264">
        <v>10050281.050000001</v>
      </c>
      <c r="F125" s="264">
        <v>15279160.770000001</v>
      </c>
      <c r="G125" s="264">
        <v>9858699.3200000003</v>
      </c>
      <c r="H125" s="264">
        <v>9051370.5399999991</v>
      </c>
      <c r="I125" s="264">
        <v>6232389.54</v>
      </c>
      <c r="J125" s="47">
        <v>4320286.29</v>
      </c>
      <c r="K125" s="47">
        <v>3051650.01</v>
      </c>
      <c r="L125" s="47">
        <v>2645587.85</v>
      </c>
      <c r="M125" s="47">
        <v>2319669.04</v>
      </c>
      <c r="N125" s="47">
        <v>1482341.93</v>
      </c>
      <c r="O125" s="47">
        <f t="shared" si="22"/>
        <v>75560191.160000011</v>
      </c>
    </row>
    <row r="126" spans="1:15">
      <c r="A126" s="318" t="s">
        <v>245</v>
      </c>
      <c r="C126" s="264">
        <v>224450.19</v>
      </c>
      <c r="D126" s="264">
        <v>777769.94</v>
      </c>
      <c r="E126" s="264">
        <v>1058053.21</v>
      </c>
      <c r="F126" s="264">
        <v>1760730.83</v>
      </c>
      <c r="G126" s="264">
        <v>1236408.6100000001</v>
      </c>
      <c r="H126" s="264">
        <v>975185.02</v>
      </c>
      <c r="I126" s="264">
        <v>541986.84</v>
      </c>
      <c r="J126" s="47">
        <v>233250.34</v>
      </c>
      <c r="K126" s="47">
        <v>172756.93</v>
      </c>
      <c r="L126" s="47">
        <v>158175.61000000002</v>
      </c>
      <c r="M126" s="47">
        <v>145749.28</v>
      </c>
      <c r="N126" s="47">
        <v>140224.56</v>
      </c>
      <c r="O126" s="47">
        <f t="shared" si="22"/>
        <v>7424741.3600000003</v>
      </c>
    </row>
    <row r="127" spans="1:15">
      <c r="A127" s="318" t="s">
        <v>246</v>
      </c>
      <c r="C127" s="264">
        <v>392327.20999999996</v>
      </c>
      <c r="D127" s="264">
        <v>450284.92</v>
      </c>
      <c r="E127" s="264">
        <v>552730.51</v>
      </c>
      <c r="F127" s="264">
        <v>346791.77</v>
      </c>
      <c r="G127" s="264">
        <v>297655.75</v>
      </c>
      <c r="H127" s="264">
        <v>324326.40000000002</v>
      </c>
      <c r="I127" s="264">
        <v>365711.79</v>
      </c>
      <c r="J127" s="47">
        <v>472831.24</v>
      </c>
      <c r="K127" s="47">
        <v>393429.95</v>
      </c>
      <c r="L127" s="47">
        <v>503165.42</v>
      </c>
      <c r="M127" s="47">
        <v>506947.77999999997</v>
      </c>
      <c r="N127" s="47">
        <v>378809.69999999995</v>
      </c>
      <c r="O127" s="47">
        <f t="shared" si="22"/>
        <v>4985012.4400000004</v>
      </c>
    </row>
    <row r="128" spans="1:15" ht="13.5" thickBot="1">
      <c r="A128" s="318" t="s">
        <v>256</v>
      </c>
      <c r="C128" s="473">
        <v>59712.639999999999</v>
      </c>
      <c r="D128" s="473">
        <v>65436.81</v>
      </c>
      <c r="E128" s="473">
        <v>61776.98</v>
      </c>
      <c r="F128" s="473">
        <v>73389.69</v>
      </c>
      <c r="G128" s="473">
        <v>39316.89</v>
      </c>
      <c r="H128" s="473">
        <v>55927.97</v>
      </c>
      <c r="I128" s="265">
        <v>43086.239999999998</v>
      </c>
      <c r="J128" s="460">
        <v>43111.59</v>
      </c>
      <c r="K128" s="460">
        <v>53553.31</v>
      </c>
      <c r="L128" s="460">
        <v>62123.87</v>
      </c>
      <c r="M128" s="460">
        <v>56114.5</v>
      </c>
      <c r="N128" s="460">
        <v>60270.78</v>
      </c>
      <c r="O128" s="460">
        <f t="shared" si="22"/>
        <v>673821.27</v>
      </c>
    </row>
    <row r="129" spans="1:15" ht="15">
      <c r="A129" s="682" t="s">
        <v>247</v>
      </c>
      <c r="B129" s="682"/>
      <c r="C129" s="47">
        <f>SUM(C121:C128)</f>
        <v>6444725.0000000009</v>
      </c>
      <c r="D129" s="47">
        <f t="shared" ref="D129:O129" si="23">SUM(D121:D128)</f>
        <v>13492206.15</v>
      </c>
      <c r="E129" s="47">
        <f t="shared" si="23"/>
        <v>16389469.270000001</v>
      </c>
      <c r="F129" s="47">
        <f t="shared" si="23"/>
        <v>23974321.370000005</v>
      </c>
      <c r="G129" s="47">
        <f t="shared" si="23"/>
        <v>16400051.920000002</v>
      </c>
      <c r="H129" s="47">
        <f t="shared" si="23"/>
        <v>14888105.82</v>
      </c>
      <c r="I129" s="47">
        <f t="shared" si="23"/>
        <v>10485263.499999998</v>
      </c>
      <c r="J129" s="47">
        <f t="shared" si="23"/>
        <v>7516484.0099999998</v>
      </c>
      <c r="K129" s="47">
        <f t="shared" si="23"/>
        <v>5743813.5299999993</v>
      </c>
      <c r="L129" s="47">
        <f t="shared" si="23"/>
        <v>5241882.9700000007</v>
      </c>
      <c r="M129" s="47">
        <f t="shared" si="23"/>
        <v>4756928.57</v>
      </c>
      <c r="N129" s="47">
        <f t="shared" si="23"/>
        <v>5124082.62</v>
      </c>
      <c r="O129" s="47">
        <f t="shared" si="23"/>
        <v>130457334.73</v>
      </c>
    </row>
    <row r="130" spans="1:15">
      <c r="A130" s="318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</row>
    <row r="131" spans="1:15">
      <c r="A131" s="318" t="s">
        <v>321</v>
      </c>
      <c r="C131" s="266">
        <v>1229367.6100000001</v>
      </c>
      <c r="D131" s="266">
        <v>1392759.12</v>
      </c>
      <c r="E131" s="266">
        <v>1210296.3400000001</v>
      </c>
      <c r="F131" s="266">
        <v>1039641.14</v>
      </c>
      <c r="G131" s="266">
        <v>1142336.44</v>
      </c>
      <c r="H131" s="266">
        <v>1166475.1100000001</v>
      </c>
      <c r="I131" s="266">
        <v>1313969.92</v>
      </c>
      <c r="J131" s="47">
        <v>1289931.6599999999</v>
      </c>
      <c r="K131" s="47">
        <v>1217651.27</v>
      </c>
      <c r="L131" s="47">
        <v>1143487.18</v>
      </c>
      <c r="M131" s="47">
        <v>1158990.7</v>
      </c>
      <c r="N131" s="47">
        <v>1090154.76</v>
      </c>
      <c r="O131" s="47">
        <f t="shared" ref="O131" si="24">SUM(C131:N131)</f>
        <v>14395061.249999998</v>
      </c>
    </row>
    <row r="132" spans="1:15">
      <c r="A132" s="318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</row>
    <row r="133" spans="1:15" ht="15.75" thickBot="1">
      <c r="A133" s="682" t="s">
        <v>249</v>
      </c>
      <c r="B133" s="682"/>
      <c r="C133" s="313">
        <f>C131+C129+C119</f>
        <v>24609888.789999999</v>
      </c>
      <c r="D133" s="313">
        <f t="shared" ref="D133:N133" si="25">D131+D129+D119</f>
        <v>71068270.569999993</v>
      </c>
      <c r="E133" s="313">
        <f t="shared" si="25"/>
        <v>93649322.75999999</v>
      </c>
      <c r="F133" s="313">
        <f t="shared" si="25"/>
        <v>147123031.81999999</v>
      </c>
      <c r="G133" s="313">
        <f t="shared" si="25"/>
        <v>100868551.86</v>
      </c>
      <c r="H133" s="313">
        <f t="shared" si="25"/>
        <v>83216099.770000011</v>
      </c>
      <c r="I133" s="313">
        <f t="shared" si="25"/>
        <v>53000850.400000006</v>
      </c>
      <c r="J133" s="313">
        <f t="shared" si="25"/>
        <v>30749004.600000001</v>
      </c>
      <c r="K133" s="313">
        <f t="shared" si="25"/>
        <v>23701026.149999999</v>
      </c>
      <c r="L133" s="313">
        <f t="shared" si="25"/>
        <v>21264612.650000002</v>
      </c>
      <c r="M133" s="313">
        <f t="shared" si="25"/>
        <v>18493796.460000001</v>
      </c>
      <c r="N133" s="313">
        <f t="shared" si="25"/>
        <v>19234270.239999998</v>
      </c>
      <c r="O133" s="313">
        <f>O119+O129+O131</f>
        <v>686978726.06999993</v>
      </c>
    </row>
    <row r="134" spans="1:15" ht="13.5" thickTop="1"/>
    <row r="135" spans="1:15" ht="15">
      <c r="C135" s="685" t="s">
        <v>231</v>
      </c>
      <c r="D135" s="685"/>
      <c r="E135" s="685"/>
      <c r="F135" s="685"/>
      <c r="G135" s="685"/>
      <c r="H135" s="685"/>
      <c r="I135" s="683" t="s">
        <v>232</v>
      </c>
      <c r="J135" s="683"/>
      <c r="K135" s="683"/>
      <c r="L135" s="683"/>
      <c r="M135" s="683"/>
      <c r="N135" s="683"/>
      <c r="O135" s="684" t="s">
        <v>332</v>
      </c>
    </row>
    <row r="136" spans="1:15">
      <c r="C136" s="317">
        <v>44835</v>
      </c>
      <c r="D136" s="317">
        <v>44866</v>
      </c>
      <c r="E136" s="317">
        <v>44896</v>
      </c>
      <c r="F136" s="317">
        <v>44927</v>
      </c>
      <c r="G136" s="317">
        <v>44958</v>
      </c>
      <c r="H136" s="317">
        <v>44986</v>
      </c>
      <c r="I136" s="317">
        <v>45017</v>
      </c>
      <c r="J136" s="317">
        <v>45047</v>
      </c>
      <c r="K136" s="317">
        <v>45078</v>
      </c>
      <c r="L136" s="317">
        <v>45108</v>
      </c>
      <c r="M136" s="317">
        <v>45139</v>
      </c>
      <c r="N136" s="317">
        <v>45170</v>
      </c>
      <c r="O136" s="684"/>
    </row>
    <row r="137" spans="1:15" s="48" customFormat="1">
      <c r="A137" s="503" t="s">
        <v>233</v>
      </c>
      <c r="C137" s="314">
        <v>224364.87</v>
      </c>
      <c r="D137" s="314">
        <v>186397.36</v>
      </c>
      <c r="E137" s="314">
        <v>272704.90999999997</v>
      </c>
      <c r="F137" s="314">
        <v>263898.99</v>
      </c>
      <c r="G137" s="314">
        <v>238040.48</v>
      </c>
      <c r="H137" s="314">
        <v>218179.07</v>
      </c>
      <c r="I137" s="314">
        <v>160253.27129371982</v>
      </c>
      <c r="J137" s="314">
        <v>152510.51830786435</v>
      </c>
      <c r="K137" s="314">
        <v>269084.22530377697</v>
      </c>
      <c r="L137" s="314">
        <v>272616.09783416876</v>
      </c>
      <c r="M137" s="504">
        <v>222488.79997643392</v>
      </c>
      <c r="N137" s="47">
        <v>256168.51950342825</v>
      </c>
      <c r="O137" s="504">
        <f>SUM(C137:N137)</f>
        <v>2736707.1122193923</v>
      </c>
    </row>
    <row r="138" spans="1:15">
      <c r="A138" s="318" t="s">
        <v>234</v>
      </c>
      <c r="C138" s="47">
        <v>22523591.300000001</v>
      </c>
      <c r="D138" s="47">
        <v>42532869.009999998</v>
      </c>
      <c r="E138" s="47">
        <v>81741785.140000001</v>
      </c>
      <c r="F138" s="47">
        <v>67583032.480000004</v>
      </c>
      <c r="G138" s="47">
        <v>64484721.219999999</v>
      </c>
      <c r="H138" s="47">
        <v>61745546.420000002</v>
      </c>
      <c r="I138" s="47">
        <v>34658824.312253475</v>
      </c>
      <c r="J138" s="47">
        <v>18544369.809003312</v>
      </c>
      <c r="K138" s="47">
        <v>11803502.469730025</v>
      </c>
      <c r="L138" s="47">
        <v>11587924.328306835</v>
      </c>
      <c r="M138" s="47">
        <v>10941241.669777438</v>
      </c>
      <c r="N138" s="47">
        <v>11205335.681793476</v>
      </c>
      <c r="O138" s="47">
        <f t="shared" ref="O138:O144" si="26">SUM(C138:N138)</f>
        <v>439352743.84086454</v>
      </c>
    </row>
    <row r="139" spans="1:15">
      <c r="A139" s="318" t="s">
        <v>235</v>
      </c>
      <c r="C139" s="47">
        <v>1298366.1900000002</v>
      </c>
      <c r="D139" s="47">
        <v>2786813.02</v>
      </c>
      <c r="E139" s="47">
        <v>5888371.75</v>
      </c>
      <c r="F139" s="47">
        <v>5147115.1899999995</v>
      </c>
      <c r="G139" s="47">
        <v>4855189.8</v>
      </c>
      <c r="H139" s="47">
        <v>4662382.5200000005</v>
      </c>
      <c r="I139" s="47">
        <v>2192611.5855124611</v>
      </c>
      <c r="J139" s="47">
        <v>1003799.1560895125</v>
      </c>
      <c r="K139" s="47">
        <v>558115.33858797734</v>
      </c>
      <c r="L139" s="47">
        <v>573602.04647190648</v>
      </c>
      <c r="M139" s="47">
        <v>572816.3223568328</v>
      </c>
      <c r="N139" s="47">
        <v>555711.84797060536</v>
      </c>
      <c r="O139" s="47">
        <f t="shared" si="26"/>
        <v>30094894.766989287</v>
      </c>
    </row>
    <row r="140" spans="1:15">
      <c r="A140" s="318" t="s">
        <v>236</v>
      </c>
      <c r="C140" s="47">
        <v>3002611.39</v>
      </c>
      <c r="D140" s="47">
        <v>5394942.5599999996</v>
      </c>
      <c r="E140" s="47">
        <v>8640523.3500000015</v>
      </c>
      <c r="F140" s="47">
        <v>7848113.669999999</v>
      </c>
      <c r="G140" s="47">
        <v>7500420.169999999</v>
      </c>
      <c r="H140" s="47">
        <v>7571161.3599999994</v>
      </c>
      <c r="I140" s="47">
        <v>4645817.9520726688</v>
      </c>
      <c r="J140" s="47">
        <v>2676324.378425763</v>
      </c>
      <c r="K140" s="47">
        <v>1839545.0312536308</v>
      </c>
      <c r="L140" s="47">
        <v>1897733.1250906279</v>
      </c>
      <c r="M140" s="47">
        <v>1898698.5896287356</v>
      </c>
      <c r="N140" s="47">
        <v>1840829.1291400315</v>
      </c>
      <c r="O140" s="47">
        <f t="shared" si="26"/>
        <v>54756720.705611452</v>
      </c>
    </row>
    <row r="141" spans="1:15">
      <c r="A141" s="318" t="s">
        <v>324</v>
      </c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>
        <f t="shared" si="26"/>
        <v>0</v>
      </c>
    </row>
    <row r="142" spans="1:15">
      <c r="A142" s="318" t="s">
        <v>325</v>
      </c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>
        <f t="shared" si="26"/>
        <v>0</v>
      </c>
    </row>
    <row r="143" spans="1:15">
      <c r="A143" s="318" t="s">
        <v>326</v>
      </c>
      <c r="C143" s="47">
        <v>40656.769999999997</v>
      </c>
      <c r="D143" s="47">
        <v>21568.58</v>
      </c>
      <c r="E143" s="47">
        <v>6567.42</v>
      </c>
      <c r="F143" s="47">
        <v>-27136</v>
      </c>
      <c r="G143" s="47">
        <v>13888.56</v>
      </c>
      <c r="H143" s="47">
        <v>17117.349999999999</v>
      </c>
      <c r="I143" s="47">
        <v>7282.4</v>
      </c>
      <c r="J143" s="47">
        <v>7308.48</v>
      </c>
      <c r="K143" s="47">
        <v>10282.4</v>
      </c>
      <c r="L143" s="47">
        <v>10308.48</v>
      </c>
      <c r="M143" s="47">
        <v>7308.48</v>
      </c>
      <c r="N143" s="47">
        <v>7282.4</v>
      </c>
      <c r="O143" s="47">
        <f t="shared" si="26"/>
        <v>122435.31999999996</v>
      </c>
    </row>
    <row r="144" spans="1:15" ht="13.5" thickBot="1">
      <c r="A144" s="318" t="s">
        <v>257</v>
      </c>
      <c r="C144" s="460">
        <v>84677.9</v>
      </c>
      <c r="D144" s="460">
        <v>80324.509999999995</v>
      </c>
      <c r="E144" s="460">
        <v>72980.11</v>
      </c>
      <c r="F144" s="460">
        <v>66128.210000000006</v>
      </c>
      <c r="G144" s="460">
        <v>66644.239999999991</v>
      </c>
      <c r="H144" s="460">
        <v>59807.32</v>
      </c>
      <c r="I144" s="460">
        <v>79327.590000000011</v>
      </c>
      <c r="J144" s="460">
        <v>68998.193333333344</v>
      </c>
      <c r="K144" s="460">
        <v>72633.840000000011</v>
      </c>
      <c r="L144" s="460">
        <v>81738.20666666668</v>
      </c>
      <c r="M144" s="460">
        <v>84520.53333333334</v>
      </c>
      <c r="N144" s="505">
        <v>84980.85</v>
      </c>
      <c r="O144" s="460">
        <f t="shared" si="26"/>
        <v>902761.5033333333</v>
      </c>
    </row>
    <row r="145" spans="1:15" ht="15">
      <c r="A145" s="682" t="s">
        <v>239</v>
      </c>
      <c r="B145" s="682"/>
      <c r="C145" s="47">
        <f t="shared" ref="C145:O145" si="27">SUM(C137:C144)</f>
        <v>27174268.420000002</v>
      </c>
      <c r="D145" s="47">
        <f t="shared" si="27"/>
        <v>51002915.039999999</v>
      </c>
      <c r="E145" s="47">
        <f t="shared" si="27"/>
        <v>96622932.680000007</v>
      </c>
      <c r="F145" s="47">
        <f t="shared" si="27"/>
        <v>80881152.539999992</v>
      </c>
      <c r="G145" s="47">
        <f t="shared" si="27"/>
        <v>77158904.469999999</v>
      </c>
      <c r="H145" s="47">
        <f t="shared" si="27"/>
        <v>74274194.039999992</v>
      </c>
      <c r="I145" s="47">
        <f t="shared" si="27"/>
        <v>41744117.111132331</v>
      </c>
      <c r="J145" s="47">
        <f t="shared" si="27"/>
        <v>22453310.535159782</v>
      </c>
      <c r="K145" s="47">
        <f t="shared" si="27"/>
        <v>14553163.304875409</v>
      </c>
      <c r="L145" s="47">
        <f t="shared" si="27"/>
        <v>14423922.284370206</v>
      </c>
      <c r="M145" s="47">
        <f t="shared" si="27"/>
        <v>13727074.395072775</v>
      </c>
      <c r="N145" s="47">
        <f t="shared" si="27"/>
        <v>13950308.428407539</v>
      </c>
      <c r="O145" s="47">
        <f t="shared" si="27"/>
        <v>527966263.24901801</v>
      </c>
    </row>
    <row r="146" spans="1:15">
      <c r="A146" s="318"/>
    </row>
    <row r="147" spans="1:15">
      <c r="A147" s="318" t="s">
        <v>240</v>
      </c>
      <c r="C147" s="47">
        <v>710800.95</v>
      </c>
      <c r="D147" s="47">
        <v>1371979.2</v>
      </c>
      <c r="E147" s="47">
        <v>2629566.71</v>
      </c>
      <c r="F147" s="47">
        <v>11663.68</v>
      </c>
      <c r="G147" s="47">
        <v>2046260.19</v>
      </c>
      <c r="H147" s="47">
        <v>1941346.48</v>
      </c>
      <c r="I147" s="47">
        <v>6977.78058261774</v>
      </c>
      <c r="J147" s="47">
        <v>5925.992403650881</v>
      </c>
      <c r="K147" s="47">
        <v>5069.6445394631892</v>
      </c>
      <c r="L147" s="47">
        <v>5238.6326907786288</v>
      </c>
      <c r="M147" s="47">
        <v>5238.6326907786288</v>
      </c>
      <c r="N147" s="47">
        <v>5069.6445394631892</v>
      </c>
      <c r="O147" s="47">
        <f t="shared" ref="O147:O154" si="28">SUM(C147:N147)</f>
        <v>8745137.5374467485</v>
      </c>
    </row>
    <row r="148" spans="1:15">
      <c r="A148" s="318" t="s">
        <v>241</v>
      </c>
      <c r="C148" s="47">
        <v>6667.48</v>
      </c>
      <c r="D148" s="47">
        <v>8810.81</v>
      </c>
      <c r="E148" s="47">
        <v>13621.61</v>
      </c>
      <c r="F148" s="47">
        <v>2136909.41</v>
      </c>
      <c r="G148" s="47">
        <v>11879.18</v>
      </c>
      <c r="H148" s="47">
        <v>10781.23</v>
      </c>
      <c r="I148" s="47">
        <v>1133571.0120826589</v>
      </c>
      <c r="J148" s="47">
        <v>546672.32391004218</v>
      </c>
      <c r="K148" s="47">
        <v>304742.33053121093</v>
      </c>
      <c r="L148" s="47">
        <v>314900.40821558464</v>
      </c>
      <c r="M148" s="47">
        <v>314900.40821558464</v>
      </c>
      <c r="N148" s="47">
        <v>304742.33053121093</v>
      </c>
      <c r="O148" s="47">
        <f t="shared" si="28"/>
        <v>5108198.5334862918</v>
      </c>
    </row>
    <row r="149" spans="1:15">
      <c r="A149" t="s">
        <v>242</v>
      </c>
      <c r="C149" s="47">
        <v>354839.36</v>
      </c>
      <c r="D149" s="47">
        <v>546531.97</v>
      </c>
      <c r="E149" s="47">
        <v>815516.79</v>
      </c>
      <c r="F149" s="47">
        <v>959312.97</v>
      </c>
      <c r="G149" s="47">
        <v>711959.1</v>
      </c>
      <c r="H149" s="47">
        <v>710709.36</v>
      </c>
      <c r="I149" s="47">
        <v>419835.573588392</v>
      </c>
      <c r="J149" s="47">
        <v>200033.21031927192</v>
      </c>
      <c r="K149" s="47">
        <v>116431.2863511514</v>
      </c>
      <c r="L149" s="47">
        <v>120312.32922952309</v>
      </c>
      <c r="M149" s="47">
        <v>120312.32922952309</v>
      </c>
      <c r="N149" s="47">
        <v>116431.2863511514</v>
      </c>
      <c r="O149" s="47">
        <f t="shared" si="28"/>
        <v>5192225.5650690142</v>
      </c>
    </row>
    <row r="150" spans="1:15">
      <c r="A150" t="s">
        <v>243</v>
      </c>
      <c r="C150" s="47">
        <v>1757429.22</v>
      </c>
      <c r="D150" s="47">
        <v>1730281.09</v>
      </c>
      <c r="E150" s="47">
        <v>1617771.4</v>
      </c>
      <c r="F150" s="47">
        <v>9580373.6899999995</v>
      </c>
      <c r="G150" s="47">
        <v>1569727.63</v>
      </c>
      <c r="H150" s="47">
        <v>1735967.91</v>
      </c>
      <c r="I150" s="47">
        <v>5592240.2027932703</v>
      </c>
      <c r="J150" s="47">
        <v>3197092.0186664285</v>
      </c>
      <c r="K150" s="47">
        <v>2172691.4167199903</v>
      </c>
      <c r="L150" s="47">
        <v>2245114.4639439993</v>
      </c>
      <c r="M150" s="47">
        <v>2245114.4639439993</v>
      </c>
      <c r="N150" s="47">
        <v>2172691.4167199903</v>
      </c>
      <c r="O150" s="47">
        <f t="shared" si="28"/>
        <v>35616494.922787674</v>
      </c>
    </row>
    <row r="151" spans="1:15">
      <c r="A151" s="318" t="s">
        <v>244</v>
      </c>
      <c r="C151" s="47">
        <v>4483887.79</v>
      </c>
      <c r="D151" s="47">
        <v>7474299.8100000005</v>
      </c>
      <c r="E151" s="47">
        <v>12300280.729999999</v>
      </c>
      <c r="F151" s="47">
        <v>1842577.12</v>
      </c>
      <c r="G151" s="47">
        <v>9388688.6699999999</v>
      </c>
      <c r="H151" s="47">
        <v>9189720.1899999995</v>
      </c>
      <c r="I151" s="47">
        <v>405739.8635237483</v>
      </c>
      <c r="J151" s="47">
        <v>197795.44100162329</v>
      </c>
      <c r="K151" s="47">
        <v>116495.460674596</v>
      </c>
      <c r="L151" s="47">
        <v>120378.64269708256</v>
      </c>
      <c r="M151" s="47">
        <v>120378.64269708256</v>
      </c>
      <c r="N151" s="47">
        <v>116495.460674596</v>
      </c>
      <c r="O151" s="47">
        <f t="shared" si="28"/>
        <v>45756737.82126873</v>
      </c>
    </row>
    <row r="152" spans="1:15">
      <c r="A152" s="318" t="s">
        <v>245</v>
      </c>
      <c r="C152" s="47">
        <v>200703.8</v>
      </c>
      <c r="D152" s="47">
        <v>647495.44999999995</v>
      </c>
      <c r="E152" s="47">
        <v>1247706.0399999998</v>
      </c>
      <c r="F152" s="47">
        <v>796946.73</v>
      </c>
      <c r="G152" s="47">
        <v>927999.38</v>
      </c>
      <c r="H152" s="47">
        <v>879761.34</v>
      </c>
      <c r="I152" s="47">
        <v>1714141.9908633681</v>
      </c>
      <c r="J152" s="47">
        <v>1614373.8909912235</v>
      </c>
      <c r="K152" s="47">
        <v>1574939.6531766667</v>
      </c>
      <c r="L152" s="47">
        <v>1435384.6318936667</v>
      </c>
      <c r="M152" s="47">
        <v>1494270.2133936668</v>
      </c>
      <c r="N152" s="47">
        <v>1536984.7785099999</v>
      </c>
      <c r="O152" s="47">
        <f t="shared" si="28"/>
        <v>14070707.898828592</v>
      </c>
    </row>
    <row r="153" spans="1:15">
      <c r="A153" s="318" t="s">
        <v>246</v>
      </c>
      <c r="C153" s="47">
        <v>433377.75</v>
      </c>
      <c r="D153" s="47">
        <v>411186.21</v>
      </c>
      <c r="E153" s="47">
        <v>521645.24</v>
      </c>
      <c r="F153" s="47">
        <v>513938.47000000003</v>
      </c>
      <c r="G153" s="47">
        <v>406539.79000000004</v>
      </c>
      <c r="H153" s="47">
        <v>404590.6</v>
      </c>
      <c r="I153" s="47">
        <v>439907.72378260869</v>
      </c>
      <c r="J153" s="47">
        <v>430563.42368695652</v>
      </c>
      <c r="K153" s="47">
        <v>422704.59091304347</v>
      </c>
      <c r="L153" s="47">
        <v>422500.44786086958</v>
      </c>
      <c r="M153" s="47">
        <v>422500.44786086958</v>
      </c>
      <c r="N153" s="47">
        <v>416704.59091304347</v>
      </c>
      <c r="O153" s="47">
        <f t="shared" si="28"/>
        <v>5246159.2850173917</v>
      </c>
    </row>
    <row r="154" spans="1:15" ht="13.5" thickBot="1">
      <c r="A154" s="318" t="s">
        <v>256</v>
      </c>
      <c r="C154" s="460">
        <v>66544.3</v>
      </c>
      <c r="D154" s="460">
        <v>67164.149999999994</v>
      </c>
      <c r="E154" s="460">
        <v>84410.36</v>
      </c>
      <c r="F154" s="460">
        <v>51862.12</v>
      </c>
      <c r="G154" s="460">
        <v>52487.85</v>
      </c>
      <c r="H154" s="460">
        <v>49648.02</v>
      </c>
      <c r="I154" s="460">
        <v>46141.763333333329</v>
      </c>
      <c r="J154" s="460">
        <v>48551.156666666669</v>
      </c>
      <c r="K154" s="460">
        <v>52283.886666666665</v>
      </c>
      <c r="L154" s="460">
        <v>61818.83666666667</v>
      </c>
      <c r="M154" s="460">
        <v>58320.860000000008</v>
      </c>
      <c r="N154" s="460">
        <v>57313.743333333325</v>
      </c>
      <c r="O154" s="460">
        <f t="shared" si="28"/>
        <v>696547.04666666663</v>
      </c>
    </row>
    <row r="155" spans="1:15" ht="15">
      <c r="A155" s="682" t="s">
        <v>247</v>
      </c>
      <c r="B155" s="682"/>
      <c r="C155" s="47">
        <f>SUM(C147:C154)</f>
        <v>8014250.6499999994</v>
      </c>
      <c r="D155" s="47">
        <f t="shared" ref="D155:O155" si="29">SUM(D147:D154)</f>
        <v>12257748.690000001</v>
      </c>
      <c r="E155" s="47">
        <f t="shared" si="29"/>
        <v>19230518.879999995</v>
      </c>
      <c r="F155" s="47">
        <f t="shared" si="29"/>
        <v>15893584.190000001</v>
      </c>
      <c r="G155" s="47">
        <f t="shared" si="29"/>
        <v>15115541.790000001</v>
      </c>
      <c r="H155" s="47">
        <f t="shared" si="29"/>
        <v>14922525.129999997</v>
      </c>
      <c r="I155" s="47">
        <f t="shared" si="29"/>
        <v>9758555.9105499983</v>
      </c>
      <c r="J155" s="47">
        <f t="shared" si="29"/>
        <v>6241007.4576458633</v>
      </c>
      <c r="K155" s="47">
        <f t="shared" si="29"/>
        <v>4765358.2695727888</v>
      </c>
      <c r="L155" s="47">
        <f t="shared" si="29"/>
        <v>4725648.3931981716</v>
      </c>
      <c r="M155" s="47">
        <f t="shared" si="29"/>
        <v>4781035.9980315045</v>
      </c>
      <c r="N155" s="47">
        <f t="shared" si="29"/>
        <v>4726433.2515727887</v>
      </c>
      <c r="O155" s="47">
        <f t="shared" si="29"/>
        <v>120432208.61057112</v>
      </c>
    </row>
    <row r="156" spans="1:15">
      <c r="A156" s="318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</row>
    <row r="157" spans="1:15">
      <c r="A157" s="318" t="s">
        <v>321</v>
      </c>
      <c r="C157" s="47">
        <v>1450670.74</v>
      </c>
      <c r="D157" s="47">
        <v>1441628.04</v>
      </c>
      <c r="E157" s="47">
        <v>1384096.39</v>
      </c>
      <c r="F157" s="47">
        <v>1136054.1200000001</v>
      </c>
      <c r="G157" s="47">
        <v>1027039.98</v>
      </c>
      <c r="H157" s="47">
        <v>1097721.81</v>
      </c>
      <c r="I157" s="47">
        <v>1255250.4533333334</v>
      </c>
      <c r="J157" s="47">
        <v>1315417.9566666668</v>
      </c>
      <c r="K157" s="47">
        <v>1269469.0033333334</v>
      </c>
      <c r="L157" s="47">
        <v>1159238.1666666667</v>
      </c>
      <c r="M157" s="47">
        <v>1166638.8766666667</v>
      </c>
      <c r="N157" s="47">
        <v>1112704.5033333332</v>
      </c>
      <c r="O157" s="47">
        <f t="shared" ref="O157" si="30">SUM(C157:N157)</f>
        <v>14815930.040000001</v>
      </c>
    </row>
    <row r="158" spans="1:15">
      <c r="A158" s="318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</row>
    <row r="159" spans="1:15" ht="15.75" thickBot="1">
      <c r="A159" s="682" t="s">
        <v>249</v>
      </c>
      <c r="B159" s="682"/>
      <c r="C159" s="313">
        <f>C157+C155+C145</f>
        <v>36639189.810000002</v>
      </c>
      <c r="D159" s="313">
        <f t="shared" ref="D159:N159" si="31">D157+D155+D145</f>
        <v>64702291.769999996</v>
      </c>
      <c r="E159" s="313">
        <f t="shared" si="31"/>
        <v>117237547.95</v>
      </c>
      <c r="F159" s="313">
        <f t="shared" si="31"/>
        <v>97910790.849999994</v>
      </c>
      <c r="G159" s="313">
        <f t="shared" si="31"/>
        <v>93301486.239999995</v>
      </c>
      <c r="H159" s="313">
        <f t="shared" si="31"/>
        <v>90294440.979999989</v>
      </c>
      <c r="I159" s="313">
        <f t="shared" si="31"/>
        <v>52757923.475015663</v>
      </c>
      <c r="J159" s="313">
        <f t="shared" si="31"/>
        <v>30009735.949472312</v>
      </c>
      <c r="K159" s="313">
        <f t="shared" si="31"/>
        <v>20587990.577781532</v>
      </c>
      <c r="L159" s="313">
        <f t="shared" si="31"/>
        <v>20308808.844235044</v>
      </c>
      <c r="M159" s="313">
        <f t="shared" si="31"/>
        <v>19674749.269770946</v>
      </c>
      <c r="N159" s="313">
        <f t="shared" si="31"/>
        <v>19789446.18331366</v>
      </c>
      <c r="O159" s="313">
        <f>O145+O155+O157</f>
        <v>663214401.89958906</v>
      </c>
    </row>
    <row r="160" spans="1:15" ht="13.5" thickTop="1"/>
    <row r="161" spans="1:15" ht="15">
      <c r="C161" s="683" t="s">
        <v>232</v>
      </c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4" t="s">
        <v>344</v>
      </c>
    </row>
    <row r="162" spans="1:15">
      <c r="C162" s="317">
        <v>45200</v>
      </c>
      <c r="D162" s="317">
        <v>45231</v>
      </c>
      <c r="E162" s="317">
        <v>45261</v>
      </c>
      <c r="F162" s="317">
        <v>45292</v>
      </c>
      <c r="G162" s="317">
        <v>45323</v>
      </c>
      <c r="H162" s="317">
        <v>45352</v>
      </c>
      <c r="I162" s="317">
        <v>45383</v>
      </c>
      <c r="J162" s="317">
        <v>45413</v>
      </c>
      <c r="K162" s="317">
        <v>45444</v>
      </c>
      <c r="L162" s="317">
        <v>45474</v>
      </c>
      <c r="M162" s="317">
        <v>45505</v>
      </c>
      <c r="N162" s="317">
        <v>45536</v>
      </c>
      <c r="O162" s="684"/>
    </row>
    <row r="163" spans="1:15">
      <c r="A163" s="503" t="s">
        <v>233</v>
      </c>
      <c r="B163" s="48"/>
      <c r="C163" s="459">
        <v>225023.27469738264</v>
      </c>
      <c r="D163" s="459">
        <v>212930.54224425094</v>
      </c>
      <c r="E163" s="459">
        <v>288361.74035976408</v>
      </c>
      <c r="F163" s="459">
        <v>327675.39640108391</v>
      </c>
      <c r="G163" s="459">
        <v>292766.2442639615</v>
      </c>
      <c r="H163" s="459">
        <v>243717.48553960022</v>
      </c>
      <c r="I163" s="459">
        <v>163345.47147831679</v>
      </c>
      <c r="J163" s="459">
        <v>154290.29879927661</v>
      </c>
      <c r="K163" s="459">
        <v>271118.48007188505</v>
      </c>
      <c r="L163" s="459">
        <v>274718.16109454713</v>
      </c>
      <c r="M163" s="522">
        <v>224590.86323681229</v>
      </c>
      <c r="N163" s="523">
        <v>258202.77427153633</v>
      </c>
      <c r="O163" s="504">
        <f>SUM(C163:N163)</f>
        <v>2936740.7324584173</v>
      </c>
    </row>
    <row r="164" spans="1:15">
      <c r="A164" s="318" t="s">
        <v>234</v>
      </c>
      <c r="C164" s="523">
        <v>22686886.592927195</v>
      </c>
      <c r="D164" s="523">
        <v>48503233.224946022</v>
      </c>
      <c r="E164" s="523">
        <v>78585360.618644655</v>
      </c>
      <c r="F164" s="523">
        <v>96064462.52770108</v>
      </c>
      <c r="G164" s="523">
        <v>82996676.124720871</v>
      </c>
      <c r="H164" s="523">
        <v>65466173.186862297</v>
      </c>
      <c r="I164" s="523">
        <v>35130760.882584423</v>
      </c>
      <c r="J164" s="523">
        <v>18525419.847223021</v>
      </c>
      <c r="K164" s="523">
        <v>11944908.096133253</v>
      </c>
      <c r="L164" s="523">
        <v>11730923.647807267</v>
      </c>
      <c r="M164" s="523">
        <v>11081488.318123786</v>
      </c>
      <c r="N164" s="523">
        <v>11347548.152804272</v>
      </c>
      <c r="O164" s="47">
        <f t="shared" ref="O164:O170" si="32">SUM(C164:N164)</f>
        <v>494063841.220478</v>
      </c>
    </row>
    <row r="165" spans="1:15">
      <c r="A165" s="318" t="s">
        <v>235</v>
      </c>
      <c r="C165" s="523">
        <v>1262121.4503580239</v>
      </c>
      <c r="D165" s="523">
        <v>3170459.7550522094</v>
      </c>
      <c r="E165" s="523">
        <v>5821017.967360232</v>
      </c>
      <c r="F165" s="523">
        <v>7394377.3901230609</v>
      </c>
      <c r="G165" s="523">
        <v>6246155.0721143009</v>
      </c>
      <c r="H165" s="523">
        <v>4656269.7373320768</v>
      </c>
      <c r="I165" s="523">
        <v>2178760.3043602197</v>
      </c>
      <c r="J165" s="523">
        <v>975791.16383033642</v>
      </c>
      <c r="K165" s="523">
        <v>546785.51691268221</v>
      </c>
      <c r="L165" s="523">
        <v>561894.56407410139</v>
      </c>
      <c r="M165" s="523">
        <v>561130.98702535825</v>
      </c>
      <c r="N165" s="523">
        <v>544417.74737003655</v>
      </c>
      <c r="O165" s="47">
        <f t="shared" si="32"/>
        <v>33919181.655912638</v>
      </c>
    </row>
    <row r="166" spans="1:15">
      <c r="A166" s="318" t="s">
        <v>236</v>
      </c>
      <c r="C166" s="523">
        <v>3469356.1243070411</v>
      </c>
      <c r="D166" s="523">
        <v>6269899.6016584048</v>
      </c>
      <c r="E166" s="523">
        <v>9539609.7921778448</v>
      </c>
      <c r="F166" s="523">
        <v>11436307.500792712</v>
      </c>
      <c r="G166" s="523">
        <v>9931498.5983284954</v>
      </c>
      <c r="H166" s="523">
        <v>8193633.4746536855</v>
      </c>
      <c r="I166" s="523">
        <v>4775365.3579952456</v>
      </c>
      <c r="J166" s="523">
        <v>2712210.6901093214</v>
      </c>
      <c r="K166" s="523">
        <v>1880247.4399779448</v>
      </c>
      <c r="L166" s="523">
        <v>1939792.2807724182</v>
      </c>
      <c r="M166" s="523">
        <v>1940757.7453105261</v>
      </c>
      <c r="N166" s="523">
        <v>1881718.4019684952</v>
      </c>
      <c r="O166" s="47">
        <f t="shared" si="32"/>
        <v>63970397.008052126</v>
      </c>
    </row>
    <row r="167" spans="1:15">
      <c r="A167" s="318" t="s">
        <v>324</v>
      </c>
      <c r="C167" s="523"/>
      <c r="D167" s="523"/>
      <c r="E167" s="523"/>
      <c r="F167" s="523"/>
      <c r="G167" s="523">
        <v>0</v>
      </c>
      <c r="H167" s="523">
        <v>0</v>
      </c>
      <c r="I167" s="523">
        <v>0</v>
      </c>
      <c r="J167" s="523">
        <v>0</v>
      </c>
      <c r="K167" s="523">
        <v>0</v>
      </c>
      <c r="L167" s="523">
        <v>0</v>
      </c>
      <c r="M167" s="523">
        <v>0</v>
      </c>
      <c r="N167" s="523">
        <v>0</v>
      </c>
      <c r="O167" s="47">
        <f t="shared" si="32"/>
        <v>0</v>
      </c>
    </row>
    <row r="168" spans="1:15">
      <c r="A168" s="318" t="s">
        <v>325</v>
      </c>
      <c r="C168" s="523"/>
      <c r="D168" s="523"/>
      <c r="E168" s="523"/>
      <c r="F168" s="523"/>
      <c r="G168" s="523">
        <v>0</v>
      </c>
      <c r="H168" s="523">
        <v>0</v>
      </c>
      <c r="I168" s="523">
        <v>0</v>
      </c>
      <c r="J168" s="523">
        <v>0</v>
      </c>
      <c r="K168" s="523">
        <v>0</v>
      </c>
      <c r="L168" s="523">
        <v>0</v>
      </c>
      <c r="M168" s="523">
        <v>0</v>
      </c>
      <c r="N168" s="523">
        <v>0</v>
      </c>
      <c r="O168" s="47">
        <f t="shared" si="32"/>
        <v>0</v>
      </c>
    </row>
    <row r="169" spans="1:15">
      <c r="A169" s="318" t="s">
        <v>326</v>
      </c>
      <c r="C169" s="523">
        <v>6808.48</v>
      </c>
      <c r="D169" s="523">
        <v>6782.4</v>
      </c>
      <c r="E169" s="523">
        <v>6808.48</v>
      </c>
      <c r="F169" s="523">
        <v>6808.48</v>
      </c>
      <c r="G169" s="523">
        <v>6730.24</v>
      </c>
      <c r="H169" s="523">
        <v>7308.48</v>
      </c>
      <c r="I169" s="523">
        <v>7282.4</v>
      </c>
      <c r="J169" s="523">
        <v>7308.48</v>
      </c>
      <c r="K169" s="523">
        <v>10282.4</v>
      </c>
      <c r="L169" s="523">
        <v>10308.48</v>
      </c>
      <c r="M169" s="523">
        <v>7308.48</v>
      </c>
      <c r="N169" s="523">
        <v>7282.4</v>
      </c>
      <c r="O169" s="47">
        <f t="shared" si="32"/>
        <v>91019.199999999983</v>
      </c>
    </row>
    <row r="170" spans="1:15" ht="13.5" thickBot="1">
      <c r="A170" s="318" t="s">
        <v>257</v>
      </c>
      <c r="C170" s="524">
        <v>74048.073333333334</v>
      </c>
      <c r="D170" s="524">
        <v>66289.146666666667</v>
      </c>
      <c r="E170" s="524">
        <v>62108.71</v>
      </c>
      <c r="F170" s="524">
        <v>68688.07666666666</v>
      </c>
      <c r="G170" s="524">
        <v>65270.866666666661</v>
      </c>
      <c r="H170" s="524">
        <v>62245.746666666666</v>
      </c>
      <c r="I170" s="524">
        <v>79327.590000000011</v>
      </c>
      <c r="J170" s="524">
        <v>68998.193333333344</v>
      </c>
      <c r="K170" s="524">
        <v>72633.840000000011</v>
      </c>
      <c r="L170" s="524">
        <v>81738.20666666668</v>
      </c>
      <c r="M170" s="524">
        <v>84520.53333333334</v>
      </c>
      <c r="N170" s="505">
        <v>84980.85</v>
      </c>
      <c r="O170" s="460">
        <f t="shared" si="32"/>
        <v>870849.83333333326</v>
      </c>
    </row>
    <row r="171" spans="1:15" ht="15">
      <c r="A171" s="682" t="s">
        <v>239</v>
      </c>
      <c r="B171" s="682"/>
      <c r="C171" s="47">
        <f t="shared" ref="C171:O171" si="33">SUM(C163:C170)</f>
        <v>27724243.995622974</v>
      </c>
      <c r="D171" s="47">
        <f t="shared" si="33"/>
        <v>58229594.67056755</v>
      </c>
      <c r="E171" s="47">
        <f t="shared" si="33"/>
        <v>94303267.30854249</v>
      </c>
      <c r="F171" s="47">
        <f t="shared" si="33"/>
        <v>115298319.3716846</v>
      </c>
      <c r="G171" s="47">
        <f t="shared" si="33"/>
        <v>99539097.146094292</v>
      </c>
      <c r="H171" s="47">
        <f t="shared" si="33"/>
        <v>78629348.111054346</v>
      </c>
      <c r="I171" s="47">
        <f t="shared" si="33"/>
        <v>42334842.006418206</v>
      </c>
      <c r="J171" s="47">
        <f t="shared" si="33"/>
        <v>22444018.673295286</v>
      </c>
      <c r="K171" s="47">
        <f t="shared" si="33"/>
        <v>14725975.773095766</v>
      </c>
      <c r="L171" s="47">
        <f t="shared" si="33"/>
        <v>14599375.340414999</v>
      </c>
      <c r="M171" s="47">
        <f t="shared" si="33"/>
        <v>13899796.927029816</v>
      </c>
      <c r="N171" s="47">
        <f t="shared" si="33"/>
        <v>14124150.326414341</v>
      </c>
      <c r="O171" s="47">
        <f t="shared" si="33"/>
        <v>595852029.65023458</v>
      </c>
    </row>
    <row r="172" spans="1:15">
      <c r="A172" s="318"/>
    </row>
    <row r="173" spans="1:15">
      <c r="A173" s="318" t="s">
        <v>240</v>
      </c>
      <c r="C173" s="523">
        <v>6318.2120945057932</v>
      </c>
      <c r="D173" s="523">
        <v>8627.2213135393613</v>
      </c>
      <c r="E173" s="523">
        <v>11745.328351143655</v>
      </c>
      <c r="F173" s="523">
        <v>13240.800158879229</v>
      </c>
      <c r="G173" s="523">
        <v>11743.136556895637</v>
      </c>
      <c r="H173" s="523">
        <v>9966.8241807543236</v>
      </c>
      <c r="I173" s="523">
        <v>6979.2152713719934</v>
      </c>
      <c r="J173" s="523">
        <v>5900.4486305373839</v>
      </c>
      <c r="K173" s="523">
        <v>5069.6445394631892</v>
      </c>
      <c r="L173" s="523">
        <v>5238.6326907786288</v>
      </c>
      <c r="M173" s="523">
        <v>5238.6326907786288</v>
      </c>
      <c r="N173" s="523">
        <v>5069.6445394631892</v>
      </c>
      <c r="O173" s="47">
        <f t="shared" ref="O173:O180" si="34">SUM(C173:N173)</f>
        <v>95137.741018111017</v>
      </c>
    </row>
    <row r="174" spans="1:15">
      <c r="A174" s="318" t="s">
        <v>241</v>
      </c>
      <c r="C174" s="523">
        <v>734945.88618457329</v>
      </c>
      <c r="D174" s="523">
        <v>1552174.9532921801</v>
      </c>
      <c r="E174" s="523">
        <v>2487742.3776374198</v>
      </c>
      <c r="F174" s="523">
        <v>3013163.9943071408</v>
      </c>
      <c r="G174" s="523">
        <v>2601811.0325268656</v>
      </c>
      <c r="H174" s="523">
        <v>2066599.3261727819</v>
      </c>
      <c r="I174" s="523">
        <v>1134194.191542472</v>
      </c>
      <c r="J174" s="523">
        <v>538059.17839436978</v>
      </c>
      <c r="K174" s="523">
        <v>304742.33053121093</v>
      </c>
      <c r="L174" s="523">
        <v>314900.40821558464</v>
      </c>
      <c r="M174" s="523">
        <v>314900.40821558464</v>
      </c>
      <c r="N174" s="523">
        <v>304742.33053121093</v>
      </c>
      <c r="O174" s="47">
        <f t="shared" si="34"/>
        <v>15367976.417551396</v>
      </c>
    </row>
    <row r="175" spans="1:15">
      <c r="A175" t="s">
        <v>242</v>
      </c>
      <c r="C175" s="523">
        <v>1666066.443943694</v>
      </c>
      <c r="D175" s="523">
        <v>1801042.1079334705</v>
      </c>
      <c r="E175" s="523">
        <v>1708314.2810850868</v>
      </c>
      <c r="F175" s="523">
        <v>1839009.0914856603</v>
      </c>
      <c r="G175" s="523">
        <v>1709304.3510000003</v>
      </c>
      <c r="H175" s="523">
        <v>1850775.4302464393</v>
      </c>
      <c r="I175" s="523">
        <v>1691373.701338008</v>
      </c>
      <c r="J175" s="523">
        <v>1599564.8605471835</v>
      </c>
      <c r="K175" s="523">
        <v>1563716.5432866667</v>
      </c>
      <c r="L175" s="523">
        <v>1423787.4183406667</v>
      </c>
      <c r="M175" s="523">
        <v>1482672.9998406668</v>
      </c>
      <c r="N175" s="523">
        <v>1525761.6686199999</v>
      </c>
      <c r="O175" s="47">
        <f t="shared" si="34"/>
        <v>19861388.897667542</v>
      </c>
    </row>
    <row r="176" spans="1:15">
      <c r="A176" t="s">
        <v>243</v>
      </c>
      <c r="C176" s="523">
        <v>286452.35301920597</v>
      </c>
      <c r="D176" s="523">
        <v>578857.82187459583</v>
      </c>
      <c r="E176" s="523">
        <v>878479.57318857987</v>
      </c>
      <c r="F176" s="523">
        <v>1053323.8957553403</v>
      </c>
      <c r="G176" s="523">
        <v>885275</v>
      </c>
      <c r="H176" s="523">
        <v>732378.67986117245</v>
      </c>
      <c r="I176" s="523">
        <v>403036.10868479201</v>
      </c>
      <c r="J176" s="523">
        <v>195120.62924364995</v>
      </c>
      <c r="K176" s="523">
        <v>113945.68218000002</v>
      </c>
      <c r="L176" s="523">
        <v>117743.87158600004</v>
      </c>
      <c r="M176" s="523">
        <v>117743.87158600004</v>
      </c>
      <c r="N176" s="523">
        <v>113945.68218000002</v>
      </c>
      <c r="O176" s="47">
        <f t="shared" si="34"/>
        <v>5476303.169159336</v>
      </c>
    </row>
    <row r="177" spans="1:15">
      <c r="A177" s="318" t="s">
        <v>244</v>
      </c>
      <c r="C177" s="523">
        <v>4179729.7351032821</v>
      </c>
      <c r="D177" s="523">
        <v>7535819.5076185744</v>
      </c>
      <c r="E177" s="523">
        <v>11276753.717336887</v>
      </c>
      <c r="F177" s="523">
        <v>13475080.931032782</v>
      </c>
      <c r="G177" s="523">
        <v>11697582.784453496</v>
      </c>
      <c r="H177" s="523">
        <v>9627136.1777093485</v>
      </c>
      <c r="I177" s="523">
        <v>5633039.2873005858</v>
      </c>
      <c r="J177" s="523">
        <v>3187525.408181835</v>
      </c>
      <c r="K177" s="523">
        <v>2193285.4900499904</v>
      </c>
      <c r="L177" s="523">
        <v>2266395.006384999</v>
      </c>
      <c r="M177" s="523">
        <v>2266395.006384999</v>
      </c>
      <c r="N177" s="523">
        <v>2193285.4900499904</v>
      </c>
      <c r="O177" s="47">
        <f t="shared" si="34"/>
        <v>75532028.541606769</v>
      </c>
    </row>
    <row r="178" spans="1:15">
      <c r="A178" s="318" t="s">
        <v>245</v>
      </c>
      <c r="C178" s="523">
        <v>251113.1871533987</v>
      </c>
      <c r="D178" s="523">
        <v>599794.44981199841</v>
      </c>
      <c r="E178" s="523">
        <v>1066083.2611626429</v>
      </c>
      <c r="F178" s="523">
        <v>1350192.2228079543</v>
      </c>
      <c r="G178" s="523">
        <v>1141260.8681842969</v>
      </c>
      <c r="H178" s="523">
        <v>855787.19421686255</v>
      </c>
      <c r="I178" s="523">
        <v>407316.5426403539</v>
      </c>
      <c r="J178" s="523">
        <v>188622.67237461967</v>
      </c>
      <c r="K178" s="523">
        <v>109610.10140574739</v>
      </c>
      <c r="L178" s="523">
        <v>113263.77145260559</v>
      </c>
      <c r="M178" s="523">
        <v>113263.77145260559</v>
      </c>
      <c r="N178" s="523">
        <v>109610.10140574739</v>
      </c>
      <c r="O178" s="47">
        <f t="shared" si="34"/>
        <v>6305918.1440688334</v>
      </c>
    </row>
    <row r="179" spans="1:15">
      <c r="A179" s="318" t="s">
        <v>246</v>
      </c>
      <c r="C179" s="523">
        <v>434759.38918260869</v>
      </c>
      <c r="D179" s="523">
        <v>447411.33980869566</v>
      </c>
      <c r="E179" s="523">
        <v>472627.10010434786</v>
      </c>
      <c r="F179" s="523">
        <v>479592.16131304344</v>
      </c>
      <c r="G179" s="523">
        <v>459910.85971304349</v>
      </c>
      <c r="H179" s="523">
        <v>457004.47886086954</v>
      </c>
      <c r="I179" s="523">
        <v>439907.72378260869</v>
      </c>
      <c r="J179" s="523">
        <v>430563.42368695652</v>
      </c>
      <c r="K179" s="523">
        <v>422704.59091304347</v>
      </c>
      <c r="L179" s="523">
        <v>422500.44786086958</v>
      </c>
      <c r="M179" s="523">
        <v>422500.44786086958</v>
      </c>
      <c r="N179" s="523">
        <v>416704.59091304347</v>
      </c>
      <c r="O179" s="47">
        <f t="shared" si="34"/>
        <v>5306186.5539999995</v>
      </c>
    </row>
    <row r="180" spans="1:15" ht="13.5" thickBot="1">
      <c r="A180" s="318" t="s">
        <v>256</v>
      </c>
      <c r="C180" s="524">
        <v>59890.280000000006</v>
      </c>
      <c r="D180" s="524">
        <v>69575.766666666663</v>
      </c>
      <c r="E180" s="524">
        <v>67052.509999999995</v>
      </c>
      <c r="F180" s="524">
        <v>66091.67</v>
      </c>
      <c r="G180" s="524">
        <v>45718.396666666667</v>
      </c>
      <c r="H180" s="524">
        <v>42526.916666666664</v>
      </c>
      <c r="I180" s="524">
        <v>46141.763333333329</v>
      </c>
      <c r="J180" s="524">
        <v>48551.156666666669</v>
      </c>
      <c r="K180" s="524">
        <v>52283.886666666665</v>
      </c>
      <c r="L180" s="524">
        <v>61818.83666666667</v>
      </c>
      <c r="M180" s="524">
        <v>58320.860000000008</v>
      </c>
      <c r="N180" s="524">
        <v>57313.743333333325</v>
      </c>
      <c r="O180" s="460">
        <f t="shared" si="34"/>
        <v>675285.78666666662</v>
      </c>
    </row>
    <row r="181" spans="1:15" ht="15">
      <c r="A181" s="682" t="s">
        <v>247</v>
      </c>
      <c r="B181" s="682"/>
      <c r="C181" s="47">
        <f>SUM(C173:C180)</f>
        <v>7619275.4866812686</v>
      </c>
      <c r="D181" s="47">
        <f t="shared" ref="D181:O181" si="35">SUM(D173:D180)</f>
        <v>12593303.168319721</v>
      </c>
      <c r="E181" s="47">
        <f t="shared" si="35"/>
        <v>17968798.14886611</v>
      </c>
      <c r="F181" s="47">
        <f t="shared" si="35"/>
        <v>21289694.766860802</v>
      </c>
      <c r="G181" s="47">
        <f t="shared" si="35"/>
        <v>18552606.42910127</v>
      </c>
      <c r="H181" s="47">
        <f t="shared" si="35"/>
        <v>15642175.027914895</v>
      </c>
      <c r="I181" s="47">
        <f t="shared" si="35"/>
        <v>9761988.5338935256</v>
      </c>
      <c r="J181" s="47">
        <f t="shared" si="35"/>
        <v>6193907.7777258176</v>
      </c>
      <c r="K181" s="47">
        <f t="shared" si="35"/>
        <v>4765358.2695727888</v>
      </c>
      <c r="L181" s="47">
        <f t="shared" si="35"/>
        <v>4725648.3931981707</v>
      </c>
      <c r="M181" s="47">
        <f t="shared" si="35"/>
        <v>4781035.9980315045</v>
      </c>
      <c r="N181" s="47">
        <f t="shared" si="35"/>
        <v>4726433.2515727887</v>
      </c>
      <c r="O181" s="47">
        <f t="shared" si="35"/>
        <v>128620225.25173865</v>
      </c>
    </row>
    <row r="182" spans="1:15">
      <c r="A182" s="318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</row>
    <row r="183" spans="1:15">
      <c r="A183" s="318" t="s">
        <v>321</v>
      </c>
      <c r="C183" s="523">
        <v>1334414.8466666667</v>
      </c>
      <c r="D183" s="523">
        <v>1410410.62</v>
      </c>
      <c r="E183" s="523">
        <v>1363764.66</v>
      </c>
      <c r="F183" s="523">
        <v>1165079.9600000002</v>
      </c>
      <c r="G183" s="523">
        <v>1102955.0900000001</v>
      </c>
      <c r="H183" s="523">
        <v>1126120.58</v>
      </c>
      <c r="I183" s="523">
        <v>1255250.4533333334</v>
      </c>
      <c r="J183" s="523">
        <v>1315417.9566666668</v>
      </c>
      <c r="K183" s="523">
        <v>1269469.0033333334</v>
      </c>
      <c r="L183" s="523">
        <v>1159238.1666666667</v>
      </c>
      <c r="M183" s="523">
        <v>1166638.8766666667</v>
      </c>
      <c r="N183" s="523">
        <v>1112704.5033333332</v>
      </c>
      <c r="O183" s="47">
        <f t="shared" ref="O183" si="36">SUM(C183:N183)</f>
        <v>14781464.716666669</v>
      </c>
    </row>
    <row r="184" spans="1:15">
      <c r="A184" s="318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</row>
    <row r="185" spans="1:15" ht="15.75" thickBot="1">
      <c r="A185" s="682" t="s">
        <v>249</v>
      </c>
      <c r="B185" s="682"/>
      <c r="C185" s="313">
        <f>C183+C181+C171</f>
        <v>36677934.328970909</v>
      </c>
      <c r="D185" s="313">
        <f t="shared" ref="D185:N185" si="37">D183+D181+D171</f>
        <v>72233308.458887279</v>
      </c>
      <c r="E185" s="313">
        <f t="shared" si="37"/>
        <v>113635830.1174086</v>
      </c>
      <c r="F185" s="313">
        <f t="shared" si="37"/>
        <v>137753094.0985454</v>
      </c>
      <c r="G185" s="313">
        <f t="shared" si="37"/>
        <v>119194658.66519555</v>
      </c>
      <c r="H185" s="313">
        <f t="shared" si="37"/>
        <v>95397643.718969241</v>
      </c>
      <c r="I185" s="313">
        <f t="shared" si="37"/>
        <v>53352080.993645065</v>
      </c>
      <c r="J185" s="313">
        <f t="shared" si="37"/>
        <v>29953344.407687768</v>
      </c>
      <c r="K185" s="313">
        <f t="shared" si="37"/>
        <v>20760803.046001889</v>
      </c>
      <c r="L185" s="313">
        <f t="shared" si="37"/>
        <v>20484261.900279835</v>
      </c>
      <c r="M185" s="313">
        <f t="shared" si="37"/>
        <v>19847471.801727988</v>
      </c>
      <c r="N185" s="313">
        <f t="shared" si="37"/>
        <v>19963288.081320465</v>
      </c>
      <c r="O185" s="313">
        <f>O171+O181+O183</f>
        <v>739253719.61863995</v>
      </c>
    </row>
    <row r="186" spans="1:15" ht="13.5" thickTop="1"/>
  </sheetData>
  <mergeCells count="38">
    <mergeCell ref="A55:B55"/>
    <mergeCell ref="N1:O1"/>
    <mergeCell ref="N2:O2"/>
    <mergeCell ref="A28:B28"/>
    <mergeCell ref="O31:O32"/>
    <mergeCell ref="A41:B41"/>
    <mergeCell ref="A51:B51"/>
    <mergeCell ref="O4:O5"/>
    <mergeCell ref="A14:B14"/>
    <mergeCell ref="A24:B24"/>
    <mergeCell ref="C4:N4"/>
    <mergeCell ref="C31:N31"/>
    <mergeCell ref="O58:O59"/>
    <mergeCell ref="A67:B67"/>
    <mergeCell ref="A77:B77"/>
    <mergeCell ref="A81:B81"/>
    <mergeCell ref="C58:N58"/>
    <mergeCell ref="O83:O84"/>
    <mergeCell ref="A93:B93"/>
    <mergeCell ref="A103:B103"/>
    <mergeCell ref="A107:B107"/>
    <mergeCell ref="C83:N83"/>
    <mergeCell ref="A133:B133"/>
    <mergeCell ref="O109:O110"/>
    <mergeCell ref="A119:B119"/>
    <mergeCell ref="A129:B129"/>
    <mergeCell ref="C109:N109"/>
    <mergeCell ref="A159:B159"/>
    <mergeCell ref="O135:O136"/>
    <mergeCell ref="A145:B145"/>
    <mergeCell ref="A155:B155"/>
    <mergeCell ref="C135:H135"/>
    <mergeCell ref="I135:N135"/>
    <mergeCell ref="A185:B185"/>
    <mergeCell ref="C161:N161"/>
    <mergeCell ref="O161:O162"/>
    <mergeCell ref="A171:B171"/>
    <mergeCell ref="A181:B181"/>
  </mergeCells>
  <pageMargins left="0.45" right="0.2" top="0.5" bottom="0.25" header="0.3" footer="0.3"/>
  <pageSetup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1" tint="0.499984740745262"/>
    <pageSetUpPr fitToPage="1"/>
  </sheetPr>
  <dimension ref="A1:BL97"/>
  <sheetViews>
    <sheetView zoomScaleNormal="100" workbookViewId="0">
      <pane xSplit="3" ySplit="3" topLeftCell="D4" activePane="bottomRight" state="frozen"/>
      <selection activeCell="H25" sqref="H25"/>
      <selection pane="topRight" activeCell="H25" sqref="H25"/>
      <selection pane="bottomLeft" activeCell="H25" sqref="H25"/>
      <selection pane="bottomRight" activeCell="A98" sqref="A98"/>
    </sheetView>
  </sheetViews>
  <sheetFormatPr defaultColWidth="9.140625" defaultRowHeight="12.75" outlineLevelRow="1"/>
  <cols>
    <col min="1" max="3" width="9.140625" style="1"/>
    <col min="4" max="4" width="11.42578125" style="1" bestFit="1" customWidth="1"/>
    <col min="5" max="5" width="13.28515625" style="1" customWidth="1"/>
    <col min="6" max="6" width="12" style="1" bestFit="1" customWidth="1"/>
    <col min="7" max="7" width="12.28515625" style="1" bestFit="1" customWidth="1"/>
    <col min="8" max="8" width="3.5703125" style="1" customWidth="1"/>
    <col min="9" max="9" width="11.85546875" style="1" customWidth="1"/>
    <col min="10" max="10" width="3.7109375" style="1" customWidth="1"/>
    <col min="11" max="11" width="12.7109375" style="1" bestFit="1" customWidth="1"/>
    <col min="12" max="12" width="13.7109375" style="1" bestFit="1" customWidth="1"/>
    <col min="13" max="13" width="13" style="1" customWidth="1"/>
    <col min="14" max="14" width="12.28515625" style="1" customWidth="1"/>
    <col min="15" max="15" width="11.42578125" style="1" customWidth="1"/>
    <col min="16" max="16" width="11" style="1" customWidth="1"/>
    <col min="17" max="17" width="9.85546875" style="1" customWidth="1"/>
    <col min="18" max="19" width="9.7109375" style="1" customWidth="1"/>
    <col min="20" max="20" width="10.5703125" style="1" customWidth="1"/>
    <col min="21" max="21" width="10.140625" style="1" customWidth="1"/>
    <col min="22" max="22" width="14.140625" style="1" customWidth="1"/>
    <col min="23" max="23" width="10.42578125" style="1" customWidth="1"/>
    <col min="24" max="24" width="9.140625" style="1" customWidth="1"/>
    <col min="25" max="26" width="10.5703125" style="1" customWidth="1"/>
    <col min="27" max="27" width="10.85546875" style="1" customWidth="1"/>
    <col min="28" max="28" width="9.85546875" style="1" customWidth="1"/>
    <col min="29" max="29" width="11.140625" style="1" customWidth="1"/>
    <col min="30" max="32" width="11.85546875" style="1" customWidth="1"/>
    <col min="33" max="33" width="14.42578125" style="1" customWidth="1"/>
    <col min="34" max="34" width="18" style="1" customWidth="1"/>
    <col min="35" max="35" width="14.140625" style="1" customWidth="1"/>
    <col min="36" max="36" width="12.42578125" style="1" customWidth="1"/>
    <col min="37" max="37" width="5.7109375" style="1" customWidth="1"/>
    <col min="38" max="39" width="11.28515625" style="1" customWidth="1"/>
    <col min="40" max="46" width="11.140625" style="1" customWidth="1"/>
    <col min="47" max="47" width="10.140625" style="1" customWidth="1"/>
    <col min="48" max="50" width="11.140625" style="1" customWidth="1"/>
    <col min="51" max="52" width="9.140625" style="1" customWidth="1"/>
    <col min="53" max="53" width="11.140625" style="1" customWidth="1"/>
    <col min="54" max="57" width="9.140625" style="1" customWidth="1"/>
    <col min="58" max="58" width="11.28515625" style="1" customWidth="1"/>
    <col min="59" max="59" width="4.7109375" style="1" customWidth="1"/>
    <col min="60" max="60" width="11.140625" style="1" customWidth="1"/>
    <col min="61" max="61" width="11.140625" style="1" bestFit="1" customWidth="1"/>
    <col min="62" max="62" width="11.28515625" style="1" bestFit="1" customWidth="1"/>
    <col min="63" max="63" width="12.5703125" style="1" bestFit="1" customWidth="1"/>
    <col min="64" max="64" width="13" style="1" bestFit="1" customWidth="1"/>
    <col min="65" max="16384" width="9.140625" style="1"/>
  </cols>
  <sheetData>
    <row r="1" spans="1:64">
      <c r="D1" s="681" t="s">
        <v>77</v>
      </c>
      <c r="E1" s="681"/>
      <c r="F1" s="681"/>
      <c r="G1" s="681"/>
      <c r="H1" s="681"/>
      <c r="I1" s="681"/>
      <c r="J1" s="681"/>
      <c r="K1" s="681"/>
      <c r="L1" s="11"/>
      <c r="N1" s="681" t="s">
        <v>78</v>
      </c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11"/>
      <c r="AI1" s="11"/>
      <c r="AJ1" s="11"/>
      <c r="AL1" s="681" t="s">
        <v>79</v>
      </c>
      <c r="AM1" s="681"/>
      <c r="AN1" s="681"/>
      <c r="AO1" s="681"/>
      <c r="AP1" s="681"/>
      <c r="AQ1" s="681"/>
      <c r="AR1" s="681"/>
      <c r="AS1" s="681"/>
      <c r="AT1" s="681"/>
      <c r="AU1" s="681"/>
      <c r="AV1" s="681"/>
      <c r="AW1" s="681"/>
      <c r="AX1" s="681"/>
      <c r="AY1" s="681"/>
      <c r="AZ1" s="681"/>
      <c r="BA1" s="681"/>
      <c r="BB1" s="681"/>
      <c r="BC1" s="681"/>
      <c r="BD1" s="681"/>
      <c r="BE1" s="681"/>
      <c r="BF1" s="681"/>
    </row>
    <row r="2" spans="1:64" s="49" customFormat="1" ht="63.75">
      <c r="C2" s="10" t="s">
        <v>16</v>
      </c>
      <c r="D2" s="50" t="s">
        <v>214</v>
      </c>
      <c r="E2" s="50" t="s">
        <v>215</v>
      </c>
      <c r="F2" s="50" t="s">
        <v>94</v>
      </c>
      <c r="G2" s="52" t="s">
        <v>83</v>
      </c>
      <c r="H2" s="51"/>
      <c r="I2" s="62" t="s">
        <v>216</v>
      </c>
      <c r="J2" s="52"/>
      <c r="K2" s="52" t="s">
        <v>69</v>
      </c>
      <c r="L2" s="52" t="s">
        <v>86</v>
      </c>
      <c r="N2" s="63">
        <v>40544</v>
      </c>
      <c r="O2" s="63">
        <f t="shared" ref="O2:AF2" si="0">+N2+31</f>
        <v>40575</v>
      </c>
      <c r="P2" s="63">
        <f t="shared" si="0"/>
        <v>40606</v>
      </c>
      <c r="Q2" s="63">
        <f t="shared" si="0"/>
        <v>40637</v>
      </c>
      <c r="R2" s="63">
        <f t="shared" si="0"/>
        <v>40668</v>
      </c>
      <c r="S2" s="63">
        <f t="shared" si="0"/>
        <v>40699</v>
      </c>
      <c r="T2" s="63">
        <f t="shared" si="0"/>
        <v>40730</v>
      </c>
      <c r="U2" s="63">
        <f t="shared" si="0"/>
        <v>40761</v>
      </c>
      <c r="V2" s="63">
        <f t="shared" si="0"/>
        <v>40792</v>
      </c>
      <c r="W2" s="63">
        <f t="shared" si="0"/>
        <v>40823</v>
      </c>
      <c r="X2" s="63">
        <f t="shared" si="0"/>
        <v>40854</v>
      </c>
      <c r="Y2" s="63">
        <f t="shared" si="0"/>
        <v>40885</v>
      </c>
      <c r="Z2" s="63">
        <f t="shared" si="0"/>
        <v>40916</v>
      </c>
      <c r="AA2" s="63">
        <f t="shared" si="0"/>
        <v>40947</v>
      </c>
      <c r="AB2" s="63">
        <f t="shared" si="0"/>
        <v>40978</v>
      </c>
      <c r="AC2" s="63">
        <f t="shared" si="0"/>
        <v>41009</v>
      </c>
      <c r="AD2" s="63">
        <f t="shared" si="0"/>
        <v>41040</v>
      </c>
      <c r="AE2" s="63">
        <f t="shared" si="0"/>
        <v>41071</v>
      </c>
      <c r="AF2" s="63">
        <f t="shared" si="0"/>
        <v>41102</v>
      </c>
      <c r="AG2" s="49" t="s">
        <v>69</v>
      </c>
      <c r="AH2" s="49" t="s">
        <v>87</v>
      </c>
      <c r="AI2" s="49" t="s">
        <v>32</v>
      </c>
      <c r="AJ2" s="49" t="s">
        <v>88</v>
      </c>
      <c r="AL2" s="63">
        <v>40544</v>
      </c>
      <c r="AM2" s="63">
        <f t="shared" ref="AM2:BE2" si="1">+AL2+31</f>
        <v>40575</v>
      </c>
      <c r="AN2" s="63">
        <f t="shared" si="1"/>
        <v>40606</v>
      </c>
      <c r="AO2" s="63">
        <f t="shared" si="1"/>
        <v>40637</v>
      </c>
      <c r="AP2" s="63">
        <f t="shared" si="1"/>
        <v>40668</v>
      </c>
      <c r="AQ2" s="63">
        <f t="shared" si="1"/>
        <v>40699</v>
      </c>
      <c r="AR2" s="63">
        <f t="shared" si="1"/>
        <v>40730</v>
      </c>
      <c r="AS2" s="63">
        <f t="shared" si="1"/>
        <v>40761</v>
      </c>
      <c r="AT2" s="63">
        <f t="shared" si="1"/>
        <v>40792</v>
      </c>
      <c r="AU2" s="63">
        <f t="shared" si="1"/>
        <v>40823</v>
      </c>
      <c r="AV2" s="63">
        <f t="shared" si="1"/>
        <v>40854</v>
      </c>
      <c r="AW2" s="63">
        <f t="shared" si="1"/>
        <v>40885</v>
      </c>
      <c r="AX2" s="63">
        <f t="shared" si="1"/>
        <v>40916</v>
      </c>
      <c r="AY2" s="63">
        <f t="shared" si="1"/>
        <v>40947</v>
      </c>
      <c r="AZ2" s="63">
        <f t="shared" si="1"/>
        <v>40978</v>
      </c>
      <c r="BA2" s="63">
        <f t="shared" si="1"/>
        <v>41009</v>
      </c>
      <c r="BB2" s="63">
        <f t="shared" si="1"/>
        <v>41040</v>
      </c>
      <c r="BC2" s="63">
        <f t="shared" si="1"/>
        <v>41071</v>
      </c>
      <c r="BD2" s="63">
        <f t="shared" si="1"/>
        <v>41102</v>
      </c>
      <c r="BE2" s="63">
        <f t="shared" si="1"/>
        <v>41133</v>
      </c>
      <c r="BF2" s="49" t="s">
        <v>69</v>
      </c>
      <c r="BH2" s="64" t="s">
        <v>89</v>
      </c>
      <c r="BI2" s="64" t="s">
        <v>90</v>
      </c>
      <c r="BJ2" s="64" t="s">
        <v>91</v>
      </c>
      <c r="BK2" s="64" t="s">
        <v>92</v>
      </c>
      <c r="BL2" s="64" t="s">
        <v>12</v>
      </c>
    </row>
    <row r="3" spans="1:64" ht="15.75">
      <c r="A3" s="1" t="s">
        <v>27</v>
      </c>
      <c r="C3" s="10" t="s">
        <v>28</v>
      </c>
      <c r="D3" s="53" t="s">
        <v>67</v>
      </c>
      <c r="E3" s="53" t="s">
        <v>67</v>
      </c>
      <c r="F3" s="53" t="s">
        <v>95</v>
      </c>
      <c r="G3" s="12"/>
      <c r="H3" s="12"/>
      <c r="I3" s="53" t="s">
        <v>67</v>
      </c>
      <c r="J3" s="12"/>
      <c r="K3" s="12"/>
      <c r="L3" s="9"/>
    </row>
    <row r="4" spans="1:64">
      <c r="A4" s="10"/>
      <c r="B4" s="10"/>
      <c r="C4" s="10"/>
      <c r="D4" s="57"/>
      <c r="E4" s="55"/>
      <c r="F4" s="65"/>
      <c r="G4" s="56"/>
      <c r="H4" s="56"/>
      <c r="I4" s="57"/>
      <c r="J4" s="56"/>
      <c r="K4" s="16"/>
      <c r="L4" s="23"/>
    </row>
    <row r="5" spans="1:64" ht="12.75" hidden="1" customHeight="1" outlineLevel="1">
      <c r="A5" s="10" t="s">
        <v>53</v>
      </c>
      <c r="B5" s="10">
        <v>2011</v>
      </c>
      <c r="C5" s="10" t="s">
        <v>96</v>
      </c>
      <c r="D5" s="57"/>
      <c r="E5" s="55"/>
      <c r="F5" s="65"/>
      <c r="G5" s="56">
        <f t="shared" ref="G5:G68" si="2">SUM(D5:F5)</f>
        <v>0</v>
      </c>
      <c r="H5" s="56"/>
      <c r="I5" s="57"/>
      <c r="J5" s="56"/>
      <c r="K5" s="16">
        <f t="shared" ref="K5:K36" si="3">SUM(G5:I5)</f>
        <v>0</v>
      </c>
      <c r="L5" s="16">
        <f>SUM(K$5:K5)</f>
        <v>0</v>
      </c>
      <c r="N5" s="16">
        <f>+$K5/60</f>
        <v>0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>
        <f t="shared" ref="AG5:AG36" si="4">SUM(N5:AF5)</f>
        <v>0</v>
      </c>
      <c r="AH5" s="16">
        <f>SUM(AG$5:AG5)</f>
        <v>0</v>
      </c>
      <c r="AI5" s="16">
        <f t="shared" ref="AI5:AI36" si="5">+L5-AH5</f>
        <v>0</v>
      </c>
      <c r="AJ5" s="16"/>
      <c r="AL5" s="16">
        <f>+$K5/12</f>
        <v>0</v>
      </c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>
        <f>SUM(AL5:BE5)</f>
        <v>0</v>
      </c>
      <c r="BH5" s="21">
        <f t="shared" ref="BH5:BH66" si="6">+BF5</f>
        <v>0</v>
      </c>
      <c r="BI5" s="21">
        <f t="shared" ref="BI5:BI68" si="7">+AG5</f>
        <v>0</v>
      </c>
      <c r="BJ5" s="16">
        <f t="shared" ref="BJ5:BJ66" si="8">+BI5-BH5</f>
        <v>0</v>
      </c>
      <c r="BK5" s="16">
        <f>+BJ5*'Capital Structure '!$E$30</f>
        <v>0</v>
      </c>
      <c r="BL5" s="16">
        <f>SUM(BK5:BK$5)</f>
        <v>0</v>
      </c>
    </row>
    <row r="6" spans="1:64" ht="12.75" hidden="1" customHeight="1" outlineLevel="1">
      <c r="A6" s="10" t="s">
        <v>54</v>
      </c>
      <c r="B6" s="10">
        <f>+B5</f>
        <v>2011</v>
      </c>
      <c r="C6" s="10" t="s">
        <v>96</v>
      </c>
      <c r="D6" s="57">
        <v>98166.7</v>
      </c>
      <c r="E6" s="57">
        <v>0</v>
      </c>
      <c r="F6" s="65"/>
      <c r="G6" s="56">
        <f t="shared" si="2"/>
        <v>98166.7</v>
      </c>
      <c r="H6" s="56"/>
      <c r="I6" s="57">
        <v>25200</v>
      </c>
      <c r="J6" s="56"/>
      <c r="K6" s="16">
        <f t="shared" si="3"/>
        <v>123366.7</v>
      </c>
      <c r="L6" s="16">
        <f>SUM(K$5:K6)</f>
        <v>123366.7</v>
      </c>
      <c r="N6" s="16">
        <f t="shared" ref="N6:AC21" si="9">+N5</f>
        <v>0</v>
      </c>
      <c r="O6" s="16">
        <f>+$K6/60</f>
        <v>2056.1116666666667</v>
      </c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>
        <f t="shared" si="4"/>
        <v>2056.1116666666667</v>
      </c>
      <c r="AH6" s="16">
        <f>SUM(AG$5:AG6)</f>
        <v>2056.1116666666667</v>
      </c>
      <c r="AI6" s="16">
        <f t="shared" si="5"/>
        <v>121310.58833333333</v>
      </c>
      <c r="AJ6" s="16">
        <f>+L6</f>
        <v>123366.7</v>
      </c>
      <c r="AL6" s="16">
        <f t="shared" ref="AL6:AV21" si="10">+AL5</f>
        <v>0</v>
      </c>
      <c r="AM6" s="16">
        <f>+$K6/12</f>
        <v>10280.558333333332</v>
      </c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>
        <f t="shared" ref="BF6:BF69" si="11">SUM(AL6:BE6)</f>
        <v>10280.558333333332</v>
      </c>
      <c r="BH6" s="21">
        <f t="shared" si="6"/>
        <v>10280.558333333332</v>
      </c>
      <c r="BI6" s="21">
        <f t="shared" si="7"/>
        <v>2056.1116666666667</v>
      </c>
      <c r="BJ6" s="16">
        <f t="shared" si="8"/>
        <v>-8224.4466666666667</v>
      </c>
      <c r="BK6" s="16">
        <f>+BJ6*'Capital Structure '!$E$30</f>
        <v>-3359.686463333333</v>
      </c>
      <c r="BL6" s="16">
        <f>SUM(BK$5:BK6)</f>
        <v>-3359.686463333333</v>
      </c>
    </row>
    <row r="7" spans="1:64" ht="12.75" hidden="1" customHeight="1" outlineLevel="1">
      <c r="A7" s="10" t="s">
        <v>55</v>
      </c>
      <c r="B7" s="10">
        <f>+B6</f>
        <v>2011</v>
      </c>
      <c r="C7" s="10" t="s">
        <v>96</v>
      </c>
      <c r="D7" s="57">
        <v>127660.45</v>
      </c>
      <c r="E7" s="57">
        <v>41000</v>
      </c>
      <c r="F7" s="57"/>
      <c r="G7" s="56">
        <f t="shared" si="2"/>
        <v>168660.45</v>
      </c>
      <c r="H7" s="56"/>
      <c r="I7" s="57">
        <v>374400</v>
      </c>
      <c r="J7" s="56"/>
      <c r="K7" s="16">
        <f t="shared" si="3"/>
        <v>543060.44999999995</v>
      </c>
      <c r="L7" s="16">
        <f>SUM(K$5:K7)</f>
        <v>666427.14999999991</v>
      </c>
      <c r="N7" s="16">
        <f t="shared" si="9"/>
        <v>0</v>
      </c>
      <c r="O7" s="16">
        <f t="shared" si="9"/>
        <v>2056.1116666666667</v>
      </c>
      <c r="P7" s="16">
        <f>+$K7/60</f>
        <v>9051.0074999999997</v>
      </c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>
        <f t="shared" si="4"/>
        <v>11107.119166666667</v>
      </c>
      <c r="AH7" s="16">
        <f>SUM(AG$5:AG7)</f>
        <v>13163.230833333335</v>
      </c>
      <c r="AI7" s="16">
        <f t="shared" si="5"/>
        <v>653263.91916666657</v>
      </c>
      <c r="AJ7" s="16">
        <f t="shared" ref="AJ7:AJ38" si="12">+L7-AH6</f>
        <v>664371.03833333321</v>
      </c>
      <c r="AL7" s="16">
        <f t="shared" si="10"/>
        <v>0</v>
      </c>
      <c r="AM7" s="16">
        <f t="shared" si="10"/>
        <v>10280.558333333332</v>
      </c>
      <c r="AN7" s="16">
        <f>+$K7/12</f>
        <v>45255.037499999999</v>
      </c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>
        <f t="shared" si="11"/>
        <v>55535.595833333333</v>
      </c>
      <c r="BH7" s="21">
        <f t="shared" si="6"/>
        <v>55535.595833333333</v>
      </c>
      <c r="BI7" s="21">
        <f t="shared" si="7"/>
        <v>11107.119166666667</v>
      </c>
      <c r="BJ7" s="16">
        <f t="shared" si="8"/>
        <v>-44428.476666666669</v>
      </c>
      <c r="BK7" s="16">
        <f>+BJ7*'Capital Structure '!$E$30</f>
        <v>-18149.032718333332</v>
      </c>
      <c r="BL7" s="16">
        <f>SUM(BK$5:BK7)</f>
        <v>-21508.719181666664</v>
      </c>
    </row>
    <row r="8" spans="1:64" ht="12.75" hidden="1" customHeight="1" outlineLevel="1">
      <c r="A8" s="10" t="s">
        <v>56</v>
      </c>
      <c r="B8" s="10">
        <f>+B7</f>
        <v>2011</v>
      </c>
      <c r="C8" s="10" t="s">
        <v>96</v>
      </c>
      <c r="D8" s="57">
        <v>148111.4</v>
      </c>
      <c r="E8" s="57">
        <v>50000</v>
      </c>
      <c r="F8" s="57"/>
      <c r="G8" s="56">
        <f t="shared" si="2"/>
        <v>198111.4</v>
      </c>
      <c r="H8" s="56"/>
      <c r="I8" s="57">
        <v>550800</v>
      </c>
      <c r="J8" s="56"/>
      <c r="K8" s="16">
        <f t="shared" si="3"/>
        <v>748911.4</v>
      </c>
      <c r="L8" s="16">
        <f>SUM(K$5:K8)</f>
        <v>1415338.5499999998</v>
      </c>
      <c r="N8" s="16">
        <f t="shared" si="9"/>
        <v>0</v>
      </c>
      <c r="O8" s="16">
        <f t="shared" si="9"/>
        <v>2056.1116666666667</v>
      </c>
      <c r="P8" s="16">
        <f t="shared" si="9"/>
        <v>9051.0074999999997</v>
      </c>
      <c r="Q8" s="16">
        <f>+$K8/60</f>
        <v>12481.856666666667</v>
      </c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>
        <f t="shared" si="4"/>
        <v>23588.975833333334</v>
      </c>
      <c r="AH8" s="16">
        <f>SUM(AG$5:AG8)</f>
        <v>36752.206666666665</v>
      </c>
      <c r="AI8" s="16">
        <f t="shared" si="5"/>
        <v>1378586.3433333333</v>
      </c>
      <c r="AJ8" s="16">
        <f t="shared" si="12"/>
        <v>1402175.3191666664</v>
      </c>
      <c r="AL8" s="16">
        <f t="shared" si="10"/>
        <v>0</v>
      </c>
      <c r="AM8" s="16">
        <f t="shared" si="10"/>
        <v>10280.558333333332</v>
      </c>
      <c r="AN8" s="16">
        <f t="shared" si="10"/>
        <v>45255.037499999999</v>
      </c>
      <c r="AO8" s="16">
        <f>+$K8/12</f>
        <v>62409.283333333333</v>
      </c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>
        <f t="shared" si="11"/>
        <v>117944.87916666667</v>
      </c>
      <c r="BH8" s="21">
        <f t="shared" si="6"/>
        <v>117944.87916666667</v>
      </c>
      <c r="BI8" s="21">
        <f t="shared" si="7"/>
        <v>23588.975833333334</v>
      </c>
      <c r="BJ8" s="16">
        <f>+BI8-BH8</f>
        <v>-94355.903333333335</v>
      </c>
      <c r="BK8" s="16">
        <f>+BJ8*'Capital Structure '!$E$30</f>
        <v>-38544.386511666664</v>
      </c>
      <c r="BL8" s="16">
        <f>SUM(BK$5:BK8)</f>
        <v>-60053.105693333331</v>
      </c>
    </row>
    <row r="9" spans="1:64" ht="12.75" hidden="1" customHeight="1" outlineLevel="1">
      <c r="A9" s="10" t="s">
        <v>57</v>
      </c>
      <c r="B9" s="10">
        <f>+B8</f>
        <v>2011</v>
      </c>
      <c r="C9" s="10" t="s">
        <v>96</v>
      </c>
      <c r="D9" s="57">
        <v>106916.81</v>
      </c>
      <c r="E9" s="57">
        <v>62000</v>
      </c>
      <c r="F9" s="57">
        <v>1000</v>
      </c>
      <c r="G9" s="56">
        <f t="shared" si="2"/>
        <v>169916.81</v>
      </c>
      <c r="H9" s="56"/>
      <c r="I9" s="57">
        <v>572400</v>
      </c>
      <c r="J9" s="56"/>
      <c r="K9" s="16">
        <f t="shared" si="3"/>
        <v>742316.81</v>
      </c>
      <c r="L9" s="16">
        <f>SUM(K$5:K9)</f>
        <v>2157655.36</v>
      </c>
      <c r="N9" s="16">
        <f t="shared" si="9"/>
        <v>0</v>
      </c>
      <c r="O9" s="16">
        <f t="shared" si="9"/>
        <v>2056.1116666666667</v>
      </c>
      <c r="P9" s="16">
        <f t="shared" si="9"/>
        <v>9051.0074999999997</v>
      </c>
      <c r="Q9" s="16">
        <f t="shared" si="9"/>
        <v>12481.856666666667</v>
      </c>
      <c r="R9" s="16">
        <f>+$K9/60</f>
        <v>12371.946833333333</v>
      </c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>
        <f t="shared" si="4"/>
        <v>35960.922666666665</v>
      </c>
      <c r="AH9" s="16">
        <f>SUM(AG$5:AG9)</f>
        <v>72713.129333333331</v>
      </c>
      <c r="AI9" s="16">
        <f t="shared" si="5"/>
        <v>2084942.2306666665</v>
      </c>
      <c r="AJ9" s="16">
        <f t="shared" si="12"/>
        <v>2120903.1533333333</v>
      </c>
      <c r="AL9" s="16">
        <f t="shared" si="10"/>
        <v>0</v>
      </c>
      <c r="AM9" s="16">
        <f t="shared" si="10"/>
        <v>10280.558333333332</v>
      </c>
      <c r="AN9" s="16">
        <f t="shared" si="10"/>
        <v>45255.037499999999</v>
      </c>
      <c r="AO9" s="16">
        <f t="shared" si="10"/>
        <v>62409.283333333333</v>
      </c>
      <c r="AP9" s="16">
        <f>+$K9/12</f>
        <v>61859.734166666669</v>
      </c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>
        <f t="shared" si="11"/>
        <v>179804.61333333334</v>
      </c>
      <c r="BH9" s="21">
        <f t="shared" si="6"/>
        <v>179804.61333333334</v>
      </c>
      <c r="BI9" s="21">
        <f t="shared" si="7"/>
        <v>35960.922666666665</v>
      </c>
      <c r="BJ9" s="16">
        <f t="shared" si="8"/>
        <v>-143843.69066666666</v>
      </c>
      <c r="BK9" s="16">
        <f>+BJ9*'Capital Structure '!$E$30</f>
        <v>-58760.147637333328</v>
      </c>
      <c r="BL9" s="16">
        <f>SUM(BK$5:BK9)</f>
        <v>-118813.25333066666</v>
      </c>
    </row>
    <row r="10" spans="1:64" ht="12.75" hidden="1" customHeight="1" outlineLevel="1">
      <c r="A10" s="10" t="s">
        <v>58</v>
      </c>
      <c r="B10" s="10">
        <f>+B9</f>
        <v>2011</v>
      </c>
      <c r="C10" s="10" t="s">
        <v>96</v>
      </c>
      <c r="D10" s="57">
        <v>151555.6</v>
      </c>
      <c r="E10" s="57">
        <v>60000</v>
      </c>
      <c r="F10" s="57"/>
      <c r="G10" s="56">
        <f t="shared" si="2"/>
        <v>211555.6</v>
      </c>
      <c r="H10" s="56"/>
      <c r="I10" s="57">
        <v>580500</v>
      </c>
      <c r="J10" s="56"/>
      <c r="K10" s="16">
        <f t="shared" si="3"/>
        <v>792055.6</v>
      </c>
      <c r="L10" s="16">
        <f>SUM(K$5:K10)</f>
        <v>2949710.96</v>
      </c>
      <c r="N10" s="16">
        <f t="shared" si="9"/>
        <v>0</v>
      </c>
      <c r="O10" s="16">
        <f t="shared" si="9"/>
        <v>2056.1116666666667</v>
      </c>
      <c r="P10" s="16">
        <f t="shared" si="9"/>
        <v>9051.0074999999997</v>
      </c>
      <c r="Q10" s="16">
        <f t="shared" si="9"/>
        <v>12481.856666666667</v>
      </c>
      <c r="R10" s="16">
        <f t="shared" si="9"/>
        <v>12371.946833333333</v>
      </c>
      <c r="S10" s="16">
        <f>+$K10/60</f>
        <v>13200.926666666666</v>
      </c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>
        <f t="shared" si="4"/>
        <v>49161.849333333332</v>
      </c>
      <c r="AH10" s="16">
        <f>SUM(AG$5:AG10)</f>
        <v>121874.97866666666</v>
      </c>
      <c r="AI10" s="16">
        <f t="shared" si="5"/>
        <v>2827835.9813333331</v>
      </c>
      <c r="AJ10" s="16">
        <f t="shared" si="12"/>
        <v>2876997.8306666669</v>
      </c>
      <c r="AL10" s="16">
        <f t="shared" si="10"/>
        <v>0</v>
      </c>
      <c r="AM10" s="16">
        <f t="shared" si="10"/>
        <v>10280.558333333332</v>
      </c>
      <c r="AN10" s="16">
        <f t="shared" si="10"/>
        <v>45255.037499999999</v>
      </c>
      <c r="AO10" s="16">
        <f t="shared" si="10"/>
        <v>62409.283333333333</v>
      </c>
      <c r="AP10" s="16">
        <f t="shared" si="10"/>
        <v>61859.734166666669</v>
      </c>
      <c r="AQ10" s="16">
        <f>+$K10/12</f>
        <v>66004.633333333331</v>
      </c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>
        <f t="shared" si="11"/>
        <v>245809.24666666667</v>
      </c>
      <c r="BH10" s="21">
        <f t="shared" si="6"/>
        <v>245809.24666666667</v>
      </c>
      <c r="BI10" s="21">
        <f t="shared" si="7"/>
        <v>49161.849333333332</v>
      </c>
      <c r="BJ10" s="16">
        <f t="shared" si="8"/>
        <v>-196647.39733333333</v>
      </c>
      <c r="BK10" s="16">
        <f>+BJ10*'Capital Structure '!$E$30</f>
        <v>-80330.46181066666</v>
      </c>
      <c r="BL10" s="16">
        <f>SUM(BK$5:BK10)</f>
        <v>-199143.71514133332</v>
      </c>
    </row>
    <row r="11" spans="1:64" ht="12.75" hidden="1" customHeight="1" outlineLevel="1">
      <c r="A11" s="10" t="s">
        <v>59</v>
      </c>
      <c r="B11" s="10">
        <f t="shared" ref="B11:B28" si="13">+B10</f>
        <v>2011</v>
      </c>
      <c r="C11" s="10" t="s">
        <v>96</v>
      </c>
      <c r="D11" s="57">
        <v>114445</v>
      </c>
      <c r="E11" s="57">
        <v>79000</v>
      </c>
      <c r="F11" s="57">
        <v>1000</v>
      </c>
      <c r="G11" s="56">
        <f t="shared" si="2"/>
        <v>194445</v>
      </c>
      <c r="H11" s="56"/>
      <c r="I11" s="57">
        <v>424800</v>
      </c>
      <c r="J11" s="56"/>
      <c r="K11" s="16">
        <f t="shared" si="3"/>
        <v>619245</v>
      </c>
      <c r="L11" s="16">
        <f>SUM(K$5:K11)</f>
        <v>3568955.96</v>
      </c>
      <c r="N11" s="16">
        <f t="shared" si="9"/>
        <v>0</v>
      </c>
      <c r="O11" s="16">
        <f t="shared" si="9"/>
        <v>2056.1116666666667</v>
      </c>
      <c r="P11" s="16">
        <f t="shared" si="9"/>
        <v>9051.0074999999997</v>
      </c>
      <c r="Q11" s="16">
        <f t="shared" si="9"/>
        <v>12481.856666666667</v>
      </c>
      <c r="R11" s="16">
        <f t="shared" si="9"/>
        <v>12371.946833333333</v>
      </c>
      <c r="S11" s="16">
        <f t="shared" si="9"/>
        <v>13200.926666666666</v>
      </c>
      <c r="T11" s="16">
        <f>+$K11/60</f>
        <v>10320.75</v>
      </c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>
        <f t="shared" si="4"/>
        <v>59482.599333333332</v>
      </c>
      <c r="AH11" s="16">
        <f>SUM(AG$5:AG11)</f>
        <v>181357.57799999998</v>
      </c>
      <c r="AI11" s="16">
        <f t="shared" si="5"/>
        <v>3387598.3820000002</v>
      </c>
      <c r="AJ11" s="16">
        <f t="shared" si="12"/>
        <v>3447080.9813333331</v>
      </c>
      <c r="AL11" s="16">
        <f t="shared" si="10"/>
        <v>0</v>
      </c>
      <c r="AM11" s="16">
        <f t="shared" si="10"/>
        <v>10280.558333333332</v>
      </c>
      <c r="AN11" s="16">
        <f t="shared" si="10"/>
        <v>45255.037499999999</v>
      </c>
      <c r="AO11" s="16">
        <f t="shared" si="10"/>
        <v>62409.283333333333</v>
      </c>
      <c r="AP11" s="16">
        <f t="shared" si="10"/>
        <v>61859.734166666669</v>
      </c>
      <c r="AQ11" s="16">
        <f t="shared" si="10"/>
        <v>66004.633333333331</v>
      </c>
      <c r="AR11" s="16">
        <f>+$K11/12</f>
        <v>51603.75</v>
      </c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>
        <f t="shared" si="11"/>
        <v>297412.9966666667</v>
      </c>
      <c r="BH11" s="21">
        <f t="shared" si="6"/>
        <v>297412.9966666667</v>
      </c>
      <c r="BI11" s="21">
        <f t="shared" si="7"/>
        <v>59482.599333333332</v>
      </c>
      <c r="BJ11" s="16">
        <f t="shared" si="8"/>
        <v>-237930.39733333339</v>
      </c>
      <c r="BK11" s="16">
        <f>+BJ11*'Capital Structure '!$E$30</f>
        <v>-97194.56731066668</v>
      </c>
      <c r="BL11" s="16">
        <f>SUM(BK$5:BK11)</f>
        <v>-296338.28245200001</v>
      </c>
    </row>
    <row r="12" spans="1:64" ht="12.75" hidden="1" customHeight="1" outlineLevel="1">
      <c r="A12" s="10" t="s">
        <v>46</v>
      </c>
      <c r="B12" s="10">
        <f t="shared" si="13"/>
        <v>2011</v>
      </c>
      <c r="C12" s="10" t="s">
        <v>96</v>
      </c>
      <c r="D12" s="57">
        <v>109444</v>
      </c>
      <c r="E12" s="57">
        <v>117500</v>
      </c>
      <c r="F12" s="57"/>
      <c r="G12" s="56">
        <f t="shared" si="2"/>
        <v>226944</v>
      </c>
      <c r="H12" s="56"/>
      <c r="I12" s="57">
        <v>530100</v>
      </c>
      <c r="J12" s="56"/>
      <c r="K12" s="16">
        <f t="shared" si="3"/>
        <v>757044</v>
      </c>
      <c r="L12" s="16">
        <f>SUM(K$5:K12)</f>
        <v>4325999.96</v>
      </c>
      <c r="N12" s="16">
        <f t="shared" si="9"/>
        <v>0</v>
      </c>
      <c r="O12" s="16">
        <f t="shared" si="9"/>
        <v>2056.1116666666667</v>
      </c>
      <c r="P12" s="16">
        <f t="shared" si="9"/>
        <v>9051.0074999999997</v>
      </c>
      <c r="Q12" s="16">
        <f t="shared" si="9"/>
        <v>12481.856666666667</v>
      </c>
      <c r="R12" s="16">
        <f t="shared" si="9"/>
        <v>12371.946833333333</v>
      </c>
      <c r="S12" s="16">
        <f t="shared" si="9"/>
        <v>13200.926666666666</v>
      </c>
      <c r="T12" s="16">
        <f t="shared" si="9"/>
        <v>10320.75</v>
      </c>
      <c r="U12" s="16">
        <f>+$K12/60</f>
        <v>12617.4</v>
      </c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>
        <f t="shared" si="4"/>
        <v>72099.999333333326</v>
      </c>
      <c r="AH12" s="16">
        <f>SUM(AG$5:AG12)</f>
        <v>253457.57733333332</v>
      </c>
      <c r="AI12" s="16">
        <f t="shared" si="5"/>
        <v>4072542.3826666665</v>
      </c>
      <c r="AJ12" s="16">
        <f t="shared" si="12"/>
        <v>4144642.3820000002</v>
      </c>
      <c r="AL12" s="16">
        <f t="shared" si="10"/>
        <v>0</v>
      </c>
      <c r="AM12" s="16">
        <f t="shared" si="10"/>
        <v>10280.558333333332</v>
      </c>
      <c r="AN12" s="16">
        <f t="shared" si="10"/>
        <v>45255.037499999999</v>
      </c>
      <c r="AO12" s="16">
        <f t="shared" si="10"/>
        <v>62409.283333333333</v>
      </c>
      <c r="AP12" s="16">
        <f t="shared" si="10"/>
        <v>61859.734166666669</v>
      </c>
      <c r="AQ12" s="16">
        <f t="shared" si="10"/>
        <v>66004.633333333331</v>
      </c>
      <c r="AR12" s="16">
        <f t="shared" si="10"/>
        <v>51603.75</v>
      </c>
      <c r="AS12" s="16">
        <f>+$K12/12</f>
        <v>63087</v>
      </c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>
        <f t="shared" si="11"/>
        <v>360499.9966666667</v>
      </c>
      <c r="BH12" s="21">
        <f t="shared" si="6"/>
        <v>360499.9966666667</v>
      </c>
      <c r="BI12" s="21">
        <f t="shared" si="7"/>
        <v>72099.999333333326</v>
      </c>
      <c r="BJ12" s="16">
        <f t="shared" si="8"/>
        <v>-288399.99733333336</v>
      </c>
      <c r="BK12" s="16">
        <f>+BJ12*'Capital Structure '!$E$30</f>
        <v>-117811.39891066667</v>
      </c>
      <c r="BL12" s="16">
        <f>SUM(BK$5:BK12)</f>
        <v>-414149.68136266666</v>
      </c>
    </row>
    <row r="13" spans="1:64" ht="12.75" hidden="1" customHeight="1" outlineLevel="1">
      <c r="A13" s="10" t="s">
        <v>48</v>
      </c>
      <c r="B13" s="10">
        <f t="shared" si="13"/>
        <v>2011</v>
      </c>
      <c r="C13" s="10" t="s">
        <v>96</v>
      </c>
      <c r="D13" s="57">
        <v>93944</v>
      </c>
      <c r="E13" s="57">
        <v>137000</v>
      </c>
      <c r="F13" s="57">
        <v>1000</v>
      </c>
      <c r="G13" s="56">
        <f t="shared" si="2"/>
        <v>231944</v>
      </c>
      <c r="H13" s="56"/>
      <c r="I13" s="57">
        <v>451800</v>
      </c>
      <c r="J13" s="56"/>
      <c r="K13" s="16">
        <f t="shared" si="3"/>
        <v>683744</v>
      </c>
      <c r="L13" s="16">
        <f>SUM(K$5:K13)</f>
        <v>5009743.96</v>
      </c>
      <c r="N13" s="16">
        <f t="shared" si="9"/>
        <v>0</v>
      </c>
      <c r="O13" s="16">
        <f t="shared" si="9"/>
        <v>2056.1116666666667</v>
      </c>
      <c r="P13" s="16">
        <f>+P12</f>
        <v>9051.0074999999997</v>
      </c>
      <c r="Q13" s="16">
        <f t="shared" si="9"/>
        <v>12481.856666666667</v>
      </c>
      <c r="R13" s="16">
        <f t="shared" si="9"/>
        <v>12371.946833333333</v>
      </c>
      <c r="S13" s="16">
        <f t="shared" si="9"/>
        <v>13200.926666666666</v>
      </c>
      <c r="T13" s="16">
        <f t="shared" si="9"/>
        <v>10320.75</v>
      </c>
      <c r="U13" s="16">
        <f t="shared" si="9"/>
        <v>12617.4</v>
      </c>
      <c r="V13" s="16">
        <f>+$K13/60</f>
        <v>11395.733333333334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>
        <f t="shared" si="4"/>
        <v>83495.732666666663</v>
      </c>
      <c r="AH13" s="16">
        <f>SUM(AG$5:AG13)</f>
        <v>336953.31</v>
      </c>
      <c r="AI13" s="16">
        <f t="shared" si="5"/>
        <v>4672790.6500000004</v>
      </c>
      <c r="AJ13" s="16">
        <f t="shared" si="12"/>
        <v>4756286.382666667</v>
      </c>
      <c r="AL13" s="16">
        <f t="shared" si="10"/>
        <v>0</v>
      </c>
      <c r="AM13" s="16">
        <f t="shared" si="10"/>
        <v>10280.558333333332</v>
      </c>
      <c r="AN13" s="16">
        <f t="shared" si="10"/>
        <v>45255.037499999999</v>
      </c>
      <c r="AO13" s="16">
        <f t="shared" si="10"/>
        <v>62409.283333333333</v>
      </c>
      <c r="AP13" s="16">
        <f t="shared" si="10"/>
        <v>61859.734166666669</v>
      </c>
      <c r="AQ13" s="16">
        <f t="shared" si="10"/>
        <v>66004.633333333331</v>
      </c>
      <c r="AR13" s="16">
        <f t="shared" si="10"/>
        <v>51603.75</v>
      </c>
      <c r="AS13" s="16">
        <f t="shared" si="10"/>
        <v>63087</v>
      </c>
      <c r="AT13" s="16">
        <f>+$K13/12</f>
        <v>56978.666666666664</v>
      </c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>
        <f t="shared" si="11"/>
        <v>417478.66333333339</v>
      </c>
      <c r="BH13" s="21">
        <f>+BF13</f>
        <v>417478.66333333339</v>
      </c>
      <c r="BI13" s="21">
        <f t="shared" si="7"/>
        <v>83495.732666666663</v>
      </c>
      <c r="BJ13" s="16">
        <f>+BI13-BH13</f>
        <v>-333982.93066666671</v>
      </c>
      <c r="BK13" s="16">
        <f>+BJ13*'Capital Structure '!$E$30</f>
        <v>-136432.02717733334</v>
      </c>
      <c r="BL13" s="16">
        <f>SUM(BK$5:BK13)</f>
        <v>-550581.70854000002</v>
      </c>
    </row>
    <row r="14" spans="1:64" ht="12.75" hidden="1" customHeight="1" outlineLevel="1">
      <c r="A14" s="10" t="s">
        <v>50</v>
      </c>
      <c r="B14" s="10">
        <f t="shared" si="13"/>
        <v>2011</v>
      </c>
      <c r="C14" s="10" t="s">
        <v>96</v>
      </c>
      <c r="D14" s="57">
        <v>39778</v>
      </c>
      <c r="E14" s="57">
        <v>143000</v>
      </c>
      <c r="F14" s="79">
        <v>-2000</v>
      </c>
      <c r="G14" s="56">
        <f t="shared" si="2"/>
        <v>180778</v>
      </c>
      <c r="H14" s="56"/>
      <c r="I14" s="57">
        <v>451800</v>
      </c>
      <c r="J14" s="56"/>
      <c r="K14" s="16">
        <f t="shared" si="3"/>
        <v>632578</v>
      </c>
      <c r="L14" s="16">
        <f>SUM(K$5:K14)</f>
        <v>5642321.96</v>
      </c>
      <c r="N14" s="16">
        <f t="shared" si="9"/>
        <v>0</v>
      </c>
      <c r="O14" s="16">
        <f t="shared" si="9"/>
        <v>2056.1116666666667</v>
      </c>
      <c r="P14" s="16">
        <f t="shared" si="9"/>
        <v>9051.0074999999997</v>
      </c>
      <c r="Q14" s="16">
        <f t="shared" si="9"/>
        <v>12481.856666666667</v>
      </c>
      <c r="R14" s="16">
        <f t="shared" si="9"/>
        <v>12371.946833333333</v>
      </c>
      <c r="S14" s="16">
        <f t="shared" si="9"/>
        <v>13200.926666666666</v>
      </c>
      <c r="T14" s="16">
        <f t="shared" si="9"/>
        <v>10320.75</v>
      </c>
      <c r="U14" s="16">
        <f t="shared" si="9"/>
        <v>12617.4</v>
      </c>
      <c r="V14" s="16">
        <f>+V13</f>
        <v>11395.733333333334</v>
      </c>
      <c r="W14" s="16">
        <f>+$K14/60</f>
        <v>10542.966666666667</v>
      </c>
      <c r="X14" s="16"/>
      <c r="Y14" s="16"/>
      <c r="Z14" s="16"/>
      <c r="AA14" s="16"/>
      <c r="AB14" s="16"/>
      <c r="AC14" s="16"/>
      <c r="AD14" s="16"/>
      <c r="AE14" s="16"/>
      <c r="AF14" s="16"/>
      <c r="AG14" s="16">
        <f t="shared" si="4"/>
        <v>94038.699333333323</v>
      </c>
      <c r="AH14" s="16">
        <f>SUM(AG$5:AG14)</f>
        <v>430992.00933333335</v>
      </c>
      <c r="AI14" s="16">
        <f t="shared" si="5"/>
        <v>5211329.950666667</v>
      </c>
      <c r="AJ14" s="16">
        <f t="shared" si="12"/>
        <v>5305368.6500000004</v>
      </c>
      <c r="AL14" s="16">
        <f t="shared" si="10"/>
        <v>0</v>
      </c>
      <c r="AM14" s="16">
        <f t="shared" si="10"/>
        <v>10280.558333333332</v>
      </c>
      <c r="AN14" s="16">
        <f t="shared" si="10"/>
        <v>45255.037499999999</v>
      </c>
      <c r="AO14" s="16">
        <f t="shared" si="10"/>
        <v>62409.283333333333</v>
      </c>
      <c r="AP14" s="16">
        <f t="shared" si="10"/>
        <v>61859.734166666669</v>
      </c>
      <c r="AQ14" s="16">
        <f t="shared" si="10"/>
        <v>66004.633333333331</v>
      </c>
      <c r="AR14" s="16">
        <f t="shared" si="10"/>
        <v>51603.75</v>
      </c>
      <c r="AS14" s="16">
        <f t="shared" si="10"/>
        <v>63087</v>
      </c>
      <c r="AT14" s="16">
        <f t="shared" si="10"/>
        <v>56978.666666666664</v>
      </c>
      <c r="AU14" s="16">
        <f>+$K14/12</f>
        <v>52714.833333333336</v>
      </c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>
        <f t="shared" si="11"/>
        <v>470193.4966666667</v>
      </c>
      <c r="BH14" s="21">
        <f>+BF14</f>
        <v>470193.4966666667</v>
      </c>
      <c r="BI14" s="21">
        <f t="shared" si="7"/>
        <v>94038.699333333323</v>
      </c>
      <c r="BJ14" s="16">
        <f>+BI14-BH14</f>
        <v>-376154.79733333341</v>
      </c>
      <c r="BK14" s="16">
        <f>+BJ14*'Capital Structure '!$E$30</f>
        <v>-153659.2347106667</v>
      </c>
      <c r="BL14" s="16">
        <f>SUM(BK$5:BK14)</f>
        <v>-704240.94325066672</v>
      </c>
    </row>
    <row r="15" spans="1:64" ht="12.75" hidden="1" customHeight="1" outlineLevel="1">
      <c r="A15" s="10" t="s">
        <v>51</v>
      </c>
      <c r="B15" s="10">
        <f t="shared" si="13"/>
        <v>2011</v>
      </c>
      <c r="C15" s="10" t="s">
        <v>96</v>
      </c>
      <c r="D15" s="57">
        <v>55167</v>
      </c>
      <c r="E15" s="57">
        <v>145000</v>
      </c>
      <c r="F15" s="66"/>
      <c r="G15" s="56">
        <f t="shared" si="2"/>
        <v>200167</v>
      </c>
      <c r="H15" s="56"/>
      <c r="I15" s="57">
        <v>642600</v>
      </c>
      <c r="J15" s="56"/>
      <c r="K15" s="16">
        <f t="shared" si="3"/>
        <v>842767</v>
      </c>
      <c r="L15" s="16">
        <f>SUM(K$5:K15)</f>
        <v>6485088.96</v>
      </c>
      <c r="N15" s="16">
        <f t="shared" si="9"/>
        <v>0</v>
      </c>
      <c r="O15" s="16">
        <f t="shared" si="9"/>
        <v>2056.1116666666667</v>
      </c>
      <c r="P15" s="16">
        <f t="shared" si="9"/>
        <v>9051.0074999999997</v>
      </c>
      <c r="Q15" s="16">
        <f t="shared" si="9"/>
        <v>12481.856666666667</v>
      </c>
      <c r="R15" s="16">
        <f t="shared" si="9"/>
        <v>12371.946833333333</v>
      </c>
      <c r="S15" s="16">
        <f t="shared" si="9"/>
        <v>13200.926666666666</v>
      </c>
      <c r="T15" s="16">
        <f t="shared" si="9"/>
        <v>10320.75</v>
      </c>
      <c r="U15" s="16">
        <f t="shared" si="9"/>
        <v>12617.4</v>
      </c>
      <c r="V15" s="16">
        <f t="shared" si="9"/>
        <v>11395.733333333334</v>
      </c>
      <c r="W15" s="16">
        <f t="shared" si="9"/>
        <v>10542.966666666667</v>
      </c>
      <c r="X15" s="16">
        <f>+$K15/60</f>
        <v>14046.116666666667</v>
      </c>
      <c r="Y15" s="16"/>
      <c r="Z15" s="16"/>
      <c r="AA15" s="16"/>
      <c r="AB15" s="16"/>
      <c r="AC15" s="16"/>
      <c r="AD15" s="16"/>
      <c r="AE15" s="16"/>
      <c r="AF15" s="16"/>
      <c r="AG15" s="16">
        <f t="shared" si="4"/>
        <v>108084.81599999999</v>
      </c>
      <c r="AH15" s="16">
        <f>SUM(AG$5:AG15)</f>
        <v>539076.82533333334</v>
      </c>
      <c r="AI15" s="16">
        <f t="shared" si="5"/>
        <v>5946012.1346666664</v>
      </c>
      <c r="AJ15" s="16">
        <f t="shared" si="12"/>
        <v>6054096.950666667</v>
      </c>
      <c r="AL15" s="16">
        <f t="shared" si="10"/>
        <v>0</v>
      </c>
      <c r="AM15" s="16">
        <f t="shared" si="10"/>
        <v>10280.558333333332</v>
      </c>
      <c r="AN15" s="16">
        <f t="shared" si="10"/>
        <v>45255.037499999999</v>
      </c>
      <c r="AO15" s="16">
        <f t="shared" si="10"/>
        <v>62409.283333333333</v>
      </c>
      <c r="AP15" s="16">
        <f t="shared" si="10"/>
        <v>61859.734166666669</v>
      </c>
      <c r="AQ15" s="16">
        <f t="shared" si="10"/>
        <v>66004.633333333331</v>
      </c>
      <c r="AR15" s="16">
        <f t="shared" si="10"/>
        <v>51603.75</v>
      </c>
      <c r="AS15" s="16">
        <f t="shared" si="10"/>
        <v>63087</v>
      </c>
      <c r="AT15" s="16">
        <f t="shared" si="10"/>
        <v>56978.666666666664</v>
      </c>
      <c r="AU15" s="16">
        <f t="shared" si="10"/>
        <v>52714.833333333336</v>
      </c>
      <c r="AV15" s="16">
        <f>+$K15/12</f>
        <v>70230.583333333328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>
        <f t="shared" si="11"/>
        <v>540424.08000000007</v>
      </c>
      <c r="BH15" s="21">
        <f t="shared" si="6"/>
        <v>540424.08000000007</v>
      </c>
      <c r="BI15" s="21">
        <f t="shared" si="7"/>
        <v>108084.81599999999</v>
      </c>
      <c r="BJ15" s="16">
        <f t="shared" si="8"/>
        <v>-432339.26400000008</v>
      </c>
      <c r="BK15" s="16">
        <f>+BJ15*'Capital Structure '!$E$30</f>
        <v>-176610.58934400004</v>
      </c>
      <c r="BL15" s="16">
        <f>SUM(BK$5:BK15)</f>
        <v>-880851.53259466682</v>
      </c>
    </row>
    <row r="16" spans="1:64" s="26" customFormat="1" ht="12.75" hidden="1" customHeight="1" outlineLevel="1">
      <c r="A16" s="24" t="s">
        <v>52</v>
      </c>
      <c r="B16" s="24">
        <f t="shared" si="13"/>
        <v>2011</v>
      </c>
      <c r="C16" s="24" t="s">
        <v>96</v>
      </c>
      <c r="D16" s="68">
        <v>105055</v>
      </c>
      <c r="E16" s="68">
        <v>186780</v>
      </c>
      <c r="F16" s="68">
        <v>1000</v>
      </c>
      <c r="G16" s="60">
        <f t="shared" si="2"/>
        <v>292835</v>
      </c>
      <c r="H16" s="60"/>
      <c r="I16" s="68">
        <v>537300</v>
      </c>
      <c r="J16" s="60"/>
      <c r="K16" s="25">
        <f t="shared" si="3"/>
        <v>830135</v>
      </c>
      <c r="L16" s="80">
        <f>SUM(K$5:K16)</f>
        <v>7315223.96</v>
      </c>
      <c r="M16" s="81"/>
      <c r="N16" s="25">
        <f t="shared" si="9"/>
        <v>0</v>
      </c>
      <c r="O16" s="25">
        <f t="shared" si="9"/>
        <v>2056.1116666666667</v>
      </c>
      <c r="P16" s="25">
        <f t="shared" si="9"/>
        <v>9051.0074999999997</v>
      </c>
      <c r="Q16" s="25">
        <f t="shared" si="9"/>
        <v>12481.856666666667</v>
      </c>
      <c r="R16" s="25">
        <f t="shared" si="9"/>
        <v>12371.946833333333</v>
      </c>
      <c r="S16" s="25">
        <f t="shared" si="9"/>
        <v>13200.926666666666</v>
      </c>
      <c r="T16" s="25">
        <f t="shared" si="9"/>
        <v>10320.75</v>
      </c>
      <c r="U16" s="25">
        <f t="shared" si="9"/>
        <v>12617.4</v>
      </c>
      <c r="V16" s="25">
        <f t="shared" si="9"/>
        <v>11395.733333333334</v>
      </c>
      <c r="W16" s="25">
        <f t="shared" si="9"/>
        <v>10542.966666666667</v>
      </c>
      <c r="X16" s="25">
        <f t="shared" si="9"/>
        <v>14046.116666666667</v>
      </c>
      <c r="Y16" s="25">
        <f>+$K16/60</f>
        <v>13835.583333333334</v>
      </c>
      <c r="Z16" s="25"/>
      <c r="AA16" s="25"/>
      <c r="AB16" s="25"/>
      <c r="AC16" s="25"/>
      <c r="AD16" s="25"/>
      <c r="AE16" s="25"/>
      <c r="AF16" s="25"/>
      <c r="AG16" s="16">
        <f t="shared" si="4"/>
        <v>121920.39933333332</v>
      </c>
      <c r="AH16" s="25">
        <f>SUM(AG$5:AG16)</f>
        <v>660997.22466666671</v>
      </c>
      <c r="AI16" s="25">
        <f t="shared" si="5"/>
        <v>6654226.7353333328</v>
      </c>
      <c r="AJ16" s="25">
        <f t="shared" si="12"/>
        <v>6776147.1346666664</v>
      </c>
      <c r="AL16" s="25">
        <f t="shared" si="10"/>
        <v>0</v>
      </c>
      <c r="AM16" s="25">
        <f t="shared" si="10"/>
        <v>10280.558333333332</v>
      </c>
      <c r="AN16" s="25">
        <f t="shared" si="10"/>
        <v>45255.037499999999</v>
      </c>
      <c r="AO16" s="25">
        <f t="shared" si="10"/>
        <v>62409.283333333333</v>
      </c>
      <c r="AP16" s="25">
        <f t="shared" si="10"/>
        <v>61859.734166666669</v>
      </c>
      <c r="AQ16" s="25">
        <f t="shared" si="10"/>
        <v>66004.633333333331</v>
      </c>
      <c r="AR16" s="25">
        <f t="shared" si="10"/>
        <v>51603.75</v>
      </c>
      <c r="AS16" s="25">
        <f t="shared" si="10"/>
        <v>63087</v>
      </c>
      <c r="AT16" s="25">
        <f t="shared" si="10"/>
        <v>56978.666666666664</v>
      </c>
      <c r="AU16" s="25">
        <f t="shared" si="10"/>
        <v>52714.833333333336</v>
      </c>
      <c r="AV16" s="25">
        <f t="shared" si="10"/>
        <v>70230.583333333328</v>
      </c>
      <c r="AW16" s="25">
        <f>+$K16/12</f>
        <v>69177.916666666672</v>
      </c>
      <c r="AX16" s="25"/>
      <c r="AY16" s="25"/>
      <c r="AZ16" s="25"/>
      <c r="BA16" s="25"/>
      <c r="BB16" s="25"/>
      <c r="BC16" s="25"/>
      <c r="BD16" s="25"/>
      <c r="BE16" s="25"/>
      <c r="BF16" s="25">
        <f t="shared" si="11"/>
        <v>609601.9966666667</v>
      </c>
      <c r="BH16" s="81">
        <f>+BF16</f>
        <v>609601.9966666667</v>
      </c>
      <c r="BI16" s="81">
        <f t="shared" si="7"/>
        <v>121920.39933333332</v>
      </c>
      <c r="BJ16" s="25">
        <f t="shared" si="8"/>
        <v>-487681.5973333334</v>
      </c>
      <c r="BK16" s="25">
        <f>+BJ16*'Capital Structure '!$E$30</f>
        <v>-199217.93251066667</v>
      </c>
      <c r="BL16" s="25">
        <f>SUM(BK$5:BK16)</f>
        <v>-1080069.4651053334</v>
      </c>
    </row>
    <row r="17" spans="1:64" ht="12.75" hidden="1" customHeight="1" outlineLevel="1">
      <c r="A17" s="10" t="s">
        <v>53</v>
      </c>
      <c r="B17" s="10">
        <f>+B16+1</f>
        <v>2012</v>
      </c>
      <c r="C17" s="10" t="s">
        <v>96</v>
      </c>
      <c r="D17" s="57">
        <v>57722.2</v>
      </c>
      <c r="E17" s="57">
        <v>311562.5</v>
      </c>
      <c r="F17" s="57"/>
      <c r="G17" s="56">
        <f t="shared" si="2"/>
        <v>369284.7</v>
      </c>
      <c r="H17" s="56"/>
      <c r="I17" s="82">
        <v>443700</v>
      </c>
      <c r="J17" s="56"/>
      <c r="K17" s="16">
        <f t="shared" si="3"/>
        <v>812984.7</v>
      </c>
      <c r="L17" s="16">
        <f>SUM(K$5:K17)</f>
        <v>8128208.6600000001</v>
      </c>
      <c r="N17" s="16">
        <f t="shared" si="9"/>
        <v>0</v>
      </c>
      <c r="O17" s="16">
        <f t="shared" si="9"/>
        <v>2056.1116666666667</v>
      </c>
      <c r="P17" s="16">
        <f t="shared" si="9"/>
        <v>9051.0074999999997</v>
      </c>
      <c r="Q17" s="16">
        <f t="shared" si="9"/>
        <v>12481.856666666667</v>
      </c>
      <c r="R17" s="16">
        <f t="shared" si="9"/>
        <v>12371.946833333333</v>
      </c>
      <c r="S17" s="16">
        <f t="shared" si="9"/>
        <v>13200.926666666666</v>
      </c>
      <c r="T17" s="16">
        <f t="shared" si="9"/>
        <v>10320.75</v>
      </c>
      <c r="U17" s="16">
        <f t="shared" si="9"/>
        <v>12617.4</v>
      </c>
      <c r="V17" s="16">
        <f t="shared" si="9"/>
        <v>11395.733333333334</v>
      </c>
      <c r="W17" s="16">
        <f t="shared" si="9"/>
        <v>10542.966666666667</v>
      </c>
      <c r="X17" s="16">
        <f t="shared" si="9"/>
        <v>14046.116666666667</v>
      </c>
      <c r="Y17" s="16">
        <f t="shared" si="9"/>
        <v>13835.583333333334</v>
      </c>
      <c r="Z17" s="16">
        <f>+$K17/60</f>
        <v>13549.744999999999</v>
      </c>
      <c r="AA17" s="16"/>
      <c r="AB17" s="16"/>
      <c r="AC17" s="16"/>
      <c r="AD17" s="16"/>
      <c r="AE17" s="16"/>
      <c r="AF17" s="16"/>
      <c r="AG17" s="16">
        <f t="shared" si="4"/>
        <v>135470.14433333333</v>
      </c>
      <c r="AH17" s="16">
        <f>SUM(AG$5:AG17)</f>
        <v>796467.36900000006</v>
      </c>
      <c r="AI17" s="16">
        <f t="shared" si="5"/>
        <v>7331741.2910000002</v>
      </c>
      <c r="AJ17" s="16">
        <f t="shared" si="12"/>
        <v>7467211.4353333339</v>
      </c>
      <c r="AL17" s="16"/>
      <c r="AM17" s="16">
        <f t="shared" si="10"/>
        <v>10280.558333333332</v>
      </c>
      <c r="AN17" s="16">
        <f t="shared" si="10"/>
        <v>45255.037499999999</v>
      </c>
      <c r="AO17" s="16">
        <f t="shared" si="10"/>
        <v>62409.283333333333</v>
      </c>
      <c r="AP17" s="16">
        <f t="shared" si="10"/>
        <v>61859.734166666669</v>
      </c>
      <c r="AQ17" s="16">
        <f t="shared" si="10"/>
        <v>66004.633333333331</v>
      </c>
      <c r="AR17" s="16">
        <f t="shared" si="10"/>
        <v>51603.75</v>
      </c>
      <c r="AS17" s="16">
        <f t="shared" si="10"/>
        <v>63087</v>
      </c>
      <c r="AT17" s="16">
        <f t="shared" si="10"/>
        <v>56978.666666666664</v>
      </c>
      <c r="AU17" s="16">
        <f t="shared" si="10"/>
        <v>52714.833333333336</v>
      </c>
      <c r="AV17" s="16">
        <f t="shared" si="10"/>
        <v>70230.583333333328</v>
      </c>
      <c r="AW17" s="16">
        <f>+AW16</f>
        <v>69177.916666666672</v>
      </c>
      <c r="AX17" s="16">
        <f>+$K17/12</f>
        <v>67748.724999999991</v>
      </c>
      <c r="AY17" s="16"/>
      <c r="AZ17" s="16"/>
      <c r="BA17" s="16"/>
      <c r="BB17" s="16"/>
      <c r="BC17" s="16"/>
      <c r="BD17" s="16"/>
      <c r="BE17" s="16"/>
      <c r="BF17" s="16">
        <f t="shared" si="11"/>
        <v>677350.72166666668</v>
      </c>
      <c r="BH17" s="21">
        <f t="shared" si="6"/>
        <v>677350.72166666668</v>
      </c>
      <c r="BI17" s="21">
        <f>+AG17</f>
        <v>135470.14433333333</v>
      </c>
      <c r="BJ17" s="16">
        <f t="shared" si="8"/>
        <v>-541880.57733333332</v>
      </c>
      <c r="BK17" s="16">
        <f>+BJ17*'Capital Structure '!$E$30</f>
        <v>-221358.21584066664</v>
      </c>
      <c r="BL17" s="16">
        <f>SUM(BK$5:BK17)</f>
        <v>-1301427.6809459999</v>
      </c>
    </row>
    <row r="18" spans="1:64" s="6" customFormat="1" ht="12.75" hidden="1" customHeight="1" outlineLevel="1">
      <c r="A18" s="19" t="s">
        <v>54</v>
      </c>
      <c r="B18" s="19">
        <f>+B17</f>
        <v>2012</v>
      </c>
      <c r="C18" s="10" t="s">
        <v>96</v>
      </c>
      <c r="D18" s="57">
        <v>70666.899999999994</v>
      </c>
      <c r="E18" s="57">
        <v>221000</v>
      </c>
      <c r="F18" s="57"/>
      <c r="G18" s="56">
        <f t="shared" si="2"/>
        <v>291666.90000000002</v>
      </c>
      <c r="H18" s="56"/>
      <c r="I18" s="82">
        <v>826200</v>
      </c>
      <c r="J18" s="56"/>
      <c r="K18" s="40">
        <f t="shared" si="3"/>
        <v>1117866.8999999999</v>
      </c>
      <c r="L18" s="17">
        <f>SUM(K$5:K18)</f>
        <v>9246075.5600000005</v>
      </c>
      <c r="M18" s="83"/>
      <c r="N18" s="17">
        <f t="shared" si="9"/>
        <v>0</v>
      </c>
      <c r="O18" s="17">
        <f t="shared" si="9"/>
        <v>2056.1116666666667</v>
      </c>
      <c r="P18" s="17">
        <f t="shared" si="9"/>
        <v>9051.0074999999997</v>
      </c>
      <c r="Q18" s="17">
        <f t="shared" si="9"/>
        <v>12481.856666666667</v>
      </c>
      <c r="R18" s="17">
        <f t="shared" si="9"/>
        <v>12371.946833333333</v>
      </c>
      <c r="S18" s="17">
        <f t="shared" si="9"/>
        <v>13200.926666666666</v>
      </c>
      <c r="T18" s="17">
        <f t="shared" si="9"/>
        <v>10320.75</v>
      </c>
      <c r="U18" s="17">
        <f t="shared" si="9"/>
        <v>12617.4</v>
      </c>
      <c r="V18" s="17">
        <f t="shared" si="9"/>
        <v>11395.733333333334</v>
      </c>
      <c r="W18" s="17">
        <f t="shared" si="9"/>
        <v>10542.966666666667</v>
      </c>
      <c r="X18" s="17">
        <f t="shared" si="9"/>
        <v>14046.116666666667</v>
      </c>
      <c r="Y18" s="17">
        <f t="shared" si="9"/>
        <v>13835.583333333334</v>
      </c>
      <c r="Z18" s="17">
        <f t="shared" si="9"/>
        <v>13549.744999999999</v>
      </c>
      <c r="AA18" s="17">
        <f>+$K18/60</f>
        <v>18631.114999999998</v>
      </c>
      <c r="AB18" s="17"/>
      <c r="AC18" s="17"/>
      <c r="AD18" s="17"/>
      <c r="AE18" s="17"/>
      <c r="AF18" s="17"/>
      <c r="AG18" s="16">
        <f t="shared" si="4"/>
        <v>154101.25933333332</v>
      </c>
      <c r="AH18" s="17">
        <f>SUM(AG$5:AG18)</f>
        <v>950568.62833333341</v>
      </c>
      <c r="AI18" s="17">
        <f t="shared" si="5"/>
        <v>8295506.9316666666</v>
      </c>
      <c r="AJ18" s="17">
        <f t="shared" si="12"/>
        <v>8449608.1909999996</v>
      </c>
      <c r="AL18" s="17"/>
      <c r="AM18" s="17"/>
      <c r="AN18" s="17">
        <f t="shared" si="10"/>
        <v>45255.037499999999</v>
      </c>
      <c r="AO18" s="17">
        <f t="shared" si="10"/>
        <v>62409.283333333333</v>
      </c>
      <c r="AP18" s="17">
        <f t="shared" si="10"/>
        <v>61859.734166666669</v>
      </c>
      <c r="AQ18" s="17">
        <f t="shared" si="10"/>
        <v>66004.633333333331</v>
      </c>
      <c r="AR18" s="17">
        <f t="shared" si="10"/>
        <v>51603.75</v>
      </c>
      <c r="AS18" s="17">
        <f t="shared" si="10"/>
        <v>63087</v>
      </c>
      <c r="AT18" s="17">
        <f t="shared" si="10"/>
        <v>56978.666666666664</v>
      </c>
      <c r="AU18" s="17">
        <f t="shared" si="10"/>
        <v>52714.833333333336</v>
      </c>
      <c r="AV18" s="17">
        <f t="shared" si="10"/>
        <v>70230.583333333328</v>
      </c>
      <c r="AW18" s="17">
        <f>+AW17</f>
        <v>69177.916666666672</v>
      </c>
      <c r="AX18" s="17">
        <f>+AX17</f>
        <v>67748.724999999991</v>
      </c>
      <c r="AY18" s="17">
        <f>+$K18/12</f>
        <v>93155.574999999997</v>
      </c>
      <c r="AZ18" s="17"/>
      <c r="BA18" s="17"/>
      <c r="BB18" s="17"/>
      <c r="BC18" s="17"/>
      <c r="BD18" s="17"/>
      <c r="BE18" s="17"/>
      <c r="BF18" s="17">
        <f>SUM(AL18:BE18)</f>
        <v>760225.73833333328</v>
      </c>
      <c r="BH18" s="34">
        <f>+BF18</f>
        <v>760225.73833333328</v>
      </c>
      <c r="BI18" s="34">
        <f>+AG18</f>
        <v>154101.25933333332</v>
      </c>
      <c r="BJ18" s="17">
        <f>+BI18-BH18</f>
        <v>-606124.47899999993</v>
      </c>
      <c r="BK18" s="16">
        <f>+BJ18*'Capital Structure '!$E$30</f>
        <v>-247601.84967149995</v>
      </c>
      <c r="BL18" s="17">
        <f>SUM(BK$5:BK18)</f>
        <v>-1549029.5306175</v>
      </c>
    </row>
    <row r="19" spans="1:64" ht="12.75" hidden="1" customHeight="1" outlineLevel="1">
      <c r="A19" s="10" t="s">
        <v>55</v>
      </c>
      <c r="B19" s="10">
        <f>+B18</f>
        <v>2012</v>
      </c>
      <c r="C19" s="10" t="s">
        <v>96</v>
      </c>
      <c r="D19" s="57">
        <v>187777.04</v>
      </c>
      <c r="E19" s="57">
        <v>177000</v>
      </c>
      <c r="F19" s="65">
        <v>-2000</v>
      </c>
      <c r="G19" s="56">
        <f t="shared" si="2"/>
        <v>362777.04000000004</v>
      </c>
      <c r="H19" s="56"/>
      <c r="I19" s="57">
        <v>0</v>
      </c>
      <c r="J19" s="56"/>
      <c r="K19" s="16">
        <f t="shared" si="3"/>
        <v>362777.04000000004</v>
      </c>
      <c r="L19" s="16">
        <f>SUM(K$5:K19)</f>
        <v>9608852.6000000015</v>
      </c>
      <c r="N19" s="16">
        <f t="shared" si="9"/>
        <v>0</v>
      </c>
      <c r="O19" s="16">
        <f t="shared" si="9"/>
        <v>2056.1116666666667</v>
      </c>
      <c r="P19" s="16">
        <f t="shared" si="9"/>
        <v>9051.0074999999997</v>
      </c>
      <c r="Q19" s="16">
        <f t="shared" si="9"/>
        <v>12481.856666666667</v>
      </c>
      <c r="R19" s="16">
        <f t="shared" si="9"/>
        <v>12371.946833333333</v>
      </c>
      <c r="S19" s="16">
        <f t="shared" si="9"/>
        <v>13200.926666666666</v>
      </c>
      <c r="T19" s="16">
        <f t="shared" si="9"/>
        <v>10320.75</v>
      </c>
      <c r="U19" s="16">
        <f t="shared" si="9"/>
        <v>12617.4</v>
      </c>
      <c r="V19" s="16">
        <f t="shared" si="9"/>
        <v>11395.733333333334</v>
      </c>
      <c r="W19" s="16">
        <f t="shared" si="9"/>
        <v>10542.966666666667</v>
      </c>
      <c r="X19" s="16">
        <f t="shared" si="9"/>
        <v>14046.116666666667</v>
      </c>
      <c r="Y19" s="16">
        <f t="shared" si="9"/>
        <v>13835.583333333334</v>
      </c>
      <c r="Z19" s="16">
        <f t="shared" si="9"/>
        <v>13549.744999999999</v>
      </c>
      <c r="AA19" s="16">
        <f t="shared" si="9"/>
        <v>18631.114999999998</v>
      </c>
      <c r="AB19" s="16">
        <f>+$K19/60</f>
        <v>6046.2840000000006</v>
      </c>
      <c r="AC19" s="16"/>
      <c r="AD19" s="16"/>
      <c r="AE19" s="16"/>
      <c r="AF19" s="16"/>
      <c r="AG19" s="16">
        <f t="shared" si="4"/>
        <v>160147.54333333333</v>
      </c>
      <c r="AH19" s="16">
        <f>SUM(AG$5:AG19)</f>
        <v>1110716.1716666669</v>
      </c>
      <c r="AI19" s="16">
        <f t="shared" si="5"/>
        <v>8498136.4283333346</v>
      </c>
      <c r="AJ19" s="16">
        <f t="shared" si="12"/>
        <v>8658283.9716666676</v>
      </c>
      <c r="AL19" s="16"/>
      <c r="AM19" s="16"/>
      <c r="AN19" s="16"/>
      <c r="AO19" s="16">
        <f t="shared" si="10"/>
        <v>62409.283333333333</v>
      </c>
      <c r="AP19" s="16">
        <f t="shared" si="10"/>
        <v>61859.734166666669</v>
      </c>
      <c r="AQ19" s="16">
        <f t="shared" si="10"/>
        <v>66004.633333333331</v>
      </c>
      <c r="AR19" s="16">
        <f t="shared" si="10"/>
        <v>51603.75</v>
      </c>
      <c r="AS19" s="16">
        <f t="shared" si="10"/>
        <v>63087</v>
      </c>
      <c r="AT19" s="16">
        <f t="shared" si="10"/>
        <v>56978.666666666664</v>
      </c>
      <c r="AU19" s="16">
        <f t="shared" si="10"/>
        <v>52714.833333333336</v>
      </c>
      <c r="AV19" s="16">
        <f t="shared" si="10"/>
        <v>70230.583333333328</v>
      </c>
      <c r="AW19" s="16">
        <f>+AW18</f>
        <v>69177.916666666672</v>
      </c>
      <c r="AX19" s="16">
        <f>+AX18</f>
        <v>67748.724999999991</v>
      </c>
      <c r="AY19" s="16">
        <f>+AY18</f>
        <v>93155.574999999997</v>
      </c>
      <c r="AZ19" s="16">
        <f>+$K19/12</f>
        <v>30231.420000000002</v>
      </c>
      <c r="BA19" s="16"/>
      <c r="BB19" s="16"/>
      <c r="BC19" s="16"/>
      <c r="BD19" s="16"/>
      <c r="BE19" s="16"/>
      <c r="BF19" s="16">
        <f t="shared" si="11"/>
        <v>745202.12083333323</v>
      </c>
      <c r="BH19" s="21">
        <f t="shared" si="6"/>
        <v>745202.12083333323</v>
      </c>
      <c r="BI19" s="21">
        <f t="shared" si="7"/>
        <v>160147.54333333333</v>
      </c>
      <c r="BJ19" s="16">
        <f>+BI19-BH19</f>
        <v>-585054.5774999999</v>
      </c>
      <c r="BK19" s="16">
        <f>+BJ19*'Capital Structure '!$E$30</f>
        <v>-238994.79490874993</v>
      </c>
      <c r="BL19" s="16">
        <f>SUM(BK$5:BK19)</f>
        <v>-1788024.3255262498</v>
      </c>
    </row>
    <row r="20" spans="1:64" ht="12.75" hidden="1" customHeight="1" outlineLevel="1">
      <c r="A20" s="10" t="s">
        <v>56</v>
      </c>
      <c r="B20" s="10">
        <f>+B19</f>
        <v>2012</v>
      </c>
      <c r="C20" s="10" t="s">
        <v>96</v>
      </c>
      <c r="D20" s="57">
        <v>-34555.4</v>
      </c>
      <c r="E20" s="55"/>
      <c r="F20" s="65"/>
      <c r="G20" s="56">
        <f t="shared" si="2"/>
        <v>-34555.4</v>
      </c>
      <c r="H20" s="56"/>
      <c r="I20" s="57">
        <v>0</v>
      </c>
      <c r="J20" s="56"/>
      <c r="K20" s="16">
        <f t="shared" si="3"/>
        <v>-34555.4</v>
      </c>
      <c r="L20" s="16">
        <f>SUM(K$5:K20)</f>
        <v>9574297.2000000011</v>
      </c>
      <c r="N20" s="16">
        <f t="shared" si="9"/>
        <v>0</v>
      </c>
      <c r="O20" s="16">
        <f t="shared" si="9"/>
        <v>2056.1116666666667</v>
      </c>
      <c r="P20" s="16">
        <f t="shared" si="9"/>
        <v>9051.0074999999997</v>
      </c>
      <c r="Q20" s="16">
        <f t="shared" si="9"/>
        <v>12481.856666666667</v>
      </c>
      <c r="R20" s="16">
        <f t="shared" si="9"/>
        <v>12371.946833333333</v>
      </c>
      <c r="S20" s="16">
        <f t="shared" si="9"/>
        <v>13200.926666666666</v>
      </c>
      <c r="T20" s="16">
        <f t="shared" si="9"/>
        <v>10320.75</v>
      </c>
      <c r="U20" s="16">
        <f t="shared" si="9"/>
        <v>12617.4</v>
      </c>
      <c r="V20" s="16">
        <f t="shared" si="9"/>
        <v>11395.733333333334</v>
      </c>
      <c r="W20" s="16">
        <f t="shared" si="9"/>
        <v>10542.966666666667</v>
      </c>
      <c r="X20" s="16">
        <f t="shared" si="9"/>
        <v>14046.116666666667</v>
      </c>
      <c r="Y20" s="16">
        <f t="shared" si="9"/>
        <v>13835.583333333334</v>
      </c>
      <c r="Z20" s="16">
        <f t="shared" si="9"/>
        <v>13549.744999999999</v>
      </c>
      <c r="AA20" s="16">
        <f t="shared" si="9"/>
        <v>18631.114999999998</v>
      </c>
      <c r="AB20" s="16">
        <f t="shared" si="9"/>
        <v>6046.2840000000006</v>
      </c>
      <c r="AC20" s="16">
        <f>+$K20/60</f>
        <v>-575.9233333333334</v>
      </c>
      <c r="AD20" s="16"/>
      <c r="AE20" s="16"/>
      <c r="AF20" s="16"/>
      <c r="AG20" s="16">
        <f t="shared" si="4"/>
        <v>159571.62</v>
      </c>
      <c r="AH20" s="16">
        <f>SUM(AG$5:AG20)</f>
        <v>1270287.791666667</v>
      </c>
      <c r="AI20" s="16">
        <f t="shared" si="5"/>
        <v>8304009.4083333341</v>
      </c>
      <c r="AJ20" s="16">
        <f t="shared" si="12"/>
        <v>8463581.0283333343</v>
      </c>
      <c r="AL20" s="16"/>
      <c r="AM20" s="16"/>
      <c r="AN20" s="16"/>
      <c r="AO20" s="16"/>
      <c r="AP20" s="16">
        <f t="shared" si="10"/>
        <v>61859.734166666669</v>
      </c>
      <c r="AQ20" s="16">
        <f t="shared" si="10"/>
        <v>66004.633333333331</v>
      </c>
      <c r="AR20" s="16">
        <f t="shared" si="10"/>
        <v>51603.75</v>
      </c>
      <c r="AS20" s="16">
        <f t="shared" si="10"/>
        <v>63087</v>
      </c>
      <c r="AT20" s="16">
        <f t="shared" si="10"/>
        <v>56978.666666666664</v>
      </c>
      <c r="AU20" s="16">
        <f t="shared" si="10"/>
        <v>52714.833333333336</v>
      </c>
      <c r="AV20" s="16">
        <f t="shared" si="10"/>
        <v>70230.583333333328</v>
      </c>
      <c r="AW20" s="16">
        <f>+AW19</f>
        <v>69177.916666666672</v>
      </c>
      <c r="AX20" s="16">
        <f>+AX19</f>
        <v>67748.724999999991</v>
      </c>
      <c r="AY20" s="16">
        <f>+AY19</f>
        <v>93155.574999999997</v>
      </c>
      <c r="AZ20" s="16">
        <f>+AZ19</f>
        <v>30231.420000000002</v>
      </c>
      <c r="BA20" s="16">
        <f>+$K20/12</f>
        <v>-2879.6166666666668</v>
      </c>
      <c r="BB20" s="16"/>
      <c r="BC20" s="16"/>
      <c r="BD20" s="16"/>
      <c r="BE20" s="16"/>
      <c r="BF20" s="16">
        <f t="shared" si="11"/>
        <v>679913.22083333333</v>
      </c>
      <c r="BH20" s="21">
        <f t="shared" si="6"/>
        <v>679913.22083333333</v>
      </c>
      <c r="BI20" s="21">
        <f t="shared" si="7"/>
        <v>159571.62</v>
      </c>
      <c r="BJ20" s="16">
        <f t="shared" si="8"/>
        <v>-520341.60083333333</v>
      </c>
      <c r="BK20" s="16">
        <f>+BJ20*'Capital Structure '!$E$30</f>
        <v>-212559.54394041665</v>
      </c>
      <c r="BL20" s="16">
        <f>SUM(BK$5:BK20)</f>
        <v>-2000583.8694666666</v>
      </c>
    </row>
    <row r="21" spans="1:64" ht="12.75" hidden="1" customHeight="1" outlineLevel="1">
      <c r="A21" s="10" t="s">
        <v>57</v>
      </c>
      <c r="B21" s="10">
        <f>+B20</f>
        <v>2012</v>
      </c>
      <c r="C21" s="10" t="s">
        <v>96</v>
      </c>
      <c r="D21" s="57">
        <v>1000</v>
      </c>
      <c r="E21" s="55"/>
      <c r="F21" s="65"/>
      <c r="G21" s="56">
        <f t="shared" si="2"/>
        <v>1000</v>
      </c>
      <c r="H21" s="56"/>
      <c r="I21" s="57"/>
      <c r="J21" s="56"/>
      <c r="K21" s="16">
        <f t="shared" si="3"/>
        <v>1000</v>
      </c>
      <c r="L21" s="16">
        <f>SUM(K$5:K21)</f>
        <v>9575297.2000000011</v>
      </c>
      <c r="N21" s="16">
        <f t="shared" si="9"/>
        <v>0</v>
      </c>
      <c r="O21" s="16">
        <f t="shared" si="9"/>
        <v>2056.1116666666667</v>
      </c>
      <c r="P21" s="16">
        <f t="shared" si="9"/>
        <v>9051.0074999999997</v>
      </c>
      <c r="Q21" s="16">
        <f t="shared" si="9"/>
        <v>12481.856666666667</v>
      </c>
      <c r="R21" s="16">
        <f t="shared" si="9"/>
        <v>12371.946833333333</v>
      </c>
      <c r="S21" s="16">
        <f t="shared" si="9"/>
        <v>13200.926666666666</v>
      </c>
      <c r="T21" s="16">
        <f t="shared" si="9"/>
        <v>10320.75</v>
      </c>
      <c r="U21" s="16">
        <f t="shared" si="9"/>
        <v>12617.4</v>
      </c>
      <c r="V21" s="16">
        <f t="shared" si="9"/>
        <v>11395.733333333334</v>
      </c>
      <c r="W21" s="16">
        <f t="shared" si="9"/>
        <v>10542.966666666667</v>
      </c>
      <c r="X21" s="16">
        <f t="shared" si="9"/>
        <v>14046.116666666667</v>
      </c>
      <c r="Y21" s="16">
        <f t="shared" si="9"/>
        <v>13835.583333333334</v>
      </c>
      <c r="Z21" s="16">
        <f t="shared" si="9"/>
        <v>13549.744999999999</v>
      </c>
      <c r="AA21" s="16">
        <f t="shared" si="9"/>
        <v>18631.114999999998</v>
      </c>
      <c r="AB21" s="16">
        <f t="shared" si="9"/>
        <v>6046.2840000000006</v>
      </c>
      <c r="AC21" s="16">
        <f t="shared" si="9"/>
        <v>-575.9233333333334</v>
      </c>
      <c r="AD21" s="16">
        <f>+$K21/60</f>
        <v>16.666666666666668</v>
      </c>
      <c r="AE21" s="16"/>
      <c r="AF21" s="16"/>
      <c r="AG21" s="16">
        <f t="shared" si="4"/>
        <v>159588.28666666665</v>
      </c>
      <c r="AH21" s="16">
        <f>SUM(AG$5:AG21)</f>
        <v>1429876.0783333336</v>
      </c>
      <c r="AI21" s="16">
        <f t="shared" si="5"/>
        <v>8145421.121666668</v>
      </c>
      <c r="AJ21" s="16">
        <f t="shared" si="12"/>
        <v>8305009.4083333341</v>
      </c>
      <c r="AL21" s="16"/>
      <c r="AM21" s="16"/>
      <c r="AN21" s="16"/>
      <c r="AO21" s="16"/>
      <c r="AP21" s="16"/>
      <c r="AQ21" s="16">
        <f t="shared" si="10"/>
        <v>66004.633333333331</v>
      </c>
      <c r="AR21" s="16">
        <f t="shared" si="10"/>
        <v>51603.75</v>
      </c>
      <c r="AS21" s="16">
        <f t="shared" si="10"/>
        <v>63087</v>
      </c>
      <c r="AT21" s="16">
        <f t="shared" si="10"/>
        <v>56978.666666666664</v>
      </c>
      <c r="AU21" s="16">
        <f t="shared" si="10"/>
        <v>52714.833333333336</v>
      </c>
      <c r="AV21" s="16">
        <f t="shared" si="10"/>
        <v>70230.583333333328</v>
      </c>
      <c r="AW21" s="16">
        <f>+AW20</f>
        <v>69177.916666666672</v>
      </c>
      <c r="AX21" s="16">
        <f>+AX20</f>
        <v>67748.724999999991</v>
      </c>
      <c r="AY21" s="16">
        <f>+AY20</f>
        <v>93155.574999999997</v>
      </c>
      <c r="AZ21" s="16">
        <f>+AZ20</f>
        <v>30231.420000000002</v>
      </c>
      <c r="BA21" s="16">
        <f>+BA20</f>
        <v>-2879.6166666666668</v>
      </c>
      <c r="BB21" s="16">
        <f>+$K21/12</f>
        <v>83.333333333333329</v>
      </c>
      <c r="BC21" s="16"/>
      <c r="BD21" s="16"/>
      <c r="BE21" s="16"/>
      <c r="BF21" s="16">
        <f t="shared" si="11"/>
        <v>618136.81999999995</v>
      </c>
      <c r="BH21" s="21">
        <f t="shared" si="6"/>
        <v>618136.81999999995</v>
      </c>
      <c r="BI21" s="21">
        <f>+AG21</f>
        <v>159588.28666666665</v>
      </c>
      <c r="BJ21" s="16">
        <f>+BI21-BH21</f>
        <v>-458548.53333333333</v>
      </c>
      <c r="BK21" s="16">
        <f>+BJ21*'Capital Structure '!$E$30</f>
        <v>-187317.07586666665</v>
      </c>
      <c r="BL21" s="16">
        <f>SUM(BK$5:BK21)</f>
        <v>-2187900.9453333332</v>
      </c>
    </row>
    <row r="22" spans="1:64" ht="12.75" hidden="1" customHeight="1" outlineLevel="1">
      <c r="A22" s="10" t="s">
        <v>58</v>
      </c>
      <c r="B22" s="10">
        <f>+B21</f>
        <v>2012</v>
      </c>
      <c r="C22" s="10" t="s">
        <v>96</v>
      </c>
      <c r="D22" s="57">
        <v>18000</v>
      </c>
      <c r="E22" s="55"/>
      <c r="F22" s="65"/>
      <c r="G22" s="56">
        <f t="shared" si="2"/>
        <v>18000</v>
      </c>
      <c r="H22" s="56"/>
      <c r="I22" s="57"/>
      <c r="J22" s="56"/>
      <c r="K22" s="16">
        <f t="shared" si="3"/>
        <v>18000</v>
      </c>
      <c r="L22" s="16">
        <f>SUM(K$5:K22)</f>
        <v>9593297.2000000011</v>
      </c>
      <c r="N22" s="16">
        <f t="shared" ref="N22:AD36" si="14">+N21</f>
        <v>0</v>
      </c>
      <c r="O22" s="16">
        <f t="shared" si="14"/>
        <v>2056.1116666666667</v>
      </c>
      <c r="P22" s="16">
        <f t="shared" si="14"/>
        <v>9051.0074999999997</v>
      </c>
      <c r="Q22" s="16">
        <f t="shared" si="14"/>
        <v>12481.856666666667</v>
      </c>
      <c r="R22" s="16">
        <f t="shared" si="14"/>
        <v>12371.946833333333</v>
      </c>
      <c r="S22" s="16">
        <f t="shared" si="14"/>
        <v>13200.926666666666</v>
      </c>
      <c r="T22" s="16">
        <f t="shared" si="14"/>
        <v>10320.75</v>
      </c>
      <c r="U22" s="16">
        <f t="shared" si="14"/>
        <v>12617.4</v>
      </c>
      <c r="V22" s="16">
        <f t="shared" si="14"/>
        <v>11395.733333333334</v>
      </c>
      <c r="W22" s="16">
        <f t="shared" si="14"/>
        <v>10542.966666666667</v>
      </c>
      <c r="X22" s="16">
        <f t="shared" si="14"/>
        <v>14046.116666666667</v>
      </c>
      <c r="Y22" s="16">
        <f t="shared" si="14"/>
        <v>13835.583333333334</v>
      </c>
      <c r="Z22" s="16">
        <f t="shared" si="14"/>
        <v>13549.744999999999</v>
      </c>
      <c r="AA22" s="16">
        <f t="shared" si="14"/>
        <v>18631.114999999998</v>
      </c>
      <c r="AB22" s="16">
        <f t="shared" si="14"/>
        <v>6046.2840000000006</v>
      </c>
      <c r="AC22" s="16">
        <f t="shared" si="14"/>
        <v>-575.9233333333334</v>
      </c>
      <c r="AD22" s="16">
        <f t="shared" si="14"/>
        <v>16.666666666666668</v>
      </c>
      <c r="AE22" s="16">
        <f>+$K22/60</f>
        <v>300</v>
      </c>
      <c r="AF22" s="16"/>
      <c r="AG22" s="16">
        <f t="shared" si="4"/>
        <v>159888.28666666665</v>
      </c>
      <c r="AH22" s="16">
        <f>SUM(AG$5:AG22)</f>
        <v>1589764.3650000002</v>
      </c>
      <c r="AI22" s="16">
        <f t="shared" si="5"/>
        <v>8003532.8350000009</v>
      </c>
      <c r="AJ22" s="16">
        <f t="shared" si="12"/>
        <v>8163421.121666668</v>
      </c>
      <c r="AL22" s="16"/>
      <c r="AM22" s="16"/>
      <c r="AN22" s="16"/>
      <c r="AO22" s="16"/>
      <c r="AP22" s="16"/>
      <c r="AQ22" s="16"/>
      <c r="AR22" s="16">
        <f t="shared" ref="AR22:BE35" si="15">+AR21</f>
        <v>51603.75</v>
      </c>
      <c r="AS22" s="16">
        <f t="shared" si="15"/>
        <v>63087</v>
      </c>
      <c r="AT22" s="16">
        <f t="shared" si="15"/>
        <v>56978.666666666664</v>
      </c>
      <c r="AU22" s="16">
        <f t="shared" si="15"/>
        <v>52714.833333333336</v>
      </c>
      <c r="AV22" s="16">
        <f t="shared" si="15"/>
        <v>70230.583333333328</v>
      </c>
      <c r="AW22" s="16">
        <f t="shared" si="15"/>
        <v>69177.916666666672</v>
      </c>
      <c r="AX22" s="16">
        <f t="shared" si="15"/>
        <v>67748.724999999991</v>
      </c>
      <c r="AY22" s="16">
        <f t="shared" si="15"/>
        <v>93155.574999999997</v>
      </c>
      <c r="AZ22" s="16">
        <f t="shared" si="15"/>
        <v>30231.420000000002</v>
      </c>
      <c r="BA22" s="16">
        <f t="shared" si="15"/>
        <v>-2879.6166666666668</v>
      </c>
      <c r="BB22" s="16">
        <f t="shared" si="15"/>
        <v>83.333333333333329</v>
      </c>
      <c r="BC22" s="16">
        <f>+$K22/12</f>
        <v>1500</v>
      </c>
      <c r="BD22" s="16"/>
      <c r="BE22" s="16"/>
      <c r="BF22" s="16">
        <f t="shared" si="11"/>
        <v>553632.18666666665</v>
      </c>
      <c r="BH22" s="21">
        <f t="shared" si="6"/>
        <v>553632.18666666665</v>
      </c>
      <c r="BI22" s="21">
        <f>+AG22</f>
        <v>159888.28666666665</v>
      </c>
      <c r="BJ22" s="16">
        <f t="shared" si="8"/>
        <v>-393743.9</v>
      </c>
      <c r="BK22" s="16">
        <f>+BJ22*'Capital Structure '!$E$30</f>
        <v>-160844.38315000001</v>
      </c>
      <c r="BL22" s="16">
        <f>SUM(BK$5:BK22)</f>
        <v>-2348745.3284833333</v>
      </c>
    </row>
    <row r="23" spans="1:64" ht="12.75" hidden="1" customHeight="1" outlineLevel="1">
      <c r="A23" s="10" t="s">
        <v>59</v>
      </c>
      <c r="B23" s="10">
        <f t="shared" si="13"/>
        <v>2012</v>
      </c>
      <c r="C23" s="10" t="s">
        <v>96</v>
      </c>
      <c r="D23" s="57">
        <v>6000</v>
      </c>
      <c r="E23" s="55"/>
      <c r="F23" s="65"/>
      <c r="G23" s="56">
        <f t="shared" si="2"/>
        <v>6000</v>
      </c>
      <c r="H23" s="56"/>
      <c r="I23" s="57"/>
      <c r="J23" s="56"/>
      <c r="K23" s="16">
        <f t="shared" si="3"/>
        <v>6000</v>
      </c>
      <c r="L23" s="16">
        <f>SUM(K$5:K23)</f>
        <v>9599297.2000000011</v>
      </c>
      <c r="N23" s="16">
        <f t="shared" si="14"/>
        <v>0</v>
      </c>
      <c r="O23" s="16">
        <f t="shared" si="14"/>
        <v>2056.1116666666667</v>
      </c>
      <c r="P23" s="16">
        <f t="shared" si="14"/>
        <v>9051.0074999999997</v>
      </c>
      <c r="Q23" s="16">
        <f t="shared" si="14"/>
        <v>12481.856666666667</v>
      </c>
      <c r="R23" s="16">
        <f t="shared" si="14"/>
        <v>12371.946833333333</v>
      </c>
      <c r="S23" s="16">
        <f t="shared" si="14"/>
        <v>13200.926666666666</v>
      </c>
      <c r="T23" s="16">
        <f t="shared" si="14"/>
        <v>10320.75</v>
      </c>
      <c r="U23" s="16">
        <f t="shared" si="14"/>
        <v>12617.4</v>
      </c>
      <c r="V23" s="16">
        <f t="shared" si="14"/>
        <v>11395.733333333334</v>
      </c>
      <c r="W23" s="16">
        <f t="shared" si="14"/>
        <v>10542.966666666667</v>
      </c>
      <c r="X23" s="16">
        <f t="shared" si="14"/>
        <v>14046.116666666667</v>
      </c>
      <c r="Y23" s="16">
        <f t="shared" si="14"/>
        <v>13835.583333333334</v>
      </c>
      <c r="Z23" s="16">
        <f t="shared" si="14"/>
        <v>13549.744999999999</v>
      </c>
      <c r="AA23" s="16">
        <f t="shared" si="14"/>
        <v>18631.114999999998</v>
      </c>
      <c r="AB23" s="16">
        <f t="shared" si="14"/>
        <v>6046.2840000000006</v>
      </c>
      <c r="AC23" s="16">
        <f t="shared" si="14"/>
        <v>-575.9233333333334</v>
      </c>
      <c r="AD23" s="16">
        <f t="shared" si="14"/>
        <v>16.666666666666668</v>
      </c>
      <c r="AE23" s="16">
        <f t="shared" ref="AE23:AF38" si="16">+AE22</f>
        <v>300</v>
      </c>
      <c r="AF23" s="16">
        <f>+$K23/60</f>
        <v>100</v>
      </c>
      <c r="AG23" s="16">
        <f t="shared" si="4"/>
        <v>159988.28666666665</v>
      </c>
      <c r="AH23" s="16">
        <f>SUM(AG$5:AG23)</f>
        <v>1749752.6516666668</v>
      </c>
      <c r="AI23" s="16">
        <f t="shared" si="5"/>
        <v>7849544.5483333338</v>
      </c>
      <c r="AJ23" s="16">
        <f t="shared" si="12"/>
        <v>8009532.8350000009</v>
      </c>
      <c r="AL23" s="16"/>
      <c r="AM23" s="16"/>
      <c r="AN23" s="16"/>
      <c r="AO23" s="16"/>
      <c r="AP23" s="16"/>
      <c r="AQ23" s="16"/>
      <c r="AR23" s="16"/>
      <c r="AS23" s="16">
        <f t="shared" si="15"/>
        <v>63087</v>
      </c>
      <c r="AT23" s="16">
        <f t="shared" si="15"/>
        <v>56978.666666666664</v>
      </c>
      <c r="AU23" s="16">
        <f t="shared" si="15"/>
        <v>52714.833333333336</v>
      </c>
      <c r="AV23" s="16">
        <f t="shared" si="15"/>
        <v>70230.583333333328</v>
      </c>
      <c r="AW23" s="16">
        <f t="shared" si="15"/>
        <v>69177.916666666672</v>
      </c>
      <c r="AX23" s="16">
        <f t="shared" si="15"/>
        <v>67748.724999999991</v>
      </c>
      <c r="AY23" s="16">
        <f t="shared" si="15"/>
        <v>93155.574999999997</v>
      </c>
      <c r="AZ23" s="16">
        <f t="shared" si="15"/>
        <v>30231.420000000002</v>
      </c>
      <c r="BA23" s="16">
        <f t="shared" si="15"/>
        <v>-2879.6166666666668</v>
      </c>
      <c r="BB23" s="16">
        <f t="shared" si="15"/>
        <v>83.333333333333329</v>
      </c>
      <c r="BC23" s="16">
        <f t="shared" si="15"/>
        <v>1500</v>
      </c>
      <c r="BD23" s="16">
        <f>+$K23/12</f>
        <v>500</v>
      </c>
      <c r="BE23" s="16"/>
      <c r="BF23" s="16">
        <f t="shared" si="11"/>
        <v>502528.43666666665</v>
      </c>
      <c r="BH23" s="21">
        <f t="shared" si="6"/>
        <v>502528.43666666665</v>
      </c>
      <c r="BI23" s="21">
        <f t="shared" si="7"/>
        <v>159988.28666666665</v>
      </c>
      <c r="BJ23" s="16">
        <f>+BI23-BH23</f>
        <v>-342540.15</v>
      </c>
      <c r="BK23" s="16">
        <f>+BJ23*'Capital Structure '!$E$30</f>
        <v>-139927.65127500001</v>
      </c>
      <c r="BL23" s="16">
        <f>SUM(BK$5:BK23)</f>
        <v>-2488672.9797583334</v>
      </c>
    </row>
    <row r="24" spans="1:64" ht="12.75" hidden="1" customHeight="1" outlineLevel="1">
      <c r="A24" s="10" t="s">
        <v>46</v>
      </c>
      <c r="B24" s="10">
        <f t="shared" si="13"/>
        <v>2012</v>
      </c>
      <c r="C24" s="10" t="s">
        <v>96</v>
      </c>
      <c r="D24" s="57"/>
      <c r="E24" s="55"/>
      <c r="F24" s="65"/>
      <c r="G24" s="56">
        <f t="shared" si="2"/>
        <v>0</v>
      </c>
      <c r="H24" s="56"/>
      <c r="I24" s="57"/>
      <c r="J24" s="56"/>
      <c r="K24" s="16">
        <f t="shared" si="3"/>
        <v>0</v>
      </c>
      <c r="L24" s="16">
        <f>SUM(K$5:K24)</f>
        <v>9599297.2000000011</v>
      </c>
      <c r="N24" s="16">
        <f t="shared" si="14"/>
        <v>0</v>
      </c>
      <c r="O24" s="16">
        <f t="shared" si="14"/>
        <v>2056.1116666666667</v>
      </c>
      <c r="P24" s="16">
        <f t="shared" si="14"/>
        <v>9051.0074999999997</v>
      </c>
      <c r="Q24" s="16">
        <f t="shared" si="14"/>
        <v>12481.856666666667</v>
      </c>
      <c r="R24" s="16">
        <f t="shared" si="14"/>
        <v>12371.946833333333</v>
      </c>
      <c r="S24" s="16">
        <f t="shared" si="14"/>
        <v>13200.926666666666</v>
      </c>
      <c r="T24" s="16">
        <f t="shared" si="14"/>
        <v>10320.75</v>
      </c>
      <c r="U24" s="16">
        <f t="shared" si="14"/>
        <v>12617.4</v>
      </c>
      <c r="V24" s="16">
        <f t="shared" si="14"/>
        <v>11395.733333333334</v>
      </c>
      <c r="W24" s="16">
        <f t="shared" si="14"/>
        <v>10542.966666666667</v>
      </c>
      <c r="X24" s="16">
        <f t="shared" si="14"/>
        <v>14046.116666666667</v>
      </c>
      <c r="Y24" s="16">
        <f t="shared" si="14"/>
        <v>13835.583333333334</v>
      </c>
      <c r="Z24" s="16">
        <f t="shared" si="14"/>
        <v>13549.744999999999</v>
      </c>
      <c r="AA24" s="16">
        <f t="shared" si="14"/>
        <v>18631.114999999998</v>
      </c>
      <c r="AB24" s="16">
        <f t="shared" si="14"/>
        <v>6046.2840000000006</v>
      </c>
      <c r="AC24" s="16">
        <f t="shared" si="14"/>
        <v>-575.9233333333334</v>
      </c>
      <c r="AD24" s="16">
        <f t="shared" si="14"/>
        <v>16.666666666666668</v>
      </c>
      <c r="AE24" s="16">
        <f t="shared" si="16"/>
        <v>300</v>
      </c>
      <c r="AF24" s="16">
        <f t="shared" si="16"/>
        <v>100</v>
      </c>
      <c r="AG24" s="16">
        <f t="shared" si="4"/>
        <v>159988.28666666665</v>
      </c>
      <c r="AH24" s="16">
        <f>SUM(AG$5:AG24)</f>
        <v>1909740.9383333335</v>
      </c>
      <c r="AI24" s="16">
        <f t="shared" si="5"/>
        <v>7689556.2616666676</v>
      </c>
      <c r="AJ24" s="16">
        <f t="shared" si="12"/>
        <v>7849544.5483333338</v>
      </c>
      <c r="AL24" s="16"/>
      <c r="AM24" s="16"/>
      <c r="AN24" s="16"/>
      <c r="AO24" s="16"/>
      <c r="AP24" s="16"/>
      <c r="AQ24" s="16"/>
      <c r="AR24" s="16"/>
      <c r="AS24" s="16"/>
      <c r="AT24" s="16">
        <f t="shared" si="15"/>
        <v>56978.666666666664</v>
      </c>
      <c r="AU24" s="16">
        <f t="shared" si="15"/>
        <v>52714.833333333336</v>
      </c>
      <c r="AV24" s="16">
        <f t="shared" si="15"/>
        <v>70230.583333333328</v>
      </c>
      <c r="AW24" s="16">
        <f t="shared" si="15"/>
        <v>69177.916666666672</v>
      </c>
      <c r="AX24" s="16">
        <f t="shared" si="15"/>
        <v>67748.724999999991</v>
      </c>
      <c r="AY24" s="16">
        <f t="shared" si="15"/>
        <v>93155.574999999997</v>
      </c>
      <c r="AZ24" s="16">
        <f t="shared" si="15"/>
        <v>30231.420000000002</v>
      </c>
      <c r="BA24" s="16">
        <f t="shared" si="15"/>
        <v>-2879.6166666666668</v>
      </c>
      <c r="BB24" s="16">
        <f t="shared" si="15"/>
        <v>83.333333333333329</v>
      </c>
      <c r="BC24" s="16">
        <f t="shared" si="15"/>
        <v>1500</v>
      </c>
      <c r="BD24" s="16">
        <f t="shared" si="15"/>
        <v>500</v>
      </c>
      <c r="BE24" s="16">
        <f>+$K24/12</f>
        <v>0</v>
      </c>
      <c r="BF24" s="16">
        <f t="shared" si="11"/>
        <v>439441.43666666665</v>
      </c>
      <c r="BH24" s="21">
        <f t="shared" si="6"/>
        <v>439441.43666666665</v>
      </c>
      <c r="BI24" s="21">
        <f t="shared" si="7"/>
        <v>159988.28666666665</v>
      </c>
      <c r="BJ24" s="16">
        <f>+BI24-BH24</f>
        <v>-279453.15000000002</v>
      </c>
      <c r="BK24" s="16">
        <f>+BJ24*'Capital Structure '!$E$30</f>
        <v>-114156.611775</v>
      </c>
      <c r="BL24" s="16">
        <f>SUM(BK$5:BK24)</f>
        <v>-2602829.5915333335</v>
      </c>
    </row>
    <row r="25" spans="1:64" ht="12.75" hidden="1" customHeight="1" outlineLevel="1">
      <c r="A25" s="10" t="s">
        <v>48</v>
      </c>
      <c r="B25" s="10">
        <f t="shared" si="13"/>
        <v>2012</v>
      </c>
      <c r="C25" s="10" t="s">
        <v>96</v>
      </c>
      <c r="D25" s="57"/>
      <c r="E25" s="55"/>
      <c r="F25" s="65"/>
      <c r="G25" s="56">
        <f t="shared" si="2"/>
        <v>0</v>
      </c>
      <c r="H25" s="56"/>
      <c r="I25" s="57"/>
      <c r="J25" s="56"/>
      <c r="K25" s="16">
        <f t="shared" si="3"/>
        <v>0</v>
      </c>
      <c r="L25" s="16">
        <f>SUM(K$5:K25)</f>
        <v>9599297.2000000011</v>
      </c>
      <c r="N25" s="16">
        <f t="shared" si="14"/>
        <v>0</v>
      </c>
      <c r="O25" s="16">
        <f t="shared" si="14"/>
        <v>2056.1116666666667</v>
      </c>
      <c r="P25" s="16">
        <f t="shared" si="14"/>
        <v>9051.0074999999997</v>
      </c>
      <c r="Q25" s="16">
        <f t="shared" si="14"/>
        <v>12481.856666666667</v>
      </c>
      <c r="R25" s="16">
        <f t="shared" si="14"/>
        <v>12371.946833333333</v>
      </c>
      <c r="S25" s="16">
        <f t="shared" si="14"/>
        <v>13200.926666666666</v>
      </c>
      <c r="T25" s="16">
        <f t="shared" si="14"/>
        <v>10320.75</v>
      </c>
      <c r="U25" s="16">
        <f t="shared" si="14"/>
        <v>12617.4</v>
      </c>
      <c r="V25" s="16">
        <f t="shared" si="14"/>
        <v>11395.733333333334</v>
      </c>
      <c r="W25" s="16">
        <f t="shared" si="14"/>
        <v>10542.966666666667</v>
      </c>
      <c r="X25" s="16">
        <f t="shared" si="14"/>
        <v>14046.116666666667</v>
      </c>
      <c r="Y25" s="16">
        <f t="shared" si="14"/>
        <v>13835.583333333334</v>
      </c>
      <c r="Z25" s="16">
        <f t="shared" si="14"/>
        <v>13549.744999999999</v>
      </c>
      <c r="AA25" s="16">
        <f t="shared" si="14"/>
        <v>18631.114999999998</v>
      </c>
      <c r="AB25" s="16">
        <f t="shared" si="14"/>
        <v>6046.2840000000006</v>
      </c>
      <c r="AC25" s="16">
        <f t="shared" si="14"/>
        <v>-575.9233333333334</v>
      </c>
      <c r="AD25" s="16">
        <f t="shared" si="14"/>
        <v>16.666666666666668</v>
      </c>
      <c r="AE25" s="16">
        <f t="shared" si="16"/>
        <v>300</v>
      </c>
      <c r="AF25" s="16">
        <f t="shared" si="16"/>
        <v>100</v>
      </c>
      <c r="AG25" s="16">
        <f t="shared" si="4"/>
        <v>159988.28666666665</v>
      </c>
      <c r="AH25" s="16">
        <f>SUM(AG$5:AG25)</f>
        <v>2069729.2250000001</v>
      </c>
      <c r="AI25" s="16">
        <f t="shared" si="5"/>
        <v>7529567.9750000015</v>
      </c>
      <c r="AJ25" s="16">
        <f t="shared" si="12"/>
        <v>7689556.2616666676</v>
      </c>
      <c r="AL25" s="16"/>
      <c r="AM25" s="16"/>
      <c r="AN25" s="16"/>
      <c r="AO25" s="16"/>
      <c r="AP25" s="16"/>
      <c r="AQ25" s="16"/>
      <c r="AR25" s="16"/>
      <c r="AS25" s="16"/>
      <c r="AT25" s="16"/>
      <c r="AU25" s="16">
        <f t="shared" si="15"/>
        <v>52714.833333333336</v>
      </c>
      <c r="AV25" s="16">
        <f t="shared" si="15"/>
        <v>70230.583333333328</v>
      </c>
      <c r="AW25" s="16">
        <f t="shared" si="15"/>
        <v>69177.916666666672</v>
      </c>
      <c r="AX25" s="16">
        <f t="shared" si="15"/>
        <v>67748.724999999991</v>
      </c>
      <c r="AY25" s="16">
        <f t="shared" si="15"/>
        <v>93155.574999999997</v>
      </c>
      <c r="AZ25" s="16">
        <f t="shared" si="15"/>
        <v>30231.420000000002</v>
      </c>
      <c r="BA25" s="16">
        <f t="shared" si="15"/>
        <v>-2879.6166666666668</v>
      </c>
      <c r="BB25" s="16">
        <f t="shared" si="15"/>
        <v>83.333333333333329</v>
      </c>
      <c r="BC25" s="16">
        <f t="shared" si="15"/>
        <v>1500</v>
      </c>
      <c r="BD25" s="16">
        <f t="shared" si="15"/>
        <v>500</v>
      </c>
      <c r="BE25" s="16">
        <f t="shared" si="15"/>
        <v>0</v>
      </c>
      <c r="BF25" s="16">
        <f t="shared" si="11"/>
        <v>382462.76999999996</v>
      </c>
      <c r="BH25" s="21">
        <f t="shared" si="6"/>
        <v>382462.76999999996</v>
      </c>
      <c r="BI25" s="21">
        <f t="shared" si="7"/>
        <v>159988.28666666665</v>
      </c>
      <c r="BJ25" s="16">
        <f t="shared" si="8"/>
        <v>-222474.48333333331</v>
      </c>
      <c r="BK25" s="16">
        <f>+BJ25*'Capital Structure '!$E$30</f>
        <v>-90880.82644166665</v>
      </c>
      <c r="BL25" s="16">
        <f>SUM(BK$5:BK25)</f>
        <v>-2693710.4179750001</v>
      </c>
    </row>
    <row r="26" spans="1:64" ht="12.75" hidden="1" customHeight="1" outlineLevel="1">
      <c r="A26" s="10" t="s">
        <v>50</v>
      </c>
      <c r="B26" s="10">
        <f t="shared" si="13"/>
        <v>2012</v>
      </c>
      <c r="C26" s="10" t="s">
        <v>96</v>
      </c>
      <c r="D26" s="57"/>
      <c r="E26" s="55"/>
      <c r="F26" s="65"/>
      <c r="G26" s="56">
        <f t="shared" si="2"/>
        <v>0</v>
      </c>
      <c r="H26" s="56"/>
      <c r="I26" s="57"/>
      <c r="J26" s="56"/>
      <c r="K26" s="16">
        <f t="shared" si="3"/>
        <v>0</v>
      </c>
      <c r="L26" s="16">
        <f>SUM(K$5:K26)</f>
        <v>9599297.2000000011</v>
      </c>
      <c r="N26" s="16">
        <f t="shared" si="14"/>
        <v>0</v>
      </c>
      <c r="O26" s="16">
        <f t="shared" si="14"/>
        <v>2056.1116666666667</v>
      </c>
      <c r="P26" s="16">
        <f t="shared" si="14"/>
        <v>9051.0074999999997</v>
      </c>
      <c r="Q26" s="16">
        <f t="shared" si="14"/>
        <v>12481.856666666667</v>
      </c>
      <c r="R26" s="16">
        <f t="shared" si="14"/>
        <v>12371.946833333333</v>
      </c>
      <c r="S26" s="16">
        <f t="shared" si="14"/>
        <v>13200.926666666666</v>
      </c>
      <c r="T26" s="16">
        <f t="shared" si="14"/>
        <v>10320.75</v>
      </c>
      <c r="U26" s="16">
        <f t="shared" si="14"/>
        <v>12617.4</v>
      </c>
      <c r="V26" s="16">
        <f t="shared" si="14"/>
        <v>11395.733333333334</v>
      </c>
      <c r="W26" s="16">
        <f t="shared" si="14"/>
        <v>10542.966666666667</v>
      </c>
      <c r="X26" s="16">
        <f t="shared" si="14"/>
        <v>14046.116666666667</v>
      </c>
      <c r="Y26" s="16">
        <f t="shared" si="14"/>
        <v>13835.583333333334</v>
      </c>
      <c r="Z26" s="16">
        <f t="shared" si="14"/>
        <v>13549.744999999999</v>
      </c>
      <c r="AA26" s="16">
        <f t="shared" si="14"/>
        <v>18631.114999999998</v>
      </c>
      <c r="AB26" s="16">
        <f t="shared" si="14"/>
        <v>6046.2840000000006</v>
      </c>
      <c r="AC26" s="16">
        <f t="shared" si="14"/>
        <v>-575.9233333333334</v>
      </c>
      <c r="AD26" s="16">
        <f t="shared" si="14"/>
        <v>16.666666666666668</v>
      </c>
      <c r="AE26" s="16">
        <f t="shared" si="16"/>
        <v>300</v>
      </c>
      <c r="AF26" s="16">
        <f t="shared" si="16"/>
        <v>100</v>
      </c>
      <c r="AG26" s="16">
        <f t="shared" si="4"/>
        <v>159988.28666666665</v>
      </c>
      <c r="AH26" s="16">
        <f>SUM(AG$5:AG26)</f>
        <v>2229717.5116666667</v>
      </c>
      <c r="AI26" s="16">
        <f t="shared" si="5"/>
        <v>7369579.6883333344</v>
      </c>
      <c r="AJ26" s="16">
        <f t="shared" si="12"/>
        <v>7529567.9750000015</v>
      </c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>
        <f t="shared" si="15"/>
        <v>70230.583333333328</v>
      </c>
      <c r="AW26" s="16">
        <f t="shared" si="15"/>
        <v>69177.916666666672</v>
      </c>
      <c r="AX26" s="16">
        <f t="shared" si="15"/>
        <v>67748.724999999991</v>
      </c>
      <c r="AY26" s="16">
        <f t="shared" si="15"/>
        <v>93155.574999999997</v>
      </c>
      <c r="AZ26" s="16">
        <f t="shared" si="15"/>
        <v>30231.420000000002</v>
      </c>
      <c r="BA26" s="16">
        <f t="shared" si="15"/>
        <v>-2879.6166666666668</v>
      </c>
      <c r="BB26" s="16">
        <f t="shared" si="15"/>
        <v>83.333333333333329</v>
      </c>
      <c r="BC26" s="16">
        <f t="shared" si="15"/>
        <v>1500</v>
      </c>
      <c r="BD26" s="16">
        <f t="shared" si="15"/>
        <v>500</v>
      </c>
      <c r="BE26" s="16">
        <f t="shared" si="15"/>
        <v>0</v>
      </c>
      <c r="BF26" s="16">
        <f t="shared" si="11"/>
        <v>329747.93666666665</v>
      </c>
      <c r="BH26" s="21">
        <f t="shared" si="6"/>
        <v>329747.93666666665</v>
      </c>
      <c r="BI26" s="21">
        <f t="shared" si="7"/>
        <v>159988.28666666665</v>
      </c>
      <c r="BJ26" s="16">
        <f t="shared" si="8"/>
        <v>-169759.65</v>
      </c>
      <c r="BK26" s="16">
        <f>+BJ26*'Capital Structure '!$E$30</f>
        <v>-69346.817024999997</v>
      </c>
      <c r="BL26" s="16">
        <f>SUM(BK$5:BK26)</f>
        <v>-2763057.2350000003</v>
      </c>
    </row>
    <row r="27" spans="1:64" ht="12.75" hidden="1" customHeight="1" outlineLevel="1">
      <c r="A27" s="10" t="s">
        <v>51</v>
      </c>
      <c r="B27" s="10">
        <f t="shared" si="13"/>
        <v>2012</v>
      </c>
      <c r="C27" s="10" t="s">
        <v>96</v>
      </c>
      <c r="D27" s="57"/>
      <c r="E27" s="65"/>
      <c r="F27" s="65"/>
      <c r="G27" s="56">
        <f t="shared" si="2"/>
        <v>0</v>
      </c>
      <c r="H27" s="56"/>
      <c r="I27" s="57"/>
      <c r="J27" s="56"/>
      <c r="K27" s="16">
        <f t="shared" si="3"/>
        <v>0</v>
      </c>
      <c r="L27" s="16">
        <f>SUM(K$5:K27)</f>
        <v>9599297.2000000011</v>
      </c>
      <c r="N27" s="16">
        <f t="shared" si="14"/>
        <v>0</v>
      </c>
      <c r="O27" s="16">
        <f t="shared" si="14"/>
        <v>2056.1116666666667</v>
      </c>
      <c r="P27" s="16">
        <f t="shared" si="14"/>
        <v>9051.0074999999997</v>
      </c>
      <c r="Q27" s="16">
        <f t="shared" si="14"/>
        <v>12481.856666666667</v>
      </c>
      <c r="R27" s="16">
        <f t="shared" si="14"/>
        <v>12371.946833333333</v>
      </c>
      <c r="S27" s="16">
        <f t="shared" si="14"/>
        <v>13200.926666666666</v>
      </c>
      <c r="T27" s="16">
        <f t="shared" si="14"/>
        <v>10320.75</v>
      </c>
      <c r="U27" s="16">
        <f t="shared" si="14"/>
        <v>12617.4</v>
      </c>
      <c r="V27" s="16">
        <f t="shared" si="14"/>
        <v>11395.733333333334</v>
      </c>
      <c r="W27" s="16">
        <f t="shared" si="14"/>
        <v>10542.966666666667</v>
      </c>
      <c r="X27" s="16">
        <f t="shared" si="14"/>
        <v>14046.116666666667</v>
      </c>
      <c r="Y27" s="16">
        <f t="shared" si="14"/>
        <v>13835.583333333334</v>
      </c>
      <c r="Z27" s="16">
        <f t="shared" si="14"/>
        <v>13549.744999999999</v>
      </c>
      <c r="AA27" s="16">
        <f t="shared" si="14"/>
        <v>18631.114999999998</v>
      </c>
      <c r="AB27" s="16">
        <f t="shared" si="14"/>
        <v>6046.2840000000006</v>
      </c>
      <c r="AC27" s="16">
        <f t="shared" si="14"/>
        <v>-575.9233333333334</v>
      </c>
      <c r="AD27" s="16">
        <f t="shared" si="14"/>
        <v>16.666666666666668</v>
      </c>
      <c r="AE27" s="16">
        <f t="shared" si="16"/>
        <v>300</v>
      </c>
      <c r="AF27" s="16">
        <f t="shared" si="16"/>
        <v>100</v>
      </c>
      <c r="AG27" s="16">
        <f t="shared" si="4"/>
        <v>159988.28666666665</v>
      </c>
      <c r="AH27" s="16">
        <f>SUM(AG$5:AG27)</f>
        <v>2389705.7983333333</v>
      </c>
      <c r="AI27" s="16">
        <f t="shared" si="5"/>
        <v>7209591.4016666673</v>
      </c>
      <c r="AJ27" s="16">
        <f t="shared" si="12"/>
        <v>7369579.6883333344</v>
      </c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>
        <f t="shared" si="15"/>
        <v>69177.916666666672</v>
      </c>
      <c r="AX27" s="16">
        <f t="shared" si="15"/>
        <v>67748.724999999991</v>
      </c>
      <c r="AY27" s="16">
        <f t="shared" si="15"/>
        <v>93155.574999999997</v>
      </c>
      <c r="AZ27" s="16">
        <f t="shared" si="15"/>
        <v>30231.420000000002</v>
      </c>
      <c r="BA27" s="16">
        <f t="shared" si="15"/>
        <v>-2879.6166666666668</v>
      </c>
      <c r="BB27" s="16">
        <f t="shared" si="15"/>
        <v>83.333333333333329</v>
      </c>
      <c r="BC27" s="16">
        <f t="shared" si="15"/>
        <v>1500</v>
      </c>
      <c r="BD27" s="16">
        <f t="shared" si="15"/>
        <v>500</v>
      </c>
      <c r="BE27" s="16">
        <f t="shared" si="15"/>
        <v>0</v>
      </c>
      <c r="BF27" s="16">
        <f t="shared" si="11"/>
        <v>259517.35333333336</v>
      </c>
      <c r="BH27" s="21">
        <f t="shared" si="6"/>
        <v>259517.35333333336</v>
      </c>
      <c r="BI27" s="21">
        <f t="shared" si="7"/>
        <v>159988.28666666665</v>
      </c>
      <c r="BJ27" s="16">
        <f t="shared" si="8"/>
        <v>-99529.066666666709</v>
      </c>
      <c r="BK27" s="16">
        <f>+BJ27*'Capital Structure '!$E$30</f>
        <v>-40657.623733333348</v>
      </c>
      <c r="BL27" s="16">
        <f>SUM(BK$5:BK27)</f>
        <v>-2803714.8587333336</v>
      </c>
    </row>
    <row r="28" spans="1:64" s="85" customFormat="1" ht="12.75" hidden="1" customHeight="1" outlineLevel="1">
      <c r="A28" s="27" t="s">
        <v>52</v>
      </c>
      <c r="B28" s="27">
        <f t="shared" si="13"/>
        <v>2012</v>
      </c>
      <c r="C28" s="24" t="s">
        <v>96</v>
      </c>
      <c r="D28" s="68"/>
      <c r="E28" s="84"/>
      <c r="F28" s="84"/>
      <c r="G28" s="60">
        <f t="shared" si="2"/>
        <v>0</v>
      </c>
      <c r="H28" s="60"/>
      <c r="I28" s="68"/>
      <c r="J28" s="60"/>
      <c r="K28" s="80">
        <f t="shared" si="3"/>
        <v>0</v>
      </c>
      <c r="L28" s="80">
        <f>SUM(K$5:K28)</f>
        <v>9599297.2000000011</v>
      </c>
      <c r="N28" s="80">
        <f t="shared" si="14"/>
        <v>0</v>
      </c>
      <c r="O28" s="80">
        <f t="shared" si="14"/>
        <v>2056.1116666666667</v>
      </c>
      <c r="P28" s="80">
        <f t="shared" si="14"/>
        <v>9051.0074999999997</v>
      </c>
      <c r="Q28" s="80">
        <f t="shared" si="14"/>
        <v>12481.856666666667</v>
      </c>
      <c r="R28" s="80">
        <f t="shared" si="14"/>
        <v>12371.946833333333</v>
      </c>
      <c r="S28" s="80">
        <f t="shared" si="14"/>
        <v>13200.926666666666</v>
      </c>
      <c r="T28" s="80">
        <f t="shared" si="14"/>
        <v>10320.75</v>
      </c>
      <c r="U28" s="80">
        <f t="shared" si="14"/>
        <v>12617.4</v>
      </c>
      <c r="V28" s="80">
        <f t="shared" si="14"/>
        <v>11395.733333333334</v>
      </c>
      <c r="W28" s="80">
        <f t="shared" si="14"/>
        <v>10542.966666666667</v>
      </c>
      <c r="X28" s="80">
        <f t="shared" si="14"/>
        <v>14046.116666666667</v>
      </c>
      <c r="Y28" s="80">
        <f t="shared" si="14"/>
        <v>13835.583333333334</v>
      </c>
      <c r="Z28" s="80">
        <f t="shared" si="14"/>
        <v>13549.744999999999</v>
      </c>
      <c r="AA28" s="80">
        <f t="shared" si="14"/>
        <v>18631.114999999998</v>
      </c>
      <c r="AB28" s="80">
        <f t="shared" si="14"/>
        <v>6046.2840000000006</v>
      </c>
      <c r="AC28" s="80">
        <f t="shared" si="14"/>
        <v>-575.9233333333334</v>
      </c>
      <c r="AD28" s="80">
        <f t="shared" si="14"/>
        <v>16.666666666666668</v>
      </c>
      <c r="AE28" s="80">
        <f t="shared" si="16"/>
        <v>300</v>
      </c>
      <c r="AF28" s="80">
        <f t="shared" si="16"/>
        <v>100</v>
      </c>
      <c r="AG28" s="16">
        <f t="shared" si="4"/>
        <v>159988.28666666665</v>
      </c>
      <c r="AH28" s="80">
        <f>SUM(AG$5:AG28)</f>
        <v>2549694.085</v>
      </c>
      <c r="AI28" s="80">
        <f t="shared" si="5"/>
        <v>7049603.1150000012</v>
      </c>
      <c r="AJ28" s="80">
        <f t="shared" si="12"/>
        <v>7209591.4016666673</v>
      </c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>
        <f t="shared" si="15"/>
        <v>67748.724999999991</v>
      </c>
      <c r="AY28" s="80">
        <f t="shared" si="15"/>
        <v>93155.574999999997</v>
      </c>
      <c r="AZ28" s="80">
        <f t="shared" si="15"/>
        <v>30231.420000000002</v>
      </c>
      <c r="BA28" s="80">
        <f t="shared" si="15"/>
        <v>-2879.6166666666668</v>
      </c>
      <c r="BB28" s="80">
        <f t="shared" si="15"/>
        <v>83.333333333333329</v>
      </c>
      <c r="BC28" s="80">
        <f t="shared" si="15"/>
        <v>1500</v>
      </c>
      <c r="BD28" s="80">
        <f t="shared" si="15"/>
        <v>500</v>
      </c>
      <c r="BE28" s="80">
        <f t="shared" si="15"/>
        <v>0</v>
      </c>
      <c r="BF28" s="80">
        <f t="shared" si="11"/>
        <v>190339.43666666668</v>
      </c>
      <c r="BH28" s="86">
        <f t="shared" si="6"/>
        <v>190339.43666666668</v>
      </c>
      <c r="BI28" s="86">
        <f>+AG28</f>
        <v>159988.28666666665</v>
      </c>
      <c r="BJ28" s="80">
        <f t="shared" si="8"/>
        <v>-30351.150000000023</v>
      </c>
      <c r="BK28" s="25">
        <f>+BJ28*'Capital Structure '!$E$30</f>
        <v>-12398.444775000009</v>
      </c>
      <c r="BL28" s="80">
        <f>SUM(BK$5:BK28)</f>
        <v>-2816113.3035083339</v>
      </c>
    </row>
    <row r="29" spans="1:64" ht="12.75" hidden="1" customHeight="1" outlineLevel="1">
      <c r="A29" s="10" t="s">
        <v>53</v>
      </c>
      <c r="B29" s="10">
        <f>+B28+1</f>
        <v>2013</v>
      </c>
      <c r="C29" s="10" t="s">
        <v>96</v>
      </c>
      <c r="D29" s="57"/>
      <c r="E29" s="55"/>
      <c r="F29" s="65"/>
      <c r="G29" s="56">
        <f t="shared" si="2"/>
        <v>0</v>
      </c>
      <c r="H29" s="56"/>
      <c r="I29" s="57"/>
      <c r="J29" s="56"/>
      <c r="K29" s="16">
        <f t="shared" si="3"/>
        <v>0</v>
      </c>
      <c r="L29" s="16">
        <f>SUM(K$5:K29)</f>
        <v>9599297.2000000011</v>
      </c>
      <c r="N29" s="16">
        <f t="shared" si="14"/>
        <v>0</v>
      </c>
      <c r="O29" s="16">
        <f t="shared" si="14"/>
        <v>2056.1116666666667</v>
      </c>
      <c r="P29" s="16">
        <f t="shared" si="14"/>
        <v>9051.0074999999997</v>
      </c>
      <c r="Q29" s="16">
        <f t="shared" si="14"/>
        <v>12481.856666666667</v>
      </c>
      <c r="R29" s="16">
        <f t="shared" si="14"/>
        <v>12371.946833333333</v>
      </c>
      <c r="S29" s="16">
        <f t="shared" si="14"/>
        <v>13200.926666666666</v>
      </c>
      <c r="T29" s="16">
        <f t="shared" si="14"/>
        <v>10320.75</v>
      </c>
      <c r="U29" s="16">
        <f t="shared" si="14"/>
        <v>12617.4</v>
      </c>
      <c r="V29" s="16">
        <f t="shared" si="14"/>
        <v>11395.733333333334</v>
      </c>
      <c r="W29" s="16">
        <f t="shared" si="14"/>
        <v>10542.966666666667</v>
      </c>
      <c r="X29" s="16">
        <f t="shared" si="14"/>
        <v>14046.116666666667</v>
      </c>
      <c r="Y29" s="16">
        <f t="shared" si="14"/>
        <v>13835.583333333334</v>
      </c>
      <c r="Z29" s="16">
        <f t="shared" si="14"/>
        <v>13549.744999999999</v>
      </c>
      <c r="AA29" s="16">
        <f t="shared" si="14"/>
        <v>18631.114999999998</v>
      </c>
      <c r="AB29" s="16">
        <f t="shared" si="14"/>
        <v>6046.2840000000006</v>
      </c>
      <c r="AC29" s="16">
        <f t="shared" si="14"/>
        <v>-575.9233333333334</v>
      </c>
      <c r="AD29" s="16">
        <f t="shared" si="14"/>
        <v>16.666666666666668</v>
      </c>
      <c r="AE29" s="16">
        <f t="shared" si="16"/>
        <v>300</v>
      </c>
      <c r="AF29" s="16">
        <f t="shared" si="16"/>
        <v>100</v>
      </c>
      <c r="AG29" s="16">
        <f t="shared" si="4"/>
        <v>159988.28666666665</v>
      </c>
      <c r="AH29" s="16">
        <f>SUM(AG$5:AG29)</f>
        <v>2709682.3716666666</v>
      </c>
      <c r="AI29" s="16">
        <f t="shared" si="5"/>
        <v>6889614.828333335</v>
      </c>
      <c r="AJ29" s="16">
        <f t="shared" si="12"/>
        <v>7049603.1150000012</v>
      </c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>
        <f t="shared" si="15"/>
        <v>93155.574999999997</v>
      </c>
      <c r="AZ29" s="16">
        <f t="shared" si="15"/>
        <v>30231.420000000002</v>
      </c>
      <c r="BA29" s="16">
        <f t="shared" si="15"/>
        <v>-2879.6166666666668</v>
      </c>
      <c r="BB29" s="16">
        <f t="shared" si="15"/>
        <v>83.333333333333329</v>
      </c>
      <c r="BC29" s="16">
        <f t="shared" si="15"/>
        <v>1500</v>
      </c>
      <c r="BD29" s="16">
        <f t="shared" si="15"/>
        <v>500</v>
      </c>
      <c r="BE29" s="16">
        <f t="shared" si="15"/>
        <v>0</v>
      </c>
      <c r="BF29" s="16">
        <f t="shared" si="11"/>
        <v>122590.71166666666</v>
      </c>
      <c r="BH29" s="21">
        <f t="shared" si="6"/>
        <v>122590.71166666666</v>
      </c>
      <c r="BI29" s="21">
        <f t="shared" si="7"/>
        <v>159988.28666666665</v>
      </c>
      <c r="BJ29" s="16">
        <f>+BI29-BH29</f>
        <v>37397.574999999997</v>
      </c>
      <c r="BK29" s="16">
        <f>+BJ29*'Capital Structure '!$E$30</f>
        <v>15276.909387499998</v>
      </c>
      <c r="BL29" s="16">
        <f>SUM(BK$5:BK29)</f>
        <v>-2800836.3941208338</v>
      </c>
    </row>
    <row r="30" spans="1:64" s="6" customFormat="1" ht="12.75" hidden="1" customHeight="1" outlineLevel="1">
      <c r="A30" s="19" t="s">
        <v>54</v>
      </c>
      <c r="B30" s="19">
        <f>+B29</f>
        <v>2013</v>
      </c>
      <c r="C30" s="10" t="s">
        <v>96</v>
      </c>
      <c r="D30" s="57"/>
      <c r="E30" s="65"/>
      <c r="F30" s="65"/>
      <c r="G30" s="56">
        <f t="shared" si="2"/>
        <v>0</v>
      </c>
      <c r="H30" s="56"/>
      <c r="I30" s="57"/>
      <c r="J30" s="56"/>
      <c r="K30" s="17">
        <f t="shared" si="3"/>
        <v>0</v>
      </c>
      <c r="L30" s="17">
        <f>SUM(K$5:K30)</f>
        <v>9599297.2000000011</v>
      </c>
      <c r="N30" s="17">
        <f t="shared" si="14"/>
        <v>0</v>
      </c>
      <c r="O30" s="17">
        <f t="shared" si="14"/>
        <v>2056.1116666666667</v>
      </c>
      <c r="P30" s="17">
        <f t="shared" si="14"/>
        <v>9051.0074999999997</v>
      </c>
      <c r="Q30" s="17">
        <f t="shared" si="14"/>
        <v>12481.856666666667</v>
      </c>
      <c r="R30" s="17">
        <f t="shared" si="14"/>
        <v>12371.946833333333</v>
      </c>
      <c r="S30" s="17">
        <f t="shared" si="14"/>
        <v>13200.926666666666</v>
      </c>
      <c r="T30" s="17">
        <f t="shared" si="14"/>
        <v>10320.75</v>
      </c>
      <c r="U30" s="17">
        <f t="shared" si="14"/>
        <v>12617.4</v>
      </c>
      <c r="V30" s="17">
        <f t="shared" si="14"/>
        <v>11395.733333333334</v>
      </c>
      <c r="W30" s="17">
        <f t="shared" si="14"/>
        <v>10542.966666666667</v>
      </c>
      <c r="X30" s="17">
        <f t="shared" si="14"/>
        <v>14046.116666666667</v>
      </c>
      <c r="Y30" s="17">
        <f t="shared" si="14"/>
        <v>13835.583333333334</v>
      </c>
      <c r="Z30" s="17">
        <f t="shared" si="14"/>
        <v>13549.744999999999</v>
      </c>
      <c r="AA30" s="17">
        <f t="shared" si="14"/>
        <v>18631.114999999998</v>
      </c>
      <c r="AB30" s="17">
        <f t="shared" si="14"/>
        <v>6046.2840000000006</v>
      </c>
      <c r="AC30" s="17">
        <f t="shared" si="14"/>
        <v>-575.9233333333334</v>
      </c>
      <c r="AD30" s="17">
        <f t="shared" si="14"/>
        <v>16.666666666666668</v>
      </c>
      <c r="AE30" s="17">
        <f t="shared" si="16"/>
        <v>300</v>
      </c>
      <c r="AF30" s="17">
        <f t="shared" si="16"/>
        <v>100</v>
      </c>
      <c r="AG30" s="16">
        <f t="shared" si="4"/>
        <v>159988.28666666665</v>
      </c>
      <c r="AH30" s="17">
        <f>SUM(AG$5:AG30)</f>
        <v>2869670.6583333332</v>
      </c>
      <c r="AI30" s="17">
        <f t="shared" si="5"/>
        <v>6729626.5416666679</v>
      </c>
      <c r="AJ30" s="17">
        <f t="shared" si="12"/>
        <v>6889614.828333335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>
        <f t="shared" si="15"/>
        <v>30231.420000000002</v>
      </c>
      <c r="BA30" s="17">
        <f t="shared" si="15"/>
        <v>-2879.6166666666668</v>
      </c>
      <c r="BB30" s="17">
        <f t="shared" si="15"/>
        <v>83.333333333333329</v>
      </c>
      <c r="BC30" s="17">
        <f t="shared" si="15"/>
        <v>1500</v>
      </c>
      <c r="BD30" s="17">
        <f t="shared" si="15"/>
        <v>500</v>
      </c>
      <c r="BE30" s="17">
        <f t="shared" si="15"/>
        <v>0</v>
      </c>
      <c r="BF30" s="17">
        <f t="shared" si="11"/>
        <v>29435.136666666669</v>
      </c>
      <c r="BH30" s="34">
        <f t="shared" si="6"/>
        <v>29435.136666666669</v>
      </c>
      <c r="BI30" s="34">
        <f t="shared" si="7"/>
        <v>159988.28666666665</v>
      </c>
      <c r="BJ30" s="17">
        <f t="shared" si="8"/>
        <v>130553.14999999998</v>
      </c>
      <c r="BK30" s="16">
        <f>+BJ30*'Capital Structure '!$E$30</f>
        <v>53330.961774999989</v>
      </c>
      <c r="BL30" s="17">
        <f>SUM(BK$5:BK30)</f>
        <v>-2747505.4323458336</v>
      </c>
    </row>
    <row r="31" spans="1:64" ht="12.75" hidden="1" customHeight="1" outlineLevel="1">
      <c r="A31" s="10" t="s">
        <v>55</v>
      </c>
      <c r="B31" s="10">
        <f>+B30</f>
        <v>2013</v>
      </c>
      <c r="C31" s="10" t="s">
        <v>96</v>
      </c>
      <c r="D31" s="57"/>
      <c r="E31" s="55"/>
      <c r="F31" s="65"/>
      <c r="G31" s="56">
        <f t="shared" si="2"/>
        <v>0</v>
      </c>
      <c r="H31" s="56"/>
      <c r="I31" s="57"/>
      <c r="J31" s="56"/>
      <c r="K31" s="16">
        <f t="shared" si="3"/>
        <v>0</v>
      </c>
      <c r="L31" s="16">
        <f>SUM(K$5:K31)</f>
        <v>9599297.2000000011</v>
      </c>
      <c r="N31" s="16">
        <f t="shared" si="14"/>
        <v>0</v>
      </c>
      <c r="O31" s="16">
        <f t="shared" si="14"/>
        <v>2056.1116666666667</v>
      </c>
      <c r="P31" s="16">
        <f t="shared" si="14"/>
        <v>9051.0074999999997</v>
      </c>
      <c r="Q31" s="16">
        <f t="shared" si="14"/>
        <v>12481.856666666667</v>
      </c>
      <c r="R31" s="16">
        <f t="shared" si="14"/>
        <v>12371.946833333333</v>
      </c>
      <c r="S31" s="16">
        <f t="shared" si="14"/>
        <v>13200.926666666666</v>
      </c>
      <c r="T31" s="16">
        <f t="shared" si="14"/>
        <v>10320.75</v>
      </c>
      <c r="U31" s="16">
        <f t="shared" si="14"/>
        <v>12617.4</v>
      </c>
      <c r="V31" s="16">
        <f t="shared" si="14"/>
        <v>11395.733333333334</v>
      </c>
      <c r="W31" s="16">
        <f t="shared" si="14"/>
        <v>10542.966666666667</v>
      </c>
      <c r="X31" s="16">
        <f t="shared" si="14"/>
        <v>14046.116666666667</v>
      </c>
      <c r="Y31" s="16">
        <f t="shared" si="14"/>
        <v>13835.583333333334</v>
      </c>
      <c r="Z31" s="16">
        <f t="shared" si="14"/>
        <v>13549.744999999999</v>
      </c>
      <c r="AA31" s="16">
        <f t="shared" si="14"/>
        <v>18631.114999999998</v>
      </c>
      <c r="AB31" s="16">
        <f t="shared" si="14"/>
        <v>6046.2840000000006</v>
      </c>
      <c r="AC31" s="16">
        <f t="shared" si="14"/>
        <v>-575.9233333333334</v>
      </c>
      <c r="AD31" s="16">
        <f t="shared" si="14"/>
        <v>16.666666666666668</v>
      </c>
      <c r="AE31" s="16">
        <f t="shared" si="16"/>
        <v>300</v>
      </c>
      <c r="AF31" s="16">
        <f t="shared" si="16"/>
        <v>100</v>
      </c>
      <c r="AG31" s="16">
        <f t="shared" si="4"/>
        <v>159988.28666666665</v>
      </c>
      <c r="AH31" s="16">
        <f>SUM(AG$5:AG31)</f>
        <v>3029658.9449999998</v>
      </c>
      <c r="AI31" s="16">
        <f t="shared" si="5"/>
        <v>6569638.2550000008</v>
      </c>
      <c r="AJ31" s="16">
        <f t="shared" si="12"/>
        <v>6729626.5416666679</v>
      </c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>
        <f t="shared" si="15"/>
        <v>-2879.6166666666668</v>
      </c>
      <c r="BB31" s="16">
        <f t="shared" si="15"/>
        <v>83.333333333333329</v>
      </c>
      <c r="BC31" s="16">
        <f t="shared" si="15"/>
        <v>1500</v>
      </c>
      <c r="BD31" s="16">
        <f t="shared" si="15"/>
        <v>500</v>
      </c>
      <c r="BE31" s="16">
        <f t="shared" si="15"/>
        <v>0</v>
      </c>
      <c r="BF31" s="16">
        <f t="shared" si="11"/>
        <v>-796.2833333333333</v>
      </c>
      <c r="BH31" s="21">
        <f t="shared" si="6"/>
        <v>-796.2833333333333</v>
      </c>
      <c r="BI31" s="21">
        <f t="shared" si="7"/>
        <v>159988.28666666665</v>
      </c>
      <c r="BJ31" s="16">
        <f t="shared" si="8"/>
        <v>160784.56999999998</v>
      </c>
      <c r="BK31" s="16">
        <f>+BJ31*'Capital Structure '!$E$30</f>
        <v>65680.496844999987</v>
      </c>
      <c r="BL31" s="16">
        <f>SUM(BK$5:BK31)</f>
        <v>-2681824.9355008337</v>
      </c>
    </row>
    <row r="32" spans="1:64" ht="12.75" hidden="1" customHeight="1" outlineLevel="1">
      <c r="A32" s="10" t="s">
        <v>56</v>
      </c>
      <c r="B32" s="10">
        <f>+B31</f>
        <v>2013</v>
      </c>
      <c r="C32" s="10" t="s">
        <v>96</v>
      </c>
      <c r="D32" s="57"/>
      <c r="E32" s="55"/>
      <c r="F32" s="65"/>
      <c r="G32" s="56">
        <f t="shared" si="2"/>
        <v>0</v>
      </c>
      <c r="H32" s="56"/>
      <c r="I32" s="57"/>
      <c r="J32" s="56"/>
      <c r="K32" s="16">
        <f t="shared" si="3"/>
        <v>0</v>
      </c>
      <c r="L32" s="16">
        <f>SUM(K$5:K32)</f>
        <v>9599297.2000000011</v>
      </c>
      <c r="N32" s="16">
        <f t="shared" si="14"/>
        <v>0</v>
      </c>
      <c r="O32" s="16">
        <f t="shared" si="14"/>
        <v>2056.1116666666667</v>
      </c>
      <c r="P32" s="16">
        <f t="shared" si="14"/>
        <v>9051.0074999999997</v>
      </c>
      <c r="Q32" s="16">
        <f t="shared" si="14"/>
        <v>12481.856666666667</v>
      </c>
      <c r="R32" s="16">
        <f t="shared" si="14"/>
        <v>12371.946833333333</v>
      </c>
      <c r="S32" s="16">
        <f t="shared" si="14"/>
        <v>13200.926666666666</v>
      </c>
      <c r="T32" s="16">
        <f t="shared" si="14"/>
        <v>10320.75</v>
      </c>
      <c r="U32" s="16">
        <f t="shared" si="14"/>
        <v>12617.4</v>
      </c>
      <c r="V32" s="16">
        <f t="shared" si="14"/>
        <v>11395.733333333334</v>
      </c>
      <c r="W32" s="16">
        <f t="shared" si="14"/>
        <v>10542.966666666667</v>
      </c>
      <c r="X32" s="16">
        <f t="shared" si="14"/>
        <v>14046.116666666667</v>
      </c>
      <c r="Y32" s="16">
        <f t="shared" si="14"/>
        <v>13835.583333333334</v>
      </c>
      <c r="Z32" s="16">
        <f t="shared" si="14"/>
        <v>13549.744999999999</v>
      </c>
      <c r="AA32" s="16">
        <f t="shared" si="14"/>
        <v>18631.114999999998</v>
      </c>
      <c r="AB32" s="16">
        <f t="shared" si="14"/>
        <v>6046.2840000000006</v>
      </c>
      <c r="AC32" s="16">
        <f t="shared" si="14"/>
        <v>-575.9233333333334</v>
      </c>
      <c r="AD32" s="16">
        <f t="shared" si="14"/>
        <v>16.666666666666668</v>
      </c>
      <c r="AE32" s="16">
        <f t="shared" si="16"/>
        <v>300</v>
      </c>
      <c r="AF32" s="16">
        <f t="shared" si="16"/>
        <v>100</v>
      </c>
      <c r="AG32" s="16">
        <f t="shared" si="4"/>
        <v>159988.28666666665</v>
      </c>
      <c r="AH32" s="16">
        <f>SUM(AG$5:AG32)</f>
        <v>3189647.2316666665</v>
      </c>
      <c r="AI32" s="16">
        <f t="shared" si="5"/>
        <v>6409649.9683333347</v>
      </c>
      <c r="AJ32" s="16">
        <f t="shared" si="12"/>
        <v>6569638.2550000008</v>
      </c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>
        <f t="shared" si="15"/>
        <v>83.333333333333329</v>
      </c>
      <c r="BC32" s="16">
        <f t="shared" si="15"/>
        <v>1500</v>
      </c>
      <c r="BD32" s="16">
        <f t="shared" si="15"/>
        <v>500</v>
      </c>
      <c r="BE32" s="16">
        <f t="shared" si="15"/>
        <v>0</v>
      </c>
      <c r="BF32" s="16">
        <f t="shared" si="11"/>
        <v>2083.333333333333</v>
      </c>
      <c r="BH32" s="21">
        <f t="shared" si="6"/>
        <v>2083.333333333333</v>
      </c>
      <c r="BI32" s="21">
        <f t="shared" si="7"/>
        <v>159988.28666666665</v>
      </c>
      <c r="BJ32" s="16">
        <f t="shared" si="8"/>
        <v>157904.95333333331</v>
      </c>
      <c r="BK32" s="16">
        <f>+BJ32*'Capital Structure '!$E$30</f>
        <v>64504.17343666665</v>
      </c>
      <c r="BL32" s="16">
        <f>SUM(BK$5:BK32)</f>
        <v>-2617320.7620641668</v>
      </c>
    </row>
    <row r="33" spans="1:64" ht="12.75" hidden="1" customHeight="1" outlineLevel="1">
      <c r="A33" s="10" t="s">
        <v>57</v>
      </c>
      <c r="B33" s="10">
        <f>+B32</f>
        <v>2013</v>
      </c>
      <c r="C33" s="10" t="s">
        <v>96</v>
      </c>
      <c r="D33" s="57"/>
      <c r="E33" s="55"/>
      <c r="F33" s="65"/>
      <c r="G33" s="56">
        <f t="shared" si="2"/>
        <v>0</v>
      </c>
      <c r="H33" s="56"/>
      <c r="I33" s="57"/>
      <c r="J33" s="56"/>
      <c r="K33" s="16">
        <f t="shared" si="3"/>
        <v>0</v>
      </c>
      <c r="L33" s="16">
        <f>SUM(K$5:K33)</f>
        <v>9599297.2000000011</v>
      </c>
      <c r="N33" s="16">
        <f t="shared" si="14"/>
        <v>0</v>
      </c>
      <c r="O33" s="16">
        <f t="shared" si="14"/>
        <v>2056.1116666666667</v>
      </c>
      <c r="P33" s="16">
        <f t="shared" si="14"/>
        <v>9051.0074999999997</v>
      </c>
      <c r="Q33" s="16">
        <f t="shared" si="14"/>
        <v>12481.856666666667</v>
      </c>
      <c r="R33" s="16">
        <f t="shared" si="14"/>
        <v>12371.946833333333</v>
      </c>
      <c r="S33" s="16">
        <f t="shared" si="14"/>
        <v>13200.926666666666</v>
      </c>
      <c r="T33" s="16">
        <f t="shared" si="14"/>
        <v>10320.75</v>
      </c>
      <c r="U33" s="16">
        <f t="shared" si="14"/>
        <v>12617.4</v>
      </c>
      <c r="V33" s="16">
        <f t="shared" si="14"/>
        <v>11395.733333333334</v>
      </c>
      <c r="W33" s="16">
        <f t="shared" si="14"/>
        <v>10542.966666666667</v>
      </c>
      <c r="X33" s="16">
        <f t="shared" si="14"/>
        <v>14046.116666666667</v>
      </c>
      <c r="Y33" s="16">
        <f t="shared" si="14"/>
        <v>13835.583333333334</v>
      </c>
      <c r="Z33" s="16">
        <f t="shared" si="14"/>
        <v>13549.744999999999</v>
      </c>
      <c r="AA33" s="16">
        <f t="shared" si="14"/>
        <v>18631.114999999998</v>
      </c>
      <c r="AB33" s="16">
        <f t="shared" si="14"/>
        <v>6046.2840000000006</v>
      </c>
      <c r="AC33" s="16">
        <f t="shared" si="14"/>
        <v>-575.9233333333334</v>
      </c>
      <c r="AD33" s="16">
        <f t="shared" si="14"/>
        <v>16.666666666666668</v>
      </c>
      <c r="AE33" s="16">
        <f t="shared" si="16"/>
        <v>300</v>
      </c>
      <c r="AF33" s="16">
        <f t="shared" si="16"/>
        <v>100</v>
      </c>
      <c r="AG33" s="16">
        <f t="shared" si="4"/>
        <v>159988.28666666665</v>
      </c>
      <c r="AH33" s="16">
        <f>SUM(AG$5:AG33)</f>
        <v>3349635.5183333331</v>
      </c>
      <c r="AI33" s="16">
        <f t="shared" si="5"/>
        <v>6249661.6816666685</v>
      </c>
      <c r="AJ33" s="16">
        <f t="shared" si="12"/>
        <v>6409649.9683333347</v>
      </c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>
        <f t="shared" si="15"/>
        <v>1500</v>
      </c>
      <c r="BD33" s="16">
        <f t="shared" si="15"/>
        <v>500</v>
      </c>
      <c r="BE33" s="16">
        <f t="shared" si="15"/>
        <v>0</v>
      </c>
      <c r="BF33" s="16">
        <f t="shared" si="11"/>
        <v>2000</v>
      </c>
      <c r="BH33" s="21">
        <f t="shared" si="6"/>
        <v>2000</v>
      </c>
      <c r="BI33" s="21">
        <f t="shared" si="7"/>
        <v>159988.28666666665</v>
      </c>
      <c r="BJ33" s="16">
        <f t="shared" si="8"/>
        <v>157988.28666666665</v>
      </c>
      <c r="BK33" s="16">
        <f>+BJ33*'Capital Structure '!$E$30</f>
        <v>64538.215103333321</v>
      </c>
      <c r="BL33" s="16">
        <f>SUM(BK$5:BK33)</f>
        <v>-2552782.5469608335</v>
      </c>
    </row>
    <row r="34" spans="1:64" ht="12.75" hidden="1" customHeight="1" outlineLevel="1">
      <c r="A34" s="10" t="s">
        <v>58</v>
      </c>
      <c r="B34" s="10">
        <f>+B33</f>
        <v>2013</v>
      </c>
      <c r="C34" s="10" t="s">
        <v>96</v>
      </c>
      <c r="D34" s="57"/>
      <c r="E34" s="55"/>
      <c r="F34" s="65"/>
      <c r="G34" s="56">
        <f t="shared" si="2"/>
        <v>0</v>
      </c>
      <c r="H34" s="56"/>
      <c r="I34" s="57"/>
      <c r="J34" s="56"/>
      <c r="K34" s="16">
        <f t="shared" si="3"/>
        <v>0</v>
      </c>
      <c r="L34" s="16">
        <f>SUM(K$5:K34)</f>
        <v>9599297.2000000011</v>
      </c>
      <c r="N34" s="16">
        <f t="shared" si="14"/>
        <v>0</v>
      </c>
      <c r="O34" s="16">
        <f t="shared" si="14"/>
        <v>2056.1116666666667</v>
      </c>
      <c r="P34" s="16">
        <f t="shared" si="14"/>
        <v>9051.0074999999997</v>
      </c>
      <c r="Q34" s="16">
        <f t="shared" si="14"/>
        <v>12481.856666666667</v>
      </c>
      <c r="R34" s="16">
        <f t="shared" si="14"/>
        <v>12371.946833333333</v>
      </c>
      <c r="S34" s="16">
        <f t="shared" si="14"/>
        <v>13200.926666666666</v>
      </c>
      <c r="T34" s="16">
        <f t="shared" si="14"/>
        <v>10320.75</v>
      </c>
      <c r="U34" s="16">
        <f t="shared" si="14"/>
        <v>12617.4</v>
      </c>
      <c r="V34" s="16">
        <f t="shared" si="14"/>
        <v>11395.733333333334</v>
      </c>
      <c r="W34" s="16">
        <f t="shared" si="14"/>
        <v>10542.966666666667</v>
      </c>
      <c r="X34" s="16">
        <f t="shared" si="14"/>
        <v>14046.116666666667</v>
      </c>
      <c r="Y34" s="16">
        <f t="shared" si="14"/>
        <v>13835.583333333334</v>
      </c>
      <c r="Z34" s="16">
        <f t="shared" si="14"/>
        <v>13549.744999999999</v>
      </c>
      <c r="AA34" s="16">
        <f t="shared" si="14"/>
        <v>18631.114999999998</v>
      </c>
      <c r="AB34" s="16">
        <f t="shared" si="14"/>
        <v>6046.2840000000006</v>
      </c>
      <c r="AC34" s="16">
        <f t="shared" si="14"/>
        <v>-575.9233333333334</v>
      </c>
      <c r="AD34" s="16">
        <f t="shared" si="14"/>
        <v>16.666666666666668</v>
      </c>
      <c r="AE34" s="16">
        <f t="shared" si="16"/>
        <v>300</v>
      </c>
      <c r="AF34" s="16">
        <f t="shared" si="16"/>
        <v>100</v>
      </c>
      <c r="AG34" s="16">
        <f t="shared" si="4"/>
        <v>159988.28666666665</v>
      </c>
      <c r="AH34" s="16">
        <f>SUM(AG$5:AG34)</f>
        <v>3509623.8049999997</v>
      </c>
      <c r="AI34" s="16">
        <f t="shared" si="5"/>
        <v>6089673.3950000014</v>
      </c>
      <c r="AJ34" s="16">
        <f t="shared" si="12"/>
        <v>6249661.6816666685</v>
      </c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>
        <f t="shared" si="15"/>
        <v>500</v>
      </c>
      <c r="BE34" s="16">
        <f t="shared" si="15"/>
        <v>0</v>
      </c>
      <c r="BF34" s="16">
        <f t="shared" si="11"/>
        <v>500</v>
      </c>
      <c r="BH34" s="21">
        <f t="shared" si="6"/>
        <v>500</v>
      </c>
      <c r="BI34" s="21">
        <f t="shared" si="7"/>
        <v>159988.28666666665</v>
      </c>
      <c r="BJ34" s="16">
        <f t="shared" si="8"/>
        <v>159488.28666666665</v>
      </c>
      <c r="BK34" s="16">
        <f>+BJ34*'Capital Structure '!$E$30</f>
        <v>65150.965103333321</v>
      </c>
      <c r="BL34" s="16">
        <f>SUM(BK$5:BK34)</f>
        <v>-2487631.5818575001</v>
      </c>
    </row>
    <row r="35" spans="1:64" ht="12.75" hidden="1" customHeight="1" outlineLevel="1">
      <c r="A35" s="10" t="s">
        <v>59</v>
      </c>
      <c r="B35" s="10">
        <f t="shared" ref="B35:B40" si="17">+B34</f>
        <v>2013</v>
      </c>
      <c r="C35" s="10" t="s">
        <v>96</v>
      </c>
      <c r="D35" s="57"/>
      <c r="E35" s="55"/>
      <c r="F35" s="65"/>
      <c r="G35" s="56">
        <f t="shared" si="2"/>
        <v>0</v>
      </c>
      <c r="H35" s="56"/>
      <c r="I35" s="57"/>
      <c r="J35" s="56"/>
      <c r="K35" s="16">
        <f t="shared" si="3"/>
        <v>0</v>
      </c>
      <c r="L35" s="16">
        <f>SUM(K$5:K35)</f>
        <v>9599297.2000000011</v>
      </c>
      <c r="N35" s="16">
        <f t="shared" si="14"/>
        <v>0</v>
      </c>
      <c r="O35" s="16">
        <f t="shared" si="14"/>
        <v>2056.1116666666667</v>
      </c>
      <c r="P35" s="16">
        <f t="shared" si="14"/>
        <v>9051.0074999999997</v>
      </c>
      <c r="Q35" s="16">
        <f t="shared" si="14"/>
        <v>12481.856666666667</v>
      </c>
      <c r="R35" s="16">
        <f t="shared" si="14"/>
        <v>12371.946833333333</v>
      </c>
      <c r="S35" s="16">
        <f t="shared" si="14"/>
        <v>13200.926666666666</v>
      </c>
      <c r="T35" s="16">
        <f t="shared" si="14"/>
        <v>10320.75</v>
      </c>
      <c r="U35" s="16">
        <f t="shared" si="14"/>
        <v>12617.4</v>
      </c>
      <c r="V35" s="16">
        <f t="shared" si="14"/>
        <v>11395.733333333334</v>
      </c>
      <c r="W35" s="16">
        <f t="shared" si="14"/>
        <v>10542.966666666667</v>
      </c>
      <c r="X35" s="16">
        <f t="shared" si="14"/>
        <v>14046.116666666667</v>
      </c>
      <c r="Y35" s="16">
        <f t="shared" si="14"/>
        <v>13835.583333333334</v>
      </c>
      <c r="Z35" s="16">
        <f t="shared" si="14"/>
        <v>13549.744999999999</v>
      </c>
      <c r="AA35" s="16">
        <f t="shared" si="14"/>
        <v>18631.114999999998</v>
      </c>
      <c r="AB35" s="16">
        <f t="shared" si="14"/>
        <v>6046.2840000000006</v>
      </c>
      <c r="AC35" s="16">
        <f t="shared" si="14"/>
        <v>-575.9233333333334</v>
      </c>
      <c r="AD35" s="16">
        <f t="shared" si="14"/>
        <v>16.666666666666668</v>
      </c>
      <c r="AE35" s="16">
        <f t="shared" si="16"/>
        <v>300</v>
      </c>
      <c r="AF35" s="16">
        <f t="shared" si="16"/>
        <v>100</v>
      </c>
      <c r="AG35" s="16">
        <f t="shared" si="4"/>
        <v>159988.28666666665</v>
      </c>
      <c r="AH35" s="16">
        <f>SUM(AG$5:AG35)</f>
        <v>3669612.0916666663</v>
      </c>
      <c r="AI35" s="16">
        <f t="shared" si="5"/>
        <v>5929685.1083333343</v>
      </c>
      <c r="AJ35" s="16">
        <f t="shared" si="12"/>
        <v>6089673.3950000014</v>
      </c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>
        <f t="shared" si="15"/>
        <v>0</v>
      </c>
      <c r="BF35" s="16">
        <f t="shared" si="11"/>
        <v>0</v>
      </c>
      <c r="BH35" s="21">
        <f t="shared" si="6"/>
        <v>0</v>
      </c>
      <c r="BI35" s="21">
        <f t="shared" si="7"/>
        <v>159988.28666666665</v>
      </c>
      <c r="BJ35" s="16">
        <f t="shared" si="8"/>
        <v>159988.28666666665</v>
      </c>
      <c r="BK35" s="16">
        <f>+BJ35*'Capital Structure '!$E$30</f>
        <v>65355.215103333321</v>
      </c>
      <c r="BL35" s="16">
        <f>SUM(BK$5:BK35)</f>
        <v>-2422276.3667541668</v>
      </c>
    </row>
    <row r="36" spans="1:64" ht="12.75" hidden="1" customHeight="1" outlineLevel="1">
      <c r="A36" s="10" t="s">
        <v>46</v>
      </c>
      <c r="B36" s="10">
        <f t="shared" si="17"/>
        <v>2013</v>
      </c>
      <c r="C36" s="10" t="s">
        <v>96</v>
      </c>
      <c r="D36" s="57"/>
      <c r="E36" s="55"/>
      <c r="F36" s="65"/>
      <c r="G36" s="56">
        <f t="shared" si="2"/>
        <v>0</v>
      </c>
      <c r="H36" s="56"/>
      <c r="I36" s="57"/>
      <c r="J36" s="56"/>
      <c r="K36" s="16">
        <f t="shared" si="3"/>
        <v>0</v>
      </c>
      <c r="L36" s="16">
        <f>SUM(K$5:K36)</f>
        <v>9599297.2000000011</v>
      </c>
      <c r="N36" s="16">
        <f t="shared" si="14"/>
        <v>0</v>
      </c>
      <c r="O36" s="16">
        <f t="shared" si="14"/>
        <v>2056.1116666666667</v>
      </c>
      <c r="P36" s="16">
        <f t="shared" si="14"/>
        <v>9051.0074999999997</v>
      </c>
      <c r="Q36" s="16">
        <f t="shared" si="14"/>
        <v>12481.856666666667</v>
      </c>
      <c r="R36" s="16">
        <f t="shared" si="14"/>
        <v>12371.946833333333</v>
      </c>
      <c r="S36" s="16">
        <f t="shared" si="14"/>
        <v>13200.926666666666</v>
      </c>
      <c r="T36" s="16">
        <f t="shared" si="14"/>
        <v>10320.75</v>
      </c>
      <c r="U36" s="16">
        <f t="shared" si="14"/>
        <v>12617.4</v>
      </c>
      <c r="V36" s="16">
        <f t="shared" si="14"/>
        <v>11395.733333333334</v>
      </c>
      <c r="W36" s="16">
        <f t="shared" si="14"/>
        <v>10542.966666666667</v>
      </c>
      <c r="X36" s="16">
        <f t="shared" si="14"/>
        <v>14046.116666666667</v>
      </c>
      <c r="Y36" s="16">
        <f t="shared" si="14"/>
        <v>13835.583333333334</v>
      </c>
      <c r="Z36" s="16">
        <f t="shared" si="14"/>
        <v>13549.744999999999</v>
      </c>
      <c r="AA36" s="16">
        <f t="shared" si="14"/>
        <v>18631.114999999998</v>
      </c>
      <c r="AB36" s="16">
        <f t="shared" si="14"/>
        <v>6046.2840000000006</v>
      </c>
      <c r="AC36" s="16">
        <f t="shared" si="14"/>
        <v>-575.9233333333334</v>
      </c>
      <c r="AD36" s="16">
        <f t="shared" si="14"/>
        <v>16.666666666666668</v>
      </c>
      <c r="AE36" s="16">
        <f t="shared" si="16"/>
        <v>300</v>
      </c>
      <c r="AF36" s="16">
        <f t="shared" si="16"/>
        <v>100</v>
      </c>
      <c r="AG36" s="16">
        <f t="shared" si="4"/>
        <v>159988.28666666665</v>
      </c>
      <c r="AH36" s="16">
        <f>SUM(AG$5:AG36)</f>
        <v>3829600.3783333329</v>
      </c>
      <c r="AI36" s="16">
        <f t="shared" si="5"/>
        <v>5769696.8216666682</v>
      </c>
      <c r="AJ36" s="16">
        <f t="shared" si="12"/>
        <v>5929685.1083333343</v>
      </c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>
        <f t="shared" si="11"/>
        <v>0</v>
      </c>
      <c r="BH36" s="21">
        <f t="shared" si="6"/>
        <v>0</v>
      </c>
      <c r="BI36" s="21">
        <f t="shared" si="7"/>
        <v>159988.28666666665</v>
      </c>
      <c r="BJ36" s="16">
        <f t="shared" si="8"/>
        <v>159988.28666666665</v>
      </c>
      <c r="BK36" s="16">
        <f>+BJ36*'Capital Structure '!$E$30</f>
        <v>65355.215103333321</v>
      </c>
      <c r="BL36" s="16">
        <f>SUM(BK$5:BK36)</f>
        <v>-2356921.1516508334</v>
      </c>
    </row>
    <row r="37" spans="1:64" ht="12.75" hidden="1" customHeight="1" outlineLevel="1">
      <c r="A37" s="10" t="s">
        <v>48</v>
      </c>
      <c r="B37" s="10">
        <f t="shared" si="17"/>
        <v>2013</v>
      </c>
      <c r="C37" s="10" t="s">
        <v>96</v>
      </c>
      <c r="D37" s="57"/>
      <c r="E37" s="55"/>
      <c r="F37" s="65"/>
      <c r="G37" s="56">
        <f t="shared" si="2"/>
        <v>0</v>
      </c>
      <c r="H37" s="56"/>
      <c r="I37" s="57"/>
      <c r="J37" s="56"/>
      <c r="K37" s="16">
        <f t="shared" ref="K37:K68" si="18">SUM(G37:I37)</f>
        <v>0</v>
      </c>
      <c r="L37" s="16">
        <f>SUM(K$5:K37)</f>
        <v>9599297.2000000011</v>
      </c>
      <c r="N37" s="16">
        <f t="shared" ref="N37:AD51" si="19">+N36</f>
        <v>0</v>
      </c>
      <c r="O37" s="16">
        <f t="shared" si="19"/>
        <v>2056.1116666666667</v>
      </c>
      <c r="P37" s="16">
        <f t="shared" si="19"/>
        <v>9051.0074999999997</v>
      </c>
      <c r="Q37" s="16">
        <f t="shared" si="19"/>
        <v>12481.856666666667</v>
      </c>
      <c r="R37" s="16">
        <f t="shared" si="19"/>
        <v>12371.946833333333</v>
      </c>
      <c r="S37" s="16">
        <f t="shared" si="19"/>
        <v>13200.926666666666</v>
      </c>
      <c r="T37" s="16">
        <f t="shared" si="19"/>
        <v>10320.75</v>
      </c>
      <c r="U37" s="16">
        <f t="shared" si="19"/>
        <v>12617.4</v>
      </c>
      <c r="V37" s="16">
        <f t="shared" si="19"/>
        <v>11395.733333333334</v>
      </c>
      <c r="W37" s="16">
        <f t="shared" si="19"/>
        <v>10542.966666666667</v>
      </c>
      <c r="X37" s="16">
        <f t="shared" si="19"/>
        <v>14046.116666666667</v>
      </c>
      <c r="Y37" s="16">
        <f t="shared" si="19"/>
        <v>13835.583333333334</v>
      </c>
      <c r="Z37" s="16">
        <f t="shared" si="19"/>
        <v>13549.744999999999</v>
      </c>
      <c r="AA37" s="16">
        <f t="shared" si="19"/>
        <v>18631.114999999998</v>
      </c>
      <c r="AB37" s="16">
        <f t="shared" si="19"/>
        <v>6046.2840000000006</v>
      </c>
      <c r="AC37" s="16">
        <f t="shared" si="19"/>
        <v>-575.9233333333334</v>
      </c>
      <c r="AD37" s="16">
        <f t="shared" si="19"/>
        <v>16.666666666666668</v>
      </c>
      <c r="AE37" s="16">
        <f t="shared" si="16"/>
        <v>300</v>
      </c>
      <c r="AF37" s="16">
        <f t="shared" si="16"/>
        <v>100</v>
      </c>
      <c r="AG37" s="16">
        <f t="shared" ref="AG37:AG68" si="20">SUM(N37:AF37)</f>
        <v>159988.28666666665</v>
      </c>
      <c r="AH37" s="16">
        <f>SUM(AG$5:AG37)</f>
        <v>3989588.6649999996</v>
      </c>
      <c r="AI37" s="16">
        <f t="shared" ref="AI37:AI68" si="21">+L37-AH37</f>
        <v>5609708.535000002</v>
      </c>
      <c r="AJ37" s="16">
        <f t="shared" si="12"/>
        <v>5769696.8216666682</v>
      </c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>
        <f t="shared" si="11"/>
        <v>0</v>
      </c>
      <c r="BH37" s="21">
        <f t="shared" si="6"/>
        <v>0</v>
      </c>
      <c r="BI37" s="21">
        <f t="shared" si="7"/>
        <v>159988.28666666665</v>
      </c>
      <c r="BJ37" s="16">
        <f t="shared" si="8"/>
        <v>159988.28666666665</v>
      </c>
      <c r="BK37" s="16">
        <f>+BJ37*'Capital Structure '!$E$30</f>
        <v>65355.215103333321</v>
      </c>
      <c r="BL37" s="16">
        <f>SUM(BK$5:BK37)</f>
        <v>-2291565.9365475001</v>
      </c>
    </row>
    <row r="38" spans="1:64" ht="12.75" hidden="1" customHeight="1" outlineLevel="1">
      <c r="A38" s="10" t="s">
        <v>50</v>
      </c>
      <c r="B38" s="10">
        <f t="shared" si="17"/>
        <v>2013</v>
      </c>
      <c r="C38" s="10" t="s">
        <v>96</v>
      </c>
      <c r="D38" s="57"/>
      <c r="E38" s="55"/>
      <c r="F38" s="65"/>
      <c r="G38" s="56">
        <f t="shared" si="2"/>
        <v>0</v>
      </c>
      <c r="H38" s="56"/>
      <c r="I38" s="57"/>
      <c r="J38" s="56"/>
      <c r="K38" s="16">
        <f t="shared" si="18"/>
        <v>0</v>
      </c>
      <c r="L38" s="16">
        <f>SUM(K$5:K38)</f>
        <v>9599297.2000000011</v>
      </c>
      <c r="N38" s="16">
        <f t="shared" si="19"/>
        <v>0</v>
      </c>
      <c r="O38" s="16">
        <f t="shared" si="19"/>
        <v>2056.1116666666667</v>
      </c>
      <c r="P38" s="16">
        <f t="shared" si="19"/>
        <v>9051.0074999999997</v>
      </c>
      <c r="Q38" s="16">
        <f t="shared" si="19"/>
        <v>12481.856666666667</v>
      </c>
      <c r="R38" s="16">
        <f t="shared" si="19"/>
        <v>12371.946833333333</v>
      </c>
      <c r="S38" s="16">
        <f t="shared" si="19"/>
        <v>13200.926666666666</v>
      </c>
      <c r="T38" s="16">
        <f t="shared" si="19"/>
        <v>10320.75</v>
      </c>
      <c r="U38" s="16">
        <f t="shared" si="19"/>
        <v>12617.4</v>
      </c>
      <c r="V38" s="16">
        <f t="shared" si="19"/>
        <v>11395.733333333334</v>
      </c>
      <c r="W38" s="16">
        <f t="shared" si="19"/>
        <v>10542.966666666667</v>
      </c>
      <c r="X38" s="16">
        <f t="shared" si="19"/>
        <v>14046.116666666667</v>
      </c>
      <c r="Y38" s="16">
        <f t="shared" si="19"/>
        <v>13835.583333333334</v>
      </c>
      <c r="Z38" s="16">
        <f t="shared" si="19"/>
        <v>13549.744999999999</v>
      </c>
      <c r="AA38" s="16">
        <f t="shared" si="19"/>
        <v>18631.114999999998</v>
      </c>
      <c r="AB38" s="16">
        <f t="shared" si="19"/>
        <v>6046.2840000000006</v>
      </c>
      <c r="AC38" s="16">
        <f t="shared" si="19"/>
        <v>-575.9233333333334</v>
      </c>
      <c r="AD38" s="16">
        <f t="shared" si="19"/>
        <v>16.666666666666668</v>
      </c>
      <c r="AE38" s="16">
        <f t="shared" si="16"/>
        <v>300</v>
      </c>
      <c r="AF38" s="16">
        <f t="shared" si="16"/>
        <v>100</v>
      </c>
      <c r="AG38" s="16">
        <f t="shared" si="20"/>
        <v>159988.28666666665</v>
      </c>
      <c r="AH38" s="16">
        <f>SUM(AG$5:AG38)</f>
        <v>4149576.9516666662</v>
      </c>
      <c r="AI38" s="16">
        <f t="shared" si="21"/>
        <v>5449720.2483333349</v>
      </c>
      <c r="AJ38" s="16">
        <f t="shared" si="12"/>
        <v>5609708.535000002</v>
      </c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>
        <f t="shared" si="11"/>
        <v>0</v>
      </c>
      <c r="BH38" s="21">
        <f t="shared" si="6"/>
        <v>0</v>
      </c>
      <c r="BI38" s="21">
        <f t="shared" si="7"/>
        <v>159988.28666666665</v>
      </c>
      <c r="BJ38" s="16">
        <f t="shared" si="8"/>
        <v>159988.28666666665</v>
      </c>
      <c r="BK38" s="16">
        <f>+BJ38*'Capital Structure '!$E$30</f>
        <v>65355.215103333321</v>
      </c>
      <c r="BL38" s="16">
        <f>SUM(BK$5:BK38)</f>
        <v>-2226210.7214441667</v>
      </c>
    </row>
    <row r="39" spans="1:64" ht="12.75" hidden="1" customHeight="1" outlineLevel="1">
      <c r="A39" s="10" t="s">
        <v>51</v>
      </c>
      <c r="B39" s="10">
        <f t="shared" si="17"/>
        <v>2013</v>
      </c>
      <c r="C39" s="10" t="s">
        <v>96</v>
      </c>
      <c r="D39" s="57"/>
      <c r="E39" s="55"/>
      <c r="F39" s="65"/>
      <c r="G39" s="56">
        <f t="shared" si="2"/>
        <v>0</v>
      </c>
      <c r="H39" s="56"/>
      <c r="I39" s="57"/>
      <c r="J39" s="56"/>
      <c r="K39" s="16">
        <f t="shared" si="18"/>
        <v>0</v>
      </c>
      <c r="L39" s="16">
        <f>SUM(K$5:K39)</f>
        <v>9599297.2000000011</v>
      </c>
      <c r="N39" s="16">
        <f t="shared" si="19"/>
        <v>0</v>
      </c>
      <c r="O39" s="16">
        <f t="shared" si="19"/>
        <v>2056.1116666666667</v>
      </c>
      <c r="P39" s="16">
        <f t="shared" si="19"/>
        <v>9051.0074999999997</v>
      </c>
      <c r="Q39" s="16">
        <f t="shared" si="19"/>
        <v>12481.856666666667</v>
      </c>
      <c r="R39" s="16">
        <f t="shared" si="19"/>
        <v>12371.946833333333</v>
      </c>
      <c r="S39" s="16">
        <f t="shared" si="19"/>
        <v>13200.926666666666</v>
      </c>
      <c r="T39" s="16">
        <f t="shared" si="19"/>
        <v>10320.75</v>
      </c>
      <c r="U39" s="16">
        <f t="shared" si="19"/>
        <v>12617.4</v>
      </c>
      <c r="V39" s="16">
        <f t="shared" si="19"/>
        <v>11395.733333333334</v>
      </c>
      <c r="W39" s="16">
        <f t="shared" si="19"/>
        <v>10542.966666666667</v>
      </c>
      <c r="X39" s="16">
        <f t="shared" si="19"/>
        <v>14046.116666666667</v>
      </c>
      <c r="Y39" s="16">
        <f t="shared" si="19"/>
        <v>13835.583333333334</v>
      </c>
      <c r="Z39" s="16">
        <f t="shared" si="19"/>
        <v>13549.744999999999</v>
      </c>
      <c r="AA39" s="16">
        <f t="shared" si="19"/>
        <v>18631.114999999998</v>
      </c>
      <c r="AB39" s="16">
        <f t="shared" si="19"/>
        <v>6046.2840000000006</v>
      </c>
      <c r="AC39" s="16">
        <f t="shared" si="19"/>
        <v>-575.9233333333334</v>
      </c>
      <c r="AD39" s="16">
        <f t="shared" si="19"/>
        <v>16.666666666666668</v>
      </c>
      <c r="AE39" s="16">
        <f t="shared" ref="AD39:AF54" si="22">+AE38</f>
        <v>300</v>
      </c>
      <c r="AF39" s="16">
        <f t="shared" si="22"/>
        <v>100</v>
      </c>
      <c r="AG39" s="16">
        <f t="shared" si="20"/>
        <v>159988.28666666665</v>
      </c>
      <c r="AH39" s="16">
        <f>SUM(AG$5:AG39)</f>
        <v>4309565.2383333333</v>
      </c>
      <c r="AI39" s="16">
        <f t="shared" si="21"/>
        <v>5289731.9616666678</v>
      </c>
      <c r="AJ39" s="16">
        <f t="shared" ref="AJ39:AJ70" si="23">+L39-AH38</f>
        <v>5449720.2483333349</v>
      </c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>
        <f t="shared" si="11"/>
        <v>0</v>
      </c>
      <c r="BH39" s="21">
        <f t="shared" si="6"/>
        <v>0</v>
      </c>
      <c r="BI39" s="21">
        <f t="shared" si="7"/>
        <v>159988.28666666665</v>
      </c>
      <c r="BJ39" s="16">
        <f t="shared" si="8"/>
        <v>159988.28666666665</v>
      </c>
      <c r="BK39" s="16">
        <f>+BJ39*'Capital Structure '!$E$30</f>
        <v>65355.215103333321</v>
      </c>
      <c r="BL39" s="16">
        <f>SUM(BK$5:BK39)</f>
        <v>-2160855.5063408334</v>
      </c>
    </row>
    <row r="40" spans="1:64" s="26" customFormat="1" ht="12.75" hidden="1" customHeight="1" outlineLevel="1">
      <c r="A40" s="24" t="s">
        <v>52</v>
      </c>
      <c r="B40" s="24">
        <f t="shared" si="17"/>
        <v>2013</v>
      </c>
      <c r="C40" s="24" t="s">
        <v>96</v>
      </c>
      <c r="D40" s="68"/>
      <c r="E40" s="58"/>
      <c r="F40" s="58"/>
      <c r="G40" s="60">
        <f t="shared" si="2"/>
        <v>0</v>
      </c>
      <c r="H40" s="60"/>
      <c r="I40" s="68"/>
      <c r="J40" s="60"/>
      <c r="K40" s="25">
        <f t="shared" si="18"/>
        <v>0</v>
      </c>
      <c r="L40" s="25">
        <f>SUM(K$5:K40)</f>
        <v>9599297.2000000011</v>
      </c>
      <c r="N40" s="25">
        <f t="shared" si="19"/>
        <v>0</v>
      </c>
      <c r="O40" s="25">
        <f t="shared" si="19"/>
        <v>2056.1116666666667</v>
      </c>
      <c r="P40" s="25">
        <f t="shared" si="19"/>
        <v>9051.0074999999997</v>
      </c>
      <c r="Q40" s="25">
        <f t="shared" si="19"/>
        <v>12481.856666666667</v>
      </c>
      <c r="R40" s="25">
        <f t="shared" si="19"/>
        <v>12371.946833333333</v>
      </c>
      <c r="S40" s="25">
        <f t="shared" si="19"/>
        <v>13200.926666666666</v>
      </c>
      <c r="T40" s="25">
        <f t="shared" si="19"/>
        <v>10320.75</v>
      </c>
      <c r="U40" s="25">
        <f t="shared" si="19"/>
        <v>12617.4</v>
      </c>
      <c r="V40" s="25">
        <f t="shared" si="19"/>
        <v>11395.733333333334</v>
      </c>
      <c r="W40" s="25">
        <f t="shared" si="19"/>
        <v>10542.966666666667</v>
      </c>
      <c r="X40" s="25">
        <f t="shared" si="19"/>
        <v>14046.116666666667</v>
      </c>
      <c r="Y40" s="25">
        <f t="shared" si="19"/>
        <v>13835.583333333334</v>
      </c>
      <c r="Z40" s="25">
        <f t="shared" si="19"/>
        <v>13549.744999999999</v>
      </c>
      <c r="AA40" s="25">
        <f t="shared" si="19"/>
        <v>18631.114999999998</v>
      </c>
      <c r="AB40" s="25">
        <f t="shared" si="19"/>
        <v>6046.2840000000006</v>
      </c>
      <c r="AC40" s="25">
        <f t="shared" si="19"/>
        <v>-575.9233333333334</v>
      </c>
      <c r="AD40" s="25">
        <f t="shared" si="19"/>
        <v>16.666666666666668</v>
      </c>
      <c r="AE40" s="25">
        <f t="shared" si="22"/>
        <v>300</v>
      </c>
      <c r="AF40" s="25">
        <f t="shared" si="22"/>
        <v>100</v>
      </c>
      <c r="AG40" s="25">
        <f t="shared" si="20"/>
        <v>159988.28666666665</v>
      </c>
      <c r="AH40" s="25">
        <f>SUM(AG$5:AG40)</f>
        <v>4469553.5250000004</v>
      </c>
      <c r="AI40" s="25">
        <f t="shared" si="21"/>
        <v>5129743.6750000007</v>
      </c>
      <c r="AJ40" s="25">
        <f t="shared" si="23"/>
        <v>5289731.9616666678</v>
      </c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>
        <f t="shared" si="11"/>
        <v>0</v>
      </c>
      <c r="BH40" s="81">
        <f t="shared" si="6"/>
        <v>0</v>
      </c>
      <c r="BI40" s="81">
        <f t="shared" si="7"/>
        <v>159988.28666666665</v>
      </c>
      <c r="BJ40" s="25">
        <f t="shared" si="8"/>
        <v>159988.28666666665</v>
      </c>
      <c r="BK40" s="25">
        <f>+BJ40*'Capital Structure '!$E$30</f>
        <v>65355.215103333321</v>
      </c>
      <c r="BL40" s="25">
        <f>SUM(BK$5:BK40)</f>
        <v>-2095500.2912375</v>
      </c>
    </row>
    <row r="41" spans="1:64" ht="12.75" hidden="1" customHeight="1" outlineLevel="1">
      <c r="A41" s="10" t="s">
        <v>53</v>
      </c>
      <c r="B41" s="10">
        <f>+B40+1</f>
        <v>2014</v>
      </c>
      <c r="C41" s="10" t="s">
        <v>96</v>
      </c>
      <c r="D41" s="57"/>
      <c r="E41" s="55"/>
      <c r="F41" s="65"/>
      <c r="G41" s="56">
        <f t="shared" si="2"/>
        <v>0</v>
      </c>
      <c r="H41" s="56"/>
      <c r="I41" s="57"/>
      <c r="J41" s="56"/>
      <c r="K41" s="16">
        <f t="shared" si="18"/>
        <v>0</v>
      </c>
      <c r="L41" s="16">
        <f>SUM(K$5:K41)</f>
        <v>9599297.2000000011</v>
      </c>
      <c r="N41" s="16">
        <f t="shared" si="19"/>
        <v>0</v>
      </c>
      <c r="O41" s="16">
        <f t="shared" si="19"/>
        <v>2056.1116666666667</v>
      </c>
      <c r="P41" s="16">
        <f t="shared" si="19"/>
        <v>9051.0074999999997</v>
      </c>
      <c r="Q41" s="16">
        <f t="shared" si="19"/>
        <v>12481.856666666667</v>
      </c>
      <c r="R41" s="16">
        <f t="shared" si="19"/>
        <v>12371.946833333333</v>
      </c>
      <c r="S41" s="16">
        <f t="shared" si="19"/>
        <v>13200.926666666666</v>
      </c>
      <c r="T41" s="16">
        <f t="shared" si="19"/>
        <v>10320.75</v>
      </c>
      <c r="U41" s="16">
        <f t="shared" si="19"/>
        <v>12617.4</v>
      </c>
      <c r="V41" s="16">
        <f t="shared" si="19"/>
        <v>11395.733333333334</v>
      </c>
      <c r="W41" s="16">
        <f t="shared" si="19"/>
        <v>10542.966666666667</v>
      </c>
      <c r="X41" s="16">
        <f t="shared" si="19"/>
        <v>14046.116666666667</v>
      </c>
      <c r="Y41" s="16">
        <f t="shared" si="19"/>
        <v>13835.583333333334</v>
      </c>
      <c r="Z41" s="16">
        <f t="shared" si="19"/>
        <v>13549.744999999999</v>
      </c>
      <c r="AA41" s="16">
        <f t="shared" si="19"/>
        <v>18631.114999999998</v>
      </c>
      <c r="AB41" s="16">
        <f t="shared" si="19"/>
        <v>6046.2840000000006</v>
      </c>
      <c r="AC41" s="16">
        <f t="shared" si="19"/>
        <v>-575.9233333333334</v>
      </c>
      <c r="AD41" s="16">
        <f t="shared" si="19"/>
        <v>16.666666666666668</v>
      </c>
      <c r="AE41" s="16">
        <f t="shared" si="22"/>
        <v>300</v>
      </c>
      <c r="AF41" s="16">
        <f t="shared" si="22"/>
        <v>100</v>
      </c>
      <c r="AG41" s="16">
        <f t="shared" si="20"/>
        <v>159988.28666666665</v>
      </c>
      <c r="AH41" s="16">
        <f>SUM(AG$5:AG41)</f>
        <v>4629541.8116666675</v>
      </c>
      <c r="AI41" s="16">
        <f t="shared" si="21"/>
        <v>4969755.3883333337</v>
      </c>
      <c r="AJ41" s="16">
        <f t="shared" si="23"/>
        <v>5129743.6750000007</v>
      </c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>
        <f t="shared" si="11"/>
        <v>0</v>
      </c>
      <c r="BH41" s="21">
        <f t="shared" si="6"/>
        <v>0</v>
      </c>
      <c r="BI41" s="21">
        <f t="shared" si="7"/>
        <v>159988.28666666665</v>
      </c>
      <c r="BJ41" s="16">
        <f t="shared" si="8"/>
        <v>159988.28666666665</v>
      </c>
      <c r="BK41" s="16">
        <f>+BJ41*'Capital Structure '!$E$30</f>
        <v>65355.215103333321</v>
      </c>
      <c r="BL41" s="16">
        <f>SUM(BK$5:BK41)</f>
        <v>-2030145.0761341667</v>
      </c>
    </row>
    <row r="42" spans="1:64" s="4" customFormat="1" ht="12.75" hidden="1" customHeight="1" outlineLevel="1">
      <c r="A42" s="29" t="s">
        <v>54</v>
      </c>
      <c r="B42" s="29">
        <f>+B41</f>
        <v>2014</v>
      </c>
      <c r="C42" s="7" t="s">
        <v>96</v>
      </c>
      <c r="D42" s="57"/>
      <c r="E42" s="55"/>
      <c r="F42" s="65"/>
      <c r="G42" s="56">
        <f t="shared" si="2"/>
        <v>0</v>
      </c>
      <c r="H42" s="56"/>
      <c r="I42" s="57"/>
      <c r="J42" s="56"/>
      <c r="K42" s="31">
        <f t="shared" si="18"/>
        <v>0</v>
      </c>
      <c r="L42" s="31">
        <f>SUM(K$5:K42)</f>
        <v>9599297.2000000011</v>
      </c>
      <c r="N42" s="31">
        <f t="shared" si="19"/>
        <v>0</v>
      </c>
      <c r="O42" s="31">
        <f t="shared" si="19"/>
        <v>2056.1116666666667</v>
      </c>
      <c r="P42" s="31">
        <f t="shared" si="19"/>
        <v>9051.0074999999997</v>
      </c>
      <c r="Q42" s="31">
        <f t="shared" si="19"/>
        <v>12481.856666666667</v>
      </c>
      <c r="R42" s="31">
        <f t="shared" si="19"/>
        <v>12371.946833333333</v>
      </c>
      <c r="S42" s="31">
        <f t="shared" si="19"/>
        <v>13200.926666666666</v>
      </c>
      <c r="T42" s="31">
        <f t="shared" si="19"/>
        <v>10320.75</v>
      </c>
      <c r="U42" s="31">
        <f t="shared" si="19"/>
        <v>12617.4</v>
      </c>
      <c r="V42" s="31">
        <f t="shared" si="19"/>
        <v>11395.733333333334</v>
      </c>
      <c r="W42" s="31">
        <f t="shared" si="19"/>
        <v>10542.966666666667</v>
      </c>
      <c r="X42" s="31">
        <f t="shared" si="19"/>
        <v>14046.116666666667</v>
      </c>
      <c r="Y42" s="31">
        <f t="shared" si="19"/>
        <v>13835.583333333334</v>
      </c>
      <c r="Z42" s="31">
        <f t="shared" si="19"/>
        <v>13549.744999999999</v>
      </c>
      <c r="AA42" s="31">
        <f t="shared" si="19"/>
        <v>18631.114999999998</v>
      </c>
      <c r="AB42" s="31">
        <f t="shared" si="19"/>
        <v>6046.2840000000006</v>
      </c>
      <c r="AC42" s="31">
        <f t="shared" si="19"/>
        <v>-575.9233333333334</v>
      </c>
      <c r="AD42" s="31">
        <f t="shared" si="19"/>
        <v>16.666666666666668</v>
      </c>
      <c r="AE42" s="31">
        <f t="shared" si="22"/>
        <v>300</v>
      </c>
      <c r="AF42" s="31">
        <f t="shared" si="22"/>
        <v>100</v>
      </c>
      <c r="AG42" s="31">
        <f t="shared" si="20"/>
        <v>159988.28666666665</v>
      </c>
      <c r="AH42" s="31">
        <f>SUM(AG$5:AG42)</f>
        <v>4789530.0983333346</v>
      </c>
      <c r="AI42" s="31">
        <f t="shared" si="21"/>
        <v>4809767.1016666666</v>
      </c>
      <c r="AJ42" s="31">
        <f t="shared" si="23"/>
        <v>4969755.3883333337</v>
      </c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>
        <f t="shared" si="11"/>
        <v>0</v>
      </c>
      <c r="BH42" s="35">
        <f t="shared" si="6"/>
        <v>0</v>
      </c>
      <c r="BI42" s="35">
        <f t="shared" si="7"/>
        <v>159988.28666666665</v>
      </c>
      <c r="BJ42" s="31">
        <f t="shared" si="8"/>
        <v>159988.28666666665</v>
      </c>
      <c r="BK42" s="30">
        <f>+BJ42*'Capital Structure '!$E$30</f>
        <v>65355.215103333321</v>
      </c>
      <c r="BL42" s="31">
        <f>SUM(BK$5:BK42)</f>
        <v>-1964789.8610308333</v>
      </c>
    </row>
    <row r="43" spans="1:64" s="4" customFormat="1" ht="12.75" hidden="1" customHeight="1" outlineLevel="1">
      <c r="A43" s="29" t="s">
        <v>55</v>
      </c>
      <c r="B43" s="29">
        <f>+B42</f>
        <v>2014</v>
      </c>
      <c r="C43" s="7" t="s">
        <v>96</v>
      </c>
      <c r="D43" s="57"/>
      <c r="E43" s="55"/>
      <c r="F43" s="65"/>
      <c r="G43" s="56">
        <f t="shared" si="2"/>
        <v>0</v>
      </c>
      <c r="H43" s="56"/>
      <c r="I43" s="57"/>
      <c r="J43" s="56"/>
      <c r="K43" s="31">
        <f t="shared" si="18"/>
        <v>0</v>
      </c>
      <c r="L43" s="31">
        <f>SUM(K$5:K43)</f>
        <v>9599297.2000000011</v>
      </c>
      <c r="N43" s="31">
        <f t="shared" si="19"/>
        <v>0</v>
      </c>
      <c r="O43" s="31">
        <f t="shared" si="19"/>
        <v>2056.1116666666667</v>
      </c>
      <c r="P43" s="31">
        <f t="shared" si="19"/>
        <v>9051.0074999999997</v>
      </c>
      <c r="Q43" s="31">
        <f t="shared" si="19"/>
        <v>12481.856666666667</v>
      </c>
      <c r="R43" s="31">
        <f t="shared" si="19"/>
        <v>12371.946833333333</v>
      </c>
      <c r="S43" s="31">
        <f t="shared" si="19"/>
        <v>13200.926666666666</v>
      </c>
      <c r="T43" s="31">
        <f t="shared" si="19"/>
        <v>10320.75</v>
      </c>
      <c r="U43" s="31">
        <f t="shared" si="19"/>
        <v>12617.4</v>
      </c>
      <c r="V43" s="31">
        <f t="shared" si="19"/>
        <v>11395.733333333334</v>
      </c>
      <c r="W43" s="31">
        <f t="shared" si="19"/>
        <v>10542.966666666667</v>
      </c>
      <c r="X43" s="31">
        <f t="shared" si="19"/>
        <v>14046.116666666667</v>
      </c>
      <c r="Y43" s="31">
        <f t="shared" si="19"/>
        <v>13835.583333333334</v>
      </c>
      <c r="Z43" s="31">
        <f t="shared" si="19"/>
        <v>13549.744999999999</v>
      </c>
      <c r="AA43" s="31">
        <f t="shared" si="19"/>
        <v>18631.114999999998</v>
      </c>
      <c r="AB43" s="31">
        <f t="shared" si="19"/>
        <v>6046.2840000000006</v>
      </c>
      <c r="AC43" s="31">
        <f t="shared" si="19"/>
        <v>-575.9233333333334</v>
      </c>
      <c r="AD43" s="31">
        <f t="shared" si="19"/>
        <v>16.666666666666668</v>
      </c>
      <c r="AE43" s="31">
        <f t="shared" si="22"/>
        <v>300</v>
      </c>
      <c r="AF43" s="31">
        <f t="shared" si="22"/>
        <v>100</v>
      </c>
      <c r="AG43" s="31">
        <f t="shared" si="20"/>
        <v>159988.28666666665</v>
      </c>
      <c r="AH43" s="31">
        <f>SUM(AG$5:AG43)</f>
        <v>4949518.3850000016</v>
      </c>
      <c r="AI43" s="31">
        <f t="shared" si="21"/>
        <v>4649778.8149999995</v>
      </c>
      <c r="AJ43" s="31">
        <f t="shared" si="23"/>
        <v>4809767.1016666666</v>
      </c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>
        <f t="shared" si="11"/>
        <v>0</v>
      </c>
      <c r="BH43" s="35">
        <f t="shared" si="6"/>
        <v>0</v>
      </c>
      <c r="BI43" s="35">
        <f t="shared" si="7"/>
        <v>159988.28666666665</v>
      </c>
      <c r="BJ43" s="31">
        <f t="shared" si="8"/>
        <v>159988.28666666665</v>
      </c>
      <c r="BK43" s="30">
        <f>+BJ43*'Capital Structure '!$E$30</f>
        <v>65355.215103333321</v>
      </c>
      <c r="BL43" s="31">
        <f>SUM(BK$5:BK43)</f>
        <v>-1899434.6459275</v>
      </c>
    </row>
    <row r="44" spans="1:64" s="3" customFormat="1" ht="12.75" hidden="1" customHeight="1" outlineLevel="1">
      <c r="A44" s="7" t="s">
        <v>56</v>
      </c>
      <c r="B44" s="7">
        <f>+B43</f>
        <v>2014</v>
      </c>
      <c r="C44" s="7" t="s">
        <v>96</v>
      </c>
      <c r="D44" s="57"/>
      <c r="E44" s="55"/>
      <c r="F44" s="65"/>
      <c r="G44" s="56">
        <f t="shared" si="2"/>
        <v>0</v>
      </c>
      <c r="H44" s="56"/>
      <c r="I44" s="57"/>
      <c r="J44" s="56"/>
      <c r="K44" s="30">
        <f t="shared" si="18"/>
        <v>0</v>
      </c>
      <c r="L44" s="30">
        <f>SUM(K$5:K44)</f>
        <v>9599297.2000000011</v>
      </c>
      <c r="N44" s="30">
        <f t="shared" si="19"/>
        <v>0</v>
      </c>
      <c r="O44" s="30">
        <f t="shared" si="19"/>
        <v>2056.1116666666667</v>
      </c>
      <c r="P44" s="30">
        <f t="shared" si="19"/>
        <v>9051.0074999999997</v>
      </c>
      <c r="Q44" s="30">
        <f t="shared" si="19"/>
        <v>12481.856666666667</v>
      </c>
      <c r="R44" s="30">
        <f t="shared" si="19"/>
        <v>12371.946833333333</v>
      </c>
      <c r="S44" s="30">
        <f t="shared" si="19"/>
        <v>13200.926666666666</v>
      </c>
      <c r="T44" s="30">
        <f t="shared" si="19"/>
        <v>10320.75</v>
      </c>
      <c r="U44" s="30">
        <f t="shared" si="19"/>
        <v>12617.4</v>
      </c>
      <c r="V44" s="30">
        <f t="shared" si="19"/>
        <v>11395.733333333334</v>
      </c>
      <c r="W44" s="30">
        <f t="shared" si="19"/>
        <v>10542.966666666667</v>
      </c>
      <c r="X44" s="30">
        <f t="shared" si="19"/>
        <v>14046.116666666667</v>
      </c>
      <c r="Y44" s="30">
        <f t="shared" si="19"/>
        <v>13835.583333333334</v>
      </c>
      <c r="Z44" s="30">
        <f t="shared" si="19"/>
        <v>13549.744999999999</v>
      </c>
      <c r="AA44" s="30">
        <f t="shared" si="19"/>
        <v>18631.114999999998</v>
      </c>
      <c r="AB44" s="30">
        <f t="shared" si="19"/>
        <v>6046.2840000000006</v>
      </c>
      <c r="AC44" s="30">
        <f t="shared" si="19"/>
        <v>-575.9233333333334</v>
      </c>
      <c r="AD44" s="30">
        <f t="shared" si="19"/>
        <v>16.666666666666668</v>
      </c>
      <c r="AE44" s="30">
        <f t="shared" si="22"/>
        <v>300</v>
      </c>
      <c r="AF44" s="30">
        <f t="shared" si="22"/>
        <v>100</v>
      </c>
      <c r="AG44" s="30">
        <f t="shared" si="20"/>
        <v>159988.28666666665</v>
      </c>
      <c r="AH44" s="30">
        <f>SUM(AG$5:AG44)</f>
        <v>5109506.6716666687</v>
      </c>
      <c r="AI44" s="30">
        <f t="shared" si="21"/>
        <v>4489790.5283333324</v>
      </c>
      <c r="AJ44" s="30">
        <f t="shared" si="23"/>
        <v>4649778.8149999995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>
        <f t="shared" si="11"/>
        <v>0</v>
      </c>
      <c r="BH44" s="22">
        <f t="shared" si="6"/>
        <v>0</v>
      </c>
      <c r="BI44" s="22">
        <f t="shared" si="7"/>
        <v>159988.28666666665</v>
      </c>
      <c r="BJ44" s="30">
        <f t="shared" si="8"/>
        <v>159988.28666666665</v>
      </c>
      <c r="BK44" s="30">
        <f>+BJ44*'Capital Structure '!$E$30</f>
        <v>65355.215103333321</v>
      </c>
      <c r="BL44" s="30">
        <f>SUM(BK$5:BK44)</f>
        <v>-1834079.4308241666</v>
      </c>
    </row>
    <row r="45" spans="1:64" s="3" customFormat="1" ht="12.75" hidden="1" customHeight="1" outlineLevel="1">
      <c r="A45" s="7" t="s">
        <v>57</v>
      </c>
      <c r="B45" s="7">
        <f>+B44</f>
        <v>2014</v>
      </c>
      <c r="C45" s="7" t="s">
        <v>96</v>
      </c>
      <c r="D45" s="57"/>
      <c r="E45" s="55"/>
      <c r="F45" s="65"/>
      <c r="G45" s="56">
        <f t="shared" si="2"/>
        <v>0</v>
      </c>
      <c r="H45" s="56"/>
      <c r="I45" s="57"/>
      <c r="J45" s="56"/>
      <c r="K45" s="30">
        <f t="shared" si="18"/>
        <v>0</v>
      </c>
      <c r="L45" s="30">
        <f>SUM(K$5:K45)</f>
        <v>9599297.2000000011</v>
      </c>
      <c r="N45" s="30">
        <f t="shared" si="19"/>
        <v>0</v>
      </c>
      <c r="O45" s="30">
        <f t="shared" si="19"/>
        <v>2056.1116666666667</v>
      </c>
      <c r="P45" s="30">
        <f t="shared" si="19"/>
        <v>9051.0074999999997</v>
      </c>
      <c r="Q45" s="30">
        <f t="shared" si="19"/>
        <v>12481.856666666667</v>
      </c>
      <c r="R45" s="30">
        <f t="shared" si="19"/>
        <v>12371.946833333333</v>
      </c>
      <c r="S45" s="30">
        <f t="shared" si="19"/>
        <v>13200.926666666666</v>
      </c>
      <c r="T45" s="30">
        <f t="shared" si="19"/>
        <v>10320.75</v>
      </c>
      <c r="U45" s="30">
        <f t="shared" si="19"/>
        <v>12617.4</v>
      </c>
      <c r="V45" s="30">
        <f t="shared" si="19"/>
        <v>11395.733333333334</v>
      </c>
      <c r="W45" s="30">
        <f t="shared" si="19"/>
        <v>10542.966666666667</v>
      </c>
      <c r="X45" s="30">
        <f t="shared" si="19"/>
        <v>14046.116666666667</v>
      </c>
      <c r="Y45" s="30">
        <f t="shared" si="19"/>
        <v>13835.583333333334</v>
      </c>
      <c r="Z45" s="30">
        <f t="shared" si="19"/>
        <v>13549.744999999999</v>
      </c>
      <c r="AA45" s="30">
        <f t="shared" si="19"/>
        <v>18631.114999999998</v>
      </c>
      <c r="AB45" s="30">
        <f t="shared" si="19"/>
        <v>6046.2840000000006</v>
      </c>
      <c r="AC45" s="30">
        <f t="shared" si="19"/>
        <v>-575.9233333333334</v>
      </c>
      <c r="AD45" s="30">
        <f t="shared" si="19"/>
        <v>16.666666666666668</v>
      </c>
      <c r="AE45" s="30">
        <f t="shared" si="22"/>
        <v>300</v>
      </c>
      <c r="AF45" s="30">
        <f t="shared" si="22"/>
        <v>100</v>
      </c>
      <c r="AG45" s="30">
        <f t="shared" si="20"/>
        <v>159988.28666666665</v>
      </c>
      <c r="AH45" s="30">
        <f>SUM(AG$5:AG45)</f>
        <v>5269494.9583333358</v>
      </c>
      <c r="AI45" s="30">
        <f t="shared" si="21"/>
        <v>4329802.2416666653</v>
      </c>
      <c r="AJ45" s="30">
        <f t="shared" si="23"/>
        <v>4489790.5283333324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>
        <f t="shared" si="11"/>
        <v>0</v>
      </c>
      <c r="BH45" s="22">
        <f t="shared" si="6"/>
        <v>0</v>
      </c>
      <c r="BI45" s="22">
        <f t="shared" si="7"/>
        <v>159988.28666666665</v>
      </c>
      <c r="BJ45" s="30">
        <f t="shared" si="8"/>
        <v>159988.28666666665</v>
      </c>
      <c r="BK45" s="30">
        <f>+BJ45*'Capital Structure '!$E$30</f>
        <v>65355.215103333321</v>
      </c>
      <c r="BL45" s="30">
        <f>SUM(BK$5:BK45)</f>
        <v>-1768724.2157208333</v>
      </c>
    </row>
    <row r="46" spans="1:64" s="3" customFormat="1" ht="12.75" hidden="1" customHeight="1" outlineLevel="1">
      <c r="A46" s="7" t="s">
        <v>58</v>
      </c>
      <c r="B46" s="7">
        <f>+B45</f>
        <v>2014</v>
      </c>
      <c r="C46" s="7" t="s">
        <v>96</v>
      </c>
      <c r="D46" s="57"/>
      <c r="E46" s="55"/>
      <c r="F46" s="65"/>
      <c r="G46" s="56">
        <f t="shared" si="2"/>
        <v>0</v>
      </c>
      <c r="H46" s="56"/>
      <c r="I46" s="57"/>
      <c r="J46" s="56"/>
      <c r="K46" s="30">
        <f t="shared" si="18"/>
        <v>0</v>
      </c>
      <c r="L46" s="30">
        <f>SUM(K$5:K46)</f>
        <v>9599297.2000000011</v>
      </c>
      <c r="N46" s="30">
        <f t="shared" si="19"/>
        <v>0</v>
      </c>
      <c r="O46" s="30">
        <f t="shared" si="19"/>
        <v>2056.1116666666667</v>
      </c>
      <c r="P46" s="30">
        <f t="shared" si="19"/>
        <v>9051.0074999999997</v>
      </c>
      <c r="Q46" s="30">
        <f t="shared" si="19"/>
        <v>12481.856666666667</v>
      </c>
      <c r="R46" s="30">
        <f t="shared" si="19"/>
        <v>12371.946833333333</v>
      </c>
      <c r="S46" s="30">
        <f t="shared" si="19"/>
        <v>13200.926666666666</v>
      </c>
      <c r="T46" s="30">
        <f t="shared" si="19"/>
        <v>10320.75</v>
      </c>
      <c r="U46" s="30">
        <f t="shared" si="19"/>
        <v>12617.4</v>
      </c>
      <c r="V46" s="30">
        <f t="shared" si="19"/>
        <v>11395.733333333334</v>
      </c>
      <c r="W46" s="30">
        <f t="shared" si="19"/>
        <v>10542.966666666667</v>
      </c>
      <c r="X46" s="30">
        <f t="shared" si="19"/>
        <v>14046.116666666667</v>
      </c>
      <c r="Y46" s="30">
        <f t="shared" si="19"/>
        <v>13835.583333333334</v>
      </c>
      <c r="Z46" s="30">
        <f t="shared" si="19"/>
        <v>13549.744999999999</v>
      </c>
      <c r="AA46" s="30">
        <f t="shared" si="19"/>
        <v>18631.114999999998</v>
      </c>
      <c r="AB46" s="30">
        <f t="shared" si="19"/>
        <v>6046.2840000000006</v>
      </c>
      <c r="AC46" s="30">
        <f t="shared" si="19"/>
        <v>-575.9233333333334</v>
      </c>
      <c r="AD46" s="30">
        <f t="shared" si="19"/>
        <v>16.666666666666668</v>
      </c>
      <c r="AE46" s="30">
        <f t="shared" si="22"/>
        <v>300</v>
      </c>
      <c r="AF46" s="30">
        <f t="shared" si="22"/>
        <v>100</v>
      </c>
      <c r="AG46" s="30">
        <f t="shared" si="20"/>
        <v>159988.28666666665</v>
      </c>
      <c r="AH46" s="30">
        <f>SUM(AG$5:AG46)</f>
        <v>5429483.2450000029</v>
      </c>
      <c r="AI46" s="30">
        <f t="shared" si="21"/>
        <v>4169813.9549999982</v>
      </c>
      <c r="AJ46" s="30">
        <f t="shared" si="23"/>
        <v>4329802.2416666653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>
        <f t="shared" si="11"/>
        <v>0</v>
      </c>
      <c r="BH46" s="22">
        <f t="shared" si="6"/>
        <v>0</v>
      </c>
      <c r="BI46" s="22">
        <f t="shared" si="7"/>
        <v>159988.28666666665</v>
      </c>
      <c r="BJ46" s="30">
        <f t="shared" si="8"/>
        <v>159988.28666666665</v>
      </c>
      <c r="BK46" s="30">
        <f>+BJ46*'Capital Structure '!$E$30</f>
        <v>65355.215103333321</v>
      </c>
      <c r="BL46" s="30">
        <f>SUM(BK$5:BK46)</f>
        <v>-1703369.0006174999</v>
      </c>
    </row>
    <row r="47" spans="1:64" s="3" customFormat="1" ht="12.75" hidden="1" customHeight="1" outlineLevel="1">
      <c r="A47" s="7" t="s">
        <v>59</v>
      </c>
      <c r="B47" s="7">
        <f t="shared" ref="B47:B52" si="24">+B46</f>
        <v>2014</v>
      </c>
      <c r="C47" s="7" t="s">
        <v>96</v>
      </c>
      <c r="D47" s="57"/>
      <c r="E47" s="55"/>
      <c r="F47" s="65"/>
      <c r="G47" s="56">
        <f t="shared" si="2"/>
        <v>0</v>
      </c>
      <c r="H47" s="56"/>
      <c r="I47" s="57"/>
      <c r="J47" s="56"/>
      <c r="K47" s="30">
        <f t="shared" si="18"/>
        <v>0</v>
      </c>
      <c r="L47" s="30">
        <f>SUM(K$5:K47)</f>
        <v>9599297.2000000011</v>
      </c>
      <c r="N47" s="30">
        <f t="shared" si="19"/>
        <v>0</v>
      </c>
      <c r="O47" s="30">
        <f t="shared" si="19"/>
        <v>2056.1116666666667</v>
      </c>
      <c r="P47" s="30">
        <f t="shared" si="19"/>
        <v>9051.0074999999997</v>
      </c>
      <c r="Q47" s="30">
        <f t="shared" si="19"/>
        <v>12481.856666666667</v>
      </c>
      <c r="R47" s="30">
        <f t="shared" si="19"/>
        <v>12371.946833333333</v>
      </c>
      <c r="S47" s="30">
        <f t="shared" si="19"/>
        <v>13200.926666666666</v>
      </c>
      <c r="T47" s="30">
        <f t="shared" si="19"/>
        <v>10320.75</v>
      </c>
      <c r="U47" s="30">
        <f t="shared" si="19"/>
        <v>12617.4</v>
      </c>
      <c r="V47" s="30">
        <f t="shared" si="19"/>
        <v>11395.733333333334</v>
      </c>
      <c r="W47" s="30">
        <f t="shared" si="19"/>
        <v>10542.966666666667</v>
      </c>
      <c r="X47" s="30">
        <f t="shared" si="19"/>
        <v>14046.116666666667</v>
      </c>
      <c r="Y47" s="30">
        <f t="shared" si="19"/>
        <v>13835.583333333334</v>
      </c>
      <c r="Z47" s="30">
        <f t="shared" si="19"/>
        <v>13549.744999999999</v>
      </c>
      <c r="AA47" s="30">
        <f t="shared" si="19"/>
        <v>18631.114999999998</v>
      </c>
      <c r="AB47" s="30">
        <f t="shared" si="19"/>
        <v>6046.2840000000006</v>
      </c>
      <c r="AC47" s="30">
        <f t="shared" si="19"/>
        <v>-575.9233333333334</v>
      </c>
      <c r="AD47" s="30">
        <f t="shared" si="19"/>
        <v>16.666666666666668</v>
      </c>
      <c r="AE47" s="30">
        <f t="shared" si="22"/>
        <v>300</v>
      </c>
      <c r="AF47" s="30">
        <f t="shared" si="22"/>
        <v>100</v>
      </c>
      <c r="AG47" s="30">
        <f t="shared" si="20"/>
        <v>159988.28666666665</v>
      </c>
      <c r="AH47" s="30">
        <f>SUM(AG$5:AG47)</f>
        <v>5589471.53166667</v>
      </c>
      <c r="AI47" s="30">
        <f t="shared" si="21"/>
        <v>4009825.6683333311</v>
      </c>
      <c r="AJ47" s="30">
        <f t="shared" si="23"/>
        <v>4169813.9549999982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>
        <f t="shared" si="11"/>
        <v>0</v>
      </c>
      <c r="BH47" s="22">
        <f t="shared" si="6"/>
        <v>0</v>
      </c>
      <c r="BI47" s="22">
        <f t="shared" si="7"/>
        <v>159988.28666666665</v>
      </c>
      <c r="BJ47" s="30">
        <f t="shared" si="8"/>
        <v>159988.28666666665</v>
      </c>
      <c r="BK47" s="30">
        <f>+BJ47*'Capital Structure '!$E$30</f>
        <v>65355.215103333321</v>
      </c>
      <c r="BL47" s="30">
        <f>SUM(BK$5:BK47)</f>
        <v>-1638013.7855141666</v>
      </c>
    </row>
    <row r="48" spans="1:64" s="3" customFormat="1" ht="12.75" hidden="1" customHeight="1" outlineLevel="1">
      <c r="A48" s="7" t="s">
        <v>46</v>
      </c>
      <c r="B48" s="7">
        <f t="shared" si="24"/>
        <v>2014</v>
      </c>
      <c r="C48" s="7" t="s">
        <v>96</v>
      </c>
      <c r="D48" s="57"/>
      <c r="E48" s="55"/>
      <c r="F48" s="65"/>
      <c r="G48" s="56">
        <f t="shared" si="2"/>
        <v>0</v>
      </c>
      <c r="H48" s="56"/>
      <c r="I48" s="57"/>
      <c r="J48" s="56"/>
      <c r="K48" s="30">
        <f t="shared" si="18"/>
        <v>0</v>
      </c>
      <c r="L48" s="30">
        <f>SUM(K$5:K48)</f>
        <v>9599297.2000000011</v>
      </c>
      <c r="N48" s="30">
        <f t="shared" si="19"/>
        <v>0</v>
      </c>
      <c r="O48" s="30">
        <f t="shared" si="19"/>
        <v>2056.1116666666667</v>
      </c>
      <c r="P48" s="30">
        <f t="shared" si="19"/>
        <v>9051.0074999999997</v>
      </c>
      <c r="Q48" s="30">
        <f t="shared" si="19"/>
        <v>12481.856666666667</v>
      </c>
      <c r="R48" s="30">
        <f t="shared" si="19"/>
        <v>12371.946833333333</v>
      </c>
      <c r="S48" s="30">
        <f t="shared" si="19"/>
        <v>13200.926666666666</v>
      </c>
      <c r="T48" s="30">
        <f t="shared" si="19"/>
        <v>10320.75</v>
      </c>
      <c r="U48" s="30">
        <f t="shared" si="19"/>
        <v>12617.4</v>
      </c>
      <c r="V48" s="30">
        <f t="shared" si="19"/>
        <v>11395.733333333334</v>
      </c>
      <c r="W48" s="30">
        <f t="shared" si="19"/>
        <v>10542.966666666667</v>
      </c>
      <c r="X48" s="30">
        <f t="shared" si="19"/>
        <v>14046.116666666667</v>
      </c>
      <c r="Y48" s="30">
        <f t="shared" si="19"/>
        <v>13835.583333333334</v>
      </c>
      <c r="Z48" s="30">
        <f t="shared" si="19"/>
        <v>13549.744999999999</v>
      </c>
      <c r="AA48" s="30">
        <f t="shared" si="19"/>
        <v>18631.114999999998</v>
      </c>
      <c r="AB48" s="30">
        <f t="shared" si="19"/>
        <v>6046.2840000000006</v>
      </c>
      <c r="AC48" s="30">
        <f t="shared" si="19"/>
        <v>-575.9233333333334</v>
      </c>
      <c r="AD48" s="30">
        <f t="shared" si="19"/>
        <v>16.666666666666668</v>
      </c>
      <c r="AE48" s="30">
        <f t="shared" si="22"/>
        <v>300</v>
      </c>
      <c r="AF48" s="30">
        <f t="shared" si="22"/>
        <v>100</v>
      </c>
      <c r="AG48" s="30">
        <f t="shared" si="20"/>
        <v>159988.28666666665</v>
      </c>
      <c r="AH48" s="30">
        <f>SUM(AG$5:AG48)</f>
        <v>5749459.8183333371</v>
      </c>
      <c r="AI48" s="30">
        <f t="shared" si="21"/>
        <v>3849837.381666664</v>
      </c>
      <c r="AJ48" s="30">
        <f t="shared" si="23"/>
        <v>4009825.6683333311</v>
      </c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>
        <f t="shared" si="11"/>
        <v>0</v>
      </c>
      <c r="BH48" s="22">
        <f t="shared" si="6"/>
        <v>0</v>
      </c>
      <c r="BI48" s="22">
        <f t="shared" si="7"/>
        <v>159988.28666666665</v>
      </c>
      <c r="BJ48" s="30">
        <f t="shared" si="8"/>
        <v>159988.28666666665</v>
      </c>
      <c r="BK48" s="30">
        <f>+BJ48*'Capital Structure '!$E$30</f>
        <v>65355.215103333321</v>
      </c>
      <c r="BL48" s="30">
        <f>SUM(BK$5:BK48)</f>
        <v>-1572658.5704108332</v>
      </c>
    </row>
    <row r="49" spans="1:64" s="3" customFormat="1" ht="12.75" hidden="1" customHeight="1" outlineLevel="1">
      <c r="A49" s="7" t="s">
        <v>48</v>
      </c>
      <c r="B49" s="7">
        <f t="shared" si="24"/>
        <v>2014</v>
      </c>
      <c r="C49" s="7" t="s">
        <v>96</v>
      </c>
      <c r="D49" s="57"/>
      <c r="E49" s="55"/>
      <c r="F49" s="65"/>
      <c r="G49" s="56">
        <f t="shared" si="2"/>
        <v>0</v>
      </c>
      <c r="H49" s="56"/>
      <c r="I49" s="57"/>
      <c r="J49" s="56"/>
      <c r="K49" s="30">
        <f t="shared" si="18"/>
        <v>0</v>
      </c>
      <c r="L49" s="30">
        <f>SUM(K$5:K49)</f>
        <v>9599297.2000000011</v>
      </c>
      <c r="N49" s="30">
        <f t="shared" si="19"/>
        <v>0</v>
      </c>
      <c r="O49" s="30">
        <f t="shared" si="19"/>
        <v>2056.1116666666667</v>
      </c>
      <c r="P49" s="30">
        <f t="shared" si="19"/>
        <v>9051.0074999999997</v>
      </c>
      <c r="Q49" s="30">
        <f t="shared" si="19"/>
        <v>12481.856666666667</v>
      </c>
      <c r="R49" s="30">
        <f t="shared" si="19"/>
        <v>12371.946833333333</v>
      </c>
      <c r="S49" s="30">
        <f t="shared" si="19"/>
        <v>13200.926666666666</v>
      </c>
      <c r="T49" s="30">
        <f t="shared" si="19"/>
        <v>10320.75</v>
      </c>
      <c r="U49" s="30">
        <f t="shared" si="19"/>
        <v>12617.4</v>
      </c>
      <c r="V49" s="30">
        <f t="shared" si="19"/>
        <v>11395.733333333334</v>
      </c>
      <c r="W49" s="30">
        <f t="shared" si="19"/>
        <v>10542.966666666667</v>
      </c>
      <c r="X49" s="30">
        <f t="shared" si="19"/>
        <v>14046.116666666667</v>
      </c>
      <c r="Y49" s="30">
        <f t="shared" si="19"/>
        <v>13835.583333333334</v>
      </c>
      <c r="Z49" s="30">
        <f t="shared" si="19"/>
        <v>13549.744999999999</v>
      </c>
      <c r="AA49" s="30">
        <f t="shared" si="19"/>
        <v>18631.114999999998</v>
      </c>
      <c r="AB49" s="30">
        <f t="shared" si="19"/>
        <v>6046.2840000000006</v>
      </c>
      <c r="AC49" s="30">
        <f t="shared" si="19"/>
        <v>-575.9233333333334</v>
      </c>
      <c r="AD49" s="30">
        <f t="shared" si="19"/>
        <v>16.666666666666668</v>
      </c>
      <c r="AE49" s="30">
        <f t="shared" si="22"/>
        <v>300</v>
      </c>
      <c r="AF49" s="30">
        <f t="shared" si="22"/>
        <v>100</v>
      </c>
      <c r="AG49" s="30">
        <f t="shared" si="20"/>
        <v>159988.28666666665</v>
      </c>
      <c r="AH49" s="30">
        <f>SUM(AG$5:AG49)</f>
        <v>5909448.1050000042</v>
      </c>
      <c r="AI49" s="30">
        <f t="shared" si="21"/>
        <v>3689849.0949999969</v>
      </c>
      <c r="AJ49" s="30">
        <f t="shared" si="23"/>
        <v>3849837.381666664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>
        <f t="shared" si="11"/>
        <v>0</v>
      </c>
      <c r="BH49" s="22">
        <f t="shared" si="6"/>
        <v>0</v>
      </c>
      <c r="BI49" s="22">
        <f t="shared" si="7"/>
        <v>159988.28666666665</v>
      </c>
      <c r="BJ49" s="30">
        <f t="shared" si="8"/>
        <v>159988.28666666665</v>
      </c>
      <c r="BK49" s="30">
        <f>+BJ49*'Capital Structure '!$E$30</f>
        <v>65355.215103333321</v>
      </c>
      <c r="BL49" s="30">
        <f>SUM(BK$5:BK49)</f>
        <v>-1507303.3553074999</v>
      </c>
    </row>
    <row r="50" spans="1:64" s="3" customFormat="1" ht="12.75" hidden="1" customHeight="1" outlineLevel="1">
      <c r="A50" s="7" t="s">
        <v>50</v>
      </c>
      <c r="B50" s="7">
        <f t="shared" si="24"/>
        <v>2014</v>
      </c>
      <c r="C50" s="7" t="s">
        <v>96</v>
      </c>
      <c r="D50" s="57"/>
      <c r="E50" s="55"/>
      <c r="F50" s="65"/>
      <c r="G50" s="56">
        <f t="shared" si="2"/>
        <v>0</v>
      </c>
      <c r="H50" s="56"/>
      <c r="I50" s="57"/>
      <c r="J50" s="56"/>
      <c r="K50" s="30">
        <f t="shared" si="18"/>
        <v>0</v>
      </c>
      <c r="L50" s="30">
        <f>SUM(K$5:K50)</f>
        <v>9599297.2000000011</v>
      </c>
      <c r="N50" s="30">
        <f t="shared" si="19"/>
        <v>0</v>
      </c>
      <c r="O50" s="30">
        <f t="shared" si="19"/>
        <v>2056.1116666666667</v>
      </c>
      <c r="P50" s="30">
        <f t="shared" si="19"/>
        <v>9051.0074999999997</v>
      </c>
      <c r="Q50" s="30">
        <f t="shared" si="19"/>
        <v>12481.856666666667</v>
      </c>
      <c r="R50" s="30">
        <f t="shared" si="19"/>
        <v>12371.946833333333</v>
      </c>
      <c r="S50" s="30">
        <f t="shared" si="19"/>
        <v>13200.926666666666</v>
      </c>
      <c r="T50" s="30">
        <f t="shared" si="19"/>
        <v>10320.75</v>
      </c>
      <c r="U50" s="30">
        <f t="shared" si="19"/>
        <v>12617.4</v>
      </c>
      <c r="V50" s="30">
        <f t="shared" si="19"/>
        <v>11395.733333333334</v>
      </c>
      <c r="W50" s="30">
        <f t="shared" si="19"/>
        <v>10542.966666666667</v>
      </c>
      <c r="X50" s="30">
        <f t="shared" si="19"/>
        <v>14046.116666666667</v>
      </c>
      <c r="Y50" s="30">
        <f t="shared" si="19"/>
        <v>13835.583333333334</v>
      </c>
      <c r="Z50" s="30">
        <f t="shared" si="19"/>
        <v>13549.744999999999</v>
      </c>
      <c r="AA50" s="30">
        <f t="shared" si="19"/>
        <v>18631.114999999998</v>
      </c>
      <c r="AB50" s="30">
        <f t="shared" si="19"/>
        <v>6046.2840000000006</v>
      </c>
      <c r="AC50" s="30">
        <f t="shared" si="19"/>
        <v>-575.9233333333334</v>
      </c>
      <c r="AD50" s="30">
        <f t="shared" si="19"/>
        <v>16.666666666666668</v>
      </c>
      <c r="AE50" s="30">
        <f t="shared" si="22"/>
        <v>300</v>
      </c>
      <c r="AF50" s="30">
        <f t="shared" si="22"/>
        <v>100</v>
      </c>
      <c r="AG50" s="30">
        <f t="shared" si="20"/>
        <v>159988.28666666665</v>
      </c>
      <c r="AH50" s="30">
        <f>SUM(AG$5:AG50)</f>
        <v>6069436.3916666713</v>
      </c>
      <c r="AI50" s="30">
        <f t="shared" si="21"/>
        <v>3529860.8083333299</v>
      </c>
      <c r="AJ50" s="30">
        <f t="shared" si="23"/>
        <v>3689849.0949999969</v>
      </c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>
        <f t="shared" si="11"/>
        <v>0</v>
      </c>
      <c r="BH50" s="22">
        <f t="shared" si="6"/>
        <v>0</v>
      </c>
      <c r="BI50" s="22">
        <f t="shared" si="7"/>
        <v>159988.28666666665</v>
      </c>
      <c r="BJ50" s="30">
        <f t="shared" si="8"/>
        <v>159988.28666666665</v>
      </c>
      <c r="BK50" s="30">
        <f>+BJ50*'Capital Structure '!$E$30</f>
        <v>65355.215103333321</v>
      </c>
      <c r="BL50" s="30">
        <f>SUM(BK$5:BK50)</f>
        <v>-1441948.1402041665</v>
      </c>
    </row>
    <row r="51" spans="1:64" s="3" customFormat="1" ht="12.75" hidden="1" customHeight="1" outlineLevel="1">
      <c r="A51" s="7" t="s">
        <v>51</v>
      </c>
      <c r="B51" s="7">
        <f t="shared" si="24"/>
        <v>2014</v>
      </c>
      <c r="C51" s="7" t="s">
        <v>96</v>
      </c>
      <c r="D51" s="57"/>
      <c r="E51" s="55"/>
      <c r="F51" s="65"/>
      <c r="G51" s="56">
        <f t="shared" si="2"/>
        <v>0</v>
      </c>
      <c r="H51" s="56"/>
      <c r="I51" s="57"/>
      <c r="J51" s="56"/>
      <c r="K51" s="30">
        <f t="shared" si="18"/>
        <v>0</v>
      </c>
      <c r="L51" s="30">
        <f>SUM(K$5:K51)</f>
        <v>9599297.2000000011</v>
      </c>
      <c r="N51" s="30">
        <f t="shared" si="19"/>
        <v>0</v>
      </c>
      <c r="O51" s="30">
        <f t="shared" si="19"/>
        <v>2056.1116666666667</v>
      </c>
      <c r="P51" s="30">
        <f t="shared" si="19"/>
        <v>9051.0074999999997</v>
      </c>
      <c r="Q51" s="30">
        <f t="shared" si="19"/>
        <v>12481.856666666667</v>
      </c>
      <c r="R51" s="30">
        <f t="shared" si="19"/>
        <v>12371.946833333333</v>
      </c>
      <c r="S51" s="30">
        <f t="shared" si="19"/>
        <v>13200.926666666666</v>
      </c>
      <c r="T51" s="30">
        <f t="shared" si="19"/>
        <v>10320.75</v>
      </c>
      <c r="U51" s="30">
        <f t="shared" si="19"/>
        <v>12617.4</v>
      </c>
      <c r="V51" s="30">
        <f t="shared" si="19"/>
        <v>11395.733333333334</v>
      </c>
      <c r="W51" s="30">
        <f t="shared" si="19"/>
        <v>10542.966666666667</v>
      </c>
      <c r="X51" s="30">
        <f t="shared" si="19"/>
        <v>14046.116666666667</v>
      </c>
      <c r="Y51" s="30">
        <f t="shared" si="19"/>
        <v>13835.583333333334</v>
      </c>
      <c r="Z51" s="30">
        <f t="shared" si="19"/>
        <v>13549.744999999999</v>
      </c>
      <c r="AA51" s="30">
        <f t="shared" si="19"/>
        <v>18631.114999999998</v>
      </c>
      <c r="AB51" s="30">
        <f t="shared" si="19"/>
        <v>6046.2840000000006</v>
      </c>
      <c r="AC51" s="30">
        <f t="shared" si="19"/>
        <v>-575.9233333333334</v>
      </c>
      <c r="AD51" s="30">
        <f t="shared" si="19"/>
        <v>16.666666666666668</v>
      </c>
      <c r="AE51" s="30">
        <f t="shared" si="22"/>
        <v>300</v>
      </c>
      <c r="AF51" s="30">
        <f t="shared" si="22"/>
        <v>100</v>
      </c>
      <c r="AG51" s="30">
        <f t="shared" si="20"/>
        <v>159988.28666666665</v>
      </c>
      <c r="AH51" s="30">
        <f>SUM(AG$5:AG51)</f>
        <v>6229424.6783333384</v>
      </c>
      <c r="AI51" s="30">
        <f t="shared" si="21"/>
        <v>3369872.5216666628</v>
      </c>
      <c r="AJ51" s="30">
        <f t="shared" si="23"/>
        <v>3529860.8083333299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>
        <f t="shared" si="11"/>
        <v>0</v>
      </c>
      <c r="BH51" s="22">
        <f t="shared" si="6"/>
        <v>0</v>
      </c>
      <c r="BI51" s="22">
        <f t="shared" si="7"/>
        <v>159988.28666666665</v>
      </c>
      <c r="BJ51" s="30">
        <f t="shared" si="8"/>
        <v>159988.28666666665</v>
      </c>
      <c r="BK51" s="30">
        <f>+BJ51*'Capital Structure '!$E$30</f>
        <v>65355.215103333321</v>
      </c>
      <c r="BL51" s="30">
        <f>SUM(BK$5:BK51)</f>
        <v>-1376592.9251008332</v>
      </c>
    </row>
    <row r="52" spans="1:64" s="3" customFormat="1" ht="12.75" hidden="1" customHeight="1" outlineLevel="1">
      <c r="A52" s="124" t="s">
        <v>52</v>
      </c>
      <c r="B52" s="124">
        <f t="shared" si="24"/>
        <v>2014</v>
      </c>
      <c r="C52" s="124" t="s">
        <v>96</v>
      </c>
      <c r="D52" s="68"/>
      <c r="E52" s="58"/>
      <c r="F52" s="58"/>
      <c r="G52" s="60">
        <f t="shared" si="2"/>
        <v>0</v>
      </c>
      <c r="H52" s="60"/>
      <c r="I52" s="68"/>
      <c r="J52" s="60"/>
      <c r="K52" s="59">
        <f t="shared" si="18"/>
        <v>0</v>
      </c>
      <c r="L52" s="59">
        <f>SUM(K$5:K52)</f>
        <v>9599297.2000000011</v>
      </c>
      <c r="M52" s="126"/>
      <c r="N52" s="59">
        <f t="shared" ref="N52:AD67" si="25">+N51</f>
        <v>0</v>
      </c>
      <c r="O52" s="59">
        <f t="shared" si="25"/>
        <v>2056.1116666666667</v>
      </c>
      <c r="P52" s="59">
        <f t="shared" si="25"/>
        <v>9051.0074999999997</v>
      </c>
      <c r="Q52" s="59">
        <f t="shared" si="25"/>
        <v>12481.856666666667</v>
      </c>
      <c r="R52" s="59">
        <f t="shared" si="25"/>
        <v>12371.946833333333</v>
      </c>
      <c r="S52" s="59">
        <f t="shared" si="25"/>
        <v>13200.926666666666</v>
      </c>
      <c r="T52" s="59">
        <f t="shared" si="25"/>
        <v>10320.75</v>
      </c>
      <c r="U52" s="59">
        <f t="shared" si="25"/>
        <v>12617.4</v>
      </c>
      <c r="V52" s="59">
        <f t="shared" si="25"/>
        <v>11395.733333333334</v>
      </c>
      <c r="W52" s="59">
        <f t="shared" si="25"/>
        <v>10542.966666666667</v>
      </c>
      <c r="X52" s="59">
        <f t="shared" si="25"/>
        <v>14046.116666666667</v>
      </c>
      <c r="Y52" s="59">
        <f t="shared" si="25"/>
        <v>13835.583333333334</v>
      </c>
      <c r="Z52" s="59">
        <f t="shared" si="25"/>
        <v>13549.744999999999</v>
      </c>
      <c r="AA52" s="59">
        <f t="shared" si="25"/>
        <v>18631.114999999998</v>
      </c>
      <c r="AB52" s="59">
        <f t="shared" si="25"/>
        <v>6046.2840000000006</v>
      </c>
      <c r="AC52" s="59">
        <f t="shared" si="25"/>
        <v>-575.9233333333334</v>
      </c>
      <c r="AD52" s="59">
        <f t="shared" si="25"/>
        <v>16.666666666666668</v>
      </c>
      <c r="AE52" s="59">
        <f t="shared" si="22"/>
        <v>300</v>
      </c>
      <c r="AF52" s="59">
        <f t="shared" si="22"/>
        <v>100</v>
      </c>
      <c r="AG52" s="59">
        <f t="shared" si="20"/>
        <v>159988.28666666665</v>
      </c>
      <c r="AH52" s="59">
        <f>SUM(AG$5:AG52)</f>
        <v>6389412.9650000054</v>
      </c>
      <c r="AI52" s="59">
        <f t="shared" si="21"/>
        <v>3209884.2349999957</v>
      </c>
      <c r="AJ52" s="59">
        <f t="shared" si="23"/>
        <v>3369872.5216666628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>
        <f t="shared" si="11"/>
        <v>0</v>
      </c>
      <c r="BH52" s="22">
        <f t="shared" si="6"/>
        <v>0</v>
      </c>
      <c r="BI52" s="22">
        <f t="shared" si="7"/>
        <v>159988.28666666665</v>
      </c>
      <c r="BJ52" s="30">
        <f t="shared" si="8"/>
        <v>159988.28666666665</v>
      </c>
      <c r="BK52" s="30">
        <f>+BJ52*'Capital Structure '!$E$30</f>
        <v>65355.215103333321</v>
      </c>
      <c r="BL52" s="30">
        <f>SUM(BK$5:BK52)</f>
        <v>-1311237.7099974998</v>
      </c>
    </row>
    <row r="53" spans="1:64" s="3" customFormat="1" ht="12.75" hidden="1" customHeight="1" outlineLevel="1">
      <c r="A53" s="7" t="s">
        <v>53</v>
      </c>
      <c r="B53" s="7">
        <f>+B52+1</f>
        <v>2015</v>
      </c>
      <c r="C53" s="7" t="s">
        <v>96</v>
      </c>
      <c r="D53" s="57"/>
      <c r="E53" s="55"/>
      <c r="F53" s="65"/>
      <c r="G53" s="56">
        <f t="shared" si="2"/>
        <v>0</v>
      </c>
      <c r="H53" s="56"/>
      <c r="I53" s="57"/>
      <c r="J53" s="56"/>
      <c r="K53" s="30">
        <f t="shared" si="18"/>
        <v>0</v>
      </c>
      <c r="L53" s="30">
        <f>SUM(K$5:K53)</f>
        <v>9599297.2000000011</v>
      </c>
      <c r="N53" s="30">
        <f t="shared" si="25"/>
        <v>0</v>
      </c>
      <c r="O53" s="30">
        <f t="shared" si="25"/>
        <v>2056.1116666666667</v>
      </c>
      <c r="P53" s="30">
        <f t="shared" si="25"/>
        <v>9051.0074999999997</v>
      </c>
      <c r="Q53" s="30">
        <f t="shared" si="25"/>
        <v>12481.856666666667</v>
      </c>
      <c r="R53" s="30">
        <f t="shared" si="25"/>
        <v>12371.946833333333</v>
      </c>
      <c r="S53" s="30">
        <f t="shared" si="25"/>
        <v>13200.926666666666</v>
      </c>
      <c r="T53" s="30">
        <f t="shared" si="25"/>
        <v>10320.75</v>
      </c>
      <c r="U53" s="30">
        <f t="shared" si="25"/>
        <v>12617.4</v>
      </c>
      <c r="V53" s="30">
        <f t="shared" si="25"/>
        <v>11395.733333333334</v>
      </c>
      <c r="W53" s="30">
        <f t="shared" si="25"/>
        <v>10542.966666666667</v>
      </c>
      <c r="X53" s="30">
        <f t="shared" si="25"/>
        <v>14046.116666666667</v>
      </c>
      <c r="Y53" s="30">
        <f t="shared" si="25"/>
        <v>13835.583333333334</v>
      </c>
      <c r="Z53" s="30">
        <f t="shared" si="25"/>
        <v>13549.744999999999</v>
      </c>
      <c r="AA53" s="30">
        <f t="shared" si="25"/>
        <v>18631.114999999998</v>
      </c>
      <c r="AB53" s="30">
        <f t="shared" si="25"/>
        <v>6046.2840000000006</v>
      </c>
      <c r="AC53" s="30">
        <f t="shared" si="25"/>
        <v>-575.9233333333334</v>
      </c>
      <c r="AD53" s="30">
        <f t="shared" si="25"/>
        <v>16.666666666666668</v>
      </c>
      <c r="AE53" s="30">
        <f t="shared" si="22"/>
        <v>300</v>
      </c>
      <c r="AF53" s="30">
        <f t="shared" si="22"/>
        <v>100</v>
      </c>
      <c r="AG53" s="30">
        <f t="shared" si="20"/>
        <v>159988.28666666665</v>
      </c>
      <c r="AH53" s="30">
        <f>SUM(AG$5:AG53)</f>
        <v>6549401.2516666725</v>
      </c>
      <c r="AI53" s="30">
        <f t="shared" si="21"/>
        <v>3049895.9483333286</v>
      </c>
      <c r="AJ53" s="30">
        <f t="shared" si="23"/>
        <v>3209884.2349999957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>
        <f t="shared" si="11"/>
        <v>0</v>
      </c>
      <c r="BH53" s="22">
        <f t="shared" si="6"/>
        <v>0</v>
      </c>
      <c r="BI53" s="22">
        <f t="shared" si="7"/>
        <v>159988.28666666665</v>
      </c>
      <c r="BJ53" s="30">
        <f t="shared" si="8"/>
        <v>159988.28666666665</v>
      </c>
      <c r="BK53" s="30">
        <f>+BJ53*'Capital Structure '!$E$30</f>
        <v>65355.215103333321</v>
      </c>
      <c r="BL53" s="30">
        <f>SUM(BK$5:BK53)</f>
        <v>-1245882.4948941665</v>
      </c>
    </row>
    <row r="54" spans="1:64" s="3" customFormat="1" ht="12.75" hidden="1" customHeight="1" outlineLevel="1">
      <c r="A54" s="7" t="s">
        <v>54</v>
      </c>
      <c r="B54" s="7">
        <f>+B53</f>
        <v>2015</v>
      </c>
      <c r="C54" s="7" t="s">
        <v>96</v>
      </c>
      <c r="D54" s="57"/>
      <c r="E54" s="55"/>
      <c r="F54" s="65"/>
      <c r="G54" s="56">
        <f t="shared" si="2"/>
        <v>0</v>
      </c>
      <c r="H54" s="56"/>
      <c r="I54" s="57"/>
      <c r="J54" s="56"/>
      <c r="K54" s="30">
        <f t="shared" si="18"/>
        <v>0</v>
      </c>
      <c r="L54" s="30">
        <f>SUM(K$5:K54)</f>
        <v>9599297.2000000011</v>
      </c>
      <c r="N54" s="30">
        <f t="shared" si="25"/>
        <v>0</v>
      </c>
      <c r="O54" s="30">
        <f>+O53</f>
        <v>2056.1116666666667</v>
      </c>
      <c r="P54" s="30">
        <f t="shared" si="25"/>
        <v>9051.0074999999997</v>
      </c>
      <c r="Q54" s="30">
        <f t="shared" si="25"/>
        <v>12481.856666666667</v>
      </c>
      <c r="R54" s="30">
        <f t="shared" si="25"/>
        <v>12371.946833333333</v>
      </c>
      <c r="S54" s="30">
        <f t="shared" si="25"/>
        <v>13200.926666666666</v>
      </c>
      <c r="T54" s="30">
        <f t="shared" si="25"/>
        <v>10320.75</v>
      </c>
      <c r="U54" s="30">
        <f t="shared" si="25"/>
        <v>12617.4</v>
      </c>
      <c r="V54" s="30">
        <f t="shared" si="25"/>
        <v>11395.733333333334</v>
      </c>
      <c r="W54" s="30">
        <f t="shared" si="25"/>
        <v>10542.966666666667</v>
      </c>
      <c r="X54" s="30">
        <f t="shared" si="25"/>
        <v>14046.116666666667</v>
      </c>
      <c r="Y54" s="30">
        <f t="shared" si="25"/>
        <v>13835.583333333334</v>
      </c>
      <c r="Z54" s="30">
        <f t="shared" si="25"/>
        <v>13549.744999999999</v>
      </c>
      <c r="AA54" s="30">
        <f t="shared" si="25"/>
        <v>18631.114999999998</v>
      </c>
      <c r="AB54" s="30">
        <f t="shared" si="25"/>
        <v>6046.2840000000006</v>
      </c>
      <c r="AC54" s="30">
        <f t="shared" si="25"/>
        <v>-575.9233333333334</v>
      </c>
      <c r="AD54" s="30">
        <f t="shared" si="22"/>
        <v>16.666666666666668</v>
      </c>
      <c r="AE54" s="30">
        <f t="shared" si="22"/>
        <v>300</v>
      </c>
      <c r="AF54" s="30">
        <f t="shared" si="22"/>
        <v>100</v>
      </c>
      <c r="AG54" s="30">
        <f t="shared" si="20"/>
        <v>159988.28666666665</v>
      </c>
      <c r="AH54" s="30">
        <f>SUM(AG$5:AG54)</f>
        <v>6709389.5383333396</v>
      </c>
      <c r="AI54" s="30">
        <f t="shared" si="21"/>
        <v>2889907.6616666615</v>
      </c>
      <c r="AJ54" s="30">
        <f t="shared" si="23"/>
        <v>3049895.9483333286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>
        <f t="shared" si="11"/>
        <v>0</v>
      </c>
      <c r="BH54" s="22">
        <f t="shared" si="6"/>
        <v>0</v>
      </c>
      <c r="BI54" s="22">
        <f t="shared" si="7"/>
        <v>159988.28666666665</v>
      </c>
      <c r="BJ54" s="30">
        <f t="shared" si="8"/>
        <v>159988.28666666665</v>
      </c>
      <c r="BK54" s="30">
        <f>+BJ54*'Capital Structure '!$E$30</f>
        <v>65355.215103333321</v>
      </c>
      <c r="BL54" s="30">
        <f>SUM(BK$5:BK54)</f>
        <v>-1180527.2797908331</v>
      </c>
    </row>
    <row r="55" spans="1:64" s="3" customFormat="1" ht="12.75" hidden="1" customHeight="1" outlineLevel="1">
      <c r="A55" s="7" t="s">
        <v>55</v>
      </c>
      <c r="B55" s="7">
        <f>+B54</f>
        <v>2015</v>
      </c>
      <c r="C55" s="7" t="s">
        <v>96</v>
      </c>
      <c r="D55" s="57"/>
      <c r="E55" s="55"/>
      <c r="F55" s="65"/>
      <c r="G55" s="56">
        <f t="shared" si="2"/>
        <v>0</v>
      </c>
      <c r="H55" s="56"/>
      <c r="I55" s="57"/>
      <c r="J55" s="56"/>
      <c r="K55" s="30">
        <f t="shared" si="18"/>
        <v>0</v>
      </c>
      <c r="L55" s="30">
        <f>SUM(K$5:K55)</f>
        <v>9599297.2000000011</v>
      </c>
      <c r="N55" s="30">
        <f t="shared" si="25"/>
        <v>0</v>
      </c>
      <c r="O55" s="30">
        <f t="shared" si="25"/>
        <v>2056.1116666666667</v>
      </c>
      <c r="P55" s="30">
        <f t="shared" si="25"/>
        <v>9051.0074999999997</v>
      </c>
      <c r="Q55" s="30">
        <f t="shared" si="25"/>
        <v>12481.856666666667</v>
      </c>
      <c r="R55" s="30">
        <f t="shared" si="25"/>
        <v>12371.946833333333</v>
      </c>
      <c r="S55" s="30">
        <f t="shared" si="25"/>
        <v>13200.926666666666</v>
      </c>
      <c r="T55" s="30">
        <f t="shared" si="25"/>
        <v>10320.75</v>
      </c>
      <c r="U55" s="30">
        <f t="shared" si="25"/>
        <v>12617.4</v>
      </c>
      <c r="V55" s="30">
        <f t="shared" si="25"/>
        <v>11395.733333333334</v>
      </c>
      <c r="W55" s="30">
        <f t="shared" si="25"/>
        <v>10542.966666666667</v>
      </c>
      <c r="X55" s="30">
        <f t="shared" si="25"/>
        <v>14046.116666666667</v>
      </c>
      <c r="Y55" s="30">
        <f t="shared" si="25"/>
        <v>13835.583333333334</v>
      </c>
      <c r="Z55" s="30">
        <f t="shared" si="25"/>
        <v>13549.744999999999</v>
      </c>
      <c r="AA55" s="30">
        <f t="shared" si="25"/>
        <v>18631.114999999998</v>
      </c>
      <c r="AB55" s="30">
        <f t="shared" si="25"/>
        <v>6046.2840000000006</v>
      </c>
      <c r="AC55" s="30">
        <f t="shared" si="25"/>
        <v>-575.9233333333334</v>
      </c>
      <c r="AD55" s="30">
        <f t="shared" si="25"/>
        <v>16.666666666666668</v>
      </c>
      <c r="AE55" s="30">
        <f t="shared" ref="AE55:AF70" si="26">+AE54</f>
        <v>300</v>
      </c>
      <c r="AF55" s="30">
        <f t="shared" si="26"/>
        <v>100</v>
      </c>
      <c r="AG55" s="30">
        <f t="shared" si="20"/>
        <v>159988.28666666665</v>
      </c>
      <c r="AH55" s="30">
        <f>SUM(AG$5:AG55)</f>
        <v>6869377.8250000067</v>
      </c>
      <c r="AI55" s="30">
        <f t="shared" si="21"/>
        <v>2729919.3749999944</v>
      </c>
      <c r="AJ55" s="30">
        <f t="shared" si="23"/>
        <v>2889907.6616666615</v>
      </c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>
        <f t="shared" si="11"/>
        <v>0</v>
      </c>
      <c r="BH55" s="22">
        <f t="shared" si="6"/>
        <v>0</v>
      </c>
      <c r="BI55" s="22">
        <f t="shared" si="7"/>
        <v>159988.28666666665</v>
      </c>
      <c r="BJ55" s="30">
        <f t="shared" si="8"/>
        <v>159988.28666666665</v>
      </c>
      <c r="BK55" s="30">
        <f>+BJ55*'Capital Structure '!$E$30</f>
        <v>65355.215103333321</v>
      </c>
      <c r="BL55" s="30">
        <f>SUM(BK$5:BK55)</f>
        <v>-1115172.0646874998</v>
      </c>
    </row>
    <row r="56" spans="1:64" s="3" customFormat="1" ht="12.75" hidden="1" customHeight="1" outlineLevel="1">
      <c r="A56" s="7" t="s">
        <v>56</v>
      </c>
      <c r="B56" s="7">
        <f>+B55</f>
        <v>2015</v>
      </c>
      <c r="C56" s="7" t="s">
        <v>96</v>
      </c>
      <c r="D56" s="57"/>
      <c r="E56" s="55"/>
      <c r="F56" s="65"/>
      <c r="G56" s="56">
        <f t="shared" si="2"/>
        <v>0</v>
      </c>
      <c r="H56" s="56"/>
      <c r="I56" s="57"/>
      <c r="J56" s="56"/>
      <c r="K56" s="30">
        <f t="shared" si="18"/>
        <v>0</v>
      </c>
      <c r="L56" s="30">
        <f>SUM(K$5:K56)</f>
        <v>9599297.2000000011</v>
      </c>
      <c r="N56" s="30">
        <f t="shared" si="25"/>
        <v>0</v>
      </c>
      <c r="O56" s="30">
        <f t="shared" si="25"/>
        <v>2056.1116666666667</v>
      </c>
      <c r="P56" s="30">
        <f t="shared" si="25"/>
        <v>9051.0074999999997</v>
      </c>
      <c r="Q56" s="30">
        <f t="shared" si="25"/>
        <v>12481.856666666667</v>
      </c>
      <c r="R56" s="30">
        <f t="shared" si="25"/>
        <v>12371.946833333333</v>
      </c>
      <c r="S56" s="30">
        <f t="shared" si="25"/>
        <v>13200.926666666666</v>
      </c>
      <c r="T56" s="30">
        <f t="shared" si="25"/>
        <v>10320.75</v>
      </c>
      <c r="U56" s="30">
        <f t="shared" si="25"/>
        <v>12617.4</v>
      </c>
      <c r="V56" s="30">
        <f t="shared" si="25"/>
        <v>11395.733333333334</v>
      </c>
      <c r="W56" s="30">
        <f t="shared" si="25"/>
        <v>10542.966666666667</v>
      </c>
      <c r="X56" s="30">
        <f t="shared" si="25"/>
        <v>14046.116666666667</v>
      </c>
      <c r="Y56" s="30">
        <f t="shared" si="25"/>
        <v>13835.583333333334</v>
      </c>
      <c r="Z56" s="30">
        <f t="shared" si="25"/>
        <v>13549.744999999999</v>
      </c>
      <c r="AA56" s="30">
        <f t="shared" si="25"/>
        <v>18631.114999999998</v>
      </c>
      <c r="AB56" s="30">
        <f t="shared" si="25"/>
        <v>6046.2840000000006</v>
      </c>
      <c r="AC56" s="30">
        <f t="shared" si="25"/>
        <v>-575.9233333333334</v>
      </c>
      <c r="AD56" s="30">
        <f t="shared" si="25"/>
        <v>16.666666666666668</v>
      </c>
      <c r="AE56" s="30">
        <f t="shared" si="26"/>
        <v>300</v>
      </c>
      <c r="AF56" s="30">
        <f t="shared" si="26"/>
        <v>100</v>
      </c>
      <c r="AG56" s="30">
        <f t="shared" si="20"/>
        <v>159988.28666666665</v>
      </c>
      <c r="AH56" s="30">
        <f>SUM(AG$5:AG56)</f>
        <v>7029366.1116666738</v>
      </c>
      <c r="AI56" s="30">
        <f t="shared" si="21"/>
        <v>2569931.0883333273</v>
      </c>
      <c r="AJ56" s="30">
        <f t="shared" si="23"/>
        <v>2729919.3749999944</v>
      </c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>
        <f t="shared" si="11"/>
        <v>0</v>
      </c>
      <c r="BH56" s="22">
        <f t="shared" si="6"/>
        <v>0</v>
      </c>
      <c r="BI56" s="22">
        <f t="shared" si="7"/>
        <v>159988.28666666665</v>
      </c>
      <c r="BJ56" s="30">
        <f t="shared" si="8"/>
        <v>159988.28666666665</v>
      </c>
      <c r="BK56" s="30">
        <f>+BJ56*'Capital Structure '!$E$30</f>
        <v>65355.215103333321</v>
      </c>
      <c r="BL56" s="30">
        <f>SUM(BK$5:BK56)</f>
        <v>-1049816.8495841664</v>
      </c>
    </row>
    <row r="57" spans="1:64" s="3" customFormat="1" ht="12.75" hidden="1" customHeight="1" outlineLevel="1">
      <c r="A57" s="7" t="s">
        <v>57</v>
      </c>
      <c r="B57" s="7">
        <f>+B56</f>
        <v>2015</v>
      </c>
      <c r="C57" s="7" t="s">
        <v>96</v>
      </c>
      <c r="D57" s="57"/>
      <c r="E57" s="55"/>
      <c r="F57" s="65"/>
      <c r="G57" s="56">
        <f t="shared" si="2"/>
        <v>0</v>
      </c>
      <c r="H57" s="56"/>
      <c r="I57" s="57"/>
      <c r="J57" s="56"/>
      <c r="K57" s="30">
        <f t="shared" si="18"/>
        <v>0</v>
      </c>
      <c r="L57" s="30">
        <f>SUM(K$5:K57)</f>
        <v>9599297.2000000011</v>
      </c>
      <c r="N57" s="30">
        <f t="shared" si="25"/>
        <v>0</v>
      </c>
      <c r="O57" s="30">
        <f t="shared" si="25"/>
        <v>2056.1116666666667</v>
      </c>
      <c r="P57" s="30">
        <f t="shared" si="25"/>
        <v>9051.0074999999997</v>
      </c>
      <c r="Q57" s="30">
        <f t="shared" si="25"/>
        <v>12481.856666666667</v>
      </c>
      <c r="R57" s="30">
        <f t="shared" si="25"/>
        <v>12371.946833333333</v>
      </c>
      <c r="S57" s="30">
        <f t="shared" si="25"/>
        <v>13200.926666666666</v>
      </c>
      <c r="T57" s="30">
        <f t="shared" si="25"/>
        <v>10320.75</v>
      </c>
      <c r="U57" s="30">
        <f t="shared" si="25"/>
        <v>12617.4</v>
      </c>
      <c r="V57" s="30">
        <f t="shared" si="25"/>
        <v>11395.733333333334</v>
      </c>
      <c r="W57" s="30">
        <f t="shared" si="25"/>
        <v>10542.966666666667</v>
      </c>
      <c r="X57" s="30">
        <f t="shared" si="25"/>
        <v>14046.116666666667</v>
      </c>
      <c r="Y57" s="30">
        <f t="shared" si="25"/>
        <v>13835.583333333334</v>
      </c>
      <c r="Z57" s="30">
        <f t="shared" si="25"/>
        <v>13549.744999999999</v>
      </c>
      <c r="AA57" s="30">
        <f t="shared" si="25"/>
        <v>18631.114999999998</v>
      </c>
      <c r="AB57" s="30">
        <f t="shared" si="25"/>
        <v>6046.2840000000006</v>
      </c>
      <c r="AC57" s="30">
        <f t="shared" si="25"/>
        <v>-575.9233333333334</v>
      </c>
      <c r="AD57" s="30">
        <f t="shared" si="25"/>
        <v>16.666666666666668</v>
      </c>
      <c r="AE57" s="30">
        <f t="shared" si="26"/>
        <v>300</v>
      </c>
      <c r="AF57" s="30">
        <f t="shared" si="26"/>
        <v>100</v>
      </c>
      <c r="AG57" s="30">
        <f t="shared" si="20"/>
        <v>159988.28666666665</v>
      </c>
      <c r="AH57" s="30">
        <f>SUM(AG$5:AG57)</f>
        <v>7189354.3983333409</v>
      </c>
      <c r="AI57" s="30">
        <f t="shared" si="21"/>
        <v>2409942.8016666602</v>
      </c>
      <c r="AJ57" s="30">
        <f t="shared" si="23"/>
        <v>2569931.0883333273</v>
      </c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>
        <f t="shared" si="11"/>
        <v>0</v>
      </c>
      <c r="BH57" s="22">
        <f t="shared" si="6"/>
        <v>0</v>
      </c>
      <c r="BI57" s="22">
        <f t="shared" si="7"/>
        <v>159988.28666666665</v>
      </c>
      <c r="BJ57" s="30">
        <f t="shared" si="8"/>
        <v>159988.28666666665</v>
      </c>
      <c r="BK57" s="30">
        <f>+BJ57*'Capital Structure '!$E$30</f>
        <v>65355.215103333321</v>
      </c>
      <c r="BL57" s="30">
        <f>SUM(BK$5:BK57)</f>
        <v>-984461.63448083308</v>
      </c>
    </row>
    <row r="58" spans="1:64" s="3" customFormat="1" ht="12.75" hidden="1" customHeight="1" outlineLevel="1">
      <c r="A58" s="7" t="s">
        <v>58</v>
      </c>
      <c r="B58" s="7">
        <f>+B57</f>
        <v>2015</v>
      </c>
      <c r="C58" s="7" t="s">
        <v>96</v>
      </c>
      <c r="D58" s="57"/>
      <c r="E58" s="55"/>
      <c r="F58" s="65"/>
      <c r="G58" s="56">
        <f t="shared" si="2"/>
        <v>0</v>
      </c>
      <c r="H58" s="56"/>
      <c r="I58" s="57"/>
      <c r="J58" s="56"/>
      <c r="K58" s="30">
        <f t="shared" si="18"/>
        <v>0</v>
      </c>
      <c r="L58" s="30">
        <f>SUM(K$5:K58)</f>
        <v>9599297.2000000011</v>
      </c>
      <c r="N58" s="30">
        <f t="shared" si="25"/>
        <v>0</v>
      </c>
      <c r="O58" s="30">
        <f t="shared" si="25"/>
        <v>2056.1116666666667</v>
      </c>
      <c r="P58" s="30">
        <f t="shared" si="25"/>
        <v>9051.0074999999997</v>
      </c>
      <c r="Q58" s="30">
        <f t="shared" si="25"/>
        <v>12481.856666666667</v>
      </c>
      <c r="R58" s="30">
        <f t="shared" si="25"/>
        <v>12371.946833333333</v>
      </c>
      <c r="S58" s="30">
        <f t="shared" si="25"/>
        <v>13200.926666666666</v>
      </c>
      <c r="T58" s="30">
        <f t="shared" si="25"/>
        <v>10320.75</v>
      </c>
      <c r="U58" s="30">
        <f t="shared" si="25"/>
        <v>12617.4</v>
      </c>
      <c r="V58" s="30">
        <f t="shared" si="25"/>
        <v>11395.733333333334</v>
      </c>
      <c r="W58" s="30">
        <f t="shared" si="25"/>
        <v>10542.966666666667</v>
      </c>
      <c r="X58" s="30">
        <f t="shared" si="25"/>
        <v>14046.116666666667</v>
      </c>
      <c r="Y58" s="30">
        <f t="shared" si="25"/>
        <v>13835.583333333334</v>
      </c>
      <c r="Z58" s="30">
        <f t="shared" si="25"/>
        <v>13549.744999999999</v>
      </c>
      <c r="AA58" s="30">
        <f t="shared" si="25"/>
        <v>18631.114999999998</v>
      </c>
      <c r="AB58" s="30">
        <f t="shared" si="25"/>
        <v>6046.2840000000006</v>
      </c>
      <c r="AC58" s="30">
        <f t="shared" si="25"/>
        <v>-575.9233333333334</v>
      </c>
      <c r="AD58" s="30">
        <f t="shared" si="25"/>
        <v>16.666666666666668</v>
      </c>
      <c r="AE58" s="30">
        <f t="shared" si="26"/>
        <v>300</v>
      </c>
      <c r="AF58" s="30">
        <f t="shared" si="26"/>
        <v>100</v>
      </c>
      <c r="AG58" s="30">
        <f t="shared" si="20"/>
        <v>159988.28666666665</v>
      </c>
      <c r="AH58" s="30">
        <f>SUM(AG$5:AG58)</f>
        <v>7349342.685000008</v>
      </c>
      <c r="AI58" s="30">
        <f t="shared" si="21"/>
        <v>2249954.5149999931</v>
      </c>
      <c r="AJ58" s="30">
        <f t="shared" si="23"/>
        <v>2409942.8016666602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>
        <f t="shared" si="11"/>
        <v>0</v>
      </c>
      <c r="BH58" s="22">
        <f t="shared" si="6"/>
        <v>0</v>
      </c>
      <c r="BI58" s="22">
        <f t="shared" si="7"/>
        <v>159988.28666666665</v>
      </c>
      <c r="BJ58" s="30">
        <f t="shared" si="8"/>
        <v>159988.28666666665</v>
      </c>
      <c r="BK58" s="30">
        <f>+BJ58*'Capital Structure '!$E$30</f>
        <v>65355.215103333321</v>
      </c>
      <c r="BL58" s="30">
        <f>SUM(BK$5:BK58)</f>
        <v>-919106.41937749973</v>
      </c>
    </row>
    <row r="59" spans="1:64" ht="12.75" hidden="1" customHeight="1" outlineLevel="1">
      <c r="A59" s="10" t="s">
        <v>59</v>
      </c>
      <c r="B59" s="10">
        <f t="shared" ref="B59:B64" si="27">+B58</f>
        <v>2015</v>
      </c>
      <c r="C59" s="7" t="s">
        <v>96</v>
      </c>
      <c r="D59" s="57"/>
      <c r="E59" s="55"/>
      <c r="F59" s="65"/>
      <c r="G59" s="56">
        <f t="shared" si="2"/>
        <v>0</v>
      </c>
      <c r="H59" s="56"/>
      <c r="I59" s="57"/>
      <c r="J59" s="56"/>
      <c r="K59" s="16">
        <f t="shared" si="18"/>
        <v>0</v>
      </c>
      <c r="L59" s="16">
        <f>SUM(K$5:K59)</f>
        <v>9599297.2000000011</v>
      </c>
      <c r="N59" s="16">
        <f t="shared" si="25"/>
        <v>0</v>
      </c>
      <c r="O59" s="16">
        <f t="shared" si="25"/>
        <v>2056.1116666666667</v>
      </c>
      <c r="P59" s="16">
        <f t="shared" si="25"/>
        <v>9051.0074999999997</v>
      </c>
      <c r="Q59" s="16">
        <f t="shared" si="25"/>
        <v>12481.856666666667</v>
      </c>
      <c r="R59" s="16">
        <f t="shared" si="25"/>
        <v>12371.946833333333</v>
      </c>
      <c r="S59" s="16">
        <f t="shared" si="25"/>
        <v>13200.926666666666</v>
      </c>
      <c r="T59" s="16">
        <f t="shared" si="25"/>
        <v>10320.75</v>
      </c>
      <c r="U59" s="16">
        <f t="shared" si="25"/>
        <v>12617.4</v>
      </c>
      <c r="V59" s="16">
        <f t="shared" si="25"/>
        <v>11395.733333333334</v>
      </c>
      <c r="W59" s="16">
        <f t="shared" si="25"/>
        <v>10542.966666666667</v>
      </c>
      <c r="X59" s="16">
        <f t="shared" si="25"/>
        <v>14046.116666666667</v>
      </c>
      <c r="Y59" s="16">
        <f t="shared" si="25"/>
        <v>13835.583333333334</v>
      </c>
      <c r="Z59" s="16">
        <f t="shared" si="25"/>
        <v>13549.744999999999</v>
      </c>
      <c r="AA59" s="16">
        <f t="shared" si="25"/>
        <v>18631.114999999998</v>
      </c>
      <c r="AB59" s="16">
        <f t="shared" si="25"/>
        <v>6046.2840000000006</v>
      </c>
      <c r="AC59" s="16">
        <f t="shared" si="25"/>
        <v>-575.9233333333334</v>
      </c>
      <c r="AD59" s="16">
        <f t="shared" si="25"/>
        <v>16.666666666666668</v>
      </c>
      <c r="AE59" s="16">
        <f t="shared" si="26"/>
        <v>300</v>
      </c>
      <c r="AF59" s="16">
        <f t="shared" si="26"/>
        <v>100</v>
      </c>
      <c r="AG59" s="16">
        <f t="shared" si="20"/>
        <v>159988.28666666665</v>
      </c>
      <c r="AH59" s="16">
        <f>SUM(AG$5:AG59)</f>
        <v>7509330.9716666751</v>
      </c>
      <c r="AI59" s="16">
        <f t="shared" si="21"/>
        <v>2089966.2283333261</v>
      </c>
      <c r="AJ59" s="16">
        <f t="shared" si="23"/>
        <v>2249954.5149999931</v>
      </c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>
        <f t="shared" si="11"/>
        <v>0</v>
      </c>
      <c r="BH59" s="21">
        <f t="shared" si="6"/>
        <v>0</v>
      </c>
      <c r="BI59" s="21">
        <f t="shared" si="7"/>
        <v>159988.28666666665</v>
      </c>
      <c r="BJ59" s="16">
        <f t="shared" si="8"/>
        <v>159988.28666666665</v>
      </c>
      <c r="BK59" s="16">
        <f>+BJ59*'Capital Structure '!$E$30</f>
        <v>65355.215103333321</v>
      </c>
      <c r="BL59" s="16">
        <f>SUM(BK$5:BK59)</f>
        <v>-853751.20427416638</v>
      </c>
    </row>
    <row r="60" spans="1:64" ht="12.75" hidden="1" customHeight="1" outlineLevel="1">
      <c r="A60" s="10" t="s">
        <v>46</v>
      </c>
      <c r="B60" s="10">
        <f t="shared" si="27"/>
        <v>2015</v>
      </c>
      <c r="C60" s="7" t="s">
        <v>96</v>
      </c>
      <c r="D60" s="57"/>
      <c r="E60" s="55"/>
      <c r="F60" s="65"/>
      <c r="G60" s="56">
        <f t="shared" si="2"/>
        <v>0</v>
      </c>
      <c r="H60" s="56"/>
      <c r="I60" s="57"/>
      <c r="J60" s="56"/>
      <c r="K60" s="16">
        <f t="shared" si="18"/>
        <v>0</v>
      </c>
      <c r="L60" s="16">
        <f>SUM(K$5:K60)</f>
        <v>9599297.2000000011</v>
      </c>
      <c r="N60" s="16">
        <f t="shared" si="25"/>
        <v>0</v>
      </c>
      <c r="O60" s="16">
        <f t="shared" si="25"/>
        <v>2056.1116666666667</v>
      </c>
      <c r="P60" s="16">
        <f t="shared" si="25"/>
        <v>9051.0074999999997</v>
      </c>
      <c r="Q60" s="16">
        <f t="shared" si="25"/>
        <v>12481.856666666667</v>
      </c>
      <c r="R60" s="16">
        <f t="shared" si="25"/>
        <v>12371.946833333333</v>
      </c>
      <c r="S60" s="16">
        <f t="shared" si="25"/>
        <v>13200.926666666666</v>
      </c>
      <c r="T60" s="16">
        <f t="shared" si="25"/>
        <v>10320.75</v>
      </c>
      <c r="U60" s="16">
        <f>+U59</f>
        <v>12617.4</v>
      </c>
      <c r="V60" s="16">
        <f t="shared" si="25"/>
        <v>11395.733333333334</v>
      </c>
      <c r="W60" s="16">
        <f t="shared" si="25"/>
        <v>10542.966666666667</v>
      </c>
      <c r="X60" s="16">
        <f t="shared" si="25"/>
        <v>14046.116666666667</v>
      </c>
      <c r="Y60" s="16">
        <f t="shared" si="25"/>
        <v>13835.583333333334</v>
      </c>
      <c r="Z60" s="16">
        <f t="shared" si="25"/>
        <v>13549.744999999999</v>
      </c>
      <c r="AA60" s="16">
        <f t="shared" si="25"/>
        <v>18631.114999999998</v>
      </c>
      <c r="AB60" s="16">
        <f t="shared" si="25"/>
        <v>6046.2840000000006</v>
      </c>
      <c r="AC60" s="16">
        <f t="shared" si="25"/>
        <v>-575.9233333333334</v>
      </c>
      <c r="AD60" s="16">
        <f t="shared" si="25"/>
        <v>16.666666666666668</v>
      </c>
      <c r="AE60" s="16">
        <f t="shared" si="26"/>
        <v>300</v>
      </c>
      <c r="AF60" s="16">
        <f t="shared" si="26"/>
        <v>100</v>
      </c>
      <c r="AG60" s="16">
        <f t="shared" si="20"/>
        <v>159988.28666666665</v>
      </c>
      <c r="AH60" s="16">
        <f>SUM(AG$5:AG60)</f>
        <v>7669319.2583333421</v>
      </c>
      <c r="AI60" s="16">
        <f t="shared" si="21"/>
        <v>1929977.941666659</v>
      </c>
      <c r="AJ60" s="16">
        <f t="shared" si="23"/>
        <v>2089966.2283333261</v>
      </c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>
        <f t="shared" si="11"/>
        <v>0</v>
      </c>
      <c r="BH60" s="21">
        <f t="shared" si="6"/>
        <v>0</v>
      </c>
      <c r="BI60" s="21">
        <f t="shared" si="7"/>
        <v>159988.28666666665</v>
      </c>
      <c r="BJ60" s="16">
        <f t="shared" si="8"/>
        <v>159988.28666666665</v>
      </c>
      <c r="BK60" s="16">
        <f>+BJ60*'Capital Structure '!$E$30</f>
        <v>65355.215103333321</v>
      </c>
      <c r="BL60" s="16">
        <f>SUM(BK$5:BK60)</f>
        <v>-788395.98917083303</v>
      </c>
    </row>
    <row r="61" spans="1:64" ht="12.75" hidden="1" customHeight="1" outlineLevel="1">
      <c r="A61" s="10" t="s">
        <v>48</v>
      </c>
      <c r="B61" s="10">
        <f t="shared" si="27"/>
        <v>2015</v>
      </c>
      <c r="C61" s="7" t="s">
        <v>96</v>
      </c>
      <c r="D61" s="57"/>
      <c r="E61" s="55"/>
      <c r="F61" s="65"/>
      <c r="G61" s="56">
        <f t="shared" si="2"/>
        <v>0</v>
      </c>
      <c r="H61" s="56"/>
      <c r="I61" s="57"/>
      <c r="J61" s="56"/>
      <c r="K61" s="16">
        <f t="shared" si="18"/>
        <v>0</v>
      </c>
      <c r="L61" s="16">
        <f>SUM(K$5:K61)</f>
        <v>9599297.2000000011</v>
      </c>
      <c r="N61" s="16">
        <f t="shared" si="25"/>
        <v>0</v>
      </c>
      <c r="O61" s="16">
        <f t="shared" si="25"/>
        <v>2056.1116666666667</v>
      </c>
      <c r="P61" s="16">
        <f t="shared" si="25"/>
        <v>9051.0074999999997</v>
      </c>
      <c r="Q61" s="16">
        <f t="shared" si="25"/>
        <v>12481.856666666667</v>
      </c>
      <c r="R61" s="16">
        <f t="shared" si="25"/>
        <v>12371.946833333333</v>
      </c>
      <c r="S61" s="16">
        <f t="shared" si="25"/>
        <v>13200.926666666666</v>
      </c>
      <c r="T61" s="16">
        <f t="shared" si="25"/>
        <v>10320.75</v>
      </c>
      <c r="U61" s="16">
        <f>+U60</f>
        <v>12617.4</v>
      </c>
      <c r="V61" s="16">
        <f>+V60</f>
        <v>11395.733333333334</v>
      </c>
      <c r="W61" s="16">
        <f t="shared" si="25"/>
        <v>10542.966666666667</v>
      </c>
      <c r="X61" s="16">
        <f t="shared" si="25"/>
        <v>14046.116666666667</v>
      </c>
      <c r="Y61" s="16">
        <f t="shared" si="25"/>
        <v>13835.583333333334</v>
      </c>
      <c r="Z61" s="16">
        <f t="shared" si="25"/>
        <v>13549.744999999999</v>
      </c>
      <c r="AA61" s="16">
        <f t="shared" si="25"/>
        <v>18631.114999999998</v>
      </c>
      <c r="AB61" s="16">
        <f t="shared" si="25"/>
        <v>6046.2840000000006</v>
      </c>
      <c r="AC61" s="16">
        <f t="shared" si="25"/>
        <v>-575.9233333333334</v>
      </c>
      <c r="AD61" s="16">
        <f t="shared" si="25"/>
        <v>16.666666666666668</v>
      </c>
      <c r="AE61" s="16">
        <f t="shared" si="26"/>
        <v>300</v>
      </c>
      <c r="AF61" s="16">
        <f t="shared" si="26"/>
        <v>100</v>
      </c>
      <c r="AG61" s="16">
        <f t="shared" si="20"/>
        <v>159988.28666666665</v>
      </c>
      <c r="AH61" s="16">
        <f>SUM(AG$5:AG61)</f>
        <v>7829307.5450000092</v>
      </c>
      <c r="AI61" s="16">
        <f t="shared" si="21"/>
        <v>1769989.6549999919</v>
      </c>
      <c r="AJ61" s="16">
        <f t="shared" si="23"/>
        <v>1929977.941666659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>
        <f t="shared" si="11"/>
        <v>0</v>
      </c>
      <c r="BH61" s="21">
        <f t="shared" si="6"/>
        <v>0</v>
      </c>
      <c r="BI61" s="21">
        <f t="shared" si="7"/>
        <v>159988.28666666665</v>
      </c>
      <c r="BJ61" s="16">
        <f t="shared" si="8"/>
        <v>159988.28666666665</v>
      </c>
      <c r="BK61" s="16">
        <f>+BJ61*'Capital Structure '!$E$30</f>
        <v>65355.215103333321</v>
      </c>
      <c r="BL61" s="16">
        <f>SUM(BK$5:BK61)</f>
        <v>-723040.77406749967</v>
      </c>
    </row>
    <row r="62" spans="1:64" ht="12.75" hidden="1" customHeight="1" outlineLevel="1">
      <c r="A62" s="10" t="s">
        <v>50</v>
      </c>
      <c r="B62" s="10">
        <f t="shared" si="27"/>
        <v>2015</v>
      </c>
      <c r="C62" s="7" t="s">
        <v>96</v>
      </c>
      <c r="D62" s="57"/>
      <c r="E62" s="55"/>
      <c r="F62" s="65"/>
      <c r="G62" s="56">
        <f t="shared" si="2"/>
        <v>0</v>
      </c>
      <c r="H62" s="56"/>
      <c r="I62" s="57"/>
      <c r="J62" s="56"/>
      <c r="K62" s="16">
        <f t="shared" si="18"/>
        <v>0</v>
      </c>
      <c r="L62" s="16">
        <f>SUM(K$5:K62)</f>
        <v>9599297.2000000011</v>
      </c>
      <c r="N62" s="16">
        <f t="shared" si="25"/>
        <v>0</v>
      </c>
      <c r="O62" s="16">
        <f t="shared" si="25"/>
        <v>2056.1116666666667</v>
      </c>
      <c r="P62" s="16">
        <f t="shared" si="25"/>
        <v>9051.0074999999997</v>
      </c>
      <c r="Q62" s="16">
        <f t="shared" si="25"/>
        <v>12481.856666666667</v>
      </c>
      <c r="R62" s="16">
        <f t="shared" si="25"/>
        <v>12371.946833333333</v>
      </c>
      <c r="S62" s="16">
        <f t="shared" si="25"/>
        <v>13200.926666666666</v>
      </c>
      <c r="T62" s="16">
        <f t="shared" si="25"/>
        <v>10320.75</v>
      </c>
      <c r="U62" s="16">
        <f>+U61</f>
        <v>12617.4</v>
      </c>
      <c r="V62" s="16">
        <f>+V61</f>
        <v>11395.733333333334</v>
      </c>
      <c r="W62" s="16">
        <f>+W61</f>
        <v>10542.966666666667</v>
      </c>
      <c r="X62" s="16">
        <f t="shared" si="25"/>
        <v>14046.116666666667</v>
      </c>
      <c r="Y62" s="16">
        <f t="shared" si="25"/>
        <v>13835.583333333334</v>
      </c>
      <c r="Z62" s="16">
        <f t="shared" si="25"/>
        <v>13549.744999999999</v>
      </c>
      <c r="AA62" s="16">
        <f t="shared" si="25"/>
        <v>18631.114999999998</v>
      </c>
      <c r="AB62" s="16">
        <f t="shared" si="25"/>
        <v>6046.2840000000006</v>
      </c>
      <c r="AC62" s="16">
        <f t="shared" si="25"/>
        <v>-575.9233333333334</v>
      </c>
      <c r="AD62" s="16">
        <f t="shared" si="25"/>
        <v>16.666666666666668</v>
      </c>
      <c r="AE62" s="16">
        <f t="shared" si="26"/>
        <v>300</v>
      </c>
      <c r="AF62" s="16">
        <f t="shared" si="26"/>
        <v>100</v>
      </c>
      <c r="AG62" s="16">
        <f t="shared" si="20"/>
        <v>159988.28666666665</v>
      </c>
      <c r="AH62" s="16">
        <f>SUM(AG$5:AG62)</f>
        <v>7989295.8316666763</v>
      </c>
      <c r="AI62" s="16">
        <f t="shared" si="21"/>
        <v>1610001.3683333248</v>
      </c>
      <c r="AJ62" s="16">
        <f t="shared" si="23"/>
        <v>1769989.6549999919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>
        <f t="shared" si="11"/>
        <v>0</v>
      </c>
      <c r="BH62" s="21">
        <f t="shared" si="6"/>
        <v>0</v>
      </c>
      <c r="BI62" s="21">
        <f t="shared" si="7"/>
        <v>159988.28666666665</v>
      </c>
      <c r="BJ62" s="16">
        <f t="shared" si="8"/>
        <v>159988.28666666665</v>
      </c>
      <c r="BK62" s="16">
        <f>+BJ62*'Capital Structure '!$E$30</f>
        <v>65355.215103333321</v>
      </c>
      <c r="BL62" s="16">
        <f>SUM(BK$5:BK62)</f>
        <v>-657685.55896416632</v>
      </c>
    </row>
    <row r="63" spans="1:64" ht="12.75" hidden="1" customHeight="1" outlineLevel="1">
      <c r="A63" s="10" t="s">
        <v>51</v>
      </c>
      <c r="B63" s="10">
        <f t="shared" si="27"/>
        <v>2015</v>
      </c>
      <c r="C63" s="7" t="s">
        <v>96</v>
      </c>
      <c r="D63" s="57"/>
      <c r="E63" s="55"/>
      <c r="F63" s="65"/>
      <c r="G63" s="56">
        <f t="shared" si="2"/>
        <v>0</v>
      </c>
      <c r="H63" s="56"/>
      <c r="I63" s="57"/>
      <c r="J63" s="56"/>
      <c r="K63" s="16">
        <f t="shared" si="18"/>
        <v>0</v>
      </c>
      <c r="L63" s="16">
        <f>SUM(K$5:K63)</f>
        <v>9599297.2000000011</v>
      </c>
      <c r="N63" s="16">
        <f t="shared" si="25"/>
        <v>0</v>
      </c>
      <c r="O63" s="16">
        <f t="shared" si="25"/>
        <v>2056.1116666666667</v>
      </c>
      <c r="P63" s="16">
        <f t="shared" si="25"/>
        <v>9051.0074999999997</v>
      </c>
      <c r="Q63" s="16">
        <f t="shared" si="25"/>
        <v>12481.856666666667</v>
      </c>
      <c r="R63" s="16">
        <f t="shared" si="25"/>
        <v>12371.946833333333</v>
      </c>
      <c r="S63" s="16">
        <f t="shared" si="25"/>
        <v>13200.926666666666</v>
      </c>
      <c r="T63" s="16">
        <f t="shared" si="25"/>
        <v>10320.75</v>
      </c>
      <c r="U63" s="16">
        <f>+U62</f>
        <v>12617.4</v>
      </c>
      <c r="V63" s="16">
        <f>+V62</f>
        <v>11395.733333333334</v>
      </c>
      <c r="W63" s="16">
        <f>+W62</f>
        <v>10542.966666666667</v>
      </c>
      <c r="X63" s="16">
        <f>+X62</f>
        <v>14046.116666666667</v>
      </c>
      <c r="Y63" s="16">
        <f t="shared" si="25"/>
        <v>13835.583333333334</v>
      </c>
      <c r="Z63" s="16">
        <f t="shared" si="25"/>
        <v>13549.744999999999</v>
      </c>
      <c r="AA63" s="16">
        <f t="shared" si="25"/>
        <v>18631.114999999998</v>
      </c>
      <c r="AB63" s="16">
        <f t="shared" si="25"/>
        <v>6046.2840000000006</v>
      </c>
      <c r="AC63" s="16">
        <f t="shared" si="25"/>
        <v>-575.9233333333334</v>
      </c>
      <c r="AD63" s="16">
        <f t="shared" si="25"/>
        <v>16.666666666666668</v>
      </c>
      <c r="AE63" s="16">
        <f t="shared" si="26"/>
        <v>300</v>
      </c>
      <c r="AF63" s="16">
        <f t="shared" si="26"/>
        <v>100</v>
      </c>
      <c r="AG63" s="16">
        <f t="shared" si="20"/>
        <v>159988.28666666665</v>
      </c>
      <c r="AH63" s="16">
        <f>SUM(AG$5:AG63)</f>
        <v>8149284.1183333434</v>
      </c>
      <c r="AI63" s="16">
        <f t="shared" si="21"/>
        <v>1450013.0816666577</v>
      </c>
      <c r="AJ63" s="16">
        <f t="shared" si="23"/>
        <v>1610001.3683333248</v>
      </c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>
        <f t="shared" si="11"/>
        <v>0</v>
      </c>
      <c r="BH63" s="21">
        <f t="shared" si="6"/>
        <v>0</v>
      </c>
      <c r="BI63" s="21">
        <f t="shared" si="7"/>
        <v>159988.28666666665</v>
      </c>
      <c r="BJ63" s="16">
        <f t="shared" si="8"/>
        <v>159988.28666666665</v>
      </c>
      <c r="BK63" s="16">
        <f>+BJ63*'Capital Structure '!$E$30</f>
        <v>65355.215103333321</v>
      </c>
      <c r="BL63" s="16">
        <f>SUM(BK$5:BK63)</f>
        <v>-592330.34386083297</v>
      </c>
    </row>
    <row r="64" spans="1:64" ht="12.75" hidden="1" customHeight="1" outlineLevel="1">
      <c r="A64" s="24" t="s">
        <v>52</v>
      </c>
      <c r="B64" s="24">
        <f t="shared" si="27"/>
        <v>2015</v>
      </c>
      <c r="C64" s="124" t="s">
        <v>96</v>
      </c>
      <c r="D64" s="68"/>
      <c r="E64" s="58"/>
      <c r="F64" s="58"/>
      <c r="G64" s="60">
        <f t="shared" si="2"/>
        <v>0</v>
      </c>
      <c r="H64" s="60"/>
      <c r="I64" s="68"/>
      <c r="J64" s="60"/>
      <c r="K64" s="25">
        <f t="shared" si="18"/>
        <v>0</v>
      </c>
      <c r="L64" s="25">
        <f>SUM(K$5:K64)</f>
        <v>9599297.2000000011</v>
      </c>
      <c r="M64" s="26"/>
      <c r="N64" s="25">
        <f t="shared" si="25"/>
        <v>0</v>
      </c>
      <c r="O64" s="25">
        <f t="shared" si="25"/>
        <v>2056.1116666666667</v>
      </c>
      <c r="P64" s="25">
        <f t="shared" si="25"/>
        <v>9051.0074999999997</v>
      </c>
      <c r="Q64" s="25">
        <f t="shared" si="25"/>
        <v>12481.856666666667</v>
      </c>
      <c r="R64" s="25">
        <f t="shared" si="25"/>
        <v>12371.946833333333</v>
      </c>
      <c r="S64" s="25">
        <f t="shared" si="25"/>
        <v>13200.926666666666</v>
      </c>
      <c r="T64" s="25">
        <f t="shared" si="25"/>
        <v>10320.75</v>
      </c>
      <c r="U64" s="25">
        <f>+U63</f>
        <v>12617.4</v>
      </c>
      <c r="V64" s="25">
        <f>+V63</f>
        <v>11395.733333333334</v>
      </c>
      <c r="W64" s="25">
        <f>+W63</f>
        <v>10542.966666666667</v>
      </c>
      <c r="X64" s="25">
        <f>+X63</f>
        <v>14046.116666666667</v>
      </c>
      <c r="Y64" s="25">
        <f>+Y63</f>
        <v>13835.583333333334</v>
      </c>
      <c r="Z64" s="25">
        <f t="shared" si="25"/>
        <v>13549.744999999999</v>
      </c>
      <c r="AA64" s="25">
        <f t="shared" si="25"/>
        <v>18631.114999999998</v>
      </c>
      <c r="AB64" s="25">
        <f t="shared" si="25"/>
        <v>6046.2840000000006</v>
      </c>
      <c r="AC64" s="25">
        <f t="shared" si="25"/>
        <v>-575.9233333333334</v>
      </c>
      <c r="AD64" s="25">
        <f t="shared" si="25"/>
        <v>16.666666666666668</v>
      </c>
      <c r="AE64" s="25">
        <f t="shared" si="26"/>
        <v>300</v>
      </c>
      <c r="AF64" s="25">
        <f t="shared" si="26"/>
        <v>100</v>
      </c>
      <c r="AG64" s="25">
        <f t="shared" si="20"/>
        <v>159988.28666666665</v>
      </c>
      <c r="AH64" s="25">
        <f>SUM(AG$5:AG64)</f>
        <v>8309272.4050000105</v>
      </c>
      <c r="AI64" s="25">
        <f t="shared" si="21"/>
        <v>1290024.7949999906</v>
      </c>
      <c r="AJ64" s="25">
        <f t="shared" si="23"/>
        <v>1450013.0816666577</v>
      </c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>
        <f t="shared" si="11"/>
        <v>0</v>
      </c>
      <c r="BH64" s="21">
        <f t="shared" si="6"/>
        <v>0</v>
      </c>
      <c r="BI64" s="21">
        <f t="shared" si="7"/>
        <v>159988.28666666665</v>
      </c>
      <c r="BJ64" s="16">
        <f t="shared" si="8"/>
        <v>159988.28666666665</v>
      </c>
      <c r="BK64" s="16">
        <f>+BJ64*'Capital Structure '!$E$30</f>
        <v>65355.215103333321</v>
      </c>
      <c r="BL64" s="16">
        <f>SUM(BK$5:BK64)</f>
        <v>-526975.12875749962</v>
      </c>
    </row>
    <row r="65" spans="1:64" ht="12.75" hidden="1" customHeight="1" outlineLevel="1">
      <c r="A65" s="10" t="s">
        <v>53</v>
      </c>
      <c r="B65" s="10">
        <f>+B64+1</f>
        <v>2016</v>
      </c>
      <c r="C65" s="7" t="s">
        <v>96</v>
      </c>
      <c r="D65" s="57"/>
      <c r="E65" s="55"/>
      <c r="F65" s="65"/>
      <c r="G65" s="56">
        <f t="shared" si="2"/>
        <v>0</v>
      </c>
      <c r="H65" s="56"/>
      <c r="I65" s="57"/>
      <c r="J65" s="56"/>
      <c r="K65" s="16">
        <f t="shared" si="18"/>
        <v>0</v>
      </c>
      <c r="L65" s="16">
        <f>SUM(K$5:K65)</f>
        <v>9599297.2000000011</v>
      </c>
      <c r="N65" s="16"/>
      <c r="O65" s="16">
        <f t="shared" si="25"/>
        <v>2056.1116666666667</v>
      </c>
      <c r="P65" s="16">
        <f t="shared" si="25"/>
        <v>9051.0074999999997</v>
      </c>
      <c r="Q65" s="16">
        <f t="shared" si="25"/>
        <v>12481.856666666667</v>
      </c>
      <c r="R65" s="16">
        <f t="shared" si="25"/>
        <v>12371.946833333333</v>
      </c>
      <c r="S65" s="16">
        <f t="shared" si="25"/>
        <v>13200.926666666666</v>
      </c>
      <c r="T65" s="16">
        <f t="shared" si="25"/>
        <v>10320.75</v>
      </c>
      <c r="U65" s="16">
        <f t="shared" si="25"/>
        <v>12617.4</v>
      </c>
      <c r="V65" s="16">
        <f t="shared" si="25"/>
        <v>11395.733333333334</v>
      </c>
      <c r="W65" s="16">
        <f t="shared" si="25"/>
        <v>10542.966666666667</v>
      </c>
      <c r="X65" s="16">
        <f t="shared" si="25"/>
        <v>14046.116666666667</v>
      </c>
      <c r="Y65" s="16">
        <f t="shared" si="25"/>
        <v>13835.583333333334</v>
      </c>
      <c r="Z65" s="16">
        <f t="shared" si="25"/>
        <v>13549.744999999999</v>
      </c>
      <c r="AA65" s="16">
        <f t="shared" si="25"/>
        <v>18631.114999999998</v>
      </c>
      <c r="AB65" s="16">
        <f t="shared" si="25"/>
        <v>6046.2840000000006</v>
      </c>
      <c r="AC65" s="16">
        <f t="shared" si="25"/>
        <v>-575.9233333333334</v>
      </c>
      <c r="AD65" s="16">
        <f t="shared" si="25"/>
        <v>16.666666666666668</v>
      </c>
      <c r="AE65" s="16">
        <f t="shared" si="26"/>
        <v>300</v>
      </c>
      <c r="AF65" s="16">
        <f t="shared" si="26"/>
        <v>100</v>
      </c>
      <c r="AG65" s="16">
        <f t="shared" si="20"/>
        <v>159988.28666666665</v>
      </c>
      <c r="AH65" s="16">
        <f>SUM(AG$5:AG65)</f>
        <v>8469260.6916666776</v>
      </c>
      <c r="AI65" s="16">
        <f t="shared" si="21"/>
        <v>1130036.5083333235</v>
      </c>
      <c r="AJ65" s="16">
        <f t="shared" si="23"/>
        <v>1290024.7949999906</v>
      </c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>
        <f t="shared" si="11"/>
        <v>0</v>
      </c>
      <c r="BH65" s="21">
        <f t="shared" si="6"/>
        <v>0</v>
      </c>
      <c r="BI65" s="21">
        <f t="shared" si="7"/>
        <v>159988.28666666665</v>
      </c>
      <c r="BJ65" s="16">
        <f t="shared" si="8"/>
        <v>159988.28666666665</v>
      </c>
      <c r="BK65" s="16">
        <f>+BJ65*'Capital Structure '!$E$30</f>
        <v>65355.215103333321</v>
      </c>
      <c r="BL65" s="16">
        <f>SUM(BK$5:BK65)</f>
        <v>-461619.91365416627</v>
      </c>
    </row>
    <row r="66" spans="1:64" ht="12.75" hidden="1" customHeight="1" outlineLevel="1">
      <c r="A66" s="10" t="s">
        <v>54</v>
      </c>
      <c r="B66" s="10">
        <f t="shared" ref="B66:B97" si="28">+B65</f>
        <v>2016</v>
      </c>
      <c r="C66" s="7" t="s">
        <v>96</v>
      </c>
      <c r="D66" s="57"/>
      <c r="E66" s="55"/>
      <c r="F66" s="65"/>
      <c r="G66" s="56">
        <f t="shared" si="2"/>
        <v>0</v>
      </c>
      <c r="H66" s="56"/>
      <c r="I66" s="57"/>
      <c r="J66" s="56"/>
      <c r="K66" s="16">
        <f t="shared" si="18"/>
        <v>0</v>
      </c>
      <c r="L66" s="16">
        <f>SUM(K$5:K66)</f>
        <v>9599297.2000000011</v>
      </c>
      <c r="N66" s="16"/>
      <c r="O66" s="16"/>
      <c r="P66" s="16">
        <f>+P65</f>
        <v>9051.0074999999997</v>
      </c>
      <c r="Q66" s="16">
        <f>+Q65</f>
        <v>12481.856666666667</v>
      </c>
      <c r="R66" s="16">
        <f>+R65</f>
        <v>12371.946833333333</v>
      </c>
      <c r="S66" s="16">
        <f>+S65</f>
        <v>13200.926666666666</v>
      </c>
      <c r="T66" s="16">
        <f t="shared" si="25"/>
        <v>10320.75</v>
      </c>
      <c r="U66" s="16">
        <f t="shared" si="25"/>
        <v>12617.4</v>
      </c>
      <c r="V66" s="16">
        <f t="shared" si="25"/>
        <v>11395.733333333334</v>
      </c>
      <c r="W66" s="16">
        <f t="shared" si="25"/>
        <v>10542.966666666667</v>
      </c>
      <c r="X66" s="16">
        <f t="shared" si="25"/>
        <v>14046.116666666667</v>
      </c>
      <c r="Y66" s="16">
        <f t="shared" si="25"/>
        <v>13835.583333333334</v>
      </c>
      <c r="Z66" s="16">
        <f t="shared" si="25"/>
        <v>13549.744999999999</v>
      </c>
      <c r="AA66" s="16">
        <f t="shared" si="25"/>
        <v>18631.114999999998</v>
      </c>
      <c r="AB66" s="16">
        <f t="shared" si="25"/>
        <v>6046.2840000000006</v>
      </c>
      <c r="AC66" s="16">
        <f t="shared" si="25"/>
        <v>-575.9233333333334</v>
      </c>
      <c r="AD66" s="16">
        <f t="shared" si="25"/>
        <v>16.666666666666668</v>
      </c>
      <c r="AE66" s="16">
        <f t="shared" si="26"/>
        <v>300</v>
      </c>
      <c r="AF66" s="16">
        <f t="shared" si="26"/>
        <v>100</v>
      </c>
      <c r="AG66" s="16">
        <f t="shared" si="20"/>
        <v>157932.17499999999</v>
      </c>
      <c r="AH66" s="16">
        <f>SUM(AG$5:AG66)</f>
        <v>8627192.8666666783</v>
      </c>
      <c r="AI66" s="16">
        <f t="shared" si="21"/>
        <v>972104.33333332278</v>
      </c>
      <c r="AJ66" s="16">
        <f t="shared" si="23"/>
        <v>1130036.5083333235</v>
      </c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>
        <f t="shared" si="11"/>
        <v>0</v>
      </c>
      <c r="BH66" s="21">
        <f t="shared" si="6"/>
        <v>0</v>
      </c>
      <c r="BI66" s="21">
        <f t="shared" si="7"/>
        <v>157932.17499999999</v>
      </c>
      <c r="BJ66" s="16">
        <f t="shared" si="8"/>
        <v>157932.17499999999</v>
      </c>
      <c r="BK66" s="16">
        <f>+BJ66*'Capital Structure '!$E$30</f>
        <v>64515.293487499992</v>
      </c>
      <c r="BL66" s="16">
        <f>SUM(BK$5:BK66)</f>
        <v>-397104.62016666628</v>
      </c>
    </row>
    <row r="67" spans="1:64" ht="12.75" hidden="1" customHeight="1" outlineLevel="1">
      <c r="A67" s="10" t="s">
        <v>55</v>
      </c>
      <c r="B67" s="10">
        <f t="shared" si="28"/>
        <v>2016</v>
      </c>
      <c r="C67" s="7" t="s">
        <v>96</v>
      </c>
      <c r="D67" s="57"/>
      <c r="E67" s="55"/>
      <c r="F67" s="65"/>
      <c r="G67" s="56">
        <f t="shared" si="2"/>
        <v>0</v>
      </c>
      <c r="H67" s="56"/>
      <c r="I67" s="57"/>
      <c r="J67" s="56"/>
      <c r="K67" s="16">
        <f t="shared" si="18"/>
        <v>0</v>
      </c>
      <c r="L67" s="16">
        <f>SUM(K$5:K67)</f>
        <v>9599297.2000000011</v>
      </c>
      <c r="N67" s="16"/>
      <c r="O67" s="16"/>
      <c r="P67" s="16"/>
      <c r="Q67" s="16">
        <f>+Q66</f>
        <v>12481.856666666667</v>
      </c>
      <c r="R67" s="16">
        <f>+R66</f>
        <v>12371.946833333333</v>
      </c>
      <c r="S67" s="16">
        <f>+S66</f>
        <v>13200.926666666666</v>
      </c>
      <c r="T67" s="16">
        <f t="shared" si="25"/>
        <v>10320.75</v>
      </c>
      <c r="U67" s="16">
        <f t="shared" si="25"/>
        <v>12617.4</v>
      </c>
      <c r="V67" s="16">
        <f t="shared" si="25"/>
        <v>11395.733333333334</v>
      </c>
      <c r="W67" s="16">
        <f t="shared" si="25"/>
        <v>10542.966666666667</v>
      </c>
      <c r="X67" s="16">
        <f t="shared" si="25"/>
        <v>14046.116666666667</v>
      </c>
      <c r="Y67" s="16">
        <f t="shared" si="25"/>
        <v>13835.583333333334</v>
      </c>
      <c r="Z67" s="16">
        <f t="shared" si="25"/>
        <v>13549.744999999999</v>
      </c>
      <c r="AA67" s="16">
        <f t="shared" si="25"/>
        <v>18631.114999999998</v>
      </c>
      <c r="AB67" s="16">
        <f t="shared" si="25"/>
        <v>6046.2840000000006</v>
      </c>
      <c r="AC67" s="16">
        <f>+AC66</f>
        <v>-575.9233333333334</v>
      </c>
      <c r="AD67" s="16">
        <f>+AD66</f>
        <v>16.666666666666668</v>
      </c>
      <c r="AE67" s="16">
        <f t="shared" si="26"/>
        <v>300</v>
      </c>
      <c r="AF67" s="16">
        <f t="shared" si="26"/>
        <v>100</v>
      </c>
      <c r="AG67" s="16">
        <f t="shared" si="20"/>
        <v>148881.16750000001</v>
      </c>
      <c r="AH67" s="16">
        <f>SUM(AG$5:AG67)</f>
        <v>8776074.0341666788</v>
      </c>
      <c r="AI67" s="16">
        <f t="shared" si="21"/>
        <v>823223.16583332233</v>
      </c>
      <c r="AJ67" s="16">
        <f t="shared" si="23"/>
        <v>972104.33333332278</v>
      </c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>
        <f t="shared" si="11"/>
        <v>0</v>
      </c>
      <c r="BH67" s="21">
        <f>+BF67</f>
        <v>0</v>
      </c>
      <c r="BI67" s="21">
        <f t="shared" si="7"/>
        <v>148881.16750000001</v>
      </c>
      <c r="BJ67" s="16">
        <f>+BI67-BH67</f>
        <v>148881.16750000001</v>
      </c>
      <c r="BK67" s="16">
        <f>+BJ67*'Capital Structure '!$E$30</f>
        <v>60817.956923750004</v>
      </c>
      <c r="BL67" s="16">
        <f>SUM(BK$5:BK67)</f>
        <v>-336286.66324291629</v>
      </c>
    </row>
    <row r="68" spans="1:64" s="3" customFormat="1" ht="12.75" hidden="1" customHeight="1" outlineLevel="1">
      <c r="A68" s="7" t="s">
        <v>56</v>
      </c>
      <c r="B68" s="7">
        <f t="shared" si="28"/>
        <v>2016</v>
      </c>
      <c r="C68" s="7" t="s">
        <v>96</v>
      </c>
      <c r="D68" s="57"/>
      <c r="E68" s="55"/>
      <c r="F68" s="65"/>
      <c r="G68" s="56">
        <f t="shared" si="2"/>
        <v>0</v>
      </c>
      <c r="H68" s="56"/>
      <c r="I68" s="57"/>
      <c r="J68" s="56"/>
      <c r="K68" s="30">
        <f t="shared" si="18"/>
        <v>0</v>
      </c>
      <c r="L68" s="30">
        <f>SUM(K$5:K68)</f>
        <v>9599297.2000000011</v>
      </c>
      <c r="N68" s="30"/>
      <c r="O68" s="30"/>
      <c r="P68" s="30"/>
      <c r="Q68" s="30"/>
      <c r="R68" s="30">
        <f>+R67</f>
        <v>12371.946833333333</v>
      </c>
      <c r="S68" s="30">
        <f>+S67</f>
        <v>13200.926666666666</v>
      </c>
      <c r="T68" s="30">
        <f t="shared" ref="T68:AF80" si="29">+T67</f>
        <v>10320.75</v>
      </c>
      <c r="U68" s="30">
        <f t="shared" si="29"/>
        <v>12617.4</v>
      </c>
      <c r="V68" s="30">
        <f t="shared" si="29"/>
        <v>11395.733333333334</v>
      </c>
      <c r="W68" s="30">
        <f t="shared" si="29"/>
        <v>10542.966666666667</v>
      </c>
      <c r="X68" s="30">
        <f t="shared" si="29"/>
        <v>14046.116666666667</v>
      </c>
      <c r="Y68" s="30">
        <f t="shared" si="29"/>
        <v>13835.583333333334</v>
      </c>
      <c r="Z68" s="30">
        <f t="shared" si="29"/>
        <v>13549.744999999999</v>
      </c>
      <c r="AA68" s="30">
        <f t="shared" si="29"/>
        <v>18631.114999999998</v>
      </c>
      <c r="AB68" s="30">
        <f t="shared" si="29"/>
        <v>6046.2840000000006</v>
      </c>
      <c r="AC68" s="30">
        <f t="shared" si="29"/>
        <v>-575.9233333333334</v>
      </c>
      <c r="AD68" s="30">
        <f>+AD67</f>
        <v>16.666666666666668</v>
      </c>
      <c r="AE68" s="30">
        <f t="shared" si="26"/>
        <v>300</v>
      </c>
      <c r="AF68" s="30">
        <f t="shared" si="26"/>
        <v>100</v>
      </c>
      <c r="AG68" s="30">
        <f t="shared" si="20"/>
        <v>136399.31083333332</v>
      </c>
      <c r="AH68" s="30">
        <f>SUM(AG$5:AG68)</f>
        <v>8912473.3450000118</v>
      </c>
      <c r="AI68" s="30">
        <f t="shared" si="21"/>
        <v>686823.85499998927</v>
      </c>
      <c r="AJ68" s="30">
        <f t="shared" si="23"/>
        <v>823223.16583332233</v>
      </c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>
        <f t="shared" si="11"/>
        <v>0</v>
      </c>
      <c r="BH68" s="22">
        <f>+BF68</f>
        <v>0</v>
      </c>
      <c r="BI68" s="22">
        <f t="shared" si="7"/>
        <v>136399.31083333332</v>
      </c>
      <c r="BJ68" s="30">
        <f>+BI68-BH68</f>
        <v>136399.31083333332</v>
      </c>
      <c r="BK68" s="30">
        <f>+BJ68*'Capital Structure '!$E$30</f>
        <v>55719.118475416661</v>
      </c>
      <c r="BL68" s="30">
        <f>SUM(BK$5:BK68)</f>
        <v>-280567.54476749961</v>
      </c>
    </row>
    <row r="69" spans="1:64" s="3" customFormat="1" ht="12.75" hidden="1" customHeight="1" outlineLevel="1">
      <c r="A69" s="7" t="s">
        <v>57</v>
      </c>
      <c r="B69" s="7">
        <f t="shared" si="28"/>
        <v>2016</v>
      </c>
      <c r="C69" s="7" t="s">
        <v>96</v>
      </c>
      <c r="D69" s="57"/>
      <c r="E69" s="55"/>
      <c r="F69" s="65"/>
      <c r="G69" s="56">
        <f t="shared" ref="G69:G82" si="30">SUM(D69:F69)</f>
        <v>0</v>
      </c>
      <c r="H69" s="56"/>
      <c r="I69" s="57"/>
      <c r="J69" s="56"/>
      <c r="K69" s="30">
        <f t="shared" ref="K69:K82" si="31">SUM(G69:I69)</f>
        <v>0</v>
      </c>
      <c r="L69" s="30">
        <f>SUM(K$5:K69)</f>
        <v>9599297.2000000011</v>
      </c>
      <c r="N69" s="30"/>
      <c r="O69" s="30"/>
      <c r="P69" s="30"/>
      <c r="Q69" s="30"/>
      <c r="R69" s="30"/>
      <c r="S69" s="30">
        <f>+S68</f>
        <v>13200.926666666666</v>
      </c>
      <c r="T69" s="30">
        <f t="shared" si="29"/>
        <v>10320.75</v>
      </c>
      <c r="U69" s="30">
        <f t="shared" si="29"/>
        <v>12617.4</v>
      </c>
      <c r="V69" s="30">
        <f t="shared" si="29"/>
        <v>11395.733333333334</v>
      </c>
      <c r="W69" s="30">
        <f t="shared" si="29"/>
        <v>10542.966666666667</v>
      </c>
      <c r="X69" s="30">
        <f t="shared" si="29"/>
        <v>14046.116666666667</v>
      </c>
      <c r="Y69" s="30">
        <f t="shared" si="29"/>
        <v>13835.583333333334</v>
      </c>
      <c r="Z69" s="30">
        <f t="shared" si="29"/>
        <v>13549.744999999999</v>
      </c>
      <c r="AA69" s="30">
        <f t="shared" si="29"/>
        <v>18631.114999999998</v>
      </c>
      <c r="AB69" s="30">
        <f t="shared" si="29"/>
        <v>6046.2840000000006</v>
      </c>
      <c r="AC69" s="30">
        <f t="shared" si="29"/>
        <v>-575.9233333333334</v>
      </c>
      <c r="AD69" s="30">
        <f t="shared" si="29"/>
        <v>16.666666666666668</v>
      </c>
      <c r="AE69" s="30">
        <f t="shared" si="26"/>
        <v>300</v>
      </c>
      <c r="AF69" s="30">
        <f t="shared" si="26"/>
        <v>100</v>
      </c>
      <c r="AG69" s="30">
        <f t="shared" ref="AG69:AG82" si="32">SUM(N69:AF69)</f>
        <v>124027.36399999997</v>
      </c>
      <c r="AH69" s="30">
        <f>SUM(AG$5:AG69)</f>
        <v>9036500.7090000119</v>
      </c>
      <c r="AI69" s="30">
        <f t="shared" ref="AI69:AI82" si="33">+L69-AH69</f>
        <v>562796.49099998921</v>
      </c>
      <c r="AJ69" s="30">
        <f t="shared" si="23"/>
        <v>686823.85499998927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>
        <f t="shared" si="11"/>
        <v>0</v>
      </c>
      <c r="BH69" s="22">
        <f>+BF69</f>
        <v>0</v>
      </c>
      <c r="BI69" s="22">
        <f>+AG69</f>
        <v>124027.36399999997</v>
      </c>
      <c r="BJ69" s="30">
        <f>+BI69-BH69</f>
        <v>124027.36399999997</v>
      </c>
      <c r="BK69" s="30">
        <f>+BJ69*'Capital Structure '!$E$30</f>
        <v>50665.178193999986</v>
      </c>
      <c r="BL69" s="30">
        <f>SUM(BK$5:BK69)</f>
        <v>-229902.36657349963</v>
      </c>
    </row>
    <row r="70" spans="1:64" s="3" customFormat="1" ht="12.75" hidden="1" customHeight="1" outlineLevel="1">
      <c r="A70" s="7" t="s">
        <v>58</v>
      </c>
      <c r="B70" s="7">
        <f t="shared" si="28"/>
        <v>2016</v>
      </c>
      <c r="C70" s="7" t="s">
        <v>96</v>
      </c>
      <c r="D70" s="57"/>
      <c r="E70" s="55"/>
      <c r="F70" s="65"/>
      <c r="G70" s="56">
        <f t="shared" si="30"/>
        <v>0</v>
      </c>
      <c r="H70" s="56"/>
      <c r="I70" s="57"/>
      <c r="J70" s="56"/>
      <c r="K70" s="30">
        <f t="shared" si="31"/>
        <v>0</v>
      </c>
      <c r="L70" s="30">
        <f>SUM(K$5:K70)</f>
        <v>9599297.2000000011</v>
      </c>
      <c r="N70" s="30"/>
      <c r="O70" s="30"/>
      <c r="P70" s="30"/>
      <c r="Q70" s="30"/>
      <c r="R70" s="30"/>
      <c r="S70" s="30"/>
      <c r="T70" s="30">
        <f t="shared" si="29"/>
        <v>10320.75</v>
      </c>
      <c r="U70" s="30">
        <f t="shared" si="29"/>
        <v>12617.4</v>
      </c>
      <c r="V70" s="30">
        <f t="shared" si="29"/>
        <v>11395.733333333334</v>
      </c>
      <c r="W70" s="30">
        <f t="shared" si="29"/>
        <v>10542.966666666667</v>
      </c>
      <c r="X70" s="30">
        <f t="shared" si="29"/>
        <v>14046.116666666667</v>
      </c>
      <c r="Y70" s="30">
        <f t="shared" si="29"/>
        <v>13835.583333333334</v>
      </c>
      <c r="Z70" s="30">
        <f t="shared" si="29"/>
        <v>13549.744999999999</v>
      </c>
      <c r="AA70" s="30">
        <f t="shared" si="29"/>
        <v>18631.114999999998</v>
      </c>
      <c r="AB70" s="30">
        <f t="shared" si="29"/>
        <v>6046.2840000000006</v>
      </c>
      <c r="AC70" s="30">
        <f t="shared" si="29"/>
        <v>-575.9233333333334</v>
      </c>
      <c r="AD70" s="30">
        <f t="shared" si="29"/>
        <v>16.666666666666668</v>
      </c>
      <c r="AE70" s="30">
        <f t="shared" si="29"/>
        <v>300</v>
      </c>
      <c r="AF70" s="30">
        <f t="shared" si="26"/>
        <v>100</v>
      </c>
      <c r="AG70" s="30">
        <f t="shared" si="32"/>
        <v>110826.43733333334</v>
      </c>
      <c r="AH70" s="30">
        <f>SUM(AG$5:AG70)</f>
        <v>9147327.1463333461</v>
      </c>
      <c r="AI70" s="30">
        <f t="shared" si="33"/>
        <v>451970.05366665497</v>
      </c>
      <c r="AJ70" s="30">
        <f t="shared" si="23"/>
        <v>562796.49099998921</v>
      </c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>
        <f>SUM(AL70:BE70)</f>
        <v>0</v>
      </c>
      <c r="BH70" s="22">
        <f>+BF70</f>
        <v>0</v>
      </c>
      <c r="BI70" s="22">
        <f>+AG70</f>
        <v>110826.43733333334</v>
      </c>
      <c r="BJ70" s="30">
        <f>+BI70-BH70</f>
        <v>110826.43733333334</v>
      </c>
      <c r="BK70" s="30">
        <f>+BJ70*'Capital Structure '!$E$30</f>
        <v>45272.599650666663</v>
      </c>
      <c r="BL70" s="30">
        <f>SUM(BK$5:BK70)</f>
        <v>-184629.76692283296</v>
      </c>
    </row>
    <row r="71" spans="1:64" s="3" customFormat="1" ht="12.75" customHeight="1" collapsed="1">
      <c r="A71" s="7" t="s">
        <v>59</v>
      </c>
      <c r="B71" s="7">
        <f t="shared" si="28"/>
        <v>2016</v>
      </c>
      <c r="C71" s="7" t="s">
        <v>96</v>
      </c>
      <c r="D71" s="57"/>
      <c r="E71" s="55"/>
      <c r="F71" s="65"/>
      <c r="G71" s="56">
        <f t="shared" si="30"/>
        <v>0</v>
      </c>
      <c r="H71" s="56"/>
      <c r="I71" s="57"/>
      <c r="J71" s="56"/>
      <c r="K71" s="30">
        <f t="shared" si="31"/>
        <v>0</v>
      </c>
      <c r="L71" s="30">
        <f>SUM(K$5:K71)</f>
        <v>9599297.2000000011</v>
      </c>
      <c r="N71" s="30"/>
      <c r="O71" s="30"/>
      <c r="P71" s="30"/>
      <c r="Q71" s="30"/>
      <c r="R71" s="30"/>
      <c r="S71" s="30"/>
      <c r="T71" s="30"/>
      <c r="U71" s="30">
        <f t="shared" si="29"/>
        <v>12617.4</v>
      </c>
      <c r="V71" s="30">
        <f t="shared" si="29"/>
        <v>11395.733333333334</v>
      </c>
      <c r="W71" s="30">
        <f t="shared" si="29"/>
        <v>10542.966666666667</v>
      </c>
      <c r="X71" s="30">
        <f t="shared" si="29"/>
        <v>14046.116666666667</v>
      </c>
      <c r="Y71" s="30">
        <f t="shared" si="29"/>
        <v>13835.583333333334</v>
      </c>
      <c r="Z71" s="30">
        <f t="shared" si="29"/>
        <v>13549.744999999999</v>
      </c>
      <c r="AA71" s="30">
        <f t="shared" si="29"/>
        <v>18631.114999999998</v>
      </c>
      <c r="AB71" s="30">
        <f t="shared" si="29"/>
        <v>6046.2840000000006</v>
      </c>
      <c r="AC71" s="30">
        <f t="shared" si="29"/>
        <v>-575.9233333333334</v>
      </c>
      <c r="AD71" s="30">
        <f t="shared" si="29"/>
        <v>16.666666666666668</v>
      </c>
      <c r="AE71" s="30">
        <f t="shared" si="29"/>
        <v>300</v>
      </c>
      <c r="AF71" s="30">
        <f t="shared" si="29"/>
        <v>100</v>
      </c>
      <c r="AG71" s="30">
        <f t="shared" si="32"/>
        <v>100505.68733333334</v>
      </c>
      <c r="AH71" s="30">
        <f>SUM(AG$5:AG71)</f>
        <v>9247832.8336666804</v>
      </c>
      <c r="AI71" s="30">
        <f t="shared" si="33"/>
        <v>351464.36633332074</v>
      </c>
      <c r="AJ71" s="30">
        <f t="shared" ref="AJ71:AJ82" si="34">+L71-AH70</f>
        <v>451970.05366665497</v>
      </c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>
        <f>SUM(AL71:BE71)</f>
        <v>0</v>
      </c>
      <c r="BH71" s="22">
        <f>+BF71</f>
        <v>0</v>
      </c>
      <c r="BI71" s="22">
        <f>+AG71</f>
        <v>100505.68733333334</v>
      </c>
      <c r="BJ71" s="30">
        <f>+BI71-BH71</f>
        <v>100505.68733333334</v>
      </c>
      <c r="BK71" s="30">
        <f>+BJ71*'Capital Structure '!$E$30</f>
        <v>41056.573275666662</v>
      </c>
      <c r="BL71" s="30">
        <f>SUM(BK$5:BK71)</f>
        <v>-143573.19364716631</v>
      </c>
    </row>
    <row r="72" spans="1:64" s="3" customFormat="1" ht="12.75" customHeight="1">
      <c r="A72" s="7" t="s">
        <v>46</v>
      </c>
      <c r="B72" s="7">
        <f t="shared" si="28"/>
        <v>2016</v>
      </c>
      <c r="C72" s="7" t="s">
        <v>96</v>
      </c>
      <c r="D72" s="57"/>
      <c r="E72" s="55"/>
      <c r="F72" s="65"/>
      <c r="G72" s="56">
        <f t="shared" si="30"/>
        <v>0</v>
      </c>
      <c r="H72" s="56"/>
      <c r="I72" s="57"/>
      <c r="J72" s="56"/>
      <c r="K72" s="30">
        <f t="shared" si="31"/>
        <v>0</v>
      </c>
      <c r="L72" s="30">
        <f>SUM(K$5:K72)</f>
        <v>9599297.2000000011</v>
      </c>
      <c r="N72" s="30"/>
      <c r="O72" s="30"/>
      <c r="P72" s="30"/>
      <c r="Q72" s="30"/>
      <c r="R72" s="30"/>
      <c r="S72" s="30"/>
      <c r="T72" s="30"/>
      <c r="U72" s="30"/>
      <c r="V72" s="30">
        <f t="shared" si="29"/>
        <v>11395.733333333334</v>
      </c>
      <c r="W72" s="30">
        <f t="shared" si="29"/>
        <v>10542.966666666667</v>
      </c>
      <c r="X72" s="30">
        <f t="shared" si="29"/>
        <v>14046.116666666667</v>
      </c>
      <c r="Y72" s="30">
        <f t="shared" si="29"/>
        <v>13835.583333333334</v>
      </c>
      <c r="Z72" s="30">
        <f t="shared" si="29"/>
        <v>13549.744999999999</v>
      </c>
      <c r="AA72" s="30">
        <f t="shared" si="29"/>
        <v>18631.114999999998</v>
      </c>
      <c r="AB72" s="30">
        <f t="shared" si="29"/>
        <v>6046.2840000000006</v>
      </c>
      <c r="AC72" s="30">
        <f t="shared" si="29"/>
        <v>-575.9233333333334</v>
      </c>
      <c r="AD72" s="30">
        <f t="shared" si="29"/>
        <v>16.666666666666668</v>
      </c>
      <c r="AE72" s="30">
        <f t="shared" si="29"/>
        <v>300</v>
      </c>
      <c r="AF72" s="30">
        <f t="shared" si="29"/>
        <v>100</v>
      </c>
      <c r="AG72" s="30">
        <f t="shared" si="32"/>
        <v>87888.287333333341</v>
      </c>
      <c r="AH72" s="30">
        <f>SUM(AG$5:AG72)</f>
        <v>9335721.1210000142</v>
      </c>
      <c r="AI72" s="30">
        <f t="shared" si="33"/>
        <v>263576.07899998687</v>
      </c>
      <c r="AJ72" s="30">
        <f t="shared" si="34"/>
        <v>351464.36633332074</v>
      </c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>
        <f t="shared" ref="BF72:BF82" si="35">SUM(AL72:BE72)</f>
        <v>0</v>
      </c>
      <c r="BH72" s="22">
        <f t="shared" ref="BH72:BH82" si="36">+BF72</f>
        <v>0</v>
      </c>
      <c r="BI72" s="22">
        <f t="shared" ref="BI72:BI82" si="37">+AG72</f>
        <v>87888.287333333341</v>
      </c>
      <c r="BJ72" s="30">
        <f t="shared" ref="BJ72:BJ82" si="38">+BI72-BH72</f>
        <v>87888.287333333341</v>
      </c>
      <c r="BK72" s="30">
        <f>+BJ72*'Capital Structure '!$E$30</f>
        <v>35902.365375666668</v>
      </c>
      <c r="BL72" s="30">
        <f>SUM(BK$5:BK72)</f>
        <v>-107670.82827149963</v>
      </c>
    </row>
    <row r="73" spans="1:64" s="3" customFormat="1" ht="12.75" customHeight="1">
      <c r="A73" s="7" t="s">
        <v>48</v>
      </c>
      <c r="B73" s="7">
        <f t="shared" si="28"/>
        <v>2016</v>
      </c>
      <c r="C73" s="7" t="s">
        <v>96</v>
      </c>
      <c r="D73" s="57"/>
      <c r="E73" s="55"/>
      <c r="F73" s="65"/>
      <c r="G73" s="56">
        <f t="shared" si="30"/>
        <v>0</v>
      </c>
      <c r="H73" s="56"/>
      <c r="I73" s="57"/>
      <c r="J73" s="56"/>
      <c r="K73" s="30">
        <f t="shared" si="31"/>
        <v>0</v>
      </c>
      <c r="L73" s="30">
        <f>SUM(K$5:K73)</f>
        <v>9599297.2000000011</v>
      </c>
      <c r="N73" s="30"/>
      <c r="O73" s="30"/>
      <c r="P73" s="30"/>
      <c r="Q73" s="30"/>
      <c r="R73" s="30"/>
      <c r="S73" s="30"/>
      <c r="T73" s="30"/>
      <c r="U73" s="30"/>
      <c r="V73" s="30"/>
      <c r="W73" s="30">
        <f t="shared" si="29"/>
        <v>10542.966666666667</v>
      </c>
      <c r="X73" s="30">
        <f t="shared" si="29"/>
        <v>14046.116666666667</v>
      </c>
      <c r="Y73" s="30">
        <f t="shared" si="29"/>
        <v>13835.583333333334</v>
      </c>
      <c r="Z73" s="30">
        <f t="shared" si="29"/>
        <v>13549.744999999999</v>
      </c>
      <c r="AA73" s="30">
        <f t="shared" si="29"/>
        <v>18631.114999999998</v>
      </c>
      <c r="AB73" s="30">
        <f t="shared" si="29"/>
        <v>6046.2840000000006</v>
      </c>
      <c r="AC73" s="30">
        <f t="shared" si="29"/>
        <v>-575.9233333333334</v>
      </c>
      <c r="AD73" s="30">
        <f t="shared" si="29"/>
        <v>16.666666666666668</v>
      </c>
      <c r="AE73" s="30">
        <f t="shared" si="29"/>
        <v>300</v>
      </c>
      <c r="AF73" s="30">
        <f t="shared" si="29"/>
        <v>100</v>
      </c>
      <c r="AG73" s="30">
        <f t="shared" si="32"/>
        <v>76492.554000000004</v>
      </c>
      <c r="AH73" s="30">
        <f>SUM(AG$5:AG73)</f>
        <v>9412213.6750000138</v>
      </c>
      <c r="AI73" s="30">
        <f t="shared" si="33"/>
        <v>187083.52499998733</v>
      </c>
      <c r="AJ73" s="30">
        <f t="shared" si="34"/>
        <v>263576.07899998687</v>
      </c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>
        <f t="shared" si="35"/>
        <v>0</v>
      </c>
      <c r="BH73" s="22">
        <f t="shared" si="36"/>
        <v>0</v>
      </c>
      <c r="BI73" s="22">
        <f t="shared" si="37"/>
        <v>76492.554000000004</v>
      </c>
      <c r="BJ73" s="30">
        <f t="shared" si="38"/>
        <v>76492.554000000004</v>
      </c>
      <c r="BK73" s="30">
        <f>+BJ73*'Capital Structure '!$E$30</f>
        <v>31247.208308999998</v>
      </c>
      <c r="BL73" s="30">
        <f>SUM(BK$5:BK73)</f>
        <v>-76423.619962499637</v>
      </c>
    </row>
    <row r="74" spans="1:64" s="3" customFormat="1" ht="12.75" customHeight="1">
      <c r="A74" s="7" t="s">
        <v>50</v>
      </c>
      <c r="B74" s="7">
        <f t="shared" si="28"/>
        <v>2016</v>
      </c>
      <c r="C74" s="7" t="s">
        <v>96</v>
      </c>
      <c r="D74" s="57"/>
      <c r="E74" s="55"/>
      <c r="F74" s="65"/>
      <c r="G74" s="56">
        <f t="shared" si="30"/>
        <v>0</v>
      </c>
      <c r="H74" s="56"/>
      <c r="I74" s="57"/>
      <c r="J74" s="56"/>
      <c r="K74" s="30">
        <f t="shared" si="31"/>
        <v>0</v>
      </c>
      <c r="L74" s="30">
        <f>SUM(K$5:K74)</f>
        <v>9599297.2000000011</v>
      </c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>
        <f>+X73</f>
        <v>14046.116666666667</v>
      </c>
      <c r="Y74" s="30">
        <f>+Y73</f>
        <v>13835.583333333334</v>
      </c>
      <c r="Z74" s="30">
        <f>+Z73</f>
        <v>13549.744999999999</v>
      </c>
      <c r="AA74" s="30">
        <f>+AA73</f>
        <v>18631.114999999998</v>
      </c>
      <c r="AB74" s="30">
        <f>+AB73</f>
        <v>6046.2840000000006</v>
      </c>
      <c r="AC74" s="30">
        <f t="shared" si="29"/>
        <v>-575.9233333333334</v>
      </c>
      <c r="AD74" s="30">
        <f t="shared" si="29"/>
        <v>16.666666666666668</v>
      </c>
      <c r="AE74" s="30">
        <f t="shared" si="29"/>
        <v>300</v>
      </c>
      <c r="AF74" s="30">
        <f t="shared" si="29"/>
        <v>100</v>
      </c>
      <c r="AG74" s="30">
        <f t="shared" si="32"/>
        <v>65949.587333333329</v>
      </c>
      <c r="AH74" s="30">
        <f>SUM(AG$5:AG74)</f>
        <v>9478163.2623333465</v>
      </c>
      <c r="AI74" s="30">
        <f t="shared" si="33"/>
        <v>121133.93766665459</v>
      </c>
      <c r="AJ74" s="30">
        <f t="shared" si="34"/>
        <v>187083.52499998733</v>
      </c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>
        <f t="shared" si="35"/>
        <v>0</v>
      </c>
      <c r="BH74" s="22">
        <f t="shared" si="36"/>
        <v>0</v>
      </c>
      <c r="BI74" s="22">
        <f t="shared" si="37"/>
        <v>65949.587333333329</v>
      </c>
      <c r="BJ74" s="30">
        <f t="shared" si="38"/>
        <v>65949.587333333329</v>
      </c>
      <c r="BK74" s="30">
        <f>+BJ74*'Capital Structure '!$E$30</f>
        <v>26940.406425666664</v>
      </c>
      <c r="BL74" s="30">
        <f>SUM(BK$5:BK74)</f>
        <v>-49483.213536832976</v>
      </c>
    </row>
    <row r="75" spans="1:64" s="3" customFormat="1" ht="12.75" customHeight="1">
      <c r="A75" s="7" t="s">
        <v>51</v>
      </c>
      <c r="B75" s="7">
        <f t="shared" si="28"/>
        <v>2016</v>
      </c>
      <c r="C75" s="7" t="s">
        <v>96</v>
      </c>
      <c r="D75" s="57"/>
      <c r="E75" s="55"/>
      <c r="F75" s="65"/>
      <c r="G75" s="56">
        <f t="shared" si="30"/>
        <v>0</v>
      </c>
      <c r="H75" s="56"/>
      <c r="I75" s="57"/>
      <c r="J75" s="56"/>
      <c r="K75" s="30">
        <f t="shared" si="31"/>
        <v>0</v>
      </c>
      <c r="L75" s="30">
        <f>SUM(K$5:K75)</f>
        <v>9599297.2000000011</v>
      </c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>
        <f>+Y74</f>
        <v>13835.583333333334</v>
      </c>
      <c r="Z75" s="30">
        <f>+Z74</f>
        <v>13549.744999999999</v>
      </c>
      <c r="AA75" s="30">
        <f>+AA74</f>
        <v>18631.114999999998</v>
      </c>
      <c r="AB75" s="30">
        <f>+AB74</f>
        <v>6046.2840000000006</v>
      </c>
      <c r="AC75" s="30">
        <f t="shared" si="29"/>
        <v>-575.9233333333334</v>
      </c>
      <c r="AD75" s="30">
        <f t="shared" si="29"/>
        <v>16.666666666666668</v>
      </c>
      <c r="AE75" s="30">
        <f t="shared" si="29"/>
        <v>300</v>
      </c>
      <c r="AF75" s="30">
        <f t="shared" si="29"/>
        <v>100</v>
      </c>
      <c r="AG75" s="30">
        <f t="shared" si="32"/>
        <v>51903.470666666661</v>
      </c>
      <c r="AH75" s="30">
        <f>SUM(AG$5:AG75)</f>
        <v>9530066.733000014</v>
      </c>
      <c r="AI75" s="30">
        <f t="shared" si="33"/>
        <v>69230.46699998714</v>
      </c>
      <c r="AJ75" s="30">
        <f t="shared" si="34"/>
        <v>121133.93766665459</v>
      </c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>
        <f t="shared" si="35"/>
        <v>0</v>
      </c>
      <c r="BH75" s="22">
        <f t="shared" si="36"/>
        <v>0</v>
      </c>
      <c r="BI75" s="22">
        <f t="shared" si="37"/>
        <v>51903.470666666661</v>
      </c>
      <c r="BJ75" s="30">
        <f t="shared" si="38"/>
        <v>51903.470666666661</v>
      </c>
      <c r="BK75" s="30">
        <f>+BJ75*'Capital Structure '!$E$30</f>
        <v>21202.56776733333</v>
      </c>
      <c r="BL75" s="30">
        <f>SUM(BK$5:BK75)</f>
        <v>-28280.645769499646</v>
      </c>
    </row>
    <row r="76" spans="1:64" s="3" customFormat="1" ht="12.75" customHeight="1">
      <c r="A76" s="124" t="s">
        <v>52</v>
      </c>
      <c r="B76" s="124">
        <f t="shared" si="28"/>
        <v>2016</v>
      </c>
      <c r="C76" s="124" t="s">
        <v>96</v>
      </c>
      <c r="D76" s="68"/>
      <c r="E76" s="58"/>
      <c r="F76" s="58"/>
      <c r="G76" s="60">
        <f t="shared" si="30"/>
        <v>0</v>
      </c>
      <c r="H76" s="60"/>
      <c r="I76" s="68"/>
      <c r="J76" s="60"/>
      <c r="K76" s="59">
        <f t="shared" si="31"/>
        <v>0</v>
      </c>
      <c r="L76" s="59">
        <f>SUM(K$5:K76)</f>
        <v>9599297.2000000011</v>
      </c>
      <c r="M76" s="126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>
        <f>+Z75</f>
        <v>13549.744999999999</v>
      </c>
      <c r="AA76" s="59">
        <f>+AA75</f>
        <v>18631.114999999998</v>
      </c>
      <c r="AB76" s="59">
        <f>+AB75</f>
        <v>6046.2840000000006</v>
      </c>
      <c r="AC76" s="59">
        <f t="shared" si="29"/>
        <v>-575.9233333333334</v>
      </c>
      <c r="AD76" s="59">
        <f t="shared" si="29"/>
        <v>16.666666666666668</v>
      </c>
      <c r="AE76" s="59">
        <f t="shared" si="29"/>
        <v>300</v>
      </c>
      <c r="AF76" s="59">
        <f t="shared" si="29"/>
        <v>100</v>
      </c>
      <c r="AG76" s="59">
        <f t="shared" si="32"/>
        <v>38067.887333333332</v>
      </c>
      <c r="AH76" s="59">
        <f>SUM(AG$5:AG76)</f>
        <v>9568134.6203333475</v>
      </c>
      <c r="AI76" s="59">
        <f t="shared" si="33"/>
        <v>31162.579666653648</v>
      </c>
      <c r="AJ76" s="59">
        <f t="shared" si="34"/>
        <v>69230.46699998714</v>
      </c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>
        <f t="shared" si="35"/>
        <v>0</v>
      </c>
      <c r="BH76" s="22">
        <f t="shared" si="36"/>
        <v>0</v>
      </c>
      <c r="BI76" s="22">
        <f t="shared" si="37"/>
        <v>38067.887333333332</v>
      </c>
      <c r="BJ76" s="30">
        <f t="shared" si="38"/>
        <v>38067.887333333332</v>
      </c>
      <c r="BK76" s="30">
        <f>+BJ76*'Capital Structure '!$E$30</f>
        <v>15550.731975666666</v>
      </c>
      <c r="BL76" s="30">
        <f>SUM(BK$5:BK76)</f>
        <v>-12729.91379383298</v>
      </c>
    </row>
    <row r="77" spans="1:64" s="3" customFormat="1" ht="12.75" customHeight="1">
      <c r="A77" s="7" t="s">
        <v>53</v>
      </c>
      <c r="B77" s="7">
        <f>+B76+1</f>
        <v>2017</v>
      </c>
      <c r="C77" s="7" t="s">
        <v>96</v>
      </c>
      <c r="D77" s="57"/>
      <c r="E77" s="55"/>
      <c r="F77" s="65"/>
      <c r="G77" s="56">
        <f t="shared" si="30"/>
        <v>0</v>
      </c>
      <c r="H77" s="56"/>
      <c r="I77" s="57"/>
      <c r="J77" s="56"/>
      <c r="K77" s="30">
        <f t="shared" si="31"/>
        <v>0</v>
      </c>
      <c r="L77" s="30">
        <f>SUM(K$5:K77)</f>
        <v>9599297.2000000011</v>
      </c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>
        <f>+AA76</f>
        <v>18631.114999999998</v>
      </c>
      <c r="AB77" s="30">
        <f>+AB76</f>
        <v>6046.2840000000006</v>
      </c>
      <c r="AC77" s="30">
        <f t="shared" si="29"/>
        <v>-575.9233333333334</v>
      </c>
      <c r="AD77" s="30">
        <f t="shared" si="29"/>
        <v>16.666666666666668</v>
      </c>
      <c r="AE77" s="30">
        <f t="shared" si="29"/>
        <v>300</v>
      </c>
      <c r="AF77" s="30">
        <f t="shared" si="29"/>
        <v>100</v>
      </c>
      <c r="AG77" s="30">
        <f t="shared" si="32"/>
        <v>24518.142333333333</v>
      </c>
      <c r="AH77" s="30">
        <f>SUM(AG$5:AG77)</f>
        <v>9592652.7626666799</v>
      </c>
      <c r="AI77" s="30">
        <f t="shared" si="33"/>
        <v>6644.4373333211988</v>
      </c>
      <c r="AJ77" s="30">
        <f t="shared" si="34"/>
        <v>31162.579666653648</v>
      </c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>
        <f t="shared" si="35"/>
        <v>0</v>
      </c>
      <c r="BH77" s="22">
        <f t="shared" si="36"/>
        <v>0</v>
      </c>
      <c r="BI77" s="22">
        <f t="shared" si="37"/>
        <v>24518.142333333333</v>
      </c>
      <c r="BJ77" s="30">
        <f t="shared" si="38"/>
        <v>24518.142333333333</v>
      </c>
      <c r="BK77" s="30">
        <f>+BJ77*'Capital Structure '!$E$30</f>
        <v>10015.661143166666</v>
      </c>
      <c r="BL77" s="30">
        <f>SUM(BK$5:BK77)</f>
        <v>-2714.2526506663144</v>
      </c>
    </row>
    <row r="78" spans="1:64" s="3" customFormat="1" ht="12.75" customHeight="1">
      <c r="A78" s="7" t="s">
        <v>54</v>
      </c>
      <c r="B78" s="7">
        <f t="shared" si="28"/>
        <v>2017</v>
      </c>
      <c r="C78" s="7" t="s">
        <v>96</v>
      </c>
      <c r="D78" s="57"/>
      <c r="E78" s="55"/>
      <c r="F78" s="65"/>
      <c r="G78" s="56">
        <f t="shared" si="30"/>
        <v>0</v>
      </c>
      <c r="H78" s="56"/>
      <c r="I78" s="57"/>
      <c r="J78" s="56"/>
      <c r="K78" s="30">
        <f t="shared" si="31"/>
        <v>0</v>
      </c>
      <c r="L78" s="30">
        <f>SUM(K$5:K78)</f>
        <v>9599297.2000000011</v>
      </c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>
        <f>+AB77</f>
        <v>6046.2840000000006</v>
      </c>
      <c r="AC78" s="30">
        <f t="shared" si="29"/>
        <v>-575.9233333333334</v>
      </c>
      <c r="AD78" s="30">
        <f t="shared" si="29"/>
        <v>16.666666666666668</v>
      </c>
      <c r="AE78" s="30">
        <f t="shared" si="29"/>
        <v>300</v>
      </c>
      <c r="AF78" s="30">
        <f t="shared" si="29"/>
        <v>100</v>
      </c>
      <c r="AG78" s="30">
        <f t="shared" si="32"/>
        <v>5887.0273333333344</v>
      </c>
      <c r="AH78" s="30">
        <f>SUM(AG$5:AG78)</f>
        <v>9598539.790000014</v>
      </c>
      <c r="AI78" s="30">
        <f t="shared" si="33"/>
        <v>757.4099999871105</v>
      </c>
      <c r="AJ78" s="30">
        <f t="shared" si="34"/>
        <v>6644.4373333211988</v>
      </c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>
        <f t="shared" si="35"/>
        <v>0</v>
      </c>
      <c r="BH78" s="22">
        <f t="shared" si="36"/>
        <v>0</v>
      </c>
      <c r="BI78" s="22">
        <f t="shared" si="37"/>
        <v>5887.0273333333344</v>
      </c>
      <c r="BJ78" s="30">
        <f t="shared" si="38"/>
        <v>5887.0273333333344</v>
      </c>
      <c r="BK78" s="30">
        <f>+BJ78*'Capital Structure '!$E$30</f>
        <v>2404.8506656666668</v>
      </c>
      <c r="BL78" s="30">
        <f>SUM(BK$5:BK78)</f>
        <v>-309.40198499964754</v>
      </c>
    </row>
    <row r="79" spans="1:64" s="3" customFormat="1" ht="12.75" customHeight="1">
      <c r="A79" s="7" t="s">
        <v>55</v>
      </c>
      <c r="B79" s="7">
        <f t="shared" si="28"/>
        <v>2017</v>
      </c>
      <c r="C79" s="7" t="s">
        <v>96</v>
      </c>
      <c r="D79" s="57"/>
      <c r="E79" s="55"/>
      <c r="F79" s="65"/>
      <c r="G79" s="56">
        <f t="shared" si="30"/>
        <v>0</v>
      </c>
      <c r="H79" s="56"/>
      <c r="I79" s="57"/>
      <c r="J79" s="56"/>
      <c r="K79" s="30">
        <f t="shared" si="31"/>
        <v>0</v>
      </c>
      <c r="L79" s="30">
        <f>SUM(K$5:K79)</f>
        <v>9599297.2000000011</v>
      </c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>
        <f t="shared" si="29"/>
        <v>-575.9233333333334</v>
      </c>
      <c r="AD79" s="30">
        <f t="shared" si="29"/>
        <v>16.666666666666668</v>
      </c>
      <c r="AE79" s="30">
        <f t="shared" si="29"/>
        <v>300</v>
      </c>
      <c r="AF79" s="30">
        <f t="shared" si="29"/>
        <v>100</v>
      </c>
      <c r="AG79" s="30">
        <f t="shared" si="32"/>
        <v>-159.25666666666677</v>
      </c>
      <c r="AH79" s="30">
        <f>SUM(AG$5:AG79)</f>
        <v>9598380.5333333481</v>
      </c>
      <c r="AI79" s="30">
        <f t="shared" si="33"/>
        <v>916.66666665300727</v>
      </c>
      <c r="AJ79" s="30">
        <f t="shared" si="34"/>
        <v>757.4099999871105</v>
      </c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>
        <f t="shared" si="35"/>
        <v>0</v>
      </c>
      <c r="BH79" s="22">
        <f t="shared" si="36"/>
        <v>0</v>
      </c>
      <c r="BI79" s="22">
        <f>+AG79</f>
        <v>-159.25666666666677</v>
      </c>
      <c r="BJ79" s="30">
        <f t="shared" si="38"/>
        <v>-159.25666666666677</v>
      </c>
      <c r="BK79" s="30">
        <f>+BJ79*'Capital Structure '!$E$30</f>
        <v>-65.056348333333375</v>
      </c>
      <c r="BL79" s="30">
        <f>SUM(BK$5:BK79)</f>
        <v>-374.45833333298094</v>
      </c>
    </row>
    <row r="80" spans="1:64" ht="12.75" customHeight="1">
      <c r="A80" s="10" t="s">
        <v>56</v>
      </c>
      <c r="B80" s="10">
        <f t="shared" si="28"/>
        <v>2017</v>
      </c>
      <c r="C80" s="7" t="s">
        <v>96</v>
      </c>
      <c r="D80" s="57"/>
      <c r="E80" s="55"/>
      <c r="F80" s="65"/>
      <c r="G80" s="56">
        <f t="shared" si="30"/>
        <v>0</v>
      </c>
      <c r="H80" s="56"/>
      <c r="I80" s="57"/>
      <c r="J80" s="56"/>
      <c r="K80" s="16">
        <f t="shared" si="31"/>
        <v>0</v>
      </c>
      <c r="L80" s="16">
        <f>SUM(K$5:K80)</f>
        <v>9599297.2000000011</v>
      </c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>
        <f t="shared" si="29"/>
        <v>16.666666666666668</v>
      </c>
      <c r="AE80" s="16">
        <f t="shared" si="29"/>
        <v>300</v>
      </c>
      <c r="AF80" s="16">
        <f t="shared" si="29"/>
        <v>100</v>
      </c>
      <c r="AG80" s="16">
        <f t="shared" si="32"/>
        <v>416.66666666666669</v>
      </c>
      <c r="AH80" s="16">
        <f>SUM(AG$5:AG80)</f>
        <v>9598797.2000000142</v>
      </c>
      <c r="AI80" s="16">
        <f t="shared" si="33"/>
        <v>499.99999998696148</v>
      </c>
      <c r="AJ80" s="16">
        <f t="shared" si="34"/>
        <v>916.66666665300727</v>
      </c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>
        <f t="shared" si="35"/>
        <v>0</v>
      </c>
      <c r="BH80" s="21">
        <f t="shared" si="36"/>
        <v>0</v>
      </c>
      <c r="BI80" s="21">
        <f t="shared" si="37"/>
        <v>416.66666666666669</v>
      </c>
      <c r="BJ80" s="16">
        <f t="shared" si="38"/>
        <v>416.66666666666669</v>
      </c>
      <c r="BK80" s="16">
        <f>+BJ80*'Capital Structure '!$E$30</f>
        <v>170.20833333333334</v>
      </c>
      <c r="BL80" s="16">
        <f>SUM(BK$5:BK80)</f>
        <v>-204.2499999996476</v>
      </c>
    </row>
    <row r="81" spans="1:64" ht="12.75" customHeight="1">
      <c r="A81" s="10" t="s">
        <v>57</v>
      </c>
      <c r="B81" s="10">
        <f t="shared" si="28"/>
        <v>2017</v>
      </c>
      <c r="C81" s="7" t="s">
        <v>96</v>
      </c>
      <c r="D81" s="57"/>
      <c r="E81" s="55"/>
      <c r="F81" s="65"/>
      <c r="G81" s="56">
        <f t="shared" si="30"/>
        <v>0</v>
      </c>
      <c r="H81" s="56"/>
      <c r="I81" s="57"/>
      <c r="J81" s="56"/>
      <c r="K81" s="16">
        <f t="shared" si="31"/>
        <v>0</v>
      </c>
      <c r="L81" s="16">
        <f>SUM(K$5:K81)</f>
        <v>9599297.2000000011</v>
      </c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>
        <f>+AE80</f>
        <v>300</v>
      </c>
      <c r="AF81" s="16">
        <f>+AF80</f>
        <v>100</v>
      </c>
      <c r="AG81" s="16">
        <f t="shared" si="32"/>
        <v>400</v>
      </c>
      <c r="AH81" s="16">
        <f>SUM(AG$5:AG81)</f>
        <v>9599197.2000000142</v>
      </c>
      <c r="AI81" s="16">
        <f t="shared" si="33"/>
        <v>99.999999986961484</v>
      </c>
      <c r="AJ81" s="16">
        <f t="shared" si="34"/>
        <v>499.99999998696148</v>
      </c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>
        <f t="shared" si="35"/>
        <v>0</v>
      </c>
      <c r="BH81" s="21">
        <f t="shared" si="36"/>
        <v>0</v>
      </c>
      <c r="BI81" s="21">
        <f t="shared" si="37"/>
        <v>400</v>
      </c>
      <c r="BJ81" s="16">
        <f t="shared" si="38"/>
        <v>400</v>
      </c>
      <c r="BK81" s="16">
        <f>+BJ81*'Capital Structure '!$E$30</f>
        <v>163.39999999999998</v>
      </c>
      <c r="BL81" s="16">
        <f>SUM(BK$5:BK81)</f>
        <v>-40.849999999647622</v>
      </c>
    </row>
    <row r="82" spans="1:64" s="4" customFormat="1" ht="12.75" customHeight="1">
      <c r="A82" s="29" t="s">
        <v>58</v>
      </c>
      <c r="B82" s="29">
        <f t="shared" si="28"/>
        <v>2017</v>
      </c>
      <c r="C82" s="7" t="s">
        <v>96</v>
      </c>
      <c r="D82" s="56"/>
      <c r="E82" s="31"/>
      <c r="F82" s="31"/>
      <c r="G82" s="56">
        <f t="shared" si="30"/>
        <v>0</v>
      </c>
      <c r="H82" s="56"/>
      <c r="I82" s="56"/>
      <c r="J82" s="56"/>
      <c r="K82" s="31">
        <f t="shared" si="31"/>
        <v>0</v>
      </c>
      <c r="L82" s="31">
        <f>SUM(K$5:K82)</f>
        <v>9599297.2000000011</v>
      </c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>
        <f>+AF81</f>
        <v>100</v>
      </c>
      <c r="AG82" s="31">
        <f t="shared" si="32"/>
        <v>100</v>
      </c>
      <c r="AH82" s="31">
        <f>SUM(AG$5:AG82)</f>
        <v>9599297.2000000142</v>
      </c>
      <c r="AI82" s="31">
        <f t="shared" si="33"/>
        <v>0</v>
      </c>
      <c r="AJ82" s="31">
        <f t="shared" si="34"/>
        <v>99.999999986961484</v>
      </c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>
        <f t="shared" si="35"/>
        <v>0</v>
      </c>
      <c r="BH82" s="35">
        <f t="shared" si="36"/>
        <v>0</v>
      </c>
      <c r="BI82" s="35">
        <f t="shared" si="37"/>
        <v>100</v>
      </c>
      <c r="BJ82" s="31">
        <f t="shared" si="38"/>
        <v>100</v>
      </c>
      <c r="BK82" s="31">
        <f>+BJ82*'Capital Structure '!$E$30</f>
        <v>40.849999999999994</v>
      </c>
      <c r="BL82" s="31">
        <f>SUM(BK$5:BK82)</f>
        <v>3.5237235351814888E-10</v>
      </c>
    </row>
    <row r="83" spans="1:64">
      <c r="A83" s="19" t="s">
        <v>59</v>
      </c>
      <c r="B83" s="19">
        <f t="shared" si="28"/>
        <v>2017</v>
      </c>
      <c r="C83" s="7" t="s">
        <v>96</v>
      </c>
      <c r="D83" s="16"/>
      <c r="E83" s="16"/>
      <c r="F83" s="16"/>
      <c r="G83" s="16"/>
      <c r="H83" s="16"/>
      <c r="I83" s="16"/>
      <c r="J83" s="16"/>
      <c r="K83" s="16"/>
      <c r="L83" s="16"/>
    </row>
    <row r="84" spans="1:64">
      <c r="A84" s="19" t="s">
        <v>46</v>
      </c>
      <c r="B84" s="19">
        <f t="shared" si="28"/>
        <v>2017</v>
      </c>
      <c r="C84" s="7" t="s">
        <v>96</v>
      </c>
    </row>
    <row r="85" spans="1:64">
      <c r="A85" s="19" t="s">
        <v>48</v>
      </c>
      <c r="B85" s="19">
        <f t="shared" si="28"/>
        <v>2017</v>
      </c>
      <c r="C85" s="7" t="s">
        <v>96</v>
      </c>
      <c r="D85" s="87"/>
      <c r="E85" s="87"/>
      <c r="F85" s="87"/>
      <c r="G85" s="87"/>
      <c r="H85" s="87"/>
      <c r="I85" s="87"/>
    </row>
    <row r="86" spans="1:64">
      <c r="A86" s="19" t="s">
        <v>50</v>
      </c>
      <c r="B86" s="19">
        <f t="shared" si="28"/>
        <v>2017</v>
      </c>
      <c r="C86" s="7" t="s">
        <v>96</v>
      </c>
    </row>
    <row r="87" spans="1:64">
      <c r="A87" s="19" t="s">
        <v>51</v>
      </c>
      <c r="B87" s="19">
        <f t="shared" si="28"/>
        <v>2017</v>
      </c>
      <c r="C87" s="7" t="s">
        <v>96</v>
      </c>
    </row>
    <row r="88" spans="1:64">
      <c r="A88" s="19" t="s">
        <v>52</v>
      </c>
      <c r="B88" s="19">
        <f t="shared" si="28"/>
        <v>2017</v>
      </c>
      <c r="C88" s="7" t="s">
        <v>96</v>
      </c>
      <c r="D88" s="21"/>
      <c r="E88" s="88"/>
      <c r="F88" s="21"/>
      <c r="G88" s="21"/>
      <c r="H88" s="21"/>
      <c r="I88" s="21"/>
      <c r="J88" s="21"/>
      <c r="K88" s="21"/>
    </row>
    <row r="89" spans="1:64">
      <c r="A89" s="19" t="s">
        <v>53</v>
      </c>
      <c r="B89" s="19">
        <f>+B88+1</f>
        <v>2018</v>
      </c>
      <c r="C89" s="7" t="s">
        <v>96</v>
      </c>
      <c r="D89" s="21"/>
      <c r="E89" s="21"/>
      <c r="F89" s="21"/>
      <c r="G89" s="21"/>
      <c r="H89" s="21"/>
      <c r="I89" s="21"/>
      <c r="J89" s="21"/>
      <c r="K89" s="21"/>
    </row>
    <row r="90" spans="1:64">
      <c r="A90" s="19" t="s">
        <v>54</v>
      </c>
      <c r="B90" s="19">
        <f t="shared" si="28"/>
        <v>2018</v>
      </c>
      <c r="C90" s="7" t="s">
        <v>96</v>
      </c>
      <c r="D90" s="21"/>
      <c r="E90" s="21"/>
      <c r="F90" s="21"/>
      <c r="G90" s="21"/>
      <c r="H90" s="21"/>
      <c r="I90" s="21"/>
      <c r="J90" s="21"/>
      <c r="K90" s="21"/>
    </row>
    <row r="91" spans="1:64">
      <c r="A91" s="19" t="s">
        <v>55</v>
      </c>
      <c r="B91" s="19">
        <f t="shared" si="28"/>
        <v>2018</v>
      </c>
      <c r="C91" s="7" t="s">
        <v>96</v>
      </c>
      <c r="D91" s="21"/>
      <c r="E91" s="21"/>
      <c r="F91" s="21"/>
      <c r="G91" s="21"/>
      <c r="H91" s="21"/>
      <c r="I91" s="21"/>
      <c r="J91" s="21"/>
      <c r="K91" s="21"/>
    </row>
    <row r="92" spans="1:64">
      <c r="A92" s="19" t="s">
        <v>56</v>
      </c>
      <c r="B92" s="19">
        <f t="shared" si="28"/>
        <v>2018</v>
      </c>
      <c r="C92" s="7" t="s">
        <v>96</v>
      </c>
      <c r="D92" s="21"/>
      <c r="E92" s="21"/>
      <c r="F92" s="21"/>
      <c r="G92" s="21"/>
      <c r="H92" s="21"/>
      <c r="I92" s="21"/>
      <c r="J92" s="21"/>
      <c r="K92" s="21"/>
    </row>
    <row r="93" spans="1:64">
      <c r="A93" s="19" t="s">
        <v>57</v>
      </c>
      <c r="B93" s="19">
        <f t="shared" si="28"/>
        <v>2018</v>
      </c>
      <c r="C93" s="19" t="s">
        <v>60</v>
      </c>
      <c r="D93" s="21"/>
      <c r="E93" s="21"/>
      <c r="F93" s="21"/>
      <c r="G93" s="21"/>
      <c r="H93" s="21"/>
      <c r="I93" s="21"/>
      <c r="J93" s="21"/>
      <c r="K93" s="21"/>
    </row>
    <row r="94" spans="1:64">
      <c r="A94" s="19" t="s">
        <v>58</v>
      </c>
      <c r="B94" s="19">
        <f t="shared" si="28"/>
        <v>2018</v>
      </c>
      <c r="C94" s="19" t="s">
        <v>60</v>
      </c>
      <c r="D94" s="21"/>
      <c r="E94" s="21"/>
      <c r="F94" s="21"/>
      <c r="G94" s="21"/>
      <c r="H94" s="21"/>
      <c r="I94" s="21"/>
      <c r="J94" s="21"/>
      <c r="K94" s="21"/>
    </row>
    <row r="95" spans="1:64">
      <c r="A95" s="19" t="s">
        <v>59</v>
      </c>
      <c r="B95" s="19">
        <f t="shared" si="28"/>
        <v>2018</v>
      </c>
      <c r="C95" s="19" t="s">
        <v>60</v>
      </c>
    </row>
    <row r="96" spans="1:64">
      <c r="A96" s="19" t="s">
        <v>46</v>
      </c>
      <c r="B96" s="19">
        <f t="shared" si="28"/>
        <v>2018</v>
      </c>
      <c r="C96" s="19" t="s">
        <v>60</v>
      </c>
    </row>
    <row r="97" spans="1:3">
      <c r="A97" s="19" t="s">
        <v>48</v>
      </c>
      <c r="B97" s="19">
        <f t="shared" si="28"/>
        <v>2018</v>
      </c>
      <c r="C97" s="19" t="s">
        <v>60</v>
      </c>
    </row>
  </sheetData>
  <mergeCells count="3">
    <mergeCell ref="D1:K1"/>
    <mergeCell ref="N1:AG1"/>
    <mergeCell ref="AL1:BF1"/>
  </mergeCells>
  <printOptions horizontalCentered="1" gridLines="1"/>
  <pageMargins left="0" right="0" top="0" bottom="0" header="0.5" footer="0.5"/>
  <pageSetup scale="89" orientation="landscape" r:id="rId1"/>
  <headerFooter alignWithMargins="0"/>
  <colBreaks count="3" manualBreakCount="3">
    <brk id="13" max="1048575" man="1"/>
    <brk id="37" max="1048575" man="1"/>
    <brk id="5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theme="1" tint="0.499984740745262"/>
    <pageSetUpPr fitToPage="1"/>
  </sheetPr>
  <dimension ref="A1:Y78"/>
  <sheetViews>
    <sheetView topLeftCell="A41" workbookViewId="0">
      <selection activeCell="A81" sqref="A81"/>
    </sheetView>
  </sheetViews>
  <sheetFormatPr defaultColWidth="9.140625" defaultRowHeight="12.75" outlineLevelRow="1"/>
  <cols>
    <col min="1" max="3" width="9.140625" style="1"/>
    <col min="4" max="4" width="6.28515625" style="1" customWidth="1"/>
    <col min="5" max="5" width="10.28515625" style="1" customWidth="1"/>
    <col min="6" max="6" width="6.140625" style="1" customWidth="1"/>
    <col min="7" max="7" width="10.28515625" style="1" customWidth="1"/>
    <col min="8" max="8" width="11.140625" style="1" customWidth="1"/>
    <col min="9" max="9" width="5.85546875" style="6" customWidth="1"/>
    <col min="10" max="11" width="9.140625" style="1" customWidth="1"/>
    <col min="12" max="12" width="9.140625" style="1"/>
    <col min="13" max="21" width="9.140625" style="1" customWidth="1"/>
    <col min="22" max="22" width="9.140625" style="1"/>
    <col min="23" max="23" width="11.140625" style="1" customWidth="1"/>
    <col min="24" max="24" width="10" style="1" customWidth="1"/>
    <col min="25" max="25" width="9.140625" style="6"/>
    <col min="26" max="16384" width="9.140625" style="1"/>
  </cols>
  <sheetData>
    <row r="1" spans="1:25">
      <c r="D1" s="681"/>
      <c r="E1" s="681"/>
      <c r="F1" s="681"/>
      <c r="G1" s="681"/>
      <c r="H1" s="1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11"/>
      <c r="X1" s="11"/>
    </row>
    <row r="2" spans="1:25" ht="38.25">
      <c r="A2" s="49"/>
      <c r="B2" s="49"/>
      <c r="C2" s="10" t="s">
        <v>16</v>
      </c>
      <c r="D2" s="51"/>
      <c r="E2" s="62" t="s">
        <v>114</v>
      </c>
      <c r="F2" s="52"/>
      <c r="G2" s="52" t="s">
        <v>69</v>
      </c>
      <c r="H2" s="52" t="s">
        <v>86</v>
      </c>
      <c r="I2" s="205"/>
      <c r="J2" s="63">
        <v>41913</v>
      </c>
      <c r="K2" s="63">
        <f t="shared" ref="K2:T2" si="0">+J2+31</f>
        <v>41944</v>
      </c>
      <c r="L2" s="63">
        <f t="shared" si="0"/>
        <v>41975</v>
      </c>
      <c r="M2" s="63">
        <f t="shared" si="0"/>
        <v>42006</v>
      </c>
      <c r="N2" s="63">
        <f t="shared" si="0"/>
        <v>42037</v>
      </c>
      <c r="O2" s="63">
        <f t="shared" si="0"/>
        <v>42068</v>
      </c>
      <c r="P2" s="63">
        <f t="shared" si="0"/>
        <v>42099</v>
      </c>
      <c r="Q2" s="63">
        <f t="shared" si="0"/>
        <v>42130</v>
      </c>
      <c r="R2" s="63">
        <f t="shared" si="0"/>
        <v>42161</v>
      </c>
      <c r="S2" s="63">
        <f t="shared" si="0"/>
        <v>42192</v>
      </c>
      <c r="T2" s="63">
        <f t="shared" si="0"/>
        <v>42223</v>
      </c>
      <c r="U2" s="63">
        <f>+T2+31</f>
        <v>42254</v>
      </c>
      <c r="V2" s="49" t="s">
        <v>69</v>
      </c>
      <c r="W2" s="49" t="s">
        <v>87</v>
      </c>
      <c r="X2" s="49" t="s">
        <v>32</v>
      </c>
      <c r="Y2" s="205"/>
    </row>
    <row r="3" spans="1:25" ht="15.75">
      <c r="A3" s="1" t="s">
        <v>27</v>
      </c>
      <c r="C3" s="10" t="s">
        <v>28</v>
      </c>
      <c r="D3" s="12"/>
      <c r="E3" s="53" t="s">
        <v>67</v>
      </c>
      <c r="F3" s="12"/>
      <c r="G3" s="12"/>
      <c r="H3" s="9"/>
    </row>
    <row r="4" spans="1:25">
      <c r="A4" s="10"/>
      <c r="B4" s="10"/>
      <c r="C4" s="10"/>
      <c r="D4" s="56"/>
      <c r="E4" s="57"/>
      <c r="F4" s="56"/>
      <c r="G4" s="16"/>
      <c r="H4" s="23"/>
    </row>
    <row r="5" spans="1:25" outlineLevel="1">
      <c r="A5" s="10" t="s">
        <v>50</v>
      </c>
      <c r="B5" s="10">
        <v>2014</v>
      </c>
      <c r="C5" s="19" t="s">
        <v>47</v>
      </c>
      <c r="D5" s="56"/>
      <c r="E5" s="57">
        <v>0</v>
      </c>
      <c r="F5" s="56"/>
      <c r="G5" s="16">
        <f t="shared" ref="G5:G36" si="1">SUM(D5:E5)</f>
        <v>0</v>
      </c>
      <c r="H5" s="16">
        <f>SUM(G$5:G5)</f>
        <v>0</v>
      </c>
      <c r="J5" s="16">
        <f>+$G5/60</f>
        <v>0</v>
      </c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>
        <f t="shared" ref="V5:V18" si="2">SUM(J5:T5)</f>
        <v>0</v>
      </c>
      <c r="W5" s="16">
        <f>SUM(V$5:V5)</f>
        <v>0</v>
      </c>
      <c r="X5" s="16">
        <f t="shared" ref="X5:X36" si="3">+H5-W5</f>
        <v>0</v>
      </c>
    </row>
    <row r="6" spans="1:25" outlineLevel="1">
      <c r="A6" s="10" t="s">
        <v>51</v>
      </c>
      <c r="B6" s="10">
        <f t="shared" ref="B6:B19" si="4">+B5</f>
        <v>2014</v>
      </c>
      <c r="C6" s="19" t="s">
        <v>47</v>
      </c>
      <c r="D6" s="56"/>
      <c r="E6" s="57">
        <v>0</v>
      </c>
      <c r="F6" s="56"/>
      <c r="G6" s="16">
        <f t="shared" si="1"/>
        <v>0</v>
      </c>
      <c r="H6" s="16">
        <f>SUM(G$5:G6)</f>
        <v>0</v>
      </c>
      <c r="J6" s="16">
        <f t="shared" ref="J6:P12" si="5">+J5</f>
        <v>0</v>
      </c>
      <c r="K6" s="16">
        <f>+$G6/60</f>
        <v>0</v>
      </c>
      <c r="L6" s="16"/>
      <c r="M6" s="16"/>
      <c r="N6" s="16"/>
      <c r="O6" s="16"/>
      <c r="P6" s="16"/>
      <c r="Q6" s="16"/>
      <c r="R6" s="16"/>
      <c r="S6" s="16"/>
      <c r="T6" s="16"/>
      <c r="U6" s="16"/>
      <c r="V6" s="16">
        <f t="shared" si="2"/>
        <v>0</v>
      </c>
      <c r="W6" s="16">
        <f>SUM(V$5:V6)</f>
        <v>0</v>
      </c>
      <c r="X6" s="16">
        <f t="shared" si="3"/>
        <v>0</v>
      </c>
    </row>
    <row r="7" spans="1:25" outlineLevel="1">
      <c r="A7" s="24" t="s">
        <v>52</v>
      </c>
      <c r="B7" s="24">
        <f t="shared" si="4"/>
        <v>2014</v>
      </c>
      <c r="C7" s="24" t="s">
        <v>47</v>
      </c>
      <c r="D7" s="60"/>
      <c r="E7" s="68">
        <v>750000</v>
      </c>
      <c r="F7" s="60"/>
      <c r="G7" s="25">
        <f t="shared" si="1"/>
        <v>750000</v>
      </c>
      <c r="H7" s="25">
        <f>SUM(G$5:G7)</f>
        <v>750000</v>
      </c>
      <c r="I7" s="34"/>
      <c r="J7" s="25">
        <f t="shared" si="5"/>
        <v>0</v>
      </c>
      <c r="K7" s="25">
        <f t="shared" si="5"/>
        <v>0</v>
      </c>
      <c r="L7" s="25">
        <f>+$G7/60</f>
        <v>12500</v>
      </c>
      <c r="M7" s="25"/>
      <c r="N7" s="25"/>
      <c r="O7" s="25"/>
      <c r="P7" s="25"/>
      <c r="Q7" s="25"/>
      <c r="R7" s="25"/>
      <c r="S7" s="25"/>
      <c r="T7" s="25"/>
      <c r="U7" s="25"/>
      <c r="V7" s="25">
        <f t="shared" si="2"/>
        <v>12500</v>
      </c>
      <c r="W7" s="25">
        <f>SUM(V$5:V7)</f>
        <v>12500</v>
      </c>
      <c r="X7" s="25">
        <f t="shared" si="3"/>
        <v>737500</v>
      </c>
    </row>
    <row r="8" spans="1:25" s="3" customFormat="1" outlineLevel="1">
      <c r="A8" s="7" t="s">
        <v>53</v>
      </c>
      <c r="B8" s="7">
        <f>+B7+1</f>
        <v>2015</v>
      </c>
      <c r="C8" s="29" t="s">
        <v>47</v>
      </c>
      <c r="D8" s="56"/>
      <c r="E8" s="57">
        <v>0</v>
      </c>
      <c r="F8" s="56"/>
      <c r="G8" s="30">
        <f t="shared" si="1"/>
        <v>0</v>
      </c>
      <c r="H8" s="30">
        <f>SUM(G$5:G8)</f>
        <v>750000</v>
      </c>
      <c r="I8" s="4"/>
      <c r="J8" s="30">
        <f t="shared" si="5"/>
        <v>0</v>
      </c>
      <c r="K8" s="30">
        <f t="shared" si="5"/>
        <v>0</v>
      </c>
      <c r="L8" s="30">
        <f t="shared" si="5"/>
        <v>12500</v>
      </c>
      <c r="M8" s="30">
        <f>+$G8/60</f>
        <v>0</v>
      </c>
      <c r="N8" s="30"/>
      <c r="O8" s="30"/>
      <c r="P8" s="30"/>
      <c r="Q8" s="30"/>
      <c r="R8" s="30"/>
      <c r="S8" s="30"/>
      <c r="T8" s="30"/>
      <c r="U8" s="30"/>
      <c r="V8" s="30">
        <f t="shared" si="2"/>
        <v>12500</v>
      </c>
      <c r="W8" s="30">
        <f>SUM(V$5:V8)</f>
        <v>25000</v>
      </c>
      <c r="X8" s="30">
        <f t="shared" si="3"/>
        <v>725000</v>
      </c>
      <c r="Y8" s="4"/>
    </row>
    <row r="9" spans="1:25" outlineLevel="1">
      <c r="A9" s="19" t="s">
        <v>54</v>
      </c>
      <c r="B9" s="19">
        <f>+B8</f>
        <v>2015</v>
      </c>
      <c r="C9" s="29" t="s">
        <v>47</v>
      </c>
      <c r="D9" s="56"/>
      <c r="E9" s="57">
        <v>0</v>
      </c>
      <c r="F9" s="56"/>
      <c r="G9" s="17">
        <f t="shared" si="1"/>
        <v>0</v>
      </c>
      <c r="H9" s="17">
        <f>SUM(G$5:G9)</f>
        <v>750000</v>
      </c>
      <c r="J9" s="17">
        <f t="shared" si="5"/>
        <v>0</v>
      </c>
      <c r="K9" s="17">
        <f t="shared" si="5"/>
        <v>0</v>
      </c>
      <c r="L9" s="17">
        <f t="shared" si="5"/>
        <v>12500</v>
      </c>
      <c r="M9" s="17">
        <f t="shared" si="5"/>
        <v>0</v>
      </c>
      <c r="N9" s="17">
        <f>+$G9/60</f>
        <v>0</v>
      </c>
      <c r="O9" s="17"/>
      <c r="P9" s="17"/>
      <c r="Q9" s="17"/>
      <c r="R9" s="17"/>
      <c r="S9" s="17"/>
      <c r="T9" s="17"/>
      <c r="U9" s="17"/>
      <c r="V9" s="17">
        <f t="shared" si="2"/>
        <v>12500</v>
      </c>
      <c r="W9" s="17">
        <f>SUM(V$5:V9)</f>
        <v>37500</v>
      </c>
      <c r="X9" s="17">
        <f t="shared" si="3"/>
        <v>712500</v>
      </c>
    </row>
    <row r="10" spans="1:25" outlineLevel="1">
      <c r="A10" s="10" t="s">
        <v>55</v>
      </c>
      <c r="B10" s="10">
        <f>+B9</f>
        <v>2015</v>
      </c>
      <c r="C10" s="29" t="s">
        <v>47</v>
      </c>
      <c r="D10" s="56"/>
      <c r="E10" s="57">
        <v>0</v>
      </c>
      <c r="F10" s="56"/>
      <c r="G10" s="16">
        <f t="shared" si="1"/>
        <v>0</v>
      </c>
      <c r="H10" s="16">
        <f>SUM(G$5:G10)</f>
        <v>750000</v>
      </c>
      <c r="J10" s="16">
        <f t="shared" si="5"/>
        <v>0</v>
      </c>
      <c r="K10" s="16">
        <f t="shared" si="5"/>
        <v>0</v>
      </c>
      <c r="L10" s="16">
        <f t="shared" si="5"/>
        <v>12500</v>
      </c>
      <c r="M10" s="16">
        <f t="shared" si="5"/>
        <v>0</v>
      </c>
      <c r="N10" s="16">
        <f t="shared" si="5"/>
        <v>0</v>
      </c>
      <c r="O10" s="16">
        <f>+$G10/60</f>
        <v>0</v>
      </c>
      <c r="P10" s="16"/>
      <c r="Q10" s="16"/>
      <c r="R10" s="16"/>
      <c r="S10" s="16"/>
      <c r="T10" s="16"/>
      <c r="U10" s="16"/>
      <c r="V10" s="16">
        <f t="shared" si="2"/>
        <v>12500</v>
      </c>
      <c r="W10" s="16">
        <f>SUM(V$5:V10)</f>
        <v>50000</v>
      </c>
      <c r="X10" s="16">
        <f t="shared" si="3"/>
        <v>700000</v>
      </c>
    </row>
    <row r="11" spans="1:25" outlineLevel="1">
      <c r="A11" s="10" t="s">
        <v>56</v>
      </c>
      <c r="B11" s="10">
        <f>+B10</f>
        <v>2015</v>
      </c>
      <c r="C11" s="29" t="s">
        <v>47</v>
      </c>
      <c r="D11" s="56"/>
      <c r="E11" s="57">
        <v>0</v>
      </c>
      <c r="F11" s="56"/>
      <c r="G11" s="16">
        <f t="shared" si="1"/>
        <v>0</v>
      </c>
      <c r="H11" s="16">
        <f>SUM(G$5:G11)</f>
        <v>750000</v>
      </c>
      <c r="J11" s="16">
        <f t="shared" si="5"/>
        <v>0</v>
      </c>
      <c r="K11" s="16">
        <f t="shared" si="5"/>
        <v>0</v>
      </c>
      <c r="L11" s="16">
        <f t="shared" si="5"/>
        <v>12500</v>
      </c>
      <c r="M11" s="16">
        <f t="shared" si="5"/>
        <v>0</v>
      </c>
      <c r="N11" s="16">
        <f t="shared" si="5"/>
        <v>0</v>
      </c>
      <c r="O11" s="16">
        <f t="shared" si="5"/>
        <v>0</v>
      </c>
      <c r="P11" s="16">
        <f>+$G11/60</f>
        <v>0</v>
      </c>
      <c r="Q11" s="16"/>
      <c r="R11" s="16"/>
      <c r="S11" s="16"/>
      <c r="T11" s="16"/>
      <c r="U11" s="16"/>
      <c r="V11" s="16">
        <f t="shared" si="2"/>
        <v>12500</v>
      </c>
      <c r="W11" s="16">
        <f>SUM(V$5:V11)</f>
        <v>62500</v>
      </c>
      <c r="X11" s="16">
        <f t="shared" si="3"/>
        <v>687500</v>
      </c>
    </row>
    <row r="12" spans="1:25" outlineLevel="1">
      <c r="A12" s="10" t="s">
        <v>57</v>
      </c>
      <c r="B12" s="10">
        <f>+B11</f>
        <v>2015</v>
      </c>
      <c r="C12" s="29" t="s">
        <v>47</v>
      </c>
      <c r="D12" s="56"/>
      <c r="E12" s="57">
        <v>0</v>
      </c>
      <c r="F12" s="56"/>
      <c r="G12" s="16">
        <f t="shared" si="1"/>
        <v>0</v>
      </c>
      <c r="H12" s="16">
        <f>SUM(G$5:G12)</f>
        <v>750000</v>
      </c>
      <c r="J12" s="16">
        <f t="shared" si="5"/>
        <v>0</v>
      </c>
      <c r="K12" s="16">
        <f t="shared" si="5"/>
        <v>0</v>
      </c>
      <c r="L12" s="16">
        <f t="shared" si="5"/>
        <v>12500</v>
      </c>
      <c r="M12" s="16">
        <f t="shared" si="5"/>
        <v>0</v>
      </c>
      <c r="N12" s="16">
        <f t="shared" si="5"/>
        <v>0</v>
      </c>
      <c r="O12" s="16">
        <f t="shared" si="5"/>
        <v>0</v>
      </c>
      <c r="P12" s="16">
        <f t="shared" si="5"/>
        <v>0</v>
      </c>
      <c r="Q12" s="16">
        <f>+$G12/60</f>
        <v>0</v>
      </c>
      <c r="R12" s="16"/>
      <c r="S12" s="16"/>
      <c r="T12" s="16"/>
      <c r="U12" s="16"/>
      <c r="V12" s="16">
        <f t="shared" si="2"/>
        <v>12500</v>
      </c>
      <c r="W12" s="16">
        <f>SUM(V$5:V12)</f>
        <v>75000</v>
      </c>
      <c r="X12" s="16">
        <f t="shared" si="3"/>
        <v>675000</v>
      </c>
    </row>
    <row r="13" spans="1:25" s="3" customFormat="1" outlineLevel="1">
      <c r="A13" s="7" t="s">
        <v>58</v>
      </c>
      <c r="B13" s="7">
        <f>+B12</f>
        <v>2015</v>
      </c>
      <c r="C13" s="29" t="s">
        <v>47</v>
      </c>
      <c r="D13" s="56"/>
      <c r="E13" s="57">
        <v>0</v>
      </c>
      <c r="F13" s="56"/>
      <c r="G13" s="30">
        <f t="shared" si="1"/>
        <v>0</v>
      </c>
      <c r="H13" s="30">
        <f>SUM(G$5:G13)</f>
        <v>750000</v>
      </c>
      <c r="I13" s="4"/>
      <c r="J13" s="30">
        <f t="shared" ref="J13:Q27" si="6">+J12</f>
        <v>0</v>
      </c>
      <c r="K13" s="30">
        <f t="shared" si="6"/>
        <v>0</v>
      </c>
      <c r="L13" s="30">
        <f t="shared" si="6"/>
        <v>12500</v>
      </c>
      <c r="M13" s="30">
        <f t="shared" si="6"/>
        <v>0</v>
      </c>
      <c r="N13" s="30">
        <f t="shared" si="6"/>
        <v>0</v>
      </c>
      <c r="O13" s="30">
        <f t="shared" si="6"/>
        <v>0</v>
      </c>
      <c r="P13" s="30">
        <f t="shared" si="6"/>
        <v>0</v>
      </c>
      <c r="Q13" s="30">
        <f t="shared" si="6"/>
        <v>0</v>
      </c>
      <c r="R13" s="30">
        <f>+$G13/60</f>
        <v>0</v>
      </c>
      <c r="S13" s="30"/>
      <c r="T13" s="30"/>
      <c r="U13" s="30"/>
      <c r="V13" s="30">
        <f t="shared" si="2"/>
        <v>12500</v>
      </c>
      <c r="W13" s="30">
        <f>SUM(V$5:V13)</f>
        <v>87500</v>
      </c>
      <c r="X13" s="30">
        <f t="shared" si="3"/>
        <v>662500</v>
      </c>
      <c r="Y13" s="4"/>
    </row>
    <row r="14" spans="1:25" outlineLevel="1">
      <c r="A14" s="10" t="s">
        <v>59</v>
      </c>
      <c r="B14" s="10">
        <f t="shared" si="4"/>
        <v>2015</v>
      </c>
      <c r="C14" s="29" t="s">
        <v>47</v>
      </c>
      <c r="D14" s="56"/>
      <c r="E14" s="57">
        <v>0</v>
      </c>
      <c r="F14" s="56"/>
      <c r="G14" s="16">
        <f t="shared" si="1"/>
        <v>0</v>
      </c>
      <c r="H14" s="16">
        <f>SUM(G$5:G14)</f>
        <v>750000</v>
      </c>
      <c r="J14" s="16">
        <f t="shared" si="6"/>
        <v>0</v>
      </c>
      <c r="K14" s="16">
        <f t="shared" si="6"/>
        <v>0</v>
      </c>
      <c r="L14" s="16">
        <f t="shared" si="6"/>
        <v>12500</v>
      </c>
      <c r="M14" s="16">
        <f t="shared" si="6"/>
        <v>0</v>
      </c>
      <c r="N14" s="16">
        <f t="shared" si="6"/>
        <v>0</v>
      </c>
      <c r="O14" s="16">
        <f t="shared" si="6"/>
        <v>0</v>
      </c>
      <c r="P14" s="16">
        <f t="shared" si="6"/>
        <v>0</v>
      </c>
      <c r="Q14" s="16">
        <f t="shared" si="6"/>
        <v>0</v>
      </c>
      <c r="R14" s="16">
        <f t="shared" ref="R14:U29" si="7">+R13</f>
        <v>0</v>
      </c>
      <c r="S14" s="16">
        <f>+$G14/60</f>
        <v>0</v>
      </c>
      <c r="T14" s="16"/>
      <c r="U14" s="16"/>
      <c r="V14" s="16">
        <f t="shared" si="2"/>
        <v>12500</v>
      </c>
      <c r="W14" s="16">
        <f>SUM(V$5:V14)</f>
        <v>100000</v>
      </c>
      <c r="X14" s="16">
        <f t="shared" si="3"/>
        <v>650000</v>
      </c>
    </row>
    <row r="15" spans="1:25" outlineLevel="1">
      <c r="A15" s="10" t="s">
        <v>46</v>
      </c>
      <c r="B15" s="10">
        <f t="shared" si="4"/>
        <v>2015</v>
      </c>
      <c r="C15" s="29" t="s">
        <v>47</v>
      </c>
      <c r="D15" s="56"/>
      <c r="E15" s="57">
        <v>0</v>
      </c>
      <c r="F15" s="56"/>
      <c r="G15" s="16">
        <f t="shared" si="1"/>
        <v>0</v>
      </c>
      <c r="H15" s="16">
        <f>SUM(G$5:G15)</f>
        <v>750000</v>
      </c>
      <c r="J15" s="16">
        <f t="shared" si="6"/>
        <v>0</v>
      </c>
      <c r="K15" s="16">
        <f t="shared" si="6"/>
        <v>0</v>
      </c>
      <c r="L15" s="16">
        <f t="shared" si="6"/>
        <v>12500</v>
      </c>
      <c r="M15" s="16">
        <f t="shared" si="6"/>
        <v>0</v>
      </c>
      <c r="N15" s="16">
        <f t="shared" si="6"/>
        <v>0</v>
      </c>
      <c r="O15" s="16">
        <f t="shared" si="6"/>
        <v>0</v>
      </c>
      <c r="P15" s="16">
        <f t="shared" si="6"/>
        <v>0</v>
      </c>
      <c r="Q15" s="16">
        <f t="shared" si="6"/>
        <v>0</v>
      </c>
      <c r="R15" s="16">
        <f t="shared" si="7"/>
        <v>0</v>
      </c>
      <c r="S15" s="16">
        <f t="shared" si="7"/>
        <v>0</v>
      </c>
      <c r="T15" s="16">
        <f>+$G15/60</f>
        <v>0</v>
      </c>
      <c r="U15" s="16"/>
      <c r="V15" s="16">
        <f t="shared" si="2"/>
        <v>12500</v>
      </c>
      <c r="W15" s="16">
        <f>SUM(V$5:V15)</f>
        <v>112500</v>
      </c>
      <c r="X15" s="16">
        <f t="shared" si="3"/>
        <v>637500</v>
      </c>
    </row>
    <row r="16" spans="1:25" outlineLevel="1">
      <c r="A16" s="10" t="s">
        <v>48</v>
      </c>
      <c r="B16" s="10">
        <f t="shared" si="4"/>
        <v>2015</v>
      </c>
      <c r="C16" s="29" t="s">
        <v>47</v>
      </c>
      <c r="D16" s="56"/>
      <c r="E16" s="57">
        <v>0</v>
      </c>
      <c r="F16" s="56"/>
      <c r="G16" s="16">
        <f t="shared" si="1"/>
        <v>0</v>
      </c>
      <c r="H16" s="16">
        <f>SUM(G$5:G16)</f>
        <v>750000</v>
      </c>
      <c r="J16" s="16">
        <f t="shared" si="6"/>
        <v>0</v>
      </c>
      <c r="K16" s="16">
        <f t="shared" si="6"/>
        <v>0</v>
      </c>
      <c r="L16" s="16">
        <f t="shared" si="6"/>
        <v>12500</v>
      </c>
      <c r="M16" s="16">
        <f t="shared" si="6"/>
        <v>0</v>
      </c>
      <c r="N16" s="16">
        <f t="shared" si="6"/>
        <v>0</v>
      </c>
      <c r="O16" s="16">
        <f t="shared" si="6"/>
        <v>0</v>
      </c>
      <c r="P16" s="16">
        <f t="shared" si="6"/>
        <v>0</v>
      </c>
      <c r="Q16" s="16">
        <f t="shared" si="6"/>
        <v>0</v>
      </c>
      <c r="R16" s="16">
        <f t="shared" si="7"/>
        <v>0</v>
      </c>
      <c r="S16" s="16">
        <f t="shared" si="7"/>
        <v>0</v>
      </c>
      <c r="T16" s="16">
        <f t="shared" si="7"/>
        <v>0</v>
      </c>
      <c r="U16" s="16">
        <f>+$G16/60</f>
        <v>0</v>
      </c>
      <c r="V16" s="16">
        <f t="shared" si="2"/>
        <v>12500</v>
      </c>
      <c r="W16" s="16">
        <f>SUM(V$5:V16)</f>
        <v>125000</v>
      </c>
      <c r="X16" s="16">
        <f t="shared" si="3"/>
        <v>625000</v>
      </c>
    </row>
    <row r="17" spans="1:25" outlineLevel="1">
      <c r="A17" s="10" t="s">
        <v>50</v>
      </c>
      <c r="B17" s="10">
        <f t="shared" si="4"/>
        <v>2015</v>
      </c>
      <c r="C17" s="10" t="s">
        <v>47</v>
      </c>
      <c r="D17" s="56"/>
      <c r="E17" s="57">
        <v>0</v>
      </c>
      <c r="F17" s="56"/>
      <c r="G17" s="16">
        <f t="shared" si="1"/>
        <v>0</v>
      </c>
      <c r="H17" s="16">
        <f>SUM(G$5:G17)</f>
        <v>750000</v>
      </c>
      <c r="J17" s="16">
        <f t="shared" si="6"/>
        <v>0</v>
      </c>
      <c r="K17" s="16">
        <f t="shared" si="6"/>
        <v>0</v>
      </c>
      <c r="L17" s="16">
        <f t="shared" si="6"/>
        <v>12500</v>
      </c>
      <c r="M17" s="16">
        <f t="shared" si="6"/>
        <v>0</v>
      </c>
      <c r="N17" s="16">
        <f t="shared" si="6"/>
        <v>0</v>
      </c>
      <c r="O17" s="16">
        <f t="shared" si="6"/>
        <v>0</v>
      </c>
      <c r="P17" s="16">
        <f t="shared" si="6"/>
        <v>0</v>
      </c>
      <c r="Q17" s="16">
        <f t="shared" si="6"/>
        <v>0</v>
      </c>
      <c r="R17" s="16">
        <f t="shared" si="7"/>
        <v>0</v>
      </c>
      <c r="S17" s="16">
        <f t="shared" si="7"/>
        <v>0</v>
      </c>
      <c r="T17" s="16">
        <f t="shared" si="7"/>
        <v>0</v>
      </c>
      <c r="U17" s="16">
        <f>+U16</f>
        <v>0</v>
      </c>
      <c r="V17" s="16">
        <f t="shared" si="2"/>
        <v>12500</v>
      </c>
      <c r="W17" s="16">
        <f>SUM(V$5:V17)</f>
        <v>137500</v>
      </c>
      <c r="X17" s="16">
        <f t="shared" si="3"/>
        <v>612500</v>
      </c>
    </row>
    <row r="18" spans="1:25" outlineLevel="1">
      <c r="A18" s="10" t="s">
        <v>51</v>
      </c>
      <c r="B18" s="10">
        <f t="shared" si="4"/>
        <v>2015</v>
      </c>
      <c r="C18" s="10" t="s">
        <v>47</v>
      </c>
      <c r="D18" s="56"/>
      <c r="E18" s="57">
        <v>0</v>
      </c>
      <c r="F18" s="56"/>
      <c r="G18" s="16">
        <f t="shared" si="1"/>
        <v>0</v>
      </c>
      <c r="H18" s="16">
        <f>SUM(G$5:G18)</f>
        <v>750000</v>
      </c>
      <c r="J18" s="16">
        <f t="shared" si="6"/>
        <v>0</v>
      </c>
      <c r="K18" s="16">
        <f t="shared" si="6"/>
        <v>0</v>
      </c>
      <c r="L18" s="16">
        <f t="shared" si="6"/>
        <v>12500</v>
      </c>
      <c r="M18" s="16">
        <f t="shared" si="6"/>
        <v>0</v>
      </c>
      <c r="N18" s="16">
        <f t="shared" si="6"/>
        <v>0</v>
      </c>
      <c r="O18" s="16">
        <f t="shared" si="6"/>
        <v>0</v>
      </c>
      <c r="P18" s="16">
        <f t="shared" si="6"/>
        <v>0</v>
      </c>
      <c r="Q18" s="16">
        <f t="shared" si="6"/>
        <v>0</v>
      </c>
      <c r="R18" s="16">
        <f t="shared" si="7"/>
        <v>0</v>
      </c>
      <c r="S18" s="16">
        <f t="shared" si="7"/>
        <v>0</v>
      </c>
      <c r="T18" s="16">
        <f t="shared" si="7"/>
        <v>0</v>
      </c>
      <c r="U18" s="16">
        <f t="shared" si="7"/>
        <v>0</v>
      </c>
      <c r="V18" s="16">
        <f t="shared" si="2"/>
        <v>12500</v>
      </c>
      <c r="W18" s="16">
        <f>SUM(V$5:V18)</f>
        <v>150000</v>
      </c>
      <c r="X18" s="16">
        <f t="shared" si="3"/>
        <v>600000</v>
      </c>
    </row>
    <row r="19" spans="1:25" outlineLevel="1">
      <c r="A19" s="27" t="s">
        <v>52</v>
      </c>
      <c r="B19" s="27">
        <f t="shared" si="4"/>
        <v>2015</v>
      </c>
      <c r="C19" s="24" t="s">
        <v>47</v>
      </c>
      <c r="D19" s="60"/>
      <c r="E19" s="68">
        <v>0</v>
      </c>
      <c r="F19" s="60"/>
      <c r="G19" s="80">
        <f t="shared" si="1"/>
        <v>0</v>
      </c>
      <c r="H19" s="80">
        <f>SUM(G$5:G19)</f>
        <v>750000</v>
      </c>
      <c r="I19" s="41"/>
      <c r="J19" s="80">
        <f t="shared" si="6"/>
        <v>0</v>
      </c>
      <c r="K19" s="80">
        <f t="shared" si="6"/>
        <v>0</v>
      </c>
      <c r="L19" s="80">
        <f t="shared" si="6"/>
        <v>12500</v>
      </c>
      <c r="M19" s="80">
        <f t="shared" si="6"/>
        <v>0</v>
      </c>
      <c r="N19" s="80">
        <f t="shared" si="6"/>
        <v>0</v>
      </c>
      <c r="O19" s="80">
        <f t="shared" si="6"/>
        <v>0</v>
      </c>
      <c r="P19" s="80">
        <f t="shared" si="6"/>
        <v>0</v>
      </c>
      <c r="Q19" s="80">
        <f t="shared" si="6"/>
        <v>0</v>
      </c>
      <c r="R19" s="80">
        <f t="shared" si="7"/>
        <v>0</v>
      </c>
      <c r="S19" s="80">
        <f t="shared" si="7"/>
        <v>0</v>
      </c>
      <c r="T19" s="80">
        <f t="shared" si="7"/>
        <v>0</v>
      </c>
      <c r="U19" s="25">
        <f t="shared" si="7"/>
        <v>0</v>
      </c>
      <c r="V19" s="80">
        <f t="shared" ref="V19:V50" si="8">SUM(J19:U19)</f>
        <v>12500</v>
      </c>
      <c r="W19" s="80">
        <f>SUM(V$5:V19)</f>
        <v>162500</v>
      </c>
      <c r="X19" s="80">
        <f t="shared" si="3"/>
        <v>587500</v>
      </c>
      <c r="Y19" s="41"/>
    </row>
    <row r="20" spans="1:25" outlineLevel="1">
      <c r="A20" s="10" t="s">
        <v>53</v>
      </c>
      <c r="B20" s="10">
        <f>+B19+1</f>
        <v>2016</v>
      </c>
      <c r="C20" s="10" t="s">
        <v>47</v>
      </c>
      <c r="D20" s="56"/>
      <c r="E20" s="57"/>
      <c r="F20" s="56"/>
      <c r="G20" s="16">
        <f t="shared" si="1"/>
        <v>0</v>
      </c>
      <c r="H20" s="16">
        <f>SUM(G$5:G20)</f>
        <v>750000</v>
      </c>
      <c r="J20" s="16">
        <f t="shared" si="6"/>
        <v>0</v>
      </c>
      <c r="K20" s="16">
        <f t="shared" si="6"/>
        <v>0</v>
      </c>
      <c r="L20" s="16">
        <f t="shared" si="6"/>
        <v>12500</v>
      </c>
      <c r="M20" s="16">
        <f t="shared" si="6"/>
        <v>0</v>
      </c>
      <c r="N20" s="16">
        <f t="shared" si="6"/>
        <v>0</v>
      </c>
      <c r="O20" s="16">
        <f t="shared" si="6"/>
        <v>0</v>
      </c>
      <c r="P20" s="16">
        <f t="shared" si="6"/>
        <v>0</v>
      </c>
      <c r="Q20" s="16">
        <f t="shared" si="6"/>
        <v>0</v>
      </c>
      <c r="R20" s="16">
        <f t="shared" si="7"/>
        <v>0</v>
      </c>
      <c r="S20" s="16">
        <f t="shared" si="7"/>
        <v>0</v>
      </c>
      <c r="T20" s="16">
        <f t="shared" si="7"/>
        <v>0</v>
      </c>
      <c r="U20" s="16">
        <f t="shared" si="7"/>
        <v>0</v>
      </c>
      <c r="V20" s="40">
        <f t="shared" si="8"/>
        <v>12500</v>
      </c>
      <c r="W20" s="16">
        <f>SUM(V$5:V20)</f>
        <v>175000</v>
      </c>
      <c r="X20" s="16">
        <f t="shared" si="3"/>
        <v>575000</v>
      </c>
    </row>
    <row r="21" spans="1:25" outlineLevel="1">
      <c r="A21" s="19" t="s">
        <v>54</v>
      </c>
      <c r="B21" s="19">
        <f>+B20</f>
        <v>2016</v>
      </c>
      <c r="C21" s="10" t="s">
        <v>47</v>
      </c>
      <c r="D21" s="56"/>
      <c r="E21" s="57"/>
      <c r="F21" s="56"/>
      <c r="G21" s="17">
        <f t="shared" si="1"/>
        <v>0</v>
      </c>
      <c r="H21" s="17">
        <f>SUM(G$5:G21)</f>
        <v>750000</v>
      </c>
      <c r="J21" s="17">
        <f t="shared" si="6"/>
        <v>0</v>
      </c>
      <c r="K21" s="17">
        <f t="shared" si="6"/>
        <v>0</v>
      </c>
      <c r="L21" s="17">
        <f t="shared" si="6"/>
        <v>12500</v>
      </c>
      <c r="M21" s="17">
        <f t="shared" si="6"/>
        <v>0</v>
      </c>
      <c r="N21" s="17">
        <f t="shared" si="6"/>
        <v>0</v>
      </c>
      <c r="O21" s="17">
        <f t="shared" si="6"/>
        <v>0</v>
      </c>
      <c r="P21" s="17">
        <f t="shared" si="6"/>
        <v>0</v>
      </c>
      <c r="Q21" s="17">
        <f t="shared" si="6"/>
        <v>0</v>
      </c>
      <c r="R21" s="17">
        <f t="shared" si="7"/>
        <v>0</v>
      </c>
      <c r="S21" s="17">
        <f t="shared" si="7"/>
        <v>0</v>
      </c>
      <c r="T21" s="17">
        <f t="shared" si="7"/>
        <v>0</v>
      </c>
      <c r="U21" s="16">
        <f t="shared" si="7"/>
        <v>0</v>
      </c>
      <c r="V21" s="40">
        <f t="shared" si="8"/>
        <v>12500</v>
      </c>
      <c r="W21" s="17">
        <f>SUM(V$5:V21)</f>
        <v>187500</v>
      </c>
      <c r="X21" s="17">
        <f t="shared" si="3"/>
        <v>562500</v>
      </c>
    </row>
    <row r="22" spans="1:25" outlineLevel="1">
      <c r="A22" s="10" t="s">
        <v>55</v>
      </c>
      <c r="B22" s="10">
        <f>+B21</f>
        <v>2016</v>
      </c>
      <c r="C22" s="10" t="s">
        <v>47</v>
      </c>
      <c r="D22" s="56"/>
      <c r="E22" s="57"/>
      <c r="F22" s="56"/>
      <c r="G22" s="16">
        <f t="shared" si="1"/>
        <v>0</v>
      </c>
      <c r="H22" s="16">
        <f>SUM(G$5:G22)</f>
        <v>750000</v>
      </c>
      <c r="J22" s="16">
        <f t="shared" si="6"/>
        <v>0</v>
      </c>
      <c r="K22" s="16">
        <f t="shared" si="6"/>
        <v>0</v>
      </c>
      <c r="L22" s="16">
        <f t="shared" si="6"/>
        <v>12500</v>
      </c>
      <c r="M22" s="16">
        <f t="shared" si="6"/>
        <v>0</v>
      </c>
      <c r="N22" s="16">
        <f t="shared" si="6"/>
        <v>0</v>
      </c>
      <c r="O22" s="16">
        <f t="shared" si="6"/>
        <v>0</v>
      </c>
      <c r="P22" s="16">
        <f t="shared" si="6"/>
        <v>0</v>
      </c>
      <c r="Q22" s="16">
        <f t="shared" si="6"/>
        <v>0</v>
      </c>
      <c r="R22" s="16">
        <f t="shared" si="7"/>
        <v>0</v>
      </c>
      <c r="S22" s="16">
        <f t="shared" si="7"/>
        <v>0</v>
      </c>
      <c r="T22" s="16">
        <f t="shared" si="7"/>
        <v>0</v>
      </c>
      <c r="U22" s="16">
        <f t="shared" si="7"/>
        <v>0</v>
      </c>
      <c r="V22" s="40">
        <f t="shared" si="8"/>
        <v>12500</v>
      </c>
      <c r="W22" s="16">
        <f>SUM(V$5:V22)</f>
        <v>200000</v>
      </c>
      <c r="X22" s="16">
        <f t="shared" si="3"/>
        <v>550000</v>
      </c>
    </row>
    <row r="23" spans="1:25" outlineLevel="1">
      <c r="A23" s="10" t="s">
        <v>56</v>
      </c>
      <c r="B23" s="10">
        <f>+B22</f>
        <v>2016</v>
      </c>
      <c r="C23" s="10" t="s">
        <v>47</v>
      </c>
      <c r="D23" s="56"/>
      <c r="E23" s="57"/>
      <c r="F23" s="56"/>
      <c r="G23" s="16">
        <f t="shared" si="1"/>
        <v>0</v>
      </c>
      <c r="H23" s="16">
        <f>SUM(G$5:G23)</f>
        <v>750000</v>
      </c>
      <c r="J23" s="16">
        <f t="shared" si="6"/>
        <v>0</v>
      </c>
      <c r="K23" s="16">
        <f t="shared" si="6"/>
        <v>0</v>
      </c>
      <c r="L23" s="16">
        <f t="shared" si="6"/>
        <v>12500</v>
      </c>
      <c r="M23" s="16">
        <f t="shared" si="6"/>
        <v>0</v>
      </c>
      <c r="N23" s="16">
        <f t="shared" si="6"/>
        <v>0</v>
      </c>
      <c r="O23" s="16">
        <f t="shared" si="6"/>
        <v>0</v>
      </c>
      <c r="P23" s="16">
        <f t="shared" si="6"/>
        <v>0</v>
      </c>
      <c r="Q23" s="16">
        <f t="shared" si="6"/>
        <v>0</v>
      </c>
      <c r="R23" s="16">
        <f t="shared" si="7"/>
        <v>0</v>
      </c>
      <c r="S23" s="16">
        <f t="shared" si="7"/>
        <v>0</v>
      </c>
      <c r="T23" s="16">
        <f t="shared" si="7"/>
        <v>0</v>
      </c>
      <c r="U23" s="16">
        <f t="shared" si="7"/>
        <v>0</v>
      </c>
      <c r="V23" s="40">
        <f t="shared" si="8"/>
        <v>12500</v>
      </c>
      <c r="W23" s="16">
        <f>SUM(V$5:V23)</f>
        <v>212500</v>
      </c>
      <c r="X23" s="16">
        <f t="shared" si="3"/>
        <v>537500</v>
      </c>
    </row>
    <row r="24" spans="1:25" outlineLevel="1">
      <c r="A24" s="10" t="s">
        <v>57</v>
      </c>
      <c r="B24" s="10">
        <f>+B23</f>
        <v>2016</v>
      </c>
      <c r="C24" s="10" t="s">
        <v>68</v>
      </c>
      <c r="D24" s="56"/>
      <c r="E24" s="57"/>
      <c r="F24" s="56"/>
      <c r="G24" s="16">
        <f t="shared" si="1"/>
        <v>0</v>
      </c>
      <c r="H24" s="16">
        <f>SUM(G$5:G24)</f>
        <v>750000</v>
      </c>
      <c r="J24" s="16">
        <f t="shared" si="6"/>
        <v>0</v>
      </c>
      <c r="K24" s="16">
        <f t="shared" si="6"/>
        <v>0</v>
      </c>
      <c r="L24" s="16">
        <f t="shared" si="6"/>
        <v>12500</v>
      </c>
      <c r="M24" s="16">
        <f t="shared" si="6"/>
        <v>0</v>
      </c>
      <c r="N24" s="16">
        <f t="shared" si="6"/>
        <v>0</v>
      </c>
      <c r="O24" s="16">
        <f t="shared" si="6"/>
        <v>0</v>
      </c>
      <c r="P24" s="16">
        <f t="shared" si="6"/>
        <v>0</v>
      </c>
      <c r="Q24" s="16">
        <f t="shared" si="6"/>
        <v>0</v>
      </c>
      <c r="R24" s="16">
        <f t="shared" si="7"/>
        <v>0</v>
      </c>
      <c r="S24" s="16">
        <f t="shared" si="7"/>
        <v>0</v>
      </c>
      <c r="T24" s="16">
        <f t="shared" si="7"/>
        <v>0</v>
      </c>
      <c r="U24" s="16">
        <f t="shared" si="7"/>
        <v>0</v>
      </c>
      <c r="V24" s="40">
        <f t="shared" si="8"/>
        <v>12500</v>
      </c>
      <c r="W24" s="16">
        <f>SUM(V$5:V24)</f>
        <v>225000</v>
      </c>
      <c r="X24" s="16">
        <f t="shared" si="3"/>
        <v>525000</v>
      </c>
    </row>
    <row r="25" spans="1:25" outlineLevel="1">
      <c r="A25" s="10" t="s">
        <v>58</v>
      </c>
      <c r="B25" s="10">
        <f>+B24</f>
        <v>2016</v>
      </c>
      <c r="C25" s="10" t="s">
        <v>68</v>
      </c>
      <c r="D25" s="56"/>
      <c r="E25" s="57"/>
      <c r="F25" s="56"/>
      <c r="G25" s="16">
        <f t="shared" si="1"/>
        <v>0</v>
      </c>
      <c r="H25" s="16">
        <f>SUM(G$5:G25)</f>
        <v>750000</v>
      </c>
      <c r="J25" s="16">
        <f t="shared" si="6"/>
        <v>0</v>
      </c>
      <c r="K25" s="16">
        <f t="shared" si="6"/>
        <v>0</v>
      </c>
      <c r="L25" s="16">
        <f t="shared" si="6"/>
        <v>12500</v>
      </c>
      <c r="M25" s="16">
        <f t="shared" si="6"/>
        <v>0</v>
      </c>
      <c r="N25" s="16">
        <f t="shared" si="6"/>
        <v>0</v>
      </c>
      <c r="O25" s="16">
        <f t="shared" si="6"/>
        <v>0</v>
      </c>
      <c r="P25" s="16">
        <f t="shared" si="6"/>
        <v>0</v>
      </c>
      <c r="Q25" s="16">
        <f t="shared" si="6"/>
        <v>0</v>
      </c>
      <c r="R25" s="16">
        <f t="shared" si="7"/>
        <v>0</v>
      </c>
      <c r="S25" s="16">
        <f t="shared" si="7"/>
        <v>0</v>
      </c>
      <c r="T25" s="16">
        <f t="shared" si="7"/>
        <v>0</v>
      </c>
      <c r="U25" s="16">
        <f t="shared" si="7"/>
        <v>0</v>
      </c>
      <c r="V25" s="40">
        <f t="shared" si="8"/>
        <v>12500</v>
      </c>
      <c r="W25" s="16">
        <f>SUM(V$5:V25)</f>
        <v>237500</v>
      </c>
      <c r="X25" s="16">
        <f t="shared" si="3"/>
        <v>512500</v>
      </c>
    </row>
    <row r="26" spans="1:25">
      <c r="A26" s="10" t="s">
        <v>59</v>
      </c>
      <c r="B26" s="10">
        <f t="shared" ref="B26:B31" si="9">+B25</f>
        <v>2016</v>
      </c>
      <c r="C26" s="10" t="s">
        <v>93</v>
      </c>
      <c r="D26" s="56"/>
      <c r="E26" s="57"/>
      <c r="F26" s="56"/>
      <c r="G26" s="16">
        <f t="shared" si="1"/>
        <v>0</v>
      </c>
      <c r="H26" s="16">
        <f>SUM(G$5:G26)</f>
        <v>750000</v>
      </c>
      <c r="J26" s="16">
        <f t="shared" si="6"/>
        <v>0</v>
      </c>
      <c r="K26" s="16">
        <f t="shared" si="6"/>
        <v>0</v>
      </c>
      <c r="L26" s="16">
        <f t="shared" si="6"/>
        <v>12500</v>
      </c>
      <c r="M26" s="16">
        <f t="shared" si="6"/>
        <v>0</v>
      </c>
      <c r="N26" s="16">
        <f t="shared" si="6"/>
        <v>0</v>
      </c>
      <c r="O26" s="16">
        <f t="shared" si="6"/>
        <v>0</v>
      </c>
      <c r="P26" s="16">
        <f t="shared" si="6"/>
        <v>0</v>
      </c>
      <c r="Q26" s="16">
        <f t="shared" si="6"/>
        <v>0</v>
      </c>
      <c r="R26" s="16">
        <f t="shared" si="7"/>
        <v>0</v>
      </c>
      <c r="S26" s="16">
        <f t="shared" si="7"/>
        <v>0</v>
      </c>
      <c r="T26" s="16">
        <f t="shared" si="7"/>
        <v>0</v>
      </c>
      <c r="U26" s="16">
        <f t="shared" si="7"/>
        <v>0</v>
      </c>
      <c r="V26" s="40">
        <f t="shared" si="8"/>
        <v>12500</v>
      </c>
      <c r="W26" s="16">
        <f>SUM(V$5:V26)</f>
        <v>250000</v>
      </c>
      <c r="X26" s="16">
        <f t="shared" si="3"/>
        <v>500000</v>
      </c>
    </row>
    <row r="27" spans="1:25">
      <c r="A27" s="10" t="s">
        <v>46</v>
      </c>
      <c r="B27" s="10">
        <f t="shared" si="9"/>
        <v>2016</v>
      </c>
      <c r="C27" s="10" t="s">
        <v>93</v>
      </c>
      <c r="D27" s="56"/>
      <c r="E27" s="57"/>
      <c r="F27" s="56"/>
      <c r="G27" s="16">
        <f t="shared" si="1"/>
        <v>0</v>
      </c>
      <c r="H27" s="16">
        <f>SUM(G$5:G27)</f>
        <v>750000</v>
      </c>
      <c r="J27" s="16">
        <f t="shared" si="6"/>
        <v>0</v>
      </c>
      <c r="K27" s="16">
        <f t="shared" si="6"/>
        <v>0</v>
      </c>
      <c r="L27" s="16">
        <f t="shared" si="6"/>
        <v>12500</v>
      </c>
      <c r="M27" s="16">
        <f t="shared" si="6"/>
        <v>0</v>
      </c>
      <c r="N27" s="16">
        <f t="shared" si="6"/>
        <v>0</v>
      </c>
      <c r="O27" s="16">
        <f t="shared" si="6"/>
        <v>0</v>
      </c>
      <c r="P27" s="16">
        <f t="shared" si="6"/>
        <v>0</v>
      </c>
      <c r="Q27" s="16">
        <f t="shared" si="6"/>
        <v>0</v>
      </c>
      <c r="R27" s="16">
        <f t="shared" si="7"/>
        <v>0</v>
      </c>
      <c r="S27" s="16">
        <f t="shared" si="7"/>
        <v>0</v>
      </c>
      <c r="T27" s="16">
        <f t="shared" si="7"/>
        <v>0</v>
      </c>
      <c r="U27" s="16">
        <f t="shared" si="7"/>
        <v>0</v>
      </c>
      <c r="V27" s="40">
        <f t="shared" si="8"/>
        <v>12500</v>
      </c>
      <c r="W27" s="16">
        <f>SUM(V$5:V27)</f>
        <v>262500</v>
      </c>
      <c r="X27" s="16">
        <f t="shared" si="3"/>
        <v>487500</v>
      </c>
    </row>
    <row r="28" spans="1:25">
      <c r="A28" s="10" t="s">
        <v>48</v>
      </c>
      <c r="B28" s="10">
        <f t="shared" si="9"/>
        <v>2016</v>
      </c>
      <c r="C28" s="10" t="s">
        <v>93</v>
      </c>
      <c r="D28" s="56"/>
      <c r="E28" s="57"/>
      <c r="F28" s="56"/>
      <c r="G28" s="16">
        <f t="shared" si="1"/>
        <v>0</v>
      </c>
      <c r="H28" s="16">
        <f>SUM(G$5:G28)</f>
        <v>750000</v>
      </c>
      <c r="J28" s="16">
        <f t="shared" ref="J28:Q42" si="10">+J27</f>
        <v>0</v>
      </c>
      <c r="K28" s="16">
        <f t="shared" si="10"/>
        <v>0</v>
      </c>
      <c r="L28" s="16">
        <f t="shared" si="10"/>
        <v>12500</v>
      </c>
      <c r="M28" s="16">
        <f t="shared" si="10"/>
        <v>0</v>
      </c>
      <c r="N28" s="16">
        <f t="shared" si="10"/>
        <v>0</v>
      </c>
      <c r="O28" s="16">
        <f t="shared" si="10"/>
        <v>0</v>
      </c>
      <c r="P28" s="16">
        <f t="shared" si="10"/>
        <v>0</v>
      </c>
      <c r="Q28" s="16">
        <f t="shared" si="10"/>
        <v>0</v>
      </c>
      <c r="R28" s="16">
        <f t="shared" si="7"/>
        <v>0</v>
      </c>
      <c r="S28" s="16">
        <f t="shared" si="7"/>
        <v>0</v>
      </c>
      <c r="T28" s="16">
        <f t="shared" si="7"/>
        <v>0</v>
      </c>
      <c r="U28" s="16">
        <f t="shared" si="7"/>
        <v>0</v>
      </c>
      <c r="V28" s="40">
        <f t="shared" si="8"/>
        <v>12500</v>
      </c>
      <c r="W28" s="16">
        <f>SUM(V$5:V28)</f>
        <v>275000</v>
      </c>
      <c r="X28" s="16">
        <f t="shared" si="3"/>
        <v>475000</v>
      </c>
    </row>
    <row r="29" spans="1:25">
      <c r="A29" s="10" t="s">
        <v>50</v>
      </c>
      <c r="B29" s="10">
        <f t="shared" si="9"/>
        <v>2016</v>
      </c>
      <c r="C29" s="10" t="s">
        <v>93</v>
      </c>
      <c r="D29" s="56"/>
      <c r="E29" s="57"/>
      <c r="F29" s="56"/>
      <c r="G29" s="16">
        <f t="shared" si="1"/>
        <v>0</v>
      </c>
      <c r="H29" s="16">
        <f>SUM(G$5:G29)</f>
        <v>750000</v>
      </c>
      <c r="J29" s="16">
        <f t="shared" si="10"/>
        <v>0</v>
      </c>
      <c r="K29" s="16">
        <f t="shared" si="10"/>
        <v>0</v>
      </c>
      <c r="L29" s="16">
        <f t="shared" si="10"/>
        <v>12500</v>
      </c>
      <c r="M29" s="16">
        <f t="shared" si="10"/>
        <v>0</v>
      </c>
      <c r="N29" s="16">
        <f t="shared" si="10"/>
        <v>0</v>
      </c>
      <c r="O29" s="16">
        <f t="shared" si="10"/>
        <v>0</v>
      </c>
      <c r="P29" s="16">
        <f t="shared" si="10"/>
        <v>0</v>
      </c>
      <c r="Q29" s="16">
        <f t="shared" si="10"/>
        <v>0</v>
      </c>
      <c r="R29" s="16">
        <f t="shared" si="7"/>
        <v>0</v>
      </c>
      <c r="S29" s="16">
        <f t="shared" si="7"/>
        <v>0</v>
      </c>
      <c r="T29" s="16">
        <f t="shared" si="7"/>
        <v>0</v>
      </c>
      <c r="U29" s="16">
        <f t="shared" si="7"/>
        <v>0</v>
      </c>
      <c r="V29" s="40">
        <f t="shared" si="8"/>
        <v>12500</v>
      </c>
      <c r="W29" s="16">
        <f>SUM(V$5:V29)</f>
        <v>287500</v>
      </c>
      <c r="X29" s="16">
        <f t="shared" si="3"/>
        <v>462500</v>
      </c>
    </row>
    <row r="30" spans="1:25">
      <c r="A30" s="10" t="s">
        <v>51</v>
      </c>
      <c r="B30" s="10">
        <f t="shared" si="9"/>
        <v>2016</v>
      </c>
      <c r="C30" s="10" t="s">
        <v>93</v>
      </c>
      <c r="D30" s="56"/>
      <c r="E30" s="57"/>
      <c r="F30" s="56"/>
      <c r="G30" s="16">
        <f t="shared" si="1"/>
        <v>0</v>
      </c>
      <c r="H30" s="16">
        <f>SUM(G$5:G30)</f>
        <v>750000</v>
      </c>
      <c r="J30" s="16">
        <f t="shared" si="10"/>
        <v>0</v>
      </c>
      <c r="K30" s="16">
        <f t="shared" si="10"/>
        <v>0</v>
      </c>
      <c r="L30" s="16">
        <f t="shared" si="10"/>
        <v>12500</v>
      </c>
      <c r="M30" s="16">
        <f t="shared" si="10"/>
        <v>0</v>
      </c>
      <c r="N30" s="16">
        <f t="shared" si="10"/>
        <v>0</v>
      </c>
      <c r="O30" s="16">
        <f t="shared" si="10"/>
        <v>0</v>
      </c>
      <c r="P30" s="16">
        <f t="shared" si="10"/>
        <v>0</v>
      </c>
      <c r="Q30" s="16">
        <f t="shared" si="10"/>
        <v>0</v>
      </c>
      <c r="R30" s="16">
        <f t="shared" ref="R30:U45" si="11">+R29</f>
        <v>0</v>
      </c>
      <c r="S30" s="16">
        <f t="shared" si="11"/>
        <v>0</v>
      </c>
      <c r="T30" s="16">
        <f t="shared" si="11"/>
        <v>0</v>
      </c>
      <c r="U30" s="16">
        <f t="shared" si="11"/>
        <v>0</v>
      </c>
      <c r="V30" s="40">
        <f t="shared" si="8"/>
        <v>12500</v>
      </c>
      <c r="W30" s="16">
        <f>SUM(V$5:V30)</f>
        <v>300000</v>
      </c>
      <c r="X30" s="16">
        <f t="shared" si="3"/>
        <v>450000</v>
      </c>
    </row>
    <row r="31" spans="1:25">
      <c r="A31" s="24" t="s">
        <v>52</v>
      </c>
      <c r="B31" s="24">
        <f t="shared" si="9"/>
        <v>2016</v>
      </c>
      <c r="C31" s="10" t="s">
        <v>93</v>
      </c>
      <c r="D31" s="60"/>
      <c r="E31" s="68"/>
      <c r="F31" s="60"/>
      <c r="G31" s="25">
        <f t="shared" si="1"/>
        <v>0</v>
      </c>
      <c r="H31" s="25">
        <f>SUM(G$5:G31)</f>
        <v>750000</v>
      </c>
      <c r="J31" s="25">
        <f t="shared" si="10"/>
        <v>0</v>
      </c>
      <c r="K31" s="25">
        <f t="shared" si="10"/>
        <v>0</v>
      </c>
      <c r="L31" s="25">
        <f t="shared" si="10"/>
        <v>12500</v>
      </c>
      <c r="M31" s="25">
        <f t="shared" si="10"/>
        <v>0</v>
      </c>
      <c r="N31" s="25">
        <f t="shared" si="10"/>
        <v>0</v>
      </c>
      <c r="O31" s="25">
        <f t="shared" si="10"/>
        <v>0</v>
      </c>
      <c r="P31" s="25">
        <f t="shared" si="10"/>
        <v>0</v>
      </c>
      <c r="Q31" s="25">
        <f t="shared" si="10"/>
        <v>0</v>
      </c>
      <c r="R31" s="25">
        <f t="shared" si="11"/>
        <v>0</v>
      </c>
      <c r="S31" s="25">
        <f t="shared" si="11"/>
        <v>0</v>
      </c>
      <c r="T31" s="25">
        <f t="shared" si="11"/>
        <v>0</v>
      </c>
      <c r="U31" s="25">
        <f t="shared" si="11"/>
        <v>0</v>
      </c>
      <c r="V31" s="80">
        <f t="shared" si="8"/>
        <v>12500</v>
      </c>
      <c r="W31" s="25">
        <f>SUM(V$5:V31)</f>
        <v>312500</v>
      </c>
      <c r="X31" s="25">
        <f t="shared" si="3"/>
        <v>437500</v>
      </c>
    </row>
    <row r="32" spans="1:25">
      <c r="A32" s="10" t="s">
        <v>53</v>
      </c>
      <c r="B32" s="10">
        <f>+B31+1</f>
        <v>2017</v>
      </c>
      <c r="C32" s="10" t="s">
        <v>93</v>
      </c>
      <c r="D32" s="56"/>
      <c r="E32" s="57"/>
      <c r="F32" s="56"/>
      <c r="G32" s="16">
        <f t="shared" si="1"/>
        <v>0</v>
      </c>
      <c r="H32" s="16">
        <f>SUM(G$5:G32)</f>
        <v>750000</v>
      </c>
      <c r="J32" s="16">
        <f t="shared" si="10"/>
        <v>0</v>
      </c>
      <c r="K32" s="16">
        <f t="shared" si="10"/>
        <v>0</v>
      </c>
      <c r="L32" s="16">
        <f t="shared" si="10"/>
        <v>12500</v>
      </c>
      <c r="M32" s="16">
        <f t="shared" si="10"/>
        <v>0</v>
      </c>
      <c r="N32" s="16">
        <f t="shared" si="10"/>
        <v>0</v>
      </c>
      <c r="O32" s="16">
        <f t="shared" si="10"/>
        <v>0</v>
      </c>
      <c r="P32" s="16">
        <f t="shared" si="10"/>
        <v>0</v>
      </c>
      <c r="Q32" s="16">
        <f t="shared" si="10"/>
        <v>0</v>
      </c>
      <c r="R32" s="16">
        <f t="shared" si="11"/>
        <v>0</v>
      </c>
      <c r="S32" s="16">
        <f t="shared" si="11"/>
        <v>0</v>
      </c>
      <c r="T32" s="16">
        <f t="shared" si="11"/>
        <v>0</v>
      </c>
      <c r="U32" s="16">
        <f t="shared" si="11"/>
        <v>0</v>
      </c>
      <c r="V32" s="40">
        <f t="shared" si="8"/>
        <v>12500</v>
      </c>
      <c r="W32" s="16">
        <f>SUM(V$5:V32)</f>
        <v>325000</v>
      </c>
      <c r="X32" s="16">
        <f t="shared" si="3"/>
        <v>425000</v>
      </c>
    </row>
    <row r="33" spans="1:24">
      <c r="A33" s="19" t="s">
        <v>54</v>
      </c>
      <c r="B33" s="19">
        <f>+B32</f>
        <v>2017</v>
      </c>
      <c r="C33" s="10" t="s">
        <v>93</v>
      </c>
      <c r="D33" s="56"/>
      <c r="E33" s="57"/>
      <c r="F33" s="56"/>
      <c r="G33" s="17">
        <f t="shared" si="1"/>
        <v>0</v>
      </c>
      <c r="H33" s="17">
        <f>SUM(G$5:G33)</f>
        <v>750000</v>
      </c>
      <c r="J33" s="17">
        <f t="shared" si="10"/>
        <v>0</v>
      </c>
      <c r="K33" s="17">
        <f t="shared" si="10"/>
        <v>0</v>
      </c>
      <c r="L33" s="17">
        <f t="shared" si="10"/>
        <v>12500</v>
      </c>
      <c r="M33" s="17">
        <f t="shared" si="10"/>
        <v>0</v>
      </c>
      <c r="N33" s="17">
        <f t="shared" si="10"/>
        <v>0</v>
      </c>
      <c r="O33" s="17">
        <f t="shared" si="10"/>
        <v>0</v>
      </c>
      <c r="P33" s="17">
        <f t="shared" si="10"/>
        <v>0</v>
      </c>
      <c r="Q33" s="17">
        <f t="shared" si="10"/>
        <v>0</v>
      </c>
      <c r="R33" s="17">
        <f t="shared" si="11"/>
        <v>0</v>
      </c>
      <c r="S33" s="17">
        <f t="shared" si="11"/>
        <v>0</v>
      </c>
      <c r="T33" s="17">
        <f t="shared" si="11"/>
        <v>0</v>
      </c>
      <c r="U33" s="16">
        <f t="shared" si="11"/>
        <v>0</v>
      </c>
      <c r="V33" s="40">
        <f t="shared" si="8"/>
        <v>12500</v>
      </c>
      <c r="W33" s="17">
        <f>SUM(V$5:V33)</f>
        <v>337500</v>
      </c>
      <c r="X33" s="17">
        <f t="shared" si="3"/>
        <v>412500</v>
      </c>
    </row>
    <row r="34" spans="1:24">
      <c r="A34" s="10" t="s">
        <v>55</v>
      </c>
      <c r="B34" s="10">
        <f>+B33</f>
        <v>2017</v>
      </c>
      <c r="C34" s="10" t="s">
        <v>93</v>
      </c>
      <c r="D34" s="56"/>
      <c r="E34" s="57"/>
      <c r="F34" s="56"/>
      <c r="G34" s="16">
        <f t="shared" si="1"/>
        <v>0</v>
      </c>
      <c r="H34" s="16">
        <f>SUM(G$5:G34)</f>
        <v>750000</v>
      </c>
      <c r="J34" s="16">
        <f t="shared" si="10"/>
        <v>0</v>
      </c>
      <c r="K34" s="16">
        <f t="shared" si="10"/>
        <v>0</v>
      </c>
      <c r="L34" s="16">
        <f t="shared" si="10"/>
        <v>12500</v>
      </c>
      <c r="M34" s="16">
        <f t="shared" si="10"/>
        <v>0</v>
      </c>
      <c r="N34" s="16">
        <f t="shared" si="10"/>
        <v>0</v>
      </c>
      <c r="O34" s="16">
        <f t="shared" si="10"/>
        <v>0</v>
      </c>
      <c r="P34" s="16">
        <f t="shared" si="10"/>
        <v>0</v>
      </c>
      <c r="Q34" s="16">
        <f t="shared" si="10"/>
        <v>0</v>
      </c>
      <c r="R34" s="16">
        <f t="shared" si="11"/>
        <v>0</v>
      </c>
      <c r="S34" s="16">
        <f t="shared" si="11"/>
        <v>0</v>
      </c>
      <c r="T34" s="16">
        <f t="shared" si="11"/>
        <v>0</v>
      </c>
      <c r="U34" s="16">
        <f t="shared" si="11"/>
        <v>0</v>
      </c>
      <c r="V34" s="40">
        <f t="shared" si="8"/>
        <v>12500</v>
      </c>
      <c r="W34" s="16">
        <f>SUM(V$5:V34)</f>
        <v>350000</v>
      </c>
      <c r="X34" s="16">
        <f t="shared" si="3"/>
        <v>400000</v>
      </c>
    </row>
    <row r="35" spans="1:24">
      <c r="A35" s="10" t="s">
        <v>56</v>
      </c>
      <c r="B35" s="10">
        <f>+B34</f>
        <v>2017</v>
      </c>
      <c r="C35" s="10" t="s">
        <v>93</v>
      </c>
      <c r="D35" s="56"/>
      <c r="E35" s="57"/>
      <c r="F35" s="56"/>
      <c r="G35" s="16">
        <f t="shared" si="1"/>
        <v>0</v>
      </c>
      <c r="H35" s="16">
        <f>SUM(G$5:G35)</f>
        <v>750000</v>
      </c>
      <c r="J35" s="16">
        <f t="shared" si="10"/>
        <v>0</v>
      </c>
      <c r="K35" s="16">
        <f t="shared" si="10"/>
        <v>0</v>
      </c>
      <c r="L35" s="16">
        <f t="shared" si="10"/>
        <v>12500</v>
      </c>
      <c r="M35" s="16">
        <f t="shared" si="10"/>
        <v>0</v>
      </c>
      <c r="N35" s="16">
        <f t="shared" si="10"/>
        <v>0</v>
      </c>
      <c r="O35" s="16">
        <f t="shared" si="10"/>
        <v>0</v>
      </c>
      <c r="P35" s="16">
        <f t="shared" si="10"/>
        <v>0</v>
      </c>
      <c r="Q35" s="16">
        <f t="shared" si="10"/>
        <v>0</v>
      </c>
      <c r="R35" s="16">
        <f t="shared" si="11"/>
        <v>0</v>
      </c>
      <c r="S35" s="16">
        <f t="shared" si="11"/>
        <v>0</v>
      </c>
      <c r="T35" s="16">
        <f t="shared" si="11"/>
        <v>0</v>
      </c>
      <c r="U35" s="16">
        <f t="shared" si="11"/>
        <v>0</v>
      </c>
      <c r="V35" s="40">
        <f t="shared" si="8"/>
        <v>12500</v>
      </c>
      <c r="W35" s="16">
        <f>SUM(V$5:V35)</f>
        <v>362500</v>
      </c>
      <c r="X35" s="16">
        <f t="shared" si="3"/>
        <v>387500</v>
      </c>
    </row>
    <row r="36" spans="1:24">
      <c r="A36" s="10" t="s">
        <v>57</v>
      </c>
      <c r="B36" s="10">
        <f>+B35</f>
        <v>2017</v>
      </c>
      <c r="C36" s="10" t="s">
        <v>93</v>
      </c>
      <c r="D36" s="56"/>
      <c r="E36" s="57"/>
      <c r="F36" s="56"/>
      <c r="G36" s="16">
        <f t="shared" si="1"/>
        <v>0</v>
      </c>
      <c r="H36" s="16">
        <f>SUM(G$5:G36)</f>
        <v>750000</v>
      </c>
      <c r="J36" s="16">
        <f t="shared" si="10"/>
        <v>0</v>
      </c>
      <c r="K36" s="16">
        <f t="shared" si="10"/>
        <v>0</v>
      </c>
      <c r="L36" s="16">
        <f t="shared" si="10"/>
        <v>12500</v>
      </c>
      <c r="M36" s="16">
        <f t="shared" si="10"/>
        <v>0</v>
      </c>
      <c r="N36" s="16">
        <f t="shared" si="10"/>
        <v>0</v>
      </c>
      <c r="O36" s="16">
        <f t="shared" si="10"/>
        <v>0</v>
      </c>
      <c r="P36" s="16">
        <f t="shared" si="10"/>
        <v>0</v>
      </c>
      <c r="Q36" s="16">
        <f t="shared" si="10"/>
        <v>0</v>
      </c>
      <c r="R36" s="16">
        <f t="shared" si="11"/>
        <v>0</v>
      </c>
      <c r="S36" s="16">
        <f t="shared" si="11"/>
        <v>0</v>
      </c>
      <c r="T36" s="16">
        <f t="shared" si="11"/>
        <v>0</v>
      </c>
      <c r="U36" s="16">
        <f t="shared" si="11"/>
        <v>0</v>
      </c>
      <c r="V36" s="40">
        <f t="shared" si="8"/>
        <v>12500</v>
      </c>
      <c r="W36" s="16">
        <f>SUM(V$5:V36)</f>
        <v>375000</v>
      </c>
      <c r="X36" s="16">
        <f t="shared" si="3"/>
        <v>375000</v>
      </c>
    </row>
    <row r="37" spans="1:24">
      <c r="A37" s="10" t="s">
        <v>58</v>
      </c>
      <c r="B37" s="10">
        <f>+B36</f>
        <v>2017</v>
      </c>
      <c r="C37" s="10" t="s">
        <v>93</v>
      </c>
      <c r="D37" s="56"/>
      <c r="E37" s="57"/>
      <c r="F37" s="56"/>
      <c r="G37" s="16">
        <f t="shared" ref="G37:G67" si="12">SUM(D37:E37)</f>
        <v>0</v>
      </c>
      <c r="H37" s="16">
        <f>SUM(G$5:G37)</f>
        <v>750000</v>
      </c>
      <c r="J37" s="16">
        <f t="shared" si="10"/>
        <v>0</v>
      </c>
      <c r="K37" s="16">
        <f t="shared" si="10"/>
        <v>0</v>
      </c>
      <c r="L37" s="16">
        <f t="shared" si="10"/>
        <v>12500</v>
      </c>
      <c r="M37" s="16">
        <f t="shared" si="10"/>
        <v>0</v>
      </c>
      <c r="N37" s="16">
        <f t="shared" si="10"/>
        <v>0</v>
      </c>
      <c r="O37" s="16">
        <f t="shared" si="10"/>
        <v>0</v>
      </c>
      <c r="P37" s="16">
        <f t="shared" si="10"/>
        <v>0</v>
      </c>
      <c r="Q37" s="16">
        <f t="shared" si="10"/>
        <v>0</v>
      </c>
      <c r="R37" s="16">
        <f t="shared" si="11"/>
        <v>0</v>
      </c>
      <c r="S37" s="16">
        <f t="shared" si="11"/>
        <v>0</v>
      </c>
      <c r="T37" s="16">
        <f t="shared" si="11"/>
        <v>0</v>
      </c>
      <c r="U37" s="16">
        <f t="shared" si="11"/>
        <v>0</v>
      </c>
      <c r="V37" s="40">
        <f t="shared" si="8"/>
        <v>12500</v>
      </c>
      <c r="W37" s="16">
        <f>SUM(V$5:V37)</f>
        <v>387500</v>
      </c>
      <c r="X37" s="16">
        <f t="shared" ref="X37:X67" si="13">+H37-W37</f>
        <v>362500</v>
      </c>
    </row>
    <row r="38" spans="1:24">
      <c r="A38" s="10" t="s">
        <v>59</v>
      </c>
      <c r="B38" s="10">
        <f t="shared" ref="B38:B43" si="14">+B37</f>
        <v>2017</v>
      </c>
      <c r="C38" s="10" t="s">
        <v>93</v>
      </c>
      <c r="D38" s="56"/>
      <c r="E38" s="57"/>
      <c r="F38" s="56"/>
      <c r="G38" s="16">
        <f t="shared" si="12"/>
        <v>0</v>
      </c>
      <c r="H38" s="16">
        <f>SUM(G$5:G38)</f>
        <v>750000</v>
      </c>
      <c r="J38" s="16">
        <f t="shared" si="10"/>
        <v>0</v>
      </c>
      <c r="K38" s="16">
        <f t="shared" si="10"/>
        <v>0</v>
      </c>
      <c r="L38" s="16">
        <f t="shared" si="10"/>
        <v>12500</v>
      </c>
      <c r="M38" s="16">
        <f t="shared" si="10"/>
        <v>0</v>
      </c>
      <c r="N38" s="16">
        <f t="shared" si="10"/>
        <v>0</v>
      </c>
      <c r="O38" s="16">
        <f t="shared" si="10"/>
        <v>0</v>
      </c>
      <c r="P38" s="16">
        <f t="shared" si="10"/>
        <v>0</v>
      </c>
      <c r="Q38" s="16">
        <f t="shared" si="10"/>
        <v>0</v>
      </c>
      <c r="R38" s="16">
        <f t="shared" si="11"/>
        <v>0</v>
      </c>
      <c r="S38" s="16">
        <f t="shared" si="11"/>
        <v>0</v>
      </c>
      <c r="T38" s="16">
        <f t="shared" si="11"/>
        <v>0</v>
      </c>
      <c r="U38" s="16">
        <f t="shared" si="11"/>
        <v>0</v>
      </c>
      <c r="V38" s="40">
        <f t="shared" si="8"/>
        <v>12500</v>
      </c>
      <c r="W38" s="16">
        <f>SUM(V$5:V38)</f>
        <v>400000</v>
      </c>
      <c r="X38" s="16">
        <f t="shared" si="13"/>
        <v>350000</v>
      </c>
    </row>
    <row r="39" spans="1:24">
      <c r="A39" s="10" t="s">
        <v>46</v>
      </c>
      <c r="B39" s="10">
        <f t="shared" si="14"/>
        <v>2017</v>
      </c>
      <c r="C39" s="10" t="s">
        <v>93</v>
      </c>
      <c r="D39" s="56"/>
      <c r="E39" s="57"/>
      <c r="F39" s="56"/>
      <c r="G39" s="16">
        <f t="shared" si="12"/>
        <v>0</v>
      </c>
      <c r="H39" s="16">
        <f>SUM(G$5:G39)</f>
        <v>750000</v>
      </c>
      <c r="J39" s="16">
        <f t="shared" si="10"/>
        <v>0</v>
      </c>
      <c r="K39" s="16">
        <f t="shared" si="10"/>
        <v>0</v>
      </c>
      <c r="L39" s="16">
        <f t="shared" si="10"/>
        <v>12500</v>
      </c>
      <c r="M39" s="16">
        <f t="shared" si="10"/>
        <v>0</v>
      </c>
      <c r="N39" s="16">
        <f t="shared" si="10"/>
        <v>0</v>
      </c>
      <c r="O39" s="16">
        <f t="shared" si="10"/>
        <v>0</v>
      </c>
      <c r="P39" s="16">
        <f t="shared" si="10"/>
        <v>0</v>
      </c>
      <c r="Q39" s="16">
        <f t="shared" si="10"/>
        <v>0</v>
      </c>
      <c r="R39" s="16">
        <f t="shared" si="11"/>
        <v>0</v>
      </c>
      <c r="S39" s="16">
        <f t="shared" si="11"/>
        <v>0</v>
      </c>
      <c r="T39" s="16">
        <f t="shared" si="11"/>
        <v>0</v>
      </c>
      <c r="U39" s="16">
        <f t="shared" si="11"/>
        <v>0</v>
      </c>
      <c r="V39" s="40">
        <f t="shared" si="8"/>
        <v>12500</v>
      </c>
      <c r="W39" s="16">
        <f>SUM(V$5:V39)</f>
        <v>412500</v>
      </c>
      <c r="X39" s="16">
        <f t="shared" si="13"/>
        <v>337500</v>
      </c>
    </row>
    <row r="40" spans="1:24">
      <c r="A40" s="10" t="s">
        <v>48</v>
      </c>
      <c r="B40" s="10">
        <f t="shared" si="14"/>
        <v>2017</v>
      </c>
      <c r="C40" s="10" t="s">
        <v>93</v>
      </c>
      <c r="D40" s="56"/>
      <c r="E40" s="57"/>
      <c r="F40" s="56"/>
      <c r="G40" s="16">
        <f t="shared" si="12"/>
        <v>0</v>
      </c>
      <c r="H40" s="16">
        <f>SUM(G$5:G40)</f>
        <v>750000</v>
      </c>
      <c r="J40" s="16">
        <f t="shared" si="10"/>
        <v>0</v>
      </c>
      <c r="K40" s="16">
        <f t="shared" si="10"/>
        <v>0</v>
      </c>
      <c r="L40" s="16">
        <f t="shared" si="10"/>
        <v>12500</v>
      </c>
      <c r="M40" s="16">
        <f t="shared" si="10"/>
        <v>0</v>
      </c>
      <c r="N40" s="16">
        <f t="shared" si="10"/>
        <v>0</v>
      </c>
      <c r="O40" s="16">
        <f t="shared" si="10"/>
        <v>0</v>
      </c>
      <c r="P40" s="16">
        <f t="shared" si="10"/>
        <v>0</v>
      </c>
      <c r="Q40" s="16">
        <f t="shared" si="10"/>
        <v>0</v>
      </c>
      <c r="R40" s="16">
        <f t="shared" si="11"/>
        <v>0</v>
      </c>
      <c r="S40" s="16">
        <f t="shared" si="11"/>
        <v>0</v>
      </c>
      <c r="T40" s="16">
        <f t="shared" si="11"/>
        <v>0</v>
      </c>
      <c r="U40" s="16">
        <f t="shared" si="11"/>
        <v>0</v>
      </c>
      <c r="V40" s="40">
        <f t="shared" si="8"/>
        <v>12500</v>
      </c>
      <c r="W40" s="16">
        <f>SUM(V$5:V40)</f>
        <v>425000</v>
      </c>
      <c r="X40" s="16">
        <f t="shared" si="13"/>
        <v>325000</v>
      </c>
    </row>
    <row r="41" spans="1:24">
      <c r="A41" s="10" t="s">
        <v>50</v>
      </c>
      <c r="B41" s="10">
        <f t="shared" si="14"/>
        <v>2017</v>
      </c>
      <c r="C41" s="10" t="s">
        <v>93</v>
      </c>
      <c r="D41" s="56"/>
      <c r="E41" s="57"/>
      <c r="F41" s="56"/>
      <c r="G41" s="16">
        <f t="shared" si="12"/>
        <v>0</v>
      </c>
      <c r="H41" s="16">
        <f>SUM(G$5:G41)</f>
        <v>750000</v>
      </c>
      <c r="J41" s="16">
        <f t="shared" si="10"/>
        <v>0</v>
      </c>
      <c r="K41" s="16">
        <f t="shared" si="10"/>
        <v>0</v>
      </c>
      <c r="L41" s="16">
        <f t="shared" si="10"/>
        <v>12500</v>
      </c>
      <c r="M41" s="16">
        <f t="shared" si="10"/>
        <v>0</v>
      </c>
      <c r="N41" s="16">
        <f t="shared" si="10"/>
        <v>0</v>
      </c>
      <c r="O41" s="16">
        <f t="shared" si="10"/>
        <v>0</v>
      </c>
      <c r="P41" s="16">
        <f t="shared" si="10"/>
        <v>0</v>
      </c>
      <c r="Q41" s="16">
        <f t="shared" si="10"/>
        <v>0</v>
      </c>
      <c r="R41" s="16">
        <f t="shared" si="11"/>
        <v>0</v>
      </c>
      <c r="S41" s="16">
        <f t="shared" si="11"/>
        <v>0</v>
      </c>
      <c r="T41" s="16">
        <f t="shared" si="11"/>
        <v>0</v>
      </c>
      <c r="U41" s="16">
        <f t="shared" si="11"/>
        <v>0</v>
      </c>
      <c r="V41" s="40">
        <f t="shared" si="8"/>
        <v>12500</v>
      </c>
      <c r="W41" s="16">
        <f>SUM(V$5:V41)</f>
        <v>437500</v>
      </c>
      <c r="X41" s="16">
        <f t="shared" si="13"/>
        <v>312500</v>
      </c>
    </row>
    <row r="42" spans="1:24">
      <c r="A42" s="10" t="s">
        <v>51</v>
      </c>
      <c r="B42" s="10">
        <f t="shared" si="14"/>
        <v>2017</v>
      </c>
      <c r="C42" s="10" t="s">
        <v>93</v>
      </c>
      <c r="D42" s="56"/>
      <c r="E42" s="57"/>
      <c r="F42" s="56"/>
      <c r="G42" s="16">
        <f t="shared" si="12"/>
        <v>0</v>
      </c>
      <c r="H42" s="16">
        <f>SUM(G$5:G42)</f>
        <v>750000</v>
      </c>
      <c r="J42" s="16">
        <f t="shared" si="10"/>
        <v>0</v>
      </c>
      <c r="K42" s="16">
        <f t="shared" si="10"/>
        <v>0</v>
      </c>
      <c r="L42" s="16">
        <f t="shared" si="10"/>
        <v>12500</v>
      </c>
      <c r="M42" s="16">
        <f t="shared" si="10"/>
        <v>0</v>
      </c>
      <c r="N42" s="16">
        <f t="shared" si="10"/>
        <v>0</v>
      </c>
      <c r="O42" s="16">
        <f t="shared" si="10"/>
        <v>0</v>
      </c>
      <c r="P42" s="16">
        <f t="shared" si="10"/>
        <v>0</v>
      </c>
      <c r="Q42" s="16">
        <f t="shared" si="10"/>
        <v>0</v>
      </c>
      <c r="R42" s="16">
        <f t="shared" si="11"/>
        <v>0</v>
      </c>
      <c r="S42" s="16">
        <f t="shared" si="11"/>
        <v>0</v>
      </c>
      <c r="T42" s="16">
        <f t="shared" si="11"/>
        <v>0</v>
      </c>
      <c r="U42" s="16">
        <f t="shared" si="11"/>
        <v>0</v>
      </c>
      <c r="V42" s="40">
        <f t="shared" si="8"/>
        <v>12500</v>
      </c>
      <c r="W42" s="16">
        <f>SUM(V$5:V42)</f>
        <v>450000</v>
      </c>
      <c r="X42" s="16">
        <f t="shared" si="13"/>
        <v>300000</v>
      </c>
    </row>
    <row r="43" spans="1:24">
      <c r="A43" s="24" t="s">
        <v>52</v>
      </c>
      <c r="B43" s="24">
        <f t="shared" si="14"/>
        <v>2017</v>
      </c>
      <c r="C43" s="10" t="s">
        <v>93</v>
      </c>
      <c r="D43" s="60"/>
      <c r="E43" s="68">
        <v>0</v>
      </c>
      <c r="F43" s="60"/>
      <c r="G43" s="25">
        <f t="shared" si="12"/>
        <v>0</v>
      </c>
      <c r="H43" s="25">
        <f>SUM(G$5:G43)</f>
        <v>750000</v>
      </c>
      <c r="J43" s="25">
        <f t="shared" ref="J43:Q58" si="15">+J42</f>
        <v>0</v>
      </c>
      <c r="K43" s="25">
        <f t="shared" si="15"/>
        <v>0</v>
      </c>
      <c r="L43" s="25">
        <f t="shared" si="15"/>
        <v>12500</v>
      </c>
      <c r="M43" s="25">
        <f t="shared" si="15"/>
        <v>0</v>
      </c>
      <c r="N43" s="25">
        <f t="shared" si="15"/>
        <v>0</v>
      </c>
      <c r="O43" s="25">
        <f t="shared" si="15"/>
        <v>0</v>
      </c>
      <c r="P43" s="25">
        <f t="shared" si="15"/>
        <v>0</v>
      </c>
      <c r="Q43" s="25">
        <f t="shared" si="15"/>
        <v>0</v>
      </c>
      <c r="R43" s="25">
        <f t="shared" si="11"/>
        <v>0</v>
      </c>
      <c r="S43" s="25">
        <f t="shared" si="11"/>
        <v>0</v>
      </c>
      <c r="T43" s="25">
        <f t="shared" si="11"/>
        <v>0</v>
      </c>
      <c r="U43" s="25">
        <f t="shared" si="11"/>
        <v>0</v>
      </c>
      <c r="V43" s="80">
        <f t="shared" si="8"/>
        <v>12500</v>
      </c>
      <c r="W43" s="25">
        <f>SUM(V$5:V43)</f>
        <v>462500</v>
      </c>
      <c r="X43" s="25">
        <f t="shared" si="13"/>
        <v>287500</v>
      </c>
    </row>
    <row r="44" spans="1:24">
      <c r="A44" s="10" t="s">
        <v>53</v>
      </c>
      <c r="B44" s="10">
        <f>+B43+1</f>
        <v>2018</v>
      </c>
      <c r="C44" s="10" t="s">
        <v>93</v>
      </c>
      <c r="D44" s="56"/>
      <c r="E44" s="57"/>
      <c r="F44" s="56"/>
      <c r="G44" s="16">
        <f t="shared" si="12"/>
        <v>0</v>
      </c>
      <c r="H44" s="16">
        <f>SUM(G$5:G44)</f>
        <v>750000</v>
      </c>
      <c r="J44" s="16">
        <f t="shared" si="15"/>
        <v>0</v>
      </c>
      <c r="K44" s="16">
        <f t="shared" si="15"/>
        <v>0</v>
      </c>
      <c r="L44" s="16">
        <f t="shared" si="15"/>
        <v>12500</v>
      </c>
      <c r="M44" s="16">
        <f t="shared" si="15"/>
        <v>0</v>
      </c>
      <c r="N44" s="16">
        <f t="shared" si="15"/>
        <v>0</v>
      </c>
      <c r="O44" s="16">
        <f t="shared" si="15"/>
        <v>0</v>
      </c>
      <c r="P44" s="16">
        <f t="shared" si="15"/>
        <v>0</v>
      </c>
      <c r="Q44" s="16">
        <f t="shared" si="15"/>
        <v>0</v>
      </c>
      <c r="R44" s="16">
        <f t="shared" si="11"/>
        <v>0</v>
      </c>
      <c r="S44" s="16">
        <f t="shared" si="11"/>
        <v>0</v>
      </c>
      <c r="T44" s="16">
        <f t="shared" si="11"/>
        <v>0</v>
      </c>
      <c r="U44" s="16">
        <f t="shared" si="11"/>
        <v>0</v>
      </c>
      <c r="V44" s="40">
        <f t="shared" si="8"/>
        <v>12500</v>
      </c>
      <c r="W44" s="16">
        <f>SUM(V$5:V44)</f>
        <v>475000</v>
      </c>
      <c r="X44" s="16">
        <f t="shared" si="13"/>
        <v>275000</v>
      </c>
    </row>
    <row r="45" spans="1:24">
      <c r="A45" s="10" t="s">
        <v>54</v>
      </c>
      <c r="B45" s="10">
        <f>+B44</f>
        <v>2018</v>
      </c>
      <c r="C45" s="10" t="s">
        <v>93</v>
      </c>
      <c r="D45" s="56"/>
      <c r="E45" s="57"/>
      <c r="F45" s="56"/>
      <c r="G45" s="16">
        <f t="shared" si="12"/>
        <v>0</v>
      </c>
      <c r="H45" s="16">
        <f>SUM(G$5:G45)</f>
        <v>750000</v>
      </c>
      <c r="J45" s="16">
        <f t="shared" si="15"/>
        <v>0</v>
      </c>
      <c r="K45" s="16">
        <f t="shared" si="15"/>
        <v>0</v>
      </c>
      <c r="L45" s="16">
        <f t="shared" si="15"/>
        <v>12500</v>
      </c>
      <c r="M45" s="16">
        <f t="shared" si="15"/>
        <v>0</v>
      </c>
      <c r="N45" s="16">
        <f t="shared" si="15"/>
        <v>0</v>
      </c>
      <c r="O45" s="16">
        <f t="shared" si="15"/>
        <v>0</v>
      </c>
      <c r="P45" s="16">
        <f t="shared" si="15"/>
        <v>0</v>
      </c>
      <c r="Q45" s="16">
        <f>+Q44</f>
        <v>0</v>
      </c>
      <c r="R45" s="16">
        <f t="shared" si="11"/>
        <v>0</v>
      </c>
      <c r="S45" s="16">
        <f t="shared" si="11"/>
        <v>0</v>
      </c>
      <c r="T45" s="16">
        <f t="shared" si="11"/>
        <v>0</v>
      </c>
      <c r="U45" s="16">
        <f t="shared" si="11"/>
        <v>0</v>
      </c>
      <c r="V45" s="40">
        <f t="shared" si="8"/>
        <v>12500</v>
      </c>
      <c r="W45" s="16">
        <f>SUM(V$5:V45)</f>
        <v>487500</v>
      </c>
      <c r="X45" s="16">
        <f t="shared" si="13"/>
        <v>262500</v>
      </c>
    </row>
    <row r="46" spans="1:24">
      <c r="A46" s="10" t="s">
        <v>55</v>
      </c>
      <c r="B46" s="10">
        <f>+B45</f>
        <v>2018</v>
      </c>
      <c r="C46" s="10" t="s">
        <v>93</v>
      </c>
      <c r="D46" s="56"/>
      <c r="E46" s="57"/>
      <c r="F46" s="56"/>
      <c r="G46" s="16">
        <f t="shared" si="12"/>
        <v>0</v>
      </c>
      <c r="H46" s="16">
        <f>SUM(G$5:G46)</f>
        <v>750000</v>
      </c>
      <c r="J46" s="16">
        <f t="shared" si="15"/>
        <v>0</v>
      </c>
      <c r="K46" s="16">
        <f t="shared" si="15"/>
        <v>0</v>
      </c>
      <c r="L46" s="16">
        <f t="shared" si="15"/>
        <v>12500</v>
      </c>
      <c r="M46" s="16">
        <f t="shared" si="15"/>
        <v>0</v>
      </c>
      <c r="N46" s="16">
        <f t="shared" si="15"/>
        <v>0</v>
      </c>
      <c r="O46" s="16">
        <f t="shared" si="15"/>
        <v>0</v>
      </c>
      <c r="P46" s="16">
        <f t="shared" si="15"/>
        <v>0</v>
      </c>
      <c r="Q46" s="16">
        <f t="shared" si="15"/>
        <v>0</v>
      </c>
      <c r="R46" s="16">
        <f t="shared" ref="R46:U61" si="16">+R45</f>
        <v>0</v>
      </c>
      <c r="S46" s="16">
        <f t="shared" si="16"/>
        <v>0</v>
      </c>
      <c r="T46" s="16">
        <f t="shared" si="16"/>
        <v>0</v>
      </c>
      <c r="U46" s="16">
        <f t="shared" si="16"/>
        <v>0</v>
      </c>
      <c r="V46" s="40">
        <f t="shared" si="8"/>
        <v>12500</v>
      </c>
      <c r="W46" s="16">
        <f>SUM(V$5:V46)</f>
        <v>500000</v>
      </c>
      <c r="X46" s="16">
        <f t="shared" si="13"/>
        <v>250000</v>
      </c>
    </row>
    <row r="47" spans="1:24">
      <c r="A47" s="10" t="s">
        <v>56</v>
      </c>
      <c r="B47" s="10">
        <f>+B46</f>
        <v>2018</v>
      </c>
      <c r="C47" s="10" t="s">
        <v>93</v>
      </c>
      <c r="D47" s="56"/>
      <c r="E47" s="57"/>
      <c r="F47" s="56"/>
      <c r="G47" s="16">
        <f t="shared" si="12"/>
        <v>0</v>
      </c>
      <c r="H47" s="16">
        <f>SUM(G$5:G47)</f>
        <v>750000</v>
      </c>
      <c r="J47" s="16">
        <f t="shared" si="15"/>
        <v>0</v>
      </c>
      <c r="K47" s="16">
        <f t="shared" si="15"/>
        <v>0</v>
      </c>
      <c r="L47" s="16">
        <f t="shared" si="15"/>
        <v>12500</v>
      </c>
      <c r="M47" s="16">
        <f t="shared" si="15"/>
        <v>0</v>
      </c>
      <c r="N47" s="16">
        <f t="shared" si="15"/>
        <v>0</v>
      </c>
      <c r="O47" s="16">
        <f t="shared" si="15"/>
        <v>0</v>
      </c>
      <c r="P47" s="16">
        <f t="shared" si="15"/>
        <v>0</v>
      </c>
      <c r="Q47" s="16">
        <f t="shared" si="15"/>
        <v>0</v>
      </c>
      <c r="R47" s="16">
        <f t="shared" si="16"/>
        <v>0</v>
      </c>
      <c r="S47" s="16">
        <f t="shared" si="16"/>
        <v>0</v>
      </c>
      <c r="T47" s="16">
        <f t="shared" si="16"/>
        <v>0</v>
      </c>
      <c r="U47" s="16">
        <f t="shared" si="16"/>
        <v>0</v>
      </c>
      <c r="V47" s="40">
        <f t="shared" si="8"/>
        <v>12500</v>
      </c>
      <c r="W47" s="16">
        <f>SUM(V$5:V47)</f>
        <v>512500</v>
      </c>
      <c r="X47" s="16">
        <f t="shared" si="13"/>
        <v>237500</v>
      </c>
    </row>
    <row r="48" spans="1:24">
      <c r="A48" s="10" t="s">
        <v>57</v>
      </c>
      <c r="B48" s="10">
        <f>+B47</f>
        <v>2018</v>
      </c>
      <c r="C48" s="10" t="s">
        <v>93</v>
      </c>
      <c r="D48" s="56"/>
      <c r="E48" s="57"/>
      <c r="F48" s="56"/>
      <c r="G48" s="16">
        <f t="shared" si="12"/>
        <v>0</v>
      </c>
      <c r="H48" s="16">
        <f>SUM(G$5:G48)</f>
        <v>750000</v>
      </c>
      <c r="J48" s="16">
        <f t="shared" si="15"/>
        <v>0</v>
      </c>
      <c r="K48" s="16">
        <f t="shared" si="15"/>
        <v>0</v>
      </c>
      <c r="L48" s="16">
        <f t="shared" si="15"/>
        <v>12500</v>
      </c>
      <c r="M48" s="16">
        <f t="shared" si="15"/>
        <v>0</v>
      </c>
      <c r="N48" s="16">
        <f t="shared" si="15"/>
        <v>0</v>
      </c>
      <c r="O48" s="16">
        <f t="shared" si="15"/>
        <v>0</v>
      </c>
      <c r="P48" s="16">
        <f t="shared" si="15"/>
        <v>0</v>
      </c>
      <c r="Q48" s="16">
        <f t="shared" si="15"/>
        <v>0</v>
      </c>
      <c r="R48" s="16">
        <f t="shared" si="16"/>
        <v>0</v>
      </c>
      <c r="S48" s="16">
        <f t="shared" si="16"/>
        <v>0</v>
      </c>
      <c r="T48" s="16">
        <f t="shared" si="16"/>
        <v>0</v>
      </c>
      <c r="U48" s="16">
        <f t="shared" si="16"/>
        <v>0</v>
      </c>
      <c r="V48" s="40">
        <f t="shared" si="8"/>
        <v>12500</v>
      </c>
      <c r="W48" s="16">
        <f>SUM(V$5:V48)</f>
        <v>525000</v>
      </c>
      <c r="X48" s="16">
        <f t="shared" si="13"/>
        <v>225000</v>
      </c>
    </row>
    <row r="49" spans="1:24">
      <c r="A49" s="10" t="s">
        <v>58</v>
      </c>
      <c r="B49" s="10">
        <f>+B48</f>
        <v>2018</v>
      </c>
      <c r="C49" s="10" t="s">
        <v>93</v>
      </c>
      <c r="D49" s="56"/>
      <c r="E49" s="57"/>
      <c r="F49" s="56"/>
      <c r="G49" s="16">
        <f t="shared" si="12"/>
        <v>0</v>
      </c>
      <c r="H49" s="16">
        <f>SUM(G$5:G49)</f>
        <v>750000</v>
      </c>
      <c r="J49" s="16">
        <f t="shared" si="15"/>
        <v>0</v>
      </c>
      <c r="K49" s="16">
        <f t="shared" si="15"/>
        <v>0</v>
      </c>
      <c r="L49" s="16">
        <f t="shared" si="15"/>
        <v>12500</v>
      </c>
      <c r="M49" s="16">
        <f t="shared" si="15"/>
        <v>0</v>
      </c>
      <c r="N49" s="16">
        <f t="shared" si="15"/>
        <v>0</v>
      </c>
      <c r="O49" s="16">
        <f t="shared" si="15"/>
        <v>0</v>
      </c>
      <c r="P49" s="16">
        <f t="shared" si="15"/>
        <v>0</v>
      </c>
      <c r="Q49" s="16">
        <f t="shared" si="15"/>
        <v>0</v>
      </c>
      <c r="R49" s="16">
        <f t="shared" si="16"/>
        <v>0</v>
      </c>
      <c r="S49" s="16">
        <f t="shared" si="16"/>
        <v>0</v>
      </c>
      <c r="T49" s="16">
        <f t="shared" si="16"/>
        <v>0</v>
      </c>
      <c r="U49" s="16">
        <f t="shared" si="16"/>
        <v>0</v>
      </c>
      <c r="V49" s="40">
        <f t="shared" si="8"/>
        <v>12500</v>
      </c>
      <c r="W49" s="16">
        <f>SUM(V$5:V49)</f>
        <v>537500</v>
      </c>
      <c r="X49" s="16">
        <f t="shared" si="13"/>
        <v>212500</v>
      </c>
    </row>
    <row r="50" spans="1:24">
      <c r="A50" s="10" t="s">
        <v>59</v>
      </c>
      <c r="B50" s="10">
        <f t="shared" ref="B50:B55" si="17">+B49</f>
        <v>2018</v>
      </c>
      <c r="C50" s="10" t="s">
        <v>93</v>
      </c>
      <c r="D50" s="56"/>
      <c r="E50" s="57"/>
      <c r="F50" s="56"/>
      <c r="G50" s="16">
        <f t="shared" si="12"/>
        <v>0</v>
      </c>
      <c r="H50" s="16">
        <f>SUM(G$5:G50)</f>
        <v>750000</v>
      </c>
      <c r="J50" s="16">
        <f t="shared" si="15"/>
        <v>0</v>
      </c>
      <c r="K50" s="16">
        <f t="shared" si="15"/>
        <v>0</v>
      </c>
      <c r="L50" s="16">
        <f t="shared" si="15"/>
        <v>12500</v>
      </c>
      <c r="M50" s="16">
        <f t="shared" si="15"/>
        <v>0</v>
      </c>
      <c r="N50" s="16">
        <f t="shared" si="15"/>
        <v>0</v>
      </c>
      <c r="O50" s="16">
        <f t="shared" si="15"/>
        <v>0</v>
      </c>
      <c r="P50" s="16">
        <f t="shared" si="15"/>
        <v>0</v>
      </c>
      <c r="Q50" s="16">
        <f t="shared" si="15"/>
        <v>0</v>
      </c>
      <c r="R50" s="16">
        <f t="shared" si="16"/>
        <v>0</v>
      </c>
      <c r="S50" s="16">
        <f t="shared" si="16"/>
        <v>0</v>
      </c>
      <c r="T50" s="16">
        <f t="shared" si="16"/>
        <v>0</v>
      </c>
      <c r="U50" s="16">
        <f t="shared" si="16"/>
        <v>0</v>
      </c>
      <c r="V50" s="40">
        <f t="shared" si="8"/>
        <v>12500</v>
      </c>
      <c r="W50" s="16">
        <f>SUM(V$5:V50)</f>
        <v>550000</v>
      </c>
      <c r="X50" s="16">
        <f t="shared" si="13"/>
        <v>200000</v>
      </c>
    </row>
    <row r="51" spans="1:24">
      <c r="A51" s="10" t="s">
        <v>46</v>
      </c>
      <c r="B51" s="10">
        <f t="shared" si="17"/>
        <v>2018</v>
      </c>
      <c r="C51" s="74" t="s">
        <v>93</v>
      </c>
      <c r="D51" s="56"/>
      <c r="E51" s="57"/>
      <c r="F51" s="56"/>
      <c r="G51" s="16">
        <f t="shared" si="12"/>
        <v>0</v>
      </c>
      <c r="H51" s="16">
        <f>SUM(G$5:G51)</f>
        <v>750000</v>
      </c>
      <c r="J51" s="16">
        <f t="shared" si="15"/>
        <v>0</v>
      </c>
      <c r="K51" s="16">
        <f t="shared" si="15"/>
        <v>0</v>
      </c>
      <c r="L51" s="16">
        <f t="shared" si="15"/>
        <v>12500</v>
      </c>
      <c r="M51" s="16">
        <f t="shared" si="15"/>
        <v>0</v>
      </c>
      <c r="N51" s="16">
        <f t="shared" si="15"/>
        <v>0</v>
      </c>
      <c r="O51" s="16">
        <f t="shared" si="15"/>
        <v>0</v>
      </c>
      <c r="P51" s="16">
        <f t="shared" si="15"/>
        <v>0</v>
      </c>
      <c r="Q51" s="16">
        <f t="shared" si="15"/>
        <v>0</v>
      </c>
      <c r="R51" s="16">
        <f t="shared" si="16"/>
        <v>0</v>
      </c>
      <c r="S51" s="16">
        <f t="shared" si="16"/>
        <v>0</v>
      </c>
      <c r="T51" s="16">
        <f t="shared" si="16"/>
        <v>0</v>
      </c>
      <c r="U51" s="16">
        <f t="shared" si="16"/>
        <v>0</v>
      </c>
      <c r="V51" s="40">
        <f t="shared" ref="V51:V67" si="18">SUM(J51:U51)</f>
        <v>12500</v>
      </c>
      <c r="W51" s="16">
        <f>SUM(V$5:V51)</f>
        <v>562500</v>
      </c>
      <c r="X51" s="16">
        <f t="shared" si="13"/>
        <v>187500</v>
      </c>
    </row>
    <row r="52" spans="1:24">
      <c r="A52" s="10" t="s">
        <v>48</v>
      </c>
      <c r="B52" s="10">
        <f t="shared" si="17"/>
        <v>2018</v>
      </c>
      <c r="C52" s="74" t="s">
        <v>93</v>
      </c>
      <c r="D52" s="56"/>
      <c r="E52" s="57"/>
      <c r="F52" s="56"/>
      <c r="G52" s="16">
        <f t="shared" si="12"/>
        <v>0</v>
      </c>
      <c r="H52" s="16">
        <f>SUM(G$5:G52)</f>
        <v>750000</v>
      </c>
      <c r="J52" s="16">
        <f t="shared" si="15"/>
        <v>0</v>
      </c>
      <c r="K52" s="16">
        <f t="shared" si="15"/>
        <v>0</v>
      </c>
      <c r="L52" s="16">
        <f t="shared" si="15"/>
        <v>12500</v>
      </c>
      <c r="M52" s="16">
        <f t="shared" si="15"/>
        <v>0</v>
      </c>
      <c r="N52" s="16">
        <f t="shared" si="15"/>
        <v>0</v>
      </c>
      <c r="O52" s="16">
        <f t="shared" si="15"/>
        <v>0</v>
      </c>
      <c r="P52" s="16">
        <f t="shared" si="15"/>
        <v>0</v>
      </c>
      <c r="Q52" s="16">
        <f t="shared" si="15"/>
        <v>0</v>
      </c>
      <c r="R52" s="16">
        <f t="shared" si="16"/>
        <v>0</v>
      </c>
      <c r="S52" s="16">
        <f t="shared" si="16"/>
        <v>0</v>
      </c>
      <c r="T52" s="16">
        <f t="shared" si="16"/>
        <v>0</v>
      </c>
      <c r="U52" s="16">
        <f t="shared" si="16"/>
        <v>0</v>
      </c>
      <c r="V52" s="40">
        <f t="shared" si="18"/>
        <v>12500</v>
      </c>
      <c r="W52" s="16">
        <f>SUM(V$5:V52)</f>
        <v>575000</v>
      </c>
      <c r="X52" s="16">
        <f t="shared" si="13"/>
        <v>175000</v>
      </c>
    </row>
    <row r="53" spans="1:24" outlineLevel="1">
      <c r="A53" s="10" t="s">
        <v>50</v>
      </c>
      <c r="B53" s="10">
        <f t="shared" si="17"/>
        <v>2018</v>
      </c>
      <c r="C53" s="74" t="s">
        <v>93</v>
      </c>
      <c r="D53" s="56"/>
      <c r="E53" s="57"/>
      <c r="F53" s="56"/>
      <c r="G53" s="16">
        <f t="shared" si="12"/>
        <v>0</v>
      </c>
      <c r="H53" s="16">
        <f>SUM(G$5:G53)</f>
        <v>750000</v>
      </c>
      <c r="J53" s="16">
        <f>+J52</f>
        <v>0</v>
      </c>
      <c r="K53" s="16">
        <f t="shared" si="15"/>
        <v>0</v>
      </c>
      <c r="L53" s="16">
        <f t="shared" si="15"/>
        <v>12500</v>
      </c>
      <c r="M53" s="16">
        <f t="shared" si="15"/>
        <v>0</v>
      </c>
      <c r="N53" s="16">
        <f t="shared" si="15"/>
        <v>0</v>
      </c>
      <c r="O53" s="16">
        <f t="shared" si="15"/>
        <v>0</v>
      </c>
      <c r="P53" s="16">
        <f t="shared" si="15"/>
        <v>0</v>
      </c>
      <c r="Q53" s="16">
        <f t="shared" si="15"/>
        <v>0</v>
      </c>
      <c r="R53" s="16">
        <f t="shared" si="16"/>
        <v>0</v>
      </c>
      <c r="S53" s="16">
        <f t="shared" si="16"/>
        <v>0</v>
      </c>
      <c r="T53" s="16">
        <f t="shared" si="16"/>
        <v>0</v>
      </c>
      <c r="U53" s="16">
        <f t="shared" si="16"/>
        <v>0</v>
      </c>
      <c r="V53" s="40">
        <f t="shared" si="18"/>
        <v>12500</v>
      </c>
      <c r="W53" s="16">
        <f>SUM(V$5:V53)</f>
        <v>587500</v>
      </c>
      <c r="X53" s="16">
        <f t="shared" si="13"/>
        <v>162500</v>
      </c>
    </row>
    <row r="54" spans="1:24" outlineLevel="1">
      <c r="A54" s="10" t="s">
        <v>51</v>
      </c>
      <c r="B54" s="10">
        <f t="shared" si="17"/>
        <v>2018</v>
      </c>
      <c r="C54" s="74" t="s">
        <v>93</v>
      </c>
      <c r="D54" s="56"/>
      <c r="E54" s="57"/>
      <c r="F54" s="56"/>
      <c r="G54" s="16">
        <f t="shared" si="12"/>
        <v>0</v>
      </c>
      <c r="H54" s="16">
        <f>SUM(G$5:G54)</f>
        <v>750000</v>
      </c>
      <c r="J54" s="16">
        <f>+J53</f>
        <v>0</v>
      </c>
      <c r="K54" s="16">
        <f>+K53</f>
        <v>0</v>
      </c>
      <c r="L54" s="16">
        <f t="shared" si="15"/>
        <v>12500</v>
      </c>
      <c r="M54" s="16">
        <f t="shared" si="15"/>
        <v>0</v>
      </c>
      <c r="N54" s="16">
        <f t="shared" si="15"/>
        <v>0</v>
      </c>
      <c r="O54" s="16">
        <f t="shared" si="15"/>
        <v>0</v>
      </c>
      <c r="P54" s="16">
        <f t="shared" si="15"/>
        <v>0</v>
      </c>
      <c r="Q54" s="16">
        <f t="shared" si="15"/>
        <v>0</v>
      </c>
      <c r="R54" s="16">
        <f t="shared" si="16"/>
        <v>0</v>
      </c>
      <c r="S54" s="16">
        <f t="shared" si="16"/>
        <v>0</v>
      </c>
      <c r="T54" s="16">
        <f t="shared" si="16"/>
        <v>0</v>
      </c>
      <c r="U54" s="16">
        <f t="shared" si="16"/>
        <v>0</v>
      </c>
      <c r="V54" s="40">
        <f t="shared" si="18"/>
        <v>12500</v>
      </c>
      <c r="W54" s="16">
        <f>SUM(V$5:V54)</f>
        <v>600000</v>
      </c>
      <c r="X54" s="16">
        <f t="shared" si="13"/>
        <v>150000</v>
      </c>
    </row>
    <row r="55" spans="1:24" outlineLevel="1">
      <c r="A55" s="24" t="s">
        <v>52</v>
      </c>
      <c r="B55" s="24">
        <f t="shared" si="17"/>
        <v>2018</v>
      </c>
      <c r="C55" s="74" t="s">
        <v>93</v>
      </c>
      <c r="D55" s="60"/>
      <c r="E55" s="68"/>
      <c r="F55" s="60"/>
      <c r="G55" s="25">
        <f t="shared" si="12"/>
        <v>0</v>
      </c>
      <c r="H55" s="25">
        <f>SUM(G$5:G55)</f>
        <v>750000</v>
      </c>
      <c r="J55" s="25">
        <f>+J54</f>
        <v>0</v>
      </c>
      <c r="K55" s="25">
        <f>+K54</f>
        <v>0</v>
      </c>
      <c r="L55" s="25">
        <f>+L54</f>
        <v>12500</v>
      </c>
      <c r="M55" s="25">
        <f t="shared" si="15"/>
        <v>0</v>
      </c>
      <c r="N55" s="25">
        <f t="shared" si="15"/>
        <v>0</v>
      </c>
      <c r="O55" s="25">
        <f t="shared" si="15"/>
        <v>0</v>
      </c>
      <c r="P55" s="25">
        <f t="shared" si="15"/>
        <v>0</v>
      </c>
      <c r="Q55" s="25">
        <f t="shared" si="15"/>
        <v>0</v>
      </c>
      <c r="R55" s="25">
        <f t="shared" si="16"/>
        <v>0</v>
      </c>
      <c r="S55" s="25">
        <f t="shared" si="16"/>
        <v>0</v>
      </c>
      <c r="T55" s="25">
        <f t="shared" si="16"/>
        <v>0</v>
      </c>
      <c r="U55" s="25">
        <f t="shared" si="16"/>
        <v>0</v>
      </c>
      <c r="V55" s="80">
        <f t="shared" si="18"/>
        <v>12500</v>
      </c>
      <c r="W55" s="25">
        <f>SUM(V$5:V55)</f>
        <v>612500</v>
      </c>
      <c r="X55" s="25">
        <f t="shared" si="13"/>
        <v>137500</v>
      </c>
    </row>
    <row r="56" spans="1:24" outlineLevel="1">
      <c r="A56" s="10" t="s">
        <v>53</v>
      </c>
      <c r="B56" s="10">
        <f>+B55+1</f>
        <v>2019</v>
      </c>
      <c r="C56" s="74" t="s">
        <v>93</v>
      </c>
      <c r="D56" s="56"/>
      <c r="E56" s="57"/>
      <c r="F56" s="56"/>
      <c r="G56" s="16">
        <f t="shared" si="12"/>
        <v>0</v>
      </c>
      <c r="H56" s="16">
        <f>SUM(G$5:G56)</f>
        <v>750000</v>
      </c>
      <c r="J56" s="16">
        <f t="shared" si="15"/>
        <v>0</v>
      </c>
      <c r="K56" s="16">
        <f t="shared" si="15"/>
        <v>0</v>
      </c>
      <c r="L56" s="16">
        <f t="shared" si="15"/>
        <v>12500</v>
      </c>
      <c r="M56" s="16">
        <f t="shared" si="15"/>
        <v>0</v>
      </c>
      <c r="N56" s="16">
        <f t="shared" si="15"/>
        <v>0</v>
      </c>
      <c r="O56" s="16">
        <f t="shared" si="15"/>
        <v>0</v>
      </c>
      <c r="P56" s="16">
        <f t="shared" si="15"/>
        <v>0</v>
      </c>
      <c r="Q56" s="16">
        <f t="shared" si="15"/>
        <v>0</v>
      </c>
      <c r="R56" s="16">
        <f t="shared" si="16"/>
        <v>0</v>
      </c>
      <c r="S56" s="16">
        <f t="shared" si="16"/>
        <v>0</v>
      </c>
      <c r="T56" s="16">
        <f t="shared" si="16"/>
        <v>0</v>
      </c>
      <c r="U56" s="16">
        <f t="shared" si="16"/>
        <v>0</v>
      </c>
      <c r="V56" s="40">
        <f t="shared" si="18"/>
        <v>12500</v>
      </c>
      <c r="W56" s="16">
        <f>SUM(V$5:V56)</f>
        <v>625000</v>
      </c>
      <c r="X56" s="16">
        <f t="shared" si="13"/>
        <v>125000</v>
      </c>
    </row>
    <row r="57" spans="1:24" outlineLevel="1">
      <c r="A57" s="10" t="s">
        <v>54</v>
      </c>
      <c r="B57" s="10">
        <f t="shared" ref="B57:B67" si="19">+B56</f>
        <v>2019</v>
      </c>
      <c r="C57" s="74" t="s">
        <v>93</v>
      </c>
      <c r="D57" s="56"/>
      <c r="E57" s="57"/>
      <c r="F57" s="56"/>
      <c r="G57" s="16">
        <f t="shared" si="12"/>
        <v>0</v>
      </c>
      <c r="H57" s="16">
        <f>SUM(G$5:G57)</f>
        <v>750000</v>
      </c>
      <c r="J57" s="16">
        <f t="shared" si="15"/>
        <v>0</v>
      </c>
      <c r="K57" s="16">
        <f t="shared" si="15"/>
        <v>0</v>
      </c>
      <c r="L57" s="16">
        <f t="shared" si="15"/>
        <v>12500</v>
      </c>
      <c r="M57" s="16">
        <f t="shared" si="15"/>
        <v>0</v>
      </c>
      <c r="N57" s="16">
        <f t="shared" si="15"/>
        <v>0</v>
      </c>
      <c r="O57" s="16">
        <f t="shared" si="15"/>
        <v>0</v>
      </c>
      <c r="P57" s="16">
        <f t="shared" si="15"/>
        <v>0</v>
      </c>
      <c r="Q57" s="16">
        <f t="shared" si="15"/>
        <v>0</v>
      </c>
      <c r="R57" s="16">
        <f t="shared" si="16"/>
        <v>0</v>
      </c>
      <c r="S57" s="16">
        <f t="shared" si="16"/>
        <v>0</v>
      </c>
      <c r="T57" s="16">
        <f t="shared" si="16"/>
        <v>0</v>
      </c>
      <c r="U57" s="16">
        <f t="shared" si="16"/>
        <v>0</v>
      </c>
      <c r="V57" s="40">
        <f t="shared" si="18"/>
        <v>12500</v>
      </c>
      <c r="W57" s="16">
        <f>SUM(V$5:V57)</f>
        <v>637500</v>
      </c>
      <c r="X57" s="16">
        <f t="shared" si="13"/>
        <v>112500</v>
      </c>
    </row>
    <row r="58" spans="1:24" outlineLevel="1">
      <c r="A58" s="10" t="s">
        <v>55</v>
      </c>
      <c r="B58" s="10">
        <f t="shared" si="19"/>
        <v>2019</v>
      </c>
      <c r="C58" s="74" t="s">
        <v>93</v>
      </c>
      <c r="D58" s="56"/>
      <c r="E58" s="57"/>
      <c r="F58" s="56"/>
      <c r="G58" s="16">
        <f t="shared" si="12"/>
        <v>0</v>
      </c>
      <c r="H58" s="16">
        <f>SUM(G$5:G58)</f>
        <v>750000</v>
      </c>
      <c r="J58" s="16">
        <f t="shared" si="15"/>
        <v>0</v>
      </c>
      <c r="K58" s="16">
        <f t="shared" si="15"/>
        <v>0</v>
      </c>
      <c r="L58" s="16">
        <f t="shared" si="15"/>
        <v>12500</v>
      </c>
      <c r="M58" s="16">
        <f t="shared" si="15"/>
        <v>0</v>
      </c>
      <c r="N58" s="16">
        <f t="shared" si="15"/>
        <v>0</v>
      </c>
      <c r="O58" s="16">
        <f t="shared" si="15"/>
        <v>0</v>
      </c>
      <c r="P58" s="16">
        <f t="shared" si="15"/>
        <v>0</v>
      </c>
      <c r="Q58" s="16">
        <f t="shared" si="15"/>
        <v>0</v>
      </c>
      <c r="R58" s="16">
        <f t="shared" si="16"/>
        <v>0</v>
      </c>
      <c r="S58" s="16">
        <f t="shared" si="16"/>
        <v>0</v>
      </c>
      <c r="T58" s="16">
        <f t="shared" si="16"/>
        <v>0</v>
      </c>
      <c r="U58" s="16">
        <f t="shared" si="16"/>
        <v>0</v>
      </c>
      <c r="V58" s="40">
        <f t="shared" si="18"/>
        <v>12500</v>
      </c>
      <c r="W58" s="16">
        <f>SUM(V$5:V58)</f>
        <v>650000</v>
      </c>
      <c r="X58" s="16">
        <f t="shared" si="13"/>
        <v>100000</v>
      </c>
    </row>
    <row r="59" spans="1:24" outlineLevel="1">
      <c r="A59" s="10" t="s">
        <v>56</v>
      </c>
      <c r="B59" s="10">
        <f t="shared" si="19"/>
        <v>2019</v>
      </c>
      <c r="C59" s="74" t="s">
        <v>93</v>
      </c>
      <c r="D59" s="56"/>
      <c r="E59" s="57"/>
      <c r="F59" s="56"/>
      <c r="G59" s="16">
        <f t="shared" si="12"/>
        <v>0</v>
      </c>
      <c r="H59" s="16">
        <f>SUM(G$5:G59)</f>
        <v>750000</v>
      </c>
      <c r="J59" s="16">
        <f t="shared" ref="J59:T67" si="20">+J58</f>
        <v>0</v>
      </c>
      <c r="K59" s="16">
        <f t="shared" si="20"/>
        <v>0</v>
      </c>
      <c r="L59" s="16">
        <f t="shared" si="20"/>
        <v>12500</v>
      </c>
      <c r="M59" s="16">
        <f t="shared" si="20"/>
        <v>0</v>
      </c>
      <c r="N59" s="16">
        <f t="shared" si="20"/>
        <v>0</v>
      </c>
      <c r="O59" s="16">
        <f t="shared" si="20"/>
        <v>0</v>
      </c>
      <c r="P59" s="16">
        <f t="shared" si="20"/>
        <v>0</v>
      </c>
      <c r="Q59" s="16">
        <f t="shared" si="20"/>
        <v>0</v>
      </c>
      <c r="R59" s="16">
        <f t="shared" si="16"/>
        <v>0</v>
      </c>
      <c r="S59" s="16">
        <f t="shared" si="16"/>
        <v>0</v>
      </c>
      <c r="T59" s="16">
        <f t="shared" si="16"/>
        <v>0</v>
      </c>
      <c r="U59" s="16">
        <f t="shared" si="16"/>
        <v>0</v>
      </c>
      <c r="V59" s="40">
        <f t="shared" si="18"/>
        <v>12500</v>
      </c>
      <c r="W59" s="16">
        <f>SUM(V$5:V59)</f>
        <v>662500</v>
      </c>
      <c r="X59" s="16">
        <f t="shared" si="13"/>
        <v>87500</v>
      </c>
    </row>
    <row r="60" spans="1:24" outlineLevel="1">
      <c r="A60" s="10" t="s">
        <v>57</v>
      </c>
      <c r="B60" s="10">
        <f t="shared" si="19"/>
        <v>2019</v>
      </c>
      <c r="C60" s="74" t="s">
        <v>93</v>
      </c>
      <c r="D60" s="56"/>
      <c r="E60" s="57"/>
      <c r="F60" s="56"/>
      <c r="G60" s="16">
        <f t="shared" si="12"/>
        <v>0</v>
      </c>
      <c r="H60" s="16">
        <f>SUM(G$5:G60)</f>
        <v>750000</v>
      </c>
      <c r="J60" s="16">
        <f t="shared" si="20"/>
        <v>0</v>
      </c>
      <c r="K60" s="16">
        <f t="shared" si="20"/>
        <v>0</v>
      </c>
      <c r="L60" s="16">
        <f t="shared" si="20"/>
        <v>12500</v>
      </c>
      <c r="M60" s="16">
        <f t="shared" si="20"/>
        <v>0</v>
      </c>
      <c r="N60" s="16">
        <f t="shared" si="20"/>
        <v>0</v>
      </c>
      <c r="O60" s="16">
        <f t="shared" si="20"/>
        <v>0</v>
      </c>
      <c r="P60" s="16">
        <f t="shared" si="20"/>
        <v>0</v>
      </c>
      <c r="Q60" s="16">
        <f t="shared" si="20"/>
        <v>0</v>
      </c>
      <c r="R60" s="16">
        <f t="shared" si="16"/>
        <v>0</v>
      </c>
      <c r="S60" s="16">
        <f t="shared" si="16"/>
        <v>0</v>
      </c>
      <c r="T60" s="16">
        <f t="shared" si="16"/>
        <v>0</v>
      </c>
      <c r="U60" s="16">
        <f t="shared" si="16"/>
        <v>0</v>
      </c>
      <c r="V60" s="40">
        <f t="shared" si="18"/>
        <v>12500</v>
      </c>
      <c r="W60" s="16">
        <f>SUM(V$5:V60)</f>
        <v>675000</v>
      </c>
      <c r="X60" s="16">
        <f t="shared" si="13"/>
        <v>75000</v>
      </c>
    </row>
    <row r="61" spans="1:24" outlineLevel="1">
      <c r="A61" s="10" t="s">
        <v>58</v>
      </c>
      <c r="B61" s="10">
        <f t="shared" si="19"/>
        <v>2019</v>
      </c>
      <c r="C61" s="74" t="s">
        <v>93</v>
      </c>
      <c r="D61" s="56"/>
      <c r="E61" s="57"/>
      <c r="F61" s="56"/>
      <c r="G61" s="16">
        <f t="shared" si="12"/>
        <v>0</v>
      </c>
      <c r="H61" s="16">
        <f>SUM(G$5:G61)</f>
        <v>750000</v>
      </c>
      <c r="J61" s="16">
        <f t="shared" si="20"/>
        <v>0</v>
      </c>
      <c r="K61" s="16">
        <f t="shared" si="20"/>
        <v>0</v>
      </c>
      <c r="L61" s="16">
        <f t="shared" si="20"/>
        <v>12500</v>
      </c>
      <c r="M61" s="16">
        <f t="shared" si="20"/>
        <v>0</v>
      </c>
      <c r="N61" s="16">
        <f t="shared" si="20"/>
        <v>0</v>
      </c>
      <c r="O61" s="16">
        <f t="shared" si="20"/>
        <v>0</v>
      </c>
      <c r="P61" s="16">
        <f t="shared" si="20"/>
        <v>0</v>
      </c>
      <c r="Q61" s="16">
        <f t="shared" si="20"/>
        <v>0</v>
      </c>
      <c r="R61" s="16">
        <f t="shared" si="16"/>
        <v>0</v>
      </c>
      <c r="S61" s="16">
        <f t="shared" si="16"/>
        <v>0</v>
      </c>
      <c r="T61" s="16">
        <f t="shared" si="16"/>
        <v>0</v>
      </c>
      <c r="U61" s="16">
        <f t="shared" si="16"/>
        <v>0</v>
      </c>
      <c r="V61" s="40">
        <f t="shared" si="18"/>
        <v>12500</v>
      </c>
      <c r="W61" s="16">
        <f>SUM(V$5:V61)</f>
        <v>687500</v>
      </c>
      <c r="X61" s="16">
        <f t="shared" si="13"/>
        <v>62500</v>
      </c>
    </row>
    <row r="62" spans="1:24" outlineLevel="1">
      <c r="A62" s="10" t="s">
        <v>59</v>
      </c>
      <c r="B62" s="10">
        <f t="shared" si="19"/>
        <v>2019</v>
      </c>
      <c r="C62" s="74" t="s">
        <v>93</v>
      </c>
      <c r="D62" s="56"/>
      <c r="E62" s="57"/>
      <c r="F62" s="56"/>
      <c r="G62" s="16">
        <f t="shared" si="12"/>
        <v>0</v>
      </c>
      <c r="H62" s="16">
        <f>SUM(G$5:G62)</f>
        <v>750000</v>
      </c>
      <c r="J62" s="16">
        <f t="shared" si="20"/>
        <v>0</v>
      </c>
      <c r="K62" s="16">
        <f t="shared" si="20"/>
        <v>0</v>
      </c>
      <c r="L62" s="16">
        <f t="shared" si="20"/>
        <v>12500</v>
      </c>
      <c r="M62" s="16">
        <f t="shared" si="20"/>
        <v>0</v>
      </c>
      <c r="N62" s="16">
        <f t="shared" si="20"/>
        <v>0</v>
      </c>
      <c r="O62" s="16">
        <f t="shared" si="20"/>
        <v>0</v>
      </c>
      <c r="P62" s="16">
        <f t="shared" si="20"/>
        <v>0</v>
      </c>
      <c r="Q62" s="16">
        <f t="shared" si="20"/>
        <v>0</v>
      </c>
      <c r="R62" s="16">
        <f t="shared" si="20"/>
        <v>0</v>
      </c>
      <c r="S62" s="16">
        <f t="shared" si="20"/>
        <v>0</v>
      </c>
      <c r="T62" s="16">
        <f t="shared" si="20"/>
        <v>0</v>
      </c>
      <c r="U62" s="16">
        <f t="shared" ref="U62:U67" si="21">+U61</f>
        <v>0</v>
      </c>
      <c r="V62" s="40">
        <f t="shared" si="18"/>
        <v>12500</v>
      </c>
      <c r="W62" s="16">
        <f>SUM(V$5:V62)</f>
        <v>700000</v>
      </c>
      <c r="X62" s="16">
        <f t="shared" si="13"/>
        <v>50000</v>
      </c>
    </row>
    <row r="63" spans="1:24" outlineLevel="1">
      <c r="A63" s="10" t="s">
        <v>46</v>
      </c>
      <c r="B63" s="10">
        <f t="shared" si="19"/>
        <v>2019</v>
      </c>
      <c r="C63" s="74" t="s">
        <v>93</v>
      </c>
      <c r="D63" s="56"/>
      <c r="E63" s="57"/>
      <c r="F63" s="56"/>
      <c r="G63" s="16">
        <f t="shared" si="12"/>
        <v>0</v>
      </c>
      <c r="H63" s="16">
        <f>SUM(G$5:G63)</f>
        <v>750000</v>
      </c>
      <c r="J63" s="16">
        <f t="shared" si="20"/>
        <v>0</v>
      </c>
      <c r="K63" s="16">
        <f t="shared" si="20"/>
        <v>0</v>
      </c>
      <c r="L63" s="16">
        <f t="shared" si="20"/>
        <v>12500</v>
      </c>
      <c r="M63" s="16">
        <f t="shared" si="20"/>
        <v>0</v>
      </c>
      <c r="N63" s="16">
        <f t="shared" si="20"/>
        <v>0</v>
      </c>
      <c r="O63" s="16">
        <f t="shared" si="20"/>
        <v>0</v>
      </c>
      <c r="P63" s="16">
        <f t="shared" si="20"/>
        <v>0</v>
      </c>
      <c r="Q63" s="16">
        <f t="shared" si="20"/>
        <v>0</v>
      </c>
      <c r="R63" s="16">
        <f t="shared" si="20"/>
        <v>0</v>
      </c>
      <c r="S63" s="16">
        <f t="shared" si="20"/>
        <v>0</v>
      </c>
      <c r="T63" s="16">
        <f t="shared" si="20"/>
        <v>0</v>
      </c>
      <c r="U63" s="16">
        <f t="shared" si="21"/>
        <v>0</v>
      </c>
      <c r="V63" s="40">
        <f t="shared" si="18"/>
        <v>12500</v>
      </c>
      <c r="W63" s="16">
        <f>SUM(V$5:V63)</f>
        <v>712500</v>
      </c>
      <c r="X63" s="16">
        <f t="shared" si="13"/>
        <v>37500</v>
      </c>
    </row>
    <row r="64" spans="1:24" outlineLevel="1">
      <c r="A64" s="10" t="s">
        <v>48</v>
      </c>
      <c r="B64" s="10">
        <f t="shared" si="19"/>
        <v>2019</v>
      </c>
      <c r="C64" s="74" t="s">
        <v>93</v>
      </c>
      <c r="D64" s="56"/>
      <c r="E64" s="57"/>
      <c r="F64" s="56"/>
      <c r="G64" s="16">
        <f t="shared" si="12"/>
        <v>0</v>
      </c>
      <c r="H64" s="16">
        <f>SUM(G$5:G64)</f>
        <v>750000</v>
      </c>
      <c r="J64" s="16">
        <f t="shared" si="20"/>
        <v>0</v>
      </c>
      <c r="K64" s="16">
        <f t="shared" si="20"/>
        <v>0</v>
      </c>
      <c r="L64" s="16">
        <f t="shared" si="20"/>
        <v>12500</v>
      </c>
      <c r="M64" s="16">
        <f t="shared" si="20"/>
        <v>0</v>
      </c>
      <c r="N64" s="16">
        <f t="shared" si="20"/>
        <v>0</v>
      </c>
      <c r="O64" s="16">
        <f t="shared" si="20"/>
        <v>0</v>
      </c>
      <c r="P64" s="16">
        <f t="shared" si="20"/>
        <v>0</v>
      </c>
      <c r="Q64" s="16">
        <f t="shared" si="20"/>
        <v>0</v>
      </c>
      <c r="R64" s="16">
        <f t="shared" si="20"/>
        <v>0</v>
      </c>
      <c r="S64" s="16">
        <f t="shared" si="20"/>
        <v>0</v>
      </c>
      <c r="T64" s="16">
        <f t="shared" si="20"/>
        <v>0</v>
      </c>
      <c r="U64" s="16">
        <f t="shared" si="21"/>
        <v>0</v>
      </c>
      <c r="V64" s="40">
        <f t="shared" si="18"/>
        <v>12500</v>
      </c>
      <c r="W64" s="16">
        <f>SUM(V$5:V64)</f>
        <v>725000</v>
      </c>
      <c r="X64" s="16">
        <f t="shared" si="13"/>
        <v>25000</v>
      </c>
    </row>
    <row r="65" spans="1:24" outlineLevel="1">
      <c r="A65" s="10" t="s">
        <v>50</v>
      </c>
      <c r="B65" s="10">
        <f t="shared" si="19"/>
        <v>2019</v>
      </c>
      <c r="C65" s="74" t="s">
        <v>93</v>
      </c>
      <c r="D65" s="56"/>
      <c r="E65" s="57"/>
      <c r="F65" s="56"/>
      <c r="G65" s="16">
        <f t="shared" si="12"/>
        <v>0</v>
      </c>
      <c r="H65" s="16">
        <f>SUM(G$5:G65)</f>
        <v>750000</v>
      </c>
      <c r="J65" s="16"/>
      <c r="K65" s="16">
        <f t="shared" si="20"/>
        <v>0</v>
      </c>
      <c r="L65" s="16">
        <f t="shared" si="20"/>
        <v>12500</v>
      </c>
      <c r="M65" s="16">
        <f t="shared" si="20"/>
        <v>0</v>
      </c>
      <c r="N65" s="16">
        <f t="shared" si="20"/>
        <v>0</v>
      </c>
      <c r="O65" s="16">
        <f t="shared" si="20"/>
        <v>0</v>
      </c>
      <c r="P65" s="16">
        <f t="shared" si="20"/>
        <v>0</v>
      </c>
      <c r="Q65" s="16">
        <f t="shared" si="20"/>
        <v>0</v>
      </c>
      <c r="R65" s="16">
        <f t="shared" si="20"/>
        <v>0</v>
      </c>
      <c r="S65" s="16">
        <f t="shared" si="20"/>
        <v>0</v>
      </c>
      <c r="T65" s="16">
        <f t="shared" si="20"/>
        <v>0</v>
      </c>
      <c r="U65" s="16">
        <f t="shared" si="21"/>
        <v>0</v>
      </c>
      <c r="V65" s="40">
        <f t="shared" si="18"/>
        <v>12500</v>
      </c>
      <c r="W65" s="16">
        <f>SUM(V$5:V65)</f>
        <v>737500</v>
      </c>
      <c r="X65" s="16">
        <f t="shared" si="13"/>
        <v>12500</v>
      </c>
    </row>
    <row r="66" spans="1:24" outlineLevel="1">
      <c r="A66" s="10" t="s">
        <v>51</v>
      </c>
      <c r="B66" s="10">
        <f t="shared" si="19"/>
        <v>2019</v>
      </c>
      <c r="C66" s="74" t="s">
        <v>93</v>
      </c>
      <c r="D66" s="56"/>
      <c r="E66" s="57"/>
      <c r="F66" s="56"/>
      <c r="G66" s="16">
        <f t="shared" si="12"/>
        <v>0</v>
      </c>
      <c r="H66" s="16">
        <f>SUM(G$5:G66)</f>
        <v>750000</v>
      </c>
      <c r="J66" s="16"/>
      <c r="K66" s="16"/>
      <c r="L66" s="16">
        <f t="shared" si="20"/>
        <v>12500</v>
      </c>
      <c r="M66" s="16">
        <f t="shared" si="20"/>
        <v>0</v>
      </c>
      <c r="N66" s="16">
        <f t="shared" si="20"/>
        <v>0</v>
      </c>
      <c r="O66" s="16">
        <f t="shared" si="20"/>
        <v>0</v>
      </c>
      <c r="P66" s="16">
        <f t="shared" si="20"/>
        <v>0</v>
      </c>
      <c r="Q66" s="16">
        <f t="shared" si="20"/>
        <v>0</v>
      </c>
      <c r="R66" s="16">
        <f t="shared" si="20"/>
        <v>0</v>
      </c>
      <c r="S66" s="16">
        <f t="shared" si="20"/>
        <v>0</v>
      </c>
      <c r="T66" s="16">
        <f t="shared" si="20"/>
        <v>0</v>
      </c>
      <c r="U66" s="16">
        <f t="shared" si="21"/>
        <v>0</v>
      </c>
      <c r="V66" s="40">
        <f t="shared" si="18"/>
        <v>12500</v>
      </c>
      <c r="W66" s="16">
        <f>SUM(V$5:V66)</f>
        <v>750000</v>
      </c>
      <c r="X66" s="16">
        <f t="shared" si="13"/>
        <v>0</v>
      </c>
    </row>
    <row r="67" spans="1:24" outlineLevel="1">
      <c r="A67" s="24" t="s">
        <v>52</v>
      </c>
      <c r="B67" s="24">
        <f t="shared" si="19"/>
        <v>2019</v>
      </c>
      <c r="C67" s="74" t="s">
        <v>93</v>
      </c>
      <c r="D67" s="60"/>
      <c r="E67" s="68"/>
      <c r="F67" s="60"/>
      <c r="G67" s="25">
        <f t="shared" si="12"/>
        <v>0</v>
      </c>
      <c r="H67" s="25">
        <f>SUM(G$5:G67)</f>
        <v>750000</v>
      </c>
      <c r="J67" s="25"/>
      <c r="K67" s="25"/>
      <c r="L67" s="25"/>
      <c r="M67" s="25">
        <f t="shared" si="20"/>
        <v>0</v>
      </c>
      <c r="N67" s="25">
        <f t="shared" si="20"/>
        <v>0</v>
      </c>
      <c r="O67" s="25">
        <f t="shared" si="20"/>
        <v>0</v>
      </c>
      <c r="P67" s="25">
        <f t="shared" si="20"/>
        <v>0</v>
      </c>
      <c r="Q67" s="25">
        <f t="shared" si="20"/>
        <v>0</v>
      </c>
      <c r="R67" s="25">
        <f t="shared" si="20"/>
        <v>0</v>
      </c>
      <c r="S67" s="25">
        <f t="shared" si="20"/>
        <v>0</v>
      </c>
      <c r="T67" s="25">
        <f t="shared" si="20"/>
        <v>0</v>
      </c>
      <c r="U67" s="25">
        <f t="shared" si="21"/>
        <v>0</v>
      </c>
      <c r="V67" s="80">
        <f t="shared" si="18"/>
        <v>0</v>
      </c>
      <c r="W67" s="25">
        <f>SUM(V$5:V67)</f>
        <v>750000</v>
      </c>
      <c r="X67" s="25">
        <f t="shared" si="13"/>
        <v>0</v>
      </c>
    </row>
    <row r="68" spans="1:24">
      <c r="D68" s="16"/>
      <c r="E68" s="16"/>
      <c r="F68" s="16"/>
      <c r="G68" s="16"/>
      <c r="H68" s="16"/>
      <c r="L68" s="21">
        <f>SUM(L7:L67)</f>
        <v>750000</v>
      </c>
    </row>
    <row r="73" spans="1:24">
      <c r="D73" s="21"/>
      <c r="E73" s="21"/>
      <c r="F73" s="21"/>
      <c r="G73" s="21"/>
    </row>
    <row r="74" spans="1:24">
      <c r="D74" s="21"/>
      <c r="E74" s="21"/>
      <c r="F74" s="21"/>
      <c r="G74" s="21"/>
    </row>
    <row r="75" spans="1:24">
      <c r="D75" s="21"/>
      <c r="E75" s="21"/>
      <c r="F75" s="21"/>
      <c r="G75" s="21"/>
    </row>
    <row r="76" spans="1:24">
      <c r="D76" s="21"/>
      <c r="E76" s="21"/>
      <c r="F76" s="21"/>
      <c r="G76" s="21"/>
    </row>
    <row r="77" spans="1:24">
      <c r="D77" s="21"/>
      <c r="E77" s="21"/>
      <c r="F77" s="21"/>
      <c r="G77" s="21"/>
    </row>
    <row r="78" spans="1:24">
      <c r="D78" s="21"/>
      <c r="E78" s="21"/>
      <c r="F78" s="21"/>
      <c r="G78" s="21"/>
    </row>
  </sheetData>
  <mergeCells count="2">
    <mergeCell ref="D1:G1"/>
    <mergeCell ref="J1:V1"/>
  </mergeCells>
  <pageMargins left="0.7" right="0.7" top="0.75" bottom="0.75" header="0.3" footer="0.3"/>
  <pageSetup scale="5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theme="0" tint="-0.34998626667073579"/>
    <pageSetUpPr fitToPage="1"/>
  </sheetPr>
  <dimension ref="A1:AB163"/>
  <sheetViews>
    <sheetView zoomScaleNormal="100" workbookViewId="0">
      <pane ySplit="3" topLeftCell="A142" activePane="bottomLeft" state="frozen"/>
      <selection pane="bottomLeft" activeCell="N153" sqref="N153"/>
    </sheetView>
  </sheetViews>
  <sheetFormatPr defaultColWidth="9.140625" defaultRowHeight="12.75" outlineLevelRow="1"/>
  <cols>
    <col min="1" max="3" width="9.140625" style="3"/>
    <col min="4" max="4" width="12.28515625" style="3" bestFit="1" customWidth="1"/>
    <col min="5" max="5" width="17.28515625" style="92" customWidth="1"/>
    <col min="6" max="6" width="3.5703125" style="3" customWidth="1"/>
    <col min="7" max="7" width="12.28515625" style="3" bestFit="1" customWidth="1"/>
    <col min="8" max="8" width="14.42578125" style="3" bestFit="1" customWidth="1"/>
    <col min="9" max="9" width="3.7109375" style="3" customWidth="1"/>
    <col min="10" max="10" width="14.85546875" style="3" customWidth="1"/>
    <col min="11" max="11" width="5.42578125" style="3" customWidth="1"/>
    <col min="12" max="13" width="6.7109375" style="3" bestFit="1" customWidth="1"/>
    <col min="14" max="15" width="9.42578125" style="3" bestFit="1" customWidth="1"/>
    <col min="16" max="16" width="9.7109375" style="3" bestFit="1" customWidth="1"/>
    <col min="17" max="17" width="9.42578125" style="3" bestFit="1" customWidth="1"/>
    <col min="18" max="18" width="10.5703125" style="3" bestFit="1" customWidth="1"/>
    <col min="19" max="20" width="10.42578125" style="3" bestFit="1" customWidth="1"/>
    <col min="21" max="21" width="14" style="3" bestFit="1" customWidth="1"/>
    <col min="22" max="22" width="9.42578125" style="3" bestFit="1" customWidth="1"/>
    <col min="23" max="23" width="10.5703125" style="3" bestFit="1" customWidth="1"/>
    <col min="24" max="24" width="9.28515625" style="3" customWidth="1"/>
    <col min="25" max="25" width="10.42578125" style="3" bestFit="1" customWidth="1"/>
    <col min="26" max="26" width="9.7109375" style="3" bestFit="1" customWidth="1"/>
    <col min="27" max="27" width="6.42578125" style="3" bestFit="1" customWidth="1"/>
    <col min="28" max="28" width="7.7109375" style="3" bestFit="1" customWidth="1"/>
    <col min="29" max="16384" width="9.140625" style="3"/>
  </cols>
  <sheetData>
    <row r="1" spans="1:28">
      <c r="D1" s="694"/>
      <c r="E1" s="694"/>
      <c r="F1" s="694"/>
      <c r="G1" s="694"/>
      <c r="H1" s="694"/>
      <c r="I1" s="694"/>
      <c r="J1" s="5"/>
      <c r="L1" s="694" t="s">
        <v>78</v>
      </c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</row>
    <row r="2" spans="1:28" s="325" customFormat="1" ht="38.25">
      <c r="C2" s="7" t="s">
        <v>16</v>
      </c>
      <c r="D2" s="51" t="s">
        <v>97</v>
      </c>
      <c r="E2" s="89" t="s">
        <v>98</v>
      </c>
      <c r="F2" s="51"/>
      <c r="G2" s="51" t="s">
        <v>99</v>
      </c>
      <c r="H2" s="51" t="s">
        <v>100</v>
      </c>
      <c r="I2" s="52"/>
      <c r="J2" s="52" t="s">
        <v>101</v>
      </c>
      <c r="L2" s="220">
        <v>40544</v>
      </c>
      <c r="M2" s="220">
        <f t="shared" ref="M2:AA2" si="0">+L2+31</f>
        <v>40575</v>
      </c>
      <c r="N2" s="220">
        <f t="shared" si="0"/>
        <v>40606</v>
      </c>
      <c r="O2" s="220">
        <f t="shared" si="0"/>
        <v>40637</v>
      </c>
      <c r="P2" s="220">
        <f t="shared" si="0"/>
        <v>40668</v>
      </c>
      <c r="Q2" s="220">
        <f t="shared" si="0"/>
        <v>40699</v>
      </c>
      <c r="R2" s="220">
        <f t="shared" si="0"/>
        <v>40730</v>
      </c>
      <c r="S2" s="220">
        <f t="shared" si="0"/>
        <v>40761</v>
      </c>
      <c r="T2" s="220">
        <f t="shared" si="0"/>
        <v>40792</v>
      </c>
      <c r="U2" s="220">
        <f t="shared" si="0"/>
        <v>40823</v>
      </c>
      <c r="V2" s="220">
        <f t="shared" si="0"/>
        <v>40854</v>
      </c>
      <c r="W2" s="220">
        <f t="shared" si="0"/>
        <v>40885</v>
      </c>
      <c r="X2" s="220">
        <f t="shared" si="0"/>
        <v>40916</v>
      </c>
      <c r="Y2" s="220">
        <f t="shared" si="0"/>
        <v>40947</v>
      </c>
      <c r="Z2" s="220">
        <f t="shared" si="0"/>
        <v>40978</v>
      </c>
      <c r="AA2" s="220">
        <f t="shared" si="0"/>
        <v>41009</v>
      </c>
      <c r="AB2" s="325" t="s">
        <v>69</v>
      </c>
    </row>
    <row r="3" spans="1:28" ht="15.75">
      <c r="A3" s="3" t="s">
        <v>27</v>
      </c>
      <c r="C3" s="7" t="s">
        <v>28</v>
      </c>
      <c r="D3" s="54" t="s">
        <v>67</v>
      </c>
      <c r="E3" s="90"/>
      <c r="F3" s="12"/>
      <c r="G3" s="54" t="s">
        <v>67</v>
      </c>
      <c r="H3" s="54"/>
      <c r="I3" s="12"/>
      <c r="J3" s="9"/>
    </row>
    <row r="4" spans="1:28">
      <c r="A4" s="7"/>
      <c r="B4" s="7"/>
      <c r="C4" s="7"/>
      <c r="D4" s="56"/>
      <c r="E4" s="30"/>
      <c r="F4" s="56"/>
      <c r="G4" s="56"/>
      <c r="H4" s="30"/>
      <c r="I4" s="56"/>
      <c r="J4" s="23"/>
    </row>
    <row r="5" spans="1:28" outlineLevel="1">
      <c r="A5" s="7" t="s">
        <v>53</v>
      </c>
      <c r="B5" s="7">
        <v>2011</v>
      </c>
      <c r="C5" s="73" t="s">
        <v>47</v>
      </c>
      <c r="D5" s="56"/>
      <c r="E5" s="30">
        <f>SUM(D$5:D5)</f>
        <v>0</v>
      </c>
      <c r="F5" s="56"/>
      <c r="G5" s="56">
        <v>0</v>
      </c>
      <c r="H5" s="30">
        <f>SUM(G$5:G5)</f>
        <v>0</v>
      </c>
      <c r="I5" s="56"/>
      <c r="J5" s="30">
        <f t="shared" ref="J5:J35" si="1">+E5-H5</f>
        <v>0</v>
      </c>
      <c r="L5" s="30">
        <f>+$D5/120</f>
        <v>0</v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>
        <f t="shared" ref="AB5:AB36" si="2">SUM(L5:AA5)</f>
        <v>0</v>
      </c>
    </row>
    <row r="6" spans="1:28" outlineLevel="1">
      <c r="A6" s="7" t="s">
        <v>54</v>
      </c>
      <c r="B6" s="7">
        <f>+B5</f>
        <v>2011</v>
      </c>
      <c r="C6" s="73" t="s">
        <v>47</v>
      </c>
      <c r="D6" s="56"/>
      <c r="E6" s="30">
        <f>SUM(D$5:D6)</f>
        <v>0</v>
      </c>
      <c r="F6" s="56"/>
      <c r="G6" s="56">
        <v>0</v>
      </c>
      <c r="H6" s="30">
        <f>SUM(G$5:G6)</f>
        <v>0</v>
      </c>
      <c r="I6" s="56"/>
      <c r="J6" s="30">
        <f t="shared" si="1"/>
        <v>0</v>
      </c>
      <c r="L6" s="30">
        <f>+L5</f>
        <v>0</v>
      </c>
      <c r="M6" s="30">
        <f>+$D6/120</f>
        <v>0</v>
      </c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>
        <f t="shared" si="2"/>
        <v>0</v>
      </c>
    </row>
    <row r="7" spans="1:28" outlineLevel="1">
      <c r="A7" s="7" t="s">
        <v>55</v>
      </c>
      <c r="B7" s="7">
        <f>+B6</f>
        <v>2011</v>
      </c>
      <c r="C7" s="73" t="s">
        <v>47</v>
      </c>
      <c r="D7" s="56">
        <v>94000</v>
      </c>
      <c r="E7" s="30">
        <f>SUM(D$5:D7)</f>
        <v>94000</v>
      </c>
      <c r="F7" s="56"/>
      <c r="G7" s="56">
        <v>311.69</v>
      </c>
      <c r="H7" s="30">
        <f>SUM(G$5:G7)</f>
        <v>311.69</v>
      </c>
      <c r="I7" s="56"/>
      <c r="J7" s="30">
        <f t="shared" si="1"/>
        <v>93688.31</v>
      </c>
      <c r="L7" s="30">
        <f>+L6</f>
        <v>0</v>
      </c>
      <c r="M7" s="30">
        <f t="shared" ref="L7:AA22" si="3">+M6</f>
        <v>0</v>
      </c>
      <c r="N7" s="30">
        <f>D7/120</f>
        <v>783.33333333333337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>
        <f t="shared" si="2"/>
        <v>783.33333333333337</v>
      </c>
    </row>
    <row r="8" spans="1:28" outlineLevel="1">
      <c r="A8" s="7" t="s">
        <v>56</v>
      </c>
      <c r="B8" s="7">
        <f>+B7</f>
        <v>2011</v>
      </c>
      <c r="C8" s="73" t="s">
        <v>47</v>
      </c>
      <c r="D8" s="56">
        <v>117400</v>
      </c>
      <c r="E8" s="30">
        <f>SUM(D$5:D8)</f>
        <v>211400</v>
      </c>
      <c r="F8" s="56"/>
      <c r="G8" s="56">
        <v>1015.91</v>
      </c>
      <c r="H8" s="30">
        <f>SUM(G$5:G8)</f>
        <v>1327.6</v>
      </c>
      <c r="I8" s="56"/>
      <c r="J8" s="30">
        <f t="shared" si="1"/>
        <v>210072.4</v>
      </c>
      <c r="L8" s="30">
        <f t="shared" si="3"/>
        <v>0</v>
      </c>
      <c r="M8" s="30">
        <f t="shared" si="3"/>
        <v>0</v>
      </c>
      <c r="N8" s="30">
        <f t="shared" si="3"/>
        <v>783.33333333333337</v>
      </c>
      <c r="O8" s="30">
        <f>D8/120</f>
        <v>978.33333333333337</v>
      </c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>
        <f t="shared" si="2"/>
        <v>1761.6666666666667</v>
      </c>
    </row>
    <row r="9" spans="1:28" outlineLevel="1">
      <c r="A9" s="7" t="s">
        <v>57</v>
      </c>
      <c r="B9" s="7">
        <f>+B8</f>
        <v>2011</v>
      </c>
      <c r="C9" s="73" t="s">
        <v>47</v>
      </c>
      <c r="D9" s="56">
        <v>150059</v>
      </c>
      <c r="E9" s="30">
        <f>SUM(D$5:D9)</f>
        <v>361459</v>
      </c>
      <c r="F9" s="56"/>
      <c r="G9" s="56">
        <v>2341.56</v>
      </c>
      <c r="H9" s="30">
        <f>SUM(G$5:G9)</f>
        <v>3669.16</v>
      </c>
      <c r="I9" s="56"/>
      <c r="J9" s="30">
        <f t="shared" si="1"/>
        <v>357789.84</v>
      </c>
      <c r="L9" s="30">
        <f t="shared" si="3"/>
        <v>0</v>
      </c>
      <c r="M9" s="30">
        <f t="shared" si="3"/>
        <v>0</v>
      </c>
      <c r="N9" s="30">
        <f t="shared" si="3"/>
        <v>783.33333333333337</v>
      </c>
      <c r="O9" s="30">
        <f t="shared" si="3"/>
        <v>978.33333333333337</v>
      </c>
      <c r="P9" s="30">
        <f>+$D9/120</f>
        <v>1250.4916666666666</v>
      </c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>
        <f t="shared" si="2"/>
        <v>3012.1583333333333</v>
      </c>
    </row>
    <row r="10" spans="1:28" outlineLevel="1">
      <c r="A10" s="7" t="s">
        <v>58</v>
      </c>
      <c r="B10" s="7">
        <f>+B9</f>
        <v>2011</v>
      </c>
      <c r="C10" s="73" t="s">
        <v>47</v>
      </c>
      <c r="D10" s="56">
        <v>137535</v>
      </c>
      <c r="E10" s="30">
        <f>SUM(D$5:D10)</f>
        <v>498994</v>
      </c>
      <c r="F10" s="56"/>
      <c r="G10" s="56">
        <v>3494.71</v>
      </c>
      <c r="H10" s="30">
        <f>SUM(G$5:G10)</f>
        <v>7163.87</v>
      </c>
      <c r="I10" s="56"/>
      <c r="J10" s="30">
        <f t="shared" si="1"/>
        <v>491830.13</v>
      </c>
      <c r="L10" s="30">
        <f t="shared" si="3"/>
        <v>0</v>
      </c>
      <c r="M10" s="30">
        <f t="shared" si="3"/>
        <v>0</v>
      </c>
      <c r="N10" s="30">
        <f t="shared" si="3"/>
        <v>783.33333333333337</v>
      </c>
      <c r="O10" s="30">
        <f t="shared" si="3"/>
        <v>978.33333333333337</v>
      </c>
      <c r="P10" s="30">
        <f t="shared" si="3"/>
        <v>1250.4916666666666</v>
      </c>
      <c r="Q10" s="30">
        <f>+$D10/120</f>
        <v>1146.125</v>
      </c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>
        <f t="shared" si="2"/>
        <v>4158.2833333333328</v>
      </c>
    </row>
    <row r="11" spans="1:28" outlineLevel="1">
      <c r="A11" s="7" t="s">
        <v>59</v>
      </c>
      <c r="B11" s="7">
        <f t="shared" ref="B11:B16" si="4">+B10</f>
        <v>2011</v>
      </c>
      <c r="C11" s="73" t="s">
        <v>47</v>
      </c>
      <c r="D11" s="56">
        <v>200680</v>
      </c>
      <c r="E11" s="30">
        <f>SUM(D$5:D11)</f>
        <v>699674</v>
      </c>
      <c r="F11" s="56"/>
      <c r="G11" s="56">
        <v>4318</v>
      </c>
      <c r="H11" s="30">
        <f>SUM(G$5:G11)</f>
        <v>11481.869999999999</v>
      </c>
      <c r="I11" s="56"/>
      <c r="J11" s="30">
        <f t="shared" si="1"/>
        <v>688192.13</v>
      </c>
      <c r="L11" s="30">
        <f t="shared" si="3"/>
        <v>0</v>
      </c>
      <c r="M11" s="30">
        <f t="shared" si="3"/>
        <v>0</v>
      </c>
      <c r="N11" s="30">
        <f t="shared" si="3"/>
        <v>783.33333333333337</v>
      </c>
      <c r="O11" s="30">
        <f t="shared" si="3"/>
        <v>978.33333333333337</v>
      </c>
      <c r="P11" s="30">
        <f>+P10</f>
        <v>1250.4916666666666</v>
      </c>
      <c r="Q11" s="30">
        <f t="shared" si="3"/>
        <v>1146.125</v>
      </c>
      <c r="R11" s="30">
        <f>+$D11/120</f>
        <v>1672.3333333333333</v>
      </c>
      <c r="S11" s="30"/>
      <c r="T11" s="30"/>
      <c r="U11" s="30"/>
      <c r="V11" s="30"/>
      <c r="W11" s="30"/>
      <c r="X11" s="30"/>
      <c r="Y11" s="30"/>
      <c r="Z11" s="30"/>
      <c r="AA11" s="30"/>
      <c r="AB11" s="30">
        <f t="shared" si="2"/>
        <v>5830.6166666666659</v>
      </c>
    </row>
    <row r="12" spans="1:28" outlineLevel="1">
      <c r="A12" s="7" t="s">
        <v>46</v>
      </c>
      <c r="B12" s="7">
        <f t="shared" si="4"/>
        <v>2011</v>
      </c>
      <c r="C12" s="73" t="s">
        <v>47</v>
      </c>
      <c r="D12" s="56">
        <v>282927</v>
      </c>
      <c r="E12" s="30">
        <f>SUM(D$5:D12)</f>
        <v>982601</v>
      </c>
      <c r="F12" s="56"/>
      <c r="G12" s="56">
        <v>8738</v>
      </c>
      <c r="H12" s="30">
        <f>SUM(G$5:G12)</f>
        <v>20219.87</v>
      </c>
      <c r="I12" s="56"/>
      <c r="J12" s="30">
        <f t="shared" si="1"/>
        <v>962381.13</v>
      </c>
      <c r="L12" s="30">
        <f t="shared" si="3"/>
        <v>0</v>
      </c>
      <c r="M12" s="30">
        <f t="shared" si="3"/>
        <v>0</v>
      </c>
      <c r="N12" s="30">
        <f t="shared" si="3"/>
        <v>783.33333333333337</v>
      </c>
      <c r="O12" s="30">
        <f t="shared" si="3"/>
        <v>978.33333333333337</v>
      </c>
      <c r="P12" s="30">
        <f t="shared" si="3"/>
        <v>1250.4916666666666</v>
      </c>
      <c r="Q12" s="30">
        <f t="shared" si="3"/>
        <v>1146.125</v>
      </c>
      <c r="R12" s="30">
        <f t="shared" si="3"/>
        <v>1672.3333333333333</v>
      </c>
      <c r="S12" s="30">
        <f>+$D12/120</f>
        <v>2357.7249999999999</v>
      </c>
      <c r="T12" s="30"/>
      <c r="U12" s="30"/>
      <c r="V12" s="30"/>
      <c r="W12" s="30"/>
      <c r="X12" s="30"/>
      <c r="Y12" s="30"/>
      <c r="Z12" s="30"/>
      <c r="AA12" s="30"/>
      <c r="AB12" s="30">
        <f t="shared" si="2"/>
        <v>8188.3416666666653</v>
      </c>
    </row>
    <row r="13" spans="1:28" outlineLevel="1">
      <c r="A13" s="7" t="s">
        <v>48</v>
      </c>
      <c r="B13" s="7">
        <f t="shared" si="4"/>
        <v>2011</v>
      </c>
      <c r="C13" s="73" t="s">
        <v>47</v>
      </c>
      <c r="D13" s="56">
        <v>344837</v>
      </c>
      <c r="E13" s="32">
        <f>SUM(D$5:D13)</f>
        <v>1327438</v>
      </c>
      <c r="F13" s="56"/>
      <c r="G13" s="56">
        <v>9951</v>
      </c>
      <c r="H13" s="30">
        <f>SUM(G$5:G13)</f>
        <v>30170.87</v>
      </c>
      <c r="I13" s="56"/>
      <c r="J13" s="30">
        <f t="shared" si="1"/>
        <v>1297267.1299999999</v>
      </c>
      <c r="L13" s="30">
        <f t="shared" si="3"/>
        <v>0</v>
      </c>
      <c r="M13" s="30">
        <f t="shared" si="3"/>
        <v>0</v>
      </c>
      <c r="N13" s="30">
        <f>+N12</f>
        <v>783.33333333333337</v>
      </c>
      <c r="O13" s="30">
        <f t="shared" si="3"/>
        <v>978.33333333333337</v>
      </c>
      <c r="P13" s="30">
        <f t="shared" si="3"/>
        <v>1250.4916666666666</v>
      </c>
      <c r="Q13" s="30">
        <f t="shared" si="3"/>
        <v>1146.125</v>
      </c>
      <c r="R13" s="30">
        <f t="shared" si="3"/>
        <v>1672.3333333333333</v>
      </c>
      <c r="S13" s="30">
        <f t="shared" si="3"/>
        <v>2357.7249999999999</v>
      </c>
      <c r="T13" s="30">
        <f>+$D13/120</f>
        <v>2873.6416666666669</v>
      </c>
      <c r="U13" s="30"/>
      <c r="V13" s="30"/>
      <c r="W13" s="30"/>
      <c r="X13" s="30"/>
      <c r="Y13" s="30"/>
      <c r="Z13" s="30"/>
      <c r="AA13" s="30"/>
      <c r="AB13" s="30">
        <f t="shared" si="2"/>
        <v>11061.983333333332</v>
      </c>
    </row>
    <row r="14" spans="1:28" outlineLevel="1">
      <c r="A14" s="7" t="s">
        <v>50</v>
      </c>
      <c r="B14" s="7">
        <f t="shared" si="4"/>
        <v>2011</v>
      </c>
      <c r="C14" s="73" t="s">
        <v>47</v>
      </c>
      <c r="D14" s="506">
        <f>335688+6000</f>
        <v>341688</v>
      </c>
      <c r="E14" s="32">
        <f>SUM(D$5:D14)</f>
        <v>1669126</v>
      </c>
      <c r="F14" s="56"/>
      <c r="G14" s="56">
        <v>10460</v>
      </c>
      <c r="H14" s="30">
        <f>SUM(G$5:G14)</f>
        <v>40630.869999999995</v>
      </c>
      <c r="I14" s="56"/>
      <c r="J14" s="30">
        <f t="shared" si="1"/>
        <v>1628495.13</v>
      </c>
      <c r="L14" s="30">
        <f t="shared" si="3"/>
        <v>0</v>
      </c>
      <c r="M14" s="30">
        <f t="shared" si="3"/>
        <v>0</v>
      </c>
      <c r="N14" s="30">
        <f t="shared" si="3"/>
        <v>783.33333333333337</v>
      </c>
      <c r="O14" s="30">
        <f t="shared" si="3"/>
        <v>978.33333333333337</v>
      </c>
      <c r="P14" s="30">
        <f t="shared" si="3"/>
        <v>1250.4916666666666</v>
      </c>
      <c r="Q14" s="30">
        <f t="shared" si="3"/>
        <v>1146.125</v>
      </c>
      <c r="R14" s="30">
        <f t="shared" si="3"/>
        <v>1672.3333333333333</v>
      </c>
      <c r="S14" s="30">
        <f t="shared" si="3"/>
        <v>2357.7249999999999</v>
      </c>
      <c r="T14" s="30">
        <f>+T13</f>
        <v>2873.6416666666669</v>
      </c>
      <c r="U14" s="30">
        <f>+$D14/120</f>
        <v>2847.4</v>
      </c>
      <c r="V14" s="30"/>
      <c r="W14" s="30"/>
      <c r="X14" s="30"/>
      <c r="Y14" s="30"/>
      <c r="Z14" s="30"/>
      <c r="AA14" s="30"/>
      <c r="AB14" s="30">
        <f t="shared" si="2"/>
        <v>13909.383333333331</v>
      </c>
    </row>
    <row r="15" spans="1:28" outlineLevel="1">
      <c r="A15" s="7" t="s">
        <v>51</v>
      </c>
      <c r="B15" s="7">
        <f t="shared" si="4"/>
        <v>2011</v>
      </c>
      <c r="C15" s="73" t="s">
        <v>47</v>
      </c>
      <c r="D15" s="56">
        <v>315124</v>
      </c>
      <c r="E15" s="32">
        <f>SUM(D$5:D15)</f>
        <v>1984250</v>
      </c>
      <c r="F15" s="56"/>
      <c r="G15" s="56">
        <v>13398</v>
      </c>
      <c r="H15" s="30">
        <f>SUM(G$5:G15)</f>
        <v>54028.869999999995</v>
      </c>
      <c r="I15" s="56"/>
      <c r="J15" s="30">
        <f t="shared" si="1"/>
        <v>1930221.13</v>
      </c>
      <c r="L15" s="30">
        <f t="shared" si="3"/>
        <v>0</v>
      </c>
      <c r="M15" s="30">
        <f t="shared" si="3"/>
        <v>0</v>
      </c>
      <c r="N15" s="30">
        <f t="shared" si="3"/>
        <v>783.33333333333337</v>
      </c>
      <c r="O15" s="30">
        <f t="shared" si="3"/>
        <v>978.33333333333337</v>
      </c>
      <c r="P15" s="30">
        <f t="shared" si="3"/>
        <v>1250.4916666666666</v>
      </c>
      <c r="Q15" s="30">
        <f t="shared" si="3"/>
        <v>1146.125</v>
      </c>
      <c r="R15" s="30">
        <f t="shared" si="3"/>
        <v>1672.3333333333333</v>
      </c>
      <c r="S15" s="30">
        <f t="shared" si="3"/>
        <v>2357.7249999999999</v>
      </c>
      <c r="T15" s="30">
        <f t="shared" si="3"/>
        <v>2873.6416666666669</v>
      </c>
      <c r="U15" s="30">
        <f t="shared" si="3"/>
        <v>2847.4</v>
      </c>
      <c r="V15" s="30">
        <f>+$D15/120</f>
        <v>2626.0333333333333</v>
      </c>
      <c r="W15" s="30"/>
      <c r="X15" s="30"/>
      <c r="Y15" s="30"/>
      <c r="Z15" s="30"/>
      <c r="AA15" s="30"/>
      <c r="AB15" s="30">
        <f t="shared" si="2"/>
        <v>16535.416666666664</v>
      </c>
    </row>
    <row r="16" spans="1:28" s="126" customFormat="1" outlineLevel="1">
      <c r="A16" s="124" t="s">
        <v>52</v>
      </c>
      <c r="B16" s="124">
        <f t="shared" si="4"/>
        <v>2011</v>
      </c>
      <c r="C16" s="322" t="s">
        <v>47</v>
      </c>
      <c r="D16" s="60">
        <v>449646</v>
      </c>
      <c r="E16" s="36">
        <f>SUM(D$5:D16)</f>
        <v>2433896</v>
      </c>
      <c r="F16" s="60"/>
      <c r="G16" s="60">
        <v>17929</v>
      </c>
      <c r="H16" s="59">
        <f>SUM(G$5:G16)</f>
        <v>71957.87</v>
      </c>
      <c r="I16" s="60"/>
      <c r="J16" s="59">
        <f t="shared" si="1"/>
        <v>2361938.13</v>
      </c>
      <c r="L16" s="59">
        <f t="shared" si="3"/>
        <v>0</v>
      </c>
      <c r="M16" s="59">
        <f t="shared" si="3"/>
        <v>0</v>
      </c>
      <c r="N16" s="59">
        <f>+N15</f>
        <v>783.33333333333337</v>
      </c>
      <c r="O16" s="59">
        <f t="shared" si="3"/>
        <v>978.33333333333337</v>
      </c>
      <c r="P16" s="59">
        <f t="shared" si="3"/>
        <v>1250.4916666666666</v>
      </c>
      <c r="Q16" s="59">
        <f t="shared" si="3"/>
        <v>1146.125</v>
      </c>
      <c r="R16" s="59">
        <f t="shared" si="3"/>
        <v>1672.3333333333333</v>
      </c>
      <c r="S16" s="59">
        <f t="shared" si="3"/>
        <v>2357.7249999999999</v>
      </c>
      <c r="T16" s="59">
        <f t="shared" si="3"/>
        <v>2873.6416666666669</v>
      </c>
      <c r="U16" s="59">
        <f t="shared" si="3"/>
        <v>2847.4</v>
      </c>
      <c r="V16" s="59">
        <f t="shared" si="3"/>
        <v>2626.0333333333333</v>
      </c>
      <c r="W16" s="59">
        <f>+$D16/120</f>
        <v>3747.05</v>
      </c>
      <c r="X16" s="59"/>
      <c r="Y16" s="59"/>
      <c r="Z16" s="59"/>
      <c r="AA16" s="59"/>
      <c r="AB16" s="59">
        <f t="shared" si="2"/>
        <v>20282.466666666664</v>
      </c>
    </row>
    <row r="17" spans="1:28" outlineLevel="1">
      <c r="A17" s="7" t="s">
        <v>53</v>
      </c>
      <c r="B17" s="7">
        <f>+B5+1</f>
        <v>2012</v>
      </c>
      <c r="C17" s="73" t="s">
        <v>47</v>
      </c>
      <c r="D17" s="509">
        <f>727934.5</f>
        <v>727934.5</v>
      </c>
      <c r="E17" s="30">
        <f>SUM(D$5:D17)</f>
        <v>3161830.5</v>
      </c>
      <c r="F17" s="56"/>
      <c r="G17" s="56">
        <v>22509.09</v>
      </c>
      <c r="H17" s="30">
        <f>SUM(G$5:G17)</f>
        <v>94466.959999999992</v>
      </c>
      <c r="I17" s="56"/>
      <c r="J17" s="30">
        <f t="shared" si="1"/>
        <v>3067363.54</v>
      </c>
      <c r="L17" s="30">
        <f t="shared" si="3"/>
        <v>0</v>
      </c>
      <c r="M17" s="30">
        <f t="shared" si="3"/>
        <v>0</v>
      </c>
      <c r="N17" s="30">
        <f t="shared" si="3"/>
        <v>783.33333333333337</v>
      </c>
      <c r="O17" s="30">
        <f t="shared" si="3"/>
        <v>978.33333333333337</v>
      </c>
      <c r="P17" s="30">
        <f t="shared" si="3"/>
        <v>1250.4916666666666</v>
      </c>
      <c r="Q17" s="30">
        <f t="shared" si="3"/>
        <v>1146.125</v>
      </c>
      <c r="R17" s="30">
        <f t="shared" si="3"/>
        <v>1672.3333333333333</v>
      </c>
      <c r="S17" s="30">
        <f t="shared" si="3"/>
        <v>2357.7249999999999</v>
      </c>
      <c r="T17" s="30">
        <f t="shared" si="3"/>
        <v>2873.6416666666669</v>
      </c>
      <c r="U17" s="30">
        <f t="shared" si="3"/>
        <v>2847.4</v>
      </c>
      <c r="V17" s="30">
        <f t="shared" si="3"/>
        <v>2626.0333333333333</v>
      </c>
      <c r="W17" s="30">
        <f t="shared" si="3"/>
        <v>3747.05</v>
      </c>
      <c r="X17" s="30">
        <f>+$D17/120</f>
        <v>6066.1208333333334</v>
      </c>
      <c r="Y17" s="30"/>
      <c r="Z17" s="30"/>
      <c r="AA17" s="30"/>
      <c r="AB17" s="30">
        <f t="shared" si="2"/>
        <v>26348.587499999998</v>
      </c>
    </row>
    <row r="18" spans="1:28" s="4" customFormat="1" outlineLevel="1">
      <c r="A18" s="29" t="s">
        <v>54</v>
      </c>
      <c r="B18" s="29">
        <f t="shared" ref="B18:B81" si="5">+B6+1</f>
        <v>2012</v>
      </c>
      <c r="C18" s="73" t="s">
        <v>47</v>
      </c>
      <c r="D18" s="510">
        <f>562839-12000</f>
        <v>550839</v>
      </c>
      <c r="E18" s="31">
        <f>SUM(D$5:D18)</f>
        <v>3712669.5</v>
      </c>
      <c r="F18" s="56"/>
      <c r="G18" s="507">
        <f>39377.74-12000</f>
        <v>27377.739999999998</v>
      </c>
      <c r="H18" s="31">
        <f>SUM(G$5:G18)</f>
        <v>121844.69999999998</v>
      </c>
      <c r="I18" s="56"/>
      <c r="J18" s="31">
        <f t="shared" si="1"/>
        <v>3590824.8</v>
      </c>
      <c r="L18" s="31">
        <f t="shared" si="3"/>
        <v>0</v>
      </c>
      <c r="M18" s="31">
        <f t="shared" si="3"/>
        <v>0</v>
      </c>
      <c r="N18" s="31">
        <f t="shared" si="3"/>
        <v>783.33333333333337</v>
      </c>
      <c r="O18" s="31">
        <f t="shared" si="3"/>
        <v>978.33333333333337</v>
      </c>
      <c r="P18" s="31">
        <f t="shared" si="3"/>
        <v>1250.4916666666666</v>
      </c>
      <c r="Q18" s="31">
        <f t="shared" si="3"/>
        <v>1146.125</v>
      </c>
      <c r="R18" s="31">
        <f t="shared" si="3"/>
        <v>1672.3333333333333</v>
      </c>
      <c r="S18" s="31">
        <f t="shared" si="3"/>
        <v>2357.7249999999999</v>
      </c>
      <c r="T18" s="31">
        <f t="shared" si="3"/>
        <v>2873.6416666666669</v>
      </c>
      <c r="U18" s="31">
        <f t="shared" si="3"/>
        <v>2847.4</v>
      </c>
      <c r="V18" s="31">
        <f t="shared" si="3"/>
        <v>2626.0333333333333</v>
      </c>
      <c r="W18" s="31">
        <f t="shared" si="3"/>
        <v>3747.05</v>
      </c>
      <c r="X18" s="31">
        <f t="shared" si="3"/>
        <v>6066.1208333333334</v>
      </c>
      <c r="Y18" s="31">
        <f>+$D18/120</f>
        <v>4590.3249999999998</v>
      </c>
      <c r="Z18" s="31"/>
      <c r="AA18" s="31"/>
      <c r="AB18" s="31">
        <f t="shared" si="2"/>
        <v>30938.912499999999</v>
      </c>
    </row>
    <row r="19" spans="1:28" outlineLevel="1">
      <c r="A19" s="7" t="s">
        <v>55</v>
      </c>
      <c r="B19" s="7">
        <f t="shared" si="5"/>
        <v>2012</v>
      </c>
      <c r="C19" s="73" t="s">
        <v>47</v>
      </c>
      <c r="D19" s="56">
        <v>585916.19999999995</v>
      </c>
      <c r="E19" s="30">
        <f>SUM(D$5:D19)</f>
        <v>4298585.7</v>
      </c>
      <c r="F19" s="56"/>
      <c r="G19" s="508">
        <v>34922.949999999997</v>
      </c>
      <c r="H19" s="30">
        <f>SUM(G$5:G19)</f>
        <v>156767.64999999997</v>
      </c>
      <c r="I19" s="56"/>
      <c r="J19" s="30">
        <f t="shared" si="1"/>
        <v>4141818.0500000003</v>
      </c>
      <c r="L19" s="30">
        <f t="shared" si="3"/>
        <v>0</v>
      </c>
      <c r="M19" s="30">
        <f t="shared" si="3"/>
        <v>0</v>
      </c>
      <c r="N19" s="30">
        <f t="shared" si="3"/>
        <v>783.33333333333337</v>
      </c>
      <c r="O19" s="30">
        <f t="shared" si="3"/>
        <v>978.33333333333337</v>
      </c>
      <c r="P19" s="30">
        <f t="shared" si="3"/>
        <v>1250.4916666666666</v>
      </c>
      <c r="Q19" s="30">
        <f t="shared" si="3"/>
        <v>1146.125</v>
      </c>
      <c r="R19" s="30">
        <f t="shared" si="3"/>
        <v>1672.3333333333333</v>
      </c>
      <c r="S19" s="30">
        <f t="shared" si="3"/>
        <v>2357.7249999999999</v>
      </c>
      <c r="T19" s="30">
        <f t="shared" si="3"/>
        <v>2873.6416666666669</v>
      </c>
      <c r="U19" s="30">
        <f t="shared" si="3"/>
        <v>2847.4</v>
      </c>
      <c r="V19" s="30">
        <f t="shared" si="3"/>
        <v>2626.0333333333333</v>
      </c>
      <c r="W19" s="30">
        <f t="shared" si="3"/>
        <v>3747.05</v>
      </c>
      <c r="X19" s="30">
        <f t="shared" si="3"/>
        <v>6066.1208333333334</v>
      </c>
      <c r="Y19" s="30">
        <f t="shared" si="3"/>
        <v>4590.3249999999998</v>
      </c>
      <c r="Z19" s="30">
        <f>+$D19/120</f>
        <v>4882.6349999999993</v>
      </c>
      <c r="AA19" s="30"/>
      <c r="AB19" s="30">
        <f t="shared" si="2"/>
        <v>35821.547500000001</v>
      </c>
    </row>
    <row r="20" spans="1:28" outlineLevel="1">
      <c r="A20" s="7" t="s">
        <v>56</v>
      </c>
      <c r="B20" s="7">
        <f t="shared" si="5"/>
        <v>2012</v>
      </c>
      <c r="C20" s="73" t="s">
        <v>47</v>
      </c>
      <c r="D20" s="56">
        <v>0</v>
      </c>
      <c r="E20" s="30">
        <f>SUM(D$5:D20)</f>
        <v>4298585.7</v>
      </c>
      <c r="F20" s="56"/>
      <c r="G20" s="56">
        <v>33902.730000000003</v>
      </c>
      <c r="H20" s="30">
        <f>SUM(G$5:G20)</f>
        <v>190670.37999999998</v>
      </c>
      <c r="I20" s="56"/>
      <c r="J20" s="30">
        <f t="shared" si="1"/>
        <v>4107915.3200000003</v>
      </c>
      <c r="L20" s="30">
        <f t="shared" si="3"/>
        <v>0</v>
      </c>
      <c r="M20" s="30">
        <f t="shared" si="3"/>
        <v>0</v>
      </c>
      <c r="N20" s="30">
        <f t="shared" si="3"/>
        <v>783.33333333333337</v>
      </c>
      <c r="O20" s="30">
        <f t="shared" si="3"/>
        <v>978.33333333333337</v>
      </c>
      <c r="P20" s="30">
        <f t="shared" si="3"/>
        <v>1250.4916666666666</v>
      </c>
      <c r="Q20" s="30">
        <f t="shared" si="3"/>
        <v>1146.125</v>
      </c>
      <c r="R20" s="30">
        <f t="shared" si="3"/>
        <v>1672.3333333333333</v>
      </c>
      <c r="S20" s="30">
        <f t="shared" si="3"/>
        <v>2357.7249999999999</v>
      </c>
      <c r="T20" s="30">
        <f t="shared" si="3"/>
        <v>2873.6416666666669</v>
      </c>
      <c r="U20" s="30">
        <f t="shared" si="3"/>
        <v>2847.4</v>
      </c>
      <c r="V20" s="30">
        <f t="shared" si="3"/>
        <v>2626.0333333333333</v>
      </c>
      <c r="W20" s="30">
        <f t="shared" si="3"/>
        <v>3747.05</v>
      </c>
      <c r="X20" s="30">
        <f t="shared" si="3"/>
        <v>6066.1208333333334</v>
      </c>
      <c r="Y20" s="30">
        <f t="shared" si="3"/>
        <v>4590.3249999999998</v>
      </c>
      <c r="Z20" s="30">
        <f t="shared" si="3"/>
        <v>4882.6349999999993</v>
      </c>
      <c r="AA20" s="30">
        <f>+$D20/120</f>
        <v>0</v>
      </c>
      <c r="AB20" s="30">
        <f t="shared" si="2"/>
        <v>35821.547500000001</v>
      </c>
    </row>
    <row r="21" spans="1:28" outlineLevel="1">
      <c r="A21" s="7" t="s">
        <v>57</v>
      </c>
      <c r="B21" s="7">
        <f t="shared" si="5"/>
        <v>2012</v>
      </c>
      <c r="C21" s="73" t="s">
        <v>47</v>
      </c>
      <c r="D21" s="56"/>
      <c r="E21" s="30">
        <f>SUM(D$5:D21)</f>
        <v>4298585.7</v>
      </c>
      <c r="F21" s="56"/>
      <c r="G21" s="56">
        <v>37598.839999999997</v>
      </c>
      <c r="H21" s="30">
        <f>SUM(G$5:G21)</f>
        <v>228269.21999999997</v>
      </c>
      <c r="I21" s="56"/>
      <c r="J21" s="30">
        <f t="shared" si="1"/>
        <v>4070316.4800000004</v>
      </c>
      <c r="L21" s="30">
        <f t="shared" si="3"/>
        <v>0</v>
      </c>
      <c r="M21" s="30">
        <f t="shared" si="3"/>
        <v>0</v>
      </c>
      <c r="N21" s="30">
        <f t="shared" si="3"/>
        <v>783.33333333333337</v>
      </c>
      <c r="O21" s="30">
        <f t="shared" si="3"/>
        <v>978.33333333333337</v>
      </c>
      <c r="P21" s="30">
        <f t="shared" si="3"/>
        <v>1250.4916666666666</v>
      </c>
      <c r="Q21" s="30">
        <f t="shared" si="3"/>
        <v>1146.125</v>
      </c>
      <c r="R21" s="30">
        <f t="shared" si="3"/>
        <v>1672.3333333333333</v>
      </c>
      <c r="S21" s="30">
        <f t="shared" si="3"/>
        <v>2357.7249999999999</v>
      </c>
      <c r="T21" s="30">
        <f t="shared" si="3"/>
        <v>2873.6416666666669</v>
      </c>
      <c r="U21" s="30">
        <f t="shared" si="3"/>
        <v>2847.4</v>
      </c>
      <c r="V21" s="30">
        <f t="shared" si="3"/>
        <v>2626.0333333333333</v>
      </c>
      <c r="W21" s="30">
        <f t="shared" si="3"/>
        <v>3747.05</v>
      </c>
      <c r="X21" s="30">
        <f t="shared" si="3"/>
        <v>6066.1208333333334</v>
      </c>
      <c r="Y21" s="30">
        <f t="shared" si="3"/>
        <v>4590.3249999999998</v>
      </c>
      <c r="Z21" s="30">
        <f t="shared" si="3"/>
        <v>4882.6349999999993</v>
      </c>
      <c r="AA21" s="30">
        <f t="shared" si="3"/>
        <v>0</v>
      </c>
      <c r="AB21" s="30">
        <f t="shared" si="2"/>
        <v>35821.547500000001</v>
      </c>
    </row>
    <row r="22" spans="1:28" outlineLevel="1">
      <c r="A22" s="7" t="s">
        <v>58</v>
      </c>
      <c r="B22" s="7">
        <f t="shared" si="5"/>
        <v>2012</v>
      </c>
      <c r="C22" s="73" t="s">
        <v>47</v>
      </c>
      <c r="D22" s="56"/>
      <c r="E22" s="30">
        <f>SUM(D$5:D22)</f>
        <v>4298585.7</v>
      </c>
      <c r="F22" s="56"/>
      <c r="G22" s="56">
        <v>40347.64</v>
      </c>
      <c r="H22" s="30">
        <f>SUM(G$5:G22)</f>
        <v>268616.86</v>
      </c>
      <c r="I22" s="56"/>
      <c r="J22" s="30">
        <f t="shared" si="1"/>
        <v>4029968.8400000003</v>
      </c>
      <c r="L22" s="30">
        <f t="shared" si="3"/>
        <v>0</v>
      </c>
      <c r="M22" s="30">
        <f t="shared" si="3"/>
        <v>0</v>
      </c>
      <c r="N22" s="30">
        <f t="shared" si="3"/>
        <v>783.33333333333337</v>
      </c>
      <c r="O22" s="30">
        <f t="shared" si="3"/>
        <v>978.33333333333337</v>
      </c>
      <c r="P22" s="30">
        <f t="shared" si="3"/>
        <v>1250.4916666666666</v>
      </c>
      <c r="Q22" s="30">
        <f t="shared" si="3"/>
        <v>1146.125</v>
      </c>
      <c r="R22" s="30">
        <f t="shared" si="3"/>
        <v>1672.3333333333333</v>
      </c>
      <c r="S22" s="30">
        <f t="shared" si="3"/>
        <v>2357.7249999999999</v>
      </c>
      <c r="T22" s="30">
        <f t="shared" si="3"/>
        <v>2873.6416666666669</v>
      </c>
      <c r="U22" s="30">
        <f t="shared" si="3"/>
        <v>2847.4</v>
      </c>
      <c r="V22" s="30">
        <f t="shared" si="3"/>
        <v>2626.0333333333333</v>
      </c>
      <c r="W22" s="30">
        <f t="shared" si="3"/>
        <v>3747.05</v>
      </c>
      <c r="X22" s="30">
        <f t="shared" si="3"/>
        <v>6066.1208333333334</v>
      </c>
      <c r="Y22" s="30">
        <f t="shared" si="3"/>
        <v>4590.3249999999998</v>
      </c>
      <c r="Z22" s="30">
        <f t="shared" si="3"/>
        <v>4882.6349999999993</v>
      </c>
      <c r="AA22" s="30">
        <f t="shared" si="3"/>
        <v>0</v>
      </c>
      <c r="AB22" s="30">
        <f t="shared" si="2"/>
        <v>35821.547500000001</v>
      </c>
    </row>
    <row r="23" spans="1:28" outlineLevel="1">
      <c r="A23" s="7" t="s">
        <v>59</v>
      </c>
      <c r="B23" s="7">
        <f t="shared" si="5"/>
        <v>2012</v>
      </c>
      <c r="C23" s="73" t="s">
        <v>47</v>
      </c>
      <c r="D23" s="56"/>
      <c r="E23" s="30">
        <f>SUM(D$5:D23)</f>
        <v>4298585.7</v>
      </c>
      <c r="F23" s="56"/>
      <c r="G23" s="56">
        <v>54261.03</v>
      </c>
      <c r="H23" s="30">
        <f>SUM(G$5:G23)</f>
        <v>322877.89</v>
      </c>
      <c r="I23" s="56"/>
      <c r="J23" s="30">
        <f t="shared" si="1"/>
        <v>3975707.81</v>
      </c>
      <c r="L23" s="30">
        <f t="shared" ref="L23:AA37" si="6">+L22</f>
        <v>0</v>
      </c>
      <c r="M23" s="30">
        <f t="shared" si="6"/>
        <v>0</v>
      </c>
      <c r="N23" s="30">
        <f t="shared" si="6"/>
        <v>783.33333333333337</v>
      </c>
      <c r="O23" s="30">
        <f t="shared" si="6"/>
        <v>978.33333333333337</v>
      </c>
      <c r="P23" s="30">
        <f t="shared" si="6"/>
        <v>1250.4916666666666</v>
      </c>
      <c r="Q23" s="30">
        <f t="shared" si="6"/>
        <v>1146.125</v>
      </c>
      <c r="R23" s="30">
        <f t="shared" si="6"/>
        <v>1672.3333333333333</v>
      </c>
      <c r="S23" s="30">
        <f t="shared" si="6"/>
        <v>2357.7249999999999</v>
      </c>
      <c r="T23" s="30">
        <f t="shared" si="6"/>
        <v>2873.6416666666669</v>
      </c>
      <c r="U23" s="30">
        <f t="shared" si="6"/>
        <v>2847.4</v>
      </c>
      <c r="V23" s="30">
        <f t="shared" si="6"/>
        <v>2626.0333333333333</v>
      </c>
      <c r="W23" s="30">
        <f t="shared" si="6"/>
        <v>3747.05</v>
      </c>
      <c r="X23" s="30">
        <f t="shared" si="6"/>
        <v>6066.1208333333334</v>
      </c>
      <c r="Y23" s="30">
        <f t="shared" si="6"/>
        <v>4590.3249999999998</v>
      </c>
      <c r="Z23" s="30">
        <f t="shared" si="6"/>
        <v>4882.6349999999993</v>
      </c>
      <c r="AA23" s="30">
        <f t="shared" si="6"/>
        <v>0</v>
      </c>
      <c r="AB23" s="30">
        <f t="shared" si="2"/>
        <v>35821.547500000001</v>
      </c>
    </row>
    <row r="24" spans="1:28" outlineLevel="1">
      <c r="A24" s="7" t="s">
        <v>46</v>
      </c>
      <c r="B24" s="7">
        <f t="shared" si="5"/>
        <v>2012</v>
      </c>
      <c r="C24" s="73" t="s">
        <v>47</v>
      </c>
      <c r="D24" s="56"/>
      <c r="E24" s="30">
        <f>SUM(D$5:D24)</f>
        <v>4298585.7</v>
      </c>
      <c r="F24" s="56"/>
      <c r="G24" s="56">
        <f>52910.83-9583.3</f>
        <v>43327.53</v>
      </c>
      <c r="H24" s="30">
        <f>SUM(G$5:G24)</f>
        <v>366205.42000000004</v>
      </c>
      <c r="I24" s="56"/>
      <c r="J24" s="30">
        <f t="shared" si="1"/>
        <v>3932380.2800000003</v>
      </c>
      <c r="L24" s="30">
        <f t="shared" si="6"/>
        <v>0</v>
      </c>
      <c r="M24" s="30">
        <f t="shared" si="6"/>
        <v>0</v>
      </c>
      <c r="N24" s="30">
        <f t="shared" si="6"/>
        <v>783.33333333333337</v>
      </c>
      <c r="O24" s="30">
        <f t="shared" si="6"/>
        <v>978.33333333333337</v>
      </c>
      <c r="P24" s="30">
        <f t="shared" si="6"/>
        <v>1250.4916666666666</v>
      </c>
      <c r="Q24" s="30">
        <f t="shared" si="6"/>
        <v>1146.125</v>
      </c>
      <c r="R24" s="30">
        <f t="shared" si="6"/>
        <v>1672.3333333333333</v>
      </c>
      <c r="S24" s="30">
        <f t="shared" si="6"/>
        <v>2357.7249999999999</v>
      </c>
      <c r="T24" s="30">
        <f t="shared" si="6"/>
        <v>2873.6416666666669</v>
      </c>
      <c r="U24" s="30">
        <f t="shared" si="6"/>
        <v>2847.4</v>
      </c>
      <c r="V24" s="30">
        <f t="shared" si="6"/>
        <v>2626.0333333333333</v>
      </c>
      <c r="W24" s="30">
        <f t="shared" si="6"/>
        <v>3747.05</v>
      </c>
      <c r="X24" s="30">
        <f t="shared" si="6"/>
        <v>6066.1208333333334</v>
      </c>
      <c r="Y24" s="30">
        <f t="shared" si="6"/>
        <v>4590.3249999999998</v>
      </c>
      <c r="Z24" s="30">
        <f t="shared" si="6"/>
        <v>4882.6349999999993</v>
      </c>
      <c r="AA24" s="30">
        <f t="shared" si="6"/>
        <v>0</v>
      </c>
      <c r="AB24" s="30">
        <f t="shared" si="2"/>
        <v>35821.547500000001</v>
      </c>
    </row>
    <row r="25" spans="1:28" outlineLevel="1">
      <c r="A25" s="7" t="s">
        <v>48</v>
      </c>
      <c r="B25" s="7">
        <f t="shared" si="5"/>
        <v>2012</v>
      </c>
      <c r="C25" s="73" t="s">
        <v>47</v>
      </c>
      <c r="D25" s="56"/>
      <c r="E25" s="30">
        <f>SUM(D$5:D25)</f>
        <v>4298585.7</v>
      </c>
      <c r="F25" s="56"/>
      <c r="G25" s="462">
        <f>45361.73-305.02</f>
        <v>45056.710000000006</v>
      </c>
      <c r="H25" s="30">
        <f>SUM(G$5:G25)</f>
        <v>411262.13000000006</v>
      </c>
      <c r="I25" s="56"/>
      <c r="J25" s="30">
        <f t="shared" si="1"/>
        <v>3887323.5700000003</v>
      </c>
      <c r="L25" s="30">
        <f t="shared" si="6"/>
        <v>0</v>
      </c>
      <c r="M25" s="30">
        <f t="shared" si="6"/>
        <v>0</v>
      </c>
      <c r="N25" s="30">
        <f t="shared" si="6"/>
        <v>783.33333333333337</v>
      </c>
      <c r="O25" s="30">
        <f t="shared" si="6"/>
        <v>978.33333333333337</v>
      </c>
      <c r="P25" s="30">
        <f t="shared" si="6"/>
        <v>1250.4916666666666</v>
      </c>
      <c r="Q25" s="30">
        <f t="shared" si="6"/>
        <v>1146.125</v>
      </c>
      <c r="R25" s="30">
        <f t="shared" si="6"/>
        <v>1672.3333333333333</v>
      </c>
      <c r="S25" s="30">
        <f t="shared" si="6"/>
        <v>2357.7249999999999</v>
      </c>
      <c r="T25" s="30">
        <f t="shared" si="6"/>
        <v>2873.6416666666669</v>
      </c>
      <c r="U25" s="30">
        <f t="shared" si="6"/>
        <v>2847.4</v>
      </c>
      <c r="V25" s="30">
        <f t="shared" si="6"/>
        <v>2626.0333333333333</v>
      </c>
      <c r="W25" s="30">
        <f t="shared" si="6"/>
        <v>3747.05</v>
      </c>
      <c r="X25" s="30">
        <f t="shared" si="6"/>
        <v>6066.1208333333334</v>
      </c>
      <c r="Y25" s="30">
        <f t="shared" si="6"/>
        <v>4590.3249999999998</v>
      </c>
      <c r="Z25" s="30">
        <f t="shared" si="6"/>
        <v>4882.6349999999993</v>
      </c>
      <c r="AA25" s="30">
        <f t="shared" si="6"/>
        <v>0</v>
      </c>
      <c r="AB25" s="30">
        <f t="shared" si="2"/>
        <v>35821.547500000001</v>
      </c>
    </row>
    <row r="26" spans="1:28" outlineLevel="1">
      <c r="A26" s="7" t="s">
        <v>50</v>
      </c>
      <c r="B26" s="7">
        <f t="shared" si="5"/>
        <v>2012</v>
      </c>
      <c r="C26" s="73" t="s">
        <v>47</v>
      </c>
      <c r="D26" s="56"/>
      <c r="E26" s="30">
        <f>SUM(D$5:D26)</f>
        <v>4298585.7</v>
      </c>
      <c r="F26" s="56"/>
      <c r="G26" s="462">
        <f>40292.55-1409.26</f>
        <v>38883.29</v>
      </c>
      <c r="H26" s="30">
        <f>SUM(G$5:G26)</f>
        <v>450145.42000000004</v>
      </c>
      <c r="I26" s="56"/>
      <c r="J26" s="30">
        <f t="shared" si="1"/>
        <v>3848440.2800000003</v>
      </c>
      <c r="L26" s="30">
        <f t="shared" si="6"/>
        <v>0</v>
      </c>
      <c r="M26" s="30">
        <f t="shared" si="6"/>
        <v>0</v>
      </c>
      <c r="N26" s="30">
        <f t="shared" si="6"/>
        <v>783.33333333333337</v>
      </c>
      <c r="O26" s="30">
        <f t="shared" si="6"/>
        <v>978.33333333333337</v>
      </c>
      <c r="P26" s="30">
        <f t="shared" si="6"/>
        <v>1250.4916666666666</v>
      </c>
      <c r="Q26" s="30">
        <f t="shared" si="6"/>
        <v>1146.125</v>
      </c>
      <c r="R26" s="30">
        <f t="shared" si="6"/>
        <v>1672.3333333333333</v>
      </c>
      <c r="S26" s="30">
        <f t="shared" si="6"/>
        <v>2357.7249999999999</v>
      </c>
      <c r="T26" s="30">
        <f t="shared" si="6"/>
        <v>2873.6416666666669</v>
      </c>
      <c r="U26" s="30">
        <f t="shared" si="6"/>
        <v>2847.4</v>
      </c>
      <c r="V26" s="30">
        <f t="shared" si="6"/>
        <v>2626.0333333333333</v>
      </c>
      <c r="W26" s="30">
        <f t="shared" si="6"/>
        <v>3747.05</v>
      </c>
      <c r="X26" s="30">
        <f t="shared" si="6"/>
        <v>6066.1208333333334</v>
      </c>
      <c r="Y26" s="30">
        <f t="shared" si="6"/>
        <v>4590.3249999999998</v>
      </c>
      <c r="Z26" s="30">
        <f t="shared" si="6"/>
        <v>4882.6349999999993</v>
      </c>
      <c r="AA26" s="30">
        <f t="shared" si="6"/>
        <v>0</v>
      </c>
      <c r="AB26" s="30">
        <f t="shared" si="2"/>
        <v>35821.547500000001</v>
      </c>
    </row>
    <row r="27" spans="1:28" outlineLevel="1">
      <c r="A27" s="7" t="s">
        <v>51</v>
      </c>
      <c r="B27" s="7">
        <f t="shared" si="5"/>
        <v>2012</v>
      </c>
      <c r="C27" s="73" t="s">
        <v>47</v>
      </c>
      <c r="D27" s="56"/>
      <c r="E27" s="30">
        <f>SUM(D$5:D27)</f>
        <v>4298585.7</v>
      </c>
      <c r="F27" s="56"/>
      <c r="G27" s="462">
        <f>33716.13-2555.21</f>
        <v>31160.92</v>
      </c>
      <c r="H27" s="30">
        <f>SUM(G$5:G27)</f>
        <v>481306.34</v>
      </c>
      <c r="I27" s="56"/>
      <c r="J27" s="30">
        <f t="shared" si="1"/>
        <v>3817279.3600000003</v>
      </c>
      <c r="L27" s="30">
        <f t="shared" si="6"/>
        <v>0</v>
      </c>
      <c r="M27" s="30">
        <f t="shared" si="6"/>
        <v>0</v>
      </c>
      <c r="N27" s="30">
        <f t="shared" si="6"/>
        <v>783.33333333333337</v>
      </c>
      <c r="O27" s="30">
        <f t="shared" si="6"/>
        <v>978.33333333333337</v>
      </c>
      <c r="P27" s="30">
        <f t="shared" si="6"/>
        <v>1250.4916666666666</v>
      </c>
      <c r="Q27" s="30">
        <f t="shared" si="6"/>
        <v>1146.125</v>
      </c>
      <c r="R27" s="30">
        <f t="shared" si="6"/>
        <v>1672.3333333333333</v>
      </c>
      <c r="S27" s="30">
        <f t="shared" si="6"/>
        <v>2357.7249999999999</v>
      </c>
      <c r="T27" s="30">
        <f t="shared" si="6"/>
        <v>2873.6416666666669</v>
      </c>
      <c r="U27" s="30">
        <f t="shared" si="6"/>
        <v>2847.4</v>
      </c>
      <c r="V27" s="30">
        <f t="shared" si="6"/>
        <v>2626.0333333333333</v>
      </c>
      <c r="W27" s="30">
        <f t="shared" si="6"/>
        <v>3747.05</v>
      </c>
      <c r="X27" s="30">
        <f t="shared" si="6"/>
        <v>6066.1208333333334</v>
      </c>
      <c r="Y27" s="30">
        <f t="shared" si="6"/>
        <v>4590.3249999999998</v>
      </c>
      <c r="Z27" s="30">
        <f t="shared" si="6"/>
        <v>4882.6349999999993</v>
      </c>
      <c r="AA27" s="30">
        <f t="shared" si="6"/>
        <v>0</v>
      </c>
      <c r="AB27" s="30">
        <f t="shared" si="2"/>
        <v>35821.547500000001</v>
      </c>
    </row>
    <row r="28" spans="1:28" s="126" customFormat="1" outlineLevel="1">
      <c r="A28" s="124" t="s">
        <v>52</v>
      </c>
      <c r="B28" s="124">
        <f t="shared" si="5"/>
        <v>2012</v>
      </c>
      <c r="C28" s="322" t="s">
        <v>47</v>
      </c>
      <c r="D28" s="60"/>
      <c r="E28" s="59">
        <f>SUM(D$5:D28)</f>
        <v>4298585.7</v>
      </c>
      <c r="F28" s="60"/>
      <c r="G28" s="463">
        <f>37190.16-3556.07</f>
        <v>33634.090000000004</v>
      </c>
      <c r="H28" s="59">
        <f>SUM(G$5:G28)</f>
        <v>514940.43000000005</v>
      </c>
      <c r="I28" s="60"/>
      <c r="J28" s="59">
        <f>+E28-H28</f>
        <v>3783645.27</v>
      </c>
      <c r="L28" s="36">
        <f t="shared" si="6"/>
        <v>0</v>
      </c>
      <c r="M28" s="36">
        <f t="shared" si="6"/>
        <v>0</v>
      </c>
      <c r="N28" s="36">
        <f t="shared" si="6"/>
        <v>783.33333333333337</v>
      </c>
      <c r="O28" s="36">
        <f t="shared" si="6"/>
        <v>978.33333333333337</v>
      </c>
      <c r="P28" s="36">
        <f t="shared" si="6"/>
        <v>1250.4916666666666</v>
      </c>
      <c r="Q28" s="36">
        <f t="shared" si="6"/>
        <v>1146.125</v>
      </c>
      <c r="R28" s="36">
        <f t="shared" si="6"/>
        <v>1672.3333333333333</v>
      </c>
      <c r="S28" s="36">
        <f t="shared" si="6"/>
        <v>2357.7249999999999</v>
      </c>
      <c r="T28" s="36">
        <f t="shared" si="6"/>
        <v>2873.6416666666669</v>
      </c>
      <c r="U28" s="36">
        <f t="shared" si="6"/>
        <v>2847.4</v>
      </c>
      <c r="V28" s="36">
        <f t="shared" si="6"/>
        <v>2626.0333333333333</v>
      </c>
      <c r="W28" s="36">
        <f t="shared" si="6"/>
        <v>3747.05</v>
      </c>
      <c r="X28" s="36">
        <f t="shared" si="6"/>
        <v>6066.1208333333334</v>
      </c>
      <c r="Y28" s="36">
        <f t="shared" si="6"/>
        <v>4590.3249999999998</v>
      </c>
      <c r="Z28" s="36">
        <f t="shared" si="6"/>
        <v>4882.6349999999993</v>
      </c>
      <c r="AA28" s="36">
        <f t="shared" si="6"/>
        <v>0</v>
      </c>
      <c r="AB28" s="36">
        <f t="shared" si="2"/>
        <v>35821.547500000001</v>
      </c>
    </row>
    <row r="29" spans="1:28" outlineLevel="1">
      <c r="A29" s="7" t="s">
        <v>53</v>
      </c>
      <c r="B29" s="7">
        <f t="shared" si="5"/>
        <v>2013</v>
      </c>
      <c r="C29" s="33" t="s">
        <v>47</v>
      </c>
      <c r="D29" s="56"/>
      <c r="E29" s="30">
        <f>SUM(D$5:D29)</f>
        <v>4298585.7</v>
      </c>
      <c r="F29" s="56"/>
      <c r="G29" s="462">
        <f>59581.97-8056.49</f>
        <v>51525.48</v>
      </c>
      <c r="H29" s="30">
        <f>SUM(G$5:G29)</f>
        <v>566465.91</v>
      </c>
      <c r="I29" s="56"/>
      <c r="J29" s="30">
        <f t="shared" si="1"/>
        <v>3732119.79</v>
      </c>
      <c r="L29" s="30">
        <f t="shared" si="6"/>
        <v>0</v>
      </c>
      <c r="M29" s="30">
        <f t="shared" si="6"/>
        <v>0</v>
      </c>
      <c r="N29" s="30">
        <f t="shared" si="6"/>
        <v>783.33333333333337</v>
      </c>
      <c r="O29" s="30">
        <f t="shared" si="6"/>
        <v>978.33333333333337</v>
      </c>
      <c r="P29" s="30">
        <f t="shared" si="6"/>
        <v>1250.4916666666666</v>
      </c>
      <c r="Q29" s="30">
        <f t="shared" si="6"/>
        <v>1146.125</v>
      </c>
      <c r="R29" s="30">
        <f t="shared" si="6"/>
        <v>1672.3333333333333</v>
      </c>
      <c r="S29" s="30">
        <f t="shared" si="6"/>
        <v>2357.7249999999999</v>
      </c>
      <c r="T29" s="30">
        <f t="shared" si="6"/>
        <v>2873.6416666666669</v>
      </c>
      <c r="U29" s="30">
        <f t="shared" si="6"/>
        <v>2847.4</v>
      </c>
      <c r="V29" s="30">
        <f t="shared" si="6"/>
        <v>2626.0333333333333</v>
      </c>
      <c r="W29" s="30">
        <f t="shared" si="6"/>
        <v>3747.05</v>
      </c>
      <c r="X29" s="30">
        <f t="shared" si="6"/>
        <v>6066.1208333333334</v>
      </c>
      <c r="Y29" s="30">
        <f t="shared" si="6"/>
        <v>4590.3249999999998</v>
      </c>
      <c r="Z29" s="30">
        <f t="shared" si="6"/>
        <v>4882.6349999999993</v>
      </c>
      <c r="AA29" s="30">
        <f t="shared" si="6"/>
        <v>0</v>
      </c>
      <c r="AB29" s="30">
        <f t="shared" si="2"/>
        <v>35821.547500000001</v>
      </c>
    </row>
    <row r="30" spans="1:28" s="4" customFormat="1" outlineLevel="1">
      <c r="A30" s="29" t="s">
        <v>54</v>
      </c>
      <c r="B30" s="29">
        <f t="shared" si="5"/>
        <v>2013</v>
      </c>
      <c r="C30" s="33" t="s">
        <v>47</v>
      </c>
      <c r="D30" s="56"/>
      <c r="E30" s="30">
        <f>SUM(D$5:D30)</f>
        <v>4298585.7</v>
      </c>
      <c r="F30" s="56"/>
      <c r="G30" s="462">
        <f>41212.39-9146.29</f>
        <v>32066.1</v>
      </c>
      <c r="H30" s="31">
        <f>SUM(G$5:G30)</f>
        <v>598532.01</v>
      </c>
      <c r="I30" s="56"/>
      <c r="J30" s="31">
        <f t="shared" si="1"/>
        <v>3700053.6900000004</v>
      </c>
      <c r="L30" s="31">
        <f t="shared" si="6"/>
        <v>0</v>
      </c>
      <c r="M30" s="31">
        <f t="shared" si="6"/>
        <v>0</v>
      </c>
      <c r="N30" s="31">
        <f t="shared" si="6"/>
        <v>783.33333333333337</v>
      </c>
      <c r="O30" s="31">
        <f t="shared" si="6"/>
        <v>978.33333333333337</v>
      </c>
      <c r="P30" s="31">
        <f t="shared" si="6"/>
        <v>1250.4916666666666</v>
      </c>
      <c r="Q30" s="31">
        <f t="shared" si="6"/>
        <v>1146.125</v>
      </c>
      <c r="R30" s="31">
        <f t="shared" si="6"/>
        <v>1672.3333333333333</v>
      </c>
      <c r="S30" s="31">
        <f t="shared" si="6"/>
        <v>2357.7249999999999</v>
      </c>
      <c r="T30" s="31">
        <f t="shared" si="6"/>
        <v>2873.6416666666669</v>
      </c>
      <c r="U30" s="31">
        <f t="shared" si="6"/>
        <v>2847.4</v>
      </c>
      <c r="V30" s="31">
        <f t="shared" si="6"/>
        <v>2626.0333333333333</v>
      </c>
      <c r="W30" s="31">
        <f t="shared" si="6"/>
        <v>3747.05</v>
      </c>
      <c r="X30" s="31">
        <f t="shared" si="6"/>
        <v>6066.1208333333334</v>
      </c>
      <c r="Y30" s="31">
        <f t="shared" si="6"/>
        <v>4590.3249999999998</v>
      </c>
      <c r="Z30" s="31">
        <f t="shared" si="6"/>
        <v>4882.6349999999993</v>
      </c>
      <c r="AA30" s="31">
        <f t="shared" si="6"/>
        <v>0</v>
      </c>
      <c r="AB30" s="31">
        <f t="shared" si="2"/>
        <v>35821.547500000001</v>
      </c>
    </row>
    <row r="31" spans="1:28" outlineLevel="1">
      <c r="A31" s="7" t="s">
        <v>55</v>
      </c>
      <c r="B31" s="7">
        <f t="shared" si="5"/>
        <v>2013</v>
      </c>
      <c r="C31" s="33" t="s">
        <v>47</v>
      </c>
      <c r="D31" s="56"/>
      <c r="E31" s="30">
        <f>SUM(D$5:D31)</f>
        <v>4298585.7</v>
      </c>
      <c r="F31" s="56"/>
      <c r="G31" s="462">
        <f>53982.02-19647.32</f>
        <v>34334.699999999997</v>
      </c>
      <c r="H31" s="30">
        <f>SUM(G$5:G31)</f>
        <v>632866.71</v>
      </c>
      <c r="I31" s="56"/>
      <c r="J31" s="30">
        <f>+E31-H31</f>
        <v>3665718.99</v>
      </c>
      <c r="L31" s="30">
        <f t="shared" si="6"/>
        <v>0</v>
      </c>
      <c r="M31" s="30">
        <f t="shared" si="6"/>
        <v>0</v>
      </c>
      <c r="N31" s="30">
        <f t="shared" si="6"/>
        <v>783.33333333333337</v>
      </c>
      <c r="O31" s="30">
        <f t="shared" si="6"/>
        <v>978.33333333333337</v>
      </c>
      <c r="P31" s="30">
        <f t="shared" si="6"/>
        <v>1250.4916666666666</v>
      </c>
      <c r="Q31" s="30">
        <f t="shared" si="6"/>
        <v>1146.125</v>
      </c>
      <c r="R31" s="30">
        <f t="shared" si="6"/>
        <v>1672.3333333333333</v>
      </c>
      <c r="S31" s="30">
        <f t="shared" si="6"/>
        <v>2357.7249999999999</v>
      </c>
      <c r="T31" s="30">
        <f t="shared" si="6"/>
        <v>2873.6416666666669</v>
      </c>
      <c r="U31" s="30">
        <f t="shared" si="6"/>
        <v>2847.4</v>
      </c>
      <c r="V31" s="30">
        <f t="shared" si="6"/>
        <v>2626.0333333333333</v>
      </c>
      <c r="W31" s="30">
        <f t="shared" si="6"/>
        <v>3747.05</v>
      </c>
      <c r="X31" s="30">
        <f t="shared" si="6"/>
        <v>6066.1208333333334</v>
      </c>
      <c r="Y31" s="30">
        <f t="shared" si="6"/>
        <v>4590.3249999999998</v>
      </c>
      <c r="Z31" s="30">
        <f t="shared" si="6"/>
        <v>4882.6349999999993</v>
      </c>
      <c r="AA31" s="30">
        <f t="shared" si="6"/>
        <v>0</v>
      </c>
      <c r="AB31" s="30">
        <f t="shared" si="2"/>
        <v>35821.547500000001</v>
      </c>
    </row>
    <row r="32" spans="1:28" outlineLevel="1">
      <c r="A32" s="7" t="s">
        <v>56</v>
      </c>
      <c r="B32" s="7">
        <f t="shared" si="5"/>
        <v>2013</v>
      </c>
      <c r="C32" s="33" t="s">
        <v>47</v>
      </c>
      <c r="D32" s="56"/>
      <c r="E32" s="30">
        <f>SUM(D$5:D32)</f>
        <v>4298585.7</v>
      </c>
      <c r="F32" s="56"/>
      <c r="G32" s="462">
        <f>57993.23-21646.41</f>
        <v>36346.820000000007</v>
      </c>
      <c r="H32" s="30">
        <f>SUM(G$5:G32)</f>
        <v>669213.53</v>
      </c>
      <c r="I32" s="56"/>
      <c r="J32" s="30">
        <f t="shared" si="1"/>
        <v>3629372.17</v>
      </c>
      <c r="L32" s="30">
        <f t="shared" si="6"/>
        <v>0</v>
      </c>
      <c r="M32" s="30">
        <f t="shared" si="6"/>
        <v>0</v>
      </c>
      <c r="N32" s="30">
        <f t="shared" si="6"/>
        <v>783.33333333333337</v>
      </c>
      <c r="O32" s="30">
        <f t="shared" si="6"/>
        <v>978.33333333333337</v>
      </c>
      <c r="P32" s="30">
        <f t="shared" si="6"/>
        <v>1250.4916666666666</v>
      </c>
      <c r="Q32" s="30">
        <f t="shared" si="6"/>
        <v>1146.125</v>
      </c>
      <c r="R32" s="30">
        <f t="shared" si="6"/>
        <v>1672.3333333333333</v>
      </c>
      <c r="S32" s="30">
        <f t="shared" si="6"/>
        <v>2357.7249999999999</v>
      </c>
      <c r="T32" s="30">
        <f t="shared" si="6"/>
        <v>2873.6416666666669</v>
      </c>
      <c r="U32" s="30">
        <f t="shared" si="6"/>
        <v>2847.4</v>
      </c>
      <c r="V32" s="30">
        <f t="shared" si="6"/>
        <v>2626.0333333333333</v>
      </c>
      <c r="W32" s="30">
        <f t="shared" si="6"/>
        <v>3747.05</v>
      </c>
      <c r="X32" s="30">
        <f t="shared" si="6"/>
        <v>6066.1208333333334</v>
      </c>
      <c r="Y32" s="30">
        <f t="shared" si="6"/>
        <v>4590.3249999999998</v>
      </c>
      <c r="Z32" s="30">
        <f t="shared" si="6"/>
        <v>4882.6349999999993</v>
      </c>
      <c r="AA32" s="30">
        <f t="shared" si="6"/>
        <v>0</v>
      </c>
      <c r="AB32" s="30">
        <f t="shared" si="2"/>
        <v>35821.547500000001</v>
      </c>
    </row>
    <row r="33" spans="1:28" outlineLevel="1">
      <c r="A33" s="7" t="s">
        <v>57</v>
      </c>
      <c r="B33" s="7">
        <f t="shared" si="5"/>
        <v>2013</v>
      </c>
      <c r="C33" s="33" t="s">
        <v>47</v>
      </c>
      <c r="D33" s="56"/>
      <c r="E33" s="30">
        <f>SUM(D$5:D33)</f>
        <v>4298585.7</v>
      </c>
      <c r="F33" s="56"/>
      <c r="G33" s="462">
        <f>59215.39-13025.7</f>
        <v>46189.69</v>
      </c>
      <c r="H33" s="30">
        <f>SUM(G$5:G33)</f>
        <v>715403.22</v>
      </c>
      <c r="I33" s="56"/>
      <c r="J33" s="30">
        <f t="shared" si="1"/>
        <v>3583182.4800000004</v>
      </c>
      <c r="L33" s="30">
        <f t="shared" si="6"/>
        <v>0</v>
      </c>
      <c r="M33" s="30">
        <f t="shared" si="6"/>
        <v>0</v>
      </c>
      <c r="N33" s="30">
        <f t="shared" si="6"/>
        <v>783.33333333333337</v>
      </c>
      <c r="O33" s="30">
        <f t="shared" si="6"/>
        <v>978.33333333333337</v>
      </c>
      <c r="P33" s="30">
        <f t="shared" si="6"/>
        <v>1250.4916666666666</v>
      </c>
      <c r="Q33" s="30">
        <f t="shared" si="6"/>
        <v>1146.125</v>
      </c>
      <c r="R33" s="30">
        <f t="shared" si="6"/>
        <v>1672.3333333333333</v>
      </c>
      <c r="S33" s="30">
        <f t="shared" si="6"/>
        <v>2357.7249999999999</v>
      </c>
      <c r="T33" s="30">
        <f t="shared" si="6"/>
        <v>2873.6416666666669</v>
      </c>
      <c r="U33" s="30">
        <f t="shared" si="6"/>
        <v>2847.4</v>
      </c>
      <c r="V33" s="30">
        <f t="shared" si="6"/>
        <v>2626.0333333333333</v>
      </c>
      <c r="W33" s="30">
        <f t="shared" si="6"/>
        <v>3747.05</v>
      </c>
      <c r="X33" s="30">
        <f t="shared" si="6"/>
        <v>6066.1208333333334</v>
      </c>
      <c r="Y33" s="30">
        <f t="shared" si="6"/>
        <v>4590.3249999999998</v>
      </c>
      <c r="Z33" s="30">
        <f t="shared" si="6"/>
        <v>4882.6349999999993</v>
      </c>
      <c r="AA33" s="30">
        <f t="shared" si="6"/>
        <v>0</v>
      </c>
      <c r="AB33" s="30">
        <f t="shared" si="2"/>
        <v>35821.547500000001</v>
      </c>
    </row>
    <row r="34" spans="1:28" outlineLevel="1">
      <c r="A34" s="7" t="s">
        <v>58</v>
      </c>
      <c r="B34" s="7">
        <f t="shared" si="5"/>
        <v>2013</v>
      </c>
      <c r="C34" s="33" t="s">
        <v>47</v>
      </c>
      <c r="D34" s="56"/>
      <c r="E34" s="30">
        <f>SUM(D$5:D34)</f>
        <v>4298585.7</v>
      </c>
      <c r="F34" s="56"/>
      <c r="G34" s="462">
        <f>64765.16-22606.85</f>
        <v>42158.310000000005</v>
      </c>
      <c r="H34" s="30">
        <f>SUM(G$5:G34)</f>
        <v>757561.53</v>
      </c>
      <c r="I34" s="56"/>
      <c r="J34" s="30">
        <f t="shared" si="1"/>
        <v>3541024.17</v>
      </c>
      <c r="L34" s="30">
        <f t="shared" si="6"/>
        <v>0</v>
      </c>
      <c r="M34" s="30">
        <f t="shared" si="6"/>
        <v>0</v>
      </c>
      <c r="N34" s="30">
        <f t="shared" si="6"/>
        <v>783.33333333333337</v>
      </c>
      <c r="O34" s="30">
        <f t="shared" si="6"/>
        <v>978.33333333333337</v>
      </c>
      <c r="P34" s="30">
        <f t="shared" si="6"/>
        <v>1250.4916666666666</v>
      </c>
      <c r="Q34" s="30">
        <f t="shared" si="6"/>
        <v>1146.125</v>
      </c>
      <c r="R34" s="30">
        <f t="shared" si="6"/>
        <v>1672.3333333333333</v>
      </c>
      <c r="S34" s="30">
        <f t="shared" si="6"/>
        <v>2357.7249999999999</v>
      </c>
      <c r="T34" s="30">
        <f t="shared" si="6"/>
        <v>2873.6416666666669</v>
      </c>
      <c r="U34" s="30">
        <f t="shared" si="6"/>
        <v>2847.4</v>
      </c>
      <c r="V34" s="30">
        <f t="shared" si="6"/>
        <v>2626.0333333333333</v>
      </c>
      <c r="W34" s="30">
        <f t="shared" si="6"/>
        <v>3747.05</v>
      </c>
      <c r="X34" s="30">
        <f t="shared" si="6"/>
        <v>6066.1208333333334</v>
      </c>
      <c r="Y34" s="30">
        <f t="shared" si="6"/>
        <v>4590.3249999999998</v>
      </c>
      <c r="Z34" s="30">
        <f t="shared" si="6"/>
        <v>4882.6349999999993</v>
      </c>
      <c r="AA34" s="30">
        <f t="shared" si="6"/>
        <v>0</v>
      </c>
      <c r="AB34" s="30">
        <f t="shared" si="2"/>
        <v>35821.547500000001</v>
      </c>
    </row>
    <row r="35" spans="1:28" outlineLevel="1">
      <c r="A35" s="7" t="s">
        <v>59</v>
      </c>
      <c r="B35" s="7">
        <f t="shared" si="5"/>
        <v>2013</v>
      </c>
      <c r="C35" s="33" t="s">
        <v>47</v>
      </c>
      <c r="D35" s="56"/>
      <c r="E35" s="30">
        <f>SUM(D$5:D35)</f>
        <v>4298585.7</v>
      </c>
      <c r="F35" s="56"/>
      <c r="G35" s="462">
        <f>62618.28-17178.65-83.34</f>
        <v>45356.29</v>
      </c>
      <c r="H35" s="30">
        <f>SUM(G$5:G35)</f>
        <v>802917.82000000007</v>
      </c>
      <c r="I35" s="56"/>
      <c r="J35" s="30">
        <f t="shared" si="1"/>
        <v>3495667.88</v>
      </c>
      <c r="L35" s="30">
        <f t="shared" si="6"/>
        <v>0</v>
      </c>
      <c r="M35" s="30">
        <f t="shared" si="6"/>
        <v>0</v>
      </c>
      <c r="N35" s="30">
        <f t="shared" si="6"/>
        <v>783.33333333333337</v>
      </c>
      <c r="O35" s="30">
        <f t="shared" si="6"/>
        <v>978.33333333333337</v>
      </c>
      <c r="P35" s="30">
        <f t="shared" si="6"/>
        <v>1250.4916666666666</v>
      </c>
      <c r="Q35" s="30">
        <f t="shared" si="6"/>
        <v>1146.125</v>
      </c>
      <c r="R35" s="30">
        <f t="shared" si="6"/>
        <v>1672.3333333333333</v>
      </c>
      <c r="S35" s="30">
        <f t="shared" si="6"/>
        <v>2357.7249999999999</v>
      </c>
      <c r="T35" s="30">
        <f t="shared" si="6"/>
        <v>2873.6416666666669</v>
      </c>
      <c r="U35" s="30">
        <f t="shared" si="6"/>
        <v>2847.4</v>
      </c>
      <c r="V35" s="30">
        <f t="shared" si="6"/>
        <v>2626.0333333333333</v>
      </c>
      <c r="W35" s="30">
        <f t="shared" si="6"/>
        <v>3747.05</v>
      </c>
      <c r="X35" s="30">
        <f t="shared" si="6"/>
        <v>6066.1208333333334</v>
      </c>
      <c r="Y35" s="30">
        <f t="shared" si="6"/>
        <v>4590.3249999999998</v>
      </c>
      <c r="Z35" s="30">
        <f t="shared" si="6"/>
        <v>4882.6349999999993</v>
      </c>
      <c r="AA35" s="30">
        <f t="shared" si="6"/>
        <v>0</v>
      </c>
      <c r="AB35" s="30">
        <f t="shared" si="2"/>
        <v>35821.547500000001</v>
      </c>
    </row>
    <row r="36" spans="1:28" outlineLevel="1">
      <c r="A36" s="7" t="s">
        <v>46</v>
      </c>
      <c r="B36" s="7">
        <f t="shared" si="5"/>
        <v>2013</v>
      </c>
      <c r="C36" s="33" t="s">
        <v>47</v>
      </c>
      <c r="D36" s="56"/>
      <c r="E36" s="30">
        <f>SUM(D$5:D36)</f>
        <v>4298585.7</v>
      </c>
      <c r="F36" s="56"/>
      <c r="G36" s="462">
        <f>62811.63-22511.15-83.34</f>
        <v>40217.14</v>
      </c>
      <c r="H36" s="30">
        <f>SUM(G$5:G36)</f>
        <v>843134.96000000008</v>
      </c>
      <c r="I36" s="56"/>
      <c r="J36" s="30">
        <f>+E36-H36</f>
        <v>3455450.74</v>
      </c>
      <c r="L36" s="30">
        <f t="shared" si="6"/>
        <v>0</v>
      </c>
      <c r="M36" s="30">
        <f t="shared" si="6"/>
        <v>0</v>
      </c>
      <c r="N36" s="30">
        <f t="shared" si="6"/>
        <v>783.33333333333337</v>
      </c>
      <c r="O36" s="30">
        <f t="shared" si="6"/>
        <v>978.33333333333337</v>
      </c>
      <c r="P36" s="30">
        <f t="shared" si="6"/>
        <v>1250.4916666666666</v>
      </c>
      <c r="Q36" s="30">
        <f t="shared" si="6"/>
        <v>1146.125</v>
      </c>
      <c r="R36" s="30">
        <f t="shared" si="6"/>
        <v>1672.3333333333333</v>
      </c>
      <c r="S36" s="30">
        <f t="shared" si="6"/>
        <v>2357.7249999999999</v>
      </c>
      <c r="T36" s="30">
        <f t="shared" si="6"/>
        <v>2873.6416666666669</v>
      </c>
      <c r="U36" s="30">
        <f t="shared" si="6"/>
        <v>2847.4</v>
      </c>
      <c r="V36" s="30">
        <f t="shared" si="6"/>
        <v>2626.0333333333333</v>
      </c>
      <c r="W36" s="30">
        <f t="shared" si="6"/>
        <v>3747.05</v>
      </c>
      <c r="X36" s="30">
        <f t="shared" si="6"/>
        <v>6066.1208333333334</v>
      </c>
      <c r="Y36" s="30">
        <f t="shared" si="6"/>
        <v>4590.3249999999998</v>
      </c>
      <c r="Z36" s="30">
        <f t="shared" si="6"/>
        <v>4882.6349999999993</v>
      </c>
      <c r="AA36" s="30">
        <f t="shared" si="6"/>
        <v>0</v>
      </c>
      <c r="AB36" s="30">
        <f t="shared" si="2"/>
        <v>35821.547500000001</v>
      </c>
    </row>
    <row r="37" spans="1:28" outlineLevel="1">
      <c r="A37" s="7" t="s">
        <v>48</v>
      </c>
      <c r="B37" s="7">
        <f t="shared" si="5"/>
        <v>2013</v>
      </c>
      <c r="C37" s="33" t="s">
        <v>47</v>
      </c>
      <c r="D37" s="56"/>
      <c r="E37" s="30">
        <f>SUM(D$5:D37)</f>
        <v>4298585.7</v>
      </c>
      <c r="F37" s="56"/>
      <c r="G37" s="462">
        <f>51430.57-11624.04</f>
        <v>39806.53</v>
      </c>
      <c r="H37" s="30">
        <f>SUM(G$5:G37)</f>
        <v>882941.49000000011</v>
      </c>
      <c r="I37" s="56"/>
      <c r="J37" s="30">
        <f>+E37-H37</f>
        <v>3415644.21</v>
      </c>
      <c r="L37" s="30">
        <f t="shared" si="6"/>
        <v>0</v>
      </c>
      <c r="M37" s="30">
        <f t="shared" si="6"/>
        <v>0</v>
      </c>
      <c r="N37" s="30">
        <f t="shared" si="6"/>
        <v>783.33333333333337</v>
      </c>
      <c r="O37" s="30">
        <f t="shared" si="6"/>
        <v>978.33333333333337</v>
      </c>
      <c r="P37" s="30">
        <f t="shared" si="6"/>
        <v>1250.4916666666666</v>
      </c>
      <c r="Q37" s="30">
        <f t="shared" si="6"/>
        <v>1146.125</v>
      </c>
      <c r="R37" s="30">
        <f t="shared" si="6"/>
        <v>1672.3333333333333</v>
      </c>
      <c r="S37" s="30">
        <f t="shared" si="6"/>
        <v>2357.7249999999999</v>
      </c>
      <c r="T37" s="30">
        <f t="shared" si="6"/>
        <v>2873.6416666666669</v>
      </c>
      <c r="U37" s="30">
        <f t="shared" si="6"/>
        <v>2847.4</v>
      </c>
      <c r="V37" s="30">
        <f t="shared" si="6"/>
        <v>2626.0333333333333</v>
      </c>
      <c r="W37" s="30">
        <f t="shared" si="6"/>
        <v>3747.05</v>
      </c>
      <c r="X37" s="30">
        <f t="shared" si="6"/>
        <v>6066.1208333333334</v>
      </c>
      <c r="Y37" s="30">
        <f t="shared" si="6"/>
        <v>4590.3249999999998</v>
      </c>
      <c r="Z37" s="30">
        <f t="shared" si="6"/>
        <v>4882.6349999999993</v>
      </c>
      <c r="AA37" s="30">
        <f t="shared" ref="L37:AA50" si="7">+AA36</f>
        <v>0</v>
      </c>
      <c r="AB37" s="30">
        <f t="shared" ref="AB37:AB68" si="8">SUM(L37:AA37)</f>
        <v>35821.547500000001</v>
      </c>
    </row>
    <row r="38" spans="1:28" outlineLevel="1">
      <c r="A38" s="7" t="s">
        <v>50</v>
      </c>
      <c r="B38" s="7">
        <f t="shared" si="5"/>
        <v>2013</v>
      </c>
      <c r="C38" s="33" t="s">
        <v>47</v>
      </c>
      <c r="D38" s="56"/>
      <c r="E38" s="30">
        <f>SUM(D$5:D38)</f>
        <v>4298585.7</v>
      </c>
      <c r="F38" s="56"/>
      <c r="G38" s="462">
        <f>56228.97-15604-2333.52</f>
        <v>38291.450000000004</v>
      </c>
      <c r="H38" s="30">
        <f>SUM(G$5:G38)</f>
        <v>921232.94000000006</v>
      </c>
      <c r="I38" s="56"/>
      <c r="J38" s="30">
        <f>+E38-H38</f>
        <v>3377352.7600000002</v>
      </c>
      <c r="L38" s="30">
        <f t="shared" si="7"/>
        <v>0</v>
      </c>
      <c r="M38" s="30">
        <f t="shared" si="7"/>
        <v>0</v>
      </c>
      <c r="N38" s="30">
        <f t="shared" si="7"/>
        <v>783.33333333333337</v>
      </c>
      <c r="O38" s="30">
        <f t="shared" si="7"/>
        <v>978.33333333333337</v>
      </c>
      <c r="P38" s="30">
        <f t="shared" si="7"/>
        <v>1250.4916666666666</v>
      </c>
      <c r="Q38" s="30">
        <f t="shared" si="7"/>
        <v>1146.125</v>
      </c>
      <c r="R38" s="30">
        <f t="shared" si="7"/>
        <v>1672.3333333333333</v>
      </c>
      <c r="S38" s="30">
        <f t="shared" si="7"/>
        <v>2357.7249999999999</v>
      </c>
      <c r="T38" s="30">
        <f t="shared" si="7"/>
        <v>2873.6416666666669</v>
      </c>
      <c r="U38" s="30">
        <f t="shared" si="7"/>
        <v>2847.4</v>
      </c>
      <c r="V38" s="30">
        <f t="shared" si="7"/>
        <v>2626.0333333333333</v>
      </c>
      <c r="W38" s="30">
        <f t="shared" si="7"/>
        <v>3747.05</v>
      </c>
      <c r="X38" s="30">
        <f t="shared" si="7"/>
        <v>6066.1208333333334</v>
      </c>
      <c r="Y38" s="30">
        <f t="shared" si="7"/>
        <v>4590.3249999999998</v>
      </c>
      <c r="Z38" s="30">
        <f t="shared" si="7"/>
        <v>4882.6349999999993</v>
      </c>
      <c r="AA38" s="30">
        <f t="shared" si="7"/>
        <v>0</v>
      </c>
      <c r="AB38" s="30">
        <f t="shared" si="8"/>
        <v>35821.547500000001</v>
      </c>
    </row>
    <row r="39" spans="1:28" outlineLevel="1">
      <c r="A39" s="7" t="s">
        <v>51</v>
      </c>
      <c r="B39" s="7">
        <f t="shared" si="5"/>
        <v>2013</v>
      </c>
      <c r="C39" s="33" t="s">
        <v>47</v>
      </c>
      <c r="D39" s="56"/>
      <c r="E39" s="30">
        <f>SUM(D$5:D39)</f>
        <v>4298585.7</v>
      </c>
      <c r="F39" s="56"/>
      <c r="G39" s="56">
        <v>30131.02</v>
      </c>
      <c r="H39" s="30">
        <f>SUM(G$5:G39)</f>
        <v>951363.96000000008</v>
      </c>
      <c r="I39" s="56"/>
      <c r="J39" s="30">
        <f>+E39-H39</f>
        <v>3347221.74</v>
      </c>
      <c r="L39" s="30">
        <f t="shared" si="7"/>
        <v>0</v>
      </c>
      <c r="M39" s="30">
        <f t="shared" si="7"/>
        <v>0</v>
      </c>
      <c r="N39" s="30">
        <f t="shared" si="7"/>
        <v>783.33333333333337</v>
      </c>
      <c r="O39" s="30">
        <f t="shared" si="7"/>
        <v>978.33333333333337</v>
      </c>
      <c r="P39" s="30">
        <f t="shared" si="7"/>
        <v>1250.4916666666666</v>
      </c>
      <c r="Q39" s="30">
        <f t="shared" si="7"/>
        <v>1146.125</v>
      </c>
      <c r="R39" s="30">
        <f t="shared" si="7"/>
        <v>1672.3333333333333</v>
      </c>
      <c r="S39" s="30">
        <f t="shared" si="7"/>
        <v>2357.7249999999999</v>
      </c>
      <c r="T39" s="30">
        <f t="shared" si="7"/>
        <v>2873.6416666666669</v>
      </c>
      <c r="U39" s="30">
        <f t="shared" si="7"/>
        <v>2847.4</v>
      </c>
      <c r="V39" s="30">
        <f t="shared" si="7"/>
        <v>2626.0333333333333</v>
      </c>
      <c r="W39" s="30">
        <f t="shared" si="7"/>
        <v>3747.05</v>
      </c>
      <c r="X39" s="30">
        <f t="shared" si="7"/>
        <v>6066.1208333333334</v>
      </c>
      <c r="Y39" s="30">
        <f t="shared" si="7"/>
        <v>4590.3249999999998</v>
      </c>
      <c r="Z39" s="30">
        <f t="shared" si="7"/>
        <v>4882.6349999999993</v>
      </c>
      <c r="AA39" s="30">
        <f t="shared" si="7"/>
        <v>0</v>
      </c>
      <c r="AB39" s="30">
        <f t="shared" si="8"/>
        <v>35821.547500000001</v>
      </c>
    </row>
    <row r="40" spans="1:28" outlineLevel="1">
      <c r="A40" s="7" t="s">
        <v>52</v>
      </c>
      <c r="B40" s="7">
        <f t="shared" si="5"/>
        <v>2013</v>
      </c>
      <c r="C40" s="33" t="s">
        <v>47</v>
      </c>
      <c r="D40" s="56"/>
      <c r="E40" s="30">
        <f>SUM(D$5:D40)</f>
        <v>4298585.7</v>
      </c>
      <c r="F40" s="56"/>
      <c r="G40" s="56">
        <v>43257.26</v>
      </c>
      <c r="H40" s="30">
        <f>SUM(G$5:G40)</f>
        <v>994621.22000000009</v>
      </c>
      <c r="I40" s="56"/>
      <c r="J40" s="30">
        <f t="shared" ref="J40:J103" si="9">+E40-H40</f>
        <v>3303964.48</v>
      </c>
      <c r="L40" s="30">
        <f t="shared" si="7"/>
        <v>0</v>
      </c>
      <c r="M40" s="30">
        <f t="shared" si="7"/>
        <v>0</v>
      </c>
      <c r="N40" s="30">
        <f t="shared" si="7"/>
        <v>783.33333333333337</v>
      </c>
      <c r="O40" s="30">
        <f t="shared" si="7"/>
        <v>978.33333333333337</v>
      </c>
      <c r="P40" s="30">
        <f t="shared" si="7"/>
        <v>1250.4916666666666</v>
      </c>
      <c r="Q40" s="30">
        <f t="shared" si="7"/>
        <v>1146.125</v>
      </c>
      <c r="R40" s="30">
        <f t="shared" si="7"/>
        <v>1672.3333333333333</v>
      </c>
      <c r="S40" s="30">
        <f t="shared" si="7"/>
        <v>2357.7249999999999</v>
      </c>
      <c r="T40" s="30">
        <f t="shared" si="7"/>
        <v>2873.6416666666669</v>
      </c>
      <c r="U40" s="30">
        <f t="shared" si="7"/>
        <v>2847.4</v>
      </c>
      <c r="V40" s="30">
        <f t="shared" si="7"/>
        <v>2626.0333333333333</v>
      </c>
      <c r="W40" s="30">
        <f t="shared" si="7"/>
        <v>3747.05</v>
      </c>
      <c r="X40" s="30">
        <f t="shared" si="7"/>
        <v>6066.1208333333334</v>
      </c>
      <c r="Y40" s="30">
        <f t="shared" si="7"/>
        <v>4590.3249999999998</v>
      </c>
      <c r="Z40" s="30">
        <f t="shared" si="7"/>
        <v>4882.6349999999993</v>
      </c>
      <c r="AA40" s="30">
        <f t="shared" si="7"/>
        <v>0</v>
      </c>
      <c r="AB40" s="30">
        <f t="shared" si="8"/>
        <v>35821.547500000001</v>
      </c>
    </row>
    <row r="41" spans="1:28" outlineLevel="1">
      <c r="A41" s="7" t="s">
        <v>53</v>
      </c>
      <c r="B41" s="7">
        <f t="shared" si="5"/>
        <v>2014</v>
      </c>
      <c r="C41" s="33" t="s">
        <v>47</v>
      </c>
      <c r="D41" s="56"/>
      <c r="E41" s="30">
        <f>SUM(D$5:D41)</f>
        <v>4298585.7</v>
      </c>
      <c r="F41" s="56"/>
      <c r="G41" s="56">
        <v>38488.81</v>
      </c>
      <c r="H41" s="30">
        <f>SUM(G$5:G41)</f>
        <v>1033110.03</v>
      </c>
      <c r="I41" s="56"/>
      <c r="J41" s="30">
        <f>+E41-H41</f>
        <v>3265475.67</v>
      </c>
      <c r="L41" s="30">
        <f t="shared" si="7"/>
        <v>0</v>
      </c>
      <c r="M41" s="30">
        <f t="shared" si="7"/>
        <v>0</v>
      </c>
      <c r="N41" s="30">
        <f t="shared" si="7"/>
        <v>783.33333333333337</v>
      </c>
      <c r="O41" s="30">
        <f t="shared" si="7"/>
        <v>978.33333333333337</v>
      </c>
      <c r="P41" s="30">
        <f t="shared" si="7"/>
        <v>1250.4916666666666</v>
      </c>
      <c r="Q41" s="30">
        <f t="shared" si="7"/>
        <v>1146.125</v>
      </c>
      <c r="R41" s="30">
        <f t="shared" si="7"/>
        <v>1672.3333333333333</v>
      </c>
      <c r="S41" s="30">
        <f t="shared" si="7"/>
        <v>2357.7249999999999</v>
      </c>
      <c r="T41" s="30">
        <f t="shared" si="7"/>
        <v>2873.6416666666669</v>
      </c>
      <c r="U41" s="30">
        <f t="shared" si="7"/>
        <v>2847.4</v>
      </c>
      <c r="V41" s="30">
        <f t="shared" si="7"/>
        <v>2626.0333333333333</v>
      </c>
      <c r="W41" s="30">
        <f t="shared" si="7"/>
        <v>3747.05</v>
      </c>
      <c r="X41" s="30">
        <f t="shared" si="7"/>
        <v>6066.1208333333334</v>
      </c>
      <c r="Y41" s="30">
        <f t="shared" si="7"/>
        <v>4590.3249999999998</v>
      </c>
      <c r="Z41" s="30">
        <f t="shared" si="7"/>
        <v>4882.6349999999993</v>
      </c>
      <c r="AA41" s="30">
        <f t="shared" si="7"/>
        <v>0</v>
      </c>
      <c r="AB41" s="30">
        <f t="shared" si="8"/>
        <v>35821.547500000001</v>
      </c>
    </row>
    <row r="42" spans="1:28" s="4" customFormat="1" outlineLevel="1">
      <c r="A42" s="29" t="s">
        <v>54</v>
      </c>
      <c r="B42" s="29">
        <f t="shared" si="5"/>
        <v>2014</v>
      </c>
      <c r="C42" s="33" t="s">
        <v>47</v>
      </c>
      <c r="D42" s="56"/>
      <c r="E42" s="30">
        <f>SUM(D$5:D42)</f>
        <v>4298585.7</v>
      </c>
      <c r="F42" s="56"/>
      <c r="G42" s="56">
        <v>39649.24</v>
      </c>
      <c r="H42" s="31">
        <f>SUM(G$5:G42)</f>
        <v>1072759.27</v>
      </c>
      <c r="I42" s="56"/>
      <c r="J42" s="31">
        <f t="shared" si="9"/>
        <v>3225826.43</v>
      </c>
      <c r="L42" s="31">
        <f t="shared" si="7"/>
        <v>0</v>
      </c>
      <c r="M42" s="31">
        <f t="shared" si="7"/>
        <v>0</v>
      </c>
      <c r="N42" s="31">
        <f t="shared" si="7"/>
        <v>783.33333333333337</v>
      </c>
      <c r="O42" s="31">
        <f t="shared" si="7"/>
        <v>978.33333333333337</v>
      </c>
      <c r="P42" s="31">
        <f t="shared" si="7"/>
        <v>1250.4916666666666</v>
      </c>
      <c r="Q42" s="31">
        <f t="shared" si="7"/>
        <v>1146.125</v>
      </c>
      <c r="R42" s="31">
        <f t="shared" si="7"/>
        <v>1672.3333333333333</v>
      </c>
      <c r="S42" s="31">
        <f t="shared" si="7"/>
        <v>2357.7249999999999</v>
      </c>
      <c r="T42" s="31">
        <f t="shared" si="7"/>
        <v>2873.6416666666669</v>
      </c>
      <c r="U42" s="31">
        <f t="shared" si="7"/>
        <v>2847.4</v>
      </c>
      <c r="V42" s="31">
        <f t="shared" si="7"/>
        <v>2626.0333333333333</v>
      </c>
      <c r="W42" s="31">
        <f t="shared" si="7"/>
        <v>3747.05</v>
      </c>
      <c r="X42" s="31">
        <f t="shared" si="7"/>
        <v>6066.1208333333334</v>
      </c>
      <c r="Y42" s="31">
        <f t="shared" si="7"/>
        <v>4590.3249999999998</v>
      </c>
      <c r="Z42" s="31">
        <f t="shared" si="7"/>
        <v>4882.6349999999993</v>
      </c>
      <c r="AA42" s="31">
        <f t="shared" si="7"/>
        <v>0</v>
      </c>
      <c r="AB42" s="31">
        <f t="shared" si="8"/>
        <v>35821.547500000001</v>
      </c>
    </row>
    <row r="43" spans="1:28" s="4" customFormat="1" outlineLevel="1">
      <c r="A43" s="29" t="s">
        <v>55</v>
      </c>
      <c r="B43" s="29">
        <f t="shared" si="5"/>
        <v>2014</v>
      </c>
      <c r="C43" s="33" t="s">
        <v>47</v>
      </c>
      <c r="D43" s="56"/>
      <c r="E43" s="30">
        <f>SUM(D$5:D43)</f>
        <v>4298585.7</v>
      </c>
      <c r="F43" s="56"/>
      <c r="G43" s="56">
        <v>37866.79</v>
      </c>
      <c r="H43" s="31">
        <f>SUM(G$5:G43)</f>
        <v>1110626.06</v>
      </c>
      <c r="I43" s="56"/>
      <c r="J43" s="31">
        <f>+E43-H43</f>
        <v>3187959.64</v>
      </c>
      <c r="L43" s="31">
        <f t="shared" si="7"/>
        <v>0</v>
      </c>
      <c r="M43" s="31">
        <f t="shared" si="7"/>
        <v>0</v>
      </c>
      <c r="N43" s="31">
        <f t="shared" si="7"/>
        <v>783.33333333333337</v>
      </c>
      <c r="O43" s="31">
        <f t="shared" si="7"/>
        <v>978.33333333333337</v>
      </c>
      <c r="P43" s="31">
        <f t="shared" si="7"/>
        <v>1250.4916666666666</v>
      </c>
      <c r="Q43" s="31">
        <f t="shared" si="7"/>
        <v>1146.125</v>
      </c>
      <c r="R43" s="31">
        <f t="shared" si="7"/>
        <v>1672.3333333333333</v>
      </c>
      <c r="S43" s="31">
        <f t="shared" si="7"/>
        <v>2357.7249999999999</v>
      </c>
      <c r="T43" s="31">
        <f t="shared" si="7"/>
        <v>2873.6416666666669</v>
      </c>
      <c r="U43" s="31">
        <f t="shared" si="7"/>
        <v>2847.4</v>
      </c>
      <c r="V43" s="31">
        <f t="shared" si="7"/>
        <v>2626.0333333333333</v>
      </c>
      <c r="W43" s="31">
        <f t="shared" si="7"/>
        <v>3747.05</v>
      </c>
      <c r="X43" s="31">
        <f t="shared" si="7"/>
        <v>6066.1208333333334</v>
      </c>
      <c r="Y43" s="31">
        <f t="shared" si="7"/>
        <v>4590.3249999999998</v>
      </c>
      <c r="Z43" s="31">
        <f t="shared" si="7"/>
        <v>4882.6349999999993</v>
      </c>
      <c r="AA43" s="31">
        <f t="shared" si="7"/>
        <v>0</v>
      </c>
      <c r="AB43" s="31">
        <f t="shared" si="8"/>
        <v>35821.547500000001</v>
      </c>
    </row>
    <row r="44" spans="1:28" s="4" customFormat="1" outlineLevel="1">
      <c r="A44" s="29" t="s">
        <v>56</v>
      </c>
      <c r="B44" s="29">
        <f t="shared" si="5"/>
        <v>2014</v>
      </c>
      <c r="C44" s="33" t="s">
        <v>47</v>
      </c>
      <c r="D44" s="56"/>
      <c r="E44" s="30">
        <f>SUM(D$5:D44)</f>
        <v>4298585.7</v>
      </c>
      <c r="F44" s="56"/>
      <c r="G44" s="56">
        <v>48976.91</v>
      </c>
      <c r="H44" s="31">
        <f>SUM(G$5:G44)</f>
        <v>1159602.97</v>
      </c>
      <c r="I44" s="56"/>
      <c r="J44" s="31">
        <f t="shared" si="9"/>
        <v>3138982.7300000004</v>
      </c>
      <c r="L44" s="31">
        <f t="shared" si="7"/>
        <v>0</v>
      </c>
      <c r="M44" s="31">
        <f t="shared" si="7"/>
        <v>0</v>
      </c>
      <c r="N44" s="31">
        <f t="shared" si="7"/>
        <v>783.33333333333337</v>
      </c>
      <c r="O44" s="31">
        <f t="shared" si="7"/>
        <v>978.33333333333337</v>
      </c>
      <c r="P44" s="31">
        <f t="shared" si="7"/>
        <v>1250.4916666666666</v>
      </c>
      <c r="Q44" s="31">
        <f t="shared" si="7"/>
        <v>1146.125</v>
      </c>
      <c r="R44" s="31">
        <f t="shared" si="7"/>
        <v>1672.3333333333333</v>
      </c>
      <c r="S44" s="31">
        <f t="shared" si="7"/>
        <v>2357.7249999999999</v>
      </c>
      <c r="T44" s="31">
        <f t="shared" si="7"/>
        <v>2873.6416666666669</v>
      </c>
      <c r="U44" s="31">
        <f t="shared" si="7"/>
        <v>2847.4</v>
      </c>
      <c r="V44" s="31">
        <f t="shared" si="7"/>
        <v>2626.0333333333333</v>
      </c>
      <c r="W44" s="31">
        <f t="shared" si="7"/>
        <v>3747.05</v>
      </c>
      <c r="X44" s="31">
        <f t="shared" si="7"/>
        <v>6066.1208333333334</v>
      </c>
      <c r="Y44" s="31">
        <f t="shared" si="7"/>
        <v>4590.3249999999998</v>
      </c>
      <c r="Z44" s="31">
        <f t="shared" si="7"/>
        <v>4882.6349999999993</v>
      </c>
      <c r="AA44" s="31">
        <f t="shared" si="7"/>
        <v>0</v>
      </c>
      <c r="AB44" s="31">
        <f t="shared" si="8"/>
        <v>35821.547500000001</v>
      </c>
    </row>
    <row r="45" spans="1:28" s="4" customFormat="1" outlineLevel="1">
      <c r="A45" s="29" t="s">
        <v>57</v>
      </c>
      <c r="B45" s="29">
        <f t="shared" si="5"/>
        <v>2014</v>
      </c>
      <c r="C45" s="33" t="s">
        <v>47</v>
      </c>
      <c r="D45" s="56"/>
      <c r="E45" s="30">
        <f>SUM(D$5:D45)</f>
        <v>4298585.7</v>
      </c>
      <c r="F45" s="56"/>
      <c r="G45" s="56">
        <v>34698.11</v>
      </c>
      <c r="H45" s="31">
        <f>SUM(G$5:G45)</f>
        <v>1194301.08</v>
      </c>
      <c r="I45" s="56"/>
      <c r="J45" s="31">
        <f t="shared" si="9"/>
        <v>3104284.62</v>
      </c>
      <c r="L45" s="31">
        <f t="shared" si="7"/>
        <v>0</v>
      </c>
      <c r="M45" s="31">
        <f t="shared" si="7"/>
        <v>0</v>
      </c>
      <c r="N45" s="31">
        <f t="shared" si="7"/>
        <v>783.33333333333337</v>
      </c>
      <c r="O45" s="31">
        <f t="shared" si="7"/>
        <v>978.33333333333337</v>
      </c>
      <c r="P45" s="31">
        <f t="shared" si="7"/>
        <v>1250.4916666666666</v>
      </c>
      <c r="Q45" s="31">
        <f t="shared" si="7"/>
        <v>1146.125</v>
      </c>
      <c r="R45" s="31">
        <f t="shared" si="7"/>
        <v>1672.3333333333333</v>
      </c>
      <c r="S45" s="31">
        <f t="shared" si="7"/>
        <v>2357.7249999999999</v>
      </c>
      <c r="T45" s="31">
        <f t="shared" si="7"/>
        <v>2873.6416666666669</v>
      </c>
      <c r="U45" s="31">
        <f t="shared" si="7"/>
        <v>2847.4</v>
      </c>
      <c r="V45" s="31">
        <f t="shared" si="7"/>
        <v>2626.0333333333333</v>
      </c>
      <c r="W45" s="31">
        <f t="shared" si="7"/>
        <v>3747.05</v>
      </c>
      <c r="X45" s="31">
        <f t="shared" si="7"/>
        <v>6066.1208333333334</v>
      </c>
      <c r="Y45" s="31">
        <f t="shared" si="7"/>
        <v>4590.3249999999998</v>
      </c>
      <c r="Z45" s="31">
        <f t="shared" si="7"/>
        <v>4882.6349999999993</v>
      </c>
      <c r="AA45" s="31">
        <f t="shared" si="7"/>
        <v>0</v>
      </c>
      <c r="AB45" s="31">
        <f t="shared" si="8"/>
        <v>35821.547500000001</v>
      </c>
    </row>
    <row r="46" spans="1:28" s="4" customFormat="1" outlineLevel="1">
      <c r="A46" s="29" t="s">
        <v>58</v>
      </c>
      <c r="B46" s="29">
        <f t="shared" si="5"/>
        <v>2014</v>
      </c>
      <c r="C46" s="33" t="s">
        <v>47</v>
      </c>
      <c r="D46" s="56"/>
      <c r="E46" s="30">
        <f>SUM(D$5:D46)</f>
        <v>4298585.7</v>
      </c>
      <c r="F46" s="56"/>
      <c r="G46" s="56">
        <v>34698.11</v>
      </c>
      <c r="H46" s="31">
        <f>SUM(G$5:G46)</f>
        <v>1228999.1900000002</v>
      </c>
      <c r="I46" s="56"/>
      <c r="J46" s="31">
        <f t="shared" si="9"/>
        <v>3069586.51</v>
      </c>
      <c r="L46" s="31">
        <f t="shared" si="7"/>
        <v>0</v>
      </c>
      <c r="M46" s="31">
        <f t="shared" si="7"/>
        <v>0</v>
      </c>
      <c r="N46" s="31">
        <f t="shared" si="7"/>
        <v>783.33333333333337</v>
      </c>
      <c r="O46" s="31">
        <f t="shared" si="7"/>
        <v>978.33333333333337</v>
      </c>
      <c r="P46" s="31">
        <f t="shared" si="7"/>
        <v>1250.4916666666666</v>
      </c>
      <c r="Q46" s="31">
        <f t="shared" si="7"/>
        <v>1146.125</v>
      </c>
      <c r="R46" s="31">
        <f t="shared" si="7"/>
        <v>1672.3333333333333</v>
      </c>
      <c r="S46" s="31">
        <f t="shared" si="7"/>
        <v>2357.7249999999999</v>
      </c>
      <c r="T46" s="31">
        <f t="shared" si="7"/>
        <v>2873.6416666666669</v>
      </c>
      <c r="U46" s="31">
        <f t="shared" si="7"/>
        <v>2847.4</v>
      </c>
      <c r="V46" s="31">
        <f t="shared" si="7"/>
        <v>2626.0333333333333</v>
      </c>
      <c r="W46" s="31">
        <f t="shared" si="7"/>
        <v>3747.05</v>
      </c>
      <c r="X46" s="31">
        <f t="shared" si="7"/>
        <v>6066.1208333333334</v>
      </c>
      <c r="Y46" s="31">
        <f t="shared" si="7"/>
        <v>4590.3249999999998</v>
      </c>
      <c r="Z46" s="31">
        <f t="shared" si="7"/>
        <v>4882.6349999999993</v>
      </c>
      <c r="AA46" s="31">
        <f t="shared" si="7"/>
        <v>0</v>
      </c>
      <c r="AB46" s="31">
        <f t="shared" si="8"/>
        <v>35821.547500000001</v>
      </c>
    </row>
    <row r="47" spans="1:28" s="4" customFormat="1" outlineLevel="1">
      <c r="A47" s="29" t="s">
        <v>59</v>
      </c>
      <c r="B47" s="29">
        <f t="shared" si="5"/>
        <v>2014</v>
      </c>
      <c r="C47" s="33" t="s">
        <v>47</v>
      </c>
      <c r="D47" s="56"/>
      <c r="E47" s="30">
        <f>SUM(D$5:D47)</f>
        <v>4298585.7</v>
      </c>
      <c r="F47" s="56"/>
      <c r="G47" s="56">
        <v>36297.1</v>
      </c>
      <c r="H47" s="31">
        <f>SUM(G$5:G47)</f>
        <v>1265296.2900000003</v>
      </c>
      <c r="I47" s="56"/>
      <c r="J47" s="31">
        <f t="shared" si="9"/>
        <v>3033289.41</v>
      </c>
      <c r="L47" s="31">
        <f t="shared" si="7"/>
        <v>0</v>
      </c>
      <c r="M47" s="31">
        <f t="shared" si="7"/>
        <v>0</v>
      </c>
      <c r="N47" s="31">
        <f t="shared" si="7"/>
        <v>783.33333333333337</v>
      </c>
      <c r="O47" s="31">
        <f t="shared" si="7"/>
        <v>978.33333333333337</v>
      </c>
      <c r="P47" s="31">
        <f t="shared" si="7"/>
        <v>1250.4916666666666</v>
      </c>
      <c r="Q47" s="31">
        <f t="shared" si="7"/>
        <v>1146.125</v>
      </c>
      <c r="R47" s="31">
        <f t="shared" si="7"/>
        <v>1672.3333333333333</v>
      </c>
      <c r="S47" s="31">
        <f t="shared" si="7"/>
        <v>2357.7249999999999</v>
      </c>
      <c r="T47" s="31">
        <f t="shared" si="7"/>
        <v>2873.6416666666669</v>
      </c>
      <c r="U47" s="31">
        <f t="shared" si="7"/>
        <v>2847.4</v>
      </c>
      <c r="V47" s="31">
        <f t="shared" si="7"/>
        <v>2626.0333333333333</v>
      </c>
      <c r="W47" s="31">
        <f t="shared" si="7"/>
        <v>3747.05</v>
      </c>
      <c r="X47" s="31">
        <f t="shared" si="7"/>
        <v>6066.1208333333334</v>
      </c>
      <c r="Y47" s="31">
        <f t="shared" si="7"/>
        <v>4590.3249999999998</v>
      </c>
      <c r="Z47" s="31">
        <f t="shared" si="7"/>
        <v>4882.6349999999993</v>
      </c>
      <c r="AA47" s="31">
        <f t="shared" si="7"/>
        <v>0</v>
      </c>
      <c r="AB47" s="31">
        <f t="shared" si="8"/>
        <v>35821.547500000001</v>
      </c>
    </row>
    <row r="48" spans="1:28" s="4" customFormat="1" outlineLevel="1">
      <c r="A48" s="29" t="s">
        <v>46</v>
      </c>
      <c r="B48" s="29">
        <f t="shared" si="5"/>
        <v>2014</v>
      </c>
      <c r="C48" s="33" t="s">
        <v>47</v>
      </c>
      <c r="D48" s="56"/>
      <c r="E48" s="30">
        <f>SUM(D$5:D48)</f>
        <v>4298585.7</v>
      </c>
      <c r="F48" s="56"/>
      <c r="G48" s="56">
        <v>36457.120000000003</v>
      </c>
      <c r="H48" s="31">
        <f>SUM(G$5:G48)</f>
        <v>1301753.4100000004</v>
      </c>
      <c r="I48" s="56"/>
      <c r="J48" s="31">
        <f t="shared" si="9"/>
        <v>2996832.29</v>
      </c>
      <c r="L48" s="31">
        <f t="shared" si="7"/>
        <v>0</v>
      </c>
      <c r="M48" s="31">
        <f t="shared" si="7"/>
        <v>0</v>
      </c>
      <c r="N48" s="31">
        <f t="shared" si="7"/>
        <v>783.33333333333337</v>
      </c>
      <c r="O48" s="31">
        <f t="shared" si="7"/>
        <v>978.33333333333337</v>
      </c>
      <c r="P48" s="31">
        <f t="shared" si="7"/>
        <v>1250.4916666666666</v>
      </c>
      <c r="Q48" s="31">
        <f t="shared" si="7"/>
        <v>1146.125</v>
      </c>
      <c r="R48" s="31">
        <f t="shared" si="7"/>
        <v>1672.3333333333333</v>
      </c>
      <c r="S48" s="31">
        <f t="shared" si="7"/>
        <v>2357.7249999999999</v>
      </c>
      <c r="T48" s="31">
        <f t="shared" si="7"/>
        <v>2873.6416666666669</v>
      </c>
      <c r="U48" s="31">
        <f t="shared" si="7"/>
        <v>2847.4</v>
      </c>
      <c r="V48" s="31">
        <f t="shared" si="7"/>
        <v>2626.0333333333333</v>
      </c>
      <c r="W48" s="31">
        <f t="shared" si="7"/>
        <v>3747.05</v>
      </c>
      <c r="X48" s="31">
        <f t="shared" si="7"/>
        <v>6066.1208333333334</v>
      </c>
      <c r="Y48" s="31">
        <f t="shared" si="7"/>
        <v>4590.3249999999998</v>
      </c>
      <c r="Z48" s="31">
        <f t="shared" si="7"/>
        <v>4882.6349999999993</v>
      </c>
      <c r="AA48" s="31">
        <f t="shared" si="7"/>
        <v>0</v>
      </c>
      <c r="AB48" s="31">
        <f t="shared" si="8"/>
        <v>35821.547500000001</v>
      </c>
    </row>
    <row r="49" spans="1:28" s="4" customFormat="1" outlineLevel="1">
      <c r="A49" s="29" t="s">
        <v>48</v>
      </c>
      <c r="B49" s="29">
        <f t="shared" si="5"/>
        <v>2014</v>
      </c>
      <c r="C49" s="33" t="s">
        <v>47</v>
      </c>
      <c r="D49" s="56"/>
      <c r="E49" s="30">
        <f>SUM(D$5:D49)</f>
        <v>4298585.7</v>
      </c>
      <c r="F49" s="56"/>
      <c r="G49" s="56">
        <v>48327.85</v>
      </c>
      <c r="H49" s="31">
        <f>SUM(G$5:G49)</f>
        <v>1350081.2600000005</v>
      </c>
      <c r="I49" s="56"/>
      <c r="J49" s="31">
        <f t="shared" si="9"/>
        <v>2948504.4399999995</v>
      </c>
      <c r="L49" s="31">
        <f t="shared" si="7"/>
        <v>0</v>
      </c>
      <c r="M49" s="31">
        <f t="shared" si="7"/>
        <v>0</v>
      </c>
      <c r="N49" s="31">
        <f t="shared" si="7"/>
        <v>783.33333333333337</v>
      </c>
      <c r="O49" s="31">
        <f t="shared" si="7"/>
        <v>978.33333333333337</v>
      </c>
      <c r="P49" s="31">
        <f t="shared" si="7"/>
        <v>1250.4916666666666</v>
      </c>
      <c r="Q49" s="31">
        <f t="shared" si="7"/>
        <v>1146.125</v>
      </c>
      <c r="R49" s="31">
        <f t="shared" si="7"/>
        <v>1672.3333333333333</v>
      </c>
      <c r="S49" s="31">
        <f t="shared" si="7"/>
        <v>2357.7249999999999</v>
      </c>
      <c r="T49" s="31">
        <f t="shared" si="7"/>
        <v>2873.6416666666669</v>
      </c>
      <c r="U49" s="31">
        <f t="shared" si="7"/>
        <v>2847.4</v>
      </c>
      <c r="V49" s="31">
        <f t="shared" si="7"/>
        <v>2626.0333333333333</v>
      </c>
      <c r="W49" s="31">
        <f t="shared" si="7"/>
        <v>3747.05</v>
      </c>
      <c r="X49" s="31">
        <f t="shared" si="7"/>
        <v>6066.1208333333334</v>
      </c>
      <c r="Y49" s="31">
        <f t="shared" si="7"/>
        <v>4590.3249999999998</v>
      </c>
      <c r="Z49" s="31">
        <f t="shared" si="7"/>
        <v>4882.6349999999993</v>
      </c>
      <c r="AA49" s="31">
        <f t="shared" si="7"/>
        <v>0</v>
      </c>
      <c r="AB49" s="31">
        <f t="shared" si="8"/>
        <v>35821.547500000001</v>
      </c>
    </row>
    <row r="50" spans="1:28" s="4" customFormat="1" outlineLevel="1">
      <c r="A50" s="29" t="s">
        <v>50</v>
      </c>
      <c r="B50" s="29">
        <f t="shared" si="5"/>
        <v>2014</v>
      </c>
      <c r="C50" s="33" t="s">
        <v>47</v>
      </c>
      <c r="D50" s="56"/>
      <c r="E50" s="30">
        <f>SUM(D$5:D50)</f>
        <v>4298585.7</v>
      </c>
      <c r="F50" s="56"/>
      <c r="G50" s="56">
        <v>37652.14</v>
      </c>
      <c r="H50" s="31">
        <f>SUM(G$5:G50)</f>
        <v>1387733.4000000004</v>
      </c>
      <c r="I50" s="56"/>
      <c r="J50" s="31">
        <f t="shared" si="9"/>
        <v>2910852.3</v>
      </c>
      <c r="L50" s="31">
        <f t="shared" si="7"/>
        <v>0</v>
      </c>
      <c r="M50" s="31">
        <f t="shared" si="7"/>
        <v>0</v>
      </c>
      <c r="N50" s="31">
        <f t="shared" si="7"/>
        <v>783.33333333333337</v>
      </c>
      <c r="O50" s="31">
        <f t="shared" si="7"/>
        <v>978.33333333333337</v>
      </c>
      <c r="P50" s="31">
        <f t="shared" si="7"/>
        <v>1250.4916666666666</v>
      </c>
      <c r="Q50" s="31">
        <f t="shared" si="7"/>
        <v>1146.125</v>
      </c>
      <c r="R50" s="31">
        <f t="shared" si="7"/>
        <v>1672.3333333333333</v>
      </c>
      <c r="S50" s="31">
        <f t="shared" si="7"/>
        <v>2357.7249999999999</v>
      </c>
      <c r="T50" s="31">
        <f t="shared" si="7"/>
        <v>2873.6416666666669</v>
      </c>
      <c r="U50" s="31">
        <f t="shared" si="7"/>
        <v>2847.4</v>
      </c>
      <c r="V50" s="31">
        <f t="shared" si="7"/>
        <v>2626.0333333333333</v>
      </c>
      <c r="W50" s="31">
        <f t="shared" si="7"/>
        <v>3747.05</v>
      </c>
      <c r="X50" s="31">
        <f t="shared" si="7"/>
        <v>6066.1208333333334</v>
      </c>
      <c r="Y50" s="31">
        <f t="shared" si="7"/>
        <v>4590.3249999999998</v>
      </c>
      <c r="Z50" s="31">
        <f t="shared" si="7"/>
        <v>4882.6349999999993</v>
      </c>
      <c r="AA50" s="31">
        <f t="shared" si="7"/>
        <v>0</v>
      </c>
      <c r="AB50" s="31">
        <f t="shared" si="8"/>
        <v>35821.547500000001</v>
      </c>
    </row>
    <row r="51" spans="1:28" s="4" customFormat="1" outlineLevel="1">
      <c r="A51" s="29" t="s">
        <v>51</v>
      </c>
      <c r="B51" s="29">
        <f t="shared" si="5"/>
        <v>2014</v>
      </c>
      <c r="C51" s="33" t="s">
        <v>47</v>
      </c>
      <c r="D51" s="56"/>
      <c r="E51" s="30">
        <f>SUM(D$5:D51)</f>
        <v>4298585.7</v>
      </c>
      <c r="F51" s="56"/>
      <c r="G51" s="56">
        <v>32444.81</v>
      </c>
      <c r="H51" s="31">
        <f>SUM(G$5:G51)</f>
        <v>1420178.2100000004</v>
      </c>
      <c r="I51" s="56"/>
      <c r="J51" s="31">
        <f t="shared" si="9"/>
        <v>2878407.4899999998</v>
      </c>
      <c r="L51" s="31">
        <f t="shared" ref="L51:AA65" si="10">+L50</f>
        <v>0</v>
      </c>
      <c r="M51" s="31">
        <f t="shared" si="10"/>
        <v>0</v>
      </c>
      <c r="N51" s="31">
        <f t="shared" si="10"/>
        <v>783.33333333333337</v>
      </c>
      <c r="O51" s="31">
        <f t="shared" si="10"/>
        <v>978.33333333333337</v>
      </c>
      <c r="P51" s="31">
        <f t="shared" si="10"/>
        <v>1250.4916666666666</v>
      </c>
      <c r="Q51" s="31">
        <f t="shared" si="10"/>
        <v>1146.125</v>
      </c>
      <c r="R51" s="31">
        <f t="shared" si="10"/>
        <v>1672.3333333333333</v>
      </c>
      <c r="S51" s="31">
        <f t="shared" si="10"/>
        <v>2357.7249999999999</v>
      </c>
      <c r="T51" s="31">
        <f t="shared" si="10"/>
        <v>2873.6416666666669</v>
      </c>
      <c r="U51" s="31">
        <f t="shared" si="10"/>
        <v>2847.4</v>
      </c>
      <c r="V51" s="31">
        <f t="shared" si="10"/>
        <v>2626.0333333333333</v>
      </c>
      <c r="W51" s="31">
        <f t="shared" si="10"/>
        <v>3747.05</v>
      </c>
      <c r="X51" s="31">
        <f t="shared" si="10"/>
        <v>6066.1208333333334</v>
      </c>
      <c r="Y51" s="31">
        <f t="shared" si="10"/>
        <v>4590.3249999999998</v>
      </c>
      <c r="Z51" s="31">
        <f t="shared" si="10"/>
        <v>4882.6349999999993</v>
      </c>
      <c r="AA51" s="31">
        <f t="shared" si="10"/>
        <v>0</v>
      </c>
      <c r="AB51" s="31">
        <f t="shared" si="8"/>
        <v>35821.547500000001</v>
      </c>
    </row>
    <row r="52" spans="1:28" s="4" customFormat="1" outlineLevel="1">
      <c r="A52" s="29" t="s">
        <v>52</v>
      </c>
      <c r="B52" s="29">
        <f t="shared" si="5"/>
        <v>2014</v>
      </c>
      <c r="C52" s="33" t="s">
        <v>47</v>
      </c>
      <c r="D52" s="56"/>
      <c r="E52" s="30">
        <f>SUM(D$5:D52)</f>
        <v>4298585.7</v>
      </c>
      <c r="F52" s="56"/>
      <c r="G52" s="56">
        <v>43185.61</v>
      </c>
      <c r="H52" s="31">
        <f>SUM(G$5:G52)</f>
        <v>1463363.8200000005</v>
      </c>
      <c r="I52" s="56"/>
      <c r="J52" s="31">
        <f t="shared" si="9"/>
        <v>2835221.88</v>
      </c>
      <c r="L52" s="31">
        <f t="shared" si="10"/>
        <v>0</v>
      </c>
      <c r="M52" s="31">
        <f t="shared" si="10"/>
        <v>0</v>
      </c>
      <c r="N52" s="31">
        <f t="shared" si="10"/>
        <v>783.33333333333337</v>
      </c>
      <c r="O52" s="31">
        <f t="shared" si="10"/>
        <v>978.33333333333337</v>
      </c>
      <c r="P52" s="31">
        <f t="shared" si="10"/>
        <v>1250.4916666666666</v>
      </c>
      <c r="Q52" s="31">
        <f t="shared" si="10"/>
        <v>1146.125</v>
      </c>
      <c r="R52" s="31">
        <f t="shared" si="10"/>
        <v>1672.3333333333333</v>
      </c>
      <c r="S52" s="31">
        <f t="shared" si="10"/>
        <v>2357.7249999999999</v>
      </c>
      <c r="T52" s="31">
        <f t="shared" si="10"/>
        <v>2873.6416666666669</v>
      </c>
      <c r="U52" s="31">
        <f t="shared" si="10"/>
        <v>2847.4</v>
      </c>
      <c r="V52" s="31">
        <f t="shared" si="10"/>
        <v>2626.0333333333333</v>
      </c>
      <c r="W52" s="31">
        <f t="shared" si="10"/>
        <v>3747.05</v>
      </c>
      <c r="X52" s="31">
        <f t="shared" si="10"/>
        <v>6066.1208333333334</v>
      </c>
      <c r="Y52" s="31">
        <f t="shared" si="10"/>
        <v>4590.3249999999998</v>
      </c>
      <c r="Z52" s="31">
        <f t="shared" si="10"/>
        <v>4882.6349999999993</v>
      </c>
      <c r="AA52" s="31">
        <f t="shared" si="10"/>
        <v>0</v>
      </c>
      <c r="AB52" s="31">
        <f t="shared" si="8"/>
        <v>35821.547500000001</v>
      </c>
    </row>
    <row r="53" spans="1:28" s="4" customFormat="1" outlineLevel="1">
      <c r="A53" s="29" t="s">
        <v>53</v>
      </c>
      <c r="B53" s="29">
        <f t="shared" si="5"/>
        <v>2015</v>
      </c>
      <c r="C53" s="33" t="s">
        <v>47</v>
      </c>
      <c r="D53" s="56"/>
      <c r="E53" s="30">
        <f>SUM(D$5:D53)</f>
        <v>4298585.7</v>
      </c>
      <c r="F53" s="56"/>
      <c r="G53" s="56">
        <v>38189.9</v>
      </c>
      <c r="H53" s="31">
        <f>SUM(G$5:G53)</f>
        <v>1501553.7200000004</v>
      </c>
      <c r="I53" s="56"/>
      <c r="J53" s="31">
        <f t="shared" si="9"/>
        <v>2797031.9799999995</v>
      </c>
      <c r="L53" s="31">
        <f t="shared" si="10"/>
        <v>0</v>
      </c>
      <c r="M53" s="31">
        <f t="shared" si="10"/>
        <v>0</v>
      </c>
      <c r="N53" s="31">
        <f t="shared" si="10"/>
        <v>783.33333333333337</v>
      </c>
      <c r="O53" s="31">
        <f t="shared" si="10"/>
        <v>978.33333333333337</v>
      </c>
      <c r="P53" s="31">
        <f t="shared" si="10"/>
        <v>1250.4916666666666</v>
      </c>
      <c r="Q53" s="31">
        <f t="shared" si="10"/>
        <v>1146.125</v>
      </c>
      <c r="R53" s="31">
        <f t="shared" si="10"/>
        <v>1672.3333333333333</v>
      </c>
      <c r="S53" s="31">
        <f t="shared" si="10"/>
        <v>2357.7249999999999</v>
      </c>
      <c r="T53" s="31">
        <f t="shared" si="10"/>
        <v>2873.6416666666669</v>
      </c>
      <c r="U53" s="31">
        <f t="shared" si="10"/>
        <v>2847.4</v>
      </c>
      <c r="V53" s="31">
        <f t="shared" si="10"/>
        <v>2626.0333333333333</v>
      </c>
      <c r="W53" s="31">
        <f t="shared" si="10"/>
        <v>3747.05</v>
      </c>
      <c r="X53" s="31">
        <f t="shared" si="10"/>
        <v>6066.1208333333334</v>
      </c>
      <c r="Y53" s="31">
        <f t="shared" si="10"/>
        <v>4590.3249999999998</v>
      </c>
      <c r="Z53" s="31">
        <f t="shared" si="10"/>
        <v>4882.6349999999993</v>
      </c>
      <c r="AA53" s="31">
        <f t="shared" si="10"/>
        <v>0</v>
      </c>
      <c r="AB53" s="31">
        <f t="shared" si="8"/>
        <v>35821.547500000001</v>
      </c>
    </row>
    <row r="54" spans="1:28" s="4" customFormat="1" outlineLevel="1">
      <c r="A54" s="29" t="s">
        <v>54</v>
      </c>
      <c r="B54" s="29">
        <f t="shared" si="5"/>
        <v>2015</v>
      </c>
      <c r="C54" s="33" t="s">
        <v>47</v>
      </c>
      <c r="D54" s="56"/>
      <c r="E54" s="30">
        <f>SUM(D$5:D54)</f>
        <v>4298585.7</v>
      </c>
      <c r="F54" s="56"/>
      <c r="G54" s="56">
        <v>37257.129999999997</v>
      </c>
      <c r="H54" s="31">
        <f>SUM(G$5:G54)</f>
        <v>1538810.8500000003</v>
      </c>
      <c r="I54" s="56"/>
      <c r="J54" s="31">
        <f t="shared" si="9"/>
        <v>2759774.8499999996</v>
      </c>
      <c r="L54" s="31">
        <f t="shared" si="10"/>
        <v>0</v>
      </c>
      <c r="M54" s="31">
        <f t="shared" si="10"/>
        <v>0</v>
      </c>
      <c r="N54" s="31">
        <f t="shared" si="10"/>
        <v>783.33333333333337</v>
      </c>
      <c r="O54" s="31">
        <f t="shared" si="10"/>
        <v>978.33333333333337</v>
      </c>
      <c r="P54" s="31">
        <f t="shared" si="10"/>
        <v>1250.4916666666666</v>
      </c>
      <c r="Q54" s="31">
        <f t="shared" si="10"/>
        <v>1146.125</v>
      </c>
      <c r="R54" s="31">
        <f t="shared" si="10"/>
        <v>1672.3333333333333</v>
      </c>
      <c r="S54" s="31">
        <f t="shared" si="10"/>
        <v>2357.7249999999999</v>
      </c>
      <c r="T54" s="31">
        <f t="shared" si="10"/>
        <v>2873.6416666666669</v>
      </c>
      <c r="U54" s="31">
        <f t="shared" si="10"/>
        <v>2847.4</v>
      </c>
      <c r="V54" s="31">
        <f t="shared" si="10"/>
        <v>2626.0333333333333</v>
      </c>
      <c r="W54" s="31">
        <f t="shared" si="10"/>
        <v>3747.05</v>
      </c>
      <c r="X54" s="31">
        <f t="shared" si="10"/>
        <v>6066.1208333333334</v>
      </c>
      <c r="Y54" s="31">
        <f t="shared" si="10"/>
        <v>4590.3249999999998</v>
      </c>
      <c r="Z54" s="31">
        <f t="shared" si="10"/>
        <v>4882.6349999999993</v>
      </c>
      <c r="AA54" s="31">
        <f t="shared" si="10"/>
        <v>0</v>
      </c>
      <c r="AB54" s="31">
        <f t="shared" si="8"/>
        <v>35821.547500000001</v>
      </c>
    </row>
    <row r="55" spans="1:28" s="4" customFormat="1" outlineLevel="1">
      <c r="A55" s="29" t="s">
        <v>55</v>
      </c>
      <c r="B55" s="29">
        <f t="shared" si="5"/>
        <v>2015</v>
      </c>
      <c r="C55" s="33" t="s">
        <v>47</v>
      </c>
      <c r="D55" s="56"/>
      <c r="E55" s="30">
        <f>SUM(D$5:D55)</f>
        <v>4298585.7</v>
      </c>
      <c r="F55" s="56"/>
      <c r="G55" s="56">
        <v>41475.25</v>
      </c>
      <c r="H55" s="31">
        <f>SUM(G$5:G55)</f>
        <v>1580286.1000000003</v>
      </c>
      <c r="I55" s="56"/>
      <c r="J55" s="31">
        <f t="shared" si="9"/>
        <v>2718299.5999999996</v>
      </c>
      <c r="L55" s="31">
        <f t="shared" si="10"/>
        <v>0</v>
      </c>
      <c r="M55" s="31">
        <f t="shared" si="10"/>
        <v>0</v>
      </c>
      <c r="N55" s="31">
        <f t="shared" si="10"/>
        <v>783.33333333333337</v>
      </c>
      <c r="O55" s="31">
        <f t="shared" si="10"/>
        <v>978.33333333333337</v>
      </c>
      <c r="P55" s="31">
        <f t="shared" si="10"/>
        <v>1250.4916666666666</v>
      </c>
      <c r="Q55" s="31">
        <f t="shared" si="10"/>
        <v>1146.125</v>
      </c>
      <c r="R55" s="31">
        <f t="shared" si="10"/>
        <v>1672.3333333333333</v>
      </c>
      <c r="S55" s="31">
        <f t="shared" si="10"/>
        <v>2357.7249999999999</v>
      </c>
      <c r="T55" s="31">
        <f t="shared" si="10"/>
        <v>2873.6416666666669</v>
      </c>
      <c r="U55" s="31">
        <f t="shared" si="10"/>
        <v>2847.4</v>
      </c>
      <c r="V55" s="31">
        <f t="shared" si="10"/>
        <v>2626.0333333333333</v>
      </c>
      <c r="W55" s="31">
        <f t="shared" si="10"/>
        <v>3747.05</v>
      </c>
      <c r="X55" s="31">
        <f t="shared" si="10"/>
        <v>6066.1208333333334</v>
      </c>
      <c r="Y55" s="31">
        <f t="shared" si="10"/>
        <v>4590.3249999999998</v>
      </c>
      <c r="Z55" s="31">
        <f t="shared" si="10"/>
        <v>4882.6349999999993</v>
      </c>
      <c r="AA55" s="31">
        <f t="shared" si="10"/>
        <v>0</v>
      </c>
      <c r="AB55" s="31">
        <f t="shared" si="8"/>
        <v>35821.547500000001</v>
      </c>
    </row>
    <row r="56" spans="1:28" s="4" customFormat="1" outlineLevel="1">
      <c r="A56" s="29" t="s">
        <v>56</v>
      </c>
      <c r="B56" s="29">
        <f t="shared" si="5"/>
        <v>2015</v>
      </c>
      <c r="C56" s="33" t="s">
        <v>47</v>
      </c>
      <c r="D56" s="56"/>
      <c r="E56" s="30">
        <f>SUM(D$5:D56)</f>
        <v>4298585.7</v>
      </c>
      <c r="F56" s="56"/>
      <c r="G56" s="56">
        <v>53302.11</v>
      </c>
      <c r="H56" s="31">
        <f>SUM(G$5:G56)</f>
        <v>1633588.2100000004</v>
      </c>
      <c r="I56" s="56"/>
      <c r="J56" s="31">
        <f t="shared" si="9"/>
        <v>2664997.4899999998</v>
      </c>
      <c r="L56" s="31">
        <f t="shared" si="10"/>
        <v>0</v>
      </c>
      <c r="M56" s="31">
        <f t="shared" si="10"/>
        <v>0</v>
      </c>
      <c r="N56" s="31">
        <f t="shared" si="10"/>
        <v>783.33333333333337</v>
      </c>
      <c r="O56" s="31">
        <f t="shared" si="10"/>
        <v>978.33333333333337</v>
      </c>
      <c r="P56" s="31">
        <f t="shared" si="10"/>
        <v>1250.4916666666666</v>
      </c>
      <c r="Q56" s="31">
        <f t="shared" si="10"/>
        <v>1146.125</v>
      </c>
      <c r="R56" s="31">
        <f t="shared" si="10"/>
        <v>1672.3333333333333</v>
      </c>
      <c r="S56" s="31">
        <f t="shared" si="10"/>
        <v>2357.7249999999999</v>
      </c>
      <c r="T56" s="31">
        <f t="shared" si="10"/>
        <v>2873.6416666666669</v>
      </c>
      <c r="U56" s="31">
        <f t="shared" si="10"/>
        <v>2847.4</v>
      </c>
      <c r="V56" s="31">
        <f t="shared" si="10"/>
        <v>2626.0333333333333</v>
      </c>
      <c r="W56" s="31">
        <f t="shared" si="10"/>
        <v>3747.05</v>
      </c>
      <c r="X56" s="31">
        <f t="shared" si="10"/>
        <v>6066.1208333333334</v>
      </c>
      <c r="Y56" s="31">
        <f t="shared" si="10"/>
        <v>4590.3249999999998</v>
      </c>
      <c r="Z56" s="31">
        <f t="shared" si="10"/>
        <v>4882.6349999999993</v>
      </c>
      <c r="AA56" s="31">
        <f t="shared" si="10"/>
        <v>0</v>
      </c>
      <c r="AB56" s="31">
        <f t="shared" si="8"/>
        <v>35821.547500000001</v>
      </c>
    </row>
    <row r="57" spans="1:28" outlineLevel="1">
      <c r="A57" s="7" t="s">
        <v>57</v>
      </c>
      <c r="B57" s="7">
        <f t="shared" si="5"/>
        <v>2015</v>
      </c>
      <c r="C57" s="33" t="s">
        <v>47</v>
      </c>
      <c r="D57" s="56"/>
      <c r="E57" s="30">
        <f>SUM(D$5:D57)</f>
        <v>4298585.7</v>
      </c>
      <c r="F57" s="56"/>
      <c r="G57" s="56">
        <v>38484.18</v>
      </c>
      <c r="H57" s="30">
        <f>SUM(G$5:G57)</f>
        <v>1672072.3900000004</v>
      </c>
      <c r="I57" s="56"/>
      <c r="J57" s="30">
        <f t="shared" si="9"/>
        <v>2626513.3099999996</v>
      </c>
      <c r="L57" s="30">
        <f t="shared" si="10"/>
        <v>0</v>
      </c>
      <c r="M57" s="30">
        <f t="shared" si="10"/>
        <v>0</v>
      </c>
      <c r="N57" s="30">
        <f t="shared" si="10"/>
        <v>783.33333333333337</v>
      </c>
      <c r="O57" s="30">
        <f t="shared" si="10"/>
        <v>978.33333333333337</v>
      </c>
      <c r="P57" s="30">
        <f t="shared" si="10"/>
        <v>1250.4916666666666</v>
      </c>
      <c r="Q57" s="30">
        <f t="shared" si="10"/>
        <v>1146.125</v>
      </c>
      <c r="R57" s="30">
        <f t="shared" si="10"/>
        <v>1672.3333333333333</v>
      </c>
      <c r="S57" s="30">
        <f t="shared" si="10"/>
        <v>2357.7249999999999</v>
      </c>
      <c r="T57" s="30">
        <f t="shared" si="10"/>
        <v>2873.6416666666669</v>
      </c>
      <c r="U57" s="30">
        <f t="shared" si="10"/>
        <v>2847.4</v>
      </c>
      <c r="V57" s="30">
        <f t="shared" si="10"/>
        <v>2626.0333333333333</v>
      </c>
      <c r="W57" s="30">
        <f t="shared" si="10"/>
        <v>3747.05</v>
      </c>
      <c r="X57" s="30">
        <f t="shared" si="10"/>
        <v>6066.1208333333334</v>
      </c>
      <c r="Y57" s="30">
        <f t="shared" si="10"/>
        <v>4590.3249999999998</v>
      </c>
      <c r="Z57" s="30">
        <f t="shared" si="10"/>
        <v>4882.6349999999993</v>
      </c>
      <c r="AA57" s="30">
        <f t="shared" si="10"/>
        <v>0</v>
      </c>
      <c r="AB57" s="30">
        <f t="shared" si="8"/>
        <v>35821.547500000001</v>
      </c>
    </row>
    <row r="58" spans="1:28" outlineLevel="1">
      <c r="A58" s="7" t="s">
        <v>58</v>
      </c>
      <c r="B58" s="7">
        <f t="shared" si="5"/>
        <v>2015</v>
      </c>
      <c r="C58" s="33" t="s">
        <v>47</v>
      </c>
      <c r="D58" s="56"/>
      <c r="E58" s="30">
        <f>SUM(D$5:D58)</f>
        <v>4298585.7</v>
      </c>
      <c r="F58" s="56"/>
      <c r="G58" s="56">
        <v>44430.3</v>
      </c>
      <c r="H58" s="30">
        <f>SUM(G$5:G58)</f>
        <v>1716502.6900000004</v>
      </c>
      <c r="I58" s="56"/>
      <c r="J58" s="30">
        <f t="shared" si="9"/>
        <v>2582083.0099999998</v>
      </c>
      <c r="L58" s="30">
        <f t="shared" si="10"/>
        <v>0</v>
      </c>
      <c r="M58" s="30">
        <f t="shared" si="10"/>
        <v>0</v>
      </c>
      <c r="N58" s="30">
        <f t="shared" si="10"/>
        <v>783.33333333333337</v>
      </c>
      <c r="O58" s="30">
        <f t="shared" si="10"/>
        <v>978.33333333333337</v>
      </c>
      <c r="P58" s="30">
        <f t="shared" si="10"/>
        <v>1250.4916666666666</v>
      </c>
      <c r="Q58" s="30">
        <f t="shared" si="10"/>
        <v>1146.125</v>
      </c>
      <c r="R58" s="30">
        <f t="shared" si="10"/>
        <v>1672.3333333333333</v>
      </c>
      <c r="S58" s="30">
        <f t="shared" si="10"/>
        <v>2357.7249999999999</v>
      </c>
      <c r="T58" s="30">
        <f t="shared" si="10"/>
        <v>2873.6416666666669</v>
      </c>
      <c r="U58" s="30">
        <f t="shared" si="10"/>
        <v>2847.4</v>
      </c>
      <c r="V58" s="30">
        <f t="shared" si="10"/>
        <v>2626.0333333333333</v>
      </c>
      <c r="W58" s="30">
        <f t="shared" si="10"/>
        <v>3747.05</v>
      </c>
      <c r="X58" s="30">
        <f t="shared" si="10"/>
        <v>6066.1208333333334</v>
      </c>
      <c r="Y58" s="30">
        <f t="shared" si="10"/>
        <v>4590.3249999999998</v>
      </c>
      <c r="Z58" s="30">
        <f t="shared" si="10"/>
        <v>4882.6349999999993</v>
      </c>
      <c r="AA58" s="30">
        <f t="shared" si="10"/>
        <v>0</v>
      </c>
      <c r="AB58" s="30">
        <f t="shared" si="8"/>
        <v>35821.547500000001</v>
      </c>
    </row>
    <row r="59" spans="1:28" outlineLevel="1">
      <c r="A59" s="7" t="s">
        <v>59</v>
      </c>
      <c r="B59" s="7">
        <f t="shared" si="5"/>
        <v>2015</v>
      </c>
      <c r="C59" s="33" t="s">
        <v>47</v>
      </c>
      <c r="D59" s="56"/>
      <c r="E59" s="30">
        <f>SUM(D$5:D59)</f>
        <v>4298585.7</v>
      </c>
      <c r="F59" s="56"/>
      <c r="G59" s="56">
        <v>39460.74</v>
      </c>
      <c r="H59" s="30">
        <f>H58+G59</f>
        <v>1755963.4300000004</v>
      </c>
      <c r="I59" s="56"/>
      <c r="J59" s="30">
        <f t="shared" si="9"/>
        <v>2542622.2699999996</v>
      </c>
      <c r="L59" s="30">
        <f t="shared" si="10"/>
        <v>0</v>
      </c>
      <c r="M59" s="30">
        <f t="shared" si="10"/>
        <v>0</v>
      </c>
      <c r="N59" s="30">
        <f t="shared" si="10"/>
        <v>783.33333333333337</v>
      </c>
      <c r="O59" s="30">
        <f t="shared" si="10"/>
        <v>978.33333333333337</v>
      </c>
      <c r="P59" s="30">
        <f t="shared" si="10"/>
        <v>1250.4916666666666</v>
      </c>
      <c r="Q59" s="30">
        <f t="shared" si="10"/>
        <v>1146.125</v>
      </c>
      <c r="R59" s="30">
        <f t="shared" si="10"/>
        <v>1672.3333333333333</v>
      </c>
      <c r="S59" s="30">
        <f t="shared" si="10"/>
        <v>2357.7249999999999</v>
      </c>
      <c r="T59" s="30">
        <f t="shared" si="10"/>
        <v>2873.6416666666669</v>
      </c>
      <c r="U59" s="30">
        <f t="shared" si="10"/>
        <v>2847.4</v>
      </c>
      <c r="V59" s="30">
        <f t="shared" si="10"/>
        <v>2626.0333333333333</v>
      </c>
      <c r="W59" s="30">
        <f t="shared" si="10"/>
        <v>3747.05</v>
      </c>
      <c r="X59" s="30">
        <f t="shared" si="10"/>
        <v>6066.1208333333334</v>
      </c>
      <c r="Y59" s="30">
        <f t="shared" si="10"/>
        <v>4590.3249999999998</v>
      </c>
      <c r="Z59" s="30">
        <f t="shared" si="10"/>
        <v>4882.6349999999993</v>
      </c>
      <c r="AA59" s="30">
        <f t="shared" si="10"/>
        <v>0</v>
      </c>
      <c r="AB59" s="30">
        <f t="shared" si="8"/>
        <v>35821.547500000001</v>
      </c>
    </row>
    <row r="60" spans="1:28" outlineLevel="1">
      <c r="A60" s="7" t="s">
        <v>46</v>
      </c>
      <c r="B60" s="7">
        <f t="shared" si="5"/>
        <v>2015</v>
      </c>
      <c r="C60" s="33" t="s">
        <v>47</v>
      </c>
      <c r="D60" s="56"/>
      <c r="E60" s="30">
        <f>SUM(D$5:D60)</f>
        <v>4298585.7</v>
      </c>
      <c r="F60" s="56"/>
      <c r="G60" s="56">
        <v>37917.67</v>
      </c>
      <c r="H60" s="30">
        <f t="shared" ref="H60:H123" si="11">H59+G60</f>
        <v>1793881.1000000003</v>
      </c>
      <c r="I60" s="56"/>
      <c r="J60" s="30">
        <f t="shared" si="9"/>
        <v>2504704.5999999996</v>
      </c>
      <c r="L60" s="30">
        <f t="shared" si="10"/>
        <v>0</v>
      </c>
      <c r="M60" s="30">
        <f t="shared" si="10"/>
        <v>0</v>
      </c>
      <c r="N60" s="30">
        <f t="shared" si="10"/>
        <v>783.33333333333337</v>
      </c>
      <c r="O60" s="30">
        <f t="shared" si="10"/>
        <v>978.33333333333337</v>
      </c>
      <c r="P60" s="30">
        <f t="shared" si="10"/>
        <v>1250.4916666666666</v>
      </c>
      <c r="Q60" s="30">
        <f t="shared" si="10"/>
        <v>1146.125</v>
      </c>
      <c r="R60" s="30">
        <f t="shared" si="10"/>
        <v>1672.3333333333333</v>
      </c>
      <c r="S60" s="30">
        <f>+S59</f>
        <v>2357.7249999999999</v>
      </c>
      <c r="T60" s="30">
        <f t="shared" si="10"/>
        <v>2873.6416666666669</v>
      </c>
      <c r="U60" s="30">
        <f t="shared" si="10"/>
        <v>2847.4</v>
      </c>
      <c r="V60" s="30">
        <f t="shared" si="10"/>
        <v>2626.0333333333333</v>
      </c>
      <c r="W60" s="30">
        <f t="shared" si="10"/>
        <v>3747.05</v>
      </c>
      <c r="X60" s="30">
        <f t="shared" si="10"/>
        <v>6066.1208333333334</v>
      </c>
      <c r="Y60" s="30">
        <f t="shared" si="10"/>
        <v>4590.3249999999998</v>
      </c>
      <c r="Z60" s="30">
        <f t="shared" si="10"/>
        <v>4882.6349999999993</v>
      </c>
      <c r="AA60" s="30">
        <f t="shared" si="10"/>
        <v>0</v>
      </c>
      <c r="AB60" s="30">
        <f t="shared" si="8"/>
        <v>35821.547500000001</v>
      </c>
    </row>
    <row r="61" spans="1:28" outlineLevel="1">
      <c r="A61" s="7" t="s">
        <v>48</v>
      </c>
      <c r="B61" s="7">
        <f t="shared" si="5"/>
        <v>2015</v>
      </c>
      <c r="C61" s="33" t="s">
        <v>47</v>
      </c>
      <c r="D61" s="56"/>
      <c r="E61" s="30">
        <f>SUM(D$5:D61)</f>
        <v>4298585.7</v>
      </c>
      <c r="F61" s="56"/>
      <c r="G61" s="56">
        <v>50511.47</v>
      </c>
      <c r="H61" s="30">
        <f t="shared" si="11"/>
        <v>1844392.5700000003</v>
      </c>
      <c r="I61" s="56"/>
      <c r="J61" s="30">
        <f t="shared" si="9"/>
        <v>2454193.13</v>
      </c>
      <c r="L61" s="30">
        <f t="shared" si="10"/>
        <v>0</v>
      </c>
      <c r="M61" s="30">
        <f t="shared" si="10"/>
        <v>0</v>
      </c>
      <c r="N61" s="30">
        <f t="shared" si="10"/>
        <v>783.33333333333337</v>
      </c>
      <c r="O61" s="30">
        <f t="shared" si="10"/>
        <v>978.33333333333337</v>
      </c>
      <c r="P61" s="30">
        <f t="shared" si="10"/>
        <v>1250.4916666666666</v>
      </c>
      <c r="Q61" s="30">
        <f t="shared" si="10"/>
        <v>1146.125</v>
      </c>
      <c r="R61" s="30">
        <f t="shared" si="10"/>
        <v>1672.3333333333333</v>
      </c>
      <c r="S61" s="30">
        <f>+S60</f>
        <v>2357.7249999999999</v>
      </c>
      <c r="T61" s="30">
        <f>+T60</f>
        <v>2873.6416666666669</v>
      </c>
      <c r="U61" s="30">
        <f t="shared" si="10"/>
        <v>2847.4</v>
      </c>
      <c r="V61" s="30">
        <f t="shared" si="10"/>
        <v>2626.0333333333333</v>
      </c>
      <c r="W61" s="30">
        <f t="shared" si="10"/>
        <v>3747.05</v>
      </c>
      <c r="X61" s="30">
        <f t="shared" si="10"/>
        <v>6066.1208333333334</v>
      </c>
      <c r="Y61" s="30">
        <f t="shared" si="10"/>
        <v>4590.3249999999998</v>
      </c>
      <c r="Z61" s="30">
        <f t="shared" si="10"/>
        <v>4882.6349999999993</v>
      </c>
      <c r="AA61" s="30">
        <f t="shared" si="10"/>
        <v>0</v>
      </c>
      <c r="AB61" s="30">
        <f t="shared" si="8"/>
        <v>35821.547500000001</v>
      </c>
    </row>
    <row r="62" spans="1:28" outlineLevel="1">
      <c r="A62" s="7" t="s">
        <v>50</v>
      </c>
      <c r="B62" s="7">
        <f t="shared" si="5"/>
        <v>2015</v>
      </c>
      <c r="C62" s="33" t="s">
        <v>47</v>
      </c>
      <c r="D62" s="56"/>
      <c r="E62" s="30">
        <f>SUM(D$5:D62)</f>
        <v>4298585.7</v>
      </c>
      <c r="F62" s="56"/>
      <c r="G62" s="326">
        <v>39350.9</v>
      </c>
      <c r="H62" s="30">
        <f t="shared" si="11"/>
        <v>1883743.4700000002</v>
      </c>
      <c r="I62" s="56"/>
      <c r="J62" s="30">
        <f t="shared" si="9"/>
        <v>2414842.23</v>
      </c>
      <c r="L62" s="30">
        <f t="shared" si="10"/>
        <v>0</v>
      </c>
      <c r="M62" s="30">
        <f t="shared" si="10"/>
        <v>0</v>
      </c>
      <c r="N62" s="30">
        <f t="shared" si="10"/>
        <v>783.33333333333337</v>
      </c>
      <c r="O62" s="30">
        <f t="shared" si="10"/>
        <v>978.33333333333337</v>
      </c>
      <c r="P62" s="30">
        <f t="shared" si="10"/>
        <v>1250.4916666666666</v>
      </c>
      <c r="Q62" s="30">
        <f t="shared" si="10"/>
        <v>1146.125</v>
      </c>
      <c r="R62" s="30">
        <f t="shared" si="10"/>
        <v>1672.3333333333333</v>
      </c>
      <c r="S62" s="30">
        <f>+S61</f>
        <v>2357.7249999999999</v>
      </c>
      <c r="T62" s="30">
        <f>+T61</f>
        <v>2873.6416666666669</v>
      </c>
      <c r="U62" s="30">
        <f>+U61</f>
        <v>2847.4</v>
      </c>
      <c r="V62" s="30">
        <f t="shared" si="10"/>
        <v>2626.0333333333333</v>
      </c>
      <c r="W62" s="30">
        <f t="shared" si="10"/>
        <v>3747.05</v>
      </c>
      <c r="X62" s="30">
        <f t="shared" si="10"/>
        <v>6066.1208333333334</v>
      </c>
      <c r="Y62" s="30">
        <f t="shared" si="10"/>
        <v>4590.3249999999998</v>
      </c>
      <c r="Z62" s="30">
        <f t="shared" si="10"/>
        <v>4882.6349999999993</v>
      </c>
      <c r="AA62" s="30">
        <f t="shared" si="10"/>
        <v>0</v>
      </c>
      <c r="AB62" s="30">
        <f t="shared" si="8"/>
        <v>35821.547500000001</v>
      </c>
    </row>
    <row r="63" spans="1:28" outlineLevel="1">
      <c r="A63" s="7" t="s">
        <v>51</v>
      </c>
      <c r="B63" s="7">
        <f t="shared" si="5"/>
        <v>2015</v>
      </c>
      <c r="C63" s="33" t="s">
        <v>47</v>
      </c>
      <c r="D63" s="56"/>
      <c r="E63" s="30">
        <f>SUM(D$5:D63)</f>
        <v>4298585.7</v>
      </c>
      <c r="F63" s="56"/>
      <c r="G63" s="326">
        <v>43615.92</v>
      </c>
      <c r="H63" s="30">
        <f t="shared" si="11"/>
        <v>1927359.3900000001</v>
      </c>
      <c r="I63" s="56"/>
      <c r="J63" s="30">
        <f t="shared" si="9"/>
        <v>2371226.31</v>
      </c>
      <c r="L63" s="30">
        <f t="shared" si="10"/>
        <v>0</v>
      </c>
      <c r="M63" s="30">
        <f t="shared" si="10"/>
        <v>0</v>
      </c>
      <c r="N63" s="30">
        <f t="shared" si="10"/>
        <v>783.33333333333337</v>
      </c>
      <c r="O63" s="30">
        <f t="shared" si="10"/>
        <v>978.33333333333337</v>
      </c>
      <c r="P63" s="30">
        <f t="shared" si="10"/>
        <v>1250.4916666666666</v>
      </c>
      <c r="Q63" s="30">
        <f t="shared" si="10"/>
        <v>1146.125</v>
      </c>
      <c r="R63" s="30">
        <f t="shared" si="10"/>
        <v>1672.3333333333333</v>
      </c>
      <c r="S63" s="30">
        <f>+S62</f>
        <v>2357.7249999999999</v>
      </c>
      <c r="T63" s="30">
        <f>+T62</f>
        <v>2873.6416666666669</v>
      </c>
      <c r="U63" s="30">
        <f>+U62</f>
        <v>2847.4</v>
      </c>
      <c r="V63" s="30">
        <f>+V62</f>
        <v>2626.0333333333333</v>
      </c>
      <c r="W63" s="30">
        <f t="shared" si="10"/>
        <v>3747.05</v>
      </c>
      <c r="X63" s="30">
        <f t="shared" si="10"/>
        <v>6066.1208333333334</v>
      </c>
      <c r="Y63" s="30">
        <f t="shared" si="10"/>
        <v>4590.3249999999998</v>
      </c>
      <c r="Z63" s="30">
        <f t="shared" si="10"/>
        <v>4882.6349999999993</v>
      </c>
      <c r="AA63" s="30">
        <f t="shared" si="10"/>
        <v>0</v>
      </c>
      <c r="AB63" s="30">
        <f t="shared" si="8"/>
        <v>35821.547500000001</v>
      </c>
    </row>
    <row r="64" spans="1:28" outlineLevel="1">
      <c r="A64" s="7" t="s">
        <v>52</v>
      </c>
      <c r="B64" s="7">
        <f t="shared" si="5"/>
        <v>2015</v>
      </c>
      <c r="C64" s="33" t="s">
        <v>47</v>
      </c>
      <c r="D64" s="56"/>
      <c r="E64" s="30">
        <f>SUM(D$5:D64)</f>
        <v>4298585.7</v>
      </c>
      <c r="F64" s="56"/>
      <c r="G64" s="326">
        <v>34594.35</v>
      </c>
      <c r="H64" s="30">
        <f t="shared" si="11"/>
        <v>1961953.7400000002</v>
      </c>
      <c r="I64" s="56"/>
      <c r="J64" s="30">
        <f t="shared" si="9"/>
        <v>2336631.96</v>
      </c>
      <c r="L64" s="30">
        <f t="shared" si="10"/>
        <v>0</v>
      </c>
      <c r="M64" s="30">
        <f t="shared" si="10"/>
        <v>0</v>
      </c>
      <c r="N64" s="30">
        <f t="shared" si="10"/>
        <v>783.33333333333337</v>
      </c>
      <c r="O64" s="30">
        <f t="shared" si="10"/>
        <v>978.33333333333337</v>
      </c>
      <c r="P64" s="30">
        <f t="shared" si="10"/>
        <v>1250.4916666666666</v>
      </c>
      <c r="Q64" s="30">
        <f t="shared" si="10"/>
        <v>1146.125</v>
      </c>
      <c r="R64" s="30">
        <f t="shared" si="10"/>
        <v>1672.3333333333333</v>
      </c>
      <c r="S64" s="30">
        <f>+S63</f>
        <v>2357.7249999999999</v>
      </c>
      <c r="T64" s="30">
        <f>+T63</f>
        <v>2873.6416666666669</v>
      </c>
      <c r="U64" s="30">
        <f>+U63</f>
        <v>2847.4</v>
      </c>
      <c r="V64" s="30">
        <f>+V63</f>
        <v>2626.0333333333333</v>
      </c>
      <c r="W64" s="30">
        <f>+W63</f>
        <v>3747.05</v>
      </c>
      <c r="X64" s="30">
        <f t="shared" si="10"/>
        <v>6066.1208333333334</v>
      </c>
      <c r="Y64" s="30">
        <f t="shared" si="10"/>
        <v>4590.3249999999998</v>
      </c>
      <c r="Z64" s="30">
        <f t="shared" si="10"/>
        <v>4882.6349999999993</v>
      </c>
      <c r="AA64" s="30">
        <f t="shared" si="10"/>
        <v>0</v>
      </c>
      <c r="AB64" s="30">
        <f t="shared" si="8"/>
        <v>35821.547500000001</v>
      </c>
    </row>
    <row r="65" spans="1:28" outlineLevel="1">
      <c r="A65" s="7" t="s">
        <v>53</v>
      </c>
      <c r="B65" s="7">
        <f t="shared" si="5"/>
        <v>2016</v>
      </c>
      <c r="C65" s="33" t="s">
        <v>47</v>
      </c>
      <c r="D65" s="56"/>
      <c r="E65" s="30">
        <f>SUM(D$5:D65)</f>
        <v>4298585.7</v>
      </c>
      <c r="F65" s="56"/>
      <c r="G65" s="326">
        <v>31621.37</v>
      </c>
      <c r="H65" s="30">
        <f t="shared" si="11"/>
        <v>1993575.1100000003</v>
      </c>
      <c r="I65" s="56"/>
      <c r="J65" s="30">
        <f t="shared" si="9"/>
        <v>2305010.59</v>
      </c>
      <c r="L65" s="30">
        <f>+L64</f>
        <v>0</v>
      </c>
      <c r="M65" s="30">
        <f t="shared" si="10"/>
        <v>0</v>
      </c>
      <c r="N65" s="30">
        <f t="shared" si="10"/>
        <v>783.33333333333337</v>
      </c>
      <c r="O65" s="30">
        <f t="shared" si="10"/>
        <v>978.33333333333337</v>
      </c>
      <c r="P65" s="30">
        <f t="shared" si="10"/>
        <v>1250.4916666666666</v>
      </c>
      <c r="Q65" s="30">
        <f t="shared" si="10"/>
        <v>1146.125</v>
      </c>
      <c r="R65" s="30">
        <f t="shared" si="10"/>
        <v>1672.3333333333333</v>
      </c>
      <c r="S65" s="30">
        <f t="shared" si="10"/>
        <v>2357.7249999999999</v>
      </c>
      <c r="T65" s="30">
        <f t="shared" si="10"/>
        <v>2873.6416666666669</v>
      </c>
      <c r="U65" s="30">
        <f t="shared" si="10"/>
        <v>2847.4</v>
      </c>
      <c r="V65" s="30">
        <f t="shared" si="10"/>
        <v>2626.0333333333333</v>
      </c>
      <c r="W65" s="30">
        <f t="shared" si="10"/>
        <v>3747.05</v>
      </c>
      <c r="X65" s="30">
        <f t="shared" si="10"/>
        <v>6066.1208333333334</v>
      </c>
      <c r="Y65" s="30">
        <f t="shared" si="10"/>
        <v>4590.3249999999998</v>
      </c>
      <c r="Z65" s="30">
        <f t="shared" si="10"/>
        <v>4882.6349999999993</v>
      </c>
      <c r="AA65" s="30">
        <f t="shared" si="10"/>
        <v>0</v>
      </c>
      <c r="AB65" s="30">
        <f t="shared" si="8"/>
        <v>35821.547500000001</v>
      </c>
    </row>
    <row r="66" spans="1:28" outlineLevel="1">
      <c r="A66" s="7" t="s">
        <v>54</v>
      </c>
      <c r="B66" s="7">
        <f t="shared" si="5"/>
        <v>2016</v>
      </c>
      <c r="C66" s="33" t="s">
        <v>47</v>
      </c>
      <c r="D66" s="56"/>
      <c r="E66" s="30">
        <f>SUM(D$5:D66)</f>
        <v>4298585.7</v>
      </c>
      <c r="F66" s="56"/>
      <c r="G66" s="326">
        <v>39435.51</v>
      </c>
      <c r="H66" s="30">
        <f t="shared" si="11"/>
        <v>2033010.6200000003</v>
      </c>
      <c r="I66" s="56"/>
      <c r="J66" s="30">
        <f t="shared" si="9"/>
        <v>2265575.08</v>
      </c>
      <c r="L66" s="30">
        <f t="shared" ref="L66:AA78" si="12">+L65</f>
        <v>0</v>
      </c>
      <c r="M66" s="30">
        <f t="shared" si="12"/>
        <v>0</v>
      </c>
      <c r="N66" s="30">
        <f t="shared" si="12"/>
        <v>783.33333333333337</v>
      </c>
      <c r="O66" s="30">
        <f t="shared" si="12"/>
        <v>978.33333333333337</v>
      </c>
      <c r="P66" s="30">
        <f t="shared" si="12"/>
        <v>1250.4916666666666</v>
      </c>
      <c r="Q66" s="30">
        <f t="shared" si="12"/>
        <v>1146.125</v>
      </c>
      <c r="R66" s="30">
        <f t="shared" si="12"/>
        <v>1672.3333333333333</v>
      </c>
      <c r="S66" s="30">
        <f t="shared" si="12"/>
        <v>2357.7249999999999</v>
      </c>
      <c r="T66" s="30">
        <f t="shared" si="12"/>
        <v>2873.6416666666669</v>
      </c>
      <c r="U66" s="30">
        <f t="shared" si="12"/>
        <v>2847.4</v>
      </c>
      <c r="V66" s="30">
        <f t="shared" si="12"/>
        <v>2626.0333333333333</v>
      </c>
      <c r="W66" s="30">
        <f t="shared" si="12"/>
        <v>3747.05</v>
      </c>
      <c r="X66" s="30">
        <f t="shared" si="12"/>
        <v>6066.1208333333334</v>
      </c>
      <c r="Y66" s="30">
        <f t="shared" si="12"/>
        <v>4590.3249999999998</v>
      </c>
      <c r="Z66" s="30">
        <f t="shared" si="12"/>
        <v>4882.6349999999993</v>
      </c>
      <c r="AA66" s="30">
        <f t="shared" si="12"/>
        <v>0</v>
      </c>
      <c r="AB66" s="30">
        <f t="shared" si="8"/>
        <v>35821.547500000001</v>
      </c>
    </row>
    <row r="67" spans="1:28" outlineLevel="1">
      <c r="A67" s="7" t="s">
        <v>55</v>
      </c>
      <c r="B67" s="7">
        <f t="shared" si="5"/>
        <v>2016</v>
      </c>
      <c r="C67" s="33" t="s">
        <v>47</v>
      </c>
      <c r="D67" s="56"/>
      <c r="E67" s="30">
        <f>SUM(D$5:D67)</f>
        <v>4298585.7</v>
      </c>
      <c r="F67" s="56"/>
      <c r="G67" s="326">
        <v>46454.43</v>
      </c>
      <c r="H67" s="30">
        <f t="shared" si="11"/>
        <v>2079465.0500000003</v>
      </c>
      <c r="I67" s="56"/>
      <c r="J67" s="30">
        <f t="shared" si="9"/>
        <v>2219120.65</v>
      </c>
      <c r="L67" s="30">
        <f t="shared" si="12"/>
        <v>0</v>
      </c>
      <c r="M67" s="30">
        <f t="shared" si="12"/>
        <v>0</v>
      </c>
      <c r="N67" s="30">
        <f t="shared" si="12"/>
        <v>783.33333333333337</v>
      </c>
      <c r="O67" s="30">
        <f t="shared" si="12"/>
        <v>978.33333333333337</v>
      </c>
      <c r="P67" s="30">
        <f t="shared" si="12"/>
        <v>1250.4916666666666</v>
      </c>
      <c r="Q67" s="30">
        <f t="shared" si="12"/>
        <v>1146.125</v>
      </c>
      <c r="R67" s="30">
        <f t="shared" si="12"/>
        <v>1672.3333333333333</v>
      </c>
      <c r="S67" s="30">
        <f t="shared" si="12"/>
        <v>2357.7249999999999</v>
      </c>
      <c r="T67" s="30">
        <f t="shared" si="12"/>
        <v>2873.6416666666669</v>
      </c>
      <c r="U67" s="30">
        <f t="shared" si="12"/>
        <v>2847.4</v>
      </c>
      <c r="V67" s="30">
        <f t="shared" si="12"/>
        <v>2626.0333333333333</v>
      </c>
      <c r="W67" s="30">
        <f t="shared" si="12"/>
        <v>3747.05</v>
      </c>
      <c r="X67" s="30">
        <f t="shared" si="12"/>
        <v>6066.1208333333334</v>
      </c>
      <c r="Y67" s="30">
        <f t="shared" si="12"/>
        <v>4590.3249999999998</v>
      </c>
      <c r="Z67" s="30">
        <f t="shared" si="12"/>
        <v>4882.6349999999993</v>
      </c>
      <c r="AA67" s="30">
        <f t="shared" si="12"/>
        <v>0</v>
      </c>
      <c r="AB67" s="30">
        <f t="shared" si="8"/>
        <v>35821.547500000001</v>
      </c>
    </row>
    <row r="68" spans="1:28" outlineLevel="1">
      <c r="A68" s="7" t="s">
        <v>56</v>
      </c>
      <c r="B68" s="7">
        <f t="shared" si="5"/>
        <v>2016</v>
      </c>
      <c r="C68" s="33" t="s">
        <v>47</v>
      </c>
      <c r="D68" s="56"/>
      <c r="E68" s="30">
        <f>SUM(D$5:D68)</f>
        <v>4298585.7</v>
      </c>
      <c r="F68" s="56"/>
      <c r="G68" s="326">
        <v>38126.080000000002</v>
      </c>
      <c r="H68" s="30">
        <f t="shared" si="11"/>
        <v>2117591.1300000004</v>
      </c>
      <c r="I68" s="56"/>
      <c r="J68" s="30">
        <f t="shared" si="9"/>
        <v>2180994.5699999998</v>
      </c>
      <c r="L68" s="30">
        <f t="shared" si="12"/>
        <v>0</v>
      </c>
      <c r="M68" s="30">
        <f t="shared" si="12"/>
        <v>0</v>
      </c>
      <c r="N68" s="30">
        <f t="shared" si="12"/>
        <v>783.33333333333337</v>
      </c>
      <c r="O68" s="30">
        <f t="shared" si="12"/>
        <v>978.33333333333337</v>
      </c>
      <c r="P68" s="30">
        <f t="shared" si="12"/>
        <v>1250.4916666666666</v>
      </c>
      <c r="Q68" s="30">
        <f t="shared" si="12"/>
        <v>1146.125</v>
      </c>
      <c r="R68" s="30">
        <f t="shared" si="12"/>
        <v>1672.3333333333333</v>
      </c>
      <c r="S68" s="30">
        <f t="shared" si="12"/>
        <v>2357.7249999999999</v>
      </c>
      <c r="T68" s="30">
        <f t="shared" si="12"/>
        <v>2873.6416666666669</v>
      </c>
      <c r="U68" s="30">
        <f t="shared" si="12"/>
        <v>2847.4</v>
      </c>
      <c r="V68" s="30">
        <f t="shared" si="12"/>
        <v>2626.0333333333333</v>
      </c>
      <c r="W68" s="30">
        <f t="shared" si="12"/>
        <v>3747.05</v>
      </c>
      <c r="X68" s="30">
        <f t="shared" si="12"/>
        <v>6066.1208333333334</v>
      </c>
      <c r="Y68" s="30">
        <f t="shared" si="12"/>
        <v>4590.3249999999998</v>
      </c>
      <c r="Z68" s="30">
        <f t="shared" si="12"/>
        <v>4882.6349999999993</v>
      </c>
      <c r="AA68" s="30">
        <f t="shared" si="12"/>
        <v>0</v>
      </c>
      <c r="AB68" s="30">
        <f t="shared" si="8"/>
        <v>35821.547500000001</v>
      </c>
    </row>
    <row r="69" spans="1:28" outlineLevel="1">
      <c r="A69" s="7" t="s">
        <v>57</v>
      </c>
      <c r="B69" s="7">
        <f t="shared" si="5"/>
        <v>2016</v>
      </c>
      <c r="C69" s="33" t="s">
        <v>47</v>
      </c>
      <c r="D69" s="56"/>
      <c r="E69" s="30">
        <f>SUM(D$5:D69)</f>
        <v>4298585.7</v>
      </c>
      <c r="F69" s="56"/>
      <c r="G69" s="326">
        <v>32626.44</v>
      </c>
      <c r="H69" s="30">
        <f t="shared" si="11"/>
        <v>2150217.5700000003</v>
      </c>
      <c r="I69" s="56"/>
      <c r="J69" s="30">
        <f t="shared" si="9"/>
        <v>2148368.13</v>
      </c>
      <c r="L69" s="30">
        <f t="shared" si="12"/>
        <v>0</v>
      </c>
      <c r="M69" s="30">
        <f t="shared" si="12"/>
        <v>0</v>
      </c>
      <c r="N69" s="30">
        <f t="shared" si="12"/>
        <v>783.33333333333337</v>
      </c>
      <c r="O69" s="30">
        <f t="shared" si="12"/>
        <v>978.33333333333337</v>
      </c>
      <c r="P69" s="30">
        <f t="shared" si="12"/>
        <v>1250.4916666666666</v>
      </c>
      <c r="Q69" s="30">
        <f t="shared" si="12"/>
        <v>1146.125</v>
      </c>
      <c r="R69" s="30">
        <f t="shared" si="12"/>
        <v>1672.3333333333333</v>
      </c>
      <c r="S69" s="30">
        <f t="shared" si="12"/>
        <v>2357.7249999999999</v>
      </c>
      <c r="T69" s="30">
        <f t="shared" si="12"/>
        <v>2873.6416666666669</v>
      </c>
      <c r="U69" s="30">
        <f t="shared" si="12"/>
        <v>2847.4</v>
      </c>
      <c r="V69" s="30">
        <f t="shared" si="12"/>
        <v>2626.0333333333333</v>
      </c>
      <c r="W69" s="30">
        <f t="shared" si="12"/>
        <v>3747.05</v>
      </c>
      <c r="X69" s="30">
        <f t="shared" si="12"/>
        <v>6066.1208333333334</v>
      </c>
      <c r="Y69" s="30">
        <f t="shared" si="12"/>
        <v>4590.3249999999998</v>
      </c>
      <c r="Z69" s="30">
        <f t="shared" si="12"/>
        <v>4882.6349999999993</v>
      </c>
      <c r="AA69" s="30">
        <f t="shared" si="12"/>
        <v>0</v>
      </c>
      <c r="AB69" s="30">
        <f t="shared" ref="AB69:AB100" si="13">SUM(L69:AA69)</f>
        <v>35821.547500000001</v>
      </c>
    </row>
    <row r="70" spans="1:28" outlineLevel="1">
      <c r="A70" s="7" t="s">
        <v>58</v>
      </c>
      <c r="B70" s="7">
        <f t="shared" si="5"/>
        <v>2016</v>
      </c>
      <c r="C70" s="33" t="s">
        <v>47</v>
      </c>
      <c r="D70" s="56"/>
      <c r="E70" s="30">
        <f>SUM(D$5:D70)</f>
        <v>4298585.7</v>
      </c>
      <c r="F70" s="56"/>
      <c r="G70" s="326">
        <v>43800.01</v>
      </c>
      <c r="H70" s="30">
        <f t="shared" si="11"/>
        <v>2194017.58</v>
      </c>
      <c r="I70" s="56"/>
      <c r="J70" s="30">
        <f t="shared" si="9"/>
        <v>2104568.12</v>
      </c>
      <c r="L70" s="30">
        <f t="shared" si="12"/>
        <v>0</v>
      </c>
      <c r="M70" s="30">
        <f t="shared" si="12"/>
        <v>0</v>
      </c>
      <c r="N70" s="30">
        <f t="shared" si="12"/>
        <v>783.33333333333337</v>
      </c>
      <c r="O70" s="30">
        <f t="shared" si="12"/>
        <v>978.33333333333337</v>
      </c>
      <c r="P70" s="30">
        <f t="shared" si="12"/>
        <v>1250.4916666666666</v>
      </c>
      <c r="Q70" s="30">
        <f t="shared" si="12"/>
        <v>1146.125</v>
      </c>
      <c r="R70" s="30">
        <f t="shared" si="12"/>
        <v>1672.3333333333333</v>
      </c>
      <c r="S70" s="30">
        <f t="shared" si="12"/>
        <v>2357.7249999999999</v>
      </c>
      <c r="T70" s="30">
        <f t="shared" si="12"/>
        <v>2873.6416666666669</v>
      </c>
      <c r="U70" s="30">
        <f t="shared" si="12"/>
        <v>2847.4</v>
      </c>
      <c r="V70" s="30">
        <f t="shared" si="12"/>
        <v>2626.0333333333333</v>
      </c>
      <c r="W70" s="30">
        <f t="shared" si="12"/>
        <v>3747.05</v>
      </c>
      <c r="X70" s="30">
        <f t="shared" si="12"/>
        <v>6066.1208333333334</v>
      </c>
      <c r="Y70" s="30">
        <f t="shared" si="12"/>
        <v>4590.3249999999998</v>
      </c>
      <c r="Z70" s="30">
        <f t="shared" si="12"/>
        <v>4882.6349999999993</v>
      </c>
      <c r="AA70" s="30">
        <f t="shared" si="12"/>
        <v>0</v>
      </c>
      <c r="AB70" s="30">
        <f t="shared" si="13"/>
        <v>35821.547500000001</v>
      </c>
    </row>
    <row r="71" spans="1:28">
      <c r="A71" s="7" t="s">
        <v>59</v>
      </c>
      <c r="B71" s="7">
        <f t="shared" si="5"/>
        <v>2016</v>
      </c>
      <c r="C71" s="33" t="s">
        <v>47</v>
      </c>
      <c r="D71" s="56"/>
      <c r="E71" s="30">
        <f>SUM(D$5:D71)</f>
        <v>4298585.7</v>
      </c>
      <c r="F71" s="56"/>
      <c r="G71" s="326">
        <v>33334.65</v>
      </c>
      <c r="H71" s="30">
        <f t="shared" si="11"/>
        <v>2227352.23</v>
      </c>
      <c r="I71" s="56"/>
      <c r="J71" s="30">
        <f t="shared" si="9"/>
        <v>2071233.4700000002</v>
      </c>
      <c r="L71" s="30">
        <f t="shared" si="12"/>
        <v>0</v>
      </c>
      <c r="M71" s="30">
        <f t="shared" si="12"/>
        <v>0</v>
      </c>
      <c r="N71" s="30">
        <f t="shared" si="12"/>
        <v>783.33333333333337</v>
      </c>
      <c r="O71" s="30">
        <f t="shared" si="12"/>
        <v>978.33333333333337</v>
      </c>
      <c r="P71" s="30">
        <f t="shared" si="12"/>
        <v>1250.4916666666666</v>
      </c>
      <c r="Q71" s="30">
        <f t="shared" si="12"/>
        <v>1146.125</v>
      </c>
      <c r="R71" s="30">
        <f t="shared" si="12"/>
        <v>1672.3333333333333</v>
      </c>
      <c r="S71" s="30">
        <f t="shared" si="12"/>
        <v>2357.7249999999999</v>
      </c>
      <c r="T71" s="30">
        <f t="shared" si="12"/>
        <v>2873.6416666666669</v>
      </c>
      <c r="U71" s="30">
        <f t="shared" si="12"/>
        <v>2847.4</v>
      </c>
      <c r="V71" s="30">
        <f t="shared" si="12"/>
        <v>2626.0333333333333</v>
      </c>
      <c r="W71" s="30">
        <f t="shared" si="12"/>
        <v>3747.05</v>
      </c>
      <c r="X71" s="30">
        <f t="shared" si="12"/>
        <v>6066.1208333333334</v>
      </c>
      <c r="Y71" s="30">
        <f t="shared" si="12"/>
        <v>4590.3249999999998</v>
      </c>
      <c r="Z71" s="30">
        <f t="shared" si="12"/>
        <v>4882.6349999999993</v>
      </c>
      <c r="AA71" s="30">
        <f t="shared" si="12"/>
        <v>0</v>
      </c>
      <c r="AB71" s="30">
        <f t="shared" si="13"/>
        <v>35821.547500000001</v>
      </c>
    </row>
    <row r="72" spans="1:28">
      <c r="A72" s="7" t="s">
        <v>46</v>
      </c>
      <c r="B72" s="7">
        <f t="shared" si="5"/>
        <v>2016</v>
      </c>
      <c r="C72" s="33" t="s">
        <v>47</v>
      </c>
      <c r="D72" s="56"/>
      <c r="E72" s="30">
        <f>SUM(D$5:D72)</f>
        <v>4298585.7</v>
      </c>
      <c r="F72" s="56"/>
      <c r="G72" s="326">
        <v>48900.21</v>
      </c>
      <c r="H72" s="30">
        <f t="shared" si="11"/>
        <v>2276252.44</v>
      </c>
      <c r="I72" s="56"/>
      <c r="J72" s="30">
        <f t="shared" si="9"/>
        <v>2022333.2600000002</v>
      </c>
      <c r="L72" s="30">
        <f t="shared" si="12"/>
        <v>0</v>
      </c>
      <c r="M72" s="30">
        <f t="shared" si="12"/>
        <v>0</v>
      </c>
      <c r="N72" s="30">
        <f t="shared" si="12"/>
        <v>783.33333333333337</v>
      </c>
      <c r="O72" s="30">
        <f t="shared" si="12"/>
        <v>978.33333333333337</v>
      </c>
      <c r="P72" s="30">
        <f t="shared" si="12"/>
        <v>1250.4916666666666</v>
      </c>
      <c r="Q72" s="30">
        <f t="shared" si="12"/>
        <v>1146.125</v>
      </c>
      <c r="R72" s="30">
        <f t="shared" si="12"/>
        <v>1672.3333333333333</v>
      </c>
      <c r="S72" s="30">
        <f t="shared" si="12"/>
        <v>2357.7249999999999</v>
      </c>
      <c r="T72" s="30">
        <f t="shared" si="12"/>
        <v>2873.6416666666669</v>
      </c>
      <c r="U72" s="30">
        <f t="shared" si="12"/>
        <v>2847.4</v>
      </c>
      <c r="V72" s="30">
        <f t="shared" si="12"/>
        <v>2626.0333333333333</v>
      </c>
      <c r="W72" s="30">
        <f t="shared" si="12"/>
        <v>3747.05</v>
      </c>
      <c r="X72" s="30">
        <f t="shared" si="12"/>
        <v>6066.1208333333334</v>
      </c>
      <c r="Y72" s="30">
        <f t="shared" si="12"/>
        <v>4590.3249999999998</v>
      </c>
      <c r="Z72" s="30">
        <f t="shared" si="12"/>
        <v>4882.6349999999993</v>
      </c>
      <c r="AA72" s="30">
        <f t="shared" si="12"/>
        <v>0</v>
      </c>
      <c r="AB72" s="30">
        <f t="shared" si="13"/>
        <v>35821.547500000001</v>
      </c>
    </row>
    <row r="73" spans="1:28">
      <c r="A73" s="7" t="s">
        <v>48</v>
      </c>
      <c r="B73" s="7">
        <f t="shared" si="5"/>
        <v>2016</v>
      </c>
      <c r="C73" s="33" t="s">
        <v>47</v>
      </c>
      <c r="D73" s="56"/>
      <c r="E73" s="30">
        <f>SUM(D$5:D73)</f>
        <v>4298585.7</v>
      </c>
      <c r="F73" s="56"/>
      <c r="G73" s="326">
        <v>64565.23</v>
      </c>
      <c r="H73" s="30">
        <f t="shared" si="11"/>
        <v>2340817.67</v>
      </c>
      <c r="I73" s="56"/>
      <c r="J73" s="30">
        <f t="shared" si="9"/>
        <v>1957768.0300000003</v>
      </c>
      <c r="L73" s="30">
        <f t="shared" si="12"/>
        <v>0</v>
      </c>
      <c r="M73" s="30">
        <f t="shared" si="12"/>
        <v>0</v>
      </c>
      <c r="N73" s="30">
        <f t="shared" si="12"/>
        <v>783.33333333333337</v>
      </c>
      <c r="O73" s="30">
        <f t="shared" si="12"/>
        <v>978.33333333333337</v>
      </c>
      <c r="P73" s="30">
        <f t="shared" si="12"/>
        <v>1250.4916666666666</v>
      </c>
      <c r="Q73" s="30">
        <f t="shared" si="12"/>
        <v>1146.125</v>
      </c>
      <c r="R73" s="30">
        <f t="shared" si="12"/>
        <v>1672.3333333333333</v>
      </c>
      <c r="S73" s="30">
        <f t="shared" si="12"/>
        <v>2357.7249999999999</v>
      </c>
      <c r="T73" s="30">
        <f t="shared" si="12"/>
        <v>2873.6416666666669</v>
      </c>
      <c r="U73" s="30">
        <f t="shared" si="12"/>
        <v>2847.4</v>
      </c>
      <c r="V73" s="30">
        <f t="shared" si="12"/>
        <v>2626.0333333333333</v>
      </c>
      <c r="W73" s="30">
        <f t="shared" si="12"/>
        <v>3747.05</v>
      </c>
      <c r="X73" s="30">
        <f t="shared" si="12"/>
        <v>6066.1208333333334</v>
      </c>
      <c r="Y73" s="30">
        <f t="shared" si="12"/>
        <v>4590.3249999999998</v>
      </c>
      <c r="Z73" s="30">
        <f t="shared" si="12"/>
        <v>4882.6349999999993</v>
      </c>
      <c r="AA73" s="30">
        <f t="shared" si="12"/>
        <v>0</v>
      </c>
      <c r="AB73" s="30">
        <f t="shared" si="13"/>
        <v>35821.547500000001</v>
      </c>
    </row>
    <row r="74" spans="1:28">
      <c r="A74" s="7" t="s">
        <v>50</v>
      </c>
      <c r="B74" s="7">
        <f t="shared" si="5"/>
        <v>2016</v>
      </c>
      <c r="C74" s="33" t="s">
        <v>47</v>
      </c>
      <c r="D74" s="56"/>
      <c r="E74" s="30">
        <f>SUM(D$5:D74)</f>
        <v>4298585.7</v>
      </c>
      <c r="F74" s="56"/>
      <c r="G74" s="326">
        <v>38835.449999999997</v>
      </c>
      <c r="H74" s="30">
        <f t="shared" si="11"/>
        <v>2379653.1200000001</v>
      </c>
      <c r="I74" s="56"/>
      <c r="J74" s="30">
        <f t="shared" si="9"/>
        <v>1918932.58</v>
      </c>
      <c r="L74" s="30">
        <f t="shared" si="12"/>
        <v>0</v>
      </c>
      <c r="M74" s="30">
        <f t="shared" si="12"/>
        <v>0</v>
      </c>
      <c r="N74" s="30">
        <f t="shared" si="12"/>
        <v>783.33333333333337</v>
      </c>
      <c r="O74" s="30">
        <f t="shared" si="12"/>
        <v>978.33333333333337</v>
      </c>
      <c r="P74" s="30">
        <f t="shared" si="12"/>
        <v>1250.4916666666666</v>
      </c>
      <c r="Q74" s="30">
        <f t="shared" si="12"/>
        <v>1146.125</v>
      </c>
      <c r="R74" s="30">
        <f t="shared" si="12"/>
        <v>1672.3333333333333</v>
      </c>
      <c r="S74" s="30">
        <f t="shared" si="12"/>
        <v>2357.7249999999999</v>
      </c>
      <c r="T74" s="30">
        <f t="shared" si="12"/>
        <v>2873.6416666666669</v>
      </c>
      <c r="U74" s="30">
        <f t="shared" si="12"/>
        <v>2847.4</v>
      </c>
      <c r="V74" s="30">
        <f t="shared" si="12"/>
        <v>2626.0333333333333</v>
      </c>
      <c r="W74" s="30">
        <f t="shared" si="12"/>
        <v>3747.05</v>
      </c>
      <c r="X74" s="30">
        <f t="shared" si="12"/>
        <v>6066.1208333333334</v>
      </c>
      <c r="Y74" s="30">
        <f t="shared" si="12"/>
        <v>4590.3249999999998</v>
      </c>
      <c r="Z74" s="30">
        <f t="shared" si="12"/>
        <v>4882.6349999999993</v>
      </c>
      <c r="AA74" s="30">
        <f t="shared" si="12"/>
        <v>0</v>
      </c>
      <c r="AB74" s="30">
        <f t="shared" si="13"/>
        <v>35821.547500000001</v>
      </c>
    </row>
    <row r="75" spans="1:28">
      <c r="A75" s="7" t="s">
        <v>51</v>
      </c>
      <c r="B75" s="7">
        <f t="shared" si="5"/>
        <v>2016</v>
      </c>
      <c r="C75" s="33" t="s">
        <v>47</v>
      </c>
      <c r="D75" s="56"/>
      <c r="E75" s="30">
        <f>SUM(D$5:D75)</f>
        <v>4298585.7</v>
      </c>
      <c r="F75" s="56"/>
      <c r="G75" s="326">
        <v>39463.07</v>
      </c>
      <c r="H75" s="30">
        <f t="shared" si="11"/>
        <v>2419116.19</v>
      </c>
      <c r="I75" s="56"/>
      <c r="J75" s="30">
        <f t="shared" si="9"/>
        <v>1879469.5100000002</v>
      </c>
      <c r="L75" s="30">
        <f t="shared" si="12"/>
        <v>0</v>
      </c>
      <c r="M75" s="30">
        <f t="shared" si="12"/>
        <v>0</v>
      </c>
      <c r="N75" s="30">
        <f t="shared" si="12"/>
        <v>783.33333333333337</v>
      </c>
      <c r="O75" s="30">
        <f t="shared" si="12"/>
        <v>978.33333333333337</v>
      </c>
      <c r="P75" s="30">
        <f t="shared" si="12"/>
        <v>1250.4916666666666</v>
      </c>
      <c r="Q75" s="30">
        <f t="shared" si="12"/>
        <v>1146.125</v>
      </c>
      <c r="R75" s="30">
        <f t="shared" si="12"/>
        <v>1672.3333333333333</v>
      </c>
      <c r="S75" s="30">
        <f t="shared" si="12"/>
        <v>2357.7249999999999</v>
      </c>
      <c r="T75" s="30">
        <f t="shared" si="12"/>
        <v>2873.6416666666669</v>
      </c>
      <c r="U75" s="30">
        <f t="shared" si="12"/>
        <v>2847.4</v>
      </c>
      <c r="V75" s="30">
        <f t="shared" si="12"/>
        <v>2626.0333333333333</v>
      </c>
      <c r="W75" s="30">
        <f t="shared" si="12"/>
        <v>3747.05</v>
      </c>
      <c r="X75" s="30">
        <f t="shared" si="12"/>
        <v>6066.1208333333334</v>
      </c>
      <c r="Y75" s="30">
        <f t="shared" si="12"/>
        <v>4590.3249999999998</v>
      </c>
      <c r="Z75" s="30">
        <f t="shared" si="12"/>
        <v>4882.6349999999993</v>
      </c>
      <c r="AA75" s="30">
        <f t="shared" si="12"/>
        <v>0</v>
      </c>
      <c r="AB75" s="30">
        <f t="shared" si="13"/>
        <v>35821.547500000001</v>
      </c>
    </row>
    <row r="76" spans="1:28">
      <c r="A76" s="7" t="s">
        <v>52</v>
      </c>
      <c r="B76" s="7">
        <f t="shared" si="5"/>
        <v>2016</v>
      </c>
      <c r="C76" s="33" t="s">
        <v>47</v>
      </c>
      <c r="D76" s="56"/>
      <c r="E76" s="30">
        <f>SUM(D$5:D76)</f>
        <v>4298585.7</v>
      </c>
      <c r="F76" s="56"/>
      <c r="G76" s="326">
        <v>31562.07</v>
      </c>
      <c r="H76" s="30">
        <f t="shared" si="11"/>
        <v>2450678.2599999998</v>
      </c>
      <c r="I76" s="56"/>
      <c r="J76" s="30">
        <f t="shared" si="9"/>
        <v>1847907.4400000004</v>
      </c>
      <c r="L76" s="30">
        <f t="shared" si="12"/>
        <v>0</v>
      </c>
      <c r="M76" s="30">
        <f t="shared" si="12"/>
        <v>0</v>
      </c>
      <c r="N76" s="30">
        <f t="shared" si="12"/>
        <v>783.33333333333337</v>
      </c>
      <c r="O76" s="30">
        <f t="shared" si="12"/>
        <v>978.33333333333337</v>
      </c>
      <c r="P76" s="30">
        <f t="shared" si="12"/>
        <v>1250.4916666666666</v>
      </c>
      <c r="Q76" s="30">
        <f t="shared" si="12"/>
        <v>1146.125</v>
      </c>
      <c r="R76" s="30">
        <f t="shared" si="12"/>
        <v>1672.3333333333333</v>
      </c>
      <c r="S76" s="30">
        <f t="shared" si="12"/>
        <v>2357.7249999999999</v>
      </c>
      <c r="T76" s="30">
        <f t="shared" si="12"/>
        <v>2873.6416666666669</v>
      </c>
      <c r="U76" s="30">
        <f t="shared" si="12"/>
        <v>2847.4</v>
      </c>
      <c r="V76" s="30">
        <f t="shared" si="12"/>
        <v>2626.0333333333333</v>
      </c>
      <c r="W76" s="30">
        <f t="shared" si="12"/>
        <v>3747.05</v>
      </c>
      <c r="X76" s="30">
        <f t="shared" si="12"/>
        <v>6066.1208333333334</v>
      </c>
      <c r="Y76" s="30">
        <f t="shared" si="12"/>
        <v>4590.3249999999998</v>
      </c>
      <c r="Z76" s="30">
        <f t="shared" si="12"/>
        <v>4882.6349999999993</v>
      </c>
      <c r="AA76" s="30">
        <f t="shared" si="12"/>
        <v>0</v>
      </c>
      <c r="AB76" s="30">
        <f t="shared" si="13"/>
        <v>35821.547500000001</v>
      </c>
    </row>
    <row r="77" spans="1:28">
      <c r="A77" s="7" t="s">
        <v>53</v>
      </c>
      <c r="B77" s="7">
        <f t="shared" si="5"/>
        <v>2017</v>
      </c>
      <c r="C77" s="33" t="s">
        <v>47</v>
      </c>
      <c r="D77" s="56"/>
      <c r="E77" s="30">
        <f>SUM(D$5:D77)</f>
        <v>4298585.7</v>
      </c>
      <c r="F77" s="56"/>
      <c r="G77" s="326">
        <v>34367.07</v>
      </c>
      <c r="H77" s="30">
        <f t="shared" si="11"/>
        <v>2485045.3299999996</v>
      </c>
      <c r="I77" s="56"/>
      <c r="J77" s="30">
        <f t="shared" si="9"/>
        <v>1813540.3700000006</v>
      </c>
      <c r="L77" s="30">
        <f t="shared" si="12"/>
        <v>0</v>
      </c>
      <c r="M77" s="30">
        <f t="shared" si="12"/>
        <v>0</v>
      </c>
      <c r="N77" s="30">
        <f t="shared" si="12"/>
        <v>783.33333333333337</v>
      </c>
      <c r="O77" s="30">
        <f t="shared" si="12"/>
        <v>978.33333333333337</v>
      </c>
      <c r="P77" s="30">
        <f t="shared" si="12"/>
        <v>1250.4916666666666</v>
      </c>
      <c r="Q77" s="30">
        <f t="shared" si="12"/>
        <v>1146.125</v>
      </c>
      <c r="R77" s="30">
        <f t="shared" si="12"/>
        <v>1672.3333333333333</v>
      </c>
      <c r="S77" s="30">
        <f t="shared" si="12"/>
        <v>2357.7249999999999</v>
      </c>
      <c r="T77" s="30">
        <f t="shared" si="12"/>
        <v>2873.6416666666669</v>
      </c>
      <c r="U77" s="30">
        <f t="shared" si="12"/>
        <v>2847.4</v>
      </c>
      <c r="V77" s="30">
        <f t="shared" si="12"/>
        <v>2626.0333333333333</v>
      </c>
      <c r="W77" s="30">
        <f t="shared" si="12"/>
        <v>3747.05</v>
      </c>
      <c r="X77" s="30">
        <f t="shared" si="12"/>
        <v>6066.1208333333334</v>
      </c>
      <c r="Y77" s="30">
        <f t="shared" si="12"/>
        <v>4590.3249999999998</v>
      </c>
      <c r="Z77" s="30">
        <f t="shared" si="12"/>
        <v>4882.6349999999993</v>
      </c>
      <c r="AA77" s="30">
        <f t="shared" si="12"/>
        <v>0</v>
      </c>
      <c r="AB77" s="30">
        <f t="shared" si="13"/>
        <v>35821.547500000001</v>
      </c>
    </row>
    <row r="78" spans="1:28">
      <c r="A78" s="7" t="s">
        <v>54</v>
      </c>
      <c r="B78" s="7">
        <f t="shared" si="5"/>
        <v>2017</v>
      </c>
      <c r="C78" s="33" t="s">
        <v>47</v>
      </c>
      <c r="D78" s="56"/>
      <c r="E78" s="30">
        <f>SUM(D$5:D78)</f>
        <v>4298585.7</v>
      </c>
      <c r="F78" s="56"/>
      <c r="G78" s="326">
        <v>27968.560000000001</v>
      </c>
      <c r="H78" s="30">
        <f t="shared" si="11"/>
        <v>2513013.8899999997</v>
      </c>
      <c r="I78" s="56"/>
      <c r="J78" s="30">
        <f t="shared" si="9"/>
        <v>1785571.8100000005</v>
      </c>
      <c r="L78" s="30">
        <f t="shared" si="12"/>
        <v>0</v>
      </c>
      <c r="M78" s="30">
        <f t="shared" si="12"/>
        <v>0</v>
      </c>
      <c r="N78" s="30">
        <f t="shared" si="12"/>
        <v>783.33333333333337</v>
      </c>
      <c r="O78" s="30">
        <f t="shared" si="12"/>
        <v>978.33333333333337</v>
      </c>
      <c r="P78" s="30">
        <f t="shared" si="12"/>
        <v>1250.4916666666666</v>
      </c>
      <c r="Q78" s="30">
        <f t="shared" si="12"/>
        <v>1146.125</v>
      </c>
      <c r="R78" s="30">
        <f t="shared" si="12"/>
        <v>1672.3333333333333</v>
      </c>
      <c r="S78" s="30">
        <f t="shared" si="12"/>
        <v>2357.7249999999999</v>
      </c>
      <c r="T78" s="30">
        <f t="shared" si="12"/>
        <v>2873.6416666666669</v>
      </c>
      <c r="U78" s="30">
        <f t="shared" si="12"/>
        <v>2847.4</v>
      </c>
      <c r="V78" s="30">
        <f t="shared" si="12"/>
        <v>2626.0333333333333</v>
      </c>
      <c r="W78" s="30">
        <f t="shared" si="12"/>
        <v>3747.05</v>
      </c>
      <c r="X78" s="30">
        <f t="shared" si="12"/>
        <v>6066.1208333333334</v>
      </c>
      <c r="Y78" s="30">
        <f t="shared" si="12"/>
        <v>4590.3249999999998</v>
      </c>
      <c r="Z78" s="30">
        <f t="shared" si="12"/>
        <v>4882.6349999999993</v>
      </c>
      <c r="AA78" s="30">
        <f>+AA77</f>
        <v>0</v>
      </c>
      <c r="AB78" s="30">
        <f t="shared" si="13"/>
        <v>35821.547500000001</v>
      </c>
    </row>
    <row r="79" spans="1:28">
      <c r="A79" s="7" t="s">
        <v>55</v>
      </c>
      <c r="B79" s="7">
        <f t="shared" si="5"/>
        <v>2017</v>
      </c>
      <c r="C79" s="33" t="s">
        <v>47</v>
      </c>
      <c r="D79" s="56"/>
      <c r="E79" s="30">
        <f>SUM(D$5:D79)</f>
        <v>4298585.7</v>
      </c>
      <c r="F79" s="56"/>
      <c r="G79" s="326">
        <v>38170.120000000003</v>
      </c>
      <c r="H79" s="30">
        <f t="shared" si="11"/>
        <v>2551184.0099999998</v>
      </c>
      <c r="I79" s="56"/>
      <c r="J79" s="30">
        <f t="shared" si="9"/>
        <v>1747401.6900000004</v>
      </c>
      <c r="L79" s="30">
        <f t="shared" ref="L79:AA91" si="14">+L78</f>
        <v>0</v>
      </c>
      <c r="M79" s="30">
        <f t="shared" si="14"/>
        <v>0</v>
      </c>
      <c r="N79" s="30">
        <f t="shared" si="14"/>
        <v>783.33333333333337</v>
      </c>
      <c r="O79" s="30">
        <f t="shared" si="14"/>
        <v>978.33333333333337</v>
      </c>
      <c r="P79" s="30">
        <f t="shared" si="14"/>
        <v>1250.4916666666666</v>
      </c>
      <c r="Q79" s="30">
        <f t="shared" si="14"/>
        <v>1146.125</v>
      </c>
      <c r="R79" s="30">
        <f t="shared" si="14"/>
        <v>1672.3333333333333</v>
      </c>
      <c r="S79" s="30">
        <f t="shared" si="14"/>
        <v>2357.7249999999999</v>
      </c>
      <c r="T79" s="30">
        <f t="shared" si="14"/>
        <v>2873.6416666666669</v>
      </c>
      <c r="U79" s="30">
        <f t="shared" si="14"/>
        <v>2847.4</v>
      </c>
      <c r="V79" s="30">
        <f t="shared" si="14"/>
        <v>2626.0333333333333</v>
      </c>
      <c r="W79" s="30">
        <f t="shared" si="14"/>
        <v>3747.05</v>
      </c>
      <c r="X79" s="30">
        <f t="shared" si="14"/>
        <v>6066.1208333333334</v>
      </c>
      <c r="Y79" s="30">
        <f t="shared" si="14"/>
        <v>4590.3249999999998</v>
      </c>
      <c r="Z79" s="30">
        <f t="shared" si="14"/>
        <v>4882.6349999999993</v>
      </c>
      <c r="AA79" s="30">
        <f t="shared" si="14"/>
        <v>0</v>
      </c>
      <c r="AB79" s="30">
        <f t="shared" si="13"/>
        <v>35821.547500000001</v>
      </c>
    </row>
    <row r="80" spans="1:28">
      <c r="A80" s="7" t="s">
        <v>56</v>
      </c>
      <c r="B80" s="7">
        <f t="shared" si="5"/>
        <v>2017</v>
      </c>
      <c r="C80" s="33" t="s">
        <v>47</v>
      </c>
      <c r="D80" s="56"/>
      <c r="E80" s="30">
        <f>SUM(D$5:D80)</f>
        <v>4298585.7</v>
      </c>
      <c r="F80" s="56"/>
      <c r="G80" s="326">
        <v>29057.72</v>
      </c>
      <c r="H80" s="30">
        <f t="shared" si="11"/>
        <v>2580241.73</v>
      </c>
      <c r="I80" s="56"/>
      <c r="J80" s="30">
        <f t="shared" si="9"/>
        <v>1718343.9700000002</v>
      </c>
      <c r="L80" s="30">
        <f t="shared" si="14"/>
        <v>0</v>
      </c>
      <c r="M80" s="30">
        <f t="shared" si="14"/>
        <v>0</v>
      </c>
      <c r="N80" s="30">
        <f t="shared" si="14"/>
        <v>783.33333333333337</v>
      </c>
      <c r="O80" s="30">
        <f t="shared" si="14"/>
        <v>978.33333333333337</v>
      </c>
      <c r="P80" s="30">
        <f t="shared" si="14"/>
        <v>1250.4916666666666</v>
      </c>
      <c r="Q80" s="30">
        <f t="shared" si="14"/>
        <v>1146.125</v>
      </c>
      <c r="R80" s="30">
        <f t="shared" si="14"/>
        <v>1672.3333333333333</v>
      </c>
      <c r="S80" s="30">
        <f t="shared" si="14"/>
        <v>2357.7249999999999</v>
      </c>
      <c r="T80" s="30">
        <f t="shared" si="14"/>
        <v>2873.6416666666669</v>
      </c>
      <c r="U80" s="30">
        <f t="shared" si="14"/>
        <v>2847.4</v>
      </c>
      <c r="V80" s="30">
        <f t="shared" si="14"/>
        <v>2626.0333333333333</v>
      </c>
      <c r="W80" s="30">
        <f t="shared" si="14"/>
        <v>3747.05</v>
      </c>
      <c r="X80" s="30">
        <f t="shared" si="14"/>
        <v>6066.1208333333334</v>
      </c>
      <c r="Y80" s="30">
        <f t="shared" si="14"/>
        <v>4590.3249999999998</v>
      </c>
      <c r="Z80" s="30">
        <f t="shared" si="14"/>
        <v>4882.6349999999993</v>
      </c>
      <c r="AA80" s="30">
        <f t="shared" si="14"/>
        <v>0</v>
      </c>
      <c r="AB80" s="30">
        <f t="shared" si="13"/>
        <v>35821.547500000001</v>
      </c>
    </row>
    <row r="81" spans="1:28">
      <c r="A81" s="7" t="s">
        <v>57</v>
      </c>
      <c r="B81" s="7">
        <f t="shared" si="5"/>
        <v>2017</v>
      </c>
      <c r="C81" s="33" t="s">
        <v>47</v>
      </c>
      <c r="D81" s="56"/>
      <c r="E81" s="30">
        <f>SUM(D$5:D81)</f>
        <v>4298585.7</v>
      </c>
      <c r="F81" s="56"/>
      <c r="G81" s="326">
        <v>56439.37</v>
      </c>
      <c r="H81" s="30">
        <f t="shared" si="11"/>
        <v>2636681.1</v>
      </c>
      <c r="I81" s="56"/>
      <c r="J81" s="30">
        <f t="shared" si="9"/>
        <v>1661904.6</v>
      </c>
      <c r="L81" s="30">
        <f t="shared" si="14"/>
        <v>0</v>
      </c>
      <c r="M81" s="30">
        <f t="shared" si="14"/>
        <v>0</v>
      </c>
      <c r="N81" s="30">
        <f t="shared" si="14"/>
        <v>783.33333333333337</v>
      </c>
      <c r="O81" s="30">
        <f t="shared" si="14"/>
        <v>978.33333333333337</v>
      </c>
      <c r="P81" s="30">
        <f t="shared" si="14"/>
        <v>1250.4916666666666</v>
      </c>
      <c r="Q81" s="30">
        <f t="shared" si="14"/>
        <v>1146.125</v>
      </c>
      <c r="R81" s="30">
        <f t="shared" si="14"/>
        <v>1672.3333333333333</v>
      </c>
      <c r="S81" s="30">
        <f t="shared" si="14"/>
        <v>2357.7249999999999</v>
      </c>
      <c r="T81" s="30">
        <f t="shared" si="14"/>
        <v>2873.6416666666669</v>
      </c>
      <c r="U81" s="30">
        <f t="shared" si="14"/>
        <v>2847.4</v>
      </c>
      <c r="V81" s="30">
        <f t="shared" si="14"/>
        <v>2626.0333333333333</v>
      </c>
      <c r="W81" s="30">
        <f t="shared" si="14"/>
        <v>3747.05</v>
      </c>
      <c r="X81" s="30">
        <f t="shared" si="14"/>
        <v>6066.1208333333334</v>
      </c>
      <c r="Y81" s="30">
        <f t="shared" si="14"/>
        <v>4590.3249999999998</v>
      </c>
      <c r="Z81" s="30">
        <f t="shared" si="14"/>
        <v>4882.6349999999993</v>
      </c>
      <c r="AA81" s="30">
        <f t="shared" si="14"/>
        <v>0</v>
      </c>
      <c r="AB81" s="30">
        <f t="shared" si="13"/>
        <v>35821.547500000001</v>
      </c>
    </row>
    <row r="82" spans="1:28">
      <c r="A82" s="7" t="s">
        <v>58</v>
      </c>
      <c r="B82" s="7">
        <f t="shared" ref="B82:B141" si="15">+B70+1</f>
        <v>2017</v>
      </c>
      <c r="C82" s="33" t="s">
        <v>47</v>
      </c>
      <c r="D82" s="56"/>
      <c r="E82" s="30">
        <f>SUM(D$5:D82)</f>
        <v>4298585.7</v>
      </c>
      <c r="F82" s="56"/>
      <c r="G82" s="326">
        <v>41109.120000000003</v>
      </c>
      <c r="H82" s="30">
        <f t="shared" si="11"/>
        <v>2677790.2200000002</v>
      </c>
      <c r="I82" s="56"/>
      <c r="J82" s="30">
        <f t="shared" si="9"/>
        <v>1620795.48</v>
      </c>
      <c r="L82" s="30">
        <f t="shared" si="14"/>
        <v>0</v>
      </c>
      <c r="M82" s="30">
        <f t="shared" si="14"/>
        <v>0</v>
      </c>
      <c r="N82" s="30">
        <f t="shared" si="14"/>
        <v>783.33333333333337</v>
      </c>
      <c r="O82" s="30">
        <f t="shared" si="14"/>
        <v>978.33333333333337</v>
      </c>
      <c r="P82" s="30">
        <f t="shared" si="14"/>
        <v>1250.4916666666666</v>
      </c>
      <c r="Q82" s="30">
        <f t="shared" si="14"/>
        <v>1146.125</v>
      </c>
      <c r="R82" s="30">
        <f t="shared" si="14"/>
        <v>1672.3333333333333</v>
      </c>
      <c r="S82" s="30">
        <f t="shared" si="14"/>
        <v>2357.7249999999999</v>
      </c>
      <c r="T82" s="30">
        <f t="shared" si="14"/>
        <v>2873.6416666666669</v>
      </c>
      <c r="U82" s="30">
        <f t="shared" si="14"/>
        <v>2847.4</v>
      </c>
      <c r="V82" s="30">
        <f t="shared" si="14"/>
        <v>2626.0333333333333</v>
      </c>
      <c r="W82" s="30">
        <f t="shared" si="14"/>
        <v>3747.05</v>
      </c>
      <c r="X82" s="30">
        <f t="shared" si="14"/>
        <v>6066.1208333333334</v>
      </c>
      <c r="Y82" s="30">
        <f t="shared" si="14"/>
        <v>4590.3249999999998</v>
      </c>
      <c r="Z82" s="30">
        <f t="shared" si="14"/>
        <v>4882.6349999999993</v>
      </c>
      <c r="AA82" s="30">
        <f t="shared" si="14"/>
        <v>0</v>
      </c>
      <c r="AB82" s="30">
        <f t="shared" si="13"/>
        <v>35821.547500000001</v>
      </c>
    </row>
    <row r="83" spans="1:28">
      <c r="A83" s="7" t="s">
        <v>59</v>
      </c>
      <c r="B83" s="7">
        <f t="shared" si="15"/>
        <v>2017</v>
      </c>
      <c r="C83" s="33" t="s">
        <v>47</v>
      </c>
      <c r="D83" s="56"/>
      <c r="E83" s="30">
        <f>SUM(D$5:D83)</f>
        <v>4298585.7</v>
      </c>
      <c r="F83" s="56"/>
      <c r="G83" s="326">
        <v>33505.1</v>
      </c>
      <c r="H83" s="30">
        <f t="shared" si="11"/>
        <v>2711295.3200000003</v>
      </c>
      <c r="I83" s="56"/>
      <c r="J83" s="30">
        <f t="shared" si="9"/>
        <v>1587290.38</v>
      </c>
      <c r="L83" s="30">
        <f t="shared" si="14"/>
        <v>0</v>
      </c>
      <c r="M83" s="30">
        <f t="shared" si="14"/>
        <v>0</v>
      </c>
      <c r="N83" s="30">
        <f t="shared" si="14"/>
        <v>783.33333333333337</v>
      </c>
      <c r="O83" s="30">
        <f t="shared" si="14"/>
        <v>978.33333333333337</v>
      </c>
      <c r="P83" s="30">
        <f t="shared" si="14"/>
        <v>1250.4916666666666</v>
      </c>
      <c r="Q83" s="30">
        <f t="shared" si="14"/>
        <v>1146.125</v>
      </c>
      <c r="R83" s="30">
        <f t="shared" si="14"/>
        <v>1672.3333333333333</v>
      </c>
      <c r="S83" s="30">
        <f t="shared" si="14"/>
        <v>2357.7249999999999</v>
      </c>
      <c r="T83" s="30">
        <f t="shared" si="14"/>
        <v>2873.6416666666669</v>
      </c>
      <c r="U83" s="30">
        <f t="shared" si="14"/>
        <v>2847.4</v>
      </c>
      <c r="V83" s="30">
        <f t="shared" si="14"/>
        <v>2626.0333333333333</v>
      </c>
      <c r="W83" s="30">
        <f t="shared" si="14"/>
        <v>3747.05</v>
      </c>
      <c r="X83" s="30">
        <f t="shared" si="14"/>
        <v>6066.1208333333334</v>
      </c>
      <c r="Y83" s="30">
        <f t="shared" si="14"/>
        <v>4590.3249999999998</v>
      </c>
      <c r="Z83" s="30">
        <f t="shared" si="14"/>
        <v>4882.6349999999993</v>
      </c>
      <c r="AA83" s="30">
        <f t="shared" si="14"/>
        <v>0</v>
      </c>
      <c r="AB83" s="30">
        <f t="shared" si="13"/>
        <v>35821.547500000001</v>
      </c>
    </row>
    <row r="84" spans="1:28">
      <c r="A84" s="7" t="s">
        <v>46</v>
      </c>
      <c r="B84" s="7">
        <f t="shared" si="15"/>
        <v>2017</v>
      </c>
      <c r="C84" s="33" t="s">
        <v>47</v>
      </c>
      <c r="D84" s="56"/>
      <c r="E84" s="30">
        <f>SUM(D$5:D84)</f>
        <v>4298585.7</v>
      </c>
      <c r="F84" s="56"/>
      <c r="G84" s="326">
        <v>40332.720000000001</v>
      </c>
      <c r="H84" s="30">
        <f t="shared" si="11"/>
        <v>2751628.0400000005</v>
      </c>
      <c r="I84" s="56"/>
      <c r="J84" s="30">
        <f t="shared" si="9"/>
        <v>1546957.6599999997</v>
      </c>
      <c r="L84" s="30">
        <f t="shared" si="14"/>
        <v>0</v>
      </c>
      <c r="M84" s="30">
        <f t="shared" si="14"/>
        <v>0</v>
      </c>
      <c r="N84" s="30">
        <f t="shared" si="14"/>
        <v>783.33333333333337</v>
      </c>
      <c r="O84" s="30">
        <f t="shared" si="14"/>
        <v>978.33333333333337</v>
      </c>
      <c r="P84" s="30">
        <f t="shared" si="14"/>
        <v>1250.4916666666666</v>
      </c>
      <c r="Q84" s="30">
        <f t="shared" si="14"/>
        <v>1146.125</v>
      </c>
      <c r="R84" s="30">
        <f t="shared" si="14"/>
        <v>1672.3333333333333</v>
      </c>
      <c r="S84" s="30">
        <f t="shared" si="14"/>
        <v>2357.7249999999999</v>
      </c>
      <c r="T84" s="30">
        <f t="shared" si="14"/>
        <v>2873.6416666666669</v>
      </c>
      <c r="U84" s="30">
        <f t="shared" si="14"/>
        <v>2847.4</v>
      </c>
      <c r="V84" s="30">
        <f t="shared" si="14"/>
        <v>2626.0333333333333</v>
      </c>
      <c r="W84" s="30">
        <f t="shared" si="14"/>
        <v>3747.05</v>
      </c>
      <c r="X84" s="30">
        <f t="shared" si="14"/>
        <v>6066.1208333333334</v>
      </c>
      <c r="Y84" s="30">
        <f t="shared" si="14"/>
        <v>4590.3249999999998</v>
      </c>
      <c r="Z84" s="30">
        <f t="shared" si="14"/>
        <v>4882.6349999999993</v>
      </c>
      <c r="AA84" s="30">
        <f t="shared" si="14"/>
        <v>0</v>
      </c>
      <c r="AB84" s="30">
        <f t="shared" si="13"/>
        <v>35821.547500000001</v>
      </c>
    </row>
    <row r="85" spans="1:28">
      <c r="A85" s="7" t="s">
        <v>48</v>
      </c>
      <c r="B85" s="7">
        <f t="shared" si="15"/>
        <v>2017</v>
      </c>
      <c r="C85" s="33" t="s">
        <v>47</v>
      </c>
      <c r="D85" s="56"/>
      <c r="E85" s="30">
        <f>SUM(D$5:D85)</f>
        <v>4298585.7</v>
      </c>
      <c r="F85" s="56"/>
      <c r="G85" s="326">
        <v>27815.200000000001</v>
      </c>
      <c r="H85" s="30">
        <f t="shared" si="11"/>
        <v>2779443.2400000007</v>
      </c>
      <c r="I85" s="56"/>
      <c r="J85" s="30">
        <f t="shared" si="9"/>
        <v>1519142.4599999995</v>
      </c>
      <c r="L85" s="30">
        <f t="shared" si="14"/>
        <v>0</v>
      </c>
      <c r="M85" s="30">
        <f t="shared" si="14"/>
        <v>0</v>
      </c>
      <c r="N85" s="30">
        <f t="shared" si="14"/>
        <v>783.33333333333337</v>
      </c>
      <c r="O85" s="30">
        <f t="shared" si="14"/>
        <v>978.33333333333337</v>
      </c>
      <c r="P85" s="30">
        <f t="shared" si="14"/>
        <v>1250.4916666666666</v>
      </c>
      <c r="Q85" s="30">
        <f t="shared" si="14"/>
        <v>1146.125</v>
      </c>
      <c r="R85" s="30">
        <f t="shared" si="14"/>
        <v>1672.3333333333333</v>
      </c>
      <c r="S85" s="30">
        <f t="shared" si="14"/>
        <v>2357.7249999999999</v>
      </c>
      <c r="T85" s="30">
        <f t="shared" si="14"/>
        <v>2873.6416666666669</v>
      </c>
      <c r="U85" s="30">
        <f t="shared" si="14"/>
        <v>2847.4</v>
      </c>
      <c r="V85" s="30">
        <f t="shared" si="14"/>
        <v>2626.0333333333333</v>
      </c>
      <c r="W85" s="30">
        <f t="shared" si="14"/>
        <v>3747.05</v>
      </c>
      <c r="X85" s="30">
        <f t="shared" si="14"/>
        <v>6066.1208333333334</v>
      </c>
      <c r="Y85" s="30">
        <f t="shared" si="14"/>
        <v>4590.3249999999998</v>
      </c>
      <c r="Z85" s="30">
        <f t="shared" si="14"/>
        <v>4882.6349999999993</v>
      </c>
      <c r="AA85" s="30">
        <f t="shared" si="14"/>
        <v>0</v>
      </c>
      <c r="AB85" s="30">
        <f t="shared" si="13"/>
        <v>35821.547500000001</v>
      </c>
    </row>
    <row r="86" spans="1:28">
      <c r="A86" s="7" t="s">
        <v>50</v>
      </c>
      <c r="B86" s="7">
        <f t="shared" si="15"/>
        <v>2017</v>
      </c>
      <c r="C86" s="33" t="s">
        <v>47</v>
      </c>
      <c r="D86" s="56"/>
      <c r="E86" s="30">
        <f>SUM(D$5:D86)</f>
        <v>4298585.7</v>
      </c>
      <c r="F86" s="56"/>
      <c r="G86" s="326">
        <v>40952.03</v>
      </c>
      <c r="H86" s="30">
        <f t="shared" si="11"/>
        <v>2820395.2700000005</v>
      </c>
      <c r="I86" s="56"/>
      <c r="J86" s="30">
        <f t="shared" si="9"/>
        <v>1478190.4299999997</v>
      </c>
      <c r="L86" s="30">
        <f t="shared" si="14"/>
        <v>0</v>
      </c>
      <c r="M86" s="30">
        <f t="shared" si="14"/>
        <v>0</v>
      </c>
      <c r="N86" s="30">
        <f t="shared" si="14"/>
        <v>783.33333333333337</v>
      </c>
      <c r="O86" s="30">
        <f t="shared" si="14"/>
        <v>978.33333333333337</v>
      </c>
      <c r="P86" s="30">
        <f t="shared" si="14"/>
        <v>1250.4916666666666</v>
      </c>
      <c r="Q86" s="30">
        <f t="shared" si="14"/>
        <v>1146.125</v>
      </c>
      <c r="R86" s="30">
        <f t="shared" si="14"/>
        <v>1672.3333333333333</v>
      </c>
      <c r="S86" s="30">
        <f t="shared" si="14"/>
        <v>2357.7249999999999</v>
      </c>
      <c r="T86" s="30">
        <f t="shared" si="14"/>
        <v>2873.6416666666669</v>
      </c>
      <c r="U86" s="30">
        <f t="shared" si="14"/>
        <v>2847.4</v>
      </c>
      <c r="V86" s="30">
        <f t="shared" si="14"/>
        <v>2626.0333333333333</v>
      </c>
      <c r="W86" s="30">
        <f t="shared" si="14"/>
        <v>3747.05</v>
      </c>
      <c r="X86" s="30">
        <f t="shared" si="14"/>
        <v>6066.1208333333334</v>
      </c>
      <c r="Y86" s="30">
        <f t="shared" si="14"/>
        <v>4590.3249999999998</v>
      </c>
      <c r="Z86" s="30">
        <f t="shared" si="14"/>
        <v>4882.6349999999993</v>
      </c>
      <c r="AA86" s="30">
        <f t="shared" si="14"/>
        <v>0</v>
      </c>
      <c r="AB86" s="30">
        <f t="shared" si="13"/>
        <v>35821.547500000001</v>
      </c>
    </row>
    <row r="87" spans="1:28">
      <c r="A87" s="7" t="s">
        <v>51</v>
      </c>
      <c r="B87" s="7">
        <f t="shared" si="15"/>
        <v>2017</v>
      </c>
      <c r="C87" s="33" t="s">
        <v>47</v>
      </c>
      <c r="D87" s="56"/>
      <c r="E87" s="30">
        <f>SUM(D$5:D87)</f>
        <v>4298585.7</v>
      </c>
      <c r="F87" s="56"/>
      <c r="G87" s="326">
        <v>31380.639999999999</v>
      </c>
      <c r="H87" s="30">
        <f t="shared" si="11"/>
        <v>2851775.9100000006</v>
      </c>
      <c r="I87" s="56"/>
      <c r="J87" s="30">
        <f t="shared" si="9"/>
        <v>1446809.7899999996</v>
      </c>
      <c r="L87" s="30">
        <f t="shared" si="14"/>
        <v>0</v>
      </c>
      <c r="M87" s="30">
        <f t="shared" si="14"/>
        <v>0</v>
      </c>
      <c r="N87" s="30">
        <f t="shared" si="14"/>
        <v>783.33333333333337</v>
      </c>
      <c r="O87" s="30">
        <f t="shared" si="14"/>
        <v>978.33333333333337</v>
      </c>
      <c r="P87" s="30">
        <f t="shared" si="14"/>
        <v>1250.4916666666666</v>
      </c>
      <c r="Q87" s="30">
        <f t="shared" si="14"/>
        <v>1146.125</v>
      </c>
      <c r="R87" s="30">
        <f t="shared" si="14"/>
        <v>1672.3333333333333</v>
      </c>
      <c r="S87" s="30">
        <f t="shared" si="14"/>
        <v>2357.7249999999999</v>
      </c>
      <c r="T87" s="30">
        <f t="shared" si="14"/>
        <v>2873.6416666666669</v>
      </c>
      <c r="U87" s="30">
        <f t="shared" si="14"/>
        <v>2847.4</v>
      </c>
      <c r="V87" s="30">
        <f t="shared" si="14"/>
        <v>2626.0333333333333</v>
      </c>
      <c r="W87" s="30">
        <f t="shared" si="14"/>
        <v>3747.05</v>
      </c>
      <c r="X87" s="30">
        <f t="shared" si="14"/>
        <v>6066.1208333333334</v>
      </c>
      <c r="Y87" s="30">
        <f t="shared" si="14"/>
        <v>4590.3249999999998</v>
      </c>
      <c r="Z87" s="30">
        <f t="shared" si="14"/>
        <v>4882.6349999999993</v>
      </c>
      <c r="AA87" s="30">
        <f t="shared" si="14"/>
        <v>0</v>
      </c>
      <c r="AB87" s="30">
        <f t="shared" si="13"/>
        <v>35821.547500000001</v>
      </c>
    </row>
    <row r="88" spans="1:28">
      <c r="A88" s="7" t="s">
        <v>52</v>
      </c>
      <c r="B88" s="7">
        <f t="shared" si="15"/>
        <v>2017</v>
      </c>
      <c r="C88" s="33" t="s">
        <v>47</v>
      </c>
      <c r="D88" s="56"/>
      <c r="E88" s="30">
        <f>SUM(D$5:D88)</f>
        <v>4298585.7</v>
      </c>
      <c r="F88" s="56"/>
      <c r="G88" s="326">
        <v>33205.94</v>
      </c>
      <c r="H88" s="30">
        <f t="shared" si="11"/>
        <v>2884981.8500000006</v>
      </c>
      <c r="I88" s="56"/>
      <c r="J88" s="30">
        <f t="shared" si="9"/>
        <v>1413603.8499999996</v>
      </c>
      <c r="L88" s="30">
        <f t="shared" si="14"/>
        <v>0</v>
      </c>
      <c r="M88" s="30">
        <f t="shared" si="14"/>
        <v>0</v>
      </c>
      <c r="N88" s="30">
        <f t="shared" si="14"/>
        <v>783.33333333333337</v>
      </c>
      <c r="O88" s="30">
        <f t="shared" si="14"/>
        <v>978.33333333333337</v>
      </c>
      <c r="P88" s="30">
        <f t="shared" si="14"/>
        <v>1250.4916666666666</v>
      </c>
      <c r="Q88" s="30">
        <f t="shared" si="14"/>
        <v>1146.125</v>
      </c>
      <c r="R88" s="30">
        <f t="shared" si="14"/>
        <v>1672.3333333333333</v>
      </c>
      <c r="S88" s="30">
        <f t="shared" si="14"/>
        <v>2357.7249999999999</v>
      </c>
      <c r="T88" s="30">
        <f t="shared" si="14"/>
        <v>2873.6416666666669</v>
      </c>
      <c r="U88" s="30">
        <f t="shared" si="14"/>
        <v>2847.4</v>
      </c>
      <c r="V88" s="30">
        <f t="shared" si="14"/>
        <v>2626.0333333333333</v>
      </c>
      <c r="W88" s="30">
        <f t="shared" si="14"/>
        <v>3747.05</v>
      </c>
      <c r="X88" s="30">
        <f t="shared" si="14"/>
        <v>6066.1208333333334</v>
      </c>
      <c r="Y88" s="30">
        <f t="shared" si="14"/>
        <v>4590.3249999999998</v>
      </c>
      <c r="Z88" s="30">
        <f t="shared" si="14"/>
        <v>4882.6349999999993</v>
      </c>
      <c r="AA88" s="30">
        <f t="shared" si="14"/>
        <v>0</v>
      </c>
      <c r="AB88" s="30">
        <f t="shared" si="13"/>
        <v>35821.547500000001</v>
      </c>
    </row>
    <row r="89" spans="1:28">
      <c r="A89" s="7" t="s">
        <v>53</v>
      </c>
      <c r="B89" s="7">
        <f t="shared" si="15"/>
        <v>2018</v>
      </c>
      <c r="C89" s="33" t="s">
        <v>47</v>
      </c>
      <c r="D89" s="56"/>
      <c r="E89" s="30">
        <f>SUM(D$5:D89)</f>
        <v>4298585.7</v>
      </c>
      <c r="F89" s="56"/>
      <c r="G89" s="326">
        <v>34965.31</v>
      </c>
      <c r="H89" s="30">
        <f t="shared" si="11"/>
        <v>2919947.1600000006</v>
      </c>
      <c r="I89" s="56"/>
      <c r="J89" s="30">
        <f t="shared" si="9"/>
        <v>1378638.5399999996</v>
      </c>
      <c r="L89" s="30">
        <f t="shared" si="14"/>
        <v>0</v>
      </c>
      <c r="M89" s="30">
        <f t="shared" si="14"/>
        <v>0</v>
      </c>
      <c r="N89" s="30">
        <f t="shared" si="14"/>
        <v>783.33333333333337</v>
      </c>
      <c r="O89" s="30">
        <f t="shared" si="14"/>
        <v>978.33333333333337</v>
      </c>
      <c r="P89" s="30">
        <f t="shared" si="14"/>
        <v>1250.4916666666666</v>
      </c>
      <c r="Q89" s="30">
        <f t="shared" si="14"/>
        <v>1146.125</v>
      </c>
      <c r="R89" s="30">
        <f t="shared" si="14"/>
        <v>1672.3333333333333</v>
      </c>
      <c r="S89" s="30">
        <f t="shared" si="14"/>
        <v>2357.7249999999999</v>
      </c>
      <c r="T89" s="30">
        <f t="shared" si="14"/>
        <v>2873.6416666666669</v>
      </c>
      <c r="U89" s="30">
        <f t="shared" si="14"/>
        <v>2847.4</v>
      </c>
      <c r="V89" s="30">
        <f t="shared" si="14"/>
        <v>2626.0333333333333</v>
      </c>
      <c r="W89" s="30">
        <f t="shared" si="14"/>
        <v>3747.05</v>
      </c>
      <c r="X89" s="30">
        <f t="shared" si="14"/>
        <v>6066.1208333333334</v>
      </c>
      <c r="Y89" s="30">
        <f t="shared" si="14"/>
        <v>4590.3249999999998</v>
      </c>
      <c r="Z89" s="30">
        <f t="shared" si="14"/>
        <v>4882.6349999999993</v>
      </c>
      <c r="AA89" s="30">
        <f t="shared" si="14"/>
        <v>0</v>
      </c>
      <c r="AB89" s="30">
        <f t="shared" si="13"/>
        <v>35821.547500000001</v>
      </c>
    </row>
    <row r="90" spans="1:28">
      <c r="A90" s="7" t="s">
        <v>54</v>
      </c>
      <c r="B90" s="7">
        <f t="shared" si="15"/>
        <v>2018</v>
      </c>
      <c r="C90" s="33" t="s">
        <v>47</v>
      </c>
      <c r="D90" s="56"/>
      <c r="E90" s="30">
        <f>SUM(D$5:D90)</f>
        <v>4298585.7</v>
      </c>
      <c r="F90" s="56"/>
      <c r="G90" s="447">
        <v>37689.360000000001</v>
      </c>
      <c r="H90" s="30">
        <f t="shared" si="11"/>
        <v>2957636.5200000005</v>
      </c>
      <c r="I90" s="56"/>
      <c r="J90" s="30">
        <f t="shared" si="9"/>
        <v>1340949.1799999997</v>
      </c>
      <c r="L90" s="30">
        <f t="shared" si="14"/>
        <v>0</v>
      </c>
      <c r="M90" s="30">
        <f t="shared" si="14"/>
        <v>0</v>
      </c>
      <c r="N90" s="30">
        <f t="shared" si="14"/>
        <v>783.33333333333337</v>
      </c>
      <c r="O90" s="30">
        <f t="shared" si="14"/>
        <v>978.33333333333337</v>
      </c>
      <c r="P90" s="30">
        <f t="shared" si="14"/>
        <v>1250.4916666666666</v>
      </c>
      <c r="Q90" s="30">
        <f t="shared" si="14"/>
        <v>1146.125</v>
      </c>
      <c r="R90" s="30">
        <f t="shared" si="14"/>
        <v>1672.3333333333333</v>
      </c>
      <c r="S90" s="30">
        <f t="shared" si="14"/>
        <v>2357.7249999999999</v>
      </c>
      <c r="T90" s="30">
        <f t="shared" si="14"/>
        <v>2873.6416666666669</v>
      </c>
      <c r="U90" s="30">
        <f t="shared" si="14"/>
        <v>2847.4</v>
      </c>
      <c r="V90" s="30">
        <f t="shared" si="14"/>
        <v>2626.0333333333333</v>
      </c>
      <c r="W90" s="30">
        <f t="shared" si="14"/>
        <v>3747.05</v>
      </c>
      <c r="X90" s="30">
        <f t="shared" si="14"/>
        <v>6066.1208333333334</v>
      </c>
      <c r="Y90" s="30">
        <f t="shared" si="14"/>
        <v>4590.3249999999998</v>
      </c>
      <c r="Z90" s="30">
        <f t="shared" si="14"/>
        <v>4882.6349999999993</v>
      </c>
      <c r="AA90" s="30">
        <f t="shared" si="14"/>
        <v>0</v>
      </c>
      <c r="AB90" s="30">
        <f t="shared" si="13"/>
        <v>35821.547500000001</v>
      </c>
    </row>
    <row r="91" spans="1:28">
      <c r="A91" s="7" t="s">
        <v>55</v>
      </c>
      <c r="B91" s="7">
        <f t="shared" si="15"/>
        <v>2018</v>
      </c>
      <c r="C91" s="33" t="s">
        <v>47</v>
      </c>
      <c r="D91" s="56"/>
      <c r="E91" s="30">
        <f>SUM(D$5:D91)</f>
        <v>4298585.7</v>
      </c>
      <c r="F91" s="56"/>
      <c r="G91" s="447">
        <v>36280.36</v>
      </c>
      <c r="H91" s="30">
        <f t="shared" si="11"/>
        <v>2993916.8800000004</v>
      </c>
      <c r="I91" s="56"/>
      <c r="J91" s="30">
        <f t="shared" si="9"/>
        <v>1304668.8199999998</v>
      </c>
      <c r="L91" s="30">
        <f t="shared" si="14"/>
        <v>0</v>
      </c>
      <c r="M91" s="30">
        <f t="shared" si="14"/>
        <v>0</v>
      </c>
      <c r="N91" s="30">
        <f t="shared" si="14"/>
        <v>783.33333333333337</v>
      </c>
      <c r="O91" s="30">
        <f t="shared" si="14"/>
        <v>978.33333333333337</v>
      </c>
      <c r="P91" s="30">
        <f t="shared" si="14"/>
        <v>1250.4916666666666</v>
      </c>
      <c r="Q91" s="30">
        <f t="shared" si="14"/>
        <v>1146.125</v>
      </c>
      <c r="R91" s="30">
        <f t="shared" si="14"/>
        <v>1672.3333333333333</v>
      </c>
      <c r="S91" s="30">
        <f t="shared" si="14"/>
        <v>2357.7249999999999</v>
      </c>
      <c r="T91" s="30">
        <f t="shared" si="14"/>
        <v>2873.6416666666669</v>
      </c>
      <c r="U91" s="30">
        <f t="shared" si="14"/>
        <v>2847.4</v>
      </c>
      <c r="V91" s="30">
        <f t="shared" si="14"/>
        <v>2626.0333333333333</v>
      </c>
      <c r="W91" s="30">
        <f t="shared" si="14"/>
        <v>3747.05</v>
      </c>
      <c r="X91" s="30">
        <f t="shared" si="14"/>
        <v>6066.1208333333334</v>
      </c>
      <c r="Y91" s="30">
        <f t="shared" si="14"/>
        <v>4590.3249999999998</v>
      </c>
      <c r="Z91" s="30">
        <f t="shared" si="14"/>
        <v>4882.6349999999993</v>
      </c>
      <c r="AA91" s="30">
        <f>+AA90</f>
        <v>0</v>
      </c>
      <c r="AB91" s="30">
        <f t="shared" si="13"/>
        <v>35821.547500000001</v>
      </c>
    </row>
    <row r="92" spans="1:28">
      <c r="A92" s="7" t="s">
        <v>56</v>
      </c>
      <c r="B92" s="7">
        <f t="shared" si="15"/>
        <v>2018</v>
      </c>
      <c r="C92" s="33" t="s">
        <v>47</v>
      </c>
      <c r="D92" s="56"/>
      <c r="E92" s="30">
        <f>SUM(D$5:D92)</f>
        <v>4298585.7</v>
      </c>
      <c r="F92" s="56"/>
      <c r="G92" s="447">
        <v>35170.18</v>
      </c>
      <c r="H92" s="30">
        <f t="shared" si="11"/>
        <v>3029087.0600000005</v>
      </c>
      <c r="I92" s="56"/>
      <c r="J92" s="30">
        <f t="shared" si="9"/>
        <v>1269498.6399999997</v>
      </c>
      <c r="L92" s="30">
        <f t="shared" ref="L92:AA104" si="16">+L91</f>
        <v>0</v>
      </c>
      <c r="M92" s="30">
        <f t="shared" si="16"/>
        <v>0</v>
      </c>
      <c r="N92" s="30">
        <f t="shared" si="16"/>
        <v>783.33333333333337</v>
      </c>
      <c r="O92" s="30">
        <f t="shared" si="16"/>
        <v>978.33333333333337</v>
      </c>
      <c r="P92" s="30">
        <f t="shared" si="16"/>
        <v>1250.4916666666666</v>
      </c>
      <c r="Q92" s="30">
        <f t="shared" si="16"/>
        <v>1146.125</v>
      </c>
      <c r="R92" s="30">
        <f t="shared" si="16"/>
        <v>1672.3333333333333</v>
      </c>
      <c r="S92" s="30">
        <f t="shared" si="16"/>
        <v>2357.7249999999999</v>
      </c>
      <c r="T92" s="30">
        <f t="shared" si="16"/>
        <v>2873.6416666666669</v>
      </c>
      <c r="U92" s="30">
        <f t="shared" si="16"/>
        <v>2847.4</v>
      </c>
      <c r="V92" s="30">
        <f t="shared" si="16"/>
        <v>2626.0333333333333</v>
      </c>
      <c r="W92" s="30">
        <f t="shared" si="16"/>
        <v>3747.05</v>
      </c>
      <c r="X92" s="30">
        <f t="shared" si="16"/>
        <v>6066.1208333333334</v>
      </c>
      <c r="Y92" s="30">
        <f t="shared" si="16"/>
        <v>4590.3249999999998</v>
      </c>
      <c r="Z92" s="30">
        <f t="shared" si="16"/>
        <v>4882.6349999999993</v>
      </c>
      <c r="AA92" s="30">
        <f t="shared" si="16"/>
        <v>0</v>
      </c>
      <c r="AB92" s="30">
        <f t="shared" si="13"/>
        <v>35821.547500000001</v>
      </c>
    </row>
    <row r="93" spans="1:28">
      <c r="A93" s="7" t="s">
        <v>57</v>
      </c>
      <c r="B93" s="7">
        <f t="shared" si="15"/>
        <v>2018</v>
      </c>
      <c r="C93" s="33" t="s">
        <v>47</v>
      </c>
      <c r="D93" s="56"/>
      <c r="E93" s="30">
        <f>SUM(D$5:D93)</f>
        <v>4298585.7</v>
      </c>
      <c r="F93" s="56"/>
      <c r="G93" s="447">
        <v>32870.5</v>
      </c>
      <c r="H93" s="30">
        <f t="shared" si="11"/>
        <v>3061957.5600000005</v>
      </c>
      <c r="I93" s="56"/>
      <c r="J93" s="30">
        <f t="shared" si="9"/>
        <v>1236628.1399999997</v>
      </c>
      <c r="L93" s="30">
        <f t="shared" si="16"/>
        <v>0</v>
      </c>
      <c r="M93" s="30">
        <f t="shared" si="16"/>
        <v>0</v>
      </c>
      <c r="N93" s="30">
        <f t="shared" si="16"/>
        <v>783.33333333333337</v>
      </c>
      <c r="O93" s="30">
        <f t="shared" si="16"/>
        <v>978.33333333333337</v>
      </c>
      <c r="P93" s="30">
        <f t="shared" si="16"/>
        <v>1250.4916666666666</v>
      </c>
      <c r="Q93" s="30">
        <f t="shared" si="16"/>
        <v>1146.125</v>
      </c>
      <c r="R93" s="30">
        <f t="shared" si="16"/>
        <v>1672.3333333333333</v>
      </c>
      <c r="S93" s="30">
        <f t="shared" si="16"/>
        <v>2357.7249999999999</v>
      </c>
      <c r="T93" s="30">
        <f t="shared" si="16"/>
        <v>2873.6416666666669</v>
      </c>
      <c r="U93" s="30">
        <f t="shared" si="16"/>
        <v>2847.4</v>
      </c>
      <c r="V93" s="30">
        <f t="shared" si="16"/>
        <v>2626.0333333333333</v>
      </c>
      <c r="W93" s="30">
        <f t="shared" si="16"/>
        <v>3747.05</v>
      </c>
      <c r="X93" s="30">
        <f t="shared" si="16"/>
        <v>6066.1208333333334</v>
      </c>
      <c r="Y93" s="30">
        <f t="shared" si="16"/>
        <v>4590.3249999999998</v>
      </c>
      <c r="Z93" s="30">
        <f t="shared" si="16"/>
        <v>4882.6349999999993</v>
      </c>
      <c r="AA93" s="30">
        <f t="shared" si="16"/>
        <v>0</v>
      </c>
      <c r="AB93" s="30">
        <f t="shared" si="13"/>
        <v>35821.547500000001</v>
      </c>
    </row>
    <row r="94" spans="1:28">
      <c r="A94" s="7" t="s">
        <v>58</v>
      </c>
      <c r="B94" s="7">
        <f t="shared" si="15"/>
        <v>2018</v>
      </c>
      <c r="C94" s="33" t="s">
        <v>47</v>
      </c>
      <c r="D94" s="56"/>
      <c r="E94" s="30">
        <f>SUM(D$5:D94)</f>
        <v>4298585.7</v>
      </c>
      <c r="F94" s="56"/>
      <c r="G94" s="447">
        <v>35159.879999999997</v>
      </c>
      <c r="H94" s="30">
        <f t="shared" si="11"/>
        <v>3097117.4400000004</v>
      </c>
      <c r="I94" s="56"/>
      <c r="J94" s="30">
        <f t="shared" si="9"/>
        <v>1201468.2599999998</v>
      </c>
      <c r="L94" s="30">
        <f t="shared" si="16"/>
        <v>0</v>
      </c>
      <c r="M94" s="30">
        <f t="shared" si="16"/>
        <v>0</v>
      </c>
      <c r="N94" s="30">
        <f t="shared" si="16"/>
        <v>783.33333333333337</v>
      </c>
      <c r="O94" s="30">
        <f t="shared" si="16"/>
        <v>978.33333333333337</v>
      </c>
      <c r="P94" s="30">
        <f t="shared" si="16"/>
        <v>1250.4916666666666</v>
      </c>
      <c r="Q94" s="30">
        <f t="shared" si="16"/>
        <v>1146.125</v>
      </c>
      <c r="R94" s="30">
        <f t="shared" si="16"/>
        <v>1672.3333333333333</v>
      </c>
      <c r="S94" s="30">
        <f t="shared" si="16"/>
        <v>2357.7249999999999</v>
      </c>
      <c r="T94" s="30">
        <f t="shared" si="16"/>
        <v>2873.6416666666669</v>
      </c>
      <c r="U94" s="30">
        <f t="shared" si="16"/>
        <v>2847.4</v>
      </c>
      <c r="V94" s="30">
        <f t="shared" si="16"/>
        <v>2626.0333333333333</v>
      </c>
      <c r="W94" s="30">
        <f t="shared" si="16"/>
        <v>3747.05</v>
      </c>
      <c r="X94" s="30">
        <f t="shared" si="16"/>
        <v>6066.1208333333334</v>
      </c>
      <c r="Y94" s="30">
        <f t="shared" si="16"/>
        <v>4590.3249999999998</v>
      </c>
      <c r="Z94" s="30">
        <f t="shared" si="16"/>
        <v>4882.6349999999993</v>
      </c>
      <c r="AA94" s="30">
        <f t="shared" si="16"/>
        <v>0</v>
      </c>
      <c r="AB94" s="30">
        <f t="shared" si="13"/>
        <v>35821.547500000001</v>
      </c>
    </row>
    <row r="95" spans="1:28">
      <c r="A95" s="7" t="s">
        <v>59</v>
      </c>
      <c r="B95" s="7">
        <f t="shared" si="15"/>
        <v>2018</v>
      </c>
      <c r="C95" s="33" t="s">
        <v>47</v>
      </c>
      <c r="D95" s="56"/>
      <c r="E95" s="30">
        <f>SUM(D$5:D95)</f>
        <v>4298585.7</v>
      </c>
      <c r="F95" s="56"/>
      <c r="G95" s="447">
        <v>32614.3</v>
      </c>
      <c r="H95" s="30">
        <f t="shared" si="11"/>
        <v>3129731.74</v>
      </c>
      <c r="I95" s="56"/>
      <c r="J95" s="30">
        <f t="shared" si="9"/>
        <v>1168853.96</v>
      </c>
      <c r="L95" s="30">
        <f t="shared" si="16"/>
        <v>0</v>
      </c>
      <c r="M95" s="30">
        <f t="shared" si="16"/>
        <v>0</v>
      </c>
      <c r="N95" s="30">
        <f t="shared" si="16"/>
        <v>783.33333333333337</v>
      </c>
      <c r="O95" s="30">
        <f t="shared" si="16"/>
        <v>978.33333333333337</v>
      </c>
      <c r="P95" s="30">
        <f t="shared" si="16"/>
        <v>1250.4916666666666</v>
      </c>
      <c r="Q95" s="30">
        <f t="shared" si="16"/>
        <v>1146.125</v>
      </c>
      <c r="R95" s="30">
        <f t="shared" si="16"/>
        <v>1672.3333333333333</v>
      </c>
      <c r="S95" s="30">
        <f t="shared" si="16"/>
        <v>2357.7249999999999</v>
      </c>
      <c r="T95" s="30">
        <f t="shared" si="16"/>
        <v>2873.6416666666669</v>
      </c>
      <c r="U95" s="30">
        <f t="shared" si="16"/>
        <v>2847.4</v>
      </c>
      <c r="V95" s="30">
        <f t="shared" si="16"/>
        <v>2626.0333333333333</v>
      </c>
      <c r="W95" s="30">
        <f t="shared" si="16"/>
        <v>3747.05</v>
      </c>
      <c r="X95" s="30">
        <f t="shared" si="16"/>
        <v>6066.1208333333334</v>
      </c>
      <c r="Y95" s="30">
        <f t="shared" si="16"/>
        <v>4590.3249999999998</v>
      </c>
      <c r="Z95" s="30">
        <f t="shared" si="16"/>
        <v>4882.6349999999993</v>
      </c>
      <c r="AA95" s="30">
        <f t="shared" si="16"/>
        <v>0</v>
      </c>
      <c r="AB95" s="30">
        <f t="shared" si="13"/>
        <v>35821.547500000001</v>
      </c>
    </row>
    <row r="96" spans="1:28">
      <c r="A96" s="7" t="s">
        <v>46</v>
      </c>
      <c r="B96" s="7">
        <f t="shared" si="15"/>
        <v>2018</v>
      </c>
      <c r="C96" s="33" t="s">
        <v>47</v>
      </c>
      <c r="D96" s="56"/>
      <c r="E96" s="30">
        <f>SUM(D$5:D96)</f>
        <v>4298585.7</v>
      </c>
      <c r="F96" s="56"/>
      <c r="G96" s="326">
        <v>45052.45</v>
      </c>
      <c r="H96" s="30">
        <f t="shared" si="11"/>
        <v>3174784.1900000004</v>
      </c>
      <c r="I96" s="56"/>
      <c r="J96" s="30">
        <f t="shared" si="9"/>
        <v>1123801.5099999998</v>
      </c>
      <c r="L96" s="30">
        <f t="shared" si="16"/>
        <v>0</v>
      </c>
      <c r="M96" s="30">
        <f t="shared" si="16"/>
        <v>0</v>
      </c>
      <c r="N96" s="30">
        <f t="shared" si="16"/>
        <v>783.33333333333337</v>
      </c>
      <c r="O96" s="30">
        <f t="shared" si="16"/>
        <v>978.33333333333337</v>
      </c>
      <c r="P96" s="30">
        <f t="shared" si="16"/>
        <v>1250.4916666666666</v>
      </c>
      <c r="Q96" s="30">
        <f t="shared" si="16"/>
        <v>1146.125</v>
      </c>
      <c r="R96" s="30">
        <f t="shared" si="16"/>
        <v>1672.3333333333333</v>
      </c>
      <c r="S96" s="30">
        <f t="shared" si="16"/>
        <v>2357.7249999999999</v>
      </c>
      <c r="T96" s="30">
        <f t="shared" si="16"/>
        <v>2873.6416666666669</v>
      </c>
      <c r="U96" s="30">
        <f t="shared" si="16"/>
        <v>2847.4</v>
      </c>
      <c r="V96" s="30">
        <f t="shared" si="16"/>
        <v>2626.0333333333333</v>
      </c>
      <c r="W96" s="30">
        <f t="shared" si="16"/>
        <v>3747.05</v>
      </c>
      <c r="X96" s="30">
        <f t="shared" si="16"/>
        <v>6066.1208333333334</v>
      </c>
      <c r="Y96" s="30">
        <f t="shared" si="16"/>
        <v>4590.3249999999998</v>
      </c>
      <c r="Z96" s="30">
        <f t="shared" si="16"/>
        <v>4882.6349999999993</v>
      </c>
      <c r="AA96" s="30">
        <f t="shared" si="16"/>
        <v>0</v>
      </c>
      <c r="AB96" s="30">
        <f t="shared" si="13"/>
        <v>35821.547500000001</v>
      </c>
    </row>
    <row r="97" spans="1:28">
      <c r="A97" s="7" t="s">
        <v>48</v>
      </c>
      <c r="B97" s="7">
        <f t="shared" si="15"/>
        <v>2018</v>
      </c>
      <c r="C97" s="327" t="s">
        <v>47</v>
      </c>
      <c r="D97" s="56"/>
      <c r="E97" s="30">
        <f>SUM(D$5:D97)</f>
        <v>4298585.7</v>
      </c>
      <c r="F97" s="56"/>
      <c r="G97" s="326">
        <v>43967.25</v>
      </c>
      <c r="H97" s="30">
        <f t="shared" si="11"/>
        <v>3218751.4400000004</v>
      </c>
      <c r="I97" s="56"/>
      <c r="J97" s="30">
        <f t="shared" si="9"/>
        <v>1079834.2599999998</v>
      </c>
      <c r="L97" s="30">
        <f t="shared" si="16"/>
        <v>0</v>
      </c>
      <c r="M97" s="30">
        <f t="shared" si="16"/>
        <v>0</v>
      </c>
      <c r="N97" s="30">
        <f t="shared" si="16"/>
        <v>783.33333333333337</v>
      </c>
      <c r="O97" s="30">
        <f t="shared" si="16"/>
        <v>978.33333333333337</v>
      </c>
      <c r="P97" s="30">
        <f t="shared" si="16"/>
        <v>1250.4916666666666</v>
      </c>
      <c r="Q97" s="30">
        <f t="shared" si="16"/>
        <v>1146.125</v>
      </c>
      <c r="R97" s="30">
        <f t="shared" si="16"/>
        <v>1672.3333333333333</v>
      </c>
      <c r="S97" s="30">
        <f t="shared" si="16"/>
        <v>2357.7249999999999</v>
      </c>
      <c r="T97" s="30">
        <f t="shared" si="16"/>
        <v>2873.6416666666669</v>
      </c>
      <c r="U97" s="30">
        <f t="shared" si="16"/>
        <v>2847.4</v>
      </c>
      <c r="V97" s="30">
        <f t="shared" si="16"/>
        <v>2626.0333333333333</v>
      </c>
      <c r="W97" s="30">
        <f t="shared" si="16"/>
        <v>3747.05</v>
      </c>
      <c r="X97" s="30">
        <f t="shared" si="16"/>
        <v>6066.1208333333334</v>
      </c>
      <c r="Y97" s="30">
        <f t="shared" si="16"/>
        <v>4590.3249999999998</v>
      </c>
      <c r="Z97" s="30">
        <f t="shared" si="16"/>
        <v>4882.6349999999993</v>
      </c>
      <c r="AA97" s="30">
        <f t="shared" si="16"/>
        <v>0</v>
      </c>
      <c r="AB97" s="30">
        <f t="shared" si="13"/>
        <v>35821.547500000001</v>
      </c>
    </row>
    <row r="98" spans="1:28" outlineLevel="1">
      <c r="A98" s="7" t="s">
        <v>50</v>
      </c>
      <c r="B98" s="7">
        <f t="shared" si="15"/>
        <v>2018</v>
      </c>
      <c r="C98" s="327" t="s">
        <v>47</v>
      </c>
      <c r="D98" s="56"/>
      <c r="E98" s="30">
        <f>SUM(D$5:D98)</f>
        <v>4298585.7</v>
      </c>
      <c r="F98" s="56"/>
      <c r="G98" s="326">
        <v>33544.28</v>
      </c>
      <c r="H98" s="30">
        <f t="shared" si="11"/>
        <v>3252295.72</v>
      </c>
      <c r="I98" s="56"/>
      <c r="J98" s="30">
        <f t="shared" si="9"/>
        <v>1046289.98</v>
      </c>
      <c r="L98" s="30">
        <f t="shared" si="16"/>
        <v>0</v>
      </c>
      <c r="M98" s="30">
        <f t="shared" si="16"/>
        <v>0</v>
      </c>
      <c r="N98" s="30">
        <f t="shared" si="16"/>
        <v>783.33333333333337</v>
      </c>
      <c r="O98" s="30">
        <f t="shared" si="16"/>
        <v>978.33333333333337</v>
      </c>
      <c r="P98" s="30">
        <f t="shared" si="16"/>
        <v>1250.4916666666666</v>
      </c>
      <c r="Q98" s="30">
        <f t="shared" si="16"/>
        <v>1146.125</v>
      </c>
      <c r="R98" s="30">
        <f t="shared" si="16"/>
        <v>1672.3333333333333</v>
      </c>
      <c r="S98" s="30">
        <f t="shared" si="16"/>
        <v>2357.7249999999999</v>
      </c>
      <c r="T98" s="30">
        <f t="shared" si="16"/>
        <v>2873.6416666666669</v>
      </c>
      <c r="U98" s="30">
        <f t="shared" si="16"/>
        <v>2847.4</v>
      </c>
      <c r="V98" s="30">
        <f t="shared" si="16"/>
        <v>2626.0333333333333</v>
      </c>
      <c r="W98" s="30">
        <f t="shared" si="16"/>
        <v>3747.05</v>
      </c>
      <c r="X98" s="30">
        <f t="shared" si="16"/>
        <v>6066.1208333333334</v>
      </c>
      <c r="Y98" s="30">
        <f t="shared" si="16"/>
        <v>4590.3249999999998</v>
      </c>
      <c r="Z98" s="30">
        <f t="shared" si="16"/>
        <v>4882.6349999999993</v>
      </c>
      <c r="AA98" s="30">
        <f t="shared" si="16"/>
        <v>0</v>
      </c>
      <c r="AB98" s="30">
        <f t="shared" si="13"/>
        <v>35821.547500000001</v>
      </c>
    </row>
    <row r="99" spans="1:28" outlineLevel="1">
      <c r="A99" s="7" t="s">
        <v>51</v>
      </c>
      <c r="B99" s="7">
        <f t="shared" si="15"/>
        <v>2018</v>
      </c>
      <c r="C99" s="327" t="s">
        <v>47</v>
      </c>
      <c r="D99" s="56"/>
      <c r="E99" s="30">
        <f>SUM(D$5:D99)</f>
        <v>4298585.7</v>
      </c>
      <c r="F99" s="56"/>
      <c r="G99" s="326">
        <v>32519.759999999998</v>
      </c>
      <c r="H99" s="30">
        <f t="shared" si="11"/>
        <v>3284815.48</v>
      </c>
      <c r="I99" s="56"/>
      <c r="J99" s="30">
        <f t="shared" si="9"/>
        <v>1013770.2200000002</v>
      </c>
      <c r="L99" s="30">
        <f t="shared" si="16"/>
        <v>0</v>
      </c>
      <c r="M99" s="30">
        <f t="shared" si="16"/>
        <v>0</v>
      </c>
      <c r="N99" s="30">
        <f t="shared" si="16"/>
        <v>783.33333333333337</v>
      </c>
      <c r="O99" s="30">
        <f t="shared" si="16"/>
        <v>978.33333333333337</v>
      </c>
      <c r="P99" s="30">
        <f t="shared" si="16"/>
        <v>1250.4916666666666</v>
      </c>
      <c r="Q99" s="30">
        <f t="shared" si="16"/>
        <v>1146.125</v>
      </c>
      <c r="R99" s="30">
        <f t="shared" si="16"/>
        <v>1672.3333333333333</v>
      </c>
      <c r="S99" s="30">
        <f t="shared" si="16"/>
        <v>2357.7249999999999</v>
      </c>
      <c r="T99" s="30">
        <f t="shared" si="16"/>
        <v>2873.6416666666669</v>
      </c>
      <c r="U99" s="30">
        <f t="shared" si="16"/>
        <v>2847.4</v>
      </c>
      <c r="V99" s="30">
        <f t="shared" si="16"/>
        <v>2626.0333333333333</v>
      </c>
      <c r="W99" s="30">
        <f t="shared" si="16"/>
        <v>3747.05</v>
      </c>
      <c r="X99" s="30">
        <f t="shared" si="16"/>
        <v>6066.1208333333334</v>
      </c>
      <c r="Y99" s="30">
        <f t="shared" si="16"/>
        <v>4590.3249999999998</v>
      </c>
      <c r="Z99" s="30">
        <f t="shared" si="16"/>
        <v>4882.6349999999993</v>
      </c>
      <c r="AA99" s="30">
        <f t="shared" si="16"/>
        <v>0</v>
      </c>
      <c r="AB99" s="30">
        <f t="shared" si="13"/>
        <v>35821.547500000001</v>
      </c>
    </row>
    <row r="100" spans="1:28" outlineLevel="1">
      <c r="A100" s="7" t="s">
        <v>52</v>
      </c>
      <c r="B100" s="7">
        <f t="shared" si="15"/>
        <v>2018</v>
      </c>
      <c r="C100" s="327" t="s">
        <v>47</v>
      </c>
      <c r="D100" s="56"/>
      <c r="E100" s="30">
        <f>SUM(D$5:D100)</f>
        <v>4298585.7</v>
      </c>
      <c r="F100" s="56"/>
      <c r="G100" s="326">
        <v>24564.04</v>
      </c>
      <c r="H100" s="30">
        <f t="shared" si="11"/>
        <v>3309379.52</v>
      </c>
      <c r="I100" s="56"/>
      <c r="J100" s="30">
        <f t="shared" si="9"/>
        <v>989206.18000000017</v>
      </c>
      <c r="L100" s="30">
        <f t="shared" si="16"/>
        <v>0</v>
      </c>
      <c r="M100" s="30">
        <f t="shared" si="16"/>
        <v>0</v>
      </c>
      <c r="N100" s="30">
        <f t="shared" si="16"/>
        <v>783.33333333333337</v>
      </c>
      <c r="O100" s="30">
        <f t="shared" si="16"/>
        <v>978.33333333333337</v>
      </c>
      <c r="P100" s="30">
        <f t="shared" si="16"/>
        <v>1250.4916666666666</v>
      </c>
      <c r="Q100" s="30">
        <f t="shared" si="16"/>
        <v>1146.125</v>
      </c>
      <c r="R100" s="30">
        <f t="shared" si="16"/>
        <v>1672.3333333333333</v>
      </c>
      <c r="S100" s="30">
        <f t="shared" si="16"/>
        <v>2357.7249999999999</v>
      </c>
      <c r="T100" s="30">
        <f t="shared" si="16"/>
        <v>2873.6416666666669</v>
      </c>
      <c r="U100" s="30">
        <f t="shared" si="16"/>
        <v>2847.4</v>
      </c>
      <c r="V100" s="30">
        <f t="shared" si="16"/>
        <v>2626.0333333333333</v>
      </c>
      <c r="W100" s="30">
        <f t="shared" si="16"/>
        <v>3747.05</v>
      </c>
      <c r="X100" s="30">
        <f t="shared" si="16"/>
        <v>6066.1208333333334</v>
      </c>
      <c r="Y100" s="30">
        <f t="shared" si="16"/>
        <v>4590.3249999999998</v>
      </c>
      <c r="Z100" s="30">
        <f t="shared" si="16"/>
        <v>4882.6349999999993</v>
      </c>
      <c r="AA100" s="30">
        <f t="shared" si="16"/>
        <v>0</v>
      </c>
      <c r="AB100" s="30">
        <f t="shared" si="13"/>
        <v>35821.547500000001</v>
      </c>
    </row>
    <row r="101" spans="1:28" outlineLevel="1">
      <c r="A101" s="7" t="s">
        <v>53</v>
      </c>
      <c r="B101" s="7">
        <f t="shared" si="15"/>
        <v>2019</v>
      </c>
      <c r="C101" s="327" t="s">
        <v>47</v>
      </c>
      <c r="D101" s="56"/>
      <c r="E101" s="30">
        <f>SUM(D$5:D101)</f>
        <v>4298585.7</v>
      </c>
      <c r="F101" s="56"/>
      <c r="G101" s="326">
        <v>30043.360000000001</v>
      </c>
      <c r="H101" s="30">
        <f t="shared" si="11"/>
        <v>3339422.88</v>
      </c>
      <c r="I101" s="56"/>
      <c r="J101" s="30">
        <f t="shared" si="9"/>
        <v>959162.8200000003</v>
      </c>
      <c r="L101" s="30">
        <f t="shared" si="16"/>
        <v>0</v>
      </c>
      <c r="M101" s="30">
        <f t="shared" si="16"/>
        <v>0</v>
      </c>
      <c r="N101" s="30">
        <f t="shared" si="16"/>
        <v>783.33333333333337</v>
      </c>
      <c r="O101" s="30">
        <f t="shared" si="16"/>
        <v>978.33333333333337</v>
      </c>
      <c r="P101" s="30">
        <f t="shared" si="16"/>
        <v>1250.4916666666666</v>
      </c>
      <c r="Q101" s="30">
        <f t="shared" si="16"/>
        <v>1146.125</v>
      </c>
      <c r="R101" s="30">
        <f t="shared" si="16"/>
        <v>1672.3333333333333</v>
      </c>
      <c r="S101" s="30">
        <f t="shared" si="16"/>
        <v>2357.7249999999999</v>
      </c>
      <c r="T101" s="30">
        <f t="shared" si="16"/>
        <v>2873.6416666666669</v>
      </c>
      <c r="U101" s="30">
        <f t="shared" si="16"/>
        <v>2847.4</v>
      </c>
      <c r="V101" s="30">
        <f t="shared" si="16"/>
        <v>2626.0333333333333</v>
      </c>
      <c r="W101" s="30">
        <f t="shared" si="16"/>
        <v>3747.05</v>
      </c>
      <c r="X101" s="30">
        <f t="shared" si="16"/>
        <v>6066.1208333333334</v>
      </c>
      <c r="Y101" s="30">
        <f t="shared" si="16"/>
        <v>4590.3249999999998</v>
      </c>
      <c r="Z101" s="30">
        <f t="shared" si="16"/>
        <v>4882.6349999999993</v>
      </c>
      <c r="AA101" s="30">
        <f t="shared" si="16"/>
        <v>0</v>
      </c>
      <c r="AB101" s="30">
        <f t="shared" ref="AB101:AB132" si="17">SUM(L101:AA101)</f>
        <v>35821.547500000001</v>
      </c>
    </row>
    <row r="102" spans="1:28" outlineLevel="1">
      <c r="A102" s="7" t="s">
        <v>54</v>
      </c>
      <c r="B102" s="7">
        <f t="shared" si="15"/>
        <v>2019</v>
      </c>
      <c r="C102" s="327" t="s">
        <v>47</v>
      </c>
      <c r="D102" s="56"/>
      <c r="E102" s="30">
        <f>SUM(D$5:D102)</f>
        <v>4298585.7</v>
      </c>
      <c r="F102" s="56"/>
      <c r="G102" s="326">
        <v>26371.99</v>
      </c>
      <c r="H102" s="30">
        <f t="shared" si="11"/>
        <v>3365794.87</v>
      </c>
      <c r="I102" s="56"/>
      <c r="J102" s="30">
        <f t="shared" si="9"/>
        <v>932790.83000000007</v>
      </c>
      <c r="L102" s="30">
        <f t="shared" si="16"/>
        <v>0</v>
      </c>
      <c r="M102" s="30">
        <f t="shared" si="16"/>
        <v>0</v>
      </c>
      <c r="N102" s="30">
        <f t="shared" si="16"/>
        <v>783.33333333333337</v>
      </c>
      <c r="O102" s="30">
        <f t="shared" si="16"/>
        <v>978.33333333333337</v>
      </c>
      <c r="P102" s="30">
        <f t="shared" si="16"/>
        <v>1250.4916666666666</v>
      </c>
      <c r="Q102" s="30">
        <f t="shared" si="16"/>
        <v>1146.125</v>
      </c>
      <c r="R102" s="30">
        <f t="shared" si="16"/>
        <v>1672.3333333333333</v>
      </c>
      <c r="S102" s="30">
        <f t="shared" si="16"/>
        <v>2357.7249999999999</v>
      </c>
      <c r="T102" s="30">
        <f t="shared" si="16"/>
        <v>2873.6416666666669</v>
      </c>
      <c r="U102" s="30">
        <f t="shared" si="16"/>
        <v>2847.4</v>
      </c>
      <c r="V102" s="30">
        <f t="shared" si="16"/>
        <v>2626.0333333333333</v>
      </c>
      <c r="W102" s="30">
        <f t="shared" si="16"/>
        <v>3747.05</v>
      </c>
      <c r="X102" s="30">
        <f t="shared" si="16"/>
        <v>6066.1208333333334</v>
      </c>
      <c r="Y102" s="30">
        <f t="shared" si="16"/>
        <v>4590.3249999999998</v>
      </c>
      <c r="Z102" s="30">
        <f t="shared" si="16"/>
        <v>4882.6349999999993</v>
      </c>
      <c r="AA102" s="30">
        <f t="shared" si="16"/>
        <v>0</v>
      </c>
      <c r="AB102" s="30">
        <f t="shared" si="17"/>
        <v>35821.547500000001</v>
      </c>
    </row>
    <row r="103" spans="1:28" outlineLevel="1">
      <c r="A103" s="7" t="s">
        <v>55</v>
      </c>
      <c r="B103" s="7">
        <f t="shared" si="15"/>
        <v>2019</v>
      </c>
      <c r="C103" s="327" t="s">
        <v>47</v>
      </c>
      <c r="D103" s="56"/>
      <c r="E103" s="30">
        <f>SUM(D$5:D103)</f>
        <v>4298585.7</v>
      </c>
      <c r="F103" s="56"/>
      <c r="G103" s="326">
        <v>32853.83</v>
      </c>
      <c r="H103" s="30">
        <f t="shared" si="11"/>
        <v>3398648.7</v>
      </c>
      <c r="I103" s="56"/>
      <c r="J103" s="30">
        <f t="shared" si="9"/>
        <v>899937</v>
      </c>
      <c r="L103" s="30">
        <f t="shared" si="16"/>
        <v>0</v>
      </c>
      <c r="M103" s="30">
        <f t="shared" si="16"/>
        <v>0</v>
      </c>
      <c r="N103" s="30">
        <f t="shared" si="16"/>
        <v>783.33333333333337</v>
      </c>
      <c r="O103" s="30">
        <f t="shared" si="16"/>
        <v>978.33333333333337</v>
      </c>
      <c r="P103" s="30">
        <f t="shared" si="16"/>
        <v>1250.4916666666666</v>
      </c>
      <c r="Q103" s="30">
        <f t="shared" si="16"/>
        <v>1146.125</v>
      </c>
      <c r="R103" s="30">
        <f t="shared" si="16"/>
        <v>1672.3333333333333</v>
      </c>
      <c r="S103" s="30">
        <f t="shared" si="16"/>
        <v>2357.7249999999999</v>
      </c>
      <c r="T103" s="30">
        <f t="shared" si="16"/>
        <v>2873.6416666666669</v>
      </c>
      <c r="U103" s="30">
        <f t="shared" si="16"/>
        <v>2847.4</v>
      </c>
      <c r="V103" s="30">
        <f t="shared" si="16"/>
        <v>2626.0333333333333</v>
      </c>
      <c r="W103" s="30">
        <f t="shared" si="16"/>
        <v>3747.05</v>
      </c>
      <c r="X103" s="30">
        <f t="shared" si="16"/>
        <v>6066.1208333333334</v>
      </c>
      <c r="Y103" s="30">
        <f t="shared" si="16"/>
        <v>4590.3249999999998</v>
      </c>
      <c r="Z103" s="30">
        <f t="shared" si="16"/>
        <v>4882.6349999999993</v>
      </c>
      <c r="AA103" s="30">
        <f t="shared" si="16"/>
        <v>0</v>
      </c>
      <c r="AB103" s="30">
        <f t="shared" si="17"/>
        <v>35821.547500000001</v>
      </c>
    </row>
    <row r="104" spans="1:28" outlineLevel="1">
      <c r="A104" s="7" t="s">
        <v>56</v>
      </c>
      <c r="B104" s="7">
        <f t="shared" si="15"/>
        <v>2019</v>
      </c>
      <c r="C104" s="327" t="s">
        <v>47</v>
      </c>
      <c r="D104" s="56"/>
      <c r="E104" s="30">
        <f>SUM(D$5:D104)</f>
        <v>4298585.7</v>
      </c>
      <c r="F104" s="56"/>
      <c r="G104" s="326">
        <v>31271.15</v>
      </c>
      <c r="H104" s="30">
        <f t="shared" si="11"/>
        <v>3429919.85</v>
      </c>
      <c r="I104" s="56"/>
      <c r="J104" s="30">
        <f t="shared" ref="J104:J138" si="18">+E104-H104</f>
        <v>868665.85000000009</v>
      </c>
      <c r="L104" s="30">
        <f t="shared" si="16"/>
        <v>0</v>
      </c>
      <c r="M104" s="30">
        <f t="shared" si="16"/>
        <v>0</v>
      </c>
      <c r="N104" s="30">
        <f t="shared" si="16"/>
        <v>783.33333333333337</v>
      </c>
      <c r="O104" s="30">
        <f t="shared" si="16"/>
        <v>978.33333333333337</v>
      </c>
      <c r="P104" s="30">
        <f t="shared" si="16"/>
        <v>1250.4916666666666</v>
      </c>
      <c r="Q104" s="30">
        <f t="shared" si="16"/>
        <v>1146.125</v>
      </c>
      <c r="R104" s="30">
        <f t="shared" si="16"/>
        <v>1672.3333333333333</v>
      </c>
      <c r="S104" s="30">
        <f t="shared" si="16"/>
        <v>2357.7249999999999</v>
      </c>
      <c r="T104" s="30">
        <f t="shared" si="16"/>
        <v>2873.6416666666669</v>
      </c>
      <c r="U104" s="30">
        <f t="shared" si="16"/>
        <v>2847.4</v>
      </c>
      <c r="V104" s="30">
        <f t="shared" si="16"/>
        <v>2626.0333333333333</v>
      </c>
      <c r="W104" s="30">
        <f t="shared" si="16"/>
        <v>3747.05</v>
      </c>
      <c r="X104" s="30">
        <f t="shared" si="16"/>
        <v>6066.1208333333334</v>
      </c>
      <c r="Y104" s="30">
        <f t="shared" si="16"/>
        <v>4590.3249999999998</v>
      </c>
      <c r="Z104" s="30">
        <f t="shared" si="16"/>
        <v>4882.6349999999993</v>
      </c>
      <c r="AA104" s="30">
        <f>+AA103</f>
        <v>0</v>
      </c>
      <c r="AB104" s="30">
        <f t="shared" si="17"/>
        <v>35821.547500000001</v>
      </c>
    </row>
    <row r="105" spans="1:28" outlineLevel="1">
      <c r="A105" s="7" t="s">
        <v>57</v>
      </c>
      <c r="B105" s="7">
        <f t="shared" si="15"/>
        <v>2019</v>
      </c>
      <c r="C105" s="327" t="s">
        <v>47</v>
      </c>
      <c r="D105" s="56"/>
      <c r="E105" s="30">
        <f>SUM(D$5:D105)</f>
        <v>4298585.7</v>
      </c>
      <c r="F105" s="56"/>
      <c r="G105" s="326">
        <v>35711.699999999997</v>
      </c>
      <c r="H105" s="30">
        <f t="shared" si="11"/>
        <v>3465631.5500000003</v>
      </c>
      <c r="I105" s="56"/>
      <c r="J105" s="30">
        <f t="shared" si="18"/>
        <v>832954.14999999991</v>
      </c>
      <c r="L105" s="30">
        <f t="shared" ref="L105:AA117" si="19">+L104</f>
        <v>0</v>
      </c>
      <c r="M105" s="30">
        <f t="shared" si="19"/>
        <v>0</v>
      </c>
      <c r="N105" s="30">
        <f t="shared" si="19"/>
        <v>783.33333333333337</v>
      </c>
      <c r="O105" s="30">
        <f t="shared" si="19"/>
        <v>978.33333333333337</v>
      </c>
      <c r="P105" s="30">
        <f t="shared" si="19"/>
        <v>1250.4916666666666</v>
      </c>
      <c r="Q105" s="30">
        <f t="shared" si="19"/>
        <v>1146.125</v>
      </c>
      <c r="R105" s="30">
        <f t="shared" si="19"/>
        <v>1672.3333333333333</v>
      </c>
      <c r="S105" s="30">
        <f t="shared" si="19"/>
        <v>2357.7249999999999</v>
      </c>
      <c r="T105" s="30">
        <f t="shared" si="19"/>
        <v>2873.6416666666669</v>
      </c>
      <c r="U105" s="30">
        <f t="shared" si="19"/>
        <v>2847.4</v>
      </c>
      <c r="V105" s="30">
        <f t="shared" si="19"/>
        <v>2626.0333333333333</v>
      </c>
      <c r="W105" s="30">
        <f t="shared" si="19"/>
        <v>3747.05</v>
      </c>
      <c r="X105" s="30">
        <f t="shared" si="19"/>
        <v>6066.1208333333334</v>
      </c>
      <c r="Y105" s="30">
        <f t="shared" si="19"/>
        <v>4590.3249999999998</v>
      </c>
      <c r="Z105" s="30">
        <f t="shared" si="19"/>
        <v>4882.6349999999993</v>
      </c>
      <c r="AA105" s="30">
        <f t="shared" si="19"/>
        <v>0</v>
      </c>
      <c r="AB105" s="30">
        <f t="shared" si="17"/>
        <v>35821.547500000001</v>
      </c>
    </row>
    <row r="106" spans="1:28" outlineLevel="1">
      <c r="A106" s="7" t="s">
        <v>58</v>
      </c>
      <c r="B106" s="7">
        <f t="shared" si="15"/>
        <v>2019</v>
      </c>
      <c r="C106" s="327" t="s">
        <v>47</v>
      </c>
      <c r="D106" s="56"/>
      <c r="E106" s="30">
        <f>SUM(D$5:D106)</f>
        <v>4298585.7</v>
      </c>
      <c r="F106" s="56"/>
      <c r="G106" s="326">
        <v>32287.37</v>
      </c>
      <c r="H106" s="30">
        <f t="shared" si="11"/>
        <v>3497918.9200000004</v>
      </c>
      <c r="I106" s="56"/>
      <c r="J106" s="30">
        <f t="shared" si="18"/>
        <v>800666.7799999998</v>
      </c>
      <c r="L106" s="30">
        <f t="shared" si="19"/>
        <v>0</v>
      </c>
      <c r="M106" s="30">
        <f t="shared" si="19"/>
        <v>0</v>
      </c>
      <c r="N106" s="30">
        <f t="shared" si="19"/>
        <v>783.33333333333337</v>
      </c>
      <c r="O106" s="30">
        <f t="shared" si="19"/>
        <v>978.33333333333337</v>
      </c>
      <c r="P106" s="30">
        <f t="shared" si="19"/>
        <v>1250.4916666666666</v>
      </c>
      <c r="Q106" s="30">
        <f t="shared" si="19"/>
        <v>1146.125</v>
      </c>
      <c r="R106" s="30">
        <f t="shared" si="19"/>
        <v>1672.3333333333333</v>
      </c>
      <c r="S106" s="30">
        <f t="shared" si="19"/>
        <v>2357.7249999999999</v>
      </c>
      <c r="T106" s="30">
        <f t="shared" si="19"/>
        <v>2873.6416666666669</v>
      </c>
      <c r="U106" s="30">
        <f t="shared" si="19"/>
        <v>2847.4</v>
      </c>
      <c r="V106" s="30">
        <f t="shared" si="19"/>
        <v>2626.0333333333333</v>
      </c>
      <c r="W106" s="30">
        <f t="shared" si="19"/>
        <v>3747.05</v>
      </c>
      <c r="X106" s="30">
        <f t="shared" si="19"/>
        <v>6066.1208333333334</v>
      </c>
      <c r="Y106" s="30">
        <f t="shared" si="19"/>
        <v>4590.3249999999998</v>
      </c>
      <c r="Z106" s="30">
        <f t="shared" si="19"/>
        <v>4882.6349999999993</v>
      </c>
      <c r="AA106" s="30">
        <f t="shared" si="19"/>
        <v>0</v>
      </c>
      <c r="AB106" s="30">
        <f t="shared" si="17"/>
        <v>35821.547500000001</v>
      </c>
    </row>
    <row r="107" spans="1:28" outlineLevel="1">
      <c r="A107" s="7" t="s">
        <v>59</v>
      </c>
      <c r="B107" s="7">
        <f t="shared" si="15"/>
        <v>2019</v>
      </c>
      <c r="C107" s="327" t="s">
        <v>47</v>
      </c>
      <c r="D107" s="56"/>
      <c r="E107" s="30">
        <f>SUM(D$5:D107)</f>
        <v>4298585.7</v>
      </c>
      <c r="F107" s="56"/>
      <c r="G107" s="326">
        <v>30440.83</v>
      </c>
      <c r="H107" s="30">
        <f t="shared" si="11"/>
        <v>3528359.7500000005</v>
      </c>
      <c r="I107" s="56"/>
      <c r="J107" s="30">
        <f t="shared" si="18"/>
        <v>770225.94999999972</v>
      </c>
      <c r="L107" s="30">
        <f t="shared" si="19"/>
        <v>0</v>
      </c>
      <c r="M107" s="30">
        <f t="shared" si="19"/>
        <v>0</v>
      </c>
      <c r="N107" s="30">
        <f t="shared" si="19"/>
        <v>783.33333333333337</v>
      </c>
      <c r="O107" s="30">
        <f t="shared" si="19"/>
        <v>978.33333333333337</v>
      </c>
      <c r="P107" s="30">
        <f t="shared" si="19"/>
        <v>1250.4916666666666</v>
      </c>
      <c r="Q107" s="30">
        <f t="shared" si="19"/>
        <v>1146.125</v>
      </c>
      <c r="R107" s="30">
        <f t="shared" si="19"/>
        <v>1672.3333333333333</v>
      </c>
      <c r="S107" s="30">
        <f t="shared" si="19"/>
        <v>2357.7249999999999</v>
      </c>
      <c r="T107" s="30">
        <f t="shared" si="19"/>
        <v>2873.6416666666669</v>
      </c>
      <c r="U107" s="30">
        <f t="shared" si="19"/>
        <v>2847.4</v>
      </c>
      <c r="V107" s="30">
        <f t="shared" si="19"/>
        <v>2626.0333333333333</v>
      </c>
      <c r="W107" s="30">
        <f t="shared" si="19"/>
        <v>3747.05</v>
      </c>
      <c r="X107" s="30">
        <f t="shared" si="19"/>
        <v>6066.1208333333334</v>
      </c>
      <c r="Y107" s="30">
        <f t="shared" si="19"/>
        <v>4590.3249999999998</v>
      </c>
      <c r="Z107" s="30">
        <f t="shared" si="19"/>
        <v>4882.6349999999993</v>
      </c>
      <c r="AA107" s="30">
        <f t="shared" si="19"/>
        <v>0</v>
      </c>
      <c r="AB107" s="30">
        <f t="shared" si="17"/>
        <v>35821.547500000001</v>
      </c>
    </row>
    <row r="108" spans="1:28" outlineLevel="1">
      <c r="A108" s="7" t="s">
        <v>46</v>
      </c>
      <c r="B108" s="7">
        <f t="shared" si="15"/>
        <v>2019</v>
      </c>
      <c r="C108" s="327" t="s">
        <v>47</v>
      </c>
      <c r="D108" s="56"/>
      <c r="E108" s="30">
        <f>SUM(D$5:D108)</f>
        <v>4298585.7</v>
      </c>
      <c r="F108" s="56"/>
      <c r="G108" s="326">
        <v>38249.410000000003</v>
      </c>
      <c r="H108" s="30">
        <f t="shared" si="11"/>
        <v>3566609.1600000006</v>
      </c>
      <c r="I108" s="56"/>
      <c r="J108" s="30">
        <f t="shared" si="18"/>
        <v>731976.53999999957</v>
      </c>
      <c r="L108" s="30">
        <f t="shared" si="19"/>
        <v>0</v>
      </c>
      <c r="M108" s="30">
        <f t="shared" si="19"/>
        <v>0</v>
      </c>
      <c r="N108" s="30">
        <f t="shared" si="19"/>
        <v>783.33333333333337</v>
      </c>
      <c r="O108" s="30">
        <f t="shared" si="19"/>
        <v>978.33333333333337</v>
      </c>
      <c r="P108" s="30">
        <f t="shared" si="19"/>
        <v>1250.4916666666666</v>
      </c>
      <c r="Q108" s="30">
        <f t="shared" si="19"/>
        <v>1146.125</v>
      </c>
      <c r="R108" s="30">
        <f t="shared" si="19"/>
        <v>1672.3333333333333</v>
      </c>
      <c r="S108" s="30">
        <f t="shared" si="19"/>
        <v>2357.7249999999999</v>
      </c>
      <c r="T108" s="30">
        <f t="shared" si="19"/>
        <v>2873.6416666666669</v>
      </c>
      <c r="U108" s="30">
        <f t="shared" si="19"/>
        <v>2847.4</v>
      </c>
      <c r="V108" s="30">
        <f t="shared" si="19"/>
        <v>2626.0333333333333</v>
      </c>
      <c r="W108" s="30">
        <f t="shared" si="19"/>
        <v>3747.05</v>
      </c>
      <c r="X108" s="30">
        <f t="shared" si="19"/>
        <v>6066.1208333333334</v>
      </c>
      <c r="Y108" s="30">
        <f t="shared" si="19"/>
        <v>4590.3249999999998</v>
      </c>
      <c r="Z108" s="30">
        <f t="shared" si="19"/>
        <v>4882.6349999999993</v>
      </c>
      <c r="AA108" s="30">
        <f t="shared" si="19"/>
        <v>0</v>
      </c>
      <c r="AB108" s="30">
        <f t="shared" si="17"/>
        <v>35821.547500000001</v>
      </c>
    </row>
    <row r="109" spans="1:28" outlineLevel="1">
      <c r="A109" s="7" t="s">
        <v>48</v>
      </c>
      <c r="B109" s="7">
        <f t="shared" si="15"/>
        <v>2019</v>
      </c>
      <c r="C109" s="327" t="s">
        <v>47</v>
      </c>
      <c r="D109" s="56"/>
      <c r="E109" s="30">
        <f>SUM(D$5:D109)</f>
        <v>4298585.7</v>
      </c>
      <c r="F109" s="56"/>
      <c r="G109" s="326">
        <v>30740.27</v>
      </c>
      <c r="H109" s="30">
        <f t="shared" si="11"/>
        <v>3597349.4300000006</v>
      </c>
      <c r="I109" s="56"/>
      <c r="J109" s="30">
        <f t="shared" si="18"/>
        <v>701236.26999999955</v>
      </c>
      <c r="L109" s="30">
        <f t="shared" si="19"/>
        <v>0</v>
      </c>
      <c r="M109" s="30">
        <f t="shared" si="19"/>
        <v>0</v>
      </c>
      <c r="N109" s="30">
        <f t="shared" si="19"/>
        <v>783.33333333333337</v>
      </c>
      <c r="O109" s="30">
        <f t="shared" si="19"/>
        <v>978.33333333333337</v>
      </c>
      <c r="P109" s="30">
        <f t="shared" si="19"/>
        <v>1250.4916666666666</v>
      </c>
      <c r="Q109" s="30">
        <f t="shared" si="19"/>
        <v>1146.125</v>
      </c>
      <c r="R109" s="30">
        <f t="shared" si="19"/>
        <v>1672.3333333333333</v>
      </c>
      <c r="S109" s="30">
        <f t="shared" si="19"/>
        <v>2357.7249999999999</v>
      </c>
      <c r="T109" s="30">
        <f t="shared" si="19"/>
        <v>2873.6416666666669</v>
      </c>
      <c r="U109" s="30">
        <f t="shared" si="19"/>
        <v>2847.4</v>
      </c>
      <c r="V109" s="30">
        <f t="shared" si="19"/>
        <v>2626.0333333333333</v>
      </c>
      <c r="W109" s="30">
        <f t="shared" si="19"/>
        <v>3747.05</v>
      </c>
      <c r="X109" s="30">
        <f t="shared" si="19"/>
        <v>6066.1208333333334</v>
      </c>
      <c r="Y109" s="30">
        <f t="shared" si="19"/>
        <v>4590.3249999999998</v>
      </c>
      <c r="Z109" s="30">
        <f t="shared" si="19"/>
        <v>4882.6349999999993</v>
      </c>
      <c r="AA109" s="30">
        <f t="shared" si="19"/>
        <v>0</v>
      </c>
      <c r="AB109" s="30">
        <f t="shared" si="17"/>
        <v>35821.547500000001</v>
      </c>
    </row>
    <row r="110" spans="1:28" outlineLevel="1">
      <c r="A110" s="7" t="s">
        <v>50</v>
      </c>
      <c r="B110" s="7">
        <f t="shared" si="15"/>
        <v>2019</v>
      </c>
      <c r="C110" s="327" t="s">
        <v>47</v>
      </c>
      <c r="D110" s="56"/>
      <c r="E110" s="30">
        <f>SUM(D$5:D110)</f>
        <v>4298585.7</v>
      </c>
      <c r="F110" s="56"/>
      <c r="G110" s="326">
        <v>32859.75</v>
      </c>
      <c r="H110" s="30">
        <f t="shared" si="11"/>
        <v>3630209.1800000006</v>
      </c>
      <c r="I110" s="56"/>
      <c r="J110" s="30">
        <f t="shared" si="18"/>
        <v>668376.51999999955</v>
      </c>
      <c r="L110" s="30">
        <f t="shared" si="19"/>
        <v>0</v>
      </c>
      <c r="M110" s="30">
        <f t="shared" si="19"/>
        <v>0</v>
      </c>
      <c r="N110" s="30">
        <f t="shared" si="19"/>
        <v>783.33333333333337</v>
      </c>
      <c r="O110" s="30">
        <f t="shared" si="19"/>
        <v>978.33333333333337</v>
      </c>
      <c r="P110" s="30">
        <f t="shared" si="19"/>
        <v>1250.4916666666666</v>
      </c>
      <c r="Q110" s="30">
        <f t="shared" si="19"/>
        <v>1146.125</v>
      </c>
      <c r="R110" s="30">
        <f t="shared" si="19"/>
        <v>1672.3333333333333</v>
      </c>
      <c r="S110" s="30">
        <f t="shared" si="19"/>
        <v>2357.7249999999999</v>
      </c>
      <c r="T110" s="30">
        <f t="shared" si="19"/>
        <v>2873.6416666666669</v>
      </c>
      <c r="U110" s="30">
        <f t="shared" si="19"/>
        <v>2847.4</v>
      </c>
      <c r="V110" s="30">
        <f t="shared" si="19"/>
        <v>2626.0333333333333</v>
      </c>
      <c r="W110" s="30">
        <f t="shared" si="19"/>
        <v>3747.05</v>
      </c>
      <c r="X110" s="30">
        <f t="shared" si="19"/>
        <v>6066.1208333333334</v>
      </c>
      <c r="Y110" s="30">
        <f t="shared" si="19"/>
        <v>4590.3249999999998</v>
      </c>
      <c r="Z110" s="30">
        <f t="shared" si="19"/>
        <v>4882.6349999999993</v>
      </c>
      <c r="AA110" s="30">
        <f t="shared" si="19"/>
        <v>0</v>
      </c>
      <c r="AB110" s="30">
        <f t="shared" si="17"/>
        <v>35821.547500000001</v>
      </c>
    </row>
    <row r="111" spans="1:28" outlineLevel="1">
      <c r="A111" s="7" t="s">
        <v>51</v>
      </c>
      <c r="B111" s="7">
        <f t="shared" si="15"/>
        <v>2019</v>
      </c>
      <c r="C111" s="327" t="s">
        <v>47</v>
      </c>
      <c r="D111" s="56"/>
      <c r="E111" s="30">
        <f>SUM(D$5:D111)</f>
        <v>4298585.7</v>
      </c>
      <c r="F111" s="56"/>
      <c r="G111" s="326">
        <v>26574.2</v>
      </c>
      <c r="H111" s="30">
        <f t="shared" si="11"/>
        <v>3656783.3800000008</v>
      </c>
      <c r="I111" s="56"/>
      <c r="J111" s="30">
        <f t="shared" si="18"/>
        <v>641802.31999999937</v>
      </c>
      <c r="L111" s="30">
        <f t="shared" si="19"/>
        <v>0</v>
      </c>
      <c r="M111" s="30">
        <f t="shared" si="19"/>
        <v>0</v>
      </c>
      <c r="N111" s="30">
        <f t="shared" si="19"/>
        <v>783.33333333333337</v>
      </c>
      <c r="O111" s="30">
        <f t="shared" si="19"/>
        <v>978.33333333333337</v>
      </c>
      <c r="P111" s="30">
        <f t="shared" si="19"/>
        <v>1250.4916666666666</v>
      </c>
      <c r="Q111" s="30">
        <f t="shared" si="19"/>
        <v>1146.125</v>
      </c>
      <c r="R111" s="30">
        <f t="shared" si="19"/>
        <v>1672.3333333333333</v>
      </c>
      <c r="S111" s="30">
        <f t="shared" si="19"/>
        <v>2357.7249999999999</v>
      </c>
      <c r="T111" s="30">
        <f t="shared" si="19"/>
        <v>2873.6416666666669</v>
      </c>
      <c r="U111" s="30">
        <f t="shared" si="19"/>
        <v>2847.4</v>
      </c>
      <c r="V111" s="30">
        <f t="shared" si="19"/>
        <v>2626.0333333333333</v>
      </c>
      <c r="W111" s="30">
        <f t="shared" si="19"/>
        <v>3747.05</v>
      </c>
      <c r="X111" s="30">
        <f t="shared" si="19"/>
        <v>6066.1208333333334</v>
      </c>
      <c r="Y111" s="30">
        <f t="shared" si="19"/>
        <v>4590.3249999999998</v>
      </c>
      <c r="Z111" s="30">
        <f t="shared" si="19"/>
        <v>4882.6349999999993</v>
      </c>
      <c r="AA111" s="30">
        <f t="shared" si="19"/>
        <v>0</v>
      </c>
      <c r="AB111" s="30">
        <f t="shared" si="17"/>
        <v>35821.547500000001</v>
      </c>
    </row>
    <row r="112" spans="1:28" outlineLevel="1">
      <c r="A112" s="7" t="s">
        <v>52</v>
      </c>
      <c r="B112" s="7">
        <f t="shared" si="15"/>
        <v>2019</v>
      </c>
      <c r="C112" s="327" t="s">
        <v>47</v>
      </c>
      <c r="D112" s="56"/>
      <c r="E112" s="30">
        <f>SUM(D$5:D112)</f>
        <v>4298585.7</v>
      </c>
      <c r="F112" s="56"/>
      <c r="G112" s="326">
        <v>27193.67</v>
      </c>
      <c r="H112" s="30">
        <f t="shared" si="11"/>
        <v>3683977.0500000007</v>
      </c>
      <c r="I112" s="56"/>
      <c r="J112" s="30">
        <f t="shared" si="18"/>
        <v>614608.64999999944</v>
      </c>
      <c r="L112" s="30">
        <f t="shared" si="19"/>
        <v>0</v>
      </c>
      <c r="M112" s="30">
        <f t="shared" si="19"/>
        <v>0</v>
      </c>
      <c r="N112" s="30">
        <f t="shared" si="19"/>
        <v>783.33333333333337</v>
      </c>
      <c r="O112" s="30">
        <f t="shared" si="19"/>
        <v>978.33333333333337</v>
      </c>
      <c r="P112" s="30">
        <f t="shared" si="19"/>
        <v>1250.4916666666666</v>
      </c>
      <c r="Q112" s="30">
        <f t="shared" si="19"/>
        <v>1146.125</v>
      </c>
      <c r="R112" s="30">
        <f t="shared" si="19"/>
        <v>1672.3333333333333</v>
      </c>
      <c r="S112" s="30">
        <f t="shared" si="19"/>
        <v>2357.7249999999999</v>
      </c>
      <c r="T112" s="30">
        <f t="shared" si="19"/>
        <v>2873.6416666666669</v>
      </c>
      <c r="U112" s="30">
        <f t="shared" si="19"/>
        <v>2847.4</v>
      </c>
      <c r="V112" s="30">
        <f t="shared" si="19"/>
        <v>2626.0333333333333</v>
      </c>
      <c r="W112" s="30">
        <f t="shared" si="19"/>
        <v>3747.05</v>
      </c>
      <c r="X112" s="30">
        <f t="shared" si="19"/>
        <v>6066.1208333333334</v>
      </c>
      <c r="Y112" s="30">
        <f t="shared" si="19"/>
        <v>4590.3249999999998</v>
      </c>
      <c r="Z112" s="30">
        <f t="shared" si="19"/>
        <v>4882.6349999999993</v>
      </c>
      <c r="AA112" s="30">
        <f t="shared" si="19"/>
        <v>0</v>
      </c>
      <c r="AB112" s="30">
        <f t="shared" si="17"/>
        <v>35821.547500000001</v>
      </c>
    </row>
    <row r="113" spans="1:28" outlineLevel="1">
      <c r="A113" s="7" t="s">
        <v>53</v>
      </c>
      <c r="B113" s="7">
        <f t="shared" si="15"/>
        <v>2020</v>
      </c>
      <c r="C113" s="327" t="s">
        <v>47</v>
      </c>
      <c r="D113" s="56"/>
      <c r="E113" s="30">
        <f>SUM(D$5:D113)</f>
        <v>4298585.7</v>
      </c>
      <c r="F113" s="56"/>
      <c r="G113" s="326">
        <v>32140.639999999999</v>
      </c>
      <c r="H113" s="30">
        <f t="shared" si="11"/>
        <v>3716117.6900000009</v>
      </c>
      <c r="I113" s="56"/>
      <c r="J113" s="30">
        <f t="shared" si="18"/>
        <v>582468.00999999931</v>
      </c>
      <c r="L113" s="30">
        <f t="shared" si="19"/>
        <v>0</v>
      </c>
      <c r="M113" s="30">
        <f t="shared" si="19"/>
        <v>0</v>
      </c>
      <c r="N113" s="30">
        <f t="shared" si="19"/>
        <v>783.33333333333337</v>
      </c>
      <c r="O113" s="30">
        <f t="shared" si="19"/>
        <v>978.33333333333337</v>
      </c>
      <c r="P113" s="30">
        <f t="shared" si="19"/>
        <v>1250.4916666666666</v>
      </c>
      <c r="Q113" s="30">
        <f t="shared" si="19"/>
        <v>1146.125</v>
      </c>
      <c r="R113" s="30">
        <f t="shared" si="19"/>
        <v>1672.3333333333333</v>
      </c>
      <c r="S113" s="30">
        <f t="shared" si="19"/>
        <v>2357.7249999999999</v>
      </c>
      <c r="T113" s="30">
        <f t="shared" si="19"/>
        <v>2873.6416666666669</v>
      </c>
      <c r="U113" s="30">
        <f t="shared" si="19"/>
        <v>2847.4</v>
      </c>
      <c r="V113" s="30">
        <f t="shared" si="19"/>
        <v>2626.0333333333333</v>
      </c>
      <c r="W113" s="30">
        <f t="shared" si="19"/>
        <v>3747.05</v>
      </c>
      <c r="X113" s="30">
        <f t="shared" si="19"/>
        <v>6066.1208333333334</v>
      </c>
      <c r="Y113" s="30">
        <f t="shared" si="19"/>
        <v>4590.3249999999998</v>
      </c>
      <c r="Z113" s="30">
        <f t="shared" si="19"/>
        <v>4882.6349999999993</v>
      </c>
      <c r="AA113" s="30">
        <f t="shared" si="19"/>
        <v>0</v>
      </c>
      <c r="AB113" s="30">
        <f t="shared" si="17"/>
        <v>35821.547500000001</v>
      </c>
    </row>
    <row r="114" spans="1:28" outlineLevel="1">
      <c r="A114" s="7" t="s">
        <v>54</v>
      </c>
      <c r="B114" s="7">
        <f t="shared" si="15"/>
        <v>2020</v>
      </c>
      <c r="C114" s="327" t="s">
        <v>47</v>
      </c>
      <c r="D114" s="56"/>
      <c r="E114" s="30">
        <f>SUM(D$5:D114)</f>
        <v>4298585.7</v>
      </c>
      <c r="F114" s="56"/>
      <c r="G114" s="326">
        <v>26508.27</v>
      </c>
      <c r="H114" s="30">
        <f t="shared" si="11"/>
        <v>3742625.9600000009</v>
      </c>
      <c r="I114" s="56"/>
      <c r="J114" s="30">
        <f t="shared" si="18"/>
        <v>555959.73999999929</v>
      </c>
      <c r="L114" s="30">
        <f t="shared" si="19"/>
        <v>0</v>
      </c>
      <c r="M114" s="30">
        <f t="shared" si="19"/>
        <v>0</v>
      </c>
      <c r="N114" s="30">
        <f t="shared" si="19"/>
        <v>783.33333333333337</v>
      </c>
      <c r="O114" s="30">
        <f t="shared" si="19"/>
        <v>978.33333333333337</v>
      </c>
      <c r="P114" s="30">
        <f t="shared" si="19"/>
        <v>1250.4916666666666</v>
      </c>
      <c r="Q114" s="30">
        <f t="shared" si="19"/>
        <v>1146.125</v>
      </c>
      <c r="R114" s="30">
        <f t="shared" si="19"/>
        <v>1672.3333333333333</v>
      </c>
      <c r="S114" s="30">
        <f t="shared" si="19"/>
        <v>2357.7249999999999</v>
      </c>
      <c r="T114" s="30">
        <f t="shared" si="19"/>
        <v>2873.6416666666669</v>
      </c>
      <c r="U114" s="30">
        <f t="shared" si="19"/>
        <v>2847.4</v>
      </c>
      <c r="V114" s="30">
        <f t="shared" si="19"/>
        <v>2626.0333333333333</v>
      </c>
      <c r="W114" s="30">
        <f t="shared" si="19"/>
        <v>3747.05</v>
      </c>
      <c r="X114" s="30">
        <f t="shared" si="19"/>
        <v>6066.1208333333334</v>
      </c>
      <c r="Y114" s="30">
        <f t="shared" si="19"/>
        <v>4590.3249999999998</v>
      </c>
      <c r="Z114" s="30">
        <f t="shared" si="19"/>
        <v>4882.6349999999993</v>
      </c>
      <c r="AA114" s="30">
        <f t="shared" si="19"/>
        <v>0</v>
      </c>
      <c r="AB114" s="30">
        <f t="shared" si="17"/>
        <v>35821.547500000001</v>
      </c>
    </row>
    <row r="115" spans="1:28" outlineLevel="1">
      <c r="A115" s="7" t="s">
        <v>55</v>
      </c>
      <c r="B115" s="7">
        <f t="shared" si="15"/>
        <v>2020</v>
      </c>
      <c r="C115" s="327" t="s">
        <v>47</v>
      </c>
      <c r="D115" s="56"/>
      <c r="E115" s="30">
        <f>SUM(D$5:D115)</f>
        <v>4298585.7</v>
      </c>
      <c r="F115" s="56"/>
      <c r="G115" s="326">
        <v>31196.44</v>
      </c>
      <c r="H115" s="30">
        <f t="shared" si="11"/>
        <v>3773822.4000000008</v>
      </c>
      <c r="I115" s="56"/>
      <c r="J115" s="30">
        <f t="shared" si="18"/>
        <v>524763.29999999935</v>
      </c>
      <c r="L115" s="30">
        <f t="shared" si="19"/>
        <v>0</v>
      </c>
      <c r="M115" s="30">
        <f t="shared" si="19"/>
        <v>0</v>
      </c>
      <c r="N115" s="30">
        <f t="shared" si="19"/>
        <v>783.33333333333337</v>
      </c>
      <c r="O115" s="30">
        <f t="shared" si="19"/>
        <v>978.33333333333337</v>
      </c>
      <c r="P115" s="30">
        <f t="shared" si="19"/>
        <v>1250.4916666666666</v>
      </c>
      <c r="Q115" s="30">
        <f t="shared" si="19"/>
        <v>1146.125</v>
      </c>
      <c r="R115" s="30">
        <f t="shared" si="19"/>
        <v>1672.3333333333333</v>
      </c>
      <c r="S115" s="30">
        <f t="shared" si="19"/>
        <v>2357.7249999999999</v>
      </c>
      <c r="T115" s="30">
        <f t="shared" si="19"/>
        <v>2873.6416666666669</v>
      </c>
      <c r="U115" s="30">
        <f t="shared" si="19"/>
        <v>2847.4</v>
      </c>
      <c r="V115" s="30">
        <f t="shared" si="19"/>
        <v>2626.0333333333333</v>
      </c>
      <c r="W115" s="30">
        <f t="shared" si="19"/>
        <v>3747.05</v>
      </c>
      <c r="X115" s="30">
        <f t="shared" si="19"/>
        <v>6066.1208333333334</v>
      </c>
      <c r="Y115" s="30">
        <f t="shared" si="19"/>
        <v>4590.3249999999998</v>
      </c>
      <c r="Z115" s="30">
        <f t="shared" si="19"/>
        <v>4882.6349999999993</v>
      </c>
      <c r="AA115" s="30">
        <f t="shared" si="19"/>
        <v>0</v>
      </c>
      <c r="AB115" s="30">
        <f t="shared" si="17"/>
        <v>35821.547500000001</v>
      </c>
    </row>
    <row r="116" spans="1:28" outlineLevel="1">
      <c r="A116" s="7" t="s">
        <v>56</v>
      </c>
      <c r="B116" s="7">
        <f t="shared" si="15"/>
        <v>2020</v>
      </c>
      <c r="C116" s="327" t="s">
        <v>47</v>
      </c>
      <c r="D116" s="56"/>
      <c r="E116" s="30">
        <f>SUM(D$5:D116)</f>
        <v>4298585.7</v>
      </c>
      <c r="F116" s="56"/>
      <c r="G116" s="326">
        <v>28547.58</v>
      </c>
      <c r="H116" s="30">
        <f t="shared" si="11"/>
        <v>3802369.9800000009</v>
      </c>
      <c r="I116" s="56"/>
      <c r="J116" s="30">
        <f t="shared" si="18"/>
        <v>496215.71999999927</v>
      </c>
      <c r="L116" s="30">
        <f t="shared" si="19"/>
        <v>0</v>
      </c>
      <c r="M116" s="30">
        <f t="shared" si="19"/>
        <v>0</v>
      </c>
      <c r="N116" s="30">
        <f t="shared" si="19"/>
        <v>783.33333333333337</v>
      </c>
      <c r="O116" s="30">
        <f t="shared" si="19"/>
        <v>978.33333333333337</v>
      </c>
      <c r="P116" s="30">
        <f t="shared" si="19"/>
        <v>1250.4916666666666</v>
      </c>
      <c r="Q116" s="30">
        <f t="shared" si="19"/>
        <v>1146.125</v>
      </c>
      <c r="R116" s="30">
        <f t="shared" si="19"/>
        <v>1672.3333333333333</v>
      </c>
      <c r="S116" s="30">
        <f t="shared" si="19"/>
        <v>2357.7249999999999</v>
      </c>
      <c r="T116" s="30">
        <f t="shared" si="19"/>
        <v>2873.6416666666669</v>
      </c>
      <c r="U116" s="30">
        <f t="shared" si="19"/>
        <v>2847.4</v>
      </c>
      <c r="V116" s="30">
        <f t="shared" si="19"/>
        <v>2626.0333333333333</v>
      </c>
      <c r="W116" s="30">
        <f t="shared" si="19"/>
        <v>3747.05</v>
      </c>
      <c r="X116" s="30">
        <f t="shared" si="19"/>
        <v>6066.1208333333334</v>
      </c>
      <c r="Y116" s="30">
        <f t="shared" si="19"/>
        <v>4590.3249999999998</v>
      </c>
      <c r="Z116" s="30">
        <f t="shared" si="19"/>
        <v>4882.6349999999993</v>
      </c>
      <c r="AA116" s="30">
        <f t="shared" si="19"/>
        <v>0</v>
      </c>
      <c r="AB116" s="30">
        <f t="shared" si="17"/>
        <v>35821.547500000001</v>
      </c>
    </row>
    <row r="117" spans="1:28" outlineLevel="1">
      <c r="A117" s="74" t="s">
        <v>57</v>
      </c>
      <c r="B117" s="74">
        <f t="shared" si="15"/>
        <v>2020</v>
      </c>
      <c r="C117" s="343" t="s">
        <v>47</v>
      </c>
      <c r="D117" s="75"/>
      <c r="E117" s="76">
        <f>SUM(D$5:D117)</f>
        <v>4298585.7</v>
      </c>
      <c r="F117" s="75"/>
      <c r="G117" s="342">
        <v>29198.57</v>
      </c>
      <c r="H117" s="76">
        <f t="shared" si="11"/>
        <v>3831568.5500000007</v>
      </c>
      <c r="I117" s="75"/>
      <c r="J117" s="76">
        <f t="shared" si="18"/>
        <v>467017.14999999944</v>
      </c>
      <c r="L117" s="30">
        <f t="shared" si="19"/>
        <v>0</v>
      </c>
      <c r="M117" s="30">
        <f t="shared" si="19"/>
        <v>0</v>
      </c>
      <c r="N117" s="30">
        <f t="shared" si="19"/>
        <v>783.33333333333337</v>
      </c>
      <c r="O117" s="30">
        <f t="shared" si="19"/>
        <v>978.33333333333337</v>
      </c>
      <c r="P117" s="30">
        <f t="shared" si="19"/>
        <v>1250.4916666666666</v>
      </c>
      <c r="Q117" s="30">
        <f t="shared" si="19"/>
        <v>1146.125</v>
      </c>
      <c r="R117" s="30">
        <f t="shared" si="19"/>
        <v>1672.3333333333333</v>
      </c>
      <c r="S117" s="30">
        <f t="shared" si="19"/>
        <v>2357.7249999999999</v>
      </c>
      <c r="T117" s="30">
        <f t="shared" si="19"/>
        <v>2873.6416666666669</v>
      </c>
      <c r="U117" s="30">
        <f t="shared" si="19"/>
        <v>2847.4</v>
      </c>
      <c r="V117" s="30">
        <f t="shared" si="19"/>
        <v>2626.0333333333333</v>
      </c>
      <c r="W117" s="30">
        <f t="shared" si="19"/>
        <v>3747.05</v>
      </c>
      <c r="X117" s="30">
        <f t="shared" si="19"/>
        <v>6066.1208333333334</v>
      </c>
      <c r="Y117" s="30">
        <f t="shared" si="19"/>
        <v>4590.3249999999998</v>
      </c>
      <c r="Z117" s="30">
        <f t="shared" si="19"/>
        <v>4882.6349999999993</v>
      </c>
      <c r="AA117" s="30">
        <f>+AA116</f>
        <v>0</v>
      </c>
      <c r="AB117" s="76">
        <f t="shared" si="17"/>
        <v>35821.547500000001</v>
      </c>
    </row>
    <row r="118" spans="1:28" outlineLevel="1">
      <c r="A118" s="74" t="s">
        <v>58</v>
      </c>
      <c r="B118" s="74">
        <f t="shared" si="15"/>
        <v>2020</v>
      </c>
      <c r="C118" s="343" t="s">
        <v>47</v>
      </c>
      <c r="D118" s="75"/>
      <c r="E118" s="76">
        <f>SUM(D$5:D118)</f>
        <v>4298585.7</v>
      </c>
      <c r="F118" s="75"/>
      <c r="G118" s="342">
        <v>33739.43</v>
      </c>
      <c r="H118" s="76">
        <f t="shared" si="11"/>
        <v>3865307.9800000009</v>
      </c>
      <c r="I118" s="75"/>
      <c r="J118" s="76">
        <f t="shared" si="18"/>
        <v>433277.71999999927</v>
      </c>
      <c r="L118" s="30">
        <f t="shared" ref="L118:AA132" si="20">+L117</f>
        <v>0</v>
      </c>
      <c r="M118" s="30">
        <f t="shared" si="20"/>
        <v>0</v>
      </c>
      <c r="N118" s="30">
        <f t="shared" si="20"/>
        <v>783.33333333333337</v>
      </c>
      <c r="O118" s="30">
        <f t="shared" si="20"/>
        <v>978.33333333333337</v>
      </c>
      <c r="P118" s="30">
        <f t="shared" si="20"/>
        <v>1250.4916666666666</v>
      </c>
      <c r="Q118" s="30">
        <f t="shared" si="20"/>
        <v>1146.125</v>
      </c>
      <c r="R118" s="30">
        <f t="shared" si="20"/>
        <v>1672.3333333333333</v>
      </c>
      <c r="S118" s="30">
        <f t="shared" si="20"/>
        <v>2357.7249999999999</v>
      </c>
      <c r="T118" s="30">
        <f t="shared" si="20"/>
        <v>2873.6416666666669</v>
      </c>
      <c r="U118" s="30">
        <f t="shared" si="20"/>
        <v>2847.4</v>
      </c>
      <c r="V118" s="30">
        <f t="shared" si="20"/>
        <v>2626.0333333333333</v>
      </c>
      <c r="W118" s="30">
        <f t="shared" si="20"/>
        <v>3747.05</v>
      </c>
      <c r="X118" s="30">
        <f t="shared" si="20"/>
        <v>6066.1208333333334</v>
      </c>
      <c r="Y118" s="30">
        <f t="shared" si="20"/>
        <v>4590.3249999999998</v>
      </c>
      <c r="Z118" s="30">
        <f t="shared" si="20"/>
        <v>4882.6349999999993</v>
      </c>
      <c r="AA118" s="30">
        <f t="shared" si="20"/>
        <v>0</v>
      </c>
      <c r="AB118" s="76">
        <f t="shared" si="17"/>
        <v>35821.547500000001</v>
      </c>
    </row>
    <row r="119" spans="1:28" outlineLevel="1">
      <c r="A119" s="7" t="s">
        <v>59</v>
      </c>
      <c r="B119" s="74">
        <f t="shared" si="15"/>
        <v>2020</v>
      </c>
      <c r="C119" s="343" t="s">
        <v>47</v>
      </c>
      <c r="D119" s="75"/>
      <c r="E119" s="76">
        <f>SUM(D$5:D119)</f>
        <v>4298585.7</v>
      </c>
      <c r="F119" s="75"/>
      <c r="G119" s="342">
        <v>29078.45</v>
      </c>
      <c r="H119" s="76">
        <f t="shared" si="11"/>
        <v>3894386.4300000011</v>
      </c>
      <c r="I119" s="75"/>
      <c r="J119" s="76">
        <f t="shared" si="18"/>
        <v>404199.26999999909</v>
      </c>
      <c r="L119" s="30">
        <f t="shared" si="20"/>
        <v>0</v>
      </c>
      <c r="M119" s="30">
        <f t="shared" si="20"/>
        <v>0</v>
      </c>
      <c r="N119" s="30">
        <f t="shared" si="20"/>
        <v>783.33333333333337</v>
      </c>
      <c r="O119" s="30">
        <f t="shared" si="20"/>
        <v>978.33333333333337</v>
      </c>
      <c r="P119" s="30">
        <f t="shared" si="20"/>
        <v>1250.4916666666666</v>
      </c>
      <c r="Q119" s="30">
        <f t="shared" si="20"/>
        <v>1146.125</v>
      </c>
      <c r="R119" s="30">
        <f t="shared" si="20"/>
        <v>1672.3333333333333</v>
      </c>
      <c r="S119" s="30">
        <f t="shared" si="20"/>
        <v>2357.7249999999999</v>
      </c>
      <c r="T119" s="30">
        <f t="shared" si="20"/>
        <v>2873.6416666666669</v>
      </c>
      <c r="U119" s="30">
        <f t="shared" si="20"/>
        <v>2847.4</v>
      </c>
      <c r="V119" s="30">
        <f t="shared" si="20"/>
        <v>2626.0333333333333</v>
      </c>
      <c r="W119" s="30">
        <f t="shared" si="20"/>
        <v>3747.05</v>
      </c>
      <c r="X119" s="30">
        <f t="shared" si="20"/>
        <v>6066.1208333333334</v>
      </c>
      <c r="Y119" s="30">
        <f t="shared" si="20"/>
        <v>4590.3249999999998</v>
      </c>
      <c r="Z119" s="30">
        <f t="shared" si="20"/>
        <v>4882.6349999999993</v>
      </c>
      <c r="AA119" s="30">
        <f t="shared" si="20"/>
        <v>0</v>
      </c>
      <c r="AB119" s="76">
        <f t="shared" si="17"/>
        <v>35821.547500000001</v>
      </c>
    </row>
    <row r="120" spans="1:28" outlineLevel="1">
      <c r="A120" s="74" t="s">
        <v>46</v>
      </c>
      <c r="B120" s="74">
        <f t="shared" si="15"/>
        <v>2020</v>
      </c>
      <c r="C120" s="343" t="s">
        <v>47</v>
      </c>
      <c r="D120" s="75"/>
      <c r="E120" s="76">
        <f>SUM(D$5:D120)</f>
        <v>4298585.7</v>
      </c>
      <c r="F120" s="75"/>
      <c r="G120" s="342">
        <v>28543.19</v>
      </c>
      <c r="H120" s="76">
        <f t="shared" si="11"/>
        <v>3922929.620000001</v>
      </c>
      <c r="I120" s="75"/>
      <c r="J120" s="76">
        <f t="shared" si="18"/>
        <v>375656.07999999914</v>
      </c>
      <c r="L120" s="30">
        <f t="shared" si="20"/>
        <v>0</v>
      </c>
      <c r="M120" s="30">
        <f t="shared" si="20"/>
        <v>0</v>
      </c>
      <c r="N120" s="30">
        <f t="shared" si="20"/>
        <v>783.33333333333337</v>
      </c>
      <c r="O120" s="30">
        <f t="shared" si="20"/>
        <v>978.33333333333337</v>
      </c>
      <c r="P120" s="30">
        <f t="shared" si="20"/>
        <v>1250.4916666666666</v>
      </c>
      <c r="Q120" s="30">
        <f t="shared" si="20"/>
        <v>1146.125</v>
      </c>
      <c r="R120" s="30">
        <f t="shared" si="20"/>
        <v>1672.3333333333333</v>
      </c>
      <c r="S120" s="30">
        <f t="shared" si="20"/>
        <v>2357.7249999999999</v>
      </c>
      <c r="T120" s="30">
        <f t="shared" si="20"/>
        <v>2873.6416666666669</v>
      </c>
      <c r="U120" s="30">
        <f t="shared" si="20"/>
        <v>2847.4</v>
      </c>
      <c r="V120" s="30">
        <f t="shared" si="20"/>
        <v>2626.0333333333333</v>
      </c>
      <c r="W120" s="30">
        <f t="shared" si="20"/>
        <v>3747.05</v>
      </c>
      <c r="X120" s="30">
        <f t="shared" si="20"/>
        <v>6066.1208333333334</v>
      </c>
      <c r="Y120" s="30">
        <f t="shared" si="20"/>
        <v>4590.3249999999998</v>
      </c>
      <c r="Z120" s="30">
        <f t="shared" si="20"/>
        <v>4882.6349999999993</v>
      </c>
      <c r="AA120" s="30">
        <f t="shared" si="20"/>
        <v>0</v>
      </c>
      <c r="AB120" s="76">
        <f t="shared" si="17"/>
        <v>35821.547500000001</v>
      </c>
    </row>
    <row r="121" spans="1:28" outlineLevel="1">
      <c r="A121" s="74" t="s">
        <v>48</v>
      </c>
      <c r="B121" s="74">
        <f t="shared" si="15"/>
        <v>2020</v>
      </c>
      <c r="C121" s="343" t="s">
        <v>47</v>
      </c>
      <c r="D121" s="75"/>
      <c r="E121" s="76">
        <f>SUM(D$5:D121)</f>
        <v>4298585.7</v>
      </c>
      <c r="F121" s="75"/>
      <c r="G121" s="342">
        <v>28326.04</v>
      </c>
      <c r="H121" s="76">
        <f t="shared" si="11"/>
        <v>3951255.6600000011</v>
      </c>
      <c r="I121" s="75"/>
      <c r="J121" s="76">
        <f t="shared" si="18"/>
        <v>347330.03999999911</v>
      </c>
      <c r="L121" s="30">
        <f t="shared" si="20"/>
        <v>0</v>
      </c>
      <c r="M121" s="30">
        <f t="shared" si="20"/>
        <v>0</v>
      </c>
      <c r="N121" s="30">
        <f t="shared" si="20"/>
        <v>783.33333333333337</v>
      </c>
      <c r="O121" s="30">
        <f t="shared" si="20"/>
        <v>978.33333333333337</v>
      </c>
      <c r="P121" s="30">
        <f t="shared" si="20"/>
        <v>1250.4916666666666</v>
      </c>
      <c r="Q121" s="30">
        <f t="shared" si="20"/>
        <v>1146.125</v>
      </c>
      <c r="R121" s="30">
        <f t="shared" si="20"/>
        <v>1672.3333333333333</v>
      </c>
      <c r="S121" s="30">
        <f t="shared" si="20"/>
        <v>2357.7249999999999</v>
      </c>
      <c r="T121" s="30">
        <f t="shared" si="20"/>
        <v>2873.6416666666669</v>
      </c>
      <c r="U121" s="30">
        <f t="shared" si="20"/>
        <v>2847.4</v>
      </c>
      <c r="V121" s="30">
        <f t="shared" si="20"/>
        <v>2626.0333333333333</v>
      </c>
      <c r="W121" s="30">
        <f t="shared" si="20"/>
        <v>3747.05</v>
      </c>
      <c r="X121" s="30">
        <f t="shared" si="20"/>
        <v>6066.1208333333334</v>
      </c>
      <c r="Y121" s="30">
        <f t="shared" si="20"/>
        <v>4590.3249999999998</v>
      </c>
      <c r="Z121" s="30">
        <f t="shared" si="20"/>
        <v>4882.6349999999993</v>
      </c>
      <c r="AA121" s="30">
        <f t="shared" si="20"/>
        <v>0</v>
      </c>
      <c r="AB121" s="76">
        <f t="shared" si="17"/>
        <v>35821.547500000001</v>
      </c>
    </row>
    <row r="122" spans="1:28" outlineLevel="1">
      <c r="A122" s="74" t="s">
        <v>50</v>
      </c>
      <c r="B122" s="74">
        <f t="shared" si="15"/>
        <v>2020</v>
      </c>
      <c r="C122" s="343" t="s">
        <v>47</v>
      </c>
      <c r="D122" s="75"/>
      <c r="E122" s="76">
        <f>SUM(D$5:D122)</f>
        <v>4298585.7</v>
      </c>
      <c r="F122" s="75"/>
      <c r="G122" s="342">
        <v>29871.119999999999</v>
      </c>
      <c r="H122" s="76">
        <f t="shared" si="11"/>
        <v>3981126.7800000012</v>
      </c>
      <c r="I122" s="75"/>
      <c r="J122" s="76">
        <f t="shared" si="18"/>
        <v>317458.91999999899</v>
      </c>
      <c r="L122" s="30">
        <f t="shared" si="20"/>
        <v>0</v>
      </c>
      <c r="M122" s="30">
        <f t="shared" si="20"/>
        <v>0</v>
      </c>
      <c r="N122" s="30">
        <f t="shared" si="20"/>
        <v>783.33333333333337</v>
      </c>
      <c r="O122" s="30">
        <f t="shared" si="20"/>
        <v>978.33333333333337</v>
      </c>
      <c r="P122" s="30">
        <f t="shared" si="20"/>
        <v>1250.4916666666666</v>
      </c>
      <c r="Q122" s="30">
        <f t="shared" si="20"/>
        <v>1146.125</v>
      </c>
      <c r="R122" s="30">
        <f t="shared" si="20"/>
        <v>1672.3333333333333</v>
      </c>
      <c r="S122" s="30">
        <f t="shared" si="20"/>
        <v>2357.7249999999999</v>
      </c>
      <c r="T122" s="30">
        <f t="shared" si="20"/>
        <v>2873.6416666666669</v>
      </c>
      <c r="U122" s="30">
        <f t="shared" si="20"/>
        <v>2847.4</v>
      </c>
      <c r="V122" s="30">
        <f t="shared" si="20"/>
        <v>2626.0333333333333</v>
      </c>
      <c r="W122" s="30">
        <f t="shared" si="20"/>
        <v>3747.05</v>
      </c>
      <c r="X122" s="30">
        <f t="shared" si="20"/>
        <v>6066.1208333333334</v>
      </c>
      <c r="Y122" s="30">
        <f t="shared" si="20"/>
        <v>4590.3249999999998</v>
      </c>
      <c r="Z122" s="30">
        <f t="shared" si="20"/>
        <v>4882.6349999999993</v>
      </c>
      <c r="AA122" s="30">
        <f t="shared" si="20"/>
        <v>0</v>
      </c>
      <c r="AB122" s="76">
        <f t="shared" si="17"/>
        <v>35821.547500000001</v>
      </c>
    </row>
    <row r="123" spans="1:28" outlineLevel="1">
      <c r="A123" s="74" t="s">
        <v>51</v>
      </c>
      <c r="B123" s="74">
        <f t="shared" si="15"/>
        <v>2020</v>
      </c>
      <c r="C123" s="343" t="s">
        <v>47</v>
      </c>
      <c r="D123" s="75"/>
      <c r="E123" s="76">
        <f>SUM(D$5:D123)</f>
        <v>4298585.7</v>
      </c>
      <c r="F123" s="75"/>
      <c r="G123" s="342">
        <v>25402.2</v>
      </c>
      <c r="H123" s="76">
        <f t="shared" si="11"/>
        <v>4006528.9800000014</v>
      </c>
      <c r="I123" s="75"/>
      <c r="J123" s="76">
        <f t="shared" si="18"/>
        <v>292056.71999999881</v>
      </c>
      <c r="L123" s="30">
        <f t="shared" si="20"/>
        <v>0</v>
      </c>
      <c r="M123" s="30">
        <f t="shared" si="20"/>
        <v>0</v>
      </c>
      <c r="N123" s="30">
        <f t="shared" si="20"/>
        <v>783.33333333333337</v>
      </c>
      <c r="O123" s="30">
        <f t="shared" si="20"/>
        <v>978.33333333333337</v>
      </c>
      <c r="P123" s="30">
        <f t="shared" si="20"/>
        <v>1250.4916666666666</v>
      </c>
      <c r="Q123" s="30">
        <f t="shared" si="20"/>
        <v>1146.125</v>
      </c>
      <c r="R123" s="30">
        <f t="shared" si="20"/>
        <v>1672.3333333333333</v>
      </c>
      <c r="S123" s="30">
        <f t="shared" si="20"/>
        <v>2357.7249999999999</v>
      </c>
      <c r="T123" s="30">
        <f t="shared" si="20"/>
        <v>2873.6416666666669</v>
      </c>
      <c r="U123" s="30">
        <f t="shared" si="20"/>
        <v>2847.4</v>
      </c>
      <c r="V123" s="30">
        <f t="shared" si="20"/>
        <v>2626.0333333333333</v>
      </c>
      <c r="W123" s="30">
        <f t="shared" si="20"/>
        <v>3747.05</v>
      </c>
      <c r="X123" s="30">
        <f t="shared" si="20"/>
        <v>6066.1208333333334</v>
      </c>
      <c r="Y123" s="30">
        <f t="shared" si="20"/>
        <v>4590.3249999999998</v>
      </c>
      <c r="Z123" s="30">
        <f t="shared" si="20"/>
        <v>4882.6349999999993</v>
      </c>
      <c r="AA123" s="30">
        <f t="shared" si="20"/>
        <v>0</v>
      </c>
      <c r="AB123" s="76">
        <f t="shared" si="17"/>
        <v>35821.547500000001</v>
      </c>
    </row>
    <row r="124" spans="1:28" outlineLevel="1">
      <c r="A124" s="74" t="s">
        <v>52</v>
      </c>
      <c r="B124" s="74">
        <f t="shared" si="15"/>
        <v>2020</v>
      </c>
      <c r="C124" s="343" t="s">
        <v>47</v>
      </c>
      <c r="D124" s="75"/>
      <c r="E124" s="76">
        <f>SUM(D$5:D124)</f>
        <v>4298585.7</v>
      </c>
      <c r="F124" s="75"/>
      <c r="G124" s="342">
        <v>28265.01</v>
      </c>
      <c r="H124" s="76">
        <f t="shared" ref="H124:H138" si="21">H123+G124</f>
        <v>4034793.9900000012</v>
      </c>
      <c r="I124" s="75"/>
      <c r="J124" s="76">
        <f t="shared" si="18"/>
        <v>263791.70999999903</v>
      </c>
      <c r="L124" s="30">
        <f t="shared" si="20"/>
        <v>0</v>
      </c>
      <c r="M124" s="30">
        <f t="shared" si="20"/>
        <v>0</v>
      </c>
      <c r="N124" s="30">
        <f t="shared" si="20"/>
        <v>783.33333333333337</v>
      </c>
      <c r="O124" s="30">
        <f t="shared" si="20"/>
        <v>978.33333333333337</v>
      </c>
      <c r="P124" s="30">
        <f t="shared" si="20"/>
        <v>1250.4916666666666</v>
      </c>
      <c r="Q124" s="30">
        <f t="shared" si="20"/>
        <v>1146.125</v>
      </c>
      <c r="R124" s="30">
        <f t="shared" si="20"/>
        <v>1672.3333333333333</v>
      </c>
      <c r="S124" s="30">
        <f t="shared" si="20"/>
        <v>2357.7249999999999</v>
      </c>
      <c r="T124" s="30">
        <f t="shared" si="20"/>
        <v>2873.6416666666669</v>
      </c>
      <c r="U124" s="30">
        <f t="shared" si="20"/>
        <v>2847.4</v>
      </c>
      <c r="V124" s="30">
        <f t="shared" si="20"/>
        <v>2626.0333333333333</v>
      </c>
      <c r="W124" s="30">
        <f t="shared" si="20"/>
        <v>3747.05</v>
      </c>
      <c r="X124" s="30">
        <f t="shared" si="20"/>
        <v>6066.1208333333334</v>
      </c>
      <c r="Y124" s="30">
        <f t="shared" si="20"/>
        <v>4590.3249999999998</v>
      </c>
      <c r="Z124" s="30">
        <f t="shared" si="20"/>
        <v>4882.6349999999993</v>
      </c>
      <c r="AA124" s="30">
        <f t="shared" si="20"/>
        <v>0</v>
      </c>
      <c r="AB124" s="76">
        <f t="shared" si="17"/>
        <v>35821.547500000001</v>
      </c>
    </row>
    <row r="125" spans="1:28" outlineLevel="1">
      <c r="A125" s="74" t="s">
        <v>53</v>
      </c>
      <c r="B125" s="74">
        <f t="shared" si="15"/>
        <v>2021</v>
      </c>
      <c r="C125" s="343" t="s">
        <v>47</v>
      </c>
      <c r="D125" s="75"/>
      <c r="E125" s="76">
        <f>SUM(D$5:D125)</f>
        <v>4298585.7</v>
      </c>
      <c r="F125" s="75"/>
      <c r="G125" s="342">
        <v>25138.87</v>
      </c>
      <c r="H125" s="76">
        <f t="shared" si="21"/>
        <v>4059932.8600000013</v>
      </c>
      <c r="I125" s="75"/>
      <c r="J125" s="76">
        <f t="shared" si="18"/>
        <v>238652.83999999892</v>
      </c>
      <c r="M125" s="30">
        <f t="shared" si="20"/>
        <v>0</v>
      </c>
      <c r="N125" s="30">
        <f t="shared" si="20"/>
        <v>783.33333333333337</v>
      </c>
      <c r="O125" s="30">
        <f t="shared" si="20"/>
        <v>978.33333333333337</v>
      </c>
      <c r="P125" s="30">
        <f t="shared" si="20"/>
        <v>1250.4916666666666</v>
      </c>
      <c r="Q125" s="30">
        <f t="shared" si="20"/>
        <v>1146.125</v>
      </c>
      <c r="R125" s="30">
        <f t="shared" si="20"/>
        <v>1672.3333333333333</v>
      </c>
      <c r="S125" s="30">
        <f t="shared" si="20"/>
        <v>2357.7249999999999</v>
      </c>
      <c r="T125" s="30">
        <f t="shared" si="20"/>
        <v>2873.6416666666669</v>
      </c>
      <c r="U125" s="30">
        <f t="shared" si="20"/>
        <v>2847.4</v>
      </c>
      <c r="V125" s="30">
        <f t="shared" si="20"/>
        <v>2626.0333333333333</v>
      </c>
      <c r="W125" s="30">
        <f t="shared" si="20"/>
        <v>3747.05</v>
      </c>
      <c r="X125" s="30">
        <f t="shared" si="20"/>
        <v>6066.1208333333334</v>
      </c>
      <c r="Y125" s="30">
        <f t="shared" si="20"/>
        <v>4590.3249999999998</v>
      </c>
      <c r="Z125" s="30">
        <f t="shared" si="20"/>
        <v>4882.6349999999993</v>
      </c>
      <c r="AA125" s="30">
        <f t="shared" si="20"/>
        <v>0</v>
      </c>
      <c r="AB125" s="76">
        <f t="shared" si="17"/>
        <v>35821.547500000001</v>
      </c>
    </row>
    <row r="126" spans="1:28" outlineLevel="1">
      <c r="A126" s="74" t="s">
        <v>54</v>
      </c>
      <c r="B126" s="74">
        <f t="shared" si="15"/>
        <v>2021</v>
      </c>
      <c r="C126" s="343" t="s">
        <v>47</v>
      </c>
      <c r="D126" s="75"/>
      <c r="E126" s="76">
        <f>SUM(D$5:D126)</f>
        <v>4298585.7</v>
      </c>
      <c r="F126" s="75"/>
      <c r="G126" s="342">
        <v>26446.52</v>
      </c>
      <c r="H126" s="76">
        <f t="shared" si="21"/>
        <v>4086379.3800000013</v>
      </c>
      <c r="I126" s="75"/>
      <c r="J126" s="76">
        <f t="shared" si="18"/>
        <v>212206.3199999989</v>
      </c>
      <c r="N126" s="30">
        <f t="shared" si="20"/>
        <v>783.33333333333337</v>
      </c>
      <c r="O126" s="30">
        <f t="shared" si="20"/>
        <v>978.33333333333337</v>
      </c>
      <c r="P126" s="30">
        <f t="shared" si="20"/>
        <v>1250.4916666666666</v>
      </c>
      <c r="Q126" s="30">
        <f t="shared" si="20"/>
        <v>1146.125</v>
      </c>
      <c r="R126" s="30">
        <f t="shared" si="20"/>
        <v>1672.3333333333333</v>
      </c>
      <c r="S126" s="30">
        <f t="shared" si="20"/>
        <v>2357.7249999999999</v>
      </c>
      <c r="T126" s="30">
        <f t="shared" si="20"/>
        <v>2873.6416666666669</v>
      </c>
      <c r="U126" s="30">
        <f t="shared" si="20"/>
        <v>2847.4</v>
      </c>
      <c r="V126" s="30">
        <f t="shared" si="20"/>
        <v>2626.0333333333333</v>
      </c>
      <c r="W126" s="30">
        <f t="shared" si="20"/>
        <v>3747.05</v>
      </c>
      <c r="X126" s="30">
        <f t="shared" si="20"/>
        <v>6066.1208333333334</v>
      </c>
      <c r="Y126" s="30">
        <f t="shared" si="20"/>
        <v>4590.3249999999998</v>
      </c>
      <c r="Z126" s="30">
        <f t="shared" si="20"/>
        <v>4882.6349999999993</v>
      </c>
      <c r="AA126" s="30">
        <f t="shared" si="20"/>
        <v>0</v>
      </c>
      <c r="AB126" s="76">
        <f t="shared" si="17"/>
        <v>35821.547500000001</v>
      </c>
    </row>
    <row r="127" spans="1:28" outlineLevel="1">
      <c r="A127" s="74" t="s">
        <v>55</v>
      </c>
      <c r="B127" s="74">
        <f t="shared" si="15"/>
        <v>2021</v>
      </c>
      <c r="C127" s="343" t="s">
        <v>47</v>
      </c>
      <c r="D127" s="75"/>
      <c r="E127" s="76">
        <f>SUM(D$5:D127)</f>
        <v>4298585.7</v>
      </c>
      <c r="F127" s="75"/>
      <c r="G127" s="342">
        <v>27207.77</v>
      </c>
      <c r="H127" s="76">
        <f t="shared" si="21"/>
        <v>4113587.1500000013</v>
      </c>
      <c r="I127" s="75"/>
      <c r="J127" s="76">
        <f t="shared" si="18"/>
        <v>184998.54999999888</v>
      </c>
      <c r="O127" s="30">
        <f t="shared" si="20"/>
        <v>978.33333333333337</v>
      </c>
      <c r="P127" s="30">
        <f t="shared" si="20"/>
        <v>1250.4916666666666</v>
      </c>
      <c r="Q127" s="30">
        <f t="shared" si="20"/>
        <v>1146.125</v>
      </c>
      <c r="R127" s="30">
        <f t="shared" si="20"/>
        <v>1672.3333333333333</v>
      </c>
      <c r="S127" s="30">
        <f t="shared" si="20"/>
        <v>2357.7249999999999</v>
      </c>
      <c r="T127" s="30">
        <f t="shared" si="20"/>
        <v>2873.6416666666669</v>
      </c>
      <c r="U127" s="30">
        <f t="shared" si="20"/>
        <v>2847.4</v>
      </c>
      <c r="V127" s="30">
        <f t="shared" si="20"/>
        <v>2626.0333333333333</v>
      </c>
      <c r="W127" s="30">
        <f t="shared" si="20"/>
        <v>3747.05</v>
      </c>
      <c r="X127" s="30">
        <f t="shared" si="20"/>
        <v>6066.1208333333334</v>
      </c>
      <c r="Y127" s="30">
        <f t="shared" si="20"/>
        <v>4590.3249999999998</v>
      </c>
      <c r="Z127" s="30">
        <f t="shared" si="20"/>
        <v>4882.6349999999993</v>
      </c>
      <c r="AA127" s="30">
        <f t="shared" si="20"/>
        <v>0</v>
      </c>
      <c r="AB127" s="76">
        <f t="shared" si="17"/>
        <v>35038.214166666665</v>
      </c>
    </row>
    <row r="128" spans="1:28" outlineLevel="1">
      <c r="A128" s="74" t="s">
        <v>56</v>
      </c>
      <c r="B128" s="74">
        <f t="shared" si="15"/>
        <v>2021</v>
      </c>
      <c r="C128" s="343" t="s">
        <v>47</v>
      </c>
      <c r="D128" s="75"/>
      <c r="E128" s="76">
        <f>SUM(D$5:D128)</f>
        <v>4298585.7</v>
      </c>
      <c r="F128" s="75"/>
      <c r="G128" s="342">
        <v>24512.74</v>
      </c>
      <c r="H128" s="76">
        <f t="shared" si="21"/>
        <v>4138099.8900000015</v>
      </c>
      <c r="I128" s="75"/>
      <c r="J128" s="76">
        <f t="shared" si="18"/>
        <v>160485.80999999866</v>
      </c>
      <c r="P128" s="30">
        <f t="shared" si="20"/>
        <v>1250.4916666666666</v>
      </c>
      <c r="Q128" s="30">
        <f t="shared" si="20"/>
        <v>1146.125</v>
      </c>
      <c r="R128" s="30">
        <f t="shared" si="20"/>
        <v>1672.3333333333333</v>
      </c>
      <c r="S128" s="30">
        <f t="shared" si="20"/>
        <v>2357.7249999999999</v>
      </c>
      <c r="T128" s="30">
        <f t="shared" si="20"/>
        <v>2873.6416666666669</v>
      </c>
      <c r="U128" s="30">
        <f t="shared" si="20"/>
        <v>2847.4</v>
      </c>
      <c r="V128" s="30">
        <f t="shared" si="20"/>
        <v>2626.0333333333333</v>
      </c>
      <c r="W128" s="30">
        <f t="shared" si="20"/>
        <v>3747.05</v>
      </c>
      <c r="X128" s="30">
        <f t="shared" si="20"/>
        <v>6066.1208333333334</v>
      </c>
      <c r="Y128" s="30">
        <f t="shared" si="20"/>
        <v>4590.3249999999998</v>
      </c>
      <c r="Z128" s="30">
        <f t="shared" si="20"/>
        <v>4882.6349999999993</v>
      </c>
      <c r="AA128" s="30">
        <f t="shared" si="20"/>
        <v>0</v>
      </c>
      <c r="AB128" s="76">
        <f t="shared" si="17"/>
        <v>34059.880833333336</v>
      </c>
    </row>
    <row r="129" spans="1:28" outlineLevel="1">
      <c r="A129" s="74" t="s">
        <v>57</v>
      </c>
      <c r="B129" s="74">
        <f t="shared" si="15"/>
        <v>2021</v>
      </c>
      <c r="C129" s="343" t="s">
        <v>47</v>
      </c>
      <c r="D129" s="75"/>
      <c r="E129" s="76">
        <f>SUM(D$5:D129)</f>
        <v>4298585.7</v>
      </c>
      <c r="F129" s="75"/>
      <c r="G129" s="342">
        <v>23689.15</v>
      </c>
      <c r="H129" s="76">
        <f t="shared" si="21"/>
        <v>4161789.0400000014</v>
      </c>
      <c r="I129" s="75"/>
      <c r="J129" s="76">
        <f t="shared" si="18"/>
        <v>136796.65999999875</v>
      </c>
      <c r="Q129" s="30">
        <f t="shared" si="20"/>
        <v>1146.125</v>
      </c>
      <c r="R129" s="30">
        <f t="shared" si="20"/>
        <v>1672.3333333333333</v>
      </c>
      <c r="S129" s="30">
        <f t="shared" si="20"/>
        <v>2357.7249999999999</v>
      </c>
      <c r="T129" s="30">
        <f t="shared" si="20"/>
        <v>2873.6416666666669</v>
      </c>
      <c r="U129" s="30">
        <f t="shared" si="20"/>
        <v>2847.4</v>
      </c>
      <c r="V129" s="30">
        <f t="shared" si="20"/>
        <v>2626.0333333333333</v>
      </c>
      <c r="W129" s="30">
        <f t="shared" si="20"/>
        <v>3747.05</v>
      </c>
      <c r="X129" s="30">
        <f t="shared" si="20"/>
        <v>6066.1208333333334</v>
      </c>
      <c r="Y129" s="30">
        <f t="shared" si="20"/>
        <v>4590.3249999999998</v>
      </c>
      <c r="Z129" s="30">
        <f t="shared" si="20"/>
        <v>4882.6349999999993</v>
      </c>
      <c r="AA129" s="30">
        <f t="shared" si="20"/>
        <v>0</v>
      </c>
      <c r="AB129" s="76">
        <f t="shared" si="17"/>
        <v>32809.389166666668</v>
      </c>
    </row>
    <row r="130" spans="1:28" outlineLevel="1">
      <c r="A130" s="74" t="s">
        <v>58</v>
      </c>
      <c r="B130" s="74">
        <f t="shared" si="15"/>
        <v>2021</v>
      </c>
      <c r="C130" s="343" t="s">
        <v>47</v>
      </c>
      <c r="D130" s="75"/>
      <c r="E130" s="76">
        <f>SUM(D$5:D130)</f>
        <v>4298585.7</v>
      </c>
      <c r="F130" s="75"/>
      <c r="G130" s="342">
        <v>24075.22</v>
      </c>
      <c r="H130" s="76">
        <f t="shared" si="21"/>
        <v>4185864.2600000016</v>
      </c>
      <c r="I130" s="75"/>
      <c r="J130" s="76">
        <f t="shared" si="18"/>
        <v>112721.43999999855</v>
      </c>
      <c r="R130" s="30">
        <f t="shared" si="20"/>
        <v>1672.3333333333333</v>
      </c>
      <c r="S130" s="30">
        <f t="shared" si="20"/>
        <v>2357.7249999999999</v>
      </c>
      <c r="T130" s="30">
        <f t="shared" si="20"/>
        <v>2873.6416666666669</v>
      </c>
      <c r="U130" s="30">
        <f t="shared" si="20"/>
        <v>2847.4</v>
      </c>
      <c r="V130" s="30">
        <f t="shared" si="20"/>
        <v>2626.0333333333333</v>
      </c>
      <c r="W130" s="30">
        <f t="shared" si="20"/>
        <v>3747.05</v>
      </c>
      <c r="X130" s="30">
        <f t="shared" si="20"/>
        <v>6066.1208333333334</v>
      </c>
      <c r="Y130" s="30">
        <f t="shared" si="20"/>
        <v>4590.3249999999998</v>
      </c>
      <c r="Z130" s="30">
        <f t="shared" si="20"/>
        <v>4882.6349999999993</v>
      </c>
      <c r="AA130" s="30">
        <f t="shared" si="20"/>
        <v>0</v>
      </c>
      <c r="AB130" s="76">
        <f t="shared" si="17"/>
        <v>31663.264166666668</v>
      </c>
    </row>
    <row r="131" spans="1:28" outlineLevel="1">
      <c r="A131" s="74" t="s">
        <v>59</v>
      </c>
      <c r="B131" s="74">
        <f t="shared" si="15"/>
        <v>2021</v>
      </c>
      <c r="C131" s="343" t="s">
        <v>47</v>
      </c>
      <c r="D131" s="75"/>
      <c r="E131" s="76">
        <f>SUM(D$5:D131)</f>
        <v>4298585.7</v>
      </c>
      <c r="F131" s="75"/>
      <c r="G131" s="342">
        <v>21932.63</v>
      </c>
      <c r="H131" s="76">
        <f t="shared" si="21"/>
        <v>4207796.8900000015</v>
      </c>
      <c r="I131" s="75"/>
      <c r="J131" s="76">
        <f t="shared" si="18"/>
        <v>90788.809999998659</v>
      </c>
      <c r="S131" s="30">
        <f t="shared" si="20"/>
        <v>2357.7249999999999</v>
      </c>
      <c r="T131" s="30">
        <f t="shared" si="20"/>
        <v>2873.6416666666669</v>
      </c>
      <c r="U131" s="30">
        <f t="shared" si="20"/>
        <v>2847.4</v>
      </c>
      <c r="V131" s="30">
        <f t="shared" si="20"/>
        <v>2626.0333333333333</v>
      </c>
      <c r="W131" s="30">
        <f t="shared" si="20"/>
        <v>3747.05</v>
      </c>
      <c r="X131" s="30">
        <f t="shared" si="20"/>
        <v>6066.1208333333334</v>
      </c>
      <c r="Y131" s="30">
        <f t="shared" si="20"/>
        <v>4590.3249999999998</v>
      </c>
      <c r="Z131" s="30">
        <f t="shared" si="20"/>
        <v>4882.6349999999993</v>
      </c>
      <c r="AA131" s="30">
        <f t="shared" si="20"/>
        <v>0</v>
      </c>
      <c r="AB131" s="76">
        <f t="shared" si="17"/>
        <v>29990.930833333332</v>
      </c>
    </row>
    <row r="132" spans="1:28" outlineLevel="1">
      <c r="A132" s="74" t="s">
        <v>46</v>
      </c>
      <c r="B132" s="74">
        <f t="shared" si="15"/>
        <v>2021</v>
      </c>
      <c r="C132" s="343" t="s">
        <v>47</v>
      </c>
      <c r="D132" s="75"/>
      <c r="E132" s="76">
        <f>SUM(D$5:D132)</f>
        <v>4298585.7</v>
      </c>
      <c r="F132" s="75"/>
      <c r="G132" s="342">
        <v>21369.67</v>
      </c>
      <c r="H132" s="76">
        <f t="shared" si="21"/>
        <v>4229166.5600000015</v>
      </c>
      <c r="I132" s="75"/>
      <c r="J132" s="76">
        <f t="shared" si="18"/>
        <v>69419.139999998733</v>
      </c>
      <c r="T132" s="30">
        <f t="shared" si="20"/>
        <v>2873.6416666666669</v>
      </c>
      <c r="U132" s="30">
        <f t="shared" si="20"/>
        <v>2847.4</v>
      </c>
      <c r="V132" s="30">
        <f t="shared" si="20"/>
        <v>2626.0333333333333</v>
      </c>
      <c r="W132" s="30">
        <f>+W131</f>
        <v>3747.05</v>
      </c>
      <c r="X132" s="30">
        <f>+X131</f>
        <v>6066.1208333333334</v>
      </c>
      <c r="Y132" s="30">
        <f>+Y131</f>
        <v>4590.3249999999998</v>
      </c>
      <c r="Z132" s="30">
        <f>+Z131</f>
        <v>4882.6349999999993</v>
      </c>
      <c r="AA132" s="30">
        <f>+AA131</f>
        <v>0</v>
      </c>
      <c r="AB132" s="76">
        <f t="shared" si="17"/>
        <v>27633.205833333333</v>
      </c>
    </row>
    <row r="133" spans="1:28" outlineLevel="1">
      <c r="A133" s="74" t="s">
        <v>48</v>
      </c>
      <c r="B133" s="74">
        <f t="shared" si="15"/>
        <v>2021</v>
      </c>
      <c r="C133" s="343" t="s">
        <v>47</v>
      </c>
      <c r="D133" s="75"/>
      <c r="E133" s="76">
        <f>SUM(D$5:D133)</f>
        <v>4298585.7</v>
      </c>
      <c r="F133" s="75"/>
      <c r="G133" s="342">
        <v>17925.419999999998</v>
      </c>
      <c r="H133" s="76">
        <f t="shared" si="21"/>
        <v>4247091.9800000014</v>
      </c>
      <c r="I133" s="75"/>
      <c r="J133" s="76">
        <f t="shared" si="18"/>
        <v>51493.719999998808</v>
      </c>
      <c r="U133" s="30">
        <f>+U132</f>
        <v>2847.4</v>
      </c>
      <c r="V133" s="30">
        <f t="shared" ref="V133:AA136" si="22">+V132</f>
        <v>2626.0333333333333</v>
      </c>
      <c r="W133" s="30">
        <f t="shared" si="22"/>
        <v>3747.05</v>
      </c>
      <c r="X133" s="30">
        <f t="shared" si="22"/>
        <v>6066.1208333333334</v>
      </c>
      <c r="Y133" s="30">
        <f t="shared" si="22"/>
        <v>4590.3249999999998</v>
      </c>
      <c r="Z133" s="30">
        <f t="shared" si="22"/>
        <v>4882.6349999999993</v>
      </c>
      <c r="AA133" s="30">
        <f t="shared" si="22"/>
        <v>0</v>
      </c>
      <c r="AB133" s="76">
        <f t="shared" ref="AB133:AB141" si="23">SUM(L133:AA133)</f>
        <v>24759.564166666667</v>
      </c>
    </row>
    <row r="134" spans="1:28" outlineLevel="1">
      <c r="A134" s="74" t="s">
        <v>50</v>
      </c>
      <c r="B134" s="74">
        <f t="shared" si="15"/>
        <v>2021</v>
      </c>
      <c r="C134" s="343" t="s">
        <v>47</v>
      </c>
      <c r="D134" s="75"/>
      <c r="E134" s="76">
        <f>SUM(D$5:D134)</f>
        <v>4298585.7</v>
      </c>
      <c r="F134" s="75"/>
      <c r="G134" s="342">
        <v>15807.09</v>
      </c>
      <c r="H134" s="76">
        <f t="shared" si="21"/>
        <v>4262899.0700000012</v>
      </c>
      <c r="I134" s="75"/>
      <c r="J134" s="76">
        <f t="shared" si="18"/>
        <v>35686.629999998957</v>
      </c>
      <c r="V134" s="30">
        <f t="shared" si="22"/>
        <v>2626.0333333333333</v>
      </c>
      <c r="W134" s="30">
        <f t="shared" si="22"/>
        <v>3747.05</v>
      </c>
      <c r="X134" s="30">
        <f t="shared" si="22"/>
        <v>6066.1208333333334</v>
      </c>
      <c r="Y134" s="30">
        <f t="shared" si="22"/>
        <v>4590.3249999999998</v>
      </c>
      <c r="Z134" s="30">
        <f t="shared" si="22"/>
        <v>4882.6349999999993</v>
      </c>
      <c r="AA134" s="30">
        <f t="shared" si="22"/>
        <v>0</v>
      </c>
      <c r="AB134" s="76">
        <f t="shared" si="23"/>
        <v>21912.164166666666</v>
      </c>
    </row>
    <row r="135" spans="1:28" outlineLevel="1">
      <c r="A135" s="74" t="s">
        <v>51</v>
      </c>
      <c r="B135" s="74">
        <f t="shared" si="15"/>
        <v>2021</v>
      </c>
      <c r="C135" s="343" t="s">
        <v>47</v>
      </c>
      <c r="D135" s="75"/>
      <c r="E135" s="76">
        <f>SUM(D$5:D135)</f>
        <v>4298585.7</v>
      </c>
      <c r="F135" s="75"/>
      <c r="G135" s="342">
        <v>13974.53</v>
      </c>
      <c r="H135" s="76">
        <f t="shared" si="21"/>
        <v>4276873.6000000015</v>
      </c>
      <c r="I135" s="75"/>
      <c r="J135" s="76">
        <f t="shared" si="18"/>
        <v>21712.099999998696</v>
      </c>
      <c r="W135" s="30">
        <f t="shared" si="22"/>
        <v>3747.05</v>
      </c>
      <c r="X135" s="30">
        <f t="shared" si="22"/>
        <v>6066.1208333333334</v>
      </c>
      <c r="Y135" s="30">
        <f t="shared" si="22"/>
        <v>4590.3249999999998</v>
      </c>
      <c r="Z135" s="30">
        <f t="shared" si="22"/>
        <v>4882.6349999999993</v>
      </c>
      <c r="AA135" s="30">
        <f t="shared" si="22"/>
        <v>0</v>
      </c>
      <c r="AB135" s="76">
        <f t="shared" si="23"/>
        <v>19286.130833333333</v>
      </c>
    </row>
    <row r="136" spans="1:28" outlineLevel="1">
      <c r="A136" s="74" t="s">
        <v>52</v>
      </c>
      <c r="B136" s="74">
        <f t="shared" si="15"/>
        <v>2021</v>
      </c>
      <c r="C136" s="343" t="s">
        <v>47</v>
      </c>
      <c r="D136" s="75"/>
      <c r="E136" s="76">
        <f>SUM(D$5:D136)</f>
        <v>4298585.7</v>
      </c>
      <c r="F136" s="75"/>
      <c r="G136" s="342">
        <v>11974.55</v>
      </c>
      <c r="H136" s="76">
        <f t="shared" si="21"/>
        <v>4288848.1500000013</v>
      </c>
      <c r="I136" s="75"/>
      <c r="J136" s="76">
        <f t="shared" si="18"/>
        <v>9737.5499999988824</v>
      </c>
      <c r="X136" s="30">
        <f t="shared" si="22"/>
        <v>6066.1208333333334</v>
      </c>
      <c r="Y136" s="30">
        <f>+Y135</f>
        <v>4590.3249999999998</v>
      </c>
      <c r="Z136" s="30">
        <f t="shared" si="22"/>
        <v>4882.6349999999993</v>
      </c>
      <c r="AA136" s="30">
        <f>+AA135</f>
        <v>0</v>
      </c>
      <c r="AB136" s="76">
        <f t="shared" si="23"/>
        <v>15539.080833333333</v>
      </c>
    </row>
    <row r="137" spans="1:28" outlineLevel="1">
      <c r="A137" s="74" t="s">
        <v>53</v>
      </c>
      <c r="B137" s="74">
        <f t="shared" si="15"/>
        <v>2022</v>
      </c>
      <c r="C137" s="343" t="s">
        <v>47</v>
      </c>
      <c r="D137" s="75"/>
      <c r="E137" s="76">
        <f>SUM(D$5:D137)</f>
        <v>4298585.7</v>
      </c>
      <c r="F137" s="75"/>
      <c r="G137" s="479">
        <v>8923.4500000000007</v>
      </c>
      <c r="H137" s="76">
        <f t="shared" si="21"/>
        <v>4297771.6000000015</v>
      </c>
      <c r="I137" s="75"/>
      <c r="J137" s="76">
        <f t="shared" si="18"/>
        <v>814.09999999869615</v>
      </c>
      <c r="X137" s="30"/>
      <c r="Y137" s="30">
        <f>+Y136</f>
        <v>4590.3249999999998</v>
      </c>
      <c r="Z137" s="30">
        <f>+Z136</f>
        <v>4882.6349999999993</v>
      </c>
      <c r="AA137" s="30">
        <f>+AA136</f>
        <v>0</v>
      </c>
      <c r="AB137" s="76">
        <f t="shared" si="23"/>
        <v>9472.9599999999991</v>
      </c>
    </row>
    <row r="138" spans="1:28" outlineLevel="1">
      <c r="A138" s="74" t="s">
        <v>54</v>
      </c>
      <c r="B138" s="74">
        <f t="shared" si="15"/>
        <v>2022</v>
      </c>
      <c r="C138" s="343" t="s">
        <v>47</v>
      </c>
      <c r="D138" s="75"/>
      <c r="E138" s="76">
        <f>SUM(D$5:D138)</f>
        <v>4298585.7</v>
      </c>
      <c r="F138" s="75"/>
      <c r="G138" s="479">
        <f>J137</f>
        <v>814.09999999869615</v>
      </c>
      <c r="H138" s="76">
        <f t="shared" si="21"/>
        <v>4298585.7</v>
      </c>
      <c r="I138" s="75"/>
      <c r="J138" s="76">
        <f t="shared" si="18"/>
        <v>0</v>
      </c>
      <c r="X138" s="30"/>
      <c r="Y138" s="30"/>
      <c r="Z138" s="30">
        <f>+Z137</f>
        <v>4882.6349999999993</v>
      </c>
      <c r="AA138" s="30">
        <f>+AA137</f>
        <v>0</v>
      </c>
      <c r="AB138" s="76">
        <f t="shared" si="23"/>
        <v>4882.6349999999993</v>
      </c>
    </row>
    <row r="139" spans="1:28">
      <c r="A139" s="74" t="s">
        <v>55</v>
      </c>
      <c r="B139" s="74">
        <f t="shared" si="15"/>
        <v>2022</v>
      </c>
      <c r="C139" s="343" t="s">
        <v>47</v>
      </c>
      <c r="D139" s="75"/>
      <c r="E139" s="76">
        <f>SUM(D$5:D139)</f>
        <v>4298585.7</v>
      </c>
      <c r="F139" s="75"/>
      <c r="G139" s="479"/>
      <c r="H139" s="76">
        <f t="shared" ref="H139:H141" si="24">H138+G139</f>
        <v>4298585.7</v>
      </c>
      <c r="I139" s="75"/>
      <c r="J139" s="76">
        <f t="shared" ref="J139:J141" si="25">+E139-H139</f>
        <v>0</v>
      </c>
      <c r="AB139" s="76">
        <f t="shared" si="23"/>
        <v>0</v>
      </c>
    </row>
    <row r="140" spans="1:28">
      <c r="A140" s="74" t="s">
        <v>56</v>
      </c>
      <c r="B140" s="74">
        <f t="shared" si="15"/>
        <v>2022</v>
      </c>
      <c r="C140" s="343" t="s">
        <v>47</v>
      </c>
      <c r="D140" s="75"/>
      <c r="E140" s="76">
        <f>SUM(D$5:D140)</f>
        <v>4298585.7</v>
      </c>
      <c r="F140" s="75"/>
      <c r="G140" s="479"/>
      <c r="H140" s="76">
        <f t="shared" si="24"/>
        <v>4298585.7</v>
      </c>
      <c r="I140" s="75"/>
      <c r="J140" s="76">
        <f t="shared" si="25"/>
        <v>0</v>
      </c>
      <c r="AB140" s="76">
        <f t="shared" si="23"/>
        <v>0</v>
      </c>
    </row>
    <row r="141" spans="1:28">
      <c r="A141" s="74" t="s">
        <v>57</v>
      </c>
      <c r="B141" s="74">
        <f t="shared" si="15"/>
        <v>2022</v>
      </c>
      <c r="C141" s="343" t="s">
        <v>47</v>
      </c>
      <c r="D141" s="46"/>
      <c r="E141" s="76">
        <f>SUM(D$5:D141)</f>
        <v>4298585.7</v>
      </c>
      <c r="F141" s="75"/>
      <c r="G141" s="342"/>
      <c r="H141" s="76">
        <f t="shared" si="24"/>
        <v>4298585.7</v>
      </c>
      <c r="I141" s="75"/>
      <c r="J141" s="76">
        <f t="shared" si="25"/>
        <v>0</v>
      </c>
      <c r="AB141" s="76">
        <f t="shared" si="23"/>
        <v>0</v>
      </c>
    </row>
    <row r="142" spans="1:28">
      <c r="A142" s="7"/>
      <c r="B142" s="7"/>
      <c r="C142" s="73"/>
      <c r="D142" s="22"/>
      <c r="E142" s="30"/>
      <c r="F142" s="56"/>
      <c r="G142" s="326"/>
      <c r="H142" s="30"/>
      <c r="I142" s="56"/>
      <c r="J142" s="30"/>
    </row>
    <row r="143" spans="1:28">
      <c r="D143" s="22"/>
      <c r="E143" s="30"/>
      <c r="F143" s="56"/>
      <c r="G143" s="326"/>
      <c r="H143" s="30"/>
      <c r="I143" s="56"/>
      <c r="J143" s="30"/>
    </row>
    <row r="144" spans="1:28">
      <c r="D144" s="22"/>
      <c r="F144" s="22"/>
      <c r="G144" s="22"/>
      <c r="H144" s="22"/>
      <c r="I144" s="22"/>
    </row>
    <row r="145" spans="4:12">
      <c r="D145" s="22"/>
      <c r="F145" s="22"/>
    </row>
    <row r="146" spans="4:12">
      <c r="D146" s="22"/>
      <c r="F146" s="22"/>
    </row>
    <row r="147" spans="4:12">
      <c r="D147" s="22"/>
      <c r="F147" s="22"/>
    </row>
    <row r="148" spans="4:12">
      <c r="D148" s="22"/>
      <c r="F148" s="22"/>
    </row>
    <row r="158" spans="4:12">
      <c r="G158" s="22">
        <v>4662.54</v>
      </c>
      <c r="H158" s="22">
        <v>4302434.1400000015</v>
      </c>
      <c r="I158" s="22"/>
      <c r="J158" s="22">
        <v>-3848.4400000013411</v>
      </c>
      <c r="L158" s="3">
        <f>4663-814</f>
        <v>3849</v>
      </c>
    </row>
    <row r="159" spans="4:12">
      <c r="G159" s="22">
        <v>2223.6799999999998</v>
      </c>
      <c r="H159" s="22">
        <v>4304657.8200000012</v>
      </c>
      <c r="I159" s="22"/>
      <c r="J159" s="22">
        <v>-6072.1200000010431</v>
      </c>
      <c r="L159" s="22">
        <f>G159</f>
        <v>2223.6799999999998</v>
      </c>
    </row>
    <row r="160" spans="4:12">
      <c r="G160" s="22">
        <v>195.69</v>
      </c>
      <c r="H160" s="22">
        <v>4304853.5100000016</v>
      </c>
      <c r="I160" s="22"/>
      <c r="J160" s="22">
        <v>-6267.8100000014529</v>
      </c>
      <c r="L160" s="22">
        <f>G160</f>
        <v>195.69</v>
      </c>
    </row>
    <row r="161" spans="7:13">
      <c r="G161" s="22">
        <v>112</v>
      </c>
      <c r="H161" s="22">
        <v>4304965.5100000016</v>
      </c>
      <c r="I161" s="22"/>
      <c r="J161" s="22">
        <v>-6379.8100000014529</v>
      </c>
      <c r="L161" s="22">
        <f>G161</f>
        <v>112</v>
      </c>
    </row>
    <row r="162" spans="7:13">
      <c r="L162" s="3">
        <f>SUM(L158:L161)</f>
        <v>6380.37</v>
      </c>
      <c r="M162" s="3" t="s">
        <v>333</v>
      </c>
    </row>
    <row r="163" spans="7:13">
      <c r="M163" s="3" t="s">
        <v>334</v>
      </c>
    </row>
  </sheetData>
  <mergeCells count="2">
    <mergeCell ref="D1:I1"/>
    <mergeCell ref="L1:AB1"/>
  </mergeCells>
  <printOptions horizontalCentered="1" gridLines="1"/>
  <pageMargins left="0.25" right="0" top="0.75" bottom="0" header="0.5" footer="0.5"/>
  <pageSetup scale="47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Schedule NJNG-2 - Page 2</vt:lpstr>
      <vt:lpstr>Schedule NJNG-2 - Pages 3-9</vt:lpstr>
      <vt:lpstr>E3 - Financing upfront</vt:lpstr>
      <vt:lpstr>E3 - Invest Amort deferred tax</vt:lpstr>
      <vt:lpstr>Schedule NJNG-3 - Page 2</vt:lpstr>
      <vt:lpstr>Schedule NJNG-3 - Page 3</vt:lpstr>
      <vt:lpstr>RGGI - Invest Amort deferred</vt:lpstr>
      <vt:lpstr>RGGI CHP</vt:lpstr>
      <vt:lpstr>RGGI - On-bill financing</vt:lpstr>
      <vt:lpstr>RGGI II Invest Amort Def</vt:lpstr>
      <vt:lpstr>RGGI II On Bill Fin'g</vt:lpstr>
      <vt:lpstr>Capital Structure </vt:lpstr>
      <vt:lpstr>2013 program Invest Amort Def</vt:lpstr>
      <vt:lpstr>2013 program 10 yr On Bill Fin</vt:lpstr>
      <vt:lpstr>2013 program 5 yr On Bill Fin</vt:lpstr>
      <vt:lpstr>2013 program 2 yr On Bill Fin</vt:lpstr>
      <vt:lpstr>2013 program Forecast </vt:lpstr>
      <vt:lpstr>2015 Program Invest Amort Def</vt:lpstr>
      <vt:lpstr>2015 Program 10-Year OBRP</vt:lpstr>
      <vt:lpstr>2015 Program 7-Year OBRP</vt:lpstr>
      <vt:lpstr>2015 Program 5-Year OBRP</vt:lpstr>
      <vt:lpstr>2015 Program 3-Year OBRP</vt:lpstr>
      <vt:lpstr>2018 SUMMARY</vt:lpstr>
      <vt:lpstr>'Capital Structure '!Allocators</vt:lpstr>
      <vt:lpstr>'2013 program 10 yr On Bill Fin'!Print_Area</vt:lpstr>
      <vt:lpstr>'2013 program 2 yr On Bill Fin'!Print_Area</vt:lpstr>
      <vt:lpstr>'2013 program 5 yr On Bill Fin'!Print_Area</vt:lpstr>
      <vt:lpstr>'2013 program Invest Amort Def'!Print_Area</vt:lpstr>
      <vt:lpstr>'2015 Program 7-Year OBRP'!Print_Area</vt:lpstr>
      <vt:lpstr>'Capital Structure '!Print_Area</vt:lpstr>
      <vt:lpstr>'E3 - Financing upfront'!Print_Area</vt:lpstr>
      <vt:lpstr>'RGGI - Invest Amort deferred'!Print_Area</vt:lpstr>
      <vt:lpstr>'RGGI - On-bill financing'!Print_Area</vt:lpstr>
      <vt:lpstr>'RGGI II Invest Amort Def'!Print_Area</vt:lpstr>
      <vt:lpstr>'RGGI II On Bill Fin''g'!Print_Area</vt:lpstr>
      <vt:lpstr>'Schedule NJNG-2 - Pages 3-9'!Print_Area</vt:lpstr>
      <vt:lpstr>'2013 program Forecast '!Print_Titles</vt:lpstr>
      <vt:lpstr>'E3 - Financing upfront'!Print_Titles</vt:lpstr>
      <vt:lpstr>'E3 - Invest Amort deferred tax'!Print_Titles</vt:lpstr>
      <vt:lpstr>'RGGI - Invest Amort deferred'!Print_Titles</vt:lpstr>
      <vt:lpstr>'RGGI - On-bill financing'!Print_Titles</vt:lpstr>
      <vt:lpstr>'Schedule NJNG-2 - Pages 3-9'!Print_Titles</vt:lpstr>
    </vt:vector>
  </TitlesOfParts>
  <Company>NJR Service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M. Corcoran</dc:creator>
  <cp:lastModifiedBy>Fastuca Susan</cp:lastModifiedBy>
  <cp:lastPrinted>2023-05-26T14:21:44Z</cp:lastPrinted>
  <dcterms:created xsi:type="dcterms:W3CDTF">2015-07-08T12:12:51Z</dcterms:created>
  <dcterms:modified xsi:type="dcterms:W3CDTF">2023-05-26T14:27:02Z</dcterms:modified>
</cp:coreProperties>
</file>